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Департамент торгов\ПРОЦЕДУРЫ\2-1 КОНКУРС в электронной форме\ОКЭФ-214 ПИР Кампус Мамисон\"/>
    </mc:Choice>
  </mc:AlternateContent>
  <bookViews>
    <workbookView xWindow="0" yWindow="0" windowWidth="28800" windowHeight="12330" tabRatio="830" firstSheet="3" activeTab="6"/>
  </bookViews>
  <sheets>
    <sheet name="График работ" sheetId="35" state="hidden" r:id="rId1"/>
    <sheet name="Пояснительная (ПИР+СМР)" sheetId="36" state="hidden" r:id="rId2"/>
    <sheet name="Протокол (ПИР+СМР)" sheetId="37" state="hidden" r:id="rId3"/>
    <sheet name="Пояснительная" sheetId="190" r:id="rId4"/>
    <sheet name="Протокол" sheetId="191" r:id="rId5"/>
    <sheet name="НМЦ (ПИР+СМР)" sheetId="33" state="hidden" r:id="rId6"/>
    <sheet name="НМЦ" sheetId="192" r:id="rId7"/>
    <sheet name="НМЦК" sheetId="193" r:id="rId8"/>
    <sheet name="Cводная смета ПИР" sheetId="26" r:id="rId9"/>
    <sheet name="Экспертиза ПД и ИЗ" sheetId="27" state="hidden" r:id="rId10"/>
    <sheet name="Геология (без неблагопр период)" sheetId="107" state="hidden" r:id="rId11"/>
    <sheet name="Геология (в благопр услов)" sheetId="108" state="hidden" r:id="rId12"/>
    <sheet name="ИГДИ" sheetId="183" r:id="rId13"/>
    <sheet name="ИГИ" sheetId="186" r:id="rId14"/>
    <sheet name="ИГМИ" sheetId="180" r:id="rId15"/>
    <sheet name="ЛиС" sheetId="181" r:id="rId16"/>
    <sheet name="Геофизика" sheetId="131" state="hidden" r:id="rId17"/>
    <sheet name="РД (для расчета ОВОС)" sheetId="155" state="hidden" r:id="rId18"/>
    <sheet name="ОВОС" sheetId="127" state="hidden" r:id="rId19"/>
    <sheet name="Экология" sheetId="184" r:id="rId20"/>
    <sheet name="Археология" sheetId="185" r:id="rId21"/>
    <sheet name="РД" sheetId="189" state="hidden" r:id="rId22"/>
    <sheet name="ПД" sheetId="202" r:id="rId23"/>
    <sheet name="Экспертиза ГГЭ" sheetId="70" r:id="rId24"/>
    <sheet name="КВЛ (аналог VP-3)" sheetId="98" state="hidden" r:id="rId25"/>
    <sheet name="КВЛ (аналог EL6)" sheetId="113" state="hidden" r:id="rId26"/>
    <sheet name="02-01-08 (аналог)" sheetId="114" state="hidden" r:id="rId27"/>
    <sheet name="02-01-08 Инженерная защита терр" sheetId="118" state="hidden" r:id="rId28"/>
    <sheet name="02-01-08-И (аналог)" sheetId="115" state="hidden" r:id="rId29"/>
    <sheet name="02-01-08-Д (аналог)" sheetId="116" state="hidden" r:id="rId30"/>
    <sheet name="ЛСР 02-02-01" sheetId="124" state="hidden" r:id="rId31"/>
    <sheet name="Проект сметы контракта" sheetId="170" state="hidden" r:id="rId32"/>
    <sheet name="ВОР" sheetId="169" state="hidden" r:id="rId33"/>
    <sheet name="НМЦК (ПИР+стройка) в работе" sheetId="194" state="hidden" r:id="rId34"/>
    <sheet name="Расчет КВЛ" sheetId="128" r:id="rId35"/>
    <sheet name="ЛСР №1" sheetId="195" r:id="rId36"/>
    <sheet name="Индексы-дефляторы" sheetId="163" state="hidden" r:id="rId37"/>
    <sheet name="Индексы Росстата" sheetId="175" r:id="rId38"/>
    <sheet name="Прогнозные индексы" sheetId="196" r:id="rId39"/>
    <sheet name="ОБЪЕКТЫ-АНАЛОГИ=&gt;" sheetId="203" r:id="rId40"/>
    <sheet name="КСБ Архыз" sheetId="152" r:id="rId41"/>
    <sheet name="ЛСР 02-01-01-доп. АР. МФЦ" sheetId="198" r:id="rId42"/>
    <sheet name="МФЦ КПК" sheetId="200" r:id="rId43"/>
    <sheet name="ССР Дукка" sheetId="161" state="hidden" r:id="rId44"/>
    <sheet name="Расчёт по НЦС " sheetId="13" state="hidden" r:id="rId45"/>
    <sheet name="СВОД (объемов работ)" sheetId="1" state="hidden" r:id="rId46"/>
  </sheets>
  <externalReferences>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s>
  <definedNames>
    <definedName name="\" localSheetId="16">#REF!</definedName>
    <definedName name="\" localSheetId="25">#REF!</definedName>
    <definedName name="\" localSheetId="30">#REF!</definedName>
    <definedName name="\" localSheetId="18">#REF!</definedName>
    <definedName name="\AUTOEXEC" localSheetId="25">#REF!</definedName>
    <definedName name="\AUTOEXEC" localSheetId="30">#REF!</definedName>
    <definedName name="\AUTOEXEC" localSheetId="18">#REF!</definedName>
    <definedName name="\k" localSheetId="25">#REF!</definedName>
    <definedName name="\k" localSheetId="18">#REF!</definedName>
    <definedName name="\m" localSheetId="25">#REF!</definedName>
    <definedName name="\n" localSheetId="25">#REF!</definedName>
    <definedName name="\n11" localSheetId="25">#REF!</definedName>
    <definedName name="\s" localSheetId="25">#REF!</definedName>
    <definedName name="\z" localSheetId="25">#REF!</definedName>
    <definedName name="_" localSheetId="36" hidden="1">{"IMRAK42x8x8",#N/A,TRUE,"IMRAK 1400 42U 800X800";"IMRAK32x6x6",#N/A,TRUE,"IMRAK 1400 32U 600x600";"IMRAK42x12x8",#N/A,TRUE,"IMRAK 1400 42U 1200x800";"IMRAK15x6x4",#N/A,TRUE,"IMRAK 400 15U FRONT SECTION"}</definedName>
    <definedName name="_" localSheetId="40" hidden="1">{"IMRAK42x8x8",#N/A,TRUE,"IMRAK 1400 42U 800X800";"IMRAK32x6x6",#N/A,TRUE,"IMRAK 1400 32U 600x600";"IMRAK42x12x8",#N/A,TRUE,"IMRAK 1400 42U 1200x800";"IMRAK15x6x4",#N/A,TRUE,"IMRAK 400 15U FRONT SECTION"}</definedName>
    <definedName name="_" localSheetId="6" hidden="1">{"IMRAK42x8x8",#N/A,TRUE,"IMRAK 1400 42U 800X800";"IMRAK32x6x6",#N/A,TRUE,"IMRAK 1400 32U 600x600";"IMRAK42x12x8",#N/A,TRUE,"IMRAK 1400 42U 1200x800";"IMRAK15x6x4",#N/A,TRUE,"IMRAK 400 15U FRONT SECTION"}</definedName>
    <definedName name="_" localSheetId="7" hidden="1">{"IMRAK42x8x8",#N/A,TRUE,"IMRAK 1400 42U 800X800";"IMRAK32x6x6",#N/A,TRUE,"IMRAK 1400 32U 600x600";"IMRAK42x12x8",#N/A,TRUE,"IMRAK 1400 42U 1200x800";"IMRAK15x6x4",#N/A,TRUE,"IMRAK 400 15U FRONT SECTION"}</definedName>
    <definedName name="_" localSheetId="38" hidden="1">{"IMRAK42x8x8",#N/A,TRUE,"IMRAK 1400 42U 800X800";"IMRAK32x6x6",#N/A,TRUE,"IMRAK 1400 32U 600x600";"IMRAK42x12x8",#N/A,TRUE,"IMRAK 1400 42U 1200x800";"IMRAK15x6x4",#N/A,TRUE,"IMRAK 400 15U FRONT SECTION"}</definedName>
    <definedName name="_" hidden="1">{"IMRAK42x8x8",#N/A,TRUE,"IMRAK 1400 42U 800X800";"IMRAK32x6x6",#N/A,TRUE,"IMRAK 1400 32U 600x600";"IMRAK42x12x8",#N/A,TRUE,"IMRAK 1400 42U 1200x800";"IMRAK15x6x4",#N/A,TRUE,"IMRAK 400 15U FRONT SECTION"}</definedName>
    <definedName name="________________________a2" localSheetId="16">#REF!</definedName>
    <definedName name="________________________a2" localSheetId="25">#REF!</definedName>
    <definedName name="_______________________a2" localSheetId="25">#REF!</definedName>
    <definedName name="_____________________a2" localSheetId="25">#REF!</definedName>
    <definedName name="____________________a2" localSheetId="25">#REF!</definedName>
    <definedName name="___________________a2" localSheetId="25">#REF!</definedName>
    <definedName name="__________________a2" localSheetId="25">#REF!</definedName>
    <definedName name="_________________a2" localSheetId="25">#REF!</definedName>
    <definedName name="________________a2" localSheetId="25">#REF!</definedName>
    <definedName name="_______________a2" localSheetId="25">#REF!</definedName>
    <definedName name="______________a2" localSheetId="25">#REF!</definedName>
    <definedName name="_____________a2" localSheetId="25">#REF!</definedName>
    <definedName name="____________a2" localSheetId="25">#REF!</definedName>
    <definedName name="___________a2" localSheetId="25">#REF!</definedName>
    <definedName name="___________App2" localSheetId="36" hidden="1">{"IMRAK42x8x8",#N/A,TRUE,"IMRAK 1400 42U 800X800";"IMRAK32x6x6",#N/A,TRUE,"IMRAK 1400 32U 600x600";"IMRAK42x12x8",#N/A,TRUE,"IMRAK 1400 42U 1200x800";"IMRAK15x6x4",#N/A,TRUE,"IMRAK 400 15U FRONT SECTION"}</definedName>
    <definedName name="___________App2" localSheetId="40" hidden="1">{"IMRAK42x8x8",#N/A,TRUE,"IMRAK 1400 42U 800X800";"IMRAK32x6x6",#N/A,TRUE,"IMRAK 1400 32U 600x600";"IMRAK42x12x8",#N/A,TRUE,"IMRAK 1400 42U 1200x800";"IMRAK15x6x4",#N/A,TRUE,"IMRAK 400 15U FRONT SECTION"}</definedName>
    <definedName name="___________App2" localSheetId="6" hidden="1">{"IMRAK42x8x8",#N/A,TRUE,"IMRAK 1400 42U 800X800";"IMRAK32x6x6",#N/A,TRUE,"IMRAK 1400 32U 600x600";"IMRAK42x12x8",#N/A,TRUE,"IMRAK 1400 42U 1200x800";"IMRAK15x6x4",#N/A,TRUE,"IMRAK 400 15U FRONT SECTION"}</definedName>
    <definedName name="___________App2" localSheetId="7" hidden="1">{"IMRAK42x8x8",#N/A,TRUE,"IMRAK 1400 42U 800X800";"IMRAK32x6x6",#N/A,TRUE,"IMRAK 1400 32U 600x600";"IMRAK42x12x8",#N/A,TRUE,"IMRAK 1400 42U 1200x800";"IMRAK15x6x4",#N/A,TRUE,"IMRAK 400 15U FRONT SECTION"}</definedName>
    <definedName name="___________App2" localSheetId="38" hidden="1">{"IMRAK42x8x8",#N/A,TRUE,"IMRAK 1400 42U 800X800";"IMRAK32x6x6",#N/A,TRUE,"IMRAK 1400 32U 600x600";"IMRAK42x12x8",#N/A,TRUE,"IMRAK 1400 42U 1200x800";"IMRAK15x6x4",#N/A,TRUE,"IMRAK 400 15U FRONT SECTION"}</definedName>
    <definedName name="___________App2" hidden="1">{"IMRAK42x8x8",#N/A,TRUE,"IMRAK 1400 42U 800X800";"IMRAK32x6x6",#N/A,TRUE,"IMRAK 1400 32U 600x600";"IMRAK42x12x8",#N/A,TRUE,"IMRAK 1400 42U 1200x800";"IMRAK15x6x4",#N/A,TRUE,"IMRAK 400 15U FRONT SECTION"}</definedName>
    <definedName name="__________a2" localSheetId="16">#REF!</definedName>
    <definedName name="__________a2" localSheetId="25">#REF!</definedName>
    <definedName name="__________App2" localSheetId="36" hidden="1">{"IMRAK42x8x8",#N/A,TRUE,"IMRAK 1400 42U 800X800";"IMRAK32x6x6",#N/A,TRUE,"IMRAK 1400 32U 600x600";"IMRAK42x12x8",#N/A,TRUE,"IMRAK 1400 42U 1200x800";"IMRAK15x6x4",#N/A,TRUE,"IMRAK 400 15U FRONT SECTION"}</definedName>
    <definedName name="__________App2" localSheetId="40" hidden="1">{"IMRAK42x8x8",#N/A,TRUE,"IMRAK 1400 42U 800X800";"IMRAK32x6x6",#N/A,TRUE,"IMRAK 1400 32U 600x600";"IMRAK42x12x8",#N/A,TRUE,"IMRAK 1400 42U 1200x800";"IMRAK15x6x4",#N/A,TRUE,"IMRAK 400 15U FRONT SECTION"}</definedName>
    <definedName name="__________App2" localSheetId="6" hidden="1">{"IMRAK42x8x8",#N/A,TRUE,"IMRAK 1400 42U 800X800";"IMRAK32x6x6",#N/A,TRUE,"IMRAK 1400 32U 600x600";"IMRAK42x12x8",#N/A,TRUE,"IMRAK 1400 42U 1200x800";"IMRAK15x6x4",#N/A,TRUE,"IMRAK 400 15U FRONT SECTION"}</definedName>
    <definedName name="__________App2" localSheetId="7" hidden="1">{"IMRAK42x8x8",#N/A,TRUE,"IMRAK 1400 42U 800X800";"IMRAK32x6x6",#N/A,TRUE,"IMRAK 1400 32U 600x600";"IMRAK42x12x8",#N/A,TRUE,"IMRAK 1400 42U 1200x800";"IMRAK15x6x4",#N/A,TRUE,"IMRAK 400 15U FRONT SECTION"}</definedName>
    <definedName name="__________App2" localSheetId="38" hidden="1">{"IMRAK42x8x8",#N/A,TRUE,"IMRAK 1400 42U 800X800";"IMRAK32x6x6",#N/A,TRUE,"IMRAK 1400 32U 600x600";"IMRAK42x12x8",#N/A,TRUE,"IMRAK 1400 42U 1200x800";"IMRAK15x6x4",#N/A,TRUE,"IMRAK 400 15U FRONT SECTION"}</definedName>
    <definedName name="__________App2" hidden="1">{"IMRAK42x8x8",#N/A,TRUE,"IMRAK 1400 42U 800X800";"IMRAK32x6x6",#N/A,TRUE,"IMRAK 1400 32U 600x600";"IMRAK42x12x8",#N/A,TRUE,"IMRAK 1400 42U 1200x800";"IMRAK15x6x4",#N/A,TRUE,"IMRAK 400 15U FRONT SECTION"}</definedName>
    <definedName name="_________a2" localSheetId="16">#REF!</definedName>
    <definedName name="_________a2" localSheetId="25">#REF!</definedName>
    <definedName name="_________App2" localSheetId="36" hidden="1">{"IMRAK42x8x8",#N/A,TRUE,"IMRAK 1400 42U 800X800";"IMRAK32x6x6",#N/A,TRUE,"IMRAK 1400 32U 600x600";"IMRAK42x12x8",#N/A,TRUE,"IMRAK 1400 42U 1200x800";"IMRAK15x6x4",#N/A,TRUE,"IMRAK 400 15U FRONT SECTION"}</definedName>
    <definedName name="_________App2" localSheetId="40" hidden="1">{"IMRAK42x8x8",#N/A,TRUE,"IMRAK 1400 42U 800X800";"IMRAK32x6x6",#N/A,TRUE,"IMRAK 1400 32U 600x600";"IMRAK42x12x8",#N/A,TRUE,"IMRAK 1400 42U 1200x800";"IMRAK15x6x4",#N/A,TRUE,"IMRAK 400 15U FRONT SECTION"}</definedName>
    <definedName name="_________App2" localSheetId="6" hidden="1">{"IMRAK42x8x8",#N/A,TRUE,"IMRAK 1400 42U 800X800";"IMRAK32x6x6",#N/A,TRUE,"IMRAK 1400 32U 600x600";"IMRAK42x12x8",#N/A,TRUE,"IMRAK 1400 42U 1200x800";"IMRAK15x6x4",#N/A,TRUE,"IMRAK 400 15U FRONT SECTION"}</definedName>
    <definedName name="_________App2" localSheetId="7" hidden="1">{"IMRAK42x8x8",#N/A,TRUE,"IMRAK 1400 42U 800X800";"IMRAK32x6x6",#N/A,TRUE,"IMRAK 1400 32U 600x600";"IMRAK42x12x8",#N/A,TRUE,"IMRAK 1400 42U 1200x800";"IMRAK15x6x4",#N/A,TRUE,"IMRAK 400 15U FRONT SECTION"}</definedName>
    <definedName name="_________App2" localSheetId="38" hidden="1">{"IMRAK42x8x8",#N/A,TRUE,"IMRAK 1400 42U 800X800";"IMRAK32x6x6",#N/A,TRUE,"IMRAK 1400 32U 600x600";"IMRAK42x12x8",#N/A,TRUE,"IMRAK 1400 42U 1200x800";"IMRAK15x6x4",#N/A,TRUE,"IMRAK 400 15U FRONT SECTION"}</definedName>
    <definedName name="_________App2" hidden="1">{"IMRAK42x8x8",#N/A,TRUE,"IMRAK 1400 42U 800X800";"IMRAK32x6x6",#N/A,TRUE,"IMRAK 1400 32U 600x600";"IMRAK42x12x8",#N/A,TRUE,"IMRAK 1400 42U 1200x800";"IMRAK15x6x4",#N/A,TRUE,"IMRAK 400 15U FRONT SECTION"}</definedName>
    <definedName name="________a2" localSheetId="16">#REF!</definedName>
    <definedName name="________a2" localSheetId="25">#REF!</definedName>
    <definedName name="________App2" localSheetId="36" hidden="1">{"IMRAK42x8x8",#N/A,TRUE,"IMRAK 1400 42U 800X800";"IMRAK32x6x6",#N/A,TRUE,"IMRAK 1400 32U 600x600";"IMRAK42x12x8",#N/A,TRUE,"IMRAK 1400 42U 1200x800";"IMRAK15x6x4",#N/A,TRUE,"IMRAK 400 15U FRONT SECTION"}</definedName>
    <definedName name="________App2" localSheetId="40" hidden="1">{"IMRAK42x8x8",#N/A,TRUE,"IMRAK 1400 42U 800X800";"IMRAK32x6x6",#N/A,TRUE,"IMRAK 1400 32U 600x600";"IMRAK42x12x8",#N/A,TRUE,"IMRAK 1400 42U 1200x800";"IMRAK15x6x4",#N/A,TRUE,"IMRAK 400 15U FRONT SECTION"}</definedName>
    <definedName name="________App2" localSheetId="6" hidden="1">{"IMRAK42x8x8",#N/A,TRUE,"IMRAK 1400 42U 800X800";"IMRAK32x6x6",#N/A,TRUE,"IMRAK 1400 32U 600x600";"IMRAK42x12x8",#N/A,TRUE,"IMRAK 1400 42U 1200x800";"IMRAK15x6x4",#N/A,TRUE,"IMRAK 400 15U FRONT SECTION"}</definedName>
    <definedName name="________App2" localSheetId="7" hidden="1">{"IMRAK42x8x8",#N/A,TRUE,"IMRAK 1400 42U 800X800";"IMRAK32x6x6",#N/A,TRUE,"IMRAK 1400 32U 600x600";"IMRAK42x12x8",#N/A,TRUE,"IMRAK 1400 42U 1200x800";"IMRAK15x6x4",#N/A,TRUE,"IMRAK 400 15U FRONT SECTION"}</definedName>
    <definedName name="________App2" localSheetId="38" hidden="1">{"IMRAK42x8x8",#N/A,TRUE,"IMRAK 1400 42U 800X800";"IMRAK32x6x6",#N/A,TRUE,"IMRAK 1400 32U 600x600";"IMRAK42x12x8",#N/A,TRUE,"IMRAK 1400 42U 1200x800";"IMRAK15x6x4",#N/A,TRUE,"IMRAK 400 15U FRONT SECTION"}</definedName>
    <definedName name="________App2" hidden="1">{"IMRAK42x8x8",#N/A,TRUE,"IMRAK 1400 42U 800X800";"IMRAK32x6x6",#N/A,TRUE,"IMRAK 1400 32U 600x600";"IMRAK42x12x8",#N/A,TRUE,"IMRAK 1400 42U 1200x800";"IMRAK15x6x4",#N/A,TRUE,"IMRAK 400 15U FRONT SECTION"}</definedName>
    <definedName name="_______a2" localSheetId="16">#REF!</definedName>
    <definedName name="_______a2" localSheetId="25">#REF!</definedName>
    <definedName name="_______A65560" localSheetId="16">[1]График!#REF!</definedName>
    <definedName name="_______A65560" localSheetId="25">[1]График!#REF!</definedName>
    <definedName name="_______App2" localSheetId="36" hidden="1">{"IMRAK42x8x8",#N/A,TRUE,"IMRAK 1400 42U 800X800";"IMRAK32x6x6",#N/A,TRUE,"IMRAK 1400 32U 600x600";"IMRAK42x12x8",#N/A,TRUE,"IMRAK 1400 42U 1200x800";"IMRAK15x6x4",#N/A,TRUE,"IMRAK 400 15U FRONT SECTION"}</definedName>
    <definedName name="_______App2" localSheetId="40" hidden="1">{"IMRAK42x8x8",#N/A,TRUE,"IMRAK 1400 42U 800X800";"IMRAK32x6x6",#N/A,TRUE,"IMRAK 1400 32U 600x600";"IMRAK42x12x8",#N/A,TRUE,"IMRAK 1400 42U 1200x800";"IMRAK15x6x4",#N/A,TRUE,"IMRAK 400 15U FRONT SECTION"}</definedName>
    <definedName name="_______App2" localSheetId="6" hidden="1">{"IMRAK42x8x8",#N/A,TRUE,"IMRAK 1400 42U 800X800";"IMRAK32x6x6",#N/A,TRUE,"IMRAK 1400 32U 600x600";"IMRAK42x12x8",#N/A,TRUE,"IMRAK 1400 42U 1200x800";"IMRAK15x6x4",#N/A,TRUE,"IMRAK 400 15U FRONT SECTION"}</definedName>
    <definedName name="_______App2" localSheetId="7" hidden="1">{"IMRAK42x8x8",#N/A,TRUE,"IMRAK 1400 42U 800X800";"IMRAK32x6x6",#N/A,TRUE,"IMRAK 1400 32U 600x600";"IMRAK42x12x8",#N/A,TRUE,"IMRAK 1400 42U 1200x800";"IMRAK15x6x4",#N/A,TRUE,"IMRAK 400 15U FRONT SECTION"}</definedName>
    <definedName name="_______App2" localSheetId="38" hidden="1">{"IMRAK42x8x8",#N/A,TRUE,"IMRAK 1400 42U 800X800";"IMRAK32x6x6",#N/A,TRUE,"IMRAK 1400 32U 600x600";"IMRAK42x12x8",#N/A,TRUE,"IMRAK 1400 42U 1200x800";"IMRAK15x6x4",#N/A,TRUE,"IMRAK 400 15U FRONT SECTION"}</definedName>
    <definedName name="_______App2" hidden="1">{"IMRAK42x8x8",#N/A,TRUE,"IMRAK 1400 42U 800X800";"IMRAK32x6x6",#N/A,TRUE,"IMRAK 1400 32U 600x600";"IMRAK42x12x8",#N/A,TRUE,"IMRAK 1400 42U 1200x800";"IMRAK15x6x4",#N/A,TRUE,"IMRAK 400 15U FRONT SECTION"}</definedName>
    <definedName name="_______E65560" localSheetId="25">[1]График!#REF!</definedName>
    <definedName name="______a2" localSheetId="16">#REF!</definedName>
    <definedName name="______a2" localSheetId="25">#REF!</definedName>
    <definedName name="______a2" localSheetId="18">#REF!</definedName>
    <definedName name="______A65560" localSheetId="16">[1]График!#REF!</definedName>
    <definedName name="______A65560" localSheetId="25">[1]График!#REF!</definedName>
    <definedName name="______A65560" localSheetId="18">[1]График!#REF!</definedName>
    <definedName name="______App2" localSheetId="36" hidden="1">{"IMRAK42x8x8",#N/A,TRUE,"IMRAK 1400 42U 800X800";"IMRAK32x6x6",#N/A,TRUE,"IMRAK 1400 32U 600x600";"IMRAK42x12x8",#N/A,TRUE,"IMRAK 1400 42U 1200x800";"IMRAK15x6x4",#N/A,TRUE,"IMRAK 400 15U FRONT SECTION"}</definedName>
    <definedName name="______App2" localSheetId="40" hidden="1">{"IMRAK42x8x8",#N/A,TRUE,"IMRAK 1400 42U 800X800";"IMRAK32x6x6",#N/A,TRUE,"IMRAK 1400 32U 600x600";"IMRAK42x12x8",#N/A,TRUE,"IMRAK 1400 42U 1200x800";"IMRAK15x6x4",#N/A,TRUE,"IMRAK 400 15U FRONT SECTION"}</definedName>
    <definedName name="______App2" localSheetId="6" hidden="1">{"IMRAK42x8x8",#N/A,TRUE,"IMRAK 1400 42U 800X800";"IMRAK32x6x6",#N/A,TRUE,"IMRAK 1400 32U 600x600";"IMRAK42x12x8",#N/A,TRUE,"IMRAK 1400 42U 1200x800";"IMRAK15x6x4",#N/A,TRUE,"IMRAK 400 15U FRONT SECTION"}</definedName>
    <definedName name="______App2" localSheetId="7" hidden="1">{"IMRAK42x8x8",#N/A,TRUE,"IMRAK 1400 42U 800X800";"IMRAK32x6x6",#N/A,TRUE,"IMRAK 1400 32U 600x600";"IMRAK42x12x8",#N/A,TRUE,"IMRAK 1400 42U 1200x800";"IMRAK15x6x4",#N/A,TRUE,"IMRAK 400 15U FRONT SECTION"}</definedName>
    <definedName name="______App2" localSheetId="38" hidden="1">{"IMRAK42x8x8",#N/A,TRUE,"IMRAK 1400 42U 800X800";"IMRAK32x6x6",#N/A,TRUE,"IMRAK 1400 32U 600x600";"IMRAK42x12x8",#N/A,TRUE,"IMRAK 1400 42U 1200x800";"IMRAK15x6x4",#N/A,TRUE,"IMRAK 400 15U FRONT SECTION"}</definedName>
    <definedName name="______App2" hidden="1">{"IMRAK42x8x8",#N/A,TRUE,"IMRAK 1400 42U 800X800";"IMRAK32x6x6",#N/A,TRUE,"IMRAK 1400 32U 600x600";"IMRAK42x12x8",#N/A,TRUE,"IMRAK 1400 42U 1200x800";"IMRAK15x6x4",#N/A,TRUE,"IMRAK 400 15U FRONT SECTION"}</definedName>
    <definedName name="______E65560" localSheetId="25">[1]График!#REF!</definedName>
    <definedName name="______xlnm.Primt_Area_3" localSheetId="16">#REF!</definedName>
    <definedName name="______xlnm.Primt_Area_3" localSheetId="25">#REF!</definedName>
    <definedName name="______xlnm.Primt_Area_3" localSheetId="18">#REF!</definedName>
    <definedName name="______xlnm.Print_Area_1" localSheetId="25">#REF!</definedName>
    <definedName name="______xlnm.Print_Area_1" localSheetId="18">#REF!</definedName>
    <definedName name="______xlnm.Print_Area_2" localSheetId="25">#REF!</definedName>
    <definedName name="______xlnm.Print_Area_2" localSheetId="18">#REF!</definedName>
    <definedName name="______xlnm.Print_Area_3" localSheetId="25">#REF!</definedName>
    <definedName name="______xlnm.Print_Area_4" localSheetId="25">#REF!</definedName>
    <definedName name="______xlnm.Print_Area_5" localSheetId="25">#REF!</definedName>
    <definedName name="______xlnm.Print_Area_6" localSheetId="25">#REF!</definedName>
    <definedName name="_____a2" localSheetId="25">#REF!</definedName>
    <definedName name="_____A65560" localSheetId="25">[1]График!#REF!</definedName>
    <definedName name="_____App2" localSheetId="36" hidden="1">{"IMRAK42x8x8",#N/A,TRUE,"IMRAK 1400 42U 800X800";"IMRAK32x6x6",#N/A,TRUE,"IMRAK 1400 32U 600x600";"IMRAK42x12x8",#N/A,TRUE,"IMRAK 1400 42U 1200x800";"IMRAK15x6x4",#N/A,TRUE,"IMRAK 400 15U FRONT SECTION"}</definedName>
    <definedName name="_____App2" localSheetId="40" hidden="1">{"IMRAK42x8x8",#N/A,TRUE,"IMRAK 1400 42U 800X800";"IMRAK32x6x6",#N/A,TRUE,"IMRAK 1400 32U 600x600";"IMRAK42x12x8",#N/A,TRUE,"IMRAK 1400 42U 1200x800";"IMRAK15x6x4",#N/A,TRUE,"IMRAK 400 15U FRONT SECTION"}</definedName>
    <definedName name="_____App2" localSheetId="6" hidden="1">{"IMRAK42x8x8",#N/A,TRUE,"IMRAK 1400 42U 800X800";"IMRAK32x6x6",#N/A,TRUE,"IMRAK 1400 32U 600x600";"IMRAK42x12x8",#N/A,TRUE,"IMRAK 1400 42U 1200x800";"IMRAK15x6x4",#N/A,TRUE,"IMRAK 400 15U FRONT SECTION"}</definedName>
    <definedName name="_____App2" localSheetId="7" hidden="1">{"IMRAK42x8x8",#N/A,TRUE,"IMRAK 1400 42U 800X800";"IMRAK32x6x6",#N/A,TRUE,"IMRAK 1400 32U 600x600";"IMRAK42x12x8",#N/A,TRUE,"IMRAK 1400 42U 1200x800";"IMRAK15x6x4",#N/A,TRUE,"IMRAK 400 15U FRONT SECTION"}</definedName>
    <definedName name="_____App2" localSheetId="38" hidden="1">{"IMRAK42x8x8",#N/A,TRUE,"IMRAK 1400 42U 800X800";"IMRAK32x6x6",#N/A,TRUE,"IMRAK 1400 32U 600x600";"IMRAK42x12x8",#N/A,TRUE,"IMRAK 1400 42U 1200x800";"IMRAK15x6x4",#N/A,TRUE,"IMRAK 400 15U FRONT SECTION"}</definedName>
    <definedName name="_____App2" hidden="1">{"IMRAK42x8x8",#N/A,TRUE,"IMRAK 1400 42U 800X800";"IMRAK32x6x6",#N/A,TRUE,"IMRAK 1400 32U 600x600";"IMRAK42x12x8",#N/A,TRUE,"IMRAK 1400 42U 1200x800";"IMRAK15x6x4",#N/A,TRUE,"IMRAK 400 15U FRONT SECTION"}</definedName>
    <definedName name="_____E65560" localSheetId="25">[1]График!#REF!</definedName>
    <definedName name="_____xlnm.Print_Area_1" localSheetId="16">#REF!</definedName>
    <definedName name="_____xlnm.Print_Area_1" localSheetId="25">#REF!</definedName>
    <definedName name="_____xlnm.Print_Area_1" localSheetId="18">#REF!</definedName>
    <definedName name="_____xlnm.Print_Area_2" localSheetId="25">#REF!</definedName>
    <definedName name="_____xlnm.Print_Area_2" localSheetId="18">#REF!</definedName>
    <definedName name="_____xlnm.Print_Area_3" localSheetId="25">#REF!</definedName>
    <definedName name="_____xlnm.Print_Area_3" localSheetId="18">#REF!</definedName>
    <definedName name="_____xlnm.Print_Area_4" localSheetId="25">#REF!</definedName>
    <definedName name="_____xlnm.Print_Area_5" localSheetId="25">#REF!</definedName>
    <definedName name="_____xlnm.Print_Area_6" localSheetId="25">#REF!</definedName>
    <definedName name="____a2" localSheetId="25">#REF!</definedName>
    <definedName name="____A65560" localSheetId="25">[1]График!#REF!</definedName>
    <definedName name="____App2" localSheetId="36" hidden="1">{"IMRAK42x8x8",#N/A,TRUE,"IMRAK 1400 42U 800X800";"IMRAK32x6x6",#N/A,TRUE,"IMRAK 1400 32U 600x600";"IMRAK42x12x8",#N/A,TRUE,"IMRAK 1400 42U 1200x800";"IMRAK15x6x4",#N/A,TRUE,"IMRAK 400 15U FRONT SECTION"}</definedName>
    <definedName name="____App2" localSheetId="40" hidden="1">{"IMRAK42x8x8",#N/A,TRUE,"IMRAK 1400 42U 800X800";"IMRAK32x6x6",#N/A,TRUE,"IMRAK 1400 32U 600x600";"IMRAK42x12x8",#N/A,TRUE,"IMRAK 1400 42U 1200x800";"IMRAK15x6x4",#N/A,TRUE,"IMRAK 400 15U FRONT SECTION"}</definedName>
    <definedName name="____App2" localSheetId="6" hidden="1">{"IMRAK42x8x8",#N/A,TRUE,"IMRAK 1400 42U 800X800";"IMRAK32x6x6",#N/A,TRUE,"IMRAK 1400 32U 600x600";"IMRAK42x12x8",#N/A,TRUE,"IMRAK 1400 42U 1200x800";"IMRAK15x6x4",#N/A,TRUE,"IMRAK 400 15U FRONT SECTION"}</definedName>
    <definedName name="____App2" localSheetId="7" hidden="1">{"IMRAK42x8x8",#N/A,TRUE,"IMRAK 1400 42U 800X800";"IMRAK32x6x6",#N/A,TRUE,"IMRAK 1400 32U 600x600";"IMRAK42x12x8",#N/A,TRUE,"IMRAK 1400 42U 1200x800";"IMRAK15x6x4",#N/A,TRUE,"IMRAK 400 15U FRONT SECTION"}</definedName>
    <definedName name="____App2" localSheetId="38" hidden="1">{"IMRAK42x8x8",#N/A,TRUE,"IMRAK 1400 42U 800X800";"IMRAK32x6x6",#N/A,TRUE,"IMRAK 1400 32U 600x600";"IMRAK42x12x8",#N/A,TRUE,"IMRAK 1400 42U 1200x800";"IMRAK15x6x4",#N/A,TRUE,"IMRAK 400 15U FRONT SECTION"}</definedName>
    <definedName name="____App2" hidden="1">{"IMRAK42x8x8",#N/A,TRUE,"IMRAK 1400 42U 800X800";"IMRAK32x6x6",#N/A,TRUE,"IMRAK 1400 32U 600x600";"IMRAK42x12x8",#N/A,TRUE,"IMRAK 1400 42U 1200x800";"IMRAK15x6x4",#N/A,TRUE,"IMRAK 400 15U FRONT SECTION"}</definedName>
    <definedName name="____E65560" localSheetId="25">[1]График!#REF!</definedName>
    <definedName name="____xlnm.Primt_Area_3" localSheetId="16">#REF!</definedName>
    <definedName name="____xlnm.Primt_Area_3" localSheetId="25">#REF!</definedName>
    <definedName name="____xlnm.Primt_Area_3" localSheetId="18">#REF!</definedName>
    <definedName name="____xlnm.Print_Area_1" localSheetId="25">#REF!</definedName>
    <definedName name="____xlnm.Print_Area_1" localSheetId="18">#REF!</definedName>
    <definedName name="____xlnm.Print_Area_2" localSheetId="25">#REF!</definedName>
    <definedName name="____xlnm.Print_Area_2" localSheetId="18">#REF!</definedName>
    <definedName name="____xlnm.Print_Area_3" localSheetId="25">#REF!</definedName>
    <definedName name="____xlnm.Print_Area_4" localSheetId="25">#REF!</definedName>
    <definedName name="____xlnm.Print_Area_5" localSheetId="25">#REF!</definedName>
    <definedName name="____xlnm.Print_Area_6" localSheetId="25">#REF!</definedName>
    <definedName name="___a2" localSheetId="25">#REF!</definedName>
    <definedName name="___A65560" localSheetId="25">[1]График!#REF!</definedName>
    <definedName name="___App2" localSheetId="36" hidden="1">{"IMRAK42x8x8",#N/A,TRUE,"IMRAK 1400 42U 800X800";"IMRAK32x6x6",#N/A,TRUE,"IMRAK 1400 32U 600x600";"IMRAK42x12x8",#N/A,TRUE,"IMRAK 1400 42U 1200x800";"IMRAK15x6x4",#N/A,TRUE,"IMRAK 400 15U FRONT SECTION"}</definedName>
    <definedName name="___App2" localSheetId="40" hidden="1">{"IMRAK42x8x8",#N/A,TRUE,"IMRAK 1400 42U 800X800";"IMRAK32x6x6",#N/A,TRUE,"IMRAK 1400 32U 600x600";"IMRAK42x12x8",#N/A,TRUE,"IMRAK 1400 42U 1200x800";"IMRAK15x6x4",#N/A,TRUE,"IMRAK 400 15U FRONT SECTION"}</definedName>
    <definedName name="___App2" localSheetId="6" hidden="1">{"IMRAK42x8x8",#N/A,TRUE,"IMRAK 1400 42U 800X800";"IMRAK32x6x6",#N/A,TRUE,"IMRAK 1400 32U 600x600";"IMRAK42x12x8",#N/A,TRUE,"IMRAK 1400 42U 1200x800";"IMRAK15x6x4",#N/A,TRUE,"IMRAK 400 15U FRONT SECTION"}</definedName>
    <definedName name="___App2" localSheetId="7" hidden="1">{"IMRAK42x8x8",#N/A,TRUE,"IMRAK 1400 42U 800X800";"IMRAK32x6x6",#N/A,TRUE,"IMRAK 1400 32U 600x600";"IMRAK42x12x8",#N/A,TRUE,"IMRAK 1400 42U 1200x800";"IMRAK15x6x4",#N/A,TRUE,"IMRAK 400 15U FRONT SECTION"}</definedName>
    <definedName name="___App2" localSheetId="38" hidden="1">{"IMRAK42x8x8",#N/A,TRUE,"IMRAK 1400 42U 800X800";"IMRAK32x6x6",#N/A,TRUE,"IMRAK 1400 32U 600x600";"IMRAK42x12x8",#N/A,TRUE,"IMRAK 1400 42U 1200x800";"IMRAK15x6x4",#N/A,TRUE,"IMRAK 400 15U FRONT SECTION"}</definedName>
    <definedName name="___App2" hidden="1">{"IMRAK42x8x8",#N/A,TRUE,"IMRAK 1400 42U 800X800";"IMRAK32x6x6",#N/A,TRUE,"IMRAK 1400 32U 600x600";"IMRAK42x12x8",#N/A,TRUE,"IMRAK 1400 42U 1200x800";"IMRAK15x6x4",#N/A,TRUE,"IMRAK 400 15U FRONT SECTION"}</definedName>
    <definedName name="___E65560" localSheetId="25">[1]График!#REF!</definedName>
    <definedName name="___nbhfty" localSheetId="40">#REF!</definedName>
    <definedName name="___xlfn.BAHTTEXT" hidden="1">#NAME?</definedName>
    <definedName name="___xlnm.Primt_Area_3" localSheetId="16">#REF!</definedName>
    <definedName name="___xlnm.Primt_Area_3" localSheetId="25">#REF!</definedName>
    <definedName name="___xlnm.Primt_Area_3" localSheetId="18">#REF!</definedName>
    <definedName name="___xlnm.Print_Area_1" localSheetId="25">#REF!</definedName>
    <definedName name="___xlnm.Print_Area_1" localSheetId="18">#REF!</definedName>
    <definedName name="___xlnm.Print_Area_2" localSheetId="25">#REF!</definedName>
    <definedName name="___xlnm.Print_Area_2" localSheetId="18">#REF!</definedName>
    <definedName name="___xlnm.Print_Area_3" localSheetId="25">#REF!</definedName>
    <definedName name="___xlnm.Print_Area_4" localSheetId="25">#REF!</definedName>
    <definedName name="___xlnm.Print_Area_5" localSheetId="25">#REF!</definedName>
    <definedName name="___xlnm.Print_Area_6" localSheetId="25">#REF!</definedName>
    <definedName name="__1___Excel_BuiltIn_Print_Area_3_1" localSheetId="25">#REF!</definedName>
    <definedName name="__2__Excel_BuiltIn_Print_Area_3_1" localSheetId="25">#REF!</definedName>
    <definedName name="__a2" localSheetId="25">#REF!</definedName>
    <definedName name="__A65560" localSheetId="25">[1]График!#REF!</definedName>
    <definedName name="__App2" localSheetId="36" hidden="1">{"IMRAK42x8x8",#N/A,TRUE,"IMRAK 1400 42U 800X800";"IMRAK32x6x6",#N/A,TRUE,"IMRAK 1400 32U 600x600";"IMRAK42x12x8",#N/A,TRUE,"IMRAK 1400 42U 1200x800";"IMRAK15x6x4",#N/A,TRUE,"IMRAK 400 15U FRONT SECTION"}</definedName>
    <definedName name="__App2" localSheetId="40" hidden="1">{"IMRAK42x8x8",#N/A,TRUE,"IMRAK 1400 42U 800X800";"IMRAK32x6x6",#N/A,TRUE,"IMRAK 1400 32U 600x600";"IMRAK42x12x8",#N/A,TRUE,"IMRAK 1400 42U 1200x800";"IMRAK15x6x4",#N/A,TRUE,"IMRAK 400 15U FRONT SECTION"}</definedName>
    <definedName name="__App2" localSheetId="6" hidden="1">{"IMRAK42x8x8",#N/A,TRUE,"IMRAK 1400 42U 800X800";"IMRAK32x6x6",#N/A,TRUE,"IMRAK 1400 32U 600x600";"IMRAK42x12x8",#N/A,TRUE,"IMRAK 1400 42U 1200x800";"IMRAK15x6x4",#N/A,TRUE,"IMRAK 400 15U FRONT SECTION"}</definedName>
    <definedName name="__App2" localSheetId="7" hidden="1">{"IMRAK42x8x8",#N/A,TRUE,"IMRAK 1400 42U 800X800";"IMRAK32x6x6",#N/A,TRUE,"IMRAK 1400 32U 600x600";"IMRAK42x12x8",#N/A,TRUE,"IMRAK 1400 42U 1200x800";"IMRAK15x6x4",#N/A,TRUE,"IMRAK 400 15U FRONT SECTION"}</definedName>
    <definedName name="__App2" localSheetId="38" hidden="1">{"IMRAK42x8x8",#N/A,TRUE,"IMRAK 1400 42U 800X800";"IMRAK32x6x6",#N/A,TRUE,"IMRAK 1400 32U 600x600";"IMRAK42x12x8",#N/A,TRUE,"IMRAK 1400 42U 1200x800";"IMRAK15x6x4",#N/A,TRUE,"IMRAK 400 15U FRONT SECTION"}</definedName>
    <definedName name="__App2" hidden="1">{"IMRAK42x8x8",#N/A,TRUE,"IMRAK 1400 42U 800X800";"IMRAK32x6x6",#N/A,TRUE,"IMRAK 1400 32U 600x600";"IMRAK42x12x8",#N/A,TRUE,"IMRAK 1400 42U 1200x800";"IMRAK15x6x4",#N/A,TRUE,"IMRAK 400 15U FRONT SECTION"}</definedName>
    <definedName name="__E65560" localSheetId="25">[1]График!#REF!</definedName>
    <definedName name="__xlfn.BAHTTEXT" hidden="1">#NAME?</definedName>
    <definedName name="__xlnm.Primt_Area_3" localSheetId="16">#REF!</definedName>
    <definedName name="__xlnm.Primt_Area_3" localSheetId="25">#REF!</definedName>
    <definedName name="__xlnm.Primt_Area_3" localSheetId="18">#REF!</definedName>
    <definedName name="__xlnm.Print_Area_1" localSheetId="25">#REF!</definedName>
    <definedName name="__xlnm.Print_Area_1" localSheetId="18">#REF!</definedName>
    <definedName name="__xlnm.Print_Area_2" localSheetId="25">#REF!</definedName>
    <definedName name="__xlnm.Print_Area_2" localSheetId="18">#REF!</definedName>
    <definedName name="__xlnm.Print_Area_3" localSheetId="25">#REF!</definedName>
    <definedName name="__xlnm.Print_Area_4" localSheetId="25">#REF!</definedName>
    <definedName name="__xlnm.Print_Area_5" localSheetId="25">#REF!</definedName>
    <definedName name="__xlnm.Print_Area_6" localSheetId="25">#REF!</definedName>
    <definedName name="_01" localSheetId="36" hidden="1">{"IMRAK42x8x8",#N/A,TRUE,"IMRAK 1400 42U 800X800";"IMRAK32x6x6",#N/A,TRUE,"IMRAK 1400 32U 600x600";"IMRAK42x12x8",#N/A,TRUE,"IMRAK 1400 42U 1200x800";"IMRAK15x6x4",#N/A,TRUE,"IMRAK 400 15U FRONT SECTION"}</definedName>
    <definedName name="_01" localSheetId="40" hidden="1">{"IMRAK42x8x8",#N/A,TRUE,"IMRAK 1400 42U 800X800";"IMRAK32x6x6",#N/A,TRUE,"IMRAK 1400 32U 600x600";"IMRAK42x12x8",#N/A,TRUE,"IMRAK 1400 42U 1200x800";"IMRAK15x6x4",#N/A,TRUE,"IMRAK 400 15U FRONT SECTION"}</definedName>
    <definedName name="_01" localSheetId="6" hidden="1">{"IMRAK42x8x8",#N/A,TRUE,"IMRAK 1400 42U 800X800";"IMRAK32x6x6",#N/A,TRUE,"IMRAK 1400 32U 600x600";"IMRAK42x12x8",#N/A,TRUE,"IMRAK 1400 42U 1200x800";"IMRAK15x6x4",#N/A,TRUE,"IMRAK 400 15U FRONT SECTION"}</definedName>
    <definedName name="_01" localSheetId="7" hidden="1">{"IMRAK42x8x8",#N/A,TRUE,"IMRAK 1400 42U 800X800";"IMRAK32x6x6",#N/A,TRUE,"IMRAK 1400 32U 600x600";"IMRAK42x12x8",#N/A,TRUE,"IMRAK 1400 42U 1200x800";"IMRAK15x6x4",#N/A,TRUE,"IMRAK 400 15U FRONT SECTION"}</definedName>
    <definedName name="_01" localSheetId="38" hidden="1">{"IMRAK42x8x8",#N/A,TRUE,"IMRAK 1400 42U 800X800";"IMRAK32x6x6",#N/A,TRUE,"IMRAK 1400 32U 600x600";"IMRAK42x12x8",#N/A,TRUE,"IMRAK 1400 42U 1200x800";"IMRAK15x6x4",#N/A,TRUE,"IMRAK 400 15U FRONT SECTION"}</definedName>
    <definedName name="_01" hidden="1">{"IMRAK42x8x8",#N/A,TRUE,"IMRAK 1400 42U 800X800";"IMRAK32x6x6",#N/A,TRUE,"IMRAK 1400 32U 600x600";"IMRAK42x12x8",#N/A,TRUE,"IMRAK 1400 42U 1200x800";"IMRAK15x6x4",#N/A,TRUE,"IMRAK 400 15U FRONT SECTION"}</definedName>
    <definedName name="_02" localSheetId="36" hidden="1">{"IMRAK42x8x8",#N/A,TRUE,"IMRAK 1400 42U 800X800";"IMRAK32x6x6",#N/A,TRUE,"IMRAK 1400 32U 600x600";"IMRAK42x12x8",#N/A,TRUE,"IMRAK 1400 42U 1200x800";"IMRAK15x6x4",#N/A,TRUE,"IMRAK 400 15U FRONT SECTION"}</definedName>
    <definedName name="_02" localSheetId="40" hidden="1">{"IMRAK42x8x8",#N/A,TRUE,"IMRAK 1400 42U 800X800";"IMRAK32x6x6",#N/A,TRUE,"IMRAK 1400 32U 600x600";"IMRAK42x12x8",#N/A,TRUE,"IMRAK 1400 42U 1200x800";"IMRAK15x6x4",#N/A,TRUE,"IMRAK 400 15U FRONT SECTION"}</definedName>
    <definedName name="_02" localSheetId="6" hidden="1">{"IMRAK42x8x8",#N/A,TRUE,"IMRAK 1400 42U 800X800";"IMRAK32x6x6",#N/A,TRUE,"IMRAK 1400 32U 600x600";"IMRAK42x12x8",#N/A,TRUE,"IMRAK 1400 42U 1200x800";"IMRAK15x6x4",#N/A,TRUE,"IMRAK 400 15U FRONT SECTION"}</definedName>
    <definedName name="_02" localSheetId="7" hidden="1">{"IMRAK42x8x8",#N/A,TRUE,"IMRAK 1400 42U 800X800";"IMRAK32x6x6",#N/A,TRUE,"IMRAK 1400 32U 600x600";"IMRAK42x12x8",#N/A,TRUE,"IMRAK 1400 42U 1200x800";"IMRAK15x6x4",#N/A,TRUE,"IMRAK 400 15U FRONT SECTION"}</definedName>
    <definedName name="_02" localSheetId="38" hidden="1">{"IMRAK42x8x8",#N/A,TRUE,"IMRAK 1400 42U 800X800";"IMRAK32x6x6",#N/A,TRUE,"IMRAK 1400 32U 600x600";"IMRAK42x12x8",#N/A,TRUE,"IMRAK 1400 42U 1200x800";"IMRAK15x6x4",#N/A,TRUE,"IMRAK 400 15U FRONT SECTION"}</definedName>
    <definedName name="_02" hidden="1">{"IMRAK42x8x8",#N/A,TRUE,"IMRAK 1400 42U 800X800";"IMRAK32x6x6",#N/A,TRUE,"IMRAK 1400 32U 600x600";"IMRAK42x12x8",#N/A,TRUE,"IMRAK 1400 42U 1200x800";"IMRAK15x6x4",#N/A,TRUE,"IMRAK 400 15U FRONT SECTION"}</definedName>
    <definedName name="_02121" localSheetId="16">#REF!</definedName>
    <definedName name="_02121" localSheetId="25">#REF!</definedName>
    <definedName name="_03" localSheetId="36" hidden="1">{"IMRAK42x8x8",#N/A,TRUE,"IMRAK 1400 42U 800X800";"IMRAK32x6x6",#N/A,TRUE,"IMRAK 1400 32U 600x600";"IMRAK42x12x8",#N/A,TRUE,"IMRAK 1400 42U 1200x800";"IMRAK15x6x4",#N/A,TRUE,"IMRAK 400 15U FRONT SECTION"}</definedName>
    <definedName name="_03" localSheetId="40" hidden="1">{"IMRAK42x8x8",#N/A,TRUE,"IMRAK 1400 42U 800X800";"IMRAK32x6x6",#N/A,TRUE,"IMRAK 1400 32U 600x600";"IMRAK42x12x8",#N/A,TRUE,"IMRAK 1400 42U 1200x800";"IMRAK15x6x4",#N/A,TRUE,"IMRAK 400 15U FRONT SECTION"}</definedName>
    <definedName name="_03" localSheetId="6" hidden="1">{"IMRAK42x8x8",#N/A,TRUE,"IMRAK 1400 42U 800X800";"IMRAK32x6x6",#N/A,TRUE,"IMRAK 1400 32U 600x600";"IMRAK42x12x8",#N/A,TRUE,"IMRAK 1400 42U 1200x800";"IMRAK15x6x4",#N/A,TRUE,"IMRAK 400 15U FRONT SECTION"}</definedName>
    <definedName name="_03" localSheetId="7" hidden="1">{"IMRAK42x8x8",#N/A,TRUE,"IMRAK 1400 42U 800X800";"IMRAK32x6x6",#N/A,TRUE,"IMRAK 1400 32U 600x600";"IMRAK42x12x8",#N/A,TRUE,"IMRAK 1400 42U 1200x800";"IMRAK15x6x4",#N/A,TRUE,"IMRAK 400 15U FRONT SECTION"}</definedName>
    <definedName name="_03" localSheetId="38" hidden="1">{"IMRAK42x8x8",#N/A,TRUE,"IMRAK 1400 42U 800X800";"IMRAK32x6x6",#N/A,TRUE,"IMRAK 1400 32U 600x600";"IMRAK42x12x8",#N/A,TRUE,"IMRAK 1400 42U 1200x800";"IMRAK15x6x4",#N/A,TRUE,"IMRAK 400 15U FRONT SECTION"}</definedName>
    <definedName name="_03" hidden="1">{"IMRAK42x8x8",#N/A,TRUE,"IMRAK 1400 42U 800X800";"IMRAK32x6x6",#N/A,TRUE,"IMRAK 1400 32U 600x600";"IMRAK42x12x8",#N/A,TRUE,"IMRAK 1400 42U 1200x800";"IMRAK15x6x4",#N/A,TRUE,"IMRAK 400 15U FRONT SECTION"}</definedName>
    <definedName name="_1" localSheetId="16">#REF!</definedName>
    <definedName name="_1" localSheetId="25">#REF!</definedName>
    <definedName name="_1._Выберите_вид_работ" localSheetId="25">#REF!</definedName>
    <definedName name="_1___Excel_BuiltIn_Print_Area_3_1" localSheetId="25">#REF!</definedName>
    <definedName name="_111" localSheetId="36" hidden="1">{"IMRAK42x8x8",#N/A,TRUE,"IMRAK 1400 42U 800X800";"IMRAK32x6x6",#N/A,TRUE,"IMRAK 1400 32U 600x600";"IMRAK42x12x8",#N/A,TRUE,"IMRAK 1400 42U 1200x800";"IMRAK15x6x4",#N/A,TRUE,"IMRAK 400 15U FRONT SECTION"}</definedName>
    <definedName name="_111" localSheetId="40" hidden="1">{"IMRAK42x8x8",#N/A,TRUE,"IMRAK 1400 42U 800X800";"IMRAK32x6x6",#N/A,TRUE,"IMRAK 1400 32U 600x600";"IMRAK42x12x8",#N/A,TRUE,"IMRAK 1400 42U 1200x800";"IMRAK15x6x4",#N/A,TRUE,"IMRAK 400 15U FRONT SECTION"}</definedName>
    <definedName name="_111" localSheetId="6" hidden="1">{"IMRAK42x8x8",#N/A,TRUE,"IMRAK 1400 42U 800X800";"IMRAK32x6x6",#N/A,TRUE,"IMRAK 1400 32U 600x600";"IMRAK42x12x8",#N/A,TRUE,"IMRAK 1400 42U 1200x800";"IMRAK15x6x4",#N/A,TRUE,"IMRAK 400 15U FRONT SECTION"}</definedName>
    <definedName name="_111" localSheetId="7" hidden="1">{"IMRAK42x8x8",#N/A,TRUE,"IMRAK 1400 42U 800X800";"IMRAK32x6x6",#N/A,TRUE,"IMRAK 1400 32U 600x600";"IMRAK42x12x8",#N/A,TRUE,"IMRAK 1400 42U 1200x800";"IMRAK15x6x4",#N/A,TRUE,"IMRAK 400 15U FRONT SECTION"}</definedName>
    <definedName name="_111" localSheetId="38" hidden="1">{"IMRAK42x8x8",#N/A,TRUE,"IMRAK 1400 42U 800X800";"IMRAK32x6x6",#N/A,TRUE,"IMRAK 1400 32U 600x600";"IMRAK42x12x8",#N/A,TRUE,"IMRAK 1400 42U 1200x800";"IMRAK15x6x4",#N/A,TRUE,"IMRAK 400 15U FRONT SECTION"}</definedName>
    <definedName name="_111" hidden="1">{"IMRAK42x8x8",#N/A,TRUE,"IMRAK 1400 42U 800X800";"IMRAK32x6x6",#N/A,TRUE,"IMRAK 1400 32U 600x600";"IMRAK42x12x8",#N/A,TRUE,"IMRAK 1400 42U 1200x800";"IMRAK15x6x4",#N/A,TRUE,"IMRAK 400 15U FRONT SECTION"}</definedName>
    <definedName name="_1234" localSheetId="40">#REF!</definedName>
    <definedName name="_12345" localSheetId="40">#REF!</definedName>
    <definedName name="_12Excel_BuiltIn_Print_Titles_2_1_1" localSheetId="25">#REF!</definedName>
    <definedName name="_1Excel_BuiltIn_Print_Area_1_1_1" localSheetId="25">#REF!</definedName>
    <definedName name="_1Excel_BuiltIn_Print_Area_3_1" localSheetId="25">#REF!</definedName>
    <definedName name="_2._Выберите_категорию_горных_пород_по_буримости" localSheetId="25">#REF!</definedName>
    <definedName name="_2__Excel_BuiltIn_Print_Area_3_1" localSheetId="25">#REF!</definedName>
    <definedName name="_2Excel_BuiltIn_Print_Area_1_1_1" localSheetId="25">#REF!</definedName>
    <definedName name="_2Excel_BuiltIn_Print_Area_3_1" localSheetId="25">#REF!</definedName>
    <definedName name="_2Excel_BuiltIn_Print_Titles_1_1_1" localSheetId="25">#REF!</definedName>
    <definedName name="_3Excel_BuiltIn_Print_Titles_2_1_1" localSheetId="25">#REF!</definedName>
    <definedName name="_3а._Выберите_диаметр_скважины" localSheetId="25">#REF!</definedName>
    <definedName name="_3б._Выберите_диаметр_скважины" localSheetId="25">#REF!</definedName>
    <definedName name="_3в._Выберите_диаметр_скважины" localSheetId="25">#REF!</definedName>
    <definedName name="_3г._Выберите_диаметр_скважины" localSheetId="25">#REF!</definedName>
    <definedName name="_3д._Выберите_диаметр_скважины" localSheetId="25">#REF!</definedName>
    <definedName name="_3е._Выберите_диаметр_скважины" localSheetId="25">#REF!</definedName>
    <definedName name="_3ж._Выберите_диаметр_скважины" localSheetId="25">#REF!</definedName>
    <definedName name="_3з._Выберите_диаметр_скважины" localSheetId="25">#REF!</definedName>
    <definedName name="_3и._Выберите_диаметр_скважины" localSheetId="25">#REF!</definedName>
    <definedName name="_3к._Выберите_диаметр_скважины" localSheetId="25">#REF!</definedName>
    <definedName name="_3л._Выберите_диаметр_скважины" localSheetId="25">#REF!</definedName>
    <definedName name="_3м._Выберите_диаметр_скважины" localSheetId="25">#REF!</definedName>
    <definedName name="_4Excel_BuiltIn_Print_Area_1_1_1" localSheetId="25">#REF!</definedName>
    <definedName name="_4Excel_BuiltIn_Print_Titles_1_1_1" localSheetId="25">#REF!</definedName>
    <definedName name="_6Excel_BuiltIn_Print_Titles_2_1_1" localSheetId="25">#REF!</definedName>
    <definedName name="_8Excel_BuiltIn_Print_Titles_1_1_1" localSheetId="25">#REF!</definedName>
    <definedName name="_a2" localSheetId="25">#REF!</definedName>
    <definedName name="_A65560" localSheetId="25">[1]График!#REF!</definedName>
    <definedName name="_aa" localSheetId="36" hidden="1">{"IMRAK42x8x8",#N/A,TRUE,"IMRAK 1400 42U 800X800";"IMRAK32x6x6",#N/A,TRUE,"IMRAK 1400 32U 600x600";"IMRAK42x12x8",#N/A,TRUE,"IMRAK 1400 42U 1200x800";"IMRAK15x6x4",#N/A,TRUE,"IMRAK 400 15U FRONT SECTION"}</definedName>
    <definedName name="_aa" localSheetId="40" hidden="1">{"IMRAK42x8x8",#N/A,TRUE,"IMRAK 1400 42U 800X800";"IMRAK32x6x6",#N/A,TRUE,"IMRAK 1400 32U 600x600";"IMRAK42x12x8",#N/A,TRUE,"IMRAK 1400 42U 1200x800";"IMRAK15x6x4",#N/A,TRUE,"IMRAK 400 15U FRONT SECTION"}</definedName>
    <definedName name="_aa" localSheetId="6" hidden="1">{"IMRAK42x8x8",#N/A,TRUE,"IMRAK 1400 42U 800X800";"IMRAK32x6x6",#N/A,TRUE,"IMRAK 1400 32U 600x600";"IMRAK42x12x8",#N/A,TRUE,"IMRAK 1400 42U 1200x800";"IMRAK15x6x4",#N/A,TRUE,"IMRAK 400 15U FRONT SECTION"}</definedName>
    <definedName name="_aa" localSheetId="7" hidden="1">{"IMRAK42x8x8",#N/A,TRUE,"IMRAK 1400 42U 800X800";"IMRAK32x6x6",#N/A,TRUE,"IMRAK 1400 32U 600x600";"IMRAK42x12x8",#N/A,TRUE,"IMRAK 1400 42U 1200x800";"IMRAK15x6x4",#N/A,TRUE,"IMRAK 400 15U FRONT SECTION"}</definedName>
    <definedName name="_aa" localSheetId="38" hidden="1">{"IMRAK42x8x8",#N/A,TRUE,"IMRAK 1400 42U 800X800";"IMRAK32x6x6",#N/A,TRUE,"IMRAK 1400 32U 600x600";"IMRAK42x12x8",#N/A,TRUE,"IMRAK 1400 42U 1200x800";"IMRAK15x6x4",#N/A,TRUE,"IMRAK 400 15U FRONT SECTION"}</definedName>
    <definedName name="_aa" hidden="1">{"IMRAK42x8x8",#N/A,TRUE,"IMRAK 1400 42U 800X800";"IMRAK32x6x6",#N/A,TRUE,"IMRAK 1400 32U 600x600";"IMRAK42x12x8",#N/A,TRUE,"IMRAK 1400 42U 1200x800";"IMRAK15x6x4",#N/A,TRUE,"IMRAK 400 15U FRONT SECTION"}</definedName>
    <definedName name="_App2" localSheetId="36" hidden="1">{"IMRAK42x8x8",#N/A,TRUE,"IMRAK 1400 42U 800X800";"IMRAK32x6x6",#N/A,TRUE,"IMRAK 1400 32U 600x600";"IMRAK42x12x8",#N/A,TRUE,"IMRAK 1400 42U 1200x800";"IMRAK15x6x4",#N/A,TRUE,"IMRAK 400 15U FRONT SECTION"}</definedName>
    <definedName name="_App2" localSheetId="40" hidden="1">{"IMRAK42x8x8",#N/A,TRUE,"IMRAK 1400 42U 800X800";"IMRAK32x6x6",#N/A,TRUE,"IMRAK 1400 32U 600x600";"IMRAK42x12x8",#N/A,TRUE,"IMRAK 1400 42U 1200x800";"IMRAK15x6x4",#N/A,TRUE,"IMRAK 400 15U FRONT SECTION"}</definedName>
    <definedName name="_App2" localSheetId="6" hidden="1">{"IMRAK42x8x8",#N/A,TRUE,"IMRAK 1400 42U 800X800";"IMRAK32x6x6",#N/A,TRUE,"IMRAK 1400 32U 600x600";"IMRAK42x12x8",#N/A,TRUE,"IMRAK 1400 42U 1200x800";"IMRAK15x6x4",#N/A,TRUE,"IMRAK 400 15U FRONT SECTION"}</definedName>
    <definedName name="_App2" localSheetId="7" hidden="1">{"IMRAK42x8x8",#N/A,TRUE,"IMRAK 1400 42U 800X800";"IMRAK32x6x6",#N/A,TRUE,"IMRAK 1400 32U 600x600";"IMRAK42x12x8",#N/A,TRUE,"IMRAK 1400 42U 1200x800";"IMRAK15x6x4",#N/A,TRUE,"IMRAK 400 15U FRONT SECTION"}</definedName>
    <definedName name="_App2" localSheetId="38" hidden="1">{"IMRAK42x8x8",#N/A,TRUE,"IMRAK 1400 42U 800X800";"IMRAK32x6x6",#N/A,TRUE,"IMRAK 1400 32U 600x600";"IMRAK42x12x8",#N/A,TRUE,"IMRAK 1400 42U 1200x800";"IMRAK15x6x4",#N/A,TRUE,"IMRAK 400 15U FRONT SECTION"}</definedName>
    <definedName name="_App2" hidden="1">{"IMRAK42x8x8",#N/A,TRUE,"IMRAK 1400 42U 800X800";"IMRAK32x6x6",#N/A,TRUE,"IMRAK 1400 32U 600x600";"IMRAK42x12x8",#N/A,TRUE,"IMRAK 1400 42U 1200x800";"IMRAK15x6x4",#N/A,TRUE,"IMRAK 400 15U FRONT SECTION"}</definedName>
    <definedName name="_App3" localSheetId="36" hidden="1">{"IMRAK42x8x8",#N/A,TRUE,"IMRAK 1400 42U 800X800";"IMRAK32x6x6",#N/A,TRUE,"IMRAK 1400 32U 600x600";"IMRAK42x12x8",#N/A,TRUE,"IMRAK 1400 42U 1200x800";"IMRAK15x6x4",#N/A,TRUE,"IMRAK 400 15U FRONT SECTION"}</definedName>
    <definedName name="_App3" localSheetId="40" hidden="1">{"IMRAK42x8x8",#N/A,TRUE,"IMRAK 1400 42U 800X800";"IMRAK32x6x6",#N/A,TRUE,"IMRAK 1400 32U 600x600";"IMRAK42x12x8",#N/A,TRUE,"IMRAK 1400 42U 1200x800";"IMRAK15x6x4",#N/A,TRUE,"IMRAK 400 15U FRONT SECTION"}</definedName>
    <definedName name="_App3" localSheetId="6" hidden="1">{"IMRAK42x8x8",#N/A,TRUE,"IMRAK 1400 42U 800X800";"IMRAK32x6x6",#N/A,TRUE,"IMRAK 1400 32U 600x600";"IMRAK42x12x8",#N/A,TRUE,"IMRAK 1400 42U 1200x800";"IMRAK15x6x4",#N/A,TRUE,"IMRAK 400 15U FRONT SECTION"}</definedName>
    <definedName name="_App3" localSheetId="7" hidden="1">{"IMRAK42x8x8",#N/A,TRUE,"IMRAK 1400 42U 800X800";"IMRAK32x6x6",#N/A,TRUE,"IMRAK 1400 32U 600x600";"IMRAK42x12x8",#N/A,TRUE,"IMRAK 1400 42U 1200x800";"IMRAK15x6x4",#N/A,TRUE,"IMRAK 400 15U FRONT SECTION"}</definedName>
    <definedName name="_App3" localSheetId="38" hidden="1">{"IMRAK42x8x8",#N/A,TRUE,"IMRAK 1400 42U 800X800";"IMRAK32x6x6",#N/A,TRUE,"IMRAK 1400 32U 600x600";"IMRAK42x12x8",#N/A,TRUE,"IMRAK 1400 42U 1200x800";"IMRAK15x6x4",#N/A,TRUE,"IMRAK 400 15U FRONT SECTION"}</definedName>
    <definedName name="_App3" hidden="1">{"IMRAK42x8x8",#N/A,TRUE,"IMRAK 1400 42U 800X800";"IMRAK32x6x6",#N/A,TRUE,"IMRAK 1400 32U 600x600";"IMRAK42x12x8",#N/A,TRUE,"IMRAK 1400 42U 1200x800";"IMRAK15x6x4",#N/A,TRUE,"IMRAK 400 15U FRONT SECTION"}</definedName>
    <definedName name="_AUTOEXEC" localSheetId="16">#REF!</definedName>
    <definedName name="_AUTOEXEC" localSheetId="25">#REF!</definedName>
    <definedName name="_AUTOEXEC" localSheetId="18">#REF!</definedName>
    <definedName name="_AUTOEXEC_1" localSheetId="25">#REF!</definedName>
    <definedName name="_AUTOEXEC_1" localSheetId="18">#REF!</definedName>
    <definedName name="_AUTOEXEC_1_1" localSheetId="16">[2]Смета!#REF!</definedName>
    <definedName name="_AUTOEXEC_1_1" localSheetId="25">[3]Смета!#REF!</definedName>
    <definedName name="_AUTOEXEC_1_1" localSheetId="18">[3]Смета!#REF!</definedName>
    <definedName name="_AUTOEXEC_2" localSheetId="16">#REF!</definedName>
    <definedName name="_AUTOEXEC_2" localSheetId="25">#REF!</definedName>
    <definedName name="_AUTOEXEC_2" localSheetId="18">#REF!</definedName>
    <definedName name="_E65560" localSheetId="25">[1]График!#REF!</definedName>
    <definedName name="_E65560" localSheetId="18">[1]График!#REF!</definedName>
    <definedName name="_gfjyhjmhg" localSheetId="40">#REF!</definedName>
    <definedName name="_inf2007" localSheetId="25">#REF!</definedName>
    <definedName name="_inf2007" localSheetId="18">#REF!</definedName>
    <definedName name="_inf2008" localSheetId="25">#REF!</definedName>
    <definedName name="_inf2008" localSheetId="18">#REF!</definedName>
    <definedName name="_inf2009" localSheetId="25">#REF!</definedName>
    <definedName name="_inf2009" localSheetId="18">#REF!</definedName>
    <definedName name="_inf2010" localSheetId="25">#REF!</definedName>
    <definedName name="_inf2011" localSheetId="25">#REF!</definedName>
    <definedName name="_inf2012" localSheetId="25">#REF!</definedName>
    <definedName name="_inf2013" localSheetId="25">#REF!</definedName>
    <definedName name="_inf2014" localSheetId="25">#REF!</definedName>
    <definedName name="_inf2015" localSheetId="25">#REF!</definedName>
    <definedName name="_k" localSheetId="25">#REF!</definedName>
    <definedName name="_k_1" localSheetId="25">#REF!</definedName>
    <definedName name="_k_1_1" localSheetId="16">[2]Смета!#REF!</definedName>
    <definedName name="_k_1_1" localSheetId="25">[3]Смета!#REF!</definedName>
    <definedName name="_k_2" localSheetId="16">#REF!</definedName>
    <definedName name="_k_2" localSheetId="25">#REF!</definedName>
    <definedName name="_k_2" localSheetId="18">#REF!</definedName>
    <definedName name="_m" localSheetId="25">#REF!</definedName>
    <definedName name="_m" localSheetId="18">#REF!</definedName>
    <definedName name="_m_1" localSheetId="25">#REF!</definedName>
    <definedName name="_m_1" localSheetId="18">#REF!</definedName>
    <definedName name="_m_1_1" localSheetId="16">[2]Смета!#REF!</definedName>
    <definedName name="_m_1_1" localSheetId="25">[3]Смета!#REF!</definedName>
    <definedName name="_m_1_1" localSheetId="18">[3]Смета!#REF!</definedName>
    <definedName name="_m_2" localSheetId="16">#REF!</definedName>
    <definedName name="_m_2" localSheetId="25">#REF!</definedName>
    <definedName name="_m_2" localSheetId="18">#REF!</definedName>
    <definedName name="_s" localSheetId="25">#REF!</definedName>
    <definedName name="_s" localSheetId="18">#REF!</definedName>
    <definedName name="_s_1" localSheetId="25">#REF!</definedName>
    <definedName name="_s_1" localSheetId="18">#REF!</definedName>
    <definedName name="_s_1_1" localSheetId="16">[2]Смета!#REF!</definedName>
    <definedName name="_s_1_1" localSheetId="25">[3]Смета!#REF!</definedName>
    <definedName name="_s_1_1" localSheetId="18">[3]Смета!#REF!</definedName>
    <definedName name="_s_2" localSheetId="16">#REF!</definedName>
    <definedName name="_s_2" localSheetId="25">#REF!</definedName>
    <definedName name="_s_2" localSheetId="18">#REF!</definedName>
    <definedName name="_z" localSheetId="25">#REF!</definedName>
    <definedName name="_z" localSheetId="18">#REF!</definedName>
    <definedName name="_z_1" localSheetId="25">#REF!</definedName>
    <definedName name="_z_1" localSheetId="18">#REF!</definedName>
    <definedName name="_z_1_1" localSheetId="16">[2]Смета!#REF!</definedName>
    <definedName name="_z_1_1" localSheetId="25">[3]Смета!#REF!</definedName>
    <definedName name="_z_1_1" localSheetId="18">[3]Смета!#REF!</definedName>
    <definedName name="_z_2" localSheetId="16">#REF!</definedName>
    <definedName name="_z_2" localSheetId="25">#REF!</definedName>
    <definedName name="_z_2" localSheetId="18">#REF!</definedName>
    <definedName name="_пар" localSheetId="40">#REF!</definedName>
    <definedName name="_про" localSheetId="40">#REF!</definedName>
    <definedName name="_рл" localSheetId="40">#REF!</definedName>
    <definedName name="_xlnm._FilterDatabase" localSheetId="32" hidden="1">ВОР!$A$7:$E$51</definedName>
    <definedName name="_xlnm._FilterDatabase" localSheetId="16" hidden="1">#REF!</definedName>
    <definedName name="_xlnm._FilterDatabase" localSheetId="36" hidden="1">#REF!</definedName>
    <definedName name="_xlnm._FilterDatabase" localSheetId="25" hidden="1">#REF!</definedName>
    <definedName name="_xlnm._FilterDatabase" localSheetId="40" hidden="1">#REF!</definedName>
    <definedName name="_xlnm._FilterDatabase" localSheetId="6" hidden="1">#REF!</definedName>
    <definedName name="_xlnm._FilterDatabase" localSheetId="7" hidden="1">#REF!</definedName>
    <definedName name="_xlnm._FilterDatabase" localSheetId="33" hidden="1">'НМЦК (ПИР+стройка) в работе'!$A$7:$AB$81</definedName>
    <definedName name="_xlnm._FilterDatabase" localSheetId="18" hidden="1">#REF!</definedName>
    <definedName name="_xlnm._FilterDatabase" localSheetId="38" hidden="1">#REF!</definedName>
    <definedName name="_xlnm._FilterDatabase" localSheetId="31" hidden="1">'Проект сметы контракта'!$A$6:$E$50</definedName>
    <definedName name="_xlnm._FilterDatabase" localSheetId="34" hidden="1">'Расчет КВЛ'!$A$7:$AB$112</definedName>
    <definedName name="_xlnm._FilterDatabase" hidden="1">#REF!</definedName>
    <definedName name="a" localSheetId="16" hidden="1">{#N/A,#N/A,TRUE,"Смета на пасс. обор. №1"}</definedName>
    <definedName name="a" localSheetId="36" hidden="1">{#N/A,#N/A,TRUE,"Смета на пасс. обор. №1"}</definedName>
    <definedName name="a" localSheetId="40" hidden="1">{#N/A,#N/A,TRUE,"Смета на пасс. обор. №1"}</definedName>
    <definedName name="a" localSheetId="30" hidden="1">{#N/A,#N/A,TRUE,"Смета на пасс. обор. №1"}</definedName>
    <definedName name="a" localSheetId="6" hidden="1">{#N/A,#N/A,TRUE,"Смета на пасс. обор. №1"}</definedName>
    <definedName name="a" localSheetId="7" hidden="1">{#N/A,#N/A,TRUE,"Смета на пасс. обор. №1"}</definedName>
    <definedName name="a" localSheetId="18" hidden="1">{#N/A,#N/A,TRUE,"Смета на пасс. обор. №1"}</definedName>
    <definedName name="a" localSheetId="38" hidden="1">{#N/A,#N/A,TRUE,"Смета на пасс. обор. №1"}</definedName>
    <definedName name="a" localSheetId="19" hidden="1">{#N/A,#N/A,TRUE,"Смета на пасс. обор. №1"}</definedName>
    <definedName name="a" hidden="1">{#N/A,#N/A,TRUE,"Смета на пасс. обор. №1"}</definedName>
    <definedName name="a_1" localSheetId="16" hidden="1">{#N/A,#N/A,TRUE,"Смета на пасс. обор. №1"}</definedName>
    <definedName name="a_1" localSheetId="36" hidden="1">{#N/A,#N/A,TRUE,"Смета на пасс. обор. №1"}</definedName>
    <definedName name="a_1" localSheetId="40" hidden="1">{#N/A,#N/A,TRUE,"Смета на пасс. обор. №1"}</definedName>
    <definedName name="a_1" localSheetId="30" hidden="1">{#N/A,#N/A,TRUE,"Смета на пасс. обор. №1"}</definedName>
    <definedName name="a_1" localSheetId="6" hidden="1">{#N/A,#N/A,TRUE,"Смета на пасс. обор. №1"}</definedName>
    <definedName name="a_1" localSheetId="7" hidden="1">{#N/A,#N/A,TRUE,"Смета на пасс. обор. №1"}</definedName>
    <definedName name="a_1" localSheetId="18" hidden="1">{#N/A,#N/A,TRUE,"Смета на пасс. обор. №1"}</definedName>
    <definedName name="a_1" localSheetId="38" hidden="1">{#N/A,#N/A,TRUE,"Смета на пасс. обор. №1"}</definedName>
    <definedName name="a_1" localSheetId="19" hidden="1">{#N/A,#N/A,TRUE,"Смета на пасс. обор. №1"}</definedName>
    <definedName name="a_1" hidden="1">{#N/A,#N/A,TRUE,"Смета на пасс. обор. №1"}</definedName>
    <definedName name="aaa" localSheetId="16">#REF!</definedName>
    <definedName name="aaa" localSheetId="25">#REF!</definedName>
    <definedName name="aaa" localSheetId="18">#REF!</definedName>
    <definedName name="ab" localSheetId="25">#REF!</definedName>
    <definedName name="ab" localSheetId="18">#REF!</definedName>
    <definedName name="Access_Button" hidden="1">"Активное_оборудование_Cabletron_Devices_Таблица1"</definedName>
    <definedName name="AccessDatabase" hidden="1">"C:\Мои документы\Благовещенск\Активное оборудование.mdb"</definedName>
    <definedName name="adadsasd" localSheetId="16">[4]топография!#REF!</definedName>
    <definedName name="adadsasd" localSheetId="25">[5]топография!#REF!</definedName>
    <definedName name="adadsasd" localSheetId="18">[5]топография!#REF!</definedName>
    <definedName name="as" localSheetId="16">#REF!</definedName>
    <definedName name="as" localSheetId="25">#REF!</definedName>
    <definedName name="as" localSheetId="18">#REF!</definedName>
    <definedName name="asd" localSheetId="25">#REF!</definedName>
    <definedName name="asd" localSheetId="18">#REF!</definedName>
    <definedName name="ave_height" localSheetId="25">#REF!</definedName>
    <definedName name="ave_height" localSheetId="18">#REF!</definedName>
    <definedName name="ave_hight" localSheetId="25">#REF!</definedName>
    <definedName name="Aрр1" localSheetId="36" hidden="1">{"IMRAK42x8x8",#N/A,TRUE,"IMRAK 1400 42U 800X800";"IMRAK32x6x6",#N/A,TRUE,"IMRAK 1400 32U 600x600";"IMRAK42x12x8",#N/A,TRUE,"IMRAK 1400 42U 1200x800";"IMRAK15x6x4",#N/A,TRUE,"IMRAK 400 15U FRONT SECTION"}</definedName>
    <definedName name="Aрр1" localSheetId="40" hidden="1">{"IMRAK42x8x8",#N/A,TRUE,"IMRAK 1400 42U 800X800";"IMRAK32x6x6",#N/A,TRUE,"IMRAK 1400 32U 600x600";"IMRAK42x12x8",#N/A,TRUE,"IMRAK 1400 42U 1200x800";"IMRAK15x6x4",#N/A,TRUE,"IMRAK 400 15U FRONT SECTION"}</definedName>
    <definedName name="Aрр1" localSheetId="6" hidden="1">{"IMRAK42x8x8",#N/A,TRUE,"IMRAK 1400 42U 800X800";"IMRAK32x6x6",#N/A,TRUE,"IMRAK 1400 32U 600x600";"IMRAK42x12x8",#N/A,TRUE,"IMRAK 1400 42U 1200x800";"IMRAK15x6x4",#N/A,TRUE,"IMRAK 400 15U FRONT SECTION"}</definedName>
    <definedName name="Aрр1" localSheetId="7" hidden="1">{"IMRAK42x8x8",#N/A,TRUE,"IMRAK 1400 42U 800X800";"IMRAK32x6x6",#N/A,TRUE,"IMRAK 1400 32U 600x600";"IMRAK42x12x8",#N/A,TRUE,"IMRAK 1400 42U 1200x800";"IMRAK15x6x4",#N/A,TRUE,"IMRAK 400 15U FRONT SECTION"}</definedName>
    <definedName name="Aрр1" localSheetId="38" hidden="1">{"IMRAK42x8x8",#N/A,TRUE,"IMRAK 1400 42U 800X800";"IMRAK32x6x6",#N/A,TRUE,"IMRAK 1400 32U 600x600";"IMRAK42x12x8",#N/A,TRUE,"IMRAK 1400 42U 1200x800";"IMRAK15x6x4",#N/A,TRUE,"IMRAK 400 15U FRONT SECTION"}</definedName>
    <definedName name="Aрр1" hidden="1">{"IMRAK42x8x8",#N/A,TRUE,"IMRAK 1400 42U 800X800";"IMRAK32x6x6",#N/A,TRUE,"IMRAK 1400 32U 600x600";"IMRAK42x12x8",#N/A,TRUE,"IMRAK 1400 42U 1200x800";"IMRAK15x6x4",#N/A,TRUE,"IMRAK 400 15U FRONT SECTION"}</definedName>
    <definedName name="b" localSheetId="16" hidden="1">{#N/A,#N/A,TRUE,"Смета на пасс. обор. №1"}</definedName>
    <definedName name="b" localSheetId="36" hidden="1">{#N/A,#N/A,TRUE,"Смета на пасс. обор. №1"}</definedName>
    <definedName name="b" localSheetId="40" hidden="1">{#N/A,#N/A,TRUE,"Смета на пасс. обор. №1"}</definedName>
    <definedName name="b" localSheetId="30" hidden="1">{#N/A,#N/A,TRUE,"Смета на пасс. обор. №1"}</definedName>
    <definedName name="b" localSheetId="6" hidden="1">{#N/A,#N/A,TRUE,"Смета на пасс. обор. №1"}</definedName>
    <definedName name="b" localSheetId="7" hidden="1">{#N/A,#N/A,TRUE,"Смета на пасс. обор. №1"}</definedName>
    <definedName name="b" localSheetId="18" hidden="1">{#N/A,#N/A,TRUE,"Смета на пасс. обор. №1"}</definedName>
    <definedName name="b" localSheetId="38" hidden="1">{#N/A,#N/A,TRUE,"Смета на пасс. обор. №1"}</definedName>
    <definedName name="b" localSheetId="19" hidden="1">{#N/A,#N/A,TRUE,"Смета на пасс. обор. №1"}</definedName>
    <definedName name="b" hidden="1">{#N/A,#N/A,TRUE,"Смета на пасс. обор. №1"}</definedName>
    <definedName name="b_1" localSheetId="16" hidden="1">{#N/A,#N/A,TRUE,"Смета на пасс. обор. №1"}</definedName>
    <definedName name="b_1" localSheetId="36" hidden="1">{#N/A,#N/A,TRUE,"Смета на пасс. обор. №1"}</definedName>
    <definedName name="b_1" localSheetId="40" hidden="1">{#N/A,#N/A,TRUE,"Смета на пасс. обор. №1"}</definedName>
    <definedName name="b_1" localSheetId="30" hidden="1">{#N/A,#N/A,TRUE,"Смета на пасс. обор. №1"}</definedName>
    <definedName name="b_1" localSheetId="6" hidden="1">{#N/A,#N/A,TRUE,"Смета на пасс. обор. №1"}</definedName>
    <definedName name="b_1" localSheetId="7" hidden="1">{#N/A,#N/A,TRUE,"Смета на пасс. обор. №1"}</definedName>
    <definedName name="b_1" localSheetId="18" hidden="1">{#N/A,#N/A,TRUE,"Смета на пасс. обор. №1"}</definedName>
    <definedName name="b_1" localSheetId="38" hidden="1">{#N/A,#N/A,TRUE,"Смета на пасс. обор. №1"}</definedName>
    <definedName name="b_1" localSheetId="19" hidden="1">{#N/A,#N/A,TRUE,"Смета на пасс. обор. №1"}</definedName>
    <definedName name="b_1" hidden="1">{#N/A,#N/A,TRUE,"Смета на пасс. обор. №1"}</definedName>
    <definedName name="ba" localSheetId="16" hidden="1">{#N/A,#N/A,TRUE,"Смета на пасс. обор. №1"}</definedName>
    <definedName name="ba" localSheetId="36" hidden="1">{#N/A,#N/A,TRUE,"Смета на пасс. обор. №1"}</definedName>
    <definedName name="ba" localSheetId="40" hidden="1">{#N/A,#N/A,TRUE,"Смета на пасс. обор. №1"}</definedName>
    <definedName name="ba" localSheetId="30" hidden="1">{#N/A,#N/A,TRUE,"Смета на пасс. обор. №1"}</definedName>
    <definedName name="ba" localSheetId="6" hidden="1">{#N/A,#N/A,TRUE,"Смета на пасс. обор. №1"}</definedName>
    <definedName name="ba" localSheetId="7" hidden="1">{#N/A,#N/A,TRUE,"Смета на пасс. обор. №1"}</definedName>
    <definedName name="ba" localSheetId="18" hidden="1">{#N/A,#N/A,TRUE,"Смета на пасс. обор. №1"}</definedName>
    <definedName name="ba" localSheetId="38" hidden="1">{#N/A,#N/A,TRUE,"Смета на пасс. обор. №1"}</definedName>
    <definedName name="ba" localSheetId="19" hidden="1">{#N/A,#N/A,TRUE,"Смета на пасс. обор. №1"}</definedName>
    <definedName name="ba" hidden="1">{#N/A,#N/A,TRUE,"Смета на пасс. обор. №1"}</definedName>
    <definedName name="ba_1" localSheetId="16" hidden="1">{#N/A,#N/A,TRUE,"Смета на пасс. обор. №1"}</definedName>
    <definedName name="ba_1" localSheetId="36" hidden="1">{#N/A,#N/A,TRUE,"Смета на пасс. обор. №1"}</definedName>
    <definedName name="ba_1" localSheetId="40" hidden="1">{#N/A,#N/A,TRUE,"Смета на пасс. обор. №1"}</definedName>
    <definedName name="ba_1" localSheetId="30" hidden="1">{#N/A,#N/A,TRUE,"Смета на пасс. обор. №1"}</definedName>
    <definedName name="ba_1" localSheetId="6" hidden="1">{#N/A,#N/A,TRUE,"Смета на пасс. обор. №1"}</definedName>
    <definedName name="ba_1" localSheetId="7" hidden="1">{#N/A,#N/A,TRUE,"Смета на пасс. обор. №1"}</definedName>
    <definedName name="ba_1" localSheetId="18" hidden="1">{#N/A,#N/A,TRUE,"Смета на пасс. обор. №1"}</definedName>
    <definedName name="ba_1" localSheetId="38" hidden="1">{#N/A,#N/A,TRUE,"Смета на пасс. обор. №1"}</definedName>
    <definedName name="ba_1" localSheetId="19" hidden="1">{#N/A,#N/A,TRUE,"Смета на пасс. обор. №1"}</definedName>
    <definedName name="ba_1" hidden="1">{#N/A,#N/A,TRUE,"Смета на пасс. обор. №1"}</definedName>
    <definedName name="bhk" localSheetId="16">[4]топография!#REF!</definedName>
    <definedName name="bhk" localSheetId="25">[5]топография!#REF!</definedName>
    <definedName name="bjbkl" localSheetId="16">[4]топография!#REF!</definedName>
    <definedName name="bjbkl" localSheetId="25">[5]топография!#REF!</definedName>
    <definedName name="CC_fSF" localSheetId="16">#REF!</definedName>
    <definedName name="CC_fSF" localSheetId="25">#REF!</definedName>
    <definedName name="CC_fSF" localSheetId="18">#REF!</definedName>
    <definedName name="ccc" localSheetId="16" hidden="1">{#N/A,#N/A,TRUE,"Смета на пасс. обор. №1"}</definedName>
    <definedName name="ccc" localSheetId="36" hidden="1">{#N/A,#N/A,TRUE,"Смета на пасс. обор. №1"}</definedName>
    <definedName name="ccc" localSheetId="40" hidden="1">{#N/A,#N/A,TRUE,"Смета на пасс. обор. №1"}</definedName>
    <definedName name="ccc" localSheetId="30" hidden="1">{#N/A,#N/A,TRUE,"Смета на пасс. обор. №1"}</definedName>
    <definedName name="ccc" localSheetId="6" hidden="1">{#N/A,#N/A,TRUE,"Смета на пасс. обор. №1"}</definedName>
    <definedName name="ccc" localSheetId="7" hidden="1">{#N/A,#N/A,TRUE,"Смета на пасс. обор. №1"}</definedName>
    <definedName name="ccc" localSheetId="18" hidden="1">{#N/A,#N/A,TRUE,"Смета на пасс. обор. №1"}</definedName>
    <definedName name="ccc" localSheetId="38" hidden="1">{#N/A,#N/A,TRUE,"Смета на пасс. обор. №1"}</definedName>
    <definedName name="ccc" localSheetId="19" hidden="1">{#N/A,#N/A,TRUE,"Смета на пасс. обор. №1"}</definedName>
    <definedName name="ccc" hidden="1">{#N/A,#N/A,TRUE,"Смета на пасс. обор. №1"}</definedName>
    <definedName name="ccc_1" localSheetId="16" hidden="1">{#N/A,#N/A,TRUE,"Смета на пасс. обор. №1"}</definedName>
    <definedName name="ccc_1" localSheetId="36" hidden="1">{#N/A,#N/A,TRUE,"Смета на пасс. обор. №1"}</definedName>
    <definedName name="ccc_1" localSheetId="40" hidden="1">{#N/A,#N/A,TRUE,"Смета на пасс. обор. №1"}</definedName>
    <definedName name="ccc_1" localSheetId="30" hidden="1">{#N/A,#N/A,TRUE,"Смета на пасс. обор. №1"}</definedName>
    <definedName name="ccc_1" localSheetId="6" hidden="1">{#N/A,#N/A,TRUE,"Смета на пасс. обор. №1"}</definedName>
    <definedName name="ccc_1" localSheetId="7" hidden="1">{#N/A,#N/A,TRUE,"Смета на пасс. обор. №1"}</definedName>
    <definedName name="ccc_1" localSheetId="18" hidden="1">{#N/A,#N/A,TRUE,"Смета на пасс. обор. №1"}</definedName>
    <definedName name="ccc_1" localSheetId="38" hidden="1">{#N/A,#N/A,TRUE,"Смета на пасс. обор. №1"}</definedName>
    <definedName name="ccc_1" localSheetId="19" hidden="1">{#N/A,#N/A,TRUE,"Смета на пасс. обор. №1"}</definedName>
    <definedName name="ccc_1" hidden="1">{#N/A,#N/A,TRUE,"Смета на пасс. обор. №1"}</definedName>
    <definedName name="Cdjlrf2" localSheetId="40">#REF!</definedName>
    <definedName name="CnfName" localSheetId="16">[6]Лист1!#REF!</definedName>
    <definedName name="CnfName" localSheetId="25">[6]Лист1!#REF!</definedName>
    <definedName name="CnfName" localSheetId="40">[6]Лист1!#REF!</definedName>
    <definedName name="CnfName_1" localSheetId="25">[7]Обновление!#REF!</definedName>
    <definedName name="cntNumber" localSheetId="25">'[8]Счет-Фактура'!#REF!</definedName>
    <definedName name="cntPayerCountCor" localSheetId="25">'[8]Счет-Фактура'!#REF!</definedName>
    <definedName name="cntQnt" localSheetId="25">'[8]Счет-Фактура'!#REF!</definedName>
    <definedName name="cntSuppAddr2" localSheetId="25">'[8]Счет-Фактура'!#REF!</definedName>
    <definedName name="cntSuppMFO1" localSheetId="25">'[8]Счет-Фактура'!#REF!</definedName>
    <definedName name="cntUnit" localSheetId="25">'[8]Счет-Фактура'!#REF!</definedName>
    <definedName name="ConfName" localSheetId="16">[6]Лист1!#REF!</definedName>
    <definedName name="ConfName" localSheetId="25">[6]Лист1!#REF!</definedName>
    <definedName name="ConfName" localSheetId="18">[6]Лист1!#REF!</definedName>
    <definedName name="ConfName_1" localSheetId="16">[7]Обновление!#REF!</definedName>
    <definedName name="ConfName_1" localSheetId="25">[7]Обновление!#REF!</definedName>
    <definedName name="ConfName_1" localSheetId="18">[7]Обновление!#REF!</definedName>
    <definedName name="Constr" localSheetId="26">'02-01-08 (аналог)'!$A$1</definedName>
    <definedName name="d" localSheetId="16">#REF!</definedName>
    <definedName name="d" localSheetId="25">#REF!</definedName>
    <definedName name="d" localSheetId="18">#REF!</definedName>
    <definedName name="Database" localSheetId="25">#REF!</definedName>
    <definedName name="Database" localSheetId="18">#REF!</definedName>
    <definedName name="DateColJournal" localSheetId="25">#REF!</definedName>
    <definedName name="DateColJournal" localSheetId="18">#REF!</definedName>
    <definedName name="Dc" localSheetId="16">[9]Lucent!#REF!</definedName>
    <definedName name="Dc" localSheetId="25">[9]Lucent!#REF!</definedName>
    <definedName name="Dc" localSheetId="18">[9]Lucent!#REF!</definedName>
    <definedName name="dck" localSheetId="16">[4]топография!#REF!</definedName>
    <definedName name="dck" localSheetId="0">[5]топография!#REF!</definedName>
    <definedName name="dck" localSheetId="25">[5]топография!#REF!</definedName>
    <definedName name="dck" localSheetId="18">[5]топография!#REF!</definedName>
    <definedName name="dck_1" localSheetId="16">[4]топография!#REF!</definedName>
    <definedName name="dck_1" localSheetId="25">[5]топография!#REF!</definedName>
    <definedName name="dck_1" localSheetId="18">[5]топография!#REF!</definedName>
    <definedName name="ddduy" localSheetId="16">#REF!</definedName>
    <definedName name="ddduy" localSheetId="25">#REF!</definedName>
    <definedName name="ddduy" localSheetId="18">#REF!</definedName>
    <definedName name="deviation1" localSheetId="16">#REF!</definedName>
    <definedName name="deviation1" localSheetId="25">#REF!</definedName>
    <definedName name="deviation1" localSheetId="18">#REF!</definedName>
    <definedName name="df" localSheetId="16">#REF!</definedName>
    <definedName name="df" localSheetId="25">#REF!</definedName>
    <definedName name="df" localSheetId="18">#REF!</definedName>
    <definedName name="dfff" localSheetId="16">[4]топография!#REF!</definedName>
    <definedName name="dfff" localSheetId="25">[5]топография!#REF!</definedName>
    <definedName name="dfff" localSheetId="18">[5]топография!#REF!</definedName>
    <definedName name="dgf" localSheetId="40">#REF!</definedName>
    <definedName name="Disc_Tbl" localSheetId="16">#REF!</definedName>
    <definedName name="Disc_Tbl" localSheetId="25">#REF!</definedName>
    <definedName name="Disc_Tbl" localSheetId="18">#REF!</definedName>
    <definedName name="DiscontRate" localSheetId="25">#REF!</definedName>
    <definedName name="DiscontRate" localSheetId="18">#REF!</definedName>
    <definedName name="Dl" localSheetId="16">[9]Lucent!#REF!</definedName>
    <definedName name="Dl" localSheetId="25">[9]Lucent!#REF!</definedName>
    <definedName name="Dl" localSheetId="18">[9]Lucent!#REF!</definedName>
    <definedName name="DM" localSheetId="16">#REF!</definedName>
    <definedName name="DM" localSheetId="25">#REF!</definedName>
    <definedName name="DM" localSheetId="18">#REF!</definedName>
    <definedName name="Dsc_Vector" localSheetId="16">#REF!</definedName>
    <definedName name="Dsc_Vector" localSheetId="25">#REF!</definedName>
    <definedName name="Dsc_Vector" localSheetId="18">#REF!</definedName>
    <definedName name="e" localSheetId="16" hidden="1">{#N/A,#N/A,TRUE,"Смета на пасс. обор. №1"}</definedName>
    <definedName name="e" localSheetId="36" hidden="1">{#N/A,#N/A,TRUE,"Смета на пасс. обор. №1"}</definedName>
    <definedName name="e" localSheetId="40" hidden="1">{#N/A,#N/A,TRUE,"Смета на пасс. обор. №1"}</definedName>
    <definedName name="e" localSheetId="30" hidden="1">{#N/A,#N/A,TRUE,"Смета на пасс. обор. №1"}</definedName>
    <definedName name="e" localSheetId="6" hidden="1">{#N/A,#N/A,TRUE,"Смета на пасс. обор. №1"}</definedName>
    <definedName name="e" localSheetId="7" hidden="1">{#N/A,#N/A,TRUE,"Смета на пасс. обор. №1"}</definedName>
    <definedName name="e" localSheetId="18" hidden="1">{#N/A,#N/A,TRUE,"Смета на пасс. обор. №1"}</definedName>
    <definedName name="e" localSheetId="38" hidden="1">{#N/A,#N/A,TRUE,"Смета на пасс. обор. №1"}</definedName>
    <definedName name="e" localSheetId="19" hidden="1">{#N/A,#N/A,TRUE,"Смета на пасс. обор. №1"}</definedName>
    <definedName name="e" hidden="1">{#N/A,#N/A,TRUE,"Смета на пасс. обор. №1"}</definedName>
    <definedName name="e_1" localSheetId="16" hidden="1">{#N/A,#N/A,TRUE,"Смета на пасс. обор. №1"}</definedName>
    <definedName name="e_1" localSheetId="36" hidden="1">{#N/A,#N/A,TRUE,"Смета на пасс. обор. №1"}</definedName>
    <definedName name="e_1" localSheetId="40" hidden="1">{#N/A,#N/A,TRUE,"Смета на пасс. обор. №1"}</definedName>
    <definedName name="e_1" localSheetId="30" hidden="1">{#N/A,#N/A,TRUE,"Смета на пасс. обор. №1"}</definedName>
    <definedName name="e_1" localSheetId="6" hidden="1">{#N/A,#N/A,TRUE,"Смета на пасс. обор. №1"}</definedName>
    <definedName name="e_1" localSheetId="7" hidden="1">{#N/A,#N/A,TRUE,"Смета на пасс. обор. №1"}</definedName>
    <definedName name="e_1" localSheetId="18" hidden="1">{#N/A,#N/A,TRUE,"Смета на пасс. обор. №1"}</definedName>
    <definedName name="e_1" localSheetId="38" hidden="1">{#N/A,#N/A,TRUE,"Смета на пасс. обор. №1"}</definedName>
    <definedName name="e_1" localSheetId="19" hidden="1">{#N/A,#N/A,TRUE,"Смета на пасс. обор. №1"}</definedName>
    <definedName name="e_1" hidden="1">{#N/A,#N/A,TRUE,"Смета на пасс. обор. №1"}</definedName>
    <definedName name="ee" localSheetId="36" hidden="1">{"IMRAK42x8x8",#N/A,TRUE,"IMRAK 1400 42U 800X800";"IMRAK32x6x6",#N/A,TRUE,"IMRAK 1400 32U 600x600";"IMRAK42x12x8",#N/A,TRUE,"IMRAK 1400 42U 1200x800";"IMRAK15x6x4",#N/A,TRUE,"IMRAK 400 15U FRONT SECTION"}</definedName>
    <definedName name="ee" localSheetId="40" hidden="1">{"IMRAK42x8x8",#N/A,TRUE,"IMRAK 1400 42U 800X800";"IMRAK32x6x6",#N/A,TRUE,"IMRAK 1400 32U 600x600";"IMRAK42x12x8",#N/A,TRUE,"IMRAK 1400 42U 1200x800";"IMRAK15x6x4",#N/A,TRUE,"IMRAK 400 15U FRONT SECTION"}</definedName>
    <definedName name="ee" localSheetId="6" hidden="1">{"IMRAK42x8x8",#N/A,TRUE,"IMRAK 1400 42U 800X800";"IMRAK32x6x6",#N/A,TRUE,"IMRAK 1400 32U 600x600";"IMRAK42x12x8",#N/A,TRUE,"IMRAK 1400 42U 1200x800";"IMRAK15x6x4",#N/A,TRUE,"IMRAK 400 15U FRONT SECTION"}</definedName>
    <definedName name="ee" localSheetId="7" hidden="1">{"IMRAK42x8x8",#N/A,TRUE,"IMRAK 1400 42U 800X800";"IMRAK32x6x6",#N/A,TRUE,"IMRAK 1400 32U 600x600";"IMRAK42x12x8",#N/A,TRUE,"IMRAK 1400 42U 1200x800";"IMRAK15x6x4",#N/A,TRUE,"IMRAK 400 15U FRONT SECTION"}</definedName>
    <definedName name="ee" localSheetId="38" hidden="1">{"IMRAK42x8x8",#N/A,TRUE,"IMRAK 1400 42U 800X800";"IMRAK32x6x6",#N/A,TRUE,"IMRAK 1400 32U 600x600";"IMRAK42x12x8",#N/A,TRUE,"IMRAK 1400 42U 1200x800";"IMRAK15x6x4",#N/A,TRUE,"IMRAK 400 15U FRONT SECTION"}</definedName>
    <definedName name="ee" hidden="1">{"IMRAK42x8x8",#N/A,TRUE,"IMRAK 1400 42U 800X800";"IMRAK32x6x6",#N/A,TRUE,"IMRAK 1400 32U 600x600";"IMRAK42x12x8",#N/A,TRUE,"IMRAK 1400 42U 1200x800";"IMRAK15x6x4",#N/A,TRUE,"IMRAK 400 15U FRONT SECTION"}</definedName>
    <definedName name="EILName" localSheetId="25">[6]Лист1!#REF!</definedName>
    <definedName name="EILName_1" localSheetId="25">[7]Обновление!#REF!</definedName>
    <definedName name="El" localSheetId="40">#REF!</definedName>
    <definedName name="EQUIP" localSheetId="25">[10]Спецификация!#REF!</definedName>
    <definedName name="ert" localSheetId="16">#REF!</definedName>
    <definedName name="ert" localSheetId="25">#REF!</definedName>
    <definedName name="ert" localSheetId="18">#REF!</definedName>
    <definedName name="Excel_BuiltIn_Database" localSheetId="25">#REF!</definedName>
    <definedName name="Excel_BuiltIn_Database" localSheetId="18">#REF!</definedName>
    <definedName name="Excel_BuiltIn_Print_Area" localSheetId="25">#REF!</definedName>
    <definedName name="Excel_BuiltIn_Print_Area" localSheetId="18">#REF!</definedName>
    <definedName name="Excel_BuiltIn_Print_Area_1" localSheetId="25">#REF!</definedName>
    <definedName name="Excel_BuiltIn_Print_Area_1_1" localSheetId="25">#REF!</definedName>
    <definedName name="Excel_BuiltIn_Print_Area_1_1_1" localSheetId="25">#REF!</definedName>
    <definedName name="Excel_BuiltIn_Print_Area_10_1" localSheetId="25">#REF!</definedName>
    <definedName name="Excel_BuiltIn_Print_Area_10_1_1" localSheetId="25">#REF!</definedName>
    <definedName name="Excel_BuiltIn_Print_Area_11" localSheetId="25">#REF!</definedName>
    <definedName name="Excel_BuiltIn_Print_Area_11_1" localSheetId="25">#REF!</definedName>
    <definedName name="Excel_BuiltIn_Print_Area_12" localSheetId="25">#REF!</definedName>
    <definedName name="Excel_BuiltIn_Print_Area_14" localSheetId="16">#REF!</definedName>
    <definedName name="Excel_BuiltIn_Print_Area_14" localSheetId="25">#REF!</definedName>
    <definedName name="Excel_BuiltIn_Print_Area_14" localSheetId="18">#REF!</definedName>
    <definedName name="Excel_BuiltIn_Print_Area_2_1" localSheetId="16">#REF!</definedName>
    <definedName name="Excel_BuiltIn_Print_Area_2_1" localSheetId="25">#REF!</definedName>
    <definedName name="Excel_BuiltIn_Print_Area_2_1" localSheetId="18">#REF!</definedName>
    <definedName name="Excel_BuiltIn_Print_Area_4" localSheetId="16">#REF!</definedName>
    <definedName name="Excel_BuiltIn_Print_Area_4" localSheetId="25">#REF!</definedName>
    <definedName name="Excel_BuiltIn_Print_Area_4" localSheetId="18">#REF!</definedName>
    <definedName name="Excel_BuiltIn_Print_Area_4_1" localSheetId="25">#REF!</definedName>
    <definedName name="Excel_BuiltIn_Print_Area_4_1" localSheetId="18">#REF!</definedName>
    <definedName name="Excel_BuiltIn_Print_Area_4_1_1" localSheetId="25">#REF!</definedName>
    <definedName name="Excel_BuiltIn_Print_Area_4_1_1" localSheetId="18">#REF!</definedName>
    <definedName name="Excel_BuiltIn_Print_Area_4_1_1_1" localSheetId="25">#REF!</definedName>
    <definedName name="Excel_BuiltIn_Print_Area_5" localSheetId="16">#REF!</definedName>
    <definedName name="Excel_BuiltIn_Print_Area_5" localSheetId="25">#REF!</definedName>
    <definedName name="Excel_BuiltIn_Print_Area_5" localSheetId="18">#REF!</definedName>
    <definedName name="Excel_BuiltIn_Print_Area_5_1" localSheetId="25">#REF!</definedName>
    <definedName name="Excel_BuiltIn_Print_Area_5_1" localSheetId="18">#REF!</definedName>
    <definedName name="Excel_BuiltIn_Print_Area_5_1_1" localSheetId="25">#REF!</definedName>
    <definedName name="Excel_BuiltIn_Print_Area_5_1_1" localSheetId="18">#REF!</definedName>
    <definedName name="Excel_BuiltIn_Print_Area_6" localSheetId="25">#REF!</definedName>
    <definedName name="Excel_BuiltIn_Print_Area_6_1" localSheetId="25">#REF!</definedName>
    <definedName name="Excel_BuiltIn_Print_Area_7_1" localSheetId="16">#REF!</definedName>
    <definedName name="Excel_BuiltIn_Print_Area_7_1" localSheetId="25">#REF!</definedName>
    <definedName name="Excel_BuiltIn_Print_Area_7_1" localSheetId="18">#REF!</definedName>
    <definedName name="Excel_BuiltIn_Print_Area_7_1_1" localSheetId="25">#REF!</definedName>
    <definedName name="Excel_BuiltIn_Print_Area_7_1_1" localSheetId="18">#REF!</definedName>
    <definedName name="Excel_BuiltIn_Print_Area_7_1_1_1" localSheetId="25">#REF!</definedName>
    <definedName name="Excel_BuiltIn_Print_Area_7_1_1_1" localSheetId="18">#REF!</definedName>
    <definedName name="Excel_BuiltIn_Print_Area_7_1_1_1_1" localSheetId="25">#REF!</definedName>
    <definedName name="Excel_BuiltIn_Print_Area_8_1" localSheetId="25">#REF!</definedName>
    <definedName name="Excel_BuiltIn_Print_Area_9" localSheetId="25">#REF!</definedName>
    <definedName name="Excel_BuiltIn_Print_Area_9_1" localSheetId="25">#REF!</definedName>
    <definedName name="Excel_BuiltIn_Print_Area_9_1_1" localSheetId="25">#REF!</definedName>
    <definedName name="Excel_BuiltIn_Print_Area_9_1_1_1" localSheetId="25">#REF!</definedName>
    <definedName name="Excel_BuiltIn_Print_Titles" localSheetId="16">#REF!</definedName>
    <definedName name="Excel_BuiltIn_Print_Titles" localSheetId="25">#REF!</definedName>
    <definedName name="Excel_BuiltIn_Print_Titles_1" localSheetId="25">#REF!</definedName>
    <definedName name="Excel_BuiltIn_Print_Titles_1_1" localSheetId="25">#REF!</definedName>
    <definedName name="Excel_BuiltIn_Print_Titles_1_1_1" localSheetId="25">#REF!</definedName>
    <definedName name="Excel_BuiltIn_Print_Titles_14" localSheetId="25">#REF!</definedName>
    <definedName name="Excel_BuiltIn_Print_Titles_2" localSheetId="25">#REF!</definedName>
    <definedName name="Excel_BuiltIn_Print_Titles_2_1" localSheetId="25">#REF!</definedName>
    <definedName name="Excel_BuiltIn_Print_Titles_3" localSheetId="25">#REF!</definedName>
    <definedName name="Excel_BuiltIn_Print_Titles_4" localSheetId="25">#REF!</definedName>
    <definedName name="fg" localSheetId="25">#REF!</definedName>
    <definedName name="fgh" localSheetId="16">[4]топография!#REF!</definedName>
    <definedName name="fgh" localSheetId="25">[5]топография!#REF!</definedName>
    <definedName name="fgh" localSheetId="18">[5]топография!#REF!</definedName>
    <definedName name="fl" localSheetId="16">[9]Lucent!#REF!</definedName>
    <definedName name="fl" localSheetId="25">[9]Lucent!#REF!</definedName>
    <definedName name="fl" localSheetId="18">[9]Lucent!#REF!</definedName>
    <definedName name="FOT" localSheetId="26">'02-01-08 (аналог)'!$B$19</definedName>
    <definedName name="ghfghd" localSheetId="40">#REF!</definedName>
    <definedName name="ghfkhjfkj" localSheetId="40">#REF!</definedName>
    <definedName name="Grp_Vector" localSheetId="16">#REF!</definedName>
    <definedName name="Grp_Vector" localSheetId="25">#REF!</definedName>
    <definedName name="Grp_Vector" localSheetId="18">#REF!</definedName>
    <definedName name="h" localSheetId="25">#REF!</definedName>
    <definedName name="h" localSheetId="18">#REF!</definedName>
    <definedName name="hPriceRange" localSheetId="25">[6]Лист1!#REF!</definedName>
    <definedName name="hPriceRange" localSheetId="18">[6]Лист1!#REF!</definedName>
    <definedName name="hPriceRange_1" localSheetId="25">[7]Цена!#REF!</definedName>
    <definedName name="hPriceRange_1" localSheetId="18">[7]Цена!#REF!</definedName>
    <definedName name="i" localSheetId="16">#REF!</definedName>
    <definedName name="i" localSheetId="25">#REF!</definedName>
    <definedName name="i" localSheetId="18">#REF!</definedName>
    <definedName name="idPriceColumn" localSheetId="16">[6]Лист1!#REF!</definedName>
    <definedName name="idPriceColumn" localSheetId="25">[6]Лист1!#REF!</definedName>
    <definedName name="idPriceColumn" localSheetId="18">[6]Лист1!#REF!</definedName>
    <definedName name="idPriceColumn_1" localSheetId="25">[7]Цена!#REF!</definedName>
    <definedName name="idPriceColumn_1" localSheetId="18">[7]Цена!#REF!</definedName>
    <definedName name="iii" localSheetId="16">#REF!</definedName>
    <definedName name="iii" localSheetId="25">#REF!</definedName>
    <definedName name="iii" localSheetId="18">#REF!</definedName>
    <definedName name="iiiii" localSheetId="25">#REF!</definedName>
    <definedName name="iiiii" localSheetId="18">#REF!</definedName>
    <definedName name="Importation_Cost" localSheetId="25">#REF!</definedName>
    <definedName name="Importation_Cost" localSheetId="18">#REF!</definedName>
    <definedName name="Ind" localSheetId="26">'02-01-08 (аналог)'!$D$9</definedName>
    <definedName name="infl" localSheetId="16">[11]ПДР!#REF!</definedName>
    <definedName name="infl" localSheetId="25">[11]ПДР!#REF!</definedName>
    <definedName name="infl" localSheetId="18">[11]ПДР!#REF!</definedName>
    <definedName name="Itog" localSheetId="0">#REF!</definedName>
    <definedName name="Itog" localSheetId="25">#REF!</definedName>
    <definedName name="Itog" localSheetId="18">#REF!</definedName>
    <definedName name="Itog_1" localSheetId="25">#REF!</definedName>
    <definedName name="Itog_1" localSheetId="18">#REF!</definedName>
    <definedName name="j" localSheetId="16" hidden="1">{#N/A,#N/A,TRUE,"Смета на пасс. обор. №1"}</definedName>
    <definedName name="j" localSheetId="36" hidden="1">{#N/A,#N/A,TRUE,"Смета на пасс. обор. №1"}</definedName>
    <definedName name="j" localSheetId="40" hidden="1">{#N/A,#N/A,TRUE,"Смета на пасс. обор. №1"}</definedName>
    <definedName name="j" localSheetId="30" hidden="1">{#N/A,#N/A,TRUE,"Смета на пасс. обор. №1"}</definedName>
    <definedName name="j" localSheetId="6" hidden="1">{#N/A,#N/A,TRUE,"Смета на пасс. обор. №1"}</definedName>
    <definedName name="j" localSheetId="7" hidden="1">{#N/A,#N/A,TRUE,"Смета на пасс. обор. №1"}</definedName>
    <definedName name="j" localSheetId="18" hidden="1">{#N/A,#N/A,TRUE,"Смета на пасс. обор. №1"}</definedName>
    <definedName name="j" localSheetId="38" hidden="1">{#N/A,#N/A,TRUE,"Смета на пасс. обор. №1"}</definedName>
    <definedName name="j" localSheetId="19" hidden="1">{#N/A,#N/A,TRUE,"Смета на пасс. обор. №1"}</definedName>
    <definedName name="j" hidden="1">{#N/A,#N/A,TRUE,"Смета на пасс. обор. №1"}</definedName>
    <definedName name="j_1" localSheetId="16" hidden="1">{#N/A,#N/A,TRUE,"Смета на пасс. обор. №1"}</definedName>
    <definedName name="j_1" localSheetId="36" hidden="1">{#N/A,#N/A,TRUE,"Смета на пасс. обор. №1"}</definedName>
    <definedName name="j_1" localSheetId="40" hidden="1">{#N/A,#N/A,TRUE,"Смета на пасс. обор. №1"}</definedName>
    <definedName name="j_1" localSheetId="30" hidden="1">{#N/A,#N/A,TRUE,"Смета на пасс. обор. №1"}</definedName>
    <definedName name="j_1" localSheetId="6" hidden="1">{#N/A,#N/A,TRUE,"Смета на пасс. обор. №1"}</definedName>
    <definedName name="j_1" localSheetId="7" hidden="1">{#N/A,#N/A,TRUE,"Смета на пасс. обор. №1"}</definedName>
    <definedName name="j_1" localSheetId="18" hidden="1">{#N/A,#N/A,TRUE,"Смета на пасс. обор. №1"}</definedName>
    <definedName name="j_1" localSheetId="38" hidden="1">{#N/A,#N/A,TRUE,"Смета на пасс. обор. №1"}</definedName>
    <definedName name="j_1" localSheetId="19" hidden="1">{#N/A,#N/A,TRUE,"Смета на пасс. обор. №1"}</definedName>
    <definedName name="j_1" hidden="1">{#N/A,#N/A,TRUE,"Смета на пасс. обор. №1"}</definedName>
    <definedName name="jkjhggh" localSheetId="16">#REF!</definedName>
    <definedName name="jkjhggh" localSheetId="25">#REF!</definedName>
    <definedName name="jkjhggh" localSheetId="18">#REF!</definedName>
    <definedName name="kkkkk" localSheetId="16">#REF!</definedName>
    <definedName name="kkkkk" localSheetId="25">#REF!</definedName>
    <definedName name="kkkkk" localSheetId="18">#REF!</definedName>
    <definedName name="Koeffcb" localSheetId="25">#REF!</definedName>
    <definedName name="Koeffcb" localSheetId="18">#REF!</definedName>
    <definedName name="kp" localSheetId="25">[11]ПДР!#REF!</definedName>
    <definedName name="kp" localSheetId="18">[11]ПДР!#REF!</definedName>
    <definedName name="KPlan" localSheetId="0">#REF!</definedName>
    <definedName name="KPlan" localSheetId="25">#REF!</definedName>
    <definedName name="KPlan" localSheetId="18">#REF!</definedName>
    <definedName name="l" localSheetId="25">#REF!</definedName>
    <definedName name="l" localSheetId="18">#REF!</definedName>
    <definedName name="language" localSheetId="25">#REF!</definedName>
    <definedName name="lfd" localSheetId="36"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lfd" localSheetId="40"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lfd" localSheetId="6"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lfd" localSheetId="7"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lfd" localSheetId="38"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lfd"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ljujhunb" localSheetId="16">[4]топография!#REF!</definedName>
    <definedName name="ljujhunb" localSheetId="25">[5]топография!#REF!</definedName>
    <definedName name="ll" localSheetId="36" hidden="1">{#N/A,#N/A,TRUE,"Смета на пасс. обор. №1"}</definedName>
    <definedName name="ll" localSheetId="40" hidden="1">{#N/A,#N/A,TRUE,"Смета на пасс. обор. №1"}</definedName>
    <definedName name="ll" localSheetId="6" hidden="1">{#N/A,#N/A,TRUE,"Смета на пасс. обор. №1"}</definedName>
    <definedName name="ll" localSheetId="7" hidden="1">{#N/A,#N/A,TRUE,"Смета на пасс. обор. №1"}</definedName>
    <definedName name="ll" localSheetId="38" hidden="1">{#N/A,#N/A,TRUE,"Смета на пасс. обор. №1"}</definedName>
    <definedName name="ll" hidden="1">{#N/A,#N/A,TRUE,"Смета на пасс. обор. №1"}</definedName>
    <definedName name="m" localSheetId="16">[12]Microsoft!#REF!</definedName>
    <definedName name="m" localSheetId="25">[12]Microsoft!#REF!</definedName>
    <definedName name="m" localSheetId="18">[12]Microsoft!#REF!</definedName>
    <definedName name="MATER" localSheetId="16">[10]Спецификация!#REF!</definedName>
    <definedName name="MATER" localSheetId="25">[10]Спецификация!#REF!</definedName>
    <definedName name="MATER" localSheetId="18">[10]Спецификация!#REF!</definedName>
    <definedName name="mm" localSheetId="16">[12]Microsoft!#REF!</definedName>
    <definedName name="mm" localSheetId="25">[12]Microsoft!#REF!</definedName>
    <definedName name="mm" localSheetId="18">[12]Microsoft!#REF!</definedName>
    <definedName name="mmm" localSheetId="16">[12]Microsoft!#REF!</definedName>
    <definedName name="mmm" localSheetId="25">[12]Microsoft!#REF!</definedName>
    <definedName name="mmm" localSheetId="18">[12]Microsoft!#REF!</definedName>
    <definedName name="n" localSheetId="16">#REF!</definedName>
    <definedName name="n" localSheetId="25">#REF!</definedName>
    <definedName name="n" localSheetId="18">#REF!</definedName>
    <definedName name="n_1" localSheetId="16">{"","одинz","дваz","триz","четыреz","пятьz","шестьz","семьz","восемьz","девятьz"}</definedName>
    <definedName name="n_1" localSheetId="40">{"","одинz","дваz","триz","четыреz","пятьz","шестьz","семьz","восемьz","девятьz"}</definedName>
    <definedName name="n_1" localSheetId="30">{"","одинz","дваz","триz","четыреz","пятьz","шестьz","семьz","восемьz","девятьz"}</definedName>
    <definedName name="n_1" localSheetId="18">{"","одинz","дваz","триz","четыреz","пятьz","шестьz","семьz","восемьz","девятьz"}</definedName>
    <definedName name="n_2" localSheetId="16">{"десятьz","одиннадцатьz","двенадцатьz","тринадцатьz","четырнадцатьz","пятнадцатьz","шестнадцатьz","семнадцатьz","восемнадцатьz","девятнадцатьz"}</definedName>
    <definedName name="n_2" localSheetId="40">{"десятьz","одиннадцатьz","двенадцатьz","тринадцатьz","четырнадцатьz","пятнадцатьz","шестнадцатьz","семнадцатьz","восемнадцатьz","девятнадцатьz"}</definedName>
    <definedName name="n_2" localSheetId="30">{"десятьz","одиннадцатьz","двенадцатьz","тринадцатьz","четырнадцатьz","пятнадцатьz","шестнадцатьz","семнадцатьz","восемнадцатьz","девятнадцатьz"}</definedName>
    <definedName name="n_2" localSheetId="18">{"десятьz","одиннадцатьz","двенадцатьz","тринадцатьz","четырнадцатьz","пятнадцатьz","шестнадцатьz","семнадцатьz","восемнадцатьz","девятнадцатьz"}</definedName>
    <definedName name="n_3" localSheetId="16">{"";1;"двадцатьz";"тридцатьz";"сорокz";"пятьдесятz";"шестьдесятz";"семьдесятz";"восемьдесятz";"девяностоz"}</definedName>
    <definedName name="n_3" localSheetId="40">{"";1;"двадцатьz";"тридцатьz";"сорокz";"пятьдесятz";"шестьдесятz";"семьдесятz";"восемьдесятz";"девяностоz"}</definedName>
    <definedName name="n_3" localSheetId="30">{"";1;"двадцатьz";"тридцатьz";"сорокz";"пятьдесятz";"шестьдесятz";"семьдесятz";"восемьдесятz";"девяностоz"}</definedName>
    <definedName name="n_3" localSheetId="18">{"";1;"двадцатьz";"тридцатьz";"сорокz";"пятьдесятz";"шестьдесятz";"семьдесятz";"восемьдесятz";"девяностоz"}</definedName>
    <definedName name="n_4" localSheetId="16">{"","стоz","двестиz","тристаz","четырестаz","пятьсотz","шестьсотz","семьсотz","восемьсотz","девятьсотz"}</definedName>
    <definedName name="n_4" localSheetId="40">{"","стоz","двестиz","тристаz","четырестаz","пятьсотz","шестьсотz","семьсотz","восемьсотz","девятьсотz"}</definedName>
    <definedName name="n_4" localSheetId="30">{"","стоz","двестиz","тристаz","четырестаz","пятьсотz","шестьсотz","семьсотz","восемьсотz","девятьсотz"}</definedName>
    <definedName name="n_4" localSheetId="18">{"","стоz","двестиz","тристаz","четырестаz","пятьсотz","шестьсотz","семьсотz","восемьсотz","девятьсотz"}</definedName>
    <definedName name="n_5" localSheetId="16">{"","однаz","двеz","триz","четыреz","пятьz","шестьz","семьz","восемьz","девятьz"}</definedName>
    <definedName name="n_5" localSheetId="40">{"","однаz","двеz","триz","четыреz","пятьz","шестьz","семьz","восемьz","девятьz"}</definedName>
    <definedName name="n_5" localSheetId="30">{"","однаz","двеz","триz","четыреz","пятьz","шестьz","семьz","восемьz","девятьz"}</definedName>
    <definedName name="n_5" localSheetId="18">{"","однаz","двеz","триz","четыреz","пятьz","шестьz","семьz","восемьz","девятьz"}</definedName>
    <definedName name="n0x" localSheetId="16">IF(Геофизика!n_3=1,Геофизика!n_2,Геофизика!n_3&amp;Геофизика!n_1)</definedName>
    <definedName name="n0x" localSheetId="40">IF('КСБ Архыз'!n_3=1,'КСБ Архыз'!n_2,'КСБ Архыз'!n_3&amp;'КСБ Архыз'!n_1)</definedName>
    <definedName name="n0x" localSheetId="30">IF('ЛСР 02-02-01'!n_3=1,'ЛСР 02-02-01'!n_2,'ЛСР 02-02-01'!n_3&amp;'ЛСР 02-02-01'!n_1)</definedName>
    <definedName name="n0x" localSheetId="18">IF(ОВОС!n_3=1,ОВОС!n_2,ОВОС!n_3&amp;ОВОС!n_1)</definedName>
    <definedName name="n1x" localSheetId="16">IF(Геофизика!n_3=1,Геофизика!n_2,Геофизика!n_3&amp;Геофизика!n_5)</definedName>
    <definedName name="n1x" localSheetId="40">IF('КСБ Архыз'!n_3=1,'КСБ Архыз'!n_2,'КСБ Архыз'!n_3&amp;'КСБ Архыз'!n_5)</definedName>
    <definedName name="n1x" localSheetId="30">IF('ЛСР 02-02-01'!n_3=1,'ЛСР 02-02-01'!n_2,'ЛСР 02-02-01'!n_3&amp;'ЛСР 02-02-01'!n_5)</definedName>
    <definedName name="n1x" localSheetId="18">IF(ОВОС!n_3=1,ОВОС!n_2,ОВОС!n_3&amp;ОВОС!n_5)</definedName>
    <definedName name="Nalog" localSheetId="16">#REF!</definedName>
    <definedName name="Nalog" localSheetId="25">#REF!</definedName>
    <definedName name="Nalog" localSheetId="30">#REF!</definedName>
    <definedName name="Nalog" localSheetId="18">#REF!</definedName>
    <definedName name="name" localSheetId="16">#REF!</definedName>
    <definedName name="name" localSheetId="25">#REF!</definedName>
    <definedName name="name" localSheetId="18">#REF!</definedName>
    <definedName name="ngh" localSheetId="16">[4]топография!#REF!</definedName>
    <definedName name="ngh" localSheetId="25">[5]топография!#REF!</definedName>
    <definedName name="ngh" localSheetId="30">[5]топография!#REF!</definedName>
    <definedName name="ngh" localSheetId="18">[5]топография!#REF!</definedName>
    <definedName name="njk" localSheetId="36" hidden="1">{"IMRAK42x8x8",#N/A,TRUE,"IMRAK 1400 42U 800X800";"IMRAK32x6x6",#N/A,TRUE,"IMRAK 1400 32U 600x600";"IMRAK42x12x8",#N/A,TRUE,"IMRAK 1400 42U 1200x800";"IMRAK15x6x4",#N/A,TRUE,"IMRAK 400 15U FRONT SECTION"}</definedName>
    <definedName name="njk" localSheetId="40" hidden="1">{"IMRAK42x8x8",#N/A,TRUE,"IMRAK 1400 42U 800X800";"IMRAK32x6x6",#N/A,TRUE,"IMRAK 1400 32U 600x600";"IMRAK42x12x8",#N/A,TRUE,"IMRAK 1400 42U 1200x800";"IMRAK15x6x4",#N/A,TRUE,"IMRAK 400 15U FRONT SECTION"}</definedName>
    <definedName name="njk" localSheetId="6" hidden="1">{"IMRAK42x8x8",#N/A,TRUE,"IMRAK 1400 42U 800X800";"IMRAK32x6x6",#N/A,TRUE,"IMRAK 1400 32U 600x600";"IMRAK42x12x8",#N/A,TRUE,"IMRAK 1400 42U 1200x800";"IMRAK15x6x4",#N/A,TRUE,"IMRAK 400 15U FRONT SECTION"}</definedName>
    <definedName name="njk" localSheetId="7" hidden="1">{"IMRAK42x8x8",#N/A,TRUE,"IMRAK 1400 42U 800X800";"IMRAK32x6x6",#N/A,TRUE,"IMRAK 1400 32U 600x600";"IMRAK42x12x8",#N/A,TRUE,"IMRAK 1400 42U 1200x800";"IMRAK15x6x4",#N/A,TRUE,"IMRAK 400 15U FRONT SECTION"}</definedName>
    <definedName name="njk" localSheetId="38" hidden="1">{"IMRAK42x8x8",#N/A,TRUE,"IMRAK 1400 42U 800X800";"IMRAK32x6x6",#N/A,TRUE,"IMRAK 1400 32U 600x600";"IMRAK42x12x8",#N/A,TRUE,"IMRAK 1400 42U 1200x800";"IMRAK15x6x4",#N/A,TRUE,"IMRAK 400 15U FRONT SECTION"}</definedName>
    <definedName name="njk" hidden="1">{"IMRAK42x8x8",#N/A,TRUE,"IMRAK 1400 42U 800X800";"IMRAK32x6x6",#N/A,TRUE,"IMRAK 1400 32U 600x600";"IMRAK42x12x8",#N/A,TRUE,"IMRAK 1400 42U 1200x800";"IMRAK15x6x4",#N/A,TRUE,"IMRAK 400 15U FRONT SECTION"}</definedName>
    <definedName name="NumColJournal" localSheetId="16">#REF!</definedName>
    <definedName name="NumColJournal" localSheetId="25">#REF!</definedName>
    <definedName name="NumColJournal" localSheetId="18">#REF!</definedName>
    <definedName name="o" localSheetId="25">#REF!</definedName>
    <definedName name="o" localSheetId="18">#REF!</definedName>
    <definedName name="Obj" localSheetId="26">'02-01-08 (аналог)'!#REF!</definedName>
    <definedName name="Obosn" localSheetId="26">'02-01-08 (аналог)'!$B$15</definedName>
    <definedName name="OELName" localSheetId="16">[6]Лист1!#REF!</definedName>
    <definedName name="OELName" localSheetId="25">[6]Лист1!#REF!</definedName>
    <definedName name="OELName" localSheetId="18">[6]Лист1!#REF!</definedName>
    <definedName name="OELName_1" localSheetId="16">[7]Обновление!#REF!</definedName>
    <definedName name="OELName_1" localSheetId="25">[7]Обновление!#REF!</definedName>
    <definedName name="OELName_1" localSheetId="18">[7]Обновление!#REF!</definedName>
    <definedName name="OPLName" localSheetId="25">[6]Лист1!#REF!</definedName>
    <definedName name="OPLName" localSheetId="18">[6]Лист1!#REF!</definedName>
    <definedName name="OPLName_1" localSheetId="25">[7]Обновление!#REF!</definedName>
    <definedName name="OPLName_1" localSheetId="18">[7]Обновление!#REF!</definedName>
    <definedName name="oppp" localSheetId="16">#REF!</definedName>
    <definedName name="oppp" localSheetId="25">#REF!</definedName>
    <definedName name="oppp" localSheetId="18">#REF!</definedName>
    <definedName name="p" localSheetId="16" hidden="1">{#N/A,#N/A,TRUE,"Смета на пасс. обор. №1"}</definedName>
    <definedName name="p" localSheetId="36" hidden="1">{#N/A,#N/A,TRUE,"Смета на пасс. обор. №1"}</definedName>
    <definedName name="p" localSheetId="40" hidden="1">{#N/A,#N/A,TRUE,"Смета на пасс. обор. №1"}</definedName>
    <definedName name="p" localSheetId="30" hidden="1">{#N/A,#N/A,TRUE,"Смета на пасс. обор. №1"}</definedName>
    <definedName name="p" localSheetId="6" hidden="1">{#N/A,#N/A,TRUE,"Смета на пасс. обор. №1"}</definedName>
    <definedName name="p" localSheetId="7" hidden="1">{#N/A,#N/A,TRUE,"Смета на пасс. обор. №1"}</definedName>
    <definedName name="p" localSheetId="18" hidden="1">{#N/A,#N/A,TRUE,"Смета на пасс. обор. №1"}</definedName>
    <definedName name="p" localSheetId="38" hidden="1">{#N/A,#N/A,TRUE,"Смета на пасс. обор. №1"}</definedName>
    <definedName name="p" localSheetId="19" hidden="1">{#N/A,#N/A,TRUE,"Смета на пасс. обор. №1"}</definedName>
    <definedName name="p" hidden="1">{#N/A,#N/A,TRUE,"Смета на пасс. обор. №1"}</definedName>
    <definedName name="p_1" localSheetId="16" hidden="1">{#N/A,#N/A,TRUE,"Смета на пасс. обор. №1"}</definedName>
    <definedName name="p_1" localSheetId="36" hidden="1">{#N/A,#N/A,TRUE,"Смета на пасс. обор. №1"}</definedName>
    <definedName name="p_1" localSheetId="40" hidden="1">{#N/A,#N/A,TRUE,"Смета на пасс. обор. №1"}</definedName>
    <definedName name="p_1" localSheetId="30" hidden="1">{#N/A,#N/A,TRUE,"Смета на пасс. обор. №1"}</definedName>
    <definedName name="p_1" localSheetId="6" hidden="1">{#N/A,#N/A,TRUE,"Смета на пасс. обор. №1"}</definedName>
    <definedName name="p_1" localSheetId="7" hidden="1">{#N/A,#N/A,TRUE,"Смета на пасс. обор. №1"}</definedName>
    <definedName name="p_1" localSheetId="18" hidden="1">{#N/A,#N/A,TRUE,"Смета на пасс. обор. №1"}</definedName>
    <definedName name="p_1" localSheetId="38" hidden="1">{#N/A,#N/A,TRUE,"Смета на пасс. обор. №1"}</definedName>
    <definedName name="p_1" localSheetId="19" hidden="1">{#N/A,#N/A,TRUE,"Смета на пасс. обор. №1"}</definedName>
    <definedName name="p_1" hidden="1">{#N/A,#N/A,TRUE,"Смета на пасс. обор. №1"}</definedName>
    <definedName name="pp" localSheetId="16">#REF!</definedName>
    <definedName name="pp" localSheetId="25">#REF!</definedName>
    <definedName name="pp" localSheetId="18">#REF!</definedName>
    <definedName name="ppp" localSheetId="16">#REF!</definedName>
    <definedName name="ppp" localSheetId="25">#REF!</definedName>
    <definedName name="ppp" localSheetId="18">#REF!</definedName>
    <definedName name="pr" localSheetId="16">[10]Спецификация!#REF!</definedName>
    <definedName name="pr" localSheetId="25">[10]Спецификация!#REF!</definedName>
    <definedName name="pr" localSheetId="18">[10]Спецификация!#REF!</definedName>
    <definedName name="PriceRange" localSheetId="25">[6]Лист1!#REF!</definedName>
    <definedName name="PriceRange" localSheetId="18">[6]Лист1!#REF!</definedName>
    <definedName name="PriceRange_1" localSheetId="25">[7]Цена!#REF!</definedName>
    <definedName name="PriceRange_1" localSheetId="18">[7]Цена!#REF!</definedName>
    <definedName name="Print_Titles" localSheetId="40">'КСБ Архыз'!$10:$10</definedName>
    <definedName name="Print_Titles" localSheetId="44">'Расчёт по НЦС '!$14:$14</definedName>
    <definedName name="Profit" localSheetId="16">[9]Lucent!#REF!</definedName>
    <definedName name="Profit" localSheetId="25">[9]Lucent!#REF!</definedName>
    <definedName name="Profit" localSheetId="18">[9]Lucent!#REF!</definedName>
    <definedName name="profit2" localSheetId="16">[9]Lucent!#REF!</definedName>
    <definedName name="profit2" localSheetId="25">[9]Lucent!#REF!</definedName>
    <definedName name="profit2" localSheetId="18">[9]Lucent!#REF!</definedName>
    <definedName name="PROJ" localSheetId="16">[10]Спецификация!#REF!</definedName>
    <definedName name="PROJ" localSheetId="25">[10]Спецификация!#REF!</definedName>
    <definedName name="PROJ" localSheetId="18">[10]Спецификация!#REF!</definedName>
    <definedName name="propis" localSheetId="16">#REF!</definedName>
    <definedName name="propis" localSheetId="25">#REF!</definedName>
    <definedName name="propis" localSheetId="18">#REF!</definedName>
    <definedName name="q" localSheetId="16">#REF!</definedName>
    <definedName name="q" localSheetId="25">#REF!</definedName>
    <definedName name="q" localSheetId="18">#REF!</definedName>
    <definedName name="qqq" localSheetId="16" hidden="1">{#N/A,#N/A,TRUE,"Смета на пасс. обор. №1"}</definedName>
    <definedName name="qqq" localSheetId="36" hidden="1">{#N/A,#N/A,TRUE,"Смета на пасс. обор. №1"}</definedName>
    <definedName name="qqq" localSheetId="40" hidden="1">{#N/A,#N/A,TRUE,"Смета на пасс. обор. №1"}</definedName>
    <definedName name="qqq" localSheetId="30" hidden="1">{#N/A,#N/A,TRUE,"Смета на пасс. обор. №1"}</definedName>
    <definedName name="qqq" localSheetId="6" hidden="1">{#N/A,#N/A,TRUE,"Смета на пасс. обор. №1"}</definedName>
    <definedName name="qqq" localSheetId="7" hidden="1">{#N/A,#N/A,TRUE,"Смета на пасс. обор. №1"}</definedName>
    <definedName name="qqq" localSheetId="18" hidden="1">{#N/A,#N/A,TRUE,"Смета на пасс. обор. №1"}</definedName>
    <definedName name="qqq" localSheetId="38" hidden="1">{#N/A,#N/A,TRUE,"Смета на пасс. обор. №1"}</definedName>
    <definedName name="qqq" localSheetId="19" hidden="1">{#N/A,#N/A,TRUE,"Смета на пасс. обор. №1"}</definedName>
    <definedName name="qqq" hidden="1">{#N/A,#N/A,TRUE,"Смета на пасс. обор. №1"}</definedName>
    <definedName name="qqq_1" localSheetId="16" hidden="1">{#N/A,#N/A,TRUE,"Смета на пасс. обор. №1"}</definedName>
    <definedName name="qqq_1" localSheetId="36" hidden="1">{#N/A,#N/A,TRUE,"Смета на пасс. обор. №1"}</definedName>
    <definedName name="qqq_1" localSheetId="40" hidden="1">{#N/A,#N/A,TRUE,"Смета на пасс. обор. №1"}</definedName>
    <definedName name="qqq_1" localSheetId="30" hidden="1">{#N/A,#N/A,TRUE,"Смета на пасс. обор. №1"}</definedName>
    <definedName name="qqq_1" localSheetId="6" hidden="1">{#N/A,#N/A,TRUE,"Смета на пасс. обор. №1"}</definedName>
    <definedName name="qqq_1" localSheetId="7" hidden="1">{#N/A,#N/A,TRUE,"Смета на пасс. обор. №1"}</definedName>
    <definedName name="qqq_1" localSheetId="18" hidden="1">{#N/A,#N/A,TRUE,"Смета на пасс. обор. №1"}</definedName>
    <definedName name="qqq_1" localSheetId="38" hidden="1">{#N/A,#N/A,TRUE,"Смета на пасс. обор. №1"}</definedName>
    <definedName name="qqq_1" localSheetId="19" hidden="1">{#N/A,#N/A,TRUE,"Смета на пасс. обор. №1"}</definedName>
    <definedName name="qqq_1" hidden="1">{#N/A,#N/A,TRUE,"Смета на пасс. обор. №1"}</definedName>
    <definedName name="qqqqqqq" localSheetId="16">[4]топография!#REF!</definedName>
    <definedName name="qqqqqqq" localSheetId="25">[5]топография!#REF!</definedName>
    <definedName name="qqqqqqqqqqqqqqqqqqqqqqqqqqqqqqqqqqq" localSheetId="16">#REF!</definedName>
    <definedName name="qqqqqqqqqqqqqqqqqqqqqqqqqqqqqqqqqqq" localSheetId="25">#REF!</definedName>
    <definedName name="qqqqqqqqqqqqqqqqqqqqqqqqqqqqqqqqqqq" localSheetId="18">#REF!</definedName>
    <definedName name="qwer" localSheetId="16">#REF!</definedName>
    <definedName name="qwer" localSheetId="25">#REF!</definedName>
    <definedName name="qwer" localSheetId="18">#REF!</definedName>
    <definedName name="R_Lst" localSheetId="16">#REF!</definedName>
    <definedName name="R_Lst" localSheetId="25">#REF!</definedName>
    <definedName name="R_Lst" localSheetId="18">#REF!</definedName>
    <definedName name="R_Net" localSheetId="16">#REF!</definedName>
    <definedName name="R_Net" localSheetId="25">#REF!</definedName>
    <definedName name="R_Net" localSheetId="18">#REF!</definedName>
    <definedName name="Rate" localSheetId="25">#REF!</definedName>
    <definedName name="rehl" localSheetId="25">#REF!</definedName>
    <definedName name="rf" localSheetId="25">#REF!</definedName>
    <definedName name="rr" localSheetId="16">'[13]Пример расчета'!#REF!</definedName>
    <definedName name="rr" localSheetId="25">'[13]Пример расчета'!#REF!</definedName>
    <definedName name="rr" localSheetId="18">'[13]Пример расчета'!#REF!</definedName>
    <definedName name="rty" localSheetId="16">#REF!</definedName>
    <definedName name="rty" localSheetId="25">#REF!</definedName>
    <definedName name="rty" localSheetId="18">#REF!</definedName>
    <definedName name="rtyrty" localSheetId="25">#REF!</definedName>
    <definedName name="rtyrty" localSheetId="18">#REF!</definedName>
    <definedName name="sd" localSheetId="25">#REF!</definedName>
    <definedName name="sd" localSheetId="18">#REF!</definedName>
    <definedName name="SD_DC" localSheetId="25">#REF!</definedName>
    <definedName name="sdd" localSheetId="16">[4]топография!#REF!</definedName>
    <definedName name="sdd" localSheetId="25">[5]топография!#REF!</definedName>
    <definedName name="sddsdaD" localSheetId="16">[4]топография!#REF!</definedName>
    <definedName name="sddsdaD" localSheetId="25">[5]топография!#REF!</definedName>
    <definedName name="SDDsfd" localSheetId="16">#REF!</definedName>
    <definedName name="SDDsfd" localSheetId="25">#REF!</definedName>
    <definedName name="SDDsfd" localSheetId="18">#REF!</definedName>
    <definedName name="SDSA" localSheetId="25">#REF!</definedName>
    <definedName name="SDSA" localSheetId="18">#REF!</definedName>
    <definedName name="SF_SFs" localSheetId="25">#REF!</definedName>
    <definedName name="SF_SFs" localSheetId="18">#REF!</definedName>
    <definedName name="SM" localSheetId="16">#REF!</definedName>
    <definedName name="SM" localSheetId="25">#REF!</definedName>
    <definedName name="SM" localSheetId="18">#REF!</definedName>
    <definedName name="SM_SM" localSheetId="25">#REF!</definedName>
    <definedName name="SM_SM" localSheetId="18">#REF!</definedName>
    <definedName name="SM_STO" localSheetId="0">#REF!</definedName>
    <definedName name="SM_STO" localSheetId="25">#REF!</definedName>
    <definedName name="SM_STO_1" localSheetId="25">'[14]СМЕТА проект'!#REF!</definedName>
    <definedName name="SM_STO1" localSheetId="0">#REF!</definedName>
    <definedName name="SM_STO1" localSheetId="25">#REF!</definedName>
    <definedName name="SM_STO1" localSheetId="18">#REF!</definedName>
    <definedName name="SM_STO1_1" localSheetId="25">#REF!</definedName>
    <definedName name="SM_STO1_1" localSheetId="18">#REF!</definedName>
    <definedName name="SM_STO1_1_1" localSheetId="25">#REF!</definedName>
    <definedName name="SM_STO2" localSheetId="0">#REF!</definedName>
    <definedName name="SM_STO2" localSheetId="25">#REF!</definedName>
    <definedName name="SM_STO2_1" localSheetId="25">#REF!</definedName>
    <definedName name="SM_STO3" localSheetId="0">#REF!</definedName>
    <definedName name="SM_STO3" localSheetId="25">#REF!</definedName>
    <definedName name="SM_STO3_1" localSheetId="25">#REF!</definedName>
    <definedName name="Smmmmmmmmmmmmmmm" localSheetId="25">#REF!</definedName>
    <definedName name="SmPr" localSheetId="26">'02-01-08 (аналог)'!$B$16</definedName>
    <definedName name="standard_raks" localSheetId="36" hidden="1">{"IMRAK42x8x8",#N/A,TRUE,"IMRAK 1400 42U 800X800";"IMRAK32x6x6",#N/A,TRUE,"IMRAK 1400 32U 600x600";"IMRAK42x12x8",#N/A,TRUE,"IMRAK 1400 42U 1200x800";"IMRAK15x6x4",#N/A,TRUE,"IMRAK 400 15U FRONT SECTION"}</definedName>
    <definedName name="standard_raks" localSheetId="40" hidden="1">{"IMRAK42x8x8",#N/A,TRUE,"IMRAK 1400 42U 800X800";"IMRAK32x6x6",#N/A,TRUE,"IMRAK 1400 32U 600x600";"IMRAK42x12x8",#N/A,TRUE,"IMRAK 1400 42U 1200x800";"IMRAK15x6x4",#N/A,TRUE,"IMRAK 400 15U FRONT SECTION"}</definedName>
    <definedName name="standard_raks" localSheetId="6" hidden="1">{"IMRAK42x8x8",#N/A,TRUE,"IMRAK 1400 42U 800X800";"IMRAK32x6x6",#N/A,TRUE,"IMRAK 1400 32U 600x600";"IMRAK42x12x8",#N/A,TRUE,"IMRAK 1400 42U 1200x800";"IMRAK15x6x4",#N/A,TRUE,"IMRAK 400 15U FRONT SECTION"}</definedName>
    <definedName name="standard_raks" localSheetId="7" hidden="1">{"IMRAK42x8x8",#N/A,TRUE,"IMRAK 1400 42U 800X800";"IMRAK32x6x6",#N/A,TRUE,"IMRAK 1400 32U 600x600";"IMRAK42x12x8",#N/A,TRUE,"IMRAK 1400 42U 1200x800";"IMRAK15x6x4",#N/A,TRUE,"IMRAK 400 15U FRONT SECTION"}</definedName>
    <definedName name="standard_raks" localSheetId="38" hidden="1">{"IMRAK42x8x8",#N/A,TRUE,"IMRAK 1400 42U 800X800";"IMRAK32x6x6",#N/A,TRUE,"IMRAK 1400 32U 600x600";"IMRAK42x12x8",#N/A,TRUE,"IMRAK 1400 42U 1200x800";"IMRAK15x6x4",#N/A,TRUE,"IMRAK 400 15U FRONT SECTION"}</definedName>
    <definedName name="standard_raks" hidden="1">{"IMRAK42x8x8",#N/A,TRUE,"IMRAK 1400 42U 800X800";"IMRAK32x6x6",#N/A,TRUE,"IMRAK 1400 32U 600x600";"IMRAK42x12x8",#N/A,TRUE,"IMRAK 1400 42U 1200x800";"IMRAK15x6x4",#N/A,TRUE,"IMRAK 400 15U FRONT SECTION"}</definedName>
    <definedName name="Status" localSheetId="16">#REF!</definedName>
    <definedName name="Status" localSheetId="25">#REF!</definedName>
    <definedName name="Status" localSheetId="18">#REF!</definedName>
    <definedName name="SU_5" localSheetId="25">#REF!</definedName>
    <definedName name="SUM_" localSheetId="0">#REF!</definedName>
    <definedName name="SUM_" localSheetId="25">#REF!</definedName>
    <definedName name="SUM__1" localSheetId="25">#REF!</definedName>
    <definedName name="SUM_1" localSheetId="0">#REF!</definedName>
    <definedName name="SUM_1" localSheetId="25">#REF!</definedName>
    <definedName name="SUM_1_1" localSheetId="25">#REF!</definedName>
    <definedName name="SUM_1_1_1" localSheetId="25">#REF!</definedName>
    <definedName name="sum_2" localSheetId="25">#REF!</definedName>
    <definedName name="SUM_3" localSheetId="0">#REF!</definedName>
    <definedName name="SUM_3" localSheetId="25">#REF!</definedName>
    <definedName name="SUM_3_1" localSheetId="25">#REF!</definedName>
    <definedName name="sum_4" localSheetId="25">#REF!</definedName>
    <definedName name="SV" localSheetId="25">#REF!</definedName>
    <definedName name="SV_25" localSheetId="25">#REF!</definedName>
    <definedName name="SV_STO" localSheetId="25">#REF!</definedName>
    <definedName name="t" localSheetId="25">#REF!</definedName>
    <definedName name="Time_diff" localSheetId="25">#REF!</definedName>
    <definedName name="Times" localSheetId="25">#REF!</definedName>
    <definedName name="Times_1" localSheetId="25">#REF!</definedName>
    <definedName name="Times_10" localSheetId="25">#REF!</definedName>
    <definedName name="Times_11" localSheetId="25">#REF!</definedName>
    <definedName name="Times_12" localSheetId="25">#REF!</definedName>
    <definedName name="Times_13" localSheetId="25">#REF!</definedName>
    <definedName name="Times_14" localSheetId="25">#REF!</definedName>
    <definedName name="Times_15" localSheetId="25">#REF!</definedName>
    <definedName name="Times_16" localSheetId="25">#REF!</definedName>
    <definedName name="Times_17" localSheetId="25">#REF!</definedName>
    <definedName name="Times_18" localSheetId="25">#REF!</definedName>
    <definedName name="Times_19" localSheetId="25">#REF!</definedName>
    <definedName name="Times_2" localSheetId="25">#REF!</definedName>
    <definedName name="Times_20" localSheetId="25">#REF!</definedName>
    <definedName name="Times_21" localSheetId="25">#REF!</definedName>
    <definedName name="Times_22" localSheetId="25">#REF!</definedName>
    <definedName name="Times_49" localSheetId="25">#REF!</definedName>
    <definedName name="Times_5" localSheetId="25">#REF!</definedName>
    <definedName name="Times_50" localSheetId="25">#REF!</definedName>
    <definedName name="Times_51" localSheetId="25">#REF!</definedName>
    <definedName name="Times_52" localSheetId="25">#REF!</definedName>
    <definedName name="Times_53" localSheetId="25">#REF!</definedName>
    <definedName name="Times_54" localSheetId="25">#REF!</definedName>
    <definedName name="Times_6" localSheetId="25">#REF!</definedName>
    <definedName name="Times_7" localSheetId="25">#REF!</definedName>
    <definedName name="Times_8" localSheetId="25">#REF!</definedName>
    <definedName name="Times_9" localSheetId="25">#REF!</definedName>
    <definedName name="tyu" localSheetId="16">#REF!</definedName>
    <definedName name="tyu" localSheetId="25">#REF!</definedName>
    <definedName name="tyu" localSheetId="18">#REF!</definedName>
    <definedName name="U_Lst" localSheetId="25">#REF!</definedName>
    <definedName name="U_Lst" localSheetId="18">#REF!</definedName>
    <definedName name="U_Net" localSheetId="25">#REF!</definedName>
    <definedName name="U_Net" localSheetId="18">#REF!</definedName>
    <definedName name="ujl" localSheetId="25">#REF!</definedName>
    <definedName name="USA" localSheetId="25">[15]Шкаф!#REF!</definedName>
    <definedName name="USA_1" localSheetId="16">#REF!</definedName>
    <definedName name="USA_1" localSheetId="25">#REF!</definedName>
    <definedName name="USA_1" localSheetId="18">#REF!</definedName>
    <definedName name="usd" localSheetId="16">#REF!</definedName>
    <definedName name="usd" localSheetId="25">#REF!</definedName>
    <definedName name="usd" localSheetId="18">#REF!</definedName>
    <definedName name="v" localSheetId="25">#REF!</definedName>
    <definedName name="v" localSheetId="18">#REF!</definedName>
    <definedName name="vhjk" localSheetId="16">[4]топография!#REF!</definedName>
    <definedName name="vhjk" localSheetId="25">[5]топография!#REF!</definedName>
    <definedName name="vhjk" localSheetId="18">[5]топография!#REF!</definedName>
    <definedName name="vsego" localSheetId="16">#REF!</definedName>
    <definedName name="vsego" localSheetId="25">#REF!</definedName>
    <definedName name="vsego" localSheetId="18">#REF!</definedName>
    <definedName name="w" localSheetId="25">#REF!</definedName>
    <definedName name="w" localSheetId="18">#REF!</definedName>
    <definedName name="we" localSheetId="16" hidden="1">{#N/A,#N/A,TRUE,"Смета на пасс. обор. №1"}</definedName>
    <definedName name="we" localSheetId="36" hidden="1">{#N/A,#N/A,TRUE,"Смета на пасс. обор. №1"}</definedName>
    <definedName name="we" localSheetId="40" hidden="1">{#N/A,#N/A,TRUE,"Смета на пасс. обор. №1"}</definedName>
    <definedName name="we" localSheetId="30" hidden="1">{#N/A,#N/A,TRUE,"Смета на пасс. обор. №1"}</definedName>
    <definedName name="we" localSheetId="6" hidden="1">{#N/A,#N/A,TRUE,"Смета на пасс. обор. №1"}</definedName>
    <definedName name="we" localSheetId="7" hidden="1">{#N/A,#N/A,TRUE,"Смета на пасс. обор. №1"}</definedName>
    <definedName name="we" localSheetId="18" hidden="1">{#N/A,#N/A,TRUE,"Смета на пасс. обор. №1"}</definedName>
    <definedName name="we" localSheetId="38" hidden="1">{#N/A,#N/A,TRUE,"Смета на пасс. обор. №1"}</definedName>
    <definedName name="we" localSheetId="19" hidden="1">{#N/A,#N/A,TRUE,"Смета на пасс. обор. №1"}</definedName>
    <definedName name="we" hidden="1">{#N/A,#N/A,TRUE,"Смета на пасс. обор. №1"}</definedName>
    <definedName name="we_1" localSheetId="16" hidden="1">{#N/A,#N/A,TRUE,"Смета на пасс. обор. №1"}</definedName>
    <definedName name="we_1" localSheetId="36" hidden="1">{#N/A,#N/A,TRUE,"Смета на пасс. обор. №1"}</definedName>
    <definedName name="we_1" localSheetId="40" hidden="1">{#N/A,#N/A,TRUE,"Смета на пасс. обор. №1"}</definedName>
    <definedName name="we_1" localSheetId="30" hidden="1">{#N/A,#N/A,TRUE,"Смета на пасс. обор. №1"}</definedName>
    <definedName name="we_1" localSheetId="6" hidden="1">{#N/A,#N/A,TRUE,"Смета на пасс. обор. №1"}</definedName>
    <definedName name="we_1" localSheetId="7" hidden="1">{#N/A,#N/A,TRUE,"Смета на пасс. обор. №1"}</definedName>
    <definedName name="we_1" localSheetId="18" hidden="1">{#N/A,#N/A,TRUE,"Смета на пасс. обор. №1"}</definedName>
    <definedName name="we_1" localSheetId="38" hidden="1">{#N/A,#N/A,TRUE,"Смета на пасс. обор. №1"}</definedName>
    <definedName name="we_1" localSheetId="19" hidden="1">{#N/A,#N/A,TRUE,"Смета на пасс. обор. №1"}</definedName>
    <definedName name="we_1" hidden="1">{#N/A,#N/A,TRUE,"Смета на пасс. обор. №1"}</definedName>
    <definedName name="wer" localSheetId="16">#REF!</definedName>
    <definedName name="wer" localSheetId="25">#REF!</definedName>
    <definedName name="wer" localSheetId="18">#REF!</definedName>
    <definedName name="WORK" localSheetId="25">[10]Спецификация!#REF!</definedName>
    <definedName name="wrn.1." localSheetId="16" hidden="1">{#N/A,#N/A,FALSE,"Шаблон_Спец1"}</definedName>
    <definedName name="wrn.1." localSheetId="0" hidden="1">{#N/A,#N/A,FALSE,"Шаблон_Спец1"}</definedName>
    <definedName name="wrn.1." localSheetId="36" hidden="1">{#N/A,#N/A,FALSE,"Шаблон_Спец1"}</definedName>
    <definedName name="wrn.1." localSheetId="40" hidden="1">{#N/A,#N/A,FALSE,"Шаблон_Спец1"}</definedName>
    <definedName name="wrn.1." localSheetId="30" hidden="1">{#N/A,#N/A,FALSE,"Шаблон_Спец1"}</definedName>
    <definedName name="wrn.1." localSheetId="6" hidden="1">{#N/A,#N/A,FALSE,"Шаблон_Спец1"}</definedName>
    <definedName name="wrn.1." localSheetId="7" hidden="1">{#N/A,#N/A,FALSE,"Шаблон_Спец1"}</definedName>
    <definedName name="wrn.1." localSheetId="18" hidden="1">{#N/A,#N/A,FALSE,"Шаблон_Спец1"}</definedName>
    <definedName name="wrn.1." localSheetId="38" hidden="1">{#N/A,#N/A,FALSE,"Шаблон_Спец1"}</definedName>
    <definedName name="wrn.1." localSheetId="19" hidden="1">{#N/A,#N/A,FALSE,"Шаблон_Спец1"}</definedName>
    <definedName name="wrn.1." localSheetId="9" hidden="1">{#N/A,#N/A,FALSE,"Шаблон_Спец1"}</definedName>
    <definedName name="wrn.1." hidden="1">{#N/A,#N/A,FALSE,"Шаблон_Спец1"}</definedName>
    <definedName name="wrn.sp2344." localSheetId="16" hidden="1">{#N/A,#N/A,TRUE,"Смета на пасс. обор. №1"}</definedName>
    <definedName name="wrn.sp2344." localSheetId="36" hidden="1">{#N/A,#N/A,TRUE,"Смета на пасс. обор. №1"}</definedName>
    <definedName name="wrn.sp2344." localSheetId="40" hidden="1">{#N/A,#N/A,TRUE,"Смета на пасс. обор. №1"}</definedName>
    <definedName name="wrn.sp2344." localSheetId="30" hidden="1">{#N/A,#N/A,TRUE,"Смета на пасс. обор. №1"}</definedName>
    <definedName name="wrn.sp2344." localSheetId="6" hidden="1">{#N/A,#N/A,TRUE,"Смета на пасс. обор. №1"}</definedName>
    <definedName name="wrn.sp2344." localSheetId="7" hidden="1">{#N/A,#N/A,TRUE,"Смета на пасс. обор. №1"}</definedName>
    <definedName name="wrn.sp2344." localSheetId="18" hidden="1">{#N/A,#N/A,TRUE,"Смета на пасс. обор. №1"}</definedName>
    <definedName name="wrn.sp2344." localSheetId="38" hidden="1">{#N/A,#N/A,TRUE,"Смета на пасс. обор. №1"}</definedName>
    <definedName name="wrn.sp2344." localSheetId="19" hidden="1">{#N/A,#N/A,TRUE,"Смета на пасс. обор. №1"}</definedName>
    <definedName name="wrn.sp2344." hidden="1">{#N/A,#N/A,TRUE,"Смета на пасс. обор. №1"}</definedName>
    <definedName name="wrn.sp2344._1" localSheetId="16" hidden="1">{#N/A,#N/A,TRUE,"Смета на пасс. обор. №1"}</definedName>
    <definedName name="wrn.sp2344._1" localSheetId="36" hidden="1">{#N/A,#N/A,TRUE,"Смета на пасс. обор. №1"}</definedName>
    <definedName name="wrn.sp2344._1" localSheetId="40" hidden="1">{#N/A,#N/A,TRUE,"Смета на пасс. обор. №1"}</definedName>
    <definedName name="wrn.sp2344._1" localSheetId="30" hidden="1">{#N/A,#N/A,TRUE,"Смета на пасс. обор. №1"}</definedName>
    <definedName name="wrn.sp2344._1" localSheetId="6" hidden="1">{#N/A,#N/A,TRUE,"Смета на пасс. обор. №1"}</definedName>
    <definedName name="wrn.sp2344._1" localSheetId="7" hidden="1">{#N/A,#N/A,TRUE,"Смета на пасс. обор. №1"}</definedName>
    <definedName name="wrn.sp2344._1" localSheetId="18" hidden="1">{#N/A,#N/A,TRUE,"Смета на пасс. обор. №1"}</definedName>
    <definedName name="wrn.sp2344._1" localSheetId="38" hidden="1">{#N/A,#N/A,TRUE,"Смета на пасс. обор. №1"}</definedName>
    <definedName name="wrn.sp2344._1" localSheetId="19" hidden="1">{#N/A,#N/A,TRUE,"Смета на пасс. обор. №1"}</definedName>
    <definedName name="wrn.sp2344._1" hidden="1">{#N/A,#N/A,TRUE,"Смета на пасс. обор. №1"}</definedName>
    <definedName name="wrn.sp2345" localSheetId="16" hidden="1">{#N/A,#N/A,TRUE,"Смета на пасс. обор. №1"}</definedName>
    <definedName name="wrn.sp2345" localSheetId="36" hidden="1">{#N/A,#N/A,TRUE,"Смета на пасс. обор. №1"}</definedName>
    <definedName name="wrn.sp2345" localSheetId="40" hidden="1">{#N/A,#N/A,TRUE,"Смета на пасс. обор. №1"}</definedName>
    <definedName name="wrn.sp2345" localSheetId="30" hidden="1">{#N/A,#N/A,TRUE,"Смета на пасс. обор. №1"}</definedName>
    <definedName name="wrn.sp2345" localSheetId="6" hidden="1">{#N/A,#N/A,TRUE,"Смета на пасс. обор. №1"}</definedName>
    <definedName name="wrn.sp2345" localSheetId="7" hidden="1">{#N/A,#N/A,TRUE,"Смета на пасс. обор. №1"}</definedName>
    <definedName name="wrn.sp2345" localSheetId="18" hidden="1">{#N/A,#N/A,TRUE,"Смета на пасс. обор. №1"}</definedName>
    <definedName name="wrn.sp2345" localSheetId="38" hidden="1">{#N/A,#N/A,TRUE,"Смета на пасс. обор. №1"}</definedName>
    <definedName name="wrn.sp2345" localSheetId="19" hidden="1">{#N/A,#N/A,TRUE,"Смета на пасс. обор. №1"}</definedName>
    <definedName name="wrn.sp2345" hidden="1">{#N/A,#N/A,TRUE,"Смета на пасс. обор. №1"}</definedName>
    <definedName name="wrn.sp2345_1" localSheetId="16" hidden="1">{#N/A,#N/A,TRUE,"Смета на пасс. обор. №1"}</definedName>
    <definedName name="wrn.sp2345_1" localSheetId="36" hidden="1">{#N/A,#N/A,TRUE,"Смета на пасс. обор. №1"}</definedName>
    <definedName name="wrn.sp2345_1" localSheetId="40" hidden="1">{#N/A,#N/A,TRUE,"Смета на пасс. обор. №1"}</definedName>
    <definedName name="wrn.sp2345_1" localSheetId="30" hidden="1">{#N/A,#N/A,TRUE,"Смета на пасс. обор. №1"}</definedName>
    <definedName name="wrn.sp2345_1" localSheetId="6" hidden="1">{#N/A,#N/A,TRUE,"Смета на пасс. обор. №1"}</definedName>
    <definedName name="wrn.sp2345_1" localSheetId="7" hidden="1">{#N/A,#N/A,TRUE,"Смета на пасс. обор. №1"}</definedName>
    <definedName name="wrn.sp2345_1" localSheetId="18" hidden="1">{#N/A,#N/A,TRUE,"Смета на пасс. обор. №1"}</definedName>
    <definedName name="wrn.sp2345_1" localSheetId="38" hidden="1">{#N/A,#N/A,TRUE,"Смета на пасс. обор. №1"}</definedName>
    <definedName name="wrn.sp2345_1" localSheetId="19" hidden="1">{#N/A,#N/A,TRUE,"Смета на пасс. обор. №1"}</definedName>
    <definedName name="wrn.sp2345_1" hidden="1">{#N/A,#N/A,TRUE,"Смета на пасс. обор. №1"}</definedName>
    <definedName name="wrn.STANDARD._.RACKS." localSheetId="36" hidden="1">{"IMRAK42x8x8",#N/A,TRUE,"IMRAK 1400 42U 800X800";"IMRAK32x6x6",#N/A,TRUE,"IMRAK 1400 32U 600x600";"IMRAK42x12x8",#N/A,TRUE,"IMRAK 1400 42U 1200x800";"IMRAK15x6x4",#N/A,TRUE,"IMRAK 400 15U FRONT SECTION"}</definedName>
    <definedName name="wrn.STANDARD._.RACKS." localSheetId="40" hidden="1">{"IMRAK42x8x8",#N/A,TRUE,"IMRAK 1400 42U 800X800";"IMRAK32x6x6",#N/A,TRUE,"IMRAK 1400 32U 600x600";"IMRAK42x12x8",#N/A,TRUE,"IMRAK 1400 42U 1200x800";"IMRAK15x6x4",#N/A,TRUE,"IMRAK 400 15U FRONT SECTION"}</definedName>
    <definedName name="wrn.STANDARD._.RACKS." localSheetId="6" hidden="1">{"IMRAK42x8x8",#N/A,TRUE,"IMRAK 1400 42U 800X800";"IMRAK32x6x6",#N/A,TRUE,"IMRAK 1400 32U 600x600";"IMRAK42x12x8",#N/A,TRUE,"IMRAK 1400 42U 1200x800";"IMRAK15x6x4",#N/A,TRUE,"IMRAK 400 15U FRONT SECTION"}</definedName>
    <definedName name="wrn.STANDARD._.RACKS." localSheetId="7" hidden="1">{"IMRAK42x8x8",#N/A,TRUE,"IMRAK 1400 42U 800X800";"IMRAK32x6x6",#N/A,TRUE,"IMRAK 1400 32U 600x600";"IMRAK42x12x8",#N/A,TRUE,"IMRAK 1400 42U 1200x800";"IMRAK15x6x4",#N/A,TRUE,"IMRAK 400 15U FRONT SECTION"}</definedName>
    <definedName name="wrn.STANDARD._.RACKS." localSheetId="38" hidden="1">{"IMRAK42x8x8",#N/A,TRUE,"IMRAK 1400 42U 800X800";"IMRAK32x6x6",#N/A,TRUE,"IMRAK 1400 32U 600x600";"IMRAK42x12x8",#N/A,TRUE,"IMRAK 1400 42U 1200x800";"IMRAK15x6x4",#N/A,TRUE,"IMRAK 400 15U FRONT SECTION"}</definedName>
    <definedName name="wrn.STANDARD._.RACKS." hidden="1">{"IMRAK42x8x8",#N/A,TRUE,"IMRAK 1400 42U 800X800";"IMRAK32x6x6",#N/A,TRUE,"IMRAK 1400 32U 600x600";"IMRAK42x12x8",#N/A,TRUE,"IMRAK 1400 42U 1200x800";"IMRAK15x6x4",#N/A,TRUE,"IMRAK 400 15U FRONT SECTION"}</definedName>
    <definedName name="wrn.Wys1." localSheetId="36" hidden="1">{#N/A,#N/A,FALSE,"Приложение к справке"}</definedName>
    <definedName name="wrn.Wys1." localSheetId="40" hidden="1">{#N/A,#N/A,FALSE,"Приложение к справке"}</definedName>
    <definedName name="wrn.Wys1." localSheetId="6" hidden="1">{#N/A,#N/A,FALSE,"Приложение к справке"}</definedName>
    <definedName name="wrn.Wys1." localSheetId="7" hidden="1">{#N/A,#N/A,FALSE,"Приложение к справке"}</definedName>
    <definedName name="wrn.Wys1." localSheetId="38" hidden="1">{#N/A,#N/A,FALSE,"Приложение к справке"}</definedName>
    <definedName name="wrn.Wys1." hidden="1">{#N/A,#N/A,FALSE,"Приложение к справке"}</definedName>
    <definedName name="wrn.Wys2" localSheetId="36" hidden="1">{#N/A,#N/A,FALSE,"Приложение к справке"}</definedName>
    <definedName name="wrn.Wys2" localSheetId="40" hidden="1">{#N/A,#N/A,FALSE,"Приложение к справке"}</definedName>
    <definedName name="wrn.Wys2" localSheetId="6" hidden="1">{#N/A,#N/A,FALSE,"Приложение к справке"}</definedName>
    <definedName name="wrn.Wys2" localSheetId="7" hidden="1">{#N/A,#N/A,FALSE,"Приложение к справке"}</definedName>
    <definedName name="wrn.Wys2" localSheetId="38" hidden="1">{#N/A,#N/A,FALSE,"Приложение к справке"}</definedName>
    <definedName name="wrn.Wys2" hidden="1">{#N/A,#N/A,FALSE,"Приложение к справке"}</definedName>
    <definedName name="wrn.Общая._.спецификация." localSheetId="36"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40"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6"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7"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localSheetId="38"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бщая._.спецификация."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n.Основная._.спецификация." localSheetId="36"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Основная._.спецификация." localSheetId="40"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Основная._.спецификация." localSheetId="6"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Основная._.спецификация." localSheetId="7"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Основная._.спецификация." localSheetId="38"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Основная._.спецификация."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wrn.Спецификации." localSheetId="36" hidden="1">{#N/A,#N/A,TRUE,"КЦ11Аб";#N/A,#N/A,TRUE,"КЦ11Тл";#N/A,#N/A,TRUE,"КЦ12Тл";#N/A,#N/A,TRUE,"КЦ13Тл";#N/A,#N/A,TRUE,"КЦ14Тл";#N/A,#N/A,TRUE,"КЦ21Тл";#N/A,#N/A,TRUE,"КЦ22Тл";#N/A,#N/A,TRUE,"КЦ31Тл";#N/A,#N/A,TRUE,"КЦ32Тл";#N/A,#N/A,TRUE,"КЦ11Тн";#N/A,#N/A,TRUE,"Инструмент";#N/A,#N/A,TRUE,"Приборы"}</definedName>
    <definedName name="wrn.Спецификации." localSheetId="40" hidden="1">{#N/A,#N/A,TRUE,"КЦ11Аб";#N/A,#N/A,TRUE,"КЦ11Тл";#N/A,#N/A,TRUE,"КЦ12Тл";#N/A,#N/A,TRUE,"КЦ13Тл";#N/A,#N/A,TRUE,"КЦ14Тл";#N/A,#N/A,TRUE,"КЦ21Тл";#N/A,#N/A,TRUE,"КЦ22Тл";#N/A,#N/A,TRUE,"КЦ31Тл";#N/A,#N/A,TRUE,"КЦ32Тл";#N/A,#N/A,TRUE,"КЦ11Тн";#N/A,#N/A,TRUE,"Инструмент";#N/A,#N/A,TRUE,"Приборы"}</definedName>
    <definedName name="wrn.Спецификации." localSheetId="6" hidden="1">{#N/A,#N/A,TRUE,"КЦ11Аб";#N/A,#N/A,TRUE,"КЦ11Тл";#N/A,#N/A,TRUE,"КЦ12Тл";#N/A,#N/A,TRUE,"КЦ13Тл";#N/A,#N/A,TRUE,"КЦ14Тл";#N/A,#N/A,TRUE,"КЦ21Тл";#N/A,#N/A,TRUE,"КЦ22Тл";#N/A,#N/A,TRUE,"КЦ31Тл";#N/A,#N/A,TRUE,"КЦ32Тл";#N/A,#N/A,TRUE,"КЦ11Тн";#N/A,#N/A,TRUE,"Инструмент";#N/A,#N/A,TRUE,"Приборы"}</definedName>
    <definedName name="wrn.Спецификации." localSheetId="7" hidden="1">{#N/A,#N/A,TRUE,"КЦ11Аб";#N/A,#N/A,TRUE,"КЦ11Тл";#N/A,#N/A,TRUE,"КЦ12Тл";#N/A,#N/A,TRUE,"КЦ13Тл";#N/A,#N/A,TRUE,"КЦ14Тл";#N/A,#N/A,TRUE,"КЦ21Тл";#N/A,#N/A,TRUE,"КЦ22Тл";#N/A,#N/A,TRUE,"КЦ31Тл";#N/A,#N/A,TRUE,"КЦ32Тл";#N/A,#N/A,TRUE,"КЦ11Тн";#N/A,#N/A,TRUE,"Инструмент";#N/A,#N/A,TRUE,"Приборы"}</definedName>
    <definedName name="wrn.Спецификации." localSheetId="38" hidden="1">{#N/A,#N/A,TRUE,"КЦ11Аб";#N/A,#N/A,TRUE,"КЦ11Тл";#N/A,#N/A,TRUE,"КЦ12Тл";#N/A,#N/A,TRUE,"КЦ13Тл";#N/A,#N/A,TRUE,"КЦ14Тл";#N/A,#N/A,TRUE,"КЦ21Тл";#N/A,#N/A,TRUE,"КЦ22Тл";#N/A,#N/A,TRUE,"КЦ31Тл";#N/A,#N/A,TRUE,"КЦ32Тл";#N/A,#N/A,TRUE,"КЦ11Тн";#N/A,#N/A,TRUE,"Инструмент";#N/A,#N/A,TRUE,"Приборы"}</definedName>
    <definedName name="wrn.Спецификации." hidden="1">{#N/A,#N/A,TRUE,"КЦ11Аб";#N/A,#N/A,TRUE,"КЦ11Тл";#N/A,#N/A,TRUE,"КЦ12Тл";#N/A,#N/A,TRUE,"КЦ13Тл";#N/A,#N/A,TRUE,"КЦ14Тл";#N/A,#N/A,TRUE,"КЦ21Тл";#N/A,#N/A,TRUE,"КЦ22Тл";#N/A,#N/A,TRUE,"КЦ31Тл";#N/A,#N/A,TRUE,"КЦ32Тл";#N/A,#N/A,TRUE,"КЦ11Тн";#N/A,#N/A,TRUE,"Инструмент";#N/A,#N/A,TRUE,"Приборы"}</definedName>
    <definedName name="ww" localSheetId="16">#REF!</definedName>
    <definedName name="ww" localSheetId="25">#REF!</definedName>
    <definedName name="ww" localSheetId="18">#REF!</definedName>
    <definedName name="xh" localSheetId="25">#REF!</definedName>
    <definedName name="xh" localSheetId="18">#REF!</definedName>
    <definedName name="xxx" localSheetId="36" hidden="1">{"IMRAK42x8x8",#N/A,TRUE,"IMRAK 1400 42U 800X800";"IMRAK32x6x6",#N/A,TRUE,"IMRAK 1400 32U 600x600";"IMRAK42x12x8",#N/A,TRUE,"IMRAK 1400 42U 1200x800";"IMRAK15x6x4",#N/A,TRUE,"IMRAK 400 15U FRONT SECTION"}</definedName>
    <definedName name="xxx" localSheetId="40" hidden="1">{"IMRAK42x8x8",#N/A,TRUE,"IMRAK 1400 42U 800X800";"IMRAK32x6x6",#N/A,TRUE,"IMRAK 1400 32U 600x600";"IMRAK42x12x8",#N/A,TRUE,"IMRAK 1400 42U 1200x800";"IMRAK15x6x4",#N/A,TRUE,"IMRAK 400 15U FRONT SECTION"}</definedName>
    <definedName name="xxx" localSheetId="6" hidden="1">{"IMRAK42x8x8",#N/A,TRUE,"IMRAK 1400 42U 800X800";"IMRAK32x6x6",#N/A,TRUE,"IMRAK 1400 32U 600x600";"IMRAK42x12x8",#N/A,TRUE,"IMRAK 1400 42U 1200x800";"IMRAK15x6x4",#N/A,TRUE,"IMRAK 400 15U FRONT SECTION"}</definedName>
    <definedName name="xxx" localSheetId="7" hidden="1">{"IMRAK42x8x8",#N/A,TRUE,"IMRAK 1400 42U 800X800";"IMRAK32x6x6",#N/A,TRUE,"IMRAK 1400 32U 600x600";"IMRAK42x12x8",#N/A,TRUE,"IMRAK 1400 42U 1200x800";"IMRAK15x6x4",#N/A,TRUE,"IMRAK 400 15U FRONT SECTION"}</definedName>
    <definedName name="xxx" localSheetId="38" hidden="1">{"IMRAK42x8x8",#N/A,TRUE,"IMRAK 1400 42U 800X800";"IMRAK32x6x6",#N/A,TRUE,"IMRAK 1400 32U 600x600";"IMRAK42x12x8",#N/A,TRUE,"IMRAK 1400 42U 1200x800";"IMRAK15x6x4",#N/A,TRUE,"IMRAK 400 15U FRONT SECTION"}</definedName>
    <definedName name="xxx" hidden="1">{"IMRAK42x8x8",#N/A,TRUE,"IMRAK 1400 42U 800X800";"IMRAK32x6x6",#N/A,TRUE,"IMRAK 1400 32U 600x600";"IMRAK42x12x8",#N/A,TRUE,"IMRAK 1400 42U 1200x800";"IMRAK15x6x4",#N/A,TRUE,"IMRAK 400 15U FRONT SECTION"}</definedName>
    <definedName name="y" localSheetId="25">#REF!</definedName>
    <definedName name="y" localSheetId="18">#REF!</definedName>
    <definedName name="Yamaha_26" localSheetId="25">#REF!</definedName>
    <definedName name="yui" localSheetId="25">#REF!</definedName>
    <definedName name="yyy" localSheetId="25">#REF!</definedName>
    <definedName name="ZAK1" localSheetId="0">#REF!</definedName>
    <definedName name="ZAK1" localSheetId="25">#REF!</definedName>
    <definedName name="ZAK1_1" localSheetId="25">#REF!</definedName>
    <definedName name="ZAK2" localSheetId="0">#REF!</definedName>
    <definedName name="ZAK2" localSheetId="25">#REF!</definedName>
    <definedName name="ZAK2_1" localSheetId="25">#REF!</definedName>
    <definedName name="zak3" localSheetId="25">#REF!</definedName>
    <definedName name="zxdc" localSheetId="25">#REF!</definedName>
    <definedName name="zzzz" localSheetId="25">#REF!</definedName>
    <definedName name="а" localSheetId="16" hidden="1">{#N/A,#N/A,TRUE,"Смета на пасс. обор. №1"}</definedName>
    <definedName name="а" localSheetId="36" hidden="1">{#N/A,#N/A,TRUE,"Смета на пасс. обор. №1"}</definedName>
    <definedName name="а" localSheetId="40" hidden="1">{#N/A,#N/A,TRUE,"Смета на пасс. обор. №1"}</definedName>
    <definedName name="а" localSheetId="30" hidden="1">{#N/A,#N/A,TRUE,"Смета на пасс. обор. №1"}</definedName>
    <definedName name="а" localSheetId="6" hidden="1">{#N/A,#N/A,TRUE,"Смета на пасс. обор. №1"}</definedName>
    <definedName name="а" localSheetId="7" hidden="1">{#N/A,#N/A,TRUE,"Смета на пасс. обор. №1"}</definedName>
    <definedName name="а" localSheetId="18" hidden="1">{#N/A,#N/A,TRUE,"Смета на пасс. обор. №1"}</definedName>
    <definedName name="а" localSheetId="38" hidden="1">{#N/A,#N/A,TRUE,"Смета на пасс. обор. №1"}</definedName>
    <definedName name="а" localSheetId="19" hidden="1">{#N/A,#N/A,TRUE,"Смета на пасс. обор. №1"}</definedName>
    <definedName name="а" hidden="1">{#N/A,#N/A,TRUE,"Смета на пасс. обор. №1"}</definedName>
    <definedName name="а_1" localSheetId="16" hidden="1">{#N/A,#N/A,TRUE,"Смета на пасс. обор. №1"}</definedName>
    <definedName name="а_1" localSheetId="36" hidden="1">{#N/A,#N/A,TRUE,"Смета на пасс. обор. №1"}</definedName>
    <definedName name="а_1" localSheetId="40" hidden="1">{#N/A,#N/A,TRUE,"Смета на пасс. обор. №1"}</definedName>
    <definedName name="а_1" localSheetId="30" hidden="1">{#N/A,#N/A,TRUE,"Смета на пасс. обор. №1"}</definedName>
    <definedName name="а_1" localSheetId="6" hidden="1">{#N/A,#N/A,TRUE,"Смета на пасс. обор. №1"}</definedName>
    <definedName name="а_1" localSheetId="7" hidden="1">{#N/A,#N/A,TRUE,"Смета на пасс. обор. №1"}</definedName>
    <definedName name="а_1" localSheetId="18" hidden="1">{#N/A,#N/A,TRUE,"Смета на пасс. обор. №1"}</definedName>
    <definedName name="а_1" localSheetId="38" hidden="1">{#N/A,#N/A,TRUE,"Смета на пасс. обор. №1"}</definedName>
    <definedName name="а_1" localSheetId="19" hidden="1">{#N/A,#N/A,TRUE,"Смета на пасс. обор. №1"}</definedName>
    <definedName name="а_1" hidden="1">{#N/A,#N/A,TRUE,"Смета на пасс. обор. №1"}</definedName>
    <definedName name="а1" localSheetId="16">#REF!</definedName>
    <definedName name="а1" localSheetId="25">#REF!</definedName>
    <definedName name="а1" localSheetId="18">#REF!</definedName>
    <definedName name="А15" localSheetId="25">#REF!</definedName>
    <definedName name="А15" localSheetId="18">#REF!</definedName>
    <definedName name="А2" localSheetId="25">#REF!</definedName>
    <definedName name="А2" localSheetId="18">#REF!</definedName>
    <definedName name="А34" localSheetId="25">#REF!</definedName>
    <definedName name="а35" localSheetId="25">#REF!</definedName>
    <definedName name="а36" localSheetId="0">#REF!</definedName>
    <definedName name="а36" localSheetId="25">#REF!</definedName>
    <definedName name="а36_1" localSheetId="25">#REF!</definedName>
    <definedName name="аа" localSheetId="16">[4]топография!#REF!</definedName>
    <definedName name="аа" localSheetId="0">[5]топография!#REF!</definedName>
    <definedName name="аа" localSheetId="25">[5]топография!#REF!</definedName>
    <definedName name="ААА" localSheetId="16">#REF!</definedName>
    <definedName name="ааа" localSheetId="36" hidden="1">{#N/A,#N/A,FALSE,"Приложение к справке"}</definedName>
    <definedName name="ААА" localSheetId="25">#REF!</definedName>
    <definedName name="ААА" localSheetId="18">#REF!</definedName>
    <definedName name="аааа" localSheetId="25">#REF!</definedName>
    <definedName name="аааа" localSheetId="18">#REF!</definedName>
    <definedName name="ааааа" localSheetId="25">#REF!</definedName>
    <definedName name="ааааа" localSheetId="18">#REF!</definedName>
    <definedName name="аааааа" localSheetId="25">#REF!</definedName>
    <definedName name="ааааааа" localSheetId="25">#REF!</definedName>
    <definedName name="аб" localSheetId="25">#REF!</definedName>
    <definedName name="ав" localSheetId="25">#REF!</definedName>
    <definedName name="ав_1" localSheetId="25">#REF!</definedName>
    <definedName name="авввввввввввввввввввв" localSheetId="25">#REF!</definedName>
    <definedName name="авпявап" localSheetId="25">#REF!</definedName>
    <definedName name="авпяпав" localSheetId="25">#REF!</definedName>
    <definedName name="авРВп" localSheetId="25">#REF!</definedName>
    <definedName name="авс" localSheetId="25">#REF!</definedName>
    <definedName name="автом" localSheetId="25">#REF!</definedName>
    <definedName name="аглвг" localSheetId="25">#REF!</definedName>
    <definedName name="админ" localSheetId="25">#REF!</definedName>
    <definedName name="аднг" localSheetId="25">#REF!</definedName>
    <definedName name="адоад" localSheetId="25">#REF!</definedName>
    <definedName name="адожд" localSheetId="25">#REF!</definedName>
    <definedName name="Азб" localSheetId="25">#REF!</definedName>
    <definedName name="ало" localSheetId="16">#REF!</definedName>
    <definedName name="ало" localSheetId="25">#REF!</definedName>
    <definedName name="ало" localSheetId="18">#REF!</definedName>
    <definedName name="Алтайский_край" localSheetId="25">#REF!</definedName>
    <definedName name="Алтайский_край" localSheetId="18">#REF!</definedName>
    <definedName name="Алтайский_край_1" localSheetId="25">#REF!</definedName>
    <definedName name="Алтайский_край_1" localSheetId="18">#REF!</definedName>
    <definedName name="Амурская_область" localSheetId="25">#REF!</definedName>
    <definedName name="Амурская_область_1" localSheetId="25">#REF!</definedName>
    <definedName name="ангданга" localSheetId="25">#REF!</definedName>
    <definedName name="ангщ" localSheetId="25">#REF!</definedName>
    <definedName name="анд" localSheetId="25">#REF!</definedName>
    <definedName name="анол" localSheetId="25">#REF!</definedName>
    <definedName name="анрл" localSheetId="16">[4]топография!#REF!</definedName>
    <definedName name="анрл" localSheetId="25">[5]топография!#REF!</definedName>
    <definedName name="аода" localSheetId="16">#REF!</definedName>
    <definedName name="аода" localSheetId="25">#REF!</definedName>
    <definedName name="аода" localSheetId="18">#REF!</definedName>
    <definedName name="аодадо" localSheetId="25">#REF!</definedName>
    <definedName name="аодадо" localSheetId="18">#REF!</definedName>
    <definedName name="аодра" localSheetId="25">#REF!</definedName>
    <definedName name="аодра" localSheetId="18">#REF!</definedName>
    <definedName name="аол" localSheetId="16">[4]топография!#REF!</definedName>
    <definedName name="аол" localSheetId="25">[5]топография!#REF!</definedName>
    <definedName name="аол" localSheetId="18">[5]топография!#REF!</definedName>
    <definedName name="аопы" localSheetId="16">#REF!</definedName>
    <definedName name="аопы" localSheetId="25">#REF!</definedName>
    <definedName name="аопы" localSheetId="18">#REF!</definedName>
    <definedName name="аопыао" localSheetId="25">#REF!</definedName>
    <definedName name="аопыао" localSheetId="18">#REF!</definedName>
    <definedName name="аоыао" localSheetId="25">#REF!</definedName>
    <definedName name="аоыао" localSheetId="18">#REF!</definedName>
    <definedName name="ап" localSheetId="16" hidden="1">{#N/A,#N/A,TRUE,"Смета на пасс. обор. №1"}</definedName>
    <definedName name="ап" localSheetId="36" hidden="1">{#N/A,#N/A,TRUE,"Смета на пасс. обор. №1"}</definedName>
    <definedName name="ап" localSheetId="40" hidden="1">{#N/A,#N/A,TRUE,"Смета на пасс. обор. №1"}</definedName>
    <definedName name="ап" localSheetId="30" hidden="1">{#N/A,#N/A,TRUE,"Смета на пасс. обор. №1"}</definedName>
    <definedName name="ап" localSheetId="6" hidden="1">{#N/A,#N/A,TRUE,"Смета на пасс. обор. №1"}</definedName>
    <definedName name="ап" localSheetId="7" hidden="1">{#N/A,#N/A,TRUE,"Смета на пасс. обор. №1"}</definedName>
    <definedName name="ап" localSheetId="18" hidden="1">{#N/A,#N/A,TRUE,"Смета на пасс. обор. №1"}</definedName>
    <definedName name="ап" localSheetId="38" hidden="1">{#N/A,#N/A,TRUE,"Смета на пасс. обор. №1"}</definedName>
    <definedName name="ап" localSheetId="19" hidden="1">{#N/A,#N/A,TRUE,"Смета на пасс. обор. №1"}</definedName>
    <definedName name="ап" hidden="1">{#N/A,#N/A,TRUE,"Смета на пасс. обор. №1"}</definedName>
    <definedName name="ап_1" localSheetId="16" hidden="1">{#N/A,#N/A,TRUE,"Смета на пасс. обор. №1"}</definedName>
    <definedName name="ап_1" localSheetId="36" hidden="1">{#N/A,#N/A,TRUE,"Смета на пасс. обор. №1"}</definedName>
    <definedName name="ап_1" localSheetId="40" hidden="1">{#N/A,#N/A,TRUE,"Смета на пасс. обор. №1"}</definedName>
    <definedName name="ап_1" localSheetId="30" hidden="1">{#N/A,#N/A,TRUE,"Смета на пасс. обор. №1"}</definedName>
    <definedName name="ап_1" localSheetId="6" hidden="1">{#N/A,#N/A,TRUE,"Смета на пасс. обор. №1"}</definedName>
    <definedName name="ап_1" localSheetId="7" hidden="1">{#N/A,#N/A,TRUE,"Смета на пасс. обор. №1"}</definedName>
    <definedName name="ап_1" localSheetId="18" hidden="1">{#N/A,#N/A,TRUE,"Смета на пасс. обор. №1"}</definedName>
    <definedName name="ап_1" localSheetId="38" hidden="1">{#N/A,#N/A,TRUE,"Смета на пасс. обор. №1"}</definedName>
    <definedName name="ап_1" localSheetId="19" hidden="1">{#N/A,#N/A,TRUE,"Смета на пасс. обор. №1"}</definedName>
    <definedName name="ап_1" hidden="1">{#N/A,#N/A,TRUE,"Смета на пасс. обор. №1"}</definedName>
    <definedName name="ап12" localSheetId="16">#REF!</definedName>
    <definedName name="ап12" localSheetId="25">#REF!</definedName>
    <definedName name="ап12" localSheetId="18">#REF!</definedName>
    <definedName name="апоап" localSheetId="25">#REF!</definedName>
    <definedName name="апоап" localSheetId="18">#REF!</definedName>
    <definedName name="аповоп" localSheetId="25">#REF!</definedName>
    <definedName name="аповоп" localSheetId="18">#REF!</definedName>
    <definedName name="апопр" localSheetId="25">#REF!</definedName>
    <definedName name="апорапо" localSheetId="25">#REF!</definedName>
    <definedName name="апотиа" localSheetId="25">#REF!</definedName>
    <definedName name="апоыа" localSheetId="25">#REF!</definedName>
    <definedName name="апоыаоп" localSheetId="25">#REF!</definedName>
    <definedName name="апоыапо" localSheetId="25">#REF!</definedName>
    <definedName name="апоыоо" localSheetId="25">#REF!</definedName>
    <definedName name="апр" localSheetId="16" hidden="1">{#N/A,#N/A,TRUE,"Смета на пасс. обор. №1"}</definedName>
    <definedName name="апр" localSheetId="36" hidden="1">{#N/A,#N/A,TRUE,"Смета на пасс. обор. №1"}</definedName>
    <definedName name="апр" localSheetId="40" hidden="1">{#N/A,#N/A,TRUE,"Смета на пасс. обор. №1"}</definedName>
    <definedName name="апр" localSheetId="30" hidden="1">{#N/A,#N/A,TRUE,"Смета на пасс. обор. №1"}</definedName>
    <definedName name="апр" localSheetId="6" hidden="1">{#N/A,#N/A,TRUE,"Смета на пасс. обор. №1"}</definedName>
    <definedName name="апр" localSheetId="7" hidden="1">{#N/A,#N/A,TRUE,"Смета на пасс. обор. №1"}</definedName>
    <definedName name="апр" localSheetId="18" hidden="1">{#N/A,#N/A,TRUE,"Смета на пасс. обор. №1"}</definedName>
    <definedName name="апр" localSheetId="38" hidden="1">{#N/A,#N/A,TRUE,"Смета на пасс. обор. №1"}</definedName>
    <definedName name="апр" localSheetId="19" hidden="1">{#N/A,#N/A,TRUE,"Смета на пасс. обор. №1"}</definedName>
    <definedName name="апр" hidden="1">{#N/A,#N/A,TRUE,"Смета на пасс. обор. №1"}</definedName>
    <definedName name="апр_1" localSheetId="16" hidden="1">{#N/A,#N/A,TRUE,"Смета на пасс. обор. №1"}</definedName>
    <definedName name="апр_1" localSheetId="36" hidden="1">{#N/A,#N/A,TRUE,"Смета на пасс. обор. №1"}</definedName>
    <definedName name="апр_1" localSheetId="40" hidden="1">{#N/A,#N/A,TRUE,"Смета на пасс. обор. №1"}</definedName>
    <definedName name="апр_1" localSheetId="30" hidden="1">{#N/A,#N/A,TRUE,"Смета на пасс. обор. №1"}</definedName>
    <definedName name="апр_1" localSheetId="6" hidden="1">{#N/A,#N/A,TRUE,"Смета на пасс. обор. №1"}</definedName>
    <definedName name="апр_1" localSheetId="7" hidden="1">{#N/A,#N/A,TRUE,"Смета на пасс. обор. №1"}</definedName>
    <definedName name="апр_1" localSheetId="18" hidden="1">{#N/A,#N/A,TRUE,"Смета на пасс. обор. №1"}</definedName>
    <definedName name="апр_1" localSheetId="38" hidden="1">{#N/A,#N/A,TRUE,"Смета на пасс. обор. №1"}</definedName>
    <definedName name="апр_1" localSheetId="19" hidden="1">{#N/A,#N/A,TRUE,"Смета на пасс. обор. №1"}</definedName>
    <definedName name="апр_1" hidden="1">{#N/A,#N/A,TRUE,"Смета на пасс. обор. №1"}</definedName>
    <definedName name="аправи" localSheetId="16">#REF!</definedName>
    <definedName name="аправи" localSheetId="25">#REF!</definedName>
    <definedName name="аправи" localSheetId="18">#REF!</definedName>
    <definedName name="апрво" localSheetId="25">#REF!</definedName>
    <definedName name="апрво" localSheetId="18">#REF!</definedName>
    <definedName name="апрыа" localSheetId="25">#REF!</definedName>
    <definedName name="апрыа" localSheetId="18">#REF!</definedName>
    <definedName name="апрыапр" localSheetId="16">[4]топография!#REF!</definedName>
    <definedName name="апрыапр" localSheetId="25">[5]топография!#REF!</definedName>
    <definedName name="апрыапр" localSheetId="18">[5]топография!#REF!</definedName>
    <definedName name="апыо" localSheetId="16">#REF!</definedName>
    <definedName name="апыо" localSheetId="25">#REF!</definedName>
    <definedName name="апыо" localSheetId="18">#REF!</definedName>
    <definedName name="апырр" localSheetId="25">#REF!</definedName>
    <definedName name="апырр" localSheetId="18">#REF!</definedName>
    <definedName name="араера" localSheetId="25">#REF!</definedName>
    <definedName name="араера" localSheetId="18">#REF!</definedName>
    <definedName name="арбь" localSheetId="25">#REF!</definedName>
    <definedName name="арл" localSheetId="25">#REF!</definedName>
    <definedName name="арла" localSheetId="16">[4]топография!#REF!</definedName>
    <definedName name="арла" localSheetId="25">[5]топография!#REF!</definedName>
    <definedName name="аро" localSheetId="16">#REF!</definedName>
    <definedName name="аро" localSheetId="25">#REF!</definedName>
    <definedName name="аро" localSheetId="18">#REF!</definedName>
    <definedName name="ародар" localSheetId="25">#REF!</definedName>
    <definedName name="ародар" localSheetId="18">#REF!</definedName>
    <definedName name="ародард" localSheetId="16">[4]топография!#REF!</definedName>
    <definedName name="ародард" localSheetId="25">[5]топография!#REF!</definedName>
    <definedName name="ародард" localSheetId="18">[5]топография!#REF!</definedName>
    <definedName name="ародарод" localSheetId="16">#REF!</definedName>
    <definedName name="ародарод" localSheetId="25">#REF!</definedName>
    <definedName name="ародарод" localSheetId="18">#REF!</definedName>
    <definedName name="ародра" localSheetId="25">#REF!</definedName>
    <definedName name="ародра" localSheetId="18">#REF!</definedName>
    <definedName name="арол" localSheetId="25">#REF!</definedName>
    <definedName name="арол" localSheetId="18">#REF!</definedName>
    <definedName name="аролаол" localSheetId="25">#REF!</definedName>
    <definedName name="арпа" localSheetId="25">#REF!</definedName>
    <definedName name="Архангельская_область" localSheetId="25">#REF!</definedName>
    <definedName name="Архангельская_область_1" localSheetId="25">#REF!</definedName>
    <definedName name="арьдбра" localSheetId="16">[4]топография!#REF!</definedName>
    <definedName name="арьдбра" localSheetId="25">[5]топография!#REF!</definedName>
    <definedName name="астр" localSheetId="16">#REF!</definedName>
    <definedName name="астр" localSheetId="25">#REF!</definedName>
    <definedName name="астр" localSheetId="18">#REF!</definedName>
    <definedName name="Астраханская_область" localSheetId="25">#REF!</definedName>
    <definedName name="Астраханская_область" localSheetId="18">#REF!</definedName>
    <definedName name="Астрахань" localSheetId="25">#REF!</definedName>
    <definedName name="Астрахань" localSheetId="18">#REF!</definedName>
    <definedName name="Астрахань_1" localSheetId="25">#REF!</definedName>
    <definedName name="Астрахань_2" localSheetId="25">#REF!</definedName>
    <definedName name="Астрахань_22" localSheetId="25">#REF!</definedName>
    <definedName name="Астрахань_49" localSheetId="25">#REF!</definedName>
    <definedName name="Астрахань_5" localSheetId="25">#REF!</definedName>
    <definedName name="Астрахань_50" localSheetId="25">#REF!</definedName>
    <definedName name="Астрахань_51" localSheetId="25">#REF!</definedName>
    <definedName name="Астрахань_52" localSheetId="25">#REF!</definedName>
    <definedName name="Астрахань_53" localSheetId="25">#REF!</definedName>
    <definedName name="Астрахань_54" localSheetId="25">#REF!</definedName>
    <definedName name="АСУТП" localSheetId="25">#REF!</definedName>
    <definedName name="АСУТП2" localSheetId="25">#REF!</definedName>
    <definedName name="АСУТП2_1" localSheetId="25">#REF!</definedName>
    <definedName name="АСУТП2_2" localSheetId="25">#REF!</definedName>
    <definedName name="АСУТП2_22" localSheetId="25">#REF!</definedName>
    <definedName name="АСУТП2_49" localSheetId="25">#REF!</definedName>
    <definedName name="АСУТП2_5" localSheetId="25">#REF!</definedName>
    <definedName name="АСУТП2_50" localSheetId="25">#REF!</definedName>
    <definedName name="АСУТП2_51" localSheetId="25">#REF!</definedName>
    <definedName name="АСУТП2_52" localSheetId="25">#REF!</definedName>
    <definedName name="АСУТП2_53" localSheetId="25">#REF!</definedName>
    <definedName name="АСУТП2_54" localSheetId="25">#REF!</definedName>
    <definedName name="АСУТПАстрахань" localSheetId="25">#REF!</definedName>
    <definedName name="АСУТПАстрахань_1" localSheetId="25">#REF!</definedName>
    <definedName name="АСУТПАстрахань_2" localSheetId="25">#REF!</definedName>
    <definedName name="АСУТПАстрахань_22" localSheetId="25">#REF!</definedName>
    <definedName name="АСУТПАстрахань_49" localSheetId="25">#REF!</definedName>
    <definedName name="АСУТПАстрахань_5" localSheetId="25">#REF!</definedName>
    <definedName name="АСУТПАстрахань_50" localSheetId="25">#REF!</definedName>
    <definedName name="АСУТПАстрахань_51" localSheetId="25">#REF!</definedName>
    <definedName name="АСУТПАстрахань_52" localSheetId="25">#REF!</definedName>
    <definedName name="АСУТПАстрахань_53" localSheetId="25">#REF!</definedName>
    <definedName name="АСУТПАстрахань_54" localSheetId="25">#REF!</definedName>
    <definedName name="АСУТПН.Новгород" localSheetId="25">#REF!</definedName>
    <definedName name="АСУТПН.Новгород_1" localSheetId="25">#REF!</definedName>
    <definedName name="АСУТПН.Новгород_2" localSheetId="25">#REF!</definedName>
    <definedName name="АСУТПН.Новгород_22" localSheetId="25">#REF!</definedName>
    <definedName name="АСУТПН.Новгород_49" localSheetId="25">#REF!</definedName>
    <definedName name="АСУТПН.Новгород_5" localSheetId="25">#REF!</definedName>
    <definedName name="АСУТПН.Новгород_50" localSheetId="25">#REF!</definedName>
    <definedName name="АСУТПН.Новгород_51" localSheetId="25">#REF!</definedName>
    <definedName name="АСУТПН.Новгород_52" localSheetId="25">#REF!</definedName>
    <definedName name="АСУТПН.Новгород_53" localSheetId="25">#REF!</definedName>
    <definedName name="АСУТПН.Новгород_54" localSheetId="25">#REF!</definedName>
    <definedName name="АСУТПСтаврополь" localSheetId="25">#REF!</definedName>
    <definedName name="АСУТПСтаврополь_1" localSheetId="25">#REF!</definedName>
    <definedName name="АСУТПСтаврополь_2" localSheetId="25">#REF!</definedName>
    <definedName name="АСУТПСтаврополь_22" localSheetId="25">#REF!</definedName>
    <definedName name="АСУТПСтаврополь_49" localSheetId="25">#REF!</definedName>
    <definedName name="АСУТПСтаврополь_5" localSheetId="25">#REF!</definedName>
    <definedName name="АСУТПСтаврополь_50" localSheetId="25">#REF!</definedName>
    <definedName name="АСУТПСтаврополь_51" localSheetId="25">#REF!</definedName>
    <definedName name="АСУТПСтаврополь_52" localSheetId="25">#REF!</definedName>
    <definedName name="АСУТПСтаврополь_53" localSheetId="25">#REF!</definedName>
    <definedName name="АСУТПСтаврополь_54" localSheetId="25">#REF!</definedName>
    <definedName name="АФС" localSheetId="16">[4]топография!#REF!</definedName>
    <definedName name="АФС" localSheetId="25">[5]топография!#REF!</definedName>
    <definedName name="ацуацу" localSheetId="40">#REF!</definedName>
    <definedName name="ачпо" localSheetId="16">[4]топография!#REF!</definedName>
    <definedName name="ачпо" localSheetId="25">[5]топография!#REF!</definedName>
    <definedName name="аыв" localSheetId="16">#REF!</definedName>
    <definedName name="аыв" localSheetId="25">#REF!</definedName>
    <definedName name="аыв" localSheetId="18">#REF!</definedName>
    <definedName name="аыоап" localSheetId="25">#REF!</definedName>
    <definedName name="аыоап" localSheetId="18">#REF!</definedName>
    <definedName name="аыоапо" localSheetId="25">#REF!</definedName>
    <definedName name="аыоапо" localSheetId="18">#REF!</definedName>
    <definedName name="аыопыао" localSheetId="25">#REF!</definedName>
    <definedName name="аыпр" localSheetId="16">[4]топография!#REF!</definedName>
    <definedName name="аыпр" localSheetId="25">[5]топография!#REF!</definedName>
    <definedName name="аыпрыпр" localSheetId="16">#REF!</definedName>
    <definedName name="аыпрыпр" localSheetId="25">#REF!</definedName>
    <definedName name="аыпрыпр" localSheetId="18">#REF!</definedName>
    <definedName name="аыыпо" localSheetId="16">[4]топография!#REF!</definedName>
    <definedName name="аыыпо" localSheetId="25">[5]топография!#REF!</definedName>
    <definedName name="аыыпо" localSheetId="18">[5]топография!#REF!</definedName>
    <definedName name="б" localSheetId="16" hidden="1">{#N/A,#N/A,TRUE,"Смета на пасс. обор. №1"}</definedName>
    <definedName name="б" localSheetId="36" hidden="1">{#N/A,#N/A,TRUE,"Смета на пасс. обор. №1"}</definedName>
    <definedName name="б" localSheetId="40" hidden="1">{#N/A,#N/A,TRUE,"Смета на пасс. обор. №1"}</definedName>
    <definedName name="б" localSheetId="30" hidden="1">{#N/A,#N/A,TRUE,"Смета на пасс. обор. №1"}</definedName>
    <definedName name="б" localSheetId="6" hidden="1">{#N/A,#N/A,TRUE,"Смета на пасс. обор. №1"}</definedName>
    <definedName name="б" localSheetId="7" hidden="1">{#N/A,#N/A,TRUE,"Смета на пасс. обор. №1"}</definedName>
    <definedName name="б" localSheetId="18" hidden="1">{#N/A,#N/A,TRUE,"Смета на пасс. обор. №1"}</definedName>
    <definedName name="б" localSheetId="38" hidden="1">{#N/A,#N/A,TRUE,"Смета на пасс. обор. №1"}</definedName>
    <definedName name="б" localSheetId="19" hidden="1">{#N/A,#N/A,TRUE,"Смета на пасс. обор. №1"}</definedName>
    <definedName name="б" hidden="1">{#N/A,#N/A,TRUE,"Смета на пасс. обор. №1"}</definedName>
    <definedName name="б_1" localSheetId="16" hidden="1">{#N/A,#N/A,TRUE,"Смета на пасс. обор. №1"}</definedName>
    <definedName name="б_1" localSheetId="36" hidden="1">{#N/A,#N/A,TRUE,"Смета на пасс. обор. №1"}</definedName>
    <definedName name="б_1" localSheetId="40" hidden="1">{#N/A,#N/A,TRUE,"Смета на пасс. обор. №1"}</definedName>
    <definedName name="б_1" localSheetId="30" hidden="1">{#N/A,#N/A,TRUE,"Смета на пасс. обор. №1"}</definedName>
    <definedName name="б_1" localSheetId="6" hidden="1">{#N/A,#N/A,TRUE,"Смета на пасс. обор. №1"}</definedName>
    <definedName name="б_1" localSheetId="7" hidden="1">{#N/A,#N/A,TRUE,"Смета на пасс. обор. №1"}</definedName>
    <definedName name="б_1" localSheetId="18" hidden="1">{#N/A,#N/A,TRUE,"Смета на пасс. обор. №1"}</definedName>
    <definedName name="б_1" localSheetId="38" hidden="1">{#N/A,#N/A,TRUE,"Смета на пасс. обор. №1"}</definedName>
    <definedName name="б_1" localSheetId="19" hidden="1">{#N/A,#N/A,TRUE,"Смета на пасс. обор. №1"}</definedName>
    <definedName name="б_1" hidden="1">{#N/A,#N/A,TRUE,"Смета на пасс. обор. №1"}</definedName>
    <definedName name="бабабла" localSheetId="16" hidden="1">{#N/A,#N/A,TRUE,"Смета на пасс. обор. №1"}</definedName>
    <definedName name="бабабла" localSheetId="36" hidden="1">{#N/A,#N/A,TRUE,"Смета на пасс. обор. №1"}</definedName>
    <definedName name="бабабла" localSheetId="40" hidden="1">{#N/A,#N/A,TRUE,"Смета на пасс. обор. №1"}</definedName>
    <definedName name="бабабла" localSheetId="30" hidden="1">{#N/A,#N/A,TRUE,"Смета на пасс. обор. №1"}</definedName>
    <definedName name="бабабла" localSheetId="6" hidden="1">{#N/A,#N/A,TRUE,"Смета на пасс. обор. №1"}</definedName>
    <definedName name="бабабла" localSheetId="7" hidden="1">{#N/A,#N/A,TRUE,"Смета на пасс. обор. №1"}</definedName>
    <definedName name="бабабла" localSheetId="18" hidden="1">{#N/A,#N/A,TRUE,"Смета на пасс. обор. №1"}</definedName>
    <definedName name="бабабла" localSheetId="38" hidden="1">{#N/A,#N/A,TRUE,"Смета на пасс. обор. №1"}</definedName>
    <definedName name="бабабла" localSheetId="19" hidden="1">{#N/A,#N/A,TRUE,"Смета на пасс. обор. №1"}</definedName>
    <definedName name="бабабла" hidden="1">{#N/A,#N/A,TRUE,"Смета на пасс. обор. №1"}</definedName>
    <definedName name="бабабла_1" localSheetId="16" hidden="1">{#N/A,#N/A,TRUE,"Смета на пасс. обор. №1"}</definedName>
    <definedName name="бабабла_1" localSheetId="36" hidden="1">{#N/A,#N/A,TRUE,"Смета на пасс. обор. №1"}</definedName>
    <definedName name="бабабла_1" localSheetId="40" hidden="1">{#N/A,#N/A,TRUE,"Смета на пасс. обор. №1"}</definedName>
    <definedName name="бабабла_1" localSheetId="30" hidden="1">{#N/A,#N/A,TRUE,"Смета на пасс. обор. №1"}</definedName>
    <definedName name="бабабла_1" localSheetId="6" hidden="1">{#N/A,#N/A,TRUE,"Смета на пасс. обор. №1"}</definedName>
    <definedName name="бабабла_1" localSheetId="7" hidden="1">{#N/A,#N/A,TRUE,"Смета на пасс. обор. №1"}</definedName>
    <definedName name="бабабла_1" localSheetId="18" hidden="1">{#N/A,#N/A,TRUE,"Смета на пасс. обор. №1"}</definedName>
    <definedName name="бабабла_1" localSheetId="38" hidden="1">{#N/A,#N/A,TRUE,"Смета на пасс. обор. №1"}</definedName>
    <definedName name="бабабла_1" localSheetId="19" hidden="1">{#N/A,#N/A,TRUE,"Смета на пасс. обор. №1"}</definedName>
    <definedName name="бабабла_1" hidden="1">{#N/A,#N/A,TRUE,"Смета на пасс. обор. №1"}</definedName>
    <definedName name="БАК2" localSheetId="16">#REF!</definedName>
    <definedName name="БАК2" localSheetId="25">#REF!</definedName>
    <definedName name="БАК2" localSheetId="18">#REF!</definedName>
    <definedName name="бббб" localSheetId="36" hidden="1">{#N/A,#N/A,TRUE,"Смета на пасс. обор. №1"}</definedName>
    <definedName name="бббб" localSheetId="40" hidden="1">{#N/A,#N/A,TRUE,"Смета на пасс. обор. №1"}</definedName>
    <definedName name="бббб" localSheetId="6" hidden="1">{#N/A,#N/A,TRUE,"Смета на пасс. обор. №1"}</definedName>
    <definedName name="бббб" localSheetId="7" hidden="1">{#N/A,#N/A,TRUE,"Смета на пасс. обор. №1"}</definedName>
    <definedName name="бббб" localSheetId="38" hidden="1">{#N/A,#N/A,TRUE,"Смета на пасс. обор. №1"}</definedName>
    <definedName name="бббб" hidden="1">{#N/A,#N/A,TRUE,"Смета на пасс. обор. №1"}</definedName>
    <definedName name="Белгородская_область" localSheetId="25">#REF!</definedName>
    <definedName name="Белгородская_область" localSheetId="18">#REF!</definedName>
    <definedName name="Бланк_сметы" localSheetId="25">#REF!</definedName>
    <definedName name="Бланк_сметы" localSheetId="18">#REF!</definedName>
    <definedName name="бол" localSheetId="16" hidden="1">{#N/A,#N/A,TRUE,"Смета на пасс. обор. №1"}</definedName>
    <definedName name="бол" localSheetId="36" hidden="1">{#N/A,#N/A,TRUE,"Смета на пасс. обор. №1"}</definedName>
    <definedName name="бол" localSheetId="40" hidden="1">{#N/A,#N/A,TRUE,"Смета на пасс. обор. №1"}</definedName>
    <definedName name="бол" localSheetId="30" hidden="1">{#N/A,#N/A,TRUE,"Смета на пасс. обор. №1"}</definedName>
    <definedName name="бол" localSheetId="6" hidden="1">{#N/A,#N/A,TRUE,"Смета на пасс. обор. №1"}</definedName>
    <definedName name="бол" localSheetId="7" hidden="1">{#N/A,#N/A,TRUE,"Смета на пасс. обор. №1"}</definedName>
    <definedName name="бол" localSheetId="18" hidden="1">{#N/A,#N/A,TRUE,"Смета на пасс. обор. №1"}</definedName>
    <definedName name="бол" localSheetId="38" hidden="1">{#N/A,#N/A,TRUE,"Смета на пасс. обор. №1"}</definedName>
    <definedName name="бол" localSheetId="19" hidden="1">{#N/A,#N/A,TRUE,"Смета на пасс. обор. №1"}</definedName>
    <definedName name="бол" hidden="1">{#N/A,#N/A,TRUE,"Смета на пасс. обор. №1"}</definedName>
    <definedName name="бол_1" localSheetId="16" hidden="1">{#N/A,#N/A,TRUE,"Смета на пасс. обор. №1"}</definedName>
    <definedName name="бол_1" localSheetId="36" hidden="1">{#N/A,#N/A,TRUE,"Смета на пасс. обор. №1"}</definedName>
    <definedName name="бол_1" localSheetId="40" hidden="1">{#N/A,#N/A,TRUE,"Смета на пасс. обор. №1"}</definedName>
    <definedName name="бол_1" localSheetId="30" hidden="1">{#N/A,#N/A,TRUE,"Смета на пасс. обор. №1"}</definedName>
    <definedName name="бол_1" localSheetId="6" hidden="1">{#N/A,#N/A,TRUE,"Смета на пасс. обор. №1"}</definedName>
    <definedName name="бол_1" localSheetId="7" hidden="1">{#N/A,#N/A,TRUE,"Смета на пасс. обор. №1"}</definedName>
    <definedName name="бол_1" localSheetId="18" hidden="1">{#N/A,#N/A,TRUE,"Смета на пасс. обор. №1"}</definedName>
    <definedName name="бол_1" localSheetId="38" hidden="1">{#N/A,#N/A,TRUE,"Смета на пасс. обор. №1"}</definedName>
    <definedName name="бол_1" localSheetId="19" hidden="1">{#N/A,#N/A,TRUE,"Смета на пасс. обор. №1"}</definedName>
    <definedName name="бол_1" hidden="1">{#N/A,#N/A,TRUE,"Смета на пасс. обор. №1"}</definedName>
    <definedName name="бпрбь" localSheetId="16">#REF!</definedName>
    <definedName name="бпрбь" localSheetId="25">#REF!</definedName>
    <definedName name="бпрбь" localSheetId="18">#REF!</definedName>
    <definedName name="Брянская_область" localSheetId="25">#REF!</definedName>
    <definedName name="Брянская_область" localSheetId="18">#REF!</definedName>
    <definedName name="БСИР" localSheetId="25">#REF!</definedName>
    <definedName name="БСИР" localSheetId="18">#REF!</definedName>
    <definedName name="Буровой_понтон" localSheetId="25">#REF!</definedName>
    <definedName name="в" localSheetId="16" hidden="1">{#N/A,#N/A,TRUE,"Смета на пасс. обор. №1"}</definedName>
    <definedName name="в" localSheetId="36" hidden="1">{#N/A,#N/A,TRUE,"Смета на пасс. обор. №1"}</definedName>
    <definedName name="в" localSheetId="40" hidden="1">{#N/A,#N/A,TRUE,"Смета на пасс. обор. №1"}</definedName>
    <definedName name="в" localSheetId="30" hidden="1">{#N/A,#N/A,TRUE,"Смета на пасс. обор. №1"}</definedName>
    <definedName name="в" localSheetId="6" hidden="1">{#N/A,#N/A,TRUE,"Смета на пасс. обор. №1"}</definedName>
    <definedName name="в" localSheetId="7" hidden="1">{#N/A,#N/A,TRUE,"Смета на пасс. обор. №1"}</definedName>
    <definedName name="в" localSheetId="18" hidden="1">{#N/A,#N/A,TRUE,"Смета на пасс. обор. №1"}</definedName>
    <definedName name="в" localSheetId="38" hidden="1">{#N/A,#N/A,TRUE,"Смета на пасс. обор. №1"}</definedName>
    <definedName name="в" localSheetId="19" hidden="1">{#N/A,#N/A,TRUE,"Смета на пасс. обор. №1"}</definedName>
    <definedName name="в" hidden="1">{#N/A,#N/A,TRUE,"Смета на пасс. обор. №1"}</definedName>
    <definedName name="в_1" localSheetId="16" hidden="1">{#N/A,#N/A,TRUE,"Смета на пасс. обор. №1"}</definedName>
    <definedName name="в_1" localSheetId="36" hidden="1">{#N/A,#N/A,TRUE,"Смета на пасс. обор. №1"}</definedName>
    <definedName name="в_1" localSheetId="40" hidden="1">{#N/A,#N/A,TRUE,"Смета на пасс. обор. №1"}</definedName>
    <definedName name="в_1" localSheetId="30" hidden="1">{#N/A,#N/A,TRUE,"Смета на пасс. обор. №1"}</definedName>
    <definedName name="в_1" localSheetId="6" hidden="1">{#N/A,#N/A,TRUE,"Смета на пасс. обор. №1"}</definedName>
    <definedName name="в_1" localSheetId="7" hidden="1">{#N/A,#N/A,TRUE,"Смета на пасс. обор. №1"}</definedName>
    <definedName name="в_1" localSheetId="18" hidden="1">{#N/A,#N/A,TRUE,"Смета на пасс. обор. №1"}</definedName>
    <definedName name="в_1" localSheetId="38" hidden="1">{#N/A,#N/A,TRUE,"Смета на пасс. обор. №1"}</definedName>
    <definedName name="в_1" localSheetId="19" hidden="1">{#N/A,#N/A,TRUE,"Смета на пасс. обор. №1"}</definedName>
    <definedName name="в_1" hidden="1">{#N/A,#N/A,TRUE,"Смета на пасс. обор. №1"}</definedName>
    <definedName name="В5" localSheetId="16">#REF!</definedName>
    <definedName name="В5" localSheetId="25">#REF!</definedName>
    <definedName name="В5" localSheetId="18">#REF!</definedName>
    <definedName name="ва" localSheetId="16">#REF!</definedName>
    <definedName name="ва" localSheetId="25">#REF!</definedName>
    <definedName name="ва" localSheetId="18">#REF!</definedName>
    <definedName name="ва3" localSheetId="25">#REF!</definedName>
    <definedName name="ва3" localSheetId="18">#REF!</definedName>
    <definedName name="вав" localSheetId="16">[4]топография!#REF!</definedName>
    <definedName name="вав" localSheetId="25">[5]топография!#REF!</definedName>
    <definedName name="вав" localSheetId="18">[5]топография!#REF!</definedName>
    <definedName name="вава" localSheetId="16">#REF!</definedName>
    <definedName name="вава" localSheetId="25">#REF!</definedName>
    <definedName name="вава" localSheetId="18">#REF!</definedName>
    <definedName name="вавввввввввввввв" localSheetId="25">#REF!</definedName>
    <definedName name="вавввввввввввввв" localSheetId="18">#REF!</definedName>
    <definedName name="ВАЛ_" localSheetId="25">#REF!</definedName>
    <definedName name="ВАЛ_" localSheetId="18">#REF!</definedName>
    <definedName name="ВАЛ_1" localSheetId="25">#REF!</definedName>
    <definedName name="ВАЛ_4" localSheetId="25">#REF!</definedName>
    <definedName name="Валаам" localSheetId="25">#REF!</definedName>
    <definedName name="вангл" localSheetId="25">#REF!</definedName>
    <definedName name="ванлр" localSheetId="25">#REF!</definedName>
    <definedName name="ванол" localSheetId="16">[4]топография!#REF!</definedName>
    <definedName name="ванол" localSheetId="25">[5]топография!#REF!</definedName>
    <definedName name="вао" localSheetId="16">#REF!</definedName>
    <definedName name="вао" localSheetId="25">#REF!</definedName>
    <definedName name="вао" localSheetId="18">#REF!</definedName>
    <definedName name="вап" localSheetId="16" hidden="1">{#N/A,#N/A,TRUE,"Смета на пасс. обор. №1"}</definedName>
    <definedName name="вап" localSheetId="36" hidden="1">{#N/A,#N/A,TRUE,"Смета на пасс. обор. №1"}</definedName>
    <definedName name="вап" localSheetId="40" hidden="1">{#N/A,#N/A,TRUE,"Смета на пасс. обор. №1"}</definedName>
    <definedName name="вап" localSheetId="30" hidden="1">{#N/A,#N/A,TRUE,"Смета на пасс. обор. №1"}</definedName>
    <definedName name="вап" localSheetId="6" hidden="1">{#N/A,#N/A,TRUE,"Смета на пасс. обор. №1"}</definedName>
    <definedName name="вап" localSheetId="7" hidden="1">{#N/A,#N/A,TRUE,"Смета на пасс. обор. №1"}</definedName>
    <definedName name="вап" localSheetId="18" hidden="1">{#N/A,#N/A,TRUE,"Смета на пасс. обор. №1"}</definedName>
    <definedName name="вап" localSheetId="38" hidden="1">{#N/A,#N/A,TRUE,"Смета на пасс. обор. №1"}</definedName>
    <definedName name="вап" localSheetId="19" hidden="1">{#N/A,#N/A,TRUE,"Смета на пасс. обор. №1"}</definedName>
    <definedName name="вап" hidden="1">{#N/A,#N/A,TRUE,"Смета на пасс. обор. №1"}</definedName>
    <definedName name="вап_1" localSheetId="16" hidden="1">{#N/A,#N/A,TRUE,"Смета на пасс. обор. №1"}</definedName>
    <definedName name="вап_1" localSheetId="36" hidden="1">{#N/A,#N/A,TRUE,"Смета на пасс. обор. №1"}</definedName>
    <definedName name="вап_1" localSheetId="40" hidden="1">{#N/A,#N/A,TRUE,"Смета на пасс. обор. №1"}</definedName>
    <definedName name="вап_1" localSheetId="30" hidden="1">{#N/A,#N/A,TRUE,"Смета на пасс. обор. №1"}</definedName>
    <definedName name="вап_1" localSheetId="6" hidden="1">{#N/A,#N/A,TRUE,"Смета на пасс. обор. №1"}</definedName>
    <definedName name="вап_1" localSheetId="7" hidden="1">{#N/A,#N/A,TRUE,"Смета на пасс. обор. №1"}</definedName>
    <definedName name="вап_1" localSheetId="18" hidden="1">{#N/A,#N/A,TRUE,"Смета на пасс. обор. №1"}</definedName>
    <definedName name="вап_1" localSheetId="38" hidden="1">{#N/A,#N/A,TRUE,"Смета на пасс. обор. №1"}</definedName>
    <definedName name="вап_1" localSheetId="19" hidden="1">{#N/A,#N/A,TRUE,"Смета на пасс. обор. №1"}</definedName>
    <definedName name="вап_1" hidden="1">{#N/A,#N/A,TRUE,"Смета на пасс. обор. №1"}</definedName>
    <definedName name="вапапо" localSheetId="16" hidden="1">{#N/A,#N/A,TRUE,"Смета на пасс. обор. №1"}</definedName>
    <definedName name="вапапо" localSheetId="36" hidden="1">{#N/A,#N/A,TRUE,"Смета на пасс. обор. №1"}</definedName>
    <definedName name="вапапо" localSheetId="40" hidden="1">{#N/A,#N/A,TRUE,"Смета на пасс. обор. №1"}</definedName>
    <definedName name="вапапо" localSheetId="30" hidden="1">{#N/A,#N/A,TRUE,"Смета на пасс. обор. №1"}</definedName>
    <definedName name="вапапо" localSheetId="6" hidden="1">{#N/A,#N/A,TRUE,"Смета на пасс. обор. №1"}</definedName>
    <definedName name="вапапо" localSheetId="7" hidden="1">{#N/A,#N/A,TRUE,"Смета на пасс. обор. №1"}</definedName>
    <definedName name="вапапо" localSheetId="18" hidden="1">{#N/A,#N/A,TRUE,"Смета на пасс. обор. №1"}</definedName>
    <definedName name="вапапо" localSheetId="38" hidden="1">{#N/A,#N/A,TRUE,"Смета на пасс. обор. №1"}</definedName>
    <definedName name="вапапо" localSheetId="19" hidden="1">{#N/A,#N/A,TRUE,"Смета на пасс. обор. №1"}</definedName>
    <definedName name="вапапо" hidden="1">{#N/A,#N/A,TRUE,"Смета на пасс. обор. №1"}</definedName>
    <definedName name="вапапо_1" localSheetId="16" hidden="1">{#N/A,#N/A,TRUE,"Смета на пасс. обор. №1"}</definedName>
    <definedName name="вапапо_1" localSheetId="36" hidden="1">{#N/A,#N/A,TRUE,"Смета на пасс. обор. №1"}</definedName>
    <definedName name="вапапо_1" localSheetId="40" hidden="1">{#N/A,#N/A,TRUE,"Смета на пасс. обор. №1"}</definedName>
    <definedName name="вапапо_1" localSheetId="30" hidden="1">{#N/A,#N/A,TRUE,"Смета на пасс. обор. №1"}</definedName>
    <definedName name="вапапо_1" localSheetId="6" hidden="1">{#N/A,#N/A,TRUE,"Смета на пасс. обор. №1"}</definedName>
    <definedName name="вапапо_1" localSheetId="7" hidden="1">{#N/A,#N/A,TRUE,"Смета на пасс. обор. №1"}</definedName>
    <definedName name="вапапо_1" localSheetId="18" hidden="1">{#N/A,#N/A,TRUE,"Смета на пасс. обор. №1"}</definedName>
    <definedName name="вапапо_1" localSheetId="38" hidden="1">{#N/A,#N/A,TRUE,"Смета на пасс. обор. №1"}</definedName>
    <definedName name="вапапо_1" localSheetId="19" hidden="1">{#N/A,#N/A,TRUE,"Смета на пасс. обор. №1"}</definedName>
    <definedName name="вапапо_1" hidden="1">{#N/A,#N/A,TRUE,"Смета на пасс. обор. №1"}</definedName>
    <definedName name="вапвя" localSheetId="16">#REF!</definedName>
    <definedName name="вапвя" localSheetId="25">#REF!</definedName>
    <definedName name="вапвя" localSheetId="18">#REF!</definedName>
    <definedName name="вапр" localSheetId="25">#REF!</definedName>
    <definedName name="вапр" localSheetId="18">#REF!</definedName>
    <definedName name="вапяп" localSheetId="25">#REF!</definedName>
    <definedName name="вапяп" localSheetId="18">#REF!</definedName>
    <definedName name="вар" localSheetId="16">[4]топография!#REF!</definedName>
    <definedName name="вар" localSheetId="25">[5]топография!#REF!</definedName>
    <definedName name="вар" localSheetId="18">[5]топография!#REF!</definedName>
    <definedName name="варо" localSheetId="16">#REF!</definedName>
    <definedName name="варо" localSheetId="25">#REF!</definedName>
    <definedName name="варо" localSheetId="18">#REF!</definedName>
    <definedName name="вафывффффффф" localSheetId="25">#REF!</definedName>
    <definedName name="вафывффффффф" localSheetId="18">#REF!</definedName>
    <definedName name="ваы" localSheetId="25">#REF!</definedName>
    <definedName name="ваы" localSheetId="18">#REF!</definedName>
    <definedName name="вв" localSheetId="16">[4]топография!#REF!</definedName>
    <definedName name="вв" localSheetId="0">[5]топография!#REF!</definedName>
    <definedName name="вв" localSheetId="25">[5]топография!#REF!</definedName>
    <definedName name="вв" localSheetId="18">[5]топография!#REF!</definedName>
    <definedName name="ввв" localSheetId="16">#REF!</definedName>
    <definedName name="ввв" localSheetId="25">#REF!</definedName>
    <definedName name="ввв" localSheetId="18">#REF!</definedName>
    <definedName name="вввв" localSheetId="25">#REF!</definedName>
    <definedName name="вввв" localSheetId="18">#REF!</definedName>
    <definedName name="ввод" localSheetId="25">#REF!</definedName>
    <definedName name="ввод" localSheetId="18">#REF!</definedName>
    <definedName name="ввод_1" localSheetId="25">#REF!</definedName>
    <definedName name="ввод_49" localSheetId="25">#REF!</definedName>
    <definedName name="ввод_50" localSheetId="25">#REF!</definedName>
    <definedName name="ввод_51" localSheetId="25">#REF!</definedName>
    <definedName name="ввод_52" localSheetId="25">#REF!</definedName>
    <definedName name="ввод_53" localSheetId="25">#REF!</definedName>
    <definedName name="ввод_54" localSheetId="25">#REF!</definedName>
    <definedName name="вген" localSheetId="25">#REF!</definedName>
    <definedName name="вглльа" localSheetId="25">#REF!</definedName>
    <definedName name="ве" localSheetId="25">#REF!</definedName>
    <definedName name="ведущий" localSheetId="25">#REF!</definedName>
    <definedName name="венл" localSheetId="25">#REF!</definedName>
    <definedName name="вено" localSheetId="25">#REF!</definedName>
    <definedName name="веноевн" localSheetId="25">#REF!</definedName>
    <definedName name="венолвенп" localSheetId="25">#REF!</definedName>
    <definedName name="веноь" localSheetId="25">#REF!</definedName>
    <definedName name="венрол" localSheetId="25">#REF!</definedName>
    <definedName name="венш" localSheetId="25">#REF!</definedName>
    <definedName name="вео" localSheetId="25">#REF!</definedName>
    <definedName name="веше" localSheetId="25">#REF!</definedName>
    <definedName name="вика" localSheetId="25">#REF!</definedName>
    <definedName name="вирваы" localSheetId="25">#REF!</definedName>
    <definedName name="вкпвп" localSheetId="25">#REF!</definedName>
    <definedName name="Владимирская_область" localSheetId="25">#REF!</definedName>
    <definedName name="влнг" localSheetId="16">[4]топография!#REF!</definedName>
    <definedName name="влнг" localSheetId="25">[5]топография!#REF!</definedName>
    <definedName name="внеове" localSheetId="16">#REF!</definedName>
    <definedName name="внеове" localSheetId="25">#REF!</definedName>
    <definedName name="внеове" localSheetId="18">#REF!</definedName>
    <definedName name="внеое" localSheetId="25">#REF!</definedName>
    <definedName name="внеое" localSheetId="18">#REF!</definedName>
    <definedName name="внлг" localSheetId="25">#REF!</definedName>
    <definedName name="внлг" localSheetId="18">#REF!</definedName>
    <definedName name="внорьп" localSheetId="25">#REF!</definedName>
    <definedName name="внр" localSheetId="25">#REF!</definedName>
    <definedName name="Внут_Т" localSheetId="25">#REF!</definedName>
    <definedName name="вов" localSheetId="25">#REF!</definedName>
    <definedName name="вое" localSheetId="25">#REF!</definedName>
    <definedName name="Волгоградская_область" localSheetId="25">#REF!</definedName>
    <definedName name="Вологодская_область" localSheetId="25">#REF!</definedName>
    <definedName name="Вологодская_область_1" localSheetId="25">#REF!</definedName>
    <definedName name="воп" localSheetId="16">[4]топография!#REF!</definedName>
    <definedName name="воп" localSheetId="25">[5]топография!#REF!</definedName>
    <definedName name="вопрв" localSheetId="16">#REF!</definedName>
    <definedName name="вопрв" localSheetId="25">#REF!</definedName>
    <definedName name="вопрв" localSheetId="18">#REF!</definedName>
    <definedName name="вопров" localSheetId="25">#REF!</definedName>
    <definedName name="вопров" localSheetId="18">#REF!</definedName>
    <definedName name="Воронежская_область" localSheetId="25">#REF!</definedName>
    <definedName name="Воронежская_область" localSheetId="18">#REF!</definedName>
    <definedName name="Вп" localSheetId="25">#REF!</definedName>
    <definedName name="впа" localSheetId="25">#REF!</definedName>
    <definedName name="впо" localSheetId="25">#REF!</definedName>
    <definedName name="впоп" localSheetId="16">[4]топография!#REF!</definedName>
    <definedName name="впоп" localSheetId="25">[5]топография!#REF!</definedName>
    <definedName name="впор" localSheetId="16">#REF!</definedName>
    <definedName name="впор" localSheetId="25">#REF!</definedName>
    <definedName name="впор" localSheetId="18">#REF!</definedName>
    <definedName name="впр" localSheetId="25">#REF!</definedName>
    <definedName name="впр" localSheetId="18">#REF!</definedName>
    <definedName name="впрвпр" localSheetId="25">#REF!</definedName>
    <definedName name="впрвпр" localSheetId="18">#REF!</definedName>
    <definedName name="впрл" localSheetId="25">#REF!</definedName>
    <definedName name="впрлвпр" localSheetId="25">#REF!</definedName>
    <definedName name="впрлпр" localSheetId="25">#REF!</definedName>
    <definedName name="впрлрпл" localSheetId="25">#REF!</definedName>
    <definedName name="впро" localSheetId="25">#REF!</definedName>
    <definedName name="впров" localSheetId="25">#REF!</definedName>
    <definedName name="впрь" localSheetId="25">#REF!</definedName>
    <definedName name="впрьвп" localSheetId="25">#REF!</definedName>
    <definedName name="впрьрь" localSheetId="25">#REF!</definedName>
    <definedName name="вр" localSheetId="25">#REF!</definedName>
    <definedName name="вравар" localSheetId="25">#REF!</definedName>
    <definedName name="вро" localSheetId="16">#REF!</definedName>
    <definedName name="вро" localSheetId="25">#REF!</definedName>
    <definedName name="вро" localSheetId="18">#REF!</definedName>
    <definedName name="вров" localSheetId="25">#REF!</definedName>
    <definedName name="вров" localSheetId="18">#REF!</definedName>
    <definedName name="вровап" localSheetId="25">#REF!</definedName>
    <definedName name="вровап" localSheetId="18">#REF!</definedName>
    <definedName name="врп" localSheetId="25">#REF!</definedName>
    <definedName name="врплнл" localSheetId="25">#REF!</definedName>
    <definedName name="врпов" localSheetId="25">#REF!</definedName>
    <definedName name="врповор" localSheetId="25">#REF!</definedName>
    <definedName name="врпьт" localSheetId="16">[4]топография!#REF!</definedName>
    <definedName name="врпьт" localSheetId="25">[5]топография!#REF!</definedName>
    <definedName name="врь" localSheetId="16">[4]топография!#REF!</definedName>
    <definedName name="врь" localSheetId="25">[5]топография!#REF!</definedName>
    <definedName name="врьпврь" localSheetId="16">#REF!</definedName>
    <definedName name="врьпврь" localSheetId="25">#REF!</definedName>
    <definedName name="врьпврь" localSheetId="18">#REF!</definedName>
    <definedName name="ВСЕГО" localSheetId="16">#REF!</definedName>
    <definedName name="ВСЕГО" localSheetId="25">#REF!</definedName>
    <definedName name="ВСЕГО" localSheetId="18">#REF!</definedName>
    <definedName name="Всего_по_смете" localSheetId="25">#REF!</definedName>
    <definedName name="Всего_по_смете" localSheetId="18">#REF!</definedName>
    <definedName name="ВсегоШурфов" localSheetId="16">#REF!</definedName>
    <definedName name="ВсегоШурфов" localSheetId="25">#REF!</definedName>
    <definedName name="ВсегоШурфов" localSheetId="18">#REF!</definedName>
    <definedName name="Вспом" localSheetId="25">#REF!</definedName>
    <definedName name="Вспом" localSheetId="18">#REF!</definedName>
    <definedName name="Вспомогательные_работы" localSheetId="25">#REF!</definedName>
    <definedName name="Вспомогательные_работы" localSheetId="18">#REF!</definedName>
    <definedName name="ВТ" localSheetId="25">#REF!</definedName>
    <definedName name="втор_кат" localSheetId="25">#REF!</definedName>
    <definedName name="Вторич" localSheetId="25">#REF!</definedName>
    <definedName name="второй" localSheetId="25">#REF!</definedName>
    <definedName name="втратар" localSheetId="25">#REF!</definedName>
    <definedName name="выеуекп" localSheetId="40">#REF!</definedName>
    <definedName name="выфвы" localSheetId="16">[11]ПДР!#REF!</definedName>
    <definedName name="выфвы" localSheetId="25">[11]ПДР!#REF!</definedName>
    <definedName name="выфвы" localSheetId="18">[11]ПДР!#REF!</definedName>
    <definedName name="Вычислительная_техника" localSheetId="16">[15]Коэфф1.!#REF!</definedName>
    <definedName name="Вычислительная_техника" localSheetId="25">[15]Коэфф1.!#REF!</definedName>
    <definedName name="Вычислительная_техника" localSheetId="18">[15]Коэфф1.!#REF!</definedName>
    <definedName name="Вычислительная_техника_1" localSheetId="16">#REF!</definedName>
    <definedName name="Вычислительная_техника_1" localSheetId="25">#REF!</definedName>
    <definedName name="Вычислительная_техника_1" localSheetId="18">#REF!</definedName>
    <definedName name="выы" localSheetId="25">#REF!</definedName>
    <definedName name="выы" localSheetId="18">#REF!</definedName>
    <definedName name="г" localSheetId="25">#REF!</definedName>
    <definedName name="г" localSheetId="18">#REF!</definedName>
    <definedName name="г76шл7лш7" localSheetId="36" hidden="1">{#N/A,#N/A,TRUE,"Смета на пасс. обор. №1"}</definedName>
    <definedName name="г76шл7лш7" localSheetId="40" hidden="1">{#N/A,#N/A,TRUE,"Смета на пасс. обор. №1"}</definedName>
    <definedName name="г76шл7лш7" localSheetId="6" hidden="1">{#N/A,#N/A,TRUE,"Смета на пасс. обор. №1"}</definedName>
    <definedName name="г76шл7лш7" localSheetId="7" hidden="1">{#N/A,#N/A,TRUE,"Смета на пасс. обор. №1"}</definedName>
    <definedName name="г76шл7лш7" localSheetId="38" hidden="1">{#N/A,#N/A,TRUE,"Смета на пасс. обор. №1"}</definedName>
    <definedName name="г76шл7лш7" hidden="1">{#N/A,#N/A,TRUE,"Смета на пасс. обор. №1"}</definedName>
    <definedName name="Гаафик" localSheetId="36" hidden="1">{#N/A,#N/A,FALSE,"Приложение к справке"}</definedName>
    <definedName name="Гаафик" localSheetId="40" hidden="1">{#N/A,#N/A,FALSE,"Приложение к справке"}</definedName>
    <definedName name="Гаафик" localSheetId="6" hidden="1">{#N/A,#N/A,FALSE,"Приложение к справке"}</definedName>
    <definedName name="Гаафик" localSheetId="7" hidden="1">{#N/A,#N/A,FALSE,"Приложение к справке"}</definedName>
    <definedName name="Гаафик" localSheetId="38" hidden="1">{#N/A,#N/A,FALSE,"Приложение к справке"}</definedName>
    <definedName name="Гаафик" hidden="1">{#N/A,#N/A,FALSE,"Приложение к справке"}</definedName>
    <definedName name="ГАП" localSheetId="16">#REF!</definedName>
    <definedName name="ГАП" localSheetId="25">#REF!</definedName>
    <definedName name="ггггггггггггггггггггггггггггггггггггггггггггггг" localSheetId="16">[4]топография!#REF!</definedName>
    <definedName name="ггггггггггггггггггггггггггггггггггггггггггггггг" localSheetId="25">[5]топография!#REF!</definedName>
    <definedName name="гегмо" localSheetId="40">#REF!</definedName>
    <definedName name="гелог" localSheetId="16">#REF!</definedName>
    <definedName name="гелог" localSheetId="25">#REF!</definedName>
    <definedName name="гелог" localSheetId="18">#REF!</definedName>
    <definedName name="гео" localSheetId="25">#REF!</definedName>
    <definedName name="гео" localSheetId="18">#REF!</definedName>
    <definedName name="геог" localSheetId="25">#REF!</definedName>
    <definedName name="геог" localSheetId="18">#REF!</definedName>
    <definedName name="геодезия" localSheetId="16">#REF!</definedName>
    <definedName name="геодезия" localSheetId="25">#REF!</definedName>
    <definedName name="геодезия" localSheetId="18">#REF!</definedName>
    <definedName name="геол" localSheetId="16">[16]Смета!#REF!</definedName>
    <definedName name="геол" localSheetId="25">[17]Смета!#REF!</definedName>
    <definedName name="геол" localSheetId="18">[17]Смета!#REF!</definedName>
    <definedName name="геол.1" localSheetId="16">#REF!</definedName>
    <definedName name="геол.1" localSheetId="25">#REF!</definedName>
    <definedName name="геол.1" localSheetId="18">#REF!</definedName>
    <definedName name="геол_1" localSheetId="16">[18]Смета!#REF!</definedName>
    <definedName name="геол_1" localSheetId="25">[18]Смета!#REF!</definedName>
    <definedName name="геол_1" localSheetId="18">[18]Смета!#REF!</definedName>
    <definedName name="геол_2" localSheetId="16">[19]Смета!#REF!</definedName>
    <definedName name="геол_2" localSheetId="25">[19]Смета!#REF!</definedName>
    <definedName name="геол_2" localSheetId="18">[19]Смета!#REF!</definedName>
    <definedName name="Геол_Лазаревск" localSheetId="16">[4]топография!#REF!</definedName>
    <definedName name="Геол_Лазаревск" localSheetId="25">[5]топография!#REF!</definedName>
    <definedName name="Геол_Лазаревск" localSheetId="18">[5]топография!#REF!</definedName>
    <definedName name="геол1" localSheetId="16">#REF!</definedName>
    <definedName name="геол1" localSheetId="25">#REF!</definedName>
    <definedName name="геол1" localSheetId="18">#REF!</definedName>
    <definedName name="Геология" localSheetId="36" hidden="1">{#N/A,#N/A,TRUE,"Смета на пасс. обор. №1"}</definedName>
    <definedName name="геология" localSheetId="25">#REF!</definedName>
    <definedName name="геология" localSheetId="18">#REF!</definedName>
    <definedName name="геоф" localSheetId="25">#REF!</definedName>
    <definedName name="геоф" localSheetId="18">#REF!</definedName>
    <definedName name="Геофиз" localSheetId="25">#REF!</definedName>
    <definedName name="геофизика" localSheetId="25">#REF!</definedName>
    <definedName name="гид" localSheetId="16">[20]Смета!#REF!</definedName>
    <definedName name="гид" localSheetId="25">[21]Смета!#REF!</definedName>
    <definedName name="гид_1" localSheetId="25">[22]Смета!#REF!</definedName>
    <definedName name="гид_2" localSheetId="25">[23]Смета!#REF!</definedName>
    <definedName name="Гидр" localSheetId="16">[4]топография!#REF!</definedName>
    <definedName name="Гидр" localSheetId="25">[5]топография!#REF!</definedName>
    <definedName name="Гидро" localSheetId="16">[4]топография!#REF!</definedName>
    <definedName name="Гидро" localSheetId="25">[5]топография!#REF!</definedName>
    <definedName name="гидро1" localSheetId="16">#REF!</definedName>
    <definedName name="гидро1" localSheetId="25">#REF!</definedName>
    <definedName name="гидро1" localSheetId="18">#REF!</definedName>
    <definedName name="гидро1_1" localSheetId="25">#REF!</definedName>
    <definedName name="гидро1_1" localSheetId="18">#REF!</definedName>
    <definedName name="гидрол" localSheetId="25">#REF!</definedName>
    <definedName name="гидрол" localSheetId="18">#REF!</definedName>
    <definedName name="Гидролог" localSheetId="25">#REF!</definedName>
    <definedName name="гидролог_1" localSheetId="25">#REF!</definedName>
    <definedName name="Гидрология_7.03.08" localSheetId="16">[4]топография!#REF!</definedName>
    <definedName name="Гидрология_7.03.08" localSheetId="25">[5]топография!#REF!</definedName>
    <definedName name="ГИП" localSheetId="16">#REF!</definedName>
    <definedName name="ГИП" localSheetId="25">#REF!</definedName>
    <definedName name="ГИП" localSheetId="18">#REF!</definedName>
    <definedName name="ГИП_1" localSheetId="25">#REF!</definedName>
    <definedName name="ГИП_1" localSheetId="18">#REF!</definedName>
    <definedName name="глрп" localSheetId="25">#REF!</definedName>
    <definedName name="глрп" localSheetId="18">#REF!</definedName>
    <definedName name="гном" localSheetId="25">#REF!</definedName>
    <definedName name="год1" localSheetId="25">#REF!</definedName>
    <definedName name="гор" localSheetId="25">#REF!</definedName>
    <definedName name="город" localSheetId="25">#REF!</definedName>
    <definedName name="город_49" localSheetId="25">#REF!</definedName>
    <definedName name="город_50" localSheetId="25">#REF!</definedName>
    <definedName name="город_51" localSheetId="25">#REF!</definedName>
    <definedName name="город_52" localSheetId="25">#REF!</definedName>
    <definedName name="город_53" localSheetId="25">#REF!</definedName>
    <definedName name="город_54" localSheetId="25">#REF!</definedName>
    <definedName name="гпдш" localSheetId="25">#REF!</definedName>
    <definedName name="гпшд" localSheetId="25">#REF!</definedName>
    <definedName name="ГРП" localSheetId="16">#REF!</definedName>
    <definedName name="ГРП" localSheetId="25">#REF!</definedName>
    <definedName name="ГРП" localSheetId="18">#REF!</definedName>
    <definedName name="ГРП1" localSheetId="25">#REF!</definedName>
    <definedName name="ГРП1" localSheetId="18">#REF!</definedName>
    <definedName name="гш" localSheetId="25">#REF!</definedName>
    <definedName name="гш" localSheetId="18">#REF!</definedName>
    <definedName name="гшд" localSheetId="25">#REF!</definedName>
    <definedName name="гшн" localSheetId="25">#REF!</definedName>
    <definedName name="гшпшщ" localSheetId="16">[4]топография!#REF!</definedName>
    <definedName name="гшпшщ" localSheetId="25">[5]топография!#REF!</definedName>
    <definedName name="гшпшщ" localSheetId="18">[5]топография!#REF!</definedName>
    <definedName name="Д" localSheetId="16">#REF!</definedName>
    <definedName name="Д" localSheetId="25">#REF!</definedName>
    <definedName name="Д" localSheetId="18">#REF!</definedName>
    <definedName name="д1" localSheetId="0">#REF!</definedName>
    <definedName name="д1" localSheetId="25">#REF!</definedName>
    <definedName name="д1" localSheetId="18">#REF!</definedName>
    <definedName name="д10" localSheetId="0">#REF!</definedName>
    <definedName name="д10" localSheetId="25">#REF!</definedName>
    <definedName name="д2" localSheetId="0">#REF!</definedName>
    <definedName name="д2" localSheetId="25">#REF!</definedName>
    <definedName name="д3" localSheetId="0">#REF!</definedName>
    <definedName name="д3" localSheetId="25">#REF!</definedName>
    <definedName name="д4" localSheetId="0">#REF!</definedName>
    <definedName name="д4" localSheetId="25">#REF!</definedName>
    <definedName name="д5" localSheetId="0">#REF!</definedName>
    <definedName name="д5" localSheetId="25">#REF!</definedName>
    <definedName name="д6" localSheetId="0">#REF!</definedName>
    <definedName name="д6" localSheetId="25">#REF!</definedName>
    <definedName name="д7" localSheetId="0">#REF!</definedName>
    <definedName name="д7" localSheetId="25">#REF!</definedName>
    <definedName name="д8" localSheetId="0">#REF!</definedName>
    <definedName name="д8" localSheetId="25">#REF!</definedName>
    <definedName name="д9" localSheetId="0">#REF!</definedName>
    <definedName name="д9" localSheetId="25">#REF!</definedName>
    <definedName name="дан" localSheetId="25">#REF!</definedName>
    <definedName name="Дата_изменения_группы_строек" localSheetId="25">#REF!</definedName>
    <definedName name="Дата_изменения_локальной_сметы" localSheetId="25">#REF!</definedName>
    <definedName name="Дата_изменения_объекта" localSheetId="25">#REF!</definedName>
    <definedName name="Дата_изменения_объектной_сметы" localSheetId="25">#REF!</definedName>
    <definedName name="Дата_изменения_очереди" localSheetId="25">#REF!</definedName>
    <definedName name="Дата_изменения_пускового_комплекса" localSheetId="25">#REF!</definedName>
    <definedName name="Дата_изменения_сводного_сметного_расчета" localSheetId="25">#REF!</definedName>
    <definedName name="Дата_изменения_стройки" localSheetId="25">#REF!</definedName>
    <definedName name="Дата_создания_группы_строек" localSheetId="25">#REF!</definedName>
    <definedName name="Дата_создания_локальной_сметы" localSheetId="25">#REF!</definedName>
    <definedName name="Дата_создания_объекта" localSheetId="25">#REF!</definedName>
    <definedName name="Дата_создания_объектной_сметы" localSheetId="25">#REF!</definedName>
    <definedName name="Дата_создания_очереди" localSheetId="25">#REF!</definedName>
    <definedName name="Дата_создания_пускового_комплекса" localSheetId="25">#REF!</definedName>
    <definedName name="Дата_создания_сводного_сметного_расчета" localSheetId="25">#REF!</definedName>
    <definedName name="Дата_создания_стройки" localSheetId="25">#REF!</definedName>
    <definedName name="дд" localSheetId="16">[24]Смета!#REF!</definedName>
    <definedName name="дд" localSheetId="25">[24]Смета!#REF!</definedName>
    <definedName name="дд" localSheetId="18">[24]Смета!#REF!</definedName>
    <definedName name="ддддд" localSheetId="16">#REF!</definedName>
    <definedName name="ддддд" localSheetId="25">#REF!</definedName>
    <definedName name="ддддд" localSheetId="18">#REF!</definedName>
    <definedName name="десятый" localSheetId="16">#REF!</definedName>
    <definedName name="десятый" localSheetId="25">#REF!</definedName>
    <definedName name="десятый" localSheetId="18">#REF!</definedName>
    <definedName name="Дефлятор" localSheetId="16">#REF!</definedName>
    <definedName name="Дефлятор" localSheetId="25">#REF!</definedName>
    <definedName name="Дефлятор" localSheetId="18">#REF!</definedName>
    <definedName name="Дефлятор_1" localSheetId="25">#REF!</definedName>
    <definedName name="Дефлятор_1" localSheetId="18">#REF!</definedName>
    <definedName name="джож" localSheetId="16">'[13]Пример расчета'!#REF!</definedName>
    <definedName name="джож" localSheetId="25">'[13]Пример расчета'!#REF!</definedName>
    <definedName name="джож" localSheetId="18">'[13]Пример расчета'!#REF!</definedName>
    <definedName name="джэ" localSheetId="16" hidden="1">{#N/A,#N/A,TRUE,"Смета на пасс. обор. №1"}</definedName>
    <definedName name="джэ" localSheetId="36" hidden="1">{#N/A,#N/A,TRUE,"Смета на пасс. обор. №1"}</definedName>
    <definedName name="джэ" localSheetId="40" hidden="1">{#N/A,#N/A,TRUE,"Смета на пасс. обор. №1"}</definedName>
    <definedName name="джэ" localSheetId="30" hidden="1">{#N/A,#N/A,TRUE,"Смета на пасс. обор. №1"}</definedName>
    <definedName name="джэ" localSheetId="6" hidden="1">{#N/A,#N/A,TRUE,"Смета на пасс. обор. №1"}</definedName>
    <definedName name="джэ" localSheetId="7" hidden="1">{#N/A,#N/A,TRUE,"Смета на пасс. обор. №1"}</definedName>
    <definedName name="джэ" localSheetId="18" hidden="1">{#N/A,#N/A,TRUE,"Смета на пасс. обор. №1"}</definedName>
    <definedName name="джэ" localSheetId="38" hidden="1">{#N/A,#N/A,TRUE,"Смета на пасс. обор. №1"}</definedName>
    <definedName name="джэ" localSheetId="19" hidden="1">{#N/A,#N/A,TRUE,"Смета на пасс. обор. №1"}</definedName>
    <definedName name="джэ" hidden="1">{#N/A,#N/A,TRUE,"Смета на пасс. обор. №1"}</definedName>
    <definedName name="джэ_1" localSheetId="16" hidden="1">{#N/A,#N/A,TRUE,"Смета на пасс. обор. №1"}</definedName>
    <definedName name="джэ_1" localSheetId="36" hidden="1">{#N/A,#N/A,TRUE,"Смета на пасс. обор. №1"}</definedName>
    <definedName name="джэ_1" localSheetId="40" hidden="1">{#N/A,#N/A,TRUE,"Смета на пасс. обор. №1"}</definedName>
    <definedName name="джэ_1" localSheetId="30" hidden="1">{#N/A,#N/A,TRUE,"Смета на пасс. обор. №1"}</definedName>
    <definedName name="джэ_1" localSheetId="6" hidden="1">{#N/A,#N/A,TRUE,"Смета на пасс. обор. №1"}</definedName>
    <definedName name="джэ_1" localSheetId="7" hidden="1">{#N/A,#N/A,TRUE,"Смета на пасс. обор. №1"}</definedName>
    <definedName name="джэ_1" localSheetId="18" hidden="1">{#N/A,#N/A,TRUE,"Смета на пасс. обор. №1"}</definedName>
    <definedName name="джэ_1" localSheetId="38" hidden="1">{#N/A,#N/A,TRUE,"Смета на пасс. обор. №1"}</definedName>
    <definedName name="джэ_1" localSheetId="19" hidden="1">{#N/A,#N/A,TRUE,"Смета на пасс. обор. №1"}</definedName>
    <definedName name="джэ_1" hidden="1">{#N/A,#N/A,TRUE,"Смета на пасс. обор. №1"}</definedName>
    <definedName name="диапазон" localSheetId="16">#REF!</definedName>
    <definedName name="диапазон" localSheetId="25">#REF!</definedName>
    <definedName name="диапазон" localSheetId="18">#REF!</definedName>
    <definedName name="Диск" localSheetId="25">#REF!</definedName>
    <definedName name="Диск" localSheetId="18">#REF!</definedName>
    <definedName name="дл" localSheetId="25">#REF!</definedName>
    <definedName name="дл" localSheetId="18">#REF!</definedName>
    <definedName name="дл_1" localSheetId="25">#REF!</definedName>
    <definedName name="дл_10" localSheetId="25">#REF!</definedName>
    <definedName name="дл_11" localSheetId="25">#REF!</definedName>
    <definedName name="дл_12" localSheetId="25">#REF!</definedName>
    <definedName name="дл_13" localSheetId="25">#REF!</definedName>
    <definedName name="дл_14" localSheetId="25">#REF!</definedName>
    <definedName name="дл_15" localSheetId="25">#REF!</definedName>
    <definedName name="дл_16" localSheetId="25">#REF!</definedName>
    <definedName name="дл_17" localSheetId="25">#REF!</definedName>
    <definedName name="дл_18" localSheetId="25">#REF!</definedName>
    <definedName name="дл_19" localSheetId="25">#REF!</definedName>
    <definedName name="дл_2" localSheetId="25">#REF!</definedName>
    <definedName name="дл_20" localSheetId="25">#REF!</definedName>
    <definedName name="дл_21" localSheetId="25">#REF!</definedName>
    <definedName name="дл_49" localSheetId="25">#REF!</definedName>
    <definedName name="дл_50" localSheetId="25">#REF!</definedName>
    <definedName name="дл_51" localSheetId="25">#REF!</definedName>
    <definedName name="дл_52" localSheetId="25">#REF!</definedName>
    <definedName name="дл_53" localSheetId="25">#REF!</definedName>
    <definedName name="дл_54" localSheetId="25">#REF!</definedName>
    <definedName name="дл_6" localSheetId="25">#REF!</definedName>
    <definedName name="дл_7" localSheetId="25">#REF!</definedName>
    <definedName name="дл_8" localSheetId="25">#REF!</definedName>
    <definedName name="дл_9" localSheetId="25">#REF!</definedName>
    <definedName name="длдл" localSheetId="25">#REF!</definedName>
    <definedName name="Длинна_границы" localSheetId="25">#REF!</definedName>
    <definedName name="Длинна_границы_1" localSheetId="25">#REF!</definedName>
    <definedName name="Длинна_трассы" localSheetId="25">#REF!</definedName>
    <definedName name="Длинна_трассы_1" localSheetId="25">#REF!</definedName>
    <definedName name="ДЛО" localSheetId="0">#REF!</definedName>
    <definedName name="ДЛО" localSheetId="25">#REF!</definedName>
    <definedName name="длозщшзщдлжб" localSheetId="25">#REF!</definedName>
    <definedName name="длолдолд" localSheetId="25">#REF!</definedName>
    <definedName name="длощшл" localSheetId="25">#REF!</definedName>
    <definedName name="Дн_ставка" localSheetId="25">#REF!</definedName>
    <definedName name="дна" localSheetId="25">#REF!</definedName>
    <definedName name="ДОЛЛАР" localSheetId="16">#REF!</definedName>
    <definedName name="ДОЛЛАР" localSheetId="25">#REF!</definedName>
    <definedName name="ДОЛЛАР" localSheetId="18">#REF!</definedName>
    <definedName name="доорп" localSheetId="25">#REF!</definedName>
    <definedName name="доорп" localSheetId="18">#REF!</definedName>
    <definedName name="доп" localSheetId="16" hidden="1">{#N/A,#N/A,TRUE,"Смета на пасс. обор. №1"}</definedName>
    <definedName name="доп" localSheetId="36" hidden="1">{#N/A,#N/A,TRUE,"Смета на пасс. обор. №1"}</definedName>
    <definedName name="доп" localSheetId="40" hidden="1">{#N/A,#N/A,TRUE,"Смета на пасс. обор. №1"}</definedName>
    <definedName name="доп" localSheetId="30" hidden="1">{#N/A,#N/A,TRUE,"Смета на пасс. обор. №1"}</definedName>
    <definedName name="доп" localSheetId="6" hidden="1">{#N/A,#N/A,TRUE,"Смета на пасс. обор. №1"}</definedName>
    <definedName name="доп" localSheetId="7" hidden="1">{#N/A,#N/A,TRUE,"Смета на пасс. обор. №1"}</definedName>
    <definedName name="доп" localSheetId="18" hidden="1">{#N/A,#N/A,TRUE,"Смета на пасс. обор. №1"}</definedName>
    <definedName name="доп" localSheetId="38" hidden="1">{#N/A,#N/A,TRUE,"Смета на пасс. обор. №1"}</definedName>
    <definedName name="доп" localSheetId="19" hidden="1">{#N/A,#N/A,TRUE,"Смета на пасс. обор. №1"}</definedName>
    <definedName name="доп" hidden="1">{#N/A,#N/A,TRUE,"Смета на пасс. обор. №1"}</definedName>
    <definedName name="Доп._оборудование" localSheetId="25">[15]Коэфф1.!#REF!</definedName>
    <definedName name="Доп._оборудование_1" localSheetId="16">#REF!</definedName>
    <definedName name="Доп._оборудование_1" localSheetId="25">#REF!</definedName>
    <definedName name="Доп._оборудование_1" localSheetId="18">#REF!</definedName>
    <definedName name="доп_1" localSheetId="16" hidden="1">{#N/A,#N/A,TRUE,"Смета на пасс. обор. №1"}</definedName>
    <definedName name="доп_1" localSheetId="36" hidden="1">{#N/A,#N/A,TRUE,"Смета на пасс. обор. №1"}</definedName>
    <definedName name="доп_1" localSheetId="40" hidden="1">{#N/A,#N/A,TRUE,"Смета на пасс. обор. №1"}</definedName>
    <definedName name="доп_1" localSheetId="30" hidden="1">{#N/A,#N/A,TRUE,"Смета на пасс. обор. №1"}</definedName>
    <definedName name="доп_1" localSheetId="6" hidden="1">{#N/A,#N/A,TRUE,"Смета на пасс. обор. №1"}</definedName>
    <definedName name="доп_1" localSheetId="7" hidden="1">{#N/A,#N/A,TRUE,"Смета на пасс. обор. №1"}</definedName>
    <definedName name="доп_1" localSheetId="18" hidden="1">{#N/A,#N/A,TRUE,"Смета на пасс. обор. №1"}</definedName>
    <definedName name="доп_1" localSheetId="38" hidden="1">{#N/A,#N/A,TRUE,"Смета на пасс. обор. №1"}</definedName>
    <definedName name="доп_1" localSheetId="19" hidden="1">{#N/A,#N/A,TRUE,"Смета на пасс. обор. №1"}</definedName>
    <definedName name="доп_1" hidden="1">{#N/A,#N/A,TRUE,"Смета на пасс. обор. №1"}</definedName>
    <definedName name="Доп_оборуд" localSheetId="16">#REF!</definedName>
    <definedName name="Доп_оборуд" localSheetId="25">#REF!</definedName>
    <definedName name="Доп_оборуд" localSheetId="18">#REF!</definedName>
    <definedName name="допдшгед" localSheetId="25">#REF!</definedName>
    <definedName name="допдшгед" localSheetId="18">#REF!</definedName>
    <definedName name="Дорога" localSheetId="25">[15]Шкаф!#REF!</definedName>
    <definedName name="Дорога" localSheetId="18">[15]Шкаф!#REF!</definedName>
    <definedName name="Дорога_1" localSheetId="16">#REF!</definedName>
    <definedName name="Дорога_1" localSheetId="25">#REF!</definedName>
    <definedName name="Дорога_1" localSheetId="18">#REF!</definedName>
    <definedName name="дп" localSheetId="0">#REF!</definedName>
    <definedName name="дп" localSheetId="25">#REF!</definedName>
    <definedName name="дп" localSheetId="18">#REF!</definedName>
    <definedName name="др" localSheetId="25">#REF!</definedName>
    <definedName name="ДСК" localSheetId="16">[4]топография!#REF!</definedName>
    <definedName name="ДСК" localSheetId="0">[5]топография!#REF!</definedName>
    <definedName name="ДСК" localSheetId="25">[5]топография!#REF!</definedName>
    <definedName name="ДСК_1" localSheetId="16">[4]топография!#REF!</definedName>
    <definedName name="ДСК_1" localSheetId="25">[5]топография!#REF!</definedName>
    <definedName name="ДСК_14" localSheetId="16">[4]топография!#REF!</definedName>
    <definedName name="ДСК_14" localSheetId="25">[5]топография!#REF!</definedName>
    <definedName name="дск1" localSheetId="16">[4]топография!#REF!</definedName>
    <definedName name="дск1" localSheetId="25">[5]топография!#REF!</definedName>
    <definedName name="дщшю" localSheetId="16">#REF!</definedName>
    <definedName name="дщшю" localSheetId="25">#REF!</definedName>
    <definedName name="дщшю" localSheetId="18">#REF!</definedName>
    <definedName name="дэ" localSheetId="0">#REF!</definedName>
    <definedName name="дэ" localSheetId="25">#REF!</definedName>
    <definedName name="дэ" localSheetId="18">#REF!</definedName>
    <definedName name="е" localSheetId="25">#REF!</definedName>
    <definedName name="евнл" localSheetId="25">#REF!</definedName>
    <definedName name="евнлен" localSheetId="25">#REF!</definedName>
    <definedName name="Еврейская_автономная_область" localSheetId="16">#REF!</definedName>
    <definedName name="Еврейская_автономная_область" localSheetId="25">#REF!</definedName>
    <definedName name="Еврейская_автономная_область" localSheetId="18">#REF!</definedName>
    <definedName name="Еврейская_автономная_область_1" localSheetId="25">#REF!</definedName>
    <definedName name="Еврейская_автономная_область_1" localSheetId="18">#REF!</definedName>
    <definedName name="еврор" localSheetId="25">#REF!</definedName>
    <definedName name="еврор" localSheetId="18">#REF!</definedName>
    <definedName name="еврь" localSheetId="25">#REF!</definedName>
    <definedName name="еееее" localSheetId="36" hidden="1">{#N/A,#N/A,TRUE,"Смета на пасс. обор. №1"}</definedName>
    <definedName name="еееее" localSheetId="40" hidden="1">{#N/A,#N/A,TRUE,"Смета на пасс. обор. №1"}</definedName>
    <definedName name="еееее" localSheetId="6" hidden="1">{#N/A,#N/A,TRUE,"Смета на пасс. обор. №1"}</definedName>
    <definedName name="еееее" localSheetId="7" hidden="1">{#N/A,#N/A,TRUE,"Смета на пасс. обор. №1"}</definedName>
    <definedName name="еееее" localSheetId="38" hidden="1">{#N/A,#N/A,TRUE,"Смета на пасс. обор. №1"}</definedName>
    <definedName name="еееее" hidden="1">{#N/A,#N/A,TRUE,"Смета на пасс. обор. №1"}</definedName>
    <definedName name="ен" localSheetId="16" hidden="1">{#N/A,#N/A,TRUE,"Смета на пасс. обор. №1"}</definedName>
    <definedName name="ен" localSheetId="36" hidden="1">{#N/A,#N/A,TRUE,"Смета на пасс. обор. №1"}</definedName>
    <definedName name="ен" localSheetId="40" hidden="1">{#N/A,#N/A,TRUE,"Смета на пасс. обор. №1"}</definedName>
    <definedName name="ен" localSheetId="30" hidden="1">{#N/A,#N/A,TRUE,"Смета на пасс. обор. №1"}</definedName>
    <definedName name="ен" localSheetId="6" hidden="1">{#N/A,#N/A,TRUE,"Смета на пасс. обор. №1"}</definedName>
    <definedName name="ен" localSheetId="7" hidden="1">{#N/A,#N/A,TRUE,"Смета на пасс. обор. №1"}</definedName>
    <definedName name="ен" localSheetId="18" hidden="1">{#N/A,#N/A,TRUE,"Смета на пасс. обор. №1"}</definedName>
    <definedName name="ен" localSheetId="38" hidden="1">{#N/A,#N/A,TRUE,"Смета на пасс. обор. №1"}</definedName>
    <definedName name="ен" localSheetId="19" hidden="1">{#N/A,#N/A,TRUE,"Смета на пасс. обор. №1"}</definedName>
    <definedName name="ен" hidden="1">{#N/A,#N/A,TRUE,"Смета на пасс. обор. №1"}</definedName>
    <definedName name="ен_1" localSheetId="16" hidden="1">{#N/A,#N/A,TRUE,"Смета на пасс. обор. №1"}</definedName>
    <definedName name="ен_1" localSheetId="36" hidden="1">{#N/A,#N/A,TRUE,"Смета на пасс. обор. №1"}</definedName>
    <definedName name="ен_1" localSheetId="40" hidden="1">{#N/A,#N/A,TRUE,"Смета на пасс. обор. №1"}</definedName>
    <definedName name="ен_1" localSheetId="30" hidden="1">{#N/A,#N/A,TRUE,"Смета на пасс. обор. №1"}</definedName>
    <definedName name="ен_1" localSheetId="6" hidden="1">{#N/A,#N/A,TRUE,"Смета на пасс. обор. №1"}</definedName>
    <definedName name="ен_1" localSheetId="7" hidden="1">{#N/A,#N/A,TRUE,"Смета на пасс. обор. №1"}</definedName>
    <definedName name="ен_1" localSheetId="18" hidden="1">{#N/A,#N/A,TRUE,"Смета на пасс. обор. №1"}</definedName>
    <definedName name="ен_1" localSheetId="38" hidden="1">{#N/A,#N/A,TRUE,"Смета на пасс. обор. №1"}</definedName>
    <definedName name="ен_1" localSheetId="19" hidden="1">{#N/A,#N/A,TRUE,"Смета на пасс. обор. №1"}</definedName>
    <definedName name="ен_1" hidden="1">{#N/A,#N/A,TRUE,"Смета на пасс. обор. №1"}</definedName>
    <definedName name="енвлпр" localSheetId="16">#REF!</definedName>
    <definedName name="енвлпр" localSheetId="25">#REF!</definedName>
    <definedName name="енвлпр" localSheetId="18">#REF!</definedName>
    <definedName name="енг" localSheetId="25">#REF!</definedName>
    <definedName name="енг" localSheetId="18">#REF!</definedName>
    <definedName name="енк" localSheetId="25">#REF!</definedName>
    <definedName name="енк" localSheetId="18">#REF!</definedName>
    <definedName name="енлопр" localSheetId="25">#REF!</definedName>
    <definedName name="ено" localSheetId="25">#REF!</definedName>
    <definedName name="еное" localSheetId="25">#REF!</definedName>
    <definedName name="ео" localSheetId="25">#REF!</definedName>
    <definedName name="еов" localSheetId="25">#REF!</definedName>
    <definedName name="ер" localSheetId="25">#REF!</definedName>
    <definedName name="еуг" localSheetId="25">#REF!</definedName>
    <definedName name="еыкг" localSheetId="16">[4]топография!#REF!</definedName>
    <definedName name="еыкг" localSheetId="25">[5]топография!#REF!</definedName>
    <definedName name="ж" localSheetId="36" hidden="1">{#N/A,#N/A,TRUE,"Смета на пасс. обор. №1"}</definedName>
    <definedName name="ж" localSheetId="40" hidden="1">{#N/A,#N/A,TRUE,"Смета на пасс. обор. №1"}</definedName>
    <definedName name="ж" localSheetId="6" hidden="1">{#N/A,#N/A,TRUE,"Смета на пасс. обор. №1"}</definedName>
    <definedName name="ж" localSheetId="7" hidden="1">{#N/A,#N/A,TRUE,"Смета на пасс. обор. №1"}</definedName>
    <definedName name="ж" localSheetId="38" hidden="1">{#N/A,#N/A,TRUE,"Смета на пасс. обор. №1"}</definedName>
    <definedName name="ж" hidden="1">{#N/A,#N/A,TRUE,"Смета на пасс. обор. №1"}</definedName>
    <definedName name="жж_1" localSheetId="16" hidden="1">{#N/A,#N/A,TRUE,"Смета на пасс. обор. №1"}</definedName>
    <definedName name="жж_1" localSheetId="36" hidden="1">{#N/A,#N/A,TRUE,"Смета на пасс. обор. №1"}</definedName>
    <definedName name="жж_1" localSheetId="40" hidden="1">{#N/A,#N/A,TRUE,"Смета на пасс. обор. №1"}</definedName>
    <definedName name="жж_1" localSheetId="30" hidden="1">{#N/A,#N/A,TRUE,"Смета на пасс. обор. №1"}</definedName>
    <definedName name="жж_1" localSheetId="6" hidden="1">{#N/A,#N/A,TRUE,"Смета на пасс. обор. №1"}</definedName>
    <definedName name="жж_1" localSheetId="7" hidden="1">{#N/A,#N/A,TRUE,"Смета на пасс. обор. №1"}</definedName>
    <definedName name="жж_1" localSheetId="18" hidden="1">{#N/A,#N/A,TRUE,"Смета на пасс. обор. №1"}</definedName>
    <definedName name="жж_1" localSheetId="38" hidden="1">{#N/A,#N/A,TRUE,"Смета на пасс. обор. №1"}</definedName>
    <definedName name="жж_1" localSheetId="19" hidden="1">{#N/A,#N/A,TRUE,"Смета на пасс. обор. №1"}</definedName>
    <definedName name="жж_1" hidden="1">{#N/A,#N/A,TRUE,"Смета на пасс. обор. №1"}</definedName>
    <definedName name="жжж" localSheetId="16">#REF!</definedName>
    <definedName name="жжж" localSheetId="25">#REF!</definedName>
    <definedName name="жжж" localSheetId="18">#REF!</definedName>
    <definedName name="жл" localSheetId="16">#REF!</definedName>
    <definedName name="жл" localSheetId="25">#REF!</definedName>
    <definedName name="жл" localSheetId="18">#REF!</definedName>
    <definedName name="жпф" localSheetId="16">#REF!</definedName>
    <definedName name="жпф" localSheetId="25">#REF!</definedName>
    <definedName name="жпф" localSheetId="18">#REF!</definedName>
    <definedName name="жю" localSheetId="16" hidden="1">{#N/A,#N/A,TRUE,"Смета на пасс. обор. №1"}</definedName>
    <definedName name="жю" localSheetId="36" hidden="1">{#N/A,#N/A,TRUE,"Смета на пасс. обор. №1"}</definedName>
    <definedName name="жю" localSheetId="40" hidden="1">{#N/A,#N/A,TRUE,"Смета на пасс. обор. №1"}</definedName>
    <definedName name="жю" localSheetId="30" hidden="1">{#N/A,#N/A,TRUE,"Смета на пасс. обор. №1"}</definedName>
    <definedName name="жю" localSheetId="6" hidden="1">{#N/A,#N/A,TRUE,"Смета на пасс. обор. №1"}</definedName>
    <definedName name="жю" localSheetId="7" hidden="1">{#N/A,#N/A,TRUE,"Смета на пасс. обор. №1"}</definedName>
    <definedName name="жю" localSheetId="18" hidden="1">{#N/A,#N/A,TRUE,"Смета на пасс. обор. №1"}</definedName>
    <definedName name="жю" localSheetId="38" hidden="1">{#N/A,#N/A,TRUE,"Смета на пасс. обор. №1"}</definedName>
    <definedName name="жю" localSheetId="19" hidden="1">{#N/A,#N/A,TRUE,"Смета на пасс. обор. №1"}</definedName>
    <definedName name="жю" hidden="1">{#N/A,#N/A,TRUE,"Смета на пасс. обор. №1"}</definedName>
    <definedName name="жю_1" localSheetId="16" hidden="1">{#N/A,#N/A,TRUE,"Смета на пасс. обор. №1"}</definedName>
    <definedName name="жю_1" localSheetId="36" hidden="1">{#N/A,#N/A,TRUE,"Смета на пасс. обор. №1"}</definedName>
    <definedName name="жю_1" localSheetId="40" hidden="1">{#N/A,#N/A,TRUE,"Смета на пасс. обор. №1"}</definedName>
    <definedName name="жю_1" localSheetId="30" hidden="1">{#N/A,#N/A,TRUE,"Смета на пасс. обор. №1"}</definedName>
    <definedName name="жю_1" localSheetId="6" hidden="1">{#N/A,#N/A,TRUE,"Смета на пасс. обор. №1"}</definedName>
    <definedName name="жю_1" localSheetId="7" hidden="1">{#N/A,#N/A,TRUE,"Смета на пасс. обор. №1"}</definedName>
    <definedName name="жю_1" localSheetId="18" hidden="1">{#N/A,#N/A,TRUE,"Смета на пасс. обор. №1"}</definedName>
    <definedName name="жю_1" localSheetId="38" hidden="1">{#N/A,#N/A,TRUE,"Смета на пасс. обор. №1"}</definedName>
    <definedName name="жю_1" localSheetId="19" hidden="1">{#N/A,#N/A,TRUE,"Смета на пасс. обор. №1"}</definedName>
    <definedName name="жю_1" hidden="1">{#N/A,#N/A,TRUE,"Смета на пасс. обор. №1"}</definedName>
    <definedName name="Зависимые" localSheetId="16">#REF!</definedName>
    <definedName name="Зависимые" localSheetId="25">#REF!</definedName>
    <definedName name="Зависимые" localSheetId="18">#REF!</definedName>
    <definedName name="_xlnm.Print_Titles" localSheetId="26">'02-01-08 (аналог)'!$27:$27</definedName>
    <definedName name="_xlnm.Print_Titles" localSheetId="27">'02-01-08 Инженерная защита терр'!$27:$27</definedName>
    <definedName name="_xlnm.Print_Titles" localSheetId="29">'02-01-08-Д (аналог)'!$38:$38</definedName>
    <definedName name="_xlnm.Print_Titles" localSheetId="28">'02-01-08-И (аналог)'!$27:$27</definedName>
    <definedName name="_xlnm.Print_Titles" localSheetId="10">'Геология (без неблагопр период)'!$18:$18</definedName>
    <definedName name="_xlnm.Print_Titles" localSheetId="11">'Геология (в благопр услов)'!$18:$18</definedName>
    <definedName name="_xlnm.Print_Titles" localSheetId="40">'КСБ Архыз'!$10:$10</definedName>
    <definedName name="_xlnm.Print_Titles" localSheetId="41">'ЛСР 02-01-01-доп. АР. МФЦ'!$38:$38</definedName>
    <definedName name="_xlnm.Print_Titles" localSheetId="30">'ЛСР 02-02-01'!$38:$38</definedName>
    <definedName name="_xlnm.Print_Titles" localSheetId="42">'МФЦ КПК'!$24:$24</definedName>
    <definedName name="_xlnm.Print_Titles" localSheetId="44">'Расчёт по НЦС '!$14:$14</definedName>
    <definedName name="_xlnm.Print_Titles" localSheetId="17">'РД (для расчета ОВОС)'!$18:$18</definedName>
    <definedName name="_xlnm.Print_Titles" localSheetId="43">'ССР Дукка'!$23:$23</definedName>
    <definedName name="Заказчик" localSheetId="16">#REF!</definedName>
    <definedName name="Заказчик" localSheetId="25">#REF!</definedName>
    <definedName name="Заказчик" localSheetId="30">#REF!</definedName>
    <definedName name="Заказчик" localSheetId="18">#REF!</definedName>
    <definedName name="Заказчик_1" localSheetId="25">#REF!</definedName>
    <definedName name="Заказчик_1" localSheetId="18">#REF!</definedName>
    <definedName name="зжшщз" localSheetId="16">[4]топография!#REF!</definedName>
    <definedName name="зжшщз" localSheetId="25">[5]топография!#REF!</definedName>
    <definedName name="зжшщз" localSheetId="18">[5]топография!#REF!</definedName>
    <definedName name="ЗИП_Всего" localSheetId="16">'[15]Прайс лист'!#REF!</definedName>
    <definedName name="ЗИП_Всего" localSheetId="25">'[15]Прайс лист'!#REF!</definedName>
    <definedName name="ЗИП_Всего" localSheetId="18">'[15]Прайс лист'!#REF!</definedName>
    <definedName name="ЗИП_Всего_1" localSheetId="16">#REF!</definedName>
    <definedName name="ЗИП_Всего_1" localSheetId="25">#REF!</definedName>
    <definedName name="ЗИП_Всего_1" localSheetId="30">#REF!</definedName>
    <definedName name="ЗИП_Всего_1" localSheetId="18">#REF!</definedName>
    <definedName name="зол" localSheetId="16">#REF!</definedName>
    <definedName name="зол" localSheetId="25">#REF!</definedName>
    <definedName name="зол" localSheetId="18">#REF!</definedName>
    <definedName name="зол_1" localSheetId="25">#REF!</definedName>
    <definedName name="зол_1" localSheetId="18">#REF!</definedName>
    <definedName name="зол_10" localSheetId="25">#REF!</definedName>
    <definedName name="зол_11" localSheetId="25">#REF!</definedName>
    <definedName name="зол_12" localSheetId="25">#REF!</definedName>
    <definedName name="зол_13" localSheetId="25">#REF!</definedName>
    <definedName name="зол_14" localSheetId="25">#REF!</definedName>
    <definedName name="зол_15" localSheetId="25">#REF!</definedName>
    <definedName name="зол_16" localSheetId="25">#REF!</definedName>
    <definedName name="зол_17" localSheetId="25">#REF!</definedName>
    <definedName name="зол_18" localSheetId="25">#REF!</definedName>
    <definedName name="зол_19" localSheetId="25">#REF!</definedName>
    <definedName name="зол_2" localSheetId="25">#REF!</definedName>
    <definedName name="зол_20" localSheetId="25">#REF!</definedName>
    <definedName name="зол_21" localSheetId="25">#REF!</definedName>
    <definedName name="зол_49" localSheetId="25">#REF!</definedName>
    <definedName name="зол_50" localSheetId="25">#REF!</definedName>
    <definedName name="зол_51" localSheetId="25">#REF!</definedName>
    <definedName name="зол_52" localSheetId="25">#REF!</definedName>
    <definedName name="зол_53" localSheetId="25">#REF!</definedName>
    <definedName name="зол_54" localSheetId="25">#REF!</definedName>
    <definedName name="зол_6" localSheetId="25">#REF!</definedName>
    <definedName name="зол_7" localSheetId="25">#REF!</definedName>
    <definedName name="зол_8" localSheetId="25">#REF!</definedName>
    <definedName name="зол_9" localSheetId="25">#REF!</definedName>
    <definedName name="зощр" localSheetId="25">#REF!</definedName>
    <definedName name="зщ" localSheetId="16" hidden="1">{#N/A,#N/A,TRUE,"Смета на пасс. обор. №1"}</definedName>
    <definedName name="зщ" localSheetId="36" hidden="1">{#N/A,#N/A,TRUE,"Смета на пасс. обор. №1"}</definedName>
    <definedName name="зщ" localSheetId="40" hidden="1">{#N/A,#N/A,TRUE,"Смета на пасс. обор. №1"}</definedName>
    <definedName name="зщ" localSheetId="30" hidden="1">{#N/A,#N/A,TRUE,"Смета на пасс. обор. №1"}</definedName>
    <definedName name="зщ" localSheetId="6" hidden="1">{#N/A,#N/A,TRUE,"Смета на пасс. обор. №1"}</definedName>
    <definedName name="зщ" localSheetId="7" hidden="1">{#N/A,#N/A,TRUE,"Смета на пасс. обор. №1"}</definedName>
    <definedName name="зщ" localSheetId="18" hidden="1">{#N/A,#N/A,TRUE,"Смета на пасс. обор. №1"}</definedName>
    <definedName name="зщ" localSheetId="38" hidden="1">{#N/A,#N/A,TRUE,"Смета на пасс. обор. №1"}</definedName>
    <definedName name="зщ" localSheetId="19" hidden="1">{#N/A,#N/A,TRUE,"Смета на пасс. обор. №1"}</definedName>
    <definedName name="зщ" hidden="1">{#N/A,#N/A,TRUE,"Смета на пасс. обор. №1"}</definedName>
    <definedName name="зщ_1" localSheetId="16" hidden="1">{#N/A,#N/A,TRUE,"Смета на пасс. обор. №1"}</definedName>
    <definedName name="зщ_1" localSheetId="36" hidden="1">{#N/A,#N/A,TRUE,"Смета на пасс. обор. №1"}</definedName>
    <definedName name="зщ_1" localSheetId="40" hidden="1">{#N/A,#N/A,TRUE,"Смета на пасс. обор. №1"}</definedName>
    <definedName name="зщ_1" localSheetId="30" hidden="1">{#N/A,#N/A,TRUE,"Смета на пасс. обор. №1"}</definedName>
    <definedName name="зщ_1" localSheetId="6" hidden="1">{#N/A,#N/A,TRUE,"Смета на пасс. обор. №1"}</definedName>
    <definedName name="зщ_1" localSheetId="7" hidden="1">{#N/A,#N/A,TRUE,"Смета на пасс. обор. №1"}</definedName>
    <definedName name="зщ_1" localSheetId="18" hidden="1">{#N/A,#N/A,TRUE,"Смета на пасс. обор. №1"}</definedName>
    <definedName name="зщ_1" localSheetId="38" hidden="1">{#N/A,#N/A,TRUE,"Смета на пасс. обор. №1"}</definedName>
    <definedName name="зщ_1" localSheetId="19" hidden="1">{#N/A,#N/A,TRUE,"Смета на пасс. обор. №1"}</definedName>
    <definedName name="зщ_1" hidden="1">{#N/A,#N/A,TRUE,"Смета на пасс. обор. №1"}</definedName>
    <definedName name="ЗЮзя" localSheetId="16">#REF!</definedName>
    <definedName name="ЗЮзя" localSheetId="25">#REF!</definedName>
    <definedName name="ЗЮзя" localSheetId="18">#REF!</definedName>
    <definedName name="Ивановская_область" localSheetId="25">#REF!</definedName>
    <definedName name="Ивановская_область" localSheetId="18">#REF!</definedName>
    <definedName name="ивпт" localSheetId="25">#REF!</definedName>
    <definedName name="ивпт" localSheetId="18">#REF!</definedName>
    <definedName name="изыск" localSheetId="16">#REF!</definedName>
    <definedName name="изыск" localSheetId="25">#REF!</definedName>
    <definedName name="изыск_1" localSheetId="25">#REF!</definedName>
    <definedName name="ии" localSheetId="0">#REF!</definedName>
    <definedName name="ии" localSheetId="25">#REF!</definedName>
    <definedName name="иии" localSheetId="36" hidden="1">{#N/A,#N/A,TRUE,"Смета на пасс. обор. №1"}</definedName>
    <definedName name="иии" localSheetId="40" hidden="1">{#N/A,#N/A,TRUE,"Смета на пасс. обор. №1"}</definedName>
    <definedName name="иии" localSheetId="6" hidden="1">{#N/A,#N/A,TRUE,"Смета на пасс. обор. №1"}</definedName>
    <definedName name="иии" localSheetId="7" hidden="1">{#N/A,#N/A,TRUE,"Смета на пасс. обор. №1"}</definedName>
    <definedName name="иии" localSheetId="38" hidden="1">{#N/A,#N/A,TRUE,"Смета на пасс. обор. №1"}</definedName>
    <definedName name="иии" hidden="1">{#N/A,#N/A,TRUE,"Смета на пасс. обор. №1"}</definedName>
    <definedName name="ииии" localSheetId="36" hidden="1">{#N/A,#N/A,TRUE,"Смета на пасс. обор. №1"}</definedName>
    <definedName name="ииии" localSheetId="40" hidden="1">{#N/A,#N/A,TRUE,"Смета на пасс. обор. №1"}</definedName>
    <definedName name="ииии" localSheetId="6" hidden="1">{#N/A,#N/A,TRUE,"Смета на пасс. обор. №1"}</definedName>
    <definedName name="ииии" localSheetId="7" hidden="1">{#N/A,#N/A,TRUE,"Смета на пасс. обор. №1"}</definedName>
    <definedName name="ииии" localSheetId="38" hidden="1">{#N/A,#N/A,TRUE,"Смета на пасс. обор. №1"}</definedName>
    <definedName name="ииии" hidden="1">{#N/A,#N/A,TRUE,"Смета на пасс. обор. №1"}</definedName>
    <definedName name="иииии" localSheetId="36" hidden="1">{#N/A,#N/A,TRUE,"Смета на пасс. обор. №1"}</definedName>
    <definedName name="иииии" localSheetId="40" hidden="1">{#N/A,#N/A,TRUE,"Смета на пасс. обор. №1"}</definedName>
    <definedName name="иииии" localSheetId="6" hidden="1">{#N/A,#N/A,TRUE,"Смета на пасс. обор. №1"}</definedName>
    <definedName name="иииии" localSheetId="7" hidden="1">{#N/A,#N/A,TRUE,"Смета на пасс. обор. №1"}</definedName>
    <definedName name="иииии" localSheetId="38" hidden="1">{#N/A,#N/A,TRUE,"Смета на пасс. обор. №1"}</definedName>
    <definedName name="иииии" hidden="1">{#N/A,#N/A,TRUE,"Смета на пасс. обор. №1"}</definedName>
    <definedName name="ик" localSheetId="16">#REF!</definedName>
    <definedName name="ик" localSheetId="25">#REF!</definedName>
    <definedName name="имми" localSheetId="16">[4]топография!#REF!</definedName>
    <definedName name="имми" localSheetId="25">[5]топография!#REF!</definedName>
    <definedName name="имт" localSheetId="16">#REF!</definedName>
    <definedName name="имт" localSheetId="25">#REF!</definedName>
    <definedName name="имт" localSheetId="18">#REF!</definedName>
    <definedName name="Инвестор" localSheetId="25">#REF!</definedName>
    <definedName name="Инвестор" localSheetId="18">#REF!</definedName>
    <definedName name="Инд" localSheetId="25">#REF!</definedName>
    <definedName name="Инд" localSheetId="18">#REF!</definedName>
    <definedName name="Индекс" localSheetId="16">'[25]Расч(подряд)'!#REF!</definedName>
    <definedName name="Индекс" localSheetId="25">'[25]Расч(подряд)'!#REF!</definedName>
    <definedName name="Индекс" localSheetId="18">'[25]Расч(подряд)'!#REF!</definedName>
    <definedName name="индекс_0" localSheetId="16">#REF!</definedName>
    <definedName name="индекс_0" localSheetId="25">#REF!</definedName>
    <definedName name="индекс_0" localSheetId="30">#REF!</definedName>
    <definedName name="индекс_0" localSheetId="18">#REF!</definedName>
    <definedName name="Индекс_1" localSheetId="25">#REF!</definedName>
    <definedName name="Индекс_1" localSheetId="18">#REF!</definedName>
    <definedName name="индекс_100" localSheetId="25">#REF!</definedName>
    <definedName name="индекс_100" localSheetId="18">#REF!</definedName>
    <definedName name="индекс_101" localSheetId="25">#REF!</definedName>
    <definedName name="индекс_102" localSheetId="25">#REF!</definedName>
    <definedName name="индекс_103" localSheetId="25">#REF!</definedName>
    <definedName name="индекс_104" localSheetId="25">#REF!</definedName>
    <definedName name="индекс_105" localSheetId="25">#REF!</definedName>
    <definedName name="индекс_105032654" localSheetId="25">#REF!</definedName>
    <definedName name="индекс_999" localSheetId="25">#REF!</definedName>
    <definedName name="Индекс_ЛН_группы_строек" localSheetId="25">#REF!</definedName>
    <definedName name="Индекс_ЛН_локальной_сметы" localSheetId="25">#REF!</definedName>
    <definedName name="Индекс_ЛН_объекта" localSheetId="25">#REF!</definedName>
    <definedName name="Индекс_ЛН_объектной_сметы" localSheetId="25">#REF!</definedName>
    <definedName name="Индекс_ЛН_очереди" localSheetId="25">#REF!</definedName>
    <definedName name="Индекс_ЛН_пускового_комплекса" localSheetId="25">#REF!</definedName>
    <definedName name="Индекс_ЛН_сводного_сметного_расчета" localSheetId="25">#REF!</definedName>
    <definedName name="Индекс_ЛН_стройки" localSheetId="25">#REF!</definedName>
    <definedName name="индекс_С3" localSheetId="25">#REF!</definedName>
    <definedName name="Индекс1" localSheetId="25">'[25]Расч(подряд)'!#REF!</definedName>
    <definedName name="Индекс2" localSheetId="25">'[25]Расч(подряд)'!#REF!</definedName>
    <definedName name="ИндексА" localSheetId="16">#REF!</definedName>
    <definedName name="ИндексА" localSheetId="25">#REF!</definedName>
    <definedName name="ИндексА" localSheetId="30">#REF!</definedName>
    <definedName name="ИндексА" localSheetId="18">#REF!</definedName>
    <definedName name="инж" localSheetId="25">#REF!</definedName>
    <definedName name="инж" localSheetId="18">#REF!</definedName>
    <definedName name="инж_1" localSheetId="25">#REF!</definedName>
    <definedName name="инж_1" localSheetId="18">#REF!</definedName>
    <definedName name="инфл" localSheetId="0">#REF!</definedName>
    <definedName name="инфл" localSheetId="25">#REF!</definedName>
    <definedName name="иошль" localSheetId="25">#REF!</definedName>
    <definedName name="ип" localSheetId="0">#REF!</definedName>
    <definedName name="ип" localSheetId="25">#REF!</definedName>
    <definedName name="ИПусто" localSheetId="25">#REF!</definedName>
    <definedName name="ИПусто_1" localSheetId="25">#REF!</definedName>
    <definedName name="Иркутская_область" localSheetId="25">#REF!</definedName>
    <definedName name="Иркутская_область_1" localSheetId="25">#REF!</definedName>
    <definedName name="ИС__И.Максимов" localSheetId="25">#REF!</definedName>
    <definedName name="ит" localSheetId="25">#REF!</definedName>
    <definedName name="итог" localSheetId="25">#REF!</definedName>
    <definedName name="итого" localSheetId="25">#REF!</definedName>
    <definedName name="Итого_ЗПМ__по_рес_расчету_с_учетом_к_тов" localSheetId="25">#REF!</definedName>
    <definedName name="Итого_ЗПМ_в_базисных_ценах" localSheetId="25">'[26]Переменные и константы'!#REF!</definedName>
    <definedName name="Итого_ЗПМ_в_базисных_ценах_с_учетом_к_тов" localSheetId="25">'[26]Переменные и константы'!#REF!</definedName>
    <definedName name="Итого_ЗПМ_по_акту_вып_работ_в_базисных_ценах_с_учетом_к_тов" localSheetId="16">#REF!</definedName>
    <definedName name="Итого_ЗПМ_по_акту_вып_работ_в_базисных_ценах_с_учетом_к_тов" localSheetId="25">#REF!</definedName>
    <definedName name="Итого_ЗПМ_по_акту_вып_работ_в_базисных_ценах_с_учетом_к_тов" localSheetId="30">#REF!</definedName>
    <definedName name="Итого_ЗПМ_по_акту_вып_работ_в_базисных_ценах_с_учетом_к_тов" localSheetId="18">#REF!</definedName>
    <definedName name="Итого_ЗПМ_по_акту_вып_работ_при_ресурсном_расчете_с_учетом_к_тов" localSheetId="25">#REF!</definedName>
    <definedName name="Итого_ЗПМ_по_акту_вып_работ_при_ресурсном_расчете_с_учетом_к_тов" localSheetId="30">#REF!</definedName>
    <definedName name="Итого_ЗПМ_по_акту_вып_работ_при_ресурсном_расчете_с_учетом_к_тов" localSheetId="18">#REF!</definedName>
    <definedName name="Итого_ЗПМ_по_акту_выполненных_работ_в_базисных_ценах" localSheetId="25">#REF!</definedName>
    <definedName name="Итого_ЗПМ_по_акту_выполненных_работ_в_базисных_ценах" localSheetId="30">#REF!</definedName>
    <definedName name="Итого_ЗПМ_по_акту_выполненных_работ_в_базисных_ценах" localSheetId="18">#REF!</definedName>
    <definedName name="Итого_ЗПМ_по_акту_выполненных_работ_при_ресурсном_расчете" localSheetId="25">#REF!</definedName>
    <definedName name="Итого_ЗПМ_при_расчете_по_стоимости_ч_часа_работы_механизаторов" localSheetId="25">#REF!</definedName>
    <definedName name="итого_Куст" localSheetId="25">#REF!</definedName>
    <definedName name="итого_Куст_П" localSheetId="25">#REF!</definedName>
    <definedName name="Итого_МАТ_по_акту_вып_работ_в_базисных_ценах_с_учетом_к_тов" localSheetId="25">#REF!</definedName>
    <definedName name="Итого_МАТ_по_акту_вып_работ_при_ресурсном_расчете_с_учетом_к_тов" localSheetId="25">#REF!</definedName>
    <definedName name="Итого_материалы" localSheetId="25">#REF!</definedName>
    <definedName name="Итого_материалы__по_рес_расчету_с_учетом_к_тов" localSheetId="25">#REF!</definedName>
    <definedName name="Итого_материалы_в_базисных_ценах" localSheetId="25">'[26]Переменные и константы'!#REF!</definedName>
    <definedName name="Итого_материалы_в_базисных_ценах_с_учетом_к_тов" localSheetId="25">'[26]Переменные и константы'!#REF!</definedName>
    <definedName name="Итого_материалы_по_акту_выполненных_работ_в_базисных_ценах" localSheetId="16">#REF!</definedName>
    <definedName name="Итого_материалы_по_акту_выполненных_работ_в_базисных_ценах" localSheetId="25">#REF!</definedName>
    <definedName name="Итого_материалы_по_акту_выполненных_работ_в_базисных_ценах" localSheetId="30">#REF!</definedName>
    <definedName name="Итого_материалы_по_акту_выполненных_работ_в_базисных_ценах" localSheetId="18">#REF!</definedName>
    <definedName name="Итого_материалы_по_акту_выполненных_работ_при_ресурсном_расчете" localSheetId="25">#REF!</definedName>
    <definedName name="Итого_материалы_по_акту_выполненных_работ_при_ресурсном_расчете" localSheetId="30">#REF!</definedName>
    <definedName name="Итого_материалы_по_акту_выполненных_работ_при_ресурсном_расчете" localSheetId="18">#REF!</definedName>
    <definedName name="Итого_машины_и_механизмы" localSheetId="25">#REF!</definedName>
    <definedName name="Итого_машины_и_механизмы" localSheetId="30">#REF!</definedName>
    <definedName name="Итого_машины_и_механизмы" localSheetId="18">#REF!</definedName>
    <definedName name="Итого_машины_и_механизмы_в_базисных_ценах" localSheetId="25">'[26]Переменные и константы'!#REF!</definedName>
    <definedName name="Итого_машины_и_механизмы_в_базисных_ценах" localSheetId="30">'[26]Переменные и константы'!#REF!</definedName>
    <definedName name="Итого_машины_и_механизмы_в_базисных_ценах" localSheetId="18">'[26]Переменные и константы'!#REF!</definedName>
    <definedName name="Итого_машины_и_механизмы_по_акту_выполненных_работ_в_базисных_ценах" localSheetId="16">#REF!</definedName>
    <definedName name="Итого_машины_и_механизмы_по_акту_выполненных_работ_в_базисных_ценах" localSheetId="25">#REF!</definedName>
    <definedName name="Итого_машины_и_механизмы_по_акту_выполненных_работ_в_базисных_ценах" localSheetId="30">#REF!</definedName>
    <definedName name="Итого_машины_и_механизмы_по_акту_выполненных_работ_в_базисных_ценах" localSheetId="18">#REF!</definedName>
    <definedName name="Итого_машины_и_механизмы_по_акту_выполненных_работ_при_ресурсном_расчете" localSheetId="25">#REF!</definedName>
    <definedName name="Итого_машины_и_механизмы_по_акту_выполненных_работ_при_ресурсном_расчете" localSheetId="30">#REF!</definedName>
    <definedName name="Итого_машины_и_механизмы_по_акту_выполненных_работ_при_ресурсном_расчете" localSheetId="18">#REF!</definedName>
    <definedName name="Итого_НР_в_базисных_ценах" localSheetId="25">'[26]Переменные и константы'!#REF!</definedName>
    <definedName name="Итого_НР_в_базисных_ценах" localSheetId="30">'[26]Переменные и константы'!#REF!</definedName>
    <definedName name="Итого_НР_в_базисных_ценах" localSheetId="18">'[26]Переменные и константы'!#REF!</definedName>
    <definedName name="Итого_НР_по_акту_в_базисных_ценах" localSheetId="25">'[26]Переменные и константы'!#REF!</definedName>
    <definedName name="Итого_НР_по_акту_в_базисных_ценах" localSheetId="30">'[26]Переменные и константы'!#REF!</definedName>
    <definedName name="Итого_НР_по_акту_в_базисных_ценах" localSheetId="18">'[26]Переменные и константы'!#REF!</definedName>
    <definedName name="Итого_НР_по_акту_по_ресурсному_расчету" localSheetId="16">#REF!</definedName>
    <definedName name="Итого_НР_по_акту_по_ресурсному_расчету" localSheetId="25">#REF!</definedName>
    <definedName name="Итого_НР_по_акту_по_ресурсному_расчету" localSheetId="30">#REF!</definedName>
    <definedName name="Итого_НР_по_акту_по_ресурсному_расчету" localSheetId="18">#REF!</definedName>
    <definedName name="Итого_НР_по_ресурсному_расчету" localSheetId="25">#REF!</definedName>
    <definedName name="Итого_НР_по_ресурсному_расчету" localSheetId="30">#REF!</definedName>
    <definedName name="Итого_НР_по_ресурсному_расчету" localSheetId="18">#REF!</definedName>
    <definedName name="Итого_ОЗП" localSheetId="25">#REF!</definedName>
    <definedName name="Итого_ОЗП" localSheetId="30">#REF!</definedName>
    <definedName name="Итого_ОЗП" localSheetId="18">#REF!</definedName>
    <definedName name="Итого_ОЗП_в_базисных_ценах" localSheetId="25">'[26]Переменные и константы'!#REF!</definedName>
    <definedName name="Итого_ОЗП_в_базисных_ценах" localSheetId="30">'[26]Переменные и константы'!#REF!</definedName>
    <definedName name="Итого_ОЗП_в_базисных_ценах" localSheetId="18">'[26]Переменные и константы'!#REF!</definedName>
    <definedName name="Итого_ОЗП_в_базисных_ценах_с_учетом_к_тов" localSheetId="25">'[26]Переменные и константы'!#REF!</definedName>
    <definedName name="Итого_ОЗП_в_базисных_ценах_с_учетом_к_тов" localSheetId="30">'[26]Переменные и константы'!#REF!</definedName>
    <definedName name="Итого_ОЗП_в_базисных_ценах_с_учетом_к_тов" localSheetId="18">'[26]Переменные и константы'!#REF!</definedName>
    <definedName name="Итого_ОЗП_по_акту_вып_работ_в_базисных_ценах_с_учетом_к_тов" localSheetId="16">#REF!</definedName>
    <definedName name="Итого_ОЗП_по_акту_вып_работ_в_базисных_ценах_с_учетом_к_тов" localSheetId="25">#REF!</definedName>
    <definedName name="Итого_ОЗП_по_акту_вып_работ_в_базисных_ценах_с_учетом_к_тов" localSheetId="30">#REF!</definedName>
    <definedName name="Итого_ОЗП_по_акту_вып_работ_в_базисных_ценах_с_учетом_к_тов" localSheetId="18">#REF!</definedName>
    <definedName name="Итого_ОЗП_по_акту_вып_работ_при_ресурсном_расчете_с_учетом_к_тов" localSheetId="25">#REF!</definedName>
    <definedName name="Итого_ОЗП_по_акту_вып_работ_при_ресурсном_расчете_с_учетом_к_тов" localSheetId="30">#REF!</definedName>
    <definedName name="Итого_ОЗП_по_акту_вып_работ_при_ресурсном_расчете_с_учетом_к_тов" localSheetId="18">#REF!</definedName>
    <definedName name="Итого_ОЗП_по_акту_выполненных_работ_в_базисных_ценах" localSheetId="25">#REF!</definedName>
    <definedName name="Итого_ОЗП_по_акту_выполненных_работ_в_базисных_ценах" localSheetId="30">#REF!</definedName>
    <definedName name="Итого_ОЗП_по_акту_выполненных_работ_в_базисных_ценах" localSheetId="18">#REF!</definedName>
    <definedName name="Итого_ОЗП_по_акту_выполненных_работ_при_ресурсном_расчете" localSheetId="25">#REF!</definedName>
    <definedName name="Итого_ОЗП_по_рес_расчету_с_учетом_к_тов" localSheetId="25">#REF!</definedName>
    <definedName name="Итого_ПЗ" localSheetId="25">#REF!</definedName>
    <definedName name="Итого_ПЗ_в_базисных_ценах" localSheetId="25">#REF!</definedName>
    <definedName name="Итого_ПЗ_в_базисных_ценах_с_учетом_к_тов" localSheetId="25">'[26]Переменные и константы'!#REF!</definedName>
    <definedName name="Итого_ПЗ_по_акту_вып_работ_в_базисных_ценах_с_учетом_к_тов" localSheetId="16">#REF!</definedName>
    <definedName name="Итого_ПЗ_по_акту_вып_работ_в_базисных_ценах_с_учетом_к_тов" localSheetId="25">#REF!</definedName>
    <definedName name="Итого_ПЗ_по_акту_вып_работ_в_базисных_ценах_с_учетом_к_тов" localSheetId="30">#REF!</definedName>
    <definedName name="Итого_ПЗ_по_акту_вып_работ_в_базисных_ценах_с_учетом_к_тов" localSheetId="18">#REF!</definedName>
    <definedName name="Итого_ПЗ_по_акту_вып_работ_при_ресурсном_расчете_с_учетом_к_тов" localSheetId="25">#REF!</definedName>
    <definedName name="Итого_ПЗ_по_акту_вып_работ_при_ресурсном_расчете_с_учетом_к_тов" localSheetId="30">#REF!</definedName>
    <definedName name="Итого_ПЗ_по_акту_вып_работ_при_ресурсном_расчете_с_учетом_к_тов" localSheetId="18">#REF!</definedName>
    <definedName name="Итого_ПЗ_по_акту_выполненных_работ_в_базисных_ценах" localSheetId="25">#REF!</definedName>
    <definedName name="Итого_ПЗ_по_акту_выполненных_работ_в_базисных_ценах" localSheetId="30">#REF!</definedName>
    <definedName name="Итого_ПЗ_по_акту_выполненных_работ_в_базисных_ценах" localSheetId="18">#REF!</definedName>
    <definedName name="Итого_ПЗ_по_акту_выполненных_работ_при_ресурсном_расчете" localSheetId="25">#REF!</definedName>
    <definedName name="Итого_ПЗ_по_рес_расчету_с_учетом_к_тов" localSheetId="25">#REF!</definedName>
    <definedName name="Итого_по_разделу_V" localSheetId="25">#REF!</definedName>
    <definedName name="Итого_по_смете" localSheetId="25">#REF!</definedName>
    <definedName name="Итого_СП_в_базисных_ценах" localSheetId="25">'[26]Переменные и константы'!#REF!</definedName>
    <definedName name="Итого_СП_по_акту_в_базисных_ценах" localSheetId="25">'[26]Переменные и константы'!#REF!</definedName>
    <definedName name="Итого_СП_по_акту_по_ресурсному_расчету" localSheetId="16">#REF!</definedName>
    <definedName name="Итого_СП_по_акту_по_ресурсному_расчету" localSheetId="25">#REF!</definedName>
    <definedName name="Итого_СП_по_акту_по_ресурсному_расчету" localSheetId="30">#REF!</definedName>
    <definedName name="Итого_СП_по_акту_по_ресурсному_расчету" localSheetId="18">#REF!</definedName>
    <definedName name="Итого_СП_по_ресурсному_расчету" localSheetId="25">#REF!</definedName>
    <definedName name="Итого_СП_по_ресурсному_расчету" localSheetId="30">#REF!</definedName>
    <definedName name="Итого_СП_по_ресурсному_расчету" localSheetId="18">#REF!</definedName>
    <definedName name="Итого_ФОТ_в_базисных_ценах" localSheetId="25">'[26]Переменные и константы'!#REF!</definedName>
    <definedName name="Итого_ФОТ_в_базисных_ценах" localSheetId="30">'[26]Переменные и константы'!#REF!</definedName>
    <definedName name="Итого_ФОТ_в_базисных_ценах" localSheetId="18">'[26]Переменные и константы'!#REF!</definedName>
    <definedName name="Итого_ФОТ_по_акту_выполненных_работ_в_базисных_ценах" localSheetId="16">#REF!</definedName>
    <definedName name="Итого_ФОТ_по_акту_выполненных_работ_в_базисных_ценах" localSheetId="25">#REF!</definedName>
    <definedName name="Итого_ФОТ_по_акту_выполненных_работ_в_базисных_ценах" localSheetId="30">#REF!</definedName>
    <definedName name="Итого_ФОТ_по_акту_выполненных_работ_в_базисных_ценах" localSheetId="18">#REF!</definedName>
    <definedName name="Итого_ФОТ_по_акту_выполненных_работ_при_ресурсном_расчете" localSheetId="25">#REF!</definedName>
    <definedName name="Итого_ФОТ_по_акту_выполненных_работ_при_ресурсном_расчете" localSheetId="30">#REF!</definedName>
    <definedName name="Итого_ФОТ_по_акту_выполненных_работ_при_ресурсном_расчете" localSheetId="18">#REF!</definedName>
    <definedName name="Итого_ФОТ_при_расчете_по_доле_з_п_в_стоимости_эксплуатации_машин" localSheetId="25">#REF!</definedName>
    <definedName name="Итого_ФОТ_при_расчете_по_доле_з_п_в_стоимости_эксплуатации_машин" localSheetId="30">#REF!</definedName>
    <definedName name="Итого_ФОТ_при_расчете_по_доле_з_п_в_стоимости_эксплуатации_машин" localSheetId="18">#REF!</definedName>
    <definedName name="Итого_ЭММ__по_рес_расчету_с_учетом_к_тов" localSheetId="25">#REF!</definedName>
    <definedName name="Итого_ЭММ_в_базисных_ценах_с_учетом_к_тов" localSheetId="25">'[26]Переменные и константы'!#REF!</definedName>
    <definedName name="Итого_ЭММ_по_акту_вып_работ_в_базисных_ценах_с_учетом_к_тов" localSheetId="16">#REF!</definedName>
    <definedName name="Итого_ЭММ_по_акту_вып_работ_в_базисных_ценах_с_учетом_к_тов" localSheetId="25">#REF!</definedName>
    <definedName name="Итого_ЭММ_по_акту_вып_работ_в_базисных_ценах_с_учетом_к_тов" localSheetId="30">#REF!</definedName>
    <definedName name="Итого_ЭММ_по_акту_вып_работ_в_базисных_ценах_с_учетом_к_тов" localSheetId="18">#REF!</definedName>
    <definedName name="Итого_ЭММ_по_акту_вып_работ_при_ресурсном_расчете_с_учетом_к_тов" localSheetId="25">#REF!</definedName>
    <definedName name="Итого_ЭММ_по_акту_вып_работ_при_ресурсном_расчете_с_учетом_к_тов" localSheetId="30">#REF!</definedName>
    <definedName name="Итого_ЭММ_по_акту_вып_работ_при_ресурсном_расчете_с_учетом_к_тов" localSheetId="18">#REF!</definedName>
    <definedName name="ить" localSheetId="25">#REF!</definedName>
    <definedName name="ить" localSheetId="18">#REF!</definedName>
    <definedName name="й" localSheetId="36" hidden="1">{#N/A,#N/A,TRUE,"Смета на пасс. обор. №1"}</definedName>
    <definedName name="й" localSheetId="25">#REF!</definedName>
    <definedName name="йцйу3йк" localSheetId="25">#REF!</definedName>
    <definedName name="йцу" localSheetId="16">#REF!</definedName>
    <definedName name="йцу" localSheetId="25">#REF!</definedName>
    <definedName name="йцу" localSheetId="18">#REF!</definedName>
    <definedName name="к" localSheetId="16">#REF!</definedName>
    <definedName name="к" localSheetId="25">#REF!</definedName>
    <definedName name="к" localSheetId="18">#REF!</definedName>
    <definedName name="к_1" localSheetId="16" hidden="1">{#N/A,#N/A,TRUE,"Смета на пасс. обор. №1"}</definedName>
    <definedName name="к_1" localSheetId="36" hidden="1">{#N/A,#N/A,TRUE,"Смета на пасс. обор. №1"}</definedName>
    <definedName name="к_1" localSheetId="40" hidden="1">{#N/A,#N/A,TRUE,"Смета на пасс. обор. №1"}</definedName>
    <definedName name="к_1" localSheetId="30" hidden="1">{#N/A,#N/A,TRUE,"Смета на пасс. обор. №1"}</definedName>
    <definedName name="к_1" localSheetId="6" hidden="1">{#N/A,#N/A,TRUE,"Смета на пасс. обор. №1"}</definedName>
    <definedName name="к_1" localSheetId="7" hidden="1">{#N/A,#N/A,TRUE,"Смета на пасс. обор. №1"}</definedName>
    <definedName name="к_1" localSheetId="18" hidden="1">{#N/A,#N/A,TRUE,"Смета на пасс. обор. №1"}</definedName>
    <definedName name="к_1" localSheetId="38" hidden="1">{#N/A,#N/A,TRUE,"Смета на пасс. обор. №1"}</definedName>
    <definedName name="к_1" localSheetId="19" hidden="1">{#N/A,#N/A,TRUE,"Смета на пасс. обор. №1"}</definedName>
    <definedName name="к_1" hidden="1">{#N/A,#N/A,TRUE,"Смета на пасс. обор. №1"}</definedName>
    <definedName name="к_ЗПМ" localSheetId="16">#REF!</definedName>
    <definedName name="к_ЗПМ" localSheetId="25">#REF!</definedName>
    <definedName name="к_ЗПМ" localSheetId="18">#REF!</definedName>
    <definedName name="к_МАТ" localSheetId="25">#REF!</definedName>
    <definedName name="к_МАТ" localSheetId="18">#REF!</definedName>
    <definedName name="к_ОЗП" localSheetId="25">#REF!</definedName>
    <definedName name="к_ОЗП" localSheetId="18">#REF!</definedName>
    <definedName name="к_ПЗ" localSheetId="25">#REF!</definedName>
    <definedName name="к_ЭМ" localSheetId="25">#REF!</definedName>
    <definedName name="к1" localSheetId="0">#REF!</definedName>
    <definedName name="к1" localSheetId="25">#REF!</definedName>
    <definedName name="к10" localSheetId="0">#REF!</definedName>
    <definedName name="к10" localSheetId="25">#REF!</definedName>
    <definedName name="к101" localSheetId="0">#REF!</definedName>
    <definedName name="к101" localSheetId="25">#REF!</definedName>
    <definedName name="К105" localSheetId="0">#REF!</definedName>
    <definedName name="К105" localSheetId="25">#REF!</definedName>
    <definedName name="к11" localSheetId="0">#REF!</definedName>
    <definedName name="к11" localSheetId="25">#REF!</definedName>
    <definedName name="к12" localSheetId="0">#REF!</definedName>
    <definedName name="к12" localSheetId="25">#REF!</definedName>
    <definedName name="к13" localSheetId="0">#REF!</definedName>
    <definedName name="к13" localSheetId="25">#REF!</definedName>
    <definedName name="к14" localSheetId="0">#REF!</definedName>
    <definedName name="к14" localSheetId="25">#REF!</definedName>
    <definedName name="к15" localSheetId="0">#REF!</definedName>
    <definedName name="к15" localSheetId="25">#REF!</definedName>
    <definedName name="к16" localSheetId="0">#REF!</definedName>
    <definedName name="к16" localSheetId="25">#REF!</definedName>
    <definedName name="к17" localSheetId="0">#REF!</definedName>
    <definedName name="к17" localSheetId="25">#REF!</definedName>
    <definedName name="к18" localSheetId="0">#REF!</definedName>
    <definedName name="к18" localSheetId="25">#REF!</definedName>
    <definedName name="к19" localSheetId="0">#REF!</definedName>
    <definedName name="к19" localSheetId="25">#REF!</definedName>
    <definedName name="к2" localSheetId="0">#REF!</definedName>
    <definedName name="к2" localSheetId="25">#REF!</definedName>
    <definedName name="к20" localSheetId="0">#REF!</definedName>
    <definedName name="к20" localSheetId="25">#REF!</definedName>
    <definedName name="к21" localSheetId="0">#REF!</definedName>
    <definedName name="к21" localSheetId="25">#REF!</definedName>
    <definedName name="к22" localSheetId="0">#REF!</definedName>
    <definedName name="к22" localSheetId="25">#REF!</definedName>
    <definedName name="к23" localSheetId="0">#REF!</definedName>
    <definedName name="к23" localSheetId="25">#REF!</definedName>
    <definedName name="к231" localSheetId="0">#REF!</definedName>
    <definedName name="к231" localSheetId="25">#REF!</definedName>
    <definedName name="к24" localSheetId="0">#REF!</definedName>
    <definedName name="к24" localSheetId="25">#REF!</definedName>
    <definedName name="к25" localSheetId="0">#REF!</definedName>
    <definedName name="к25" localSheetId="25">#REF!</definedName>
    <definedName name="к26" localSheetId="0">#REF!</definedName>
    <definedName name="к26" localSheetId="25">#REF!</definedName>
    <definedName name="к27" localSheetId="0">#REF!</definedName>
    <definedName name="к27" localSheetId="25">#REF!</definedName>
    <definedName name="к28" localSheetId="0">#REF!</definedName>
    <definedName name="к28" localSheetId="25">#REF!</definedName>
    <definedName name="к29" localSheetId="0">#REF!</definedName>
    <definedName name="к29" localSheetId="25">#REF!</definedName>
    <definedName name="к2п" localSheetId="0">#REF!</definedName>
    <definedName name="к2п" localSheetId="25">#REF!</definedName>
    <definedName name="к3" localSheetId="0">#REF!</definedName>
    <definedName name="к3" localSheetId="25">#REF!</definedName>
    <definedName name="к30" localSheetId="0">#REF!</definedName>
    <definedName name="к30" localSheetId="25">#REF!</definedName>
    <definedName name="к3п" localSheetId="0">#REF!</definedName>
    <definedName name="к3п" localSheetId="25">#REF!</definedName>
    <definedName name="к5" localSheetId="0">#REF!</definedName>
    <definedName name="к5" localSheetId="25">#REF!</definedName>
    <definedName name="к6" localSheetId="0">#REF!</definedName>
    <definedName name="к6" localSheetId="25">#REF!</definedName>
    <definedName name="к7" localSheetId="0">#REF!</definedName>
    <definedName name="к7" localSheetId="25">#REF!</definedName>
    <definedName name="к8" localSheetId="0">#REF!</definedName>
    <definedName name="к8" localSheetId="25">#REF!</definedName>
    <definedName name="к9" localSheetId="0">#REF!</definedName>
    <definedName name="к9" localSheetId="25">#REF!</definedName>
    <definedName name="Кабардино_Балкарская_Республика" localSheetId="25">#REF!</definedName>
    <definedName name="Кабели" localSheetId="25">[15]Коэфф1.!#REF!</definedName>
    <definedName name="Кабели_1" localSheetId="16">#REF!</definedName>
    <definedName name="Кабели_1" localSheetId="25">#REF!</definedName>
    <definedName name="Кабели_1" localSheetId="18">#REF!</definedName>
    <definedName name="кабель" localSheetId="25">#REF!</definedName>
    <definedName name="кабель" localSheetId="18">#REF!</definedName>
    <definedName name="кака" localSheetId="25">#REF!</definedName>
    <definedName name="кака" localSheetId="18">#REF!</definedName>
    <definedName name="Калининградская_область" localSheetId="25">#REF!</definedName>
    <definedName name="калплан" localSheetId="25">#REF!</definedName>
    <definedName name="калплан_1" localSheetId="25">#REF!</definedName>
    <definedName name="Калужская_область" localSheetId="25">#REF!</definedName>
    <definedName name="Кам_стац" localSheetId="25">#REF!</definedName>
    <definedName name="Камер_эксп_усл" localSheetId="25">#REF!</definedName>
    <definedName name="Камеральных" localSheetId="25">#REF!</definedName>
    <definedName name="Камчатская_область" localSheetId="25">#REF!</definedName>
    <definedName name="Камчатская_область_1" localSheetId="25">#REF!</definedName>
    <definedName name="Карачаево_Черкесская_Республика" localSheetId="25">#REF!</definedName>
    <definedName name="КАТ1" localSheetId="25">'[27]Смета-Т'!#REF!</definedName>
    <definedName name="Категория_сложности" localSheetId="16">#REF!</definedName>
    <definedName name="Категория_сложности" localSheetId="25">#REF!</definedName>
    <definedName name="Категория_сложности" localSheetId="30">#REF!</definedName>
    <definedName name="Категория_сложности" localSheetId="18">#REF!</definedName>
    <definedName name="Категория_сложности_1" localSheetId="25">#REF!</definedName>
    <definedName name="Категория_сложности_1" localSheetId="18">#REF!</definedName>
    <definedName name="катя" localSheetId="25">#REF!</definedName>
    <definedName name="катя" localSheetId="18">#REF!</definedName>
    <definedName name="кгкг" localSheetId="25">#REF!</definedName>
    <definedName name="кеке" localSheetId="25">#REF!</definedName>
    <definedName name="Кемеровская_область" localSheetId="25">#REF!</definedName>
    <definedName name="Кемеровская_область_1" localSheetId="25">#REF!</definedName>
    <definedName name="кенрке" localSheetId="25">#REF!</definedName>
    <definedName name="кенроолтьб" localSheetId="25">#REF!</definedName>
    <definedName name="керл" localSheetId="25">#REF!</definedName>
    <definedName name="КИП" localSheetId="25">#REF!</definedName>
    <definedName name="КИПиавтом" localSheetId="25">#REF!</definedName>
    <definedName name="Кировская_область" localSheetId="25">#REF!</definedName>
    <definedName name="Кировская_область_1" localSheetId="25">#REF!</definedName>
    <definedName name="ккее" localSheetId="0">#REF!</definedName>
    <definedName name="ккее" localSheetId="25">#REF!</definedName>
    <definedName name="ккк" localSheetId="25">#REF!</definedName>
    <definedName name="кккк" localSheetId="36" hidden="1">{#N/A,#N/A,TRUE,"Смета на пасс. обор. №1"}</definedName>
    <definedName name="кккк" localSheetId="40" hidden="1">{#N/A,#N/A,TRUE,"Смета на пасс. обор. №1"}</definedName>
    <definedName name="кккк" localSheetId="6" hidden="1">{#N/A,#N/A,TRUE,"Смета на пасс. обор. №1"}</definedName>
    <definedName name="кккк" localSheetId="7" hidden="1">{#N/A,#N/A,TRUE,"Смета на пасс. обор. №1"}</definedName>
    <definedName name="кккк" localSheetId="38" hidden="1">{#N/A,#N/A,TRUE,"Смета на пасс. обор. №1"}</definedName>
    <definedName name="кккк" hidden="1">{#N/A,#N/A,TRUE,"Смета на пасс. обор. №1"}</definedName>
    <definedName name="ккккк" localSheetId="16" hidden="1">{#N/A,#N/A,TRUE,"Смета на пасс. обор. №1"}</definedName>
    <definedName name="ккккк" localSheetId="36" hidden="1">{#N/A,#N/A,TRUE,"Смета на пасс. обор. №1"}</definedName>
    <definedName name="ккккк" localSheetId="40" hidden="1">{#N/A,#N/A,TRUE,"Смета на пасс. обор. №1"}</definedName>
    <definedName name="ккккк" localSheetId="30" hidden="1">{#N/A,#N/A,TRUE,"Смета на пасс. обор. №1"}</definedName>
    <definedName name="ккккк" localSheetId="6" hidden="1">{#N/A,#N/A,TRUE,"Смета на пасс. обор. №1"}</definedName>
    <definedName name="ккккк" localSheetId="7" hidden="1">{#N/A,#N/A,TRUE,"Смета на пасс. обор. №1"}</definedName>
    <definedName name="ккккк" localSheetId="18" hidden="1">{#N/A,#N/A,TRUE,"Смета на пасс. обор. №1"}</definedName>
    <definedName name="ккккк" localSheetId="38" hidden="1">{#N/A,#N/A,TRUE,"Смета на пасс. обор. №1"}</definedName>
    <definedName name="ккккк" localSheetId="19" hidden="1">{#N/A,#N/A,TRUE,"Смета на пасс. обор. №1"}</definedName>
    <definedName name="ккккк" hidden="1">{#N/A,#N/A,TRUE,"Смета на пасс. обор. №1"}</definedName>
    <definedName name="ккккк_1" localSheetId="16" hidden="1">{#N/A,#N/A,TRUE,"Смета на пасс. обор. №1"}</definedName>
    <definedName name="ккккк_1" localSheetId="36" hidden="1">{#N/A,#N/A,TRUE,"Смета на пасс. обор. №1"}</definedName>
    <definedName name="ккккк_1" localSheetId="40" hidden="1">{#N/A,#N/A,TRUE,"Смета на пасс. обор. №1"}</definedName>
    <definedName name="ккккк_1" localSheetId="30" hidden="1">{#N/A,#N/A,TRUE,"Смета на пасс. обор. №1"}</definedName>
    <definedName name="ккккк_1" localSheetId="6" hidden="1">{#N/A,#N/A,TRUE,"Смета на пасс. обор. №1"}</definedName>
    <definedName name="ккккк_1" localSheetId="7" hidden="1">{#N/A,#N/A,TRUE,"Смета на пасс. обор. №1"}</definedName>
    <definedName name="ккккк_1" localSheetId="18" hidden="1">{#N/A,#N/A,TRUE,"Смета на пасс. обор. №1"}</definedName>
    <definedName name="ккккк_1" localSheetId="38" hidden="1">{#N/A,#N/A,TRUE,"Смета на пасс. обор. №1"}</definedName>
    <definedName name="ккккк_1" localSheetId="19" hidden="1">{#N/A,#N/A,TRUE,"Смета на пасс. обор. №1"}</definedName>
    <definedName name="ккккк_1" hidden="1">{#N/A,#N/A,TRUE,"Смета на пасс. обор. №1"}</definedName>
    <definedName name="кн" localSheetId="16">[4]топография!#REF!</definedName>
    <definedName name="кн" localSheetId="25">[5]топография!#REF!</definedName>
    <definedName name="книга" localSheetId="16">#REF!</definedName>
    <definedName name="книга" localSheetId="25">#REF!</definedName>
    <definedName name="книга" localSheetId="18">#REF!</definedName>
    <definedName name="Кобщ" localSheetId="25">#REF!</definedName>
    <definedName name="Кобщ" localSheetId="18">#REF!</definedName>
    <definedName name="КОД" localSheetId="25">#REF!</definedName>
    <definedName name="КОД" localSheetId="18">#REF!</definedName>
    <definedName name="кол" localSheetId="25">#REF!</definedName>
    <definedName name="Количество_землепользователей" localSheetId="25">#REF!</definedName>
    <definedName name="Количество_землепользователей_1" localSheetId="25">#REF!</definedName>
    <definedName name="Количество_контуров" localSheetId="25">#REF!</definedName>
    <definedName name="Количество_контуров_1" localSheetId="25">#REF!</definedName>
    <definedName name="Количество_культур" localSheetId="25">#REF!</definedName>
    <definedName name="Количество_культур_1" localSheetId="25">#REF!</definedName>
    <definedName name="Количество_планшетов" localSheetId="25">#REF!</definedName>
    <definedName name="Количество_планшетов_1" localSheetId="25">#REF!</definedName>
    <definedName name="Количество_предприятий" localSheetId="25">#REF!</definedName>
    <definedName name="Количество_предприятий_1" localSheetId="25">#REF!</definedName>
    <definedName name="Количество_согласований" localSheetId="25">#REF!</definedName>
    <definedName name="Количество_согласований_1" localSheetId="25">#REF!</definedName>
    <definedName name="ком" localSheetId="16">[4]топография!#REF!</definedName>
    <definedName name="ком" localSheetId="25">[5]топография!#REF!</definedName>
    <definedName name="ком." localSheetId="16" hidden="1">{#N/A,#N/A,TRUE,"Смета на пасс. обор. №1"}</definedName>
    <definedName name="ком." localSheetId="36" hidden="1">{#N/A,#N/A,TRUE,"Смета на пасс. обор. №1"}</definedName>
    <definedName name="ком." localSheetId="40" hidden="1">{#N/A,#N/A,TRUE,"Смета на пасс. обор. №1"}</definedName>
    <definedName name="ком." localSheetId="30" hidden="1">{#N/A,#N/A,TRUE,"Смета на пасс. обор. №1"}</definedName>
    <definedName name="ком." localSheetId="6" hidden="1">{#N/A,#N/A,TRUE,"Смета на пасс. обор. №1"}</definedName>
    <definedName name="ком." localSheetId="7" hidden="1">{#N/A,#N/A,TRUE,"Смета на пасс. обор. №1"}</definedName>
    <definedName name="ком." localSheetId="18" hidden="1">{#N/A,#N/A,TRUE,"Смета на пасс. обор. №1"}</definedName>
    <definedName name="ком." localSheetId="38" hidden="1">{#N/A,#N/A,TRUE,"Смета на пасс. обор. №1"}</definedName>
    <definedName name="ком." localSheetId="19" hidden="1">{#N/A,#N/A,TRUE,"Смета на пасс. обор. №1"}</definedName>
    <definedName name="ком." hidden="1">{#N/A,#N/A,TRUE,"Смета на пасс. обор. №1"}</definedName>
    <definedName name="ком._1" localSheetId="16" hidden="1">{#N/A,#N/A,TRUE,"Смета на пасс. обор. №1"}</definedName>
    <definedName name="ком._1" localSheetId="36" hidden="1">{#N/A,#N/A,TRUE,"Смета на пасс. обор. №1"}</definedName>
    <definedName name="ком._1" localSheetId="40" hidden="1">{#N/A,#N/A,TRUE,"Смета на пасс. обор. №1"}</definedName>
    <definedName name="ком._1" localSheetId="30" hidden="1">{#N/A,#N/A,TRUE,"Смета на пасс. обор. №1"}</definedName>
    <definedName name="ком._1" localSheetId="6" hidden="1">{#N/A,#N/A,TRUE,"Смета на пасс. обор. №1"}</definedName>
    <definedName name="ком._1" localSheetId="7" hidden="1">{#N/A,#N/A,TRUE,"Смета на пасс. обор. №1"}</definedName>
    <definedName name="ком._1" localSheetId="18" hidden="1">{#N/A,#N/A,TRUE,"Смета на пасс. обор. №1"}</definedName>
    <definedName name="ком._1" localSheetId="38" hidden="1">{#N/A,#N/A,TRUE,"Смета на пасс. обор. №1"}</definedName>
    <definedName name="ком._1" localSheetId="19" hidden="1">{#N/A,#N/A,TRUE,"Смета на пасс. обор. №1"}</definedName>
    <definedName name="ком._1" hidden="1">{#N/A,#N/A,TRUE,"Смета на пасс. обор. №1"}</definedName>
    <definedName name="команд." localSheetId="16" hidden="1">{#N/A,#N/A,TRUE,"Смета на пасс. обор. №1"}</definedName>
    <definedName name="команд." localSheetId="36" hidden="1">{#N/A,#N/A,TRUE,"Смета на пасс. обор. №1"}</definedName>
    <definedName name="команд." localSheetId="40" hidden="1">{#N/A,#N/A,TRUE,"Смета на пасс. обор. №1"}</definedName>
    <definedName name="команд." localSheetId="30" hidden="1">{#N/A,#N/A,TRUE,"Смета на пасс. обор. №1"}</definedName>
    <definedName name="команд." localSheetId="6" hidden="1">{#N/A,#N/A,TRUE,"Смета на пасс. обор. №1"}</definedName>
    <definedName name="команд." localSheetId="7" hidden="1">{#N/A,#N/A,TRUE,"Смета на пасс. обор. №1"}</definedName>
    <definedName name="команд." localSheetId="18" hidden="1">{#N/A,#N/A,TRUE,"Смета на пасс. обор. №1"}</definedName>
    <definedName name="команд." localSheetId="38" hidden="1">{#N/A,#N/A,TRUE,"Смета на пасс. обор. №1"}</definedName>
    <definedName name="команд." localSheetId="19" hidden="1">{#N/A,#N/A,TRUE,"Смета на пасс. обор. №1"}</definedName>
    <definedName name="команд." hidden="1">{#N/A,#N/A,TRUE,"Смета на пасс. обор. №1"}</definedName>
    <definedName name="команд._1" localSheetId="16" hidden="1">{#N/A,#N/A,TRUE,"Смета на пасс. обор. №1"}</definedName>
    <definedName name="команд._1" localSheetId="36" hidden="1">{#N/A,#N/A,TRUE,"Смета на пасс. обор. №1"}</definedName>
    <definedName name="команд._1" localSheetId="40" hidden="1">{#N/A,#N/A,TRUE,"Смета на пасс. обор. №1"}</definedName>
    <definedName name="команд._1" localSheetId="30" hidden="1">{#N/A,#N/A,TRUE,"Смета на пасс. обор. №1"}</definedName>
    <definedName name="команд._1" localSheetId="6" hidden="1">{#N/A,#N/A,TRUE,"Смета на пасс. обор. №1"}</definedName>
    <definedName name="команд._1" localSheetId="7" hidden="1">{#N/A,#N/A,TRUE,"Смета на пасс. обор. №1"}</definedName>
    <definedName name="команд._1" localSheetId="18" hidden="1">{#N/A,#N/A,TRUE,"Смета на пасс. обор. №1"}</definedName>
    <definedName name="команд._1" localSheetId="38" hidden="1">{#N/A,#N/A,TRUE,"Смета на пасс. обор. №1"}</definedName>
    <definedName name="команд._1" localSheetId="19" hidden="1">{#N/A,#N/A,TRUE,"Смета на пасс. обор. №1"}</definedName>
    <definedName name="команд._1" hidden="1">{#N/A,#N/A,TRUE,"Смета на пасс. обор. №1"}</definedName>
    <definedName name="команд.обуч." localSheetId="16" hidden="1">{#N/A,#N/A,TRUE,"Смета на пасс. обор. №1"}</definedName>
    <definedName name="команд.обуч." localSheetId="36" hidden="1">{#N/A,#N/A,TRUE,"Смета на пасс. обор. №1"}</definedName>
    <definedName name="команд.обуч." localSheetId="40" hidden="1">{#N/A,#N/A,TRUE,"Смета на пасс. обор. №1"}</definedName>
    <definedName name="команд.обуч." localSheetId="30" hidden="1">{#N/A,#N/A,TRUE,"Смета на пасс. обор. №1"}</definedName>
    <definedName name="команд.обуч." localSheetId="6" hidden="1">{#N/A,#N/A,TRUE,"Смета на пасс. обор. №1"}</definedName>
    <definedName name="команд.обуч." localSheetId="7" hidden="1">{#N/A,#N/A,TRUE,"Смета на пасс. обор. №1"}</definedName>
    <definedName name="команд.обуч." localSheetId="18" hidden="1">{#N/A,#N/A,TRUE,"Смета на пасс. обор. №1"}</definedName>
    <definedName name="команд.обуч." localSheetId="38" hidden="1">{#N/A,#N/A,TRUE,"Смета на пасс. обор. №1"}</definedName>
    <definedName name="команд.обуч." localSheetId="19" hidden="1">{#N/A,#N/A,TRUE,"Смета на пасс. обор. №1"}</definedName>
    <definedName name="команд.обуч." hidden="1">{#N/A,#N/A,TRUE,"Смета на пасс. обор. №1"}</definedName>
    <definedName name="команд.обуч._1" localSheetId="16" hidden="1">{#N/A,#N/A,TRUE,"Смета на пасс. обор. №1"}</definedName>
    <definedName name="команд.обуч._1" localSheetId="36" hidden="1">{#N/A,#N/A,TRUE,"Смета на пасс. обор. №1"}</definedName>
    <definedName name="команд.обуч._1" localSheetId="40" hidden="1">{#N/A,#N/A,TRUE,"Смета на пасс. обор. №1"}</definedName>
    <definedName name="команд.обуч._1" localSheetId="30" hidden="1">{#N/A,#N/A,TRUE,"Смета на пасс. обор. №1"}</definedName>
    <definedName name="команд.обуч._1" localSheetId="6" hidden="1">{#N/A,#N/A,TRUE,"Смета на пасс. обор. №1"}</definedName>
    <definedName name="команд.обуч._1" localSheetId="7" hidden="1">{#N/A,#N/A,TRUE,"Смета на пасс. обор. №1"}</definedName>
    <definedName name="команд.обуч._1" localSheetId="18" hidden="1">{#N/A,#N/A,TRUE,"Смета на пасс. обор. №1"}</definedName>
    <definedName name="команд.обуч._1" localSheetId="38" hidden="1">{#N/A,#N/A,TRUE,"Смета на пасс. обор. №1"}</definedName>
    <definedName name="команд.обуч._1" localSheetId="19" hidden="1">{#N/A,#N/A,TRUE,"Смета на пасс. обор. №1"}</definedName>
    <definedName name="команд.обуч._1" hidden="1">{#N/A,#N/A,TRUE,"Смета на пасс. обор. №1"}</definedName>
    <definedName name="команд1" localSheetId="16">#REF!</definedName>
    <definedName name="команд1" localSheetId="25">#REF!</definedName>
    <definedName name="команд1" localSheetId="18">#REF!</definedName>
    <definedName name="командировки" localSheetId="16" hidden="1">{#N/A,#N/A,TRUE,"Смета на пасс. обор. №1"}</definedName>
    <definedName name="командировки" localSheetId="36" hidden="1">{#N/A,#N/A,TRUE,"Смета на пасс. обор. №1"}</definedName>
    <definedName name="командировки" localSheetId="40" hidden="1">{#N/A,#N/A,TRUE,"Смета на пасс. обор. №1"}</definedName>
    <definedName name="командировки" localSheetId="30" hidden="1">{#N/A,#N/A,TRUE,"Смета на пасс. обор. №1"}</definedName>
    <definedName name="командировки" localSheetId="6" hidden="1">{#N/A,#N/A,TRUE,"Смета на пасс. обор. №1"}</definedName>
    <definedName name="командировки" localSheetId="7" hidden="1">{#N/A,#N/A,TRUE,"Смета на пасс. обор. №1"}</definedName>
    <definedName name="командировки" localSheetId="18" hidden="1">{#N/A,#N/A,TRUE,"Смета на пасс. обор. №1"}</definedName>
    <definedName name="командировки" localSheetId="38" hidden="1">{#N/A,#N/A,TRUE,"Смета на пасс. обор. №1"}</definedName>
    <definedName name="командировки" localSheetId="19" hidden="1">{#N/A,#N/A,TRUE,"Смета на пасс. обор. №1"}</definedName>
    <definedName name="командировки" hidden="1">{#N/A,#N/A,TRUE,"Смета на пасс. обор. №1"}</definedName>
    <definedName name="Командировочные_расходы" localSheetId="16">#REF!</definedName>
    <definedName name="Командировочные_расходы" localSheetId="25">#REF!</definedName>
    <definedName name="Командировочные_расходы" localSheetId="18">#REF!</definedName>
    <definedName name="Командировочные_расходы_1" localSheetId="16">#REF!</definedName>
    <definedName name="Командировочные_расходы_1" localSheetId="25">#REF!</definedName>
    <definedName name="Командировочные_расходы_1" localSheetId="18">#REF!</definedName>
    <definedName name="КОН_ИО" localSheetId="16">#REF!</definedName>
    <definedName name="КОН_ИО" localSheetId="25">#REF!</definedName>
    <definedName name="КОН_ИО" localSheetId="18">#REF!</definedName>
    <definedName name="КОН_ИО_РД" localSheetId="25">#REF!</definedName>
    <definedName name="КОН_МО" localSheetId="25">#REF!</definedName>
    <definedName name="КОН_МО_РД" localSheetId="25">#REF!</definedName>
    <definedName name="КОН_ОО" localSheetId="25">#REF!</definedName>
    <definedName name="КОН_ОО_РД" localSheetId="25">#REF!</definedName>
    <definedName name="КОН_ОР" localSheetId="25">#REF!</definedName>
    <definedName name="КОН_ОР_РД" localSheetId="25">#REF!</definedName>
    <definedName name="КОН_ПО" localSheetId="25">#REF!</definedName>
    <definedName name="КОН_ПО_РД" localSheetId="25">#REF!</definedName>
    <definedName name="КОН_ТО" localSheetId="25">#REF!</definedName>
    <definedName name="КОН_ТО_РД" localSheetId="25">#REF!</definedName>
    <definedName name="конкурс" localSheetId="0">#REF!</definedName>
    <definedName name="конкурс" localSheetId="25">#REF!</definedName>
    <definedName name="Контроллер" localSheetId="16">[15]Коэфф1.!#REF!</definedName>
    <definedName name="Контроллер" localSheetId="25">[15]Коэфф1.!#REF!</definedName>
    <definedName name="Контроллер" localSheetId="18">[15]Коэфф1.!#REF!</definedName>
    <definedName name="Контроллер_1" localSheetId="16">#REF!</definedName>
    <definedName name="Контроллер_1" localSheetId="25">#REF!</definedName>
    <definedName name="Контроллер_1" localSheetId="18">#REF!</definedName>
    <definedName name="Конф" localSheetId="16">#REF!</definedName>
    <definedName name="Конф" localSheetId="25">#REF!</definedName>
    <definedName name="Конф" localSheetId="18">#REF!</definedName>
    <definedName name="Конф_49" localSheetId="25">#REF!</definedName>
    <definedName name="Конф_49" localSheetId="18">#REF!</definedName>
    <definedName name="Конф_50" localSheetId="25">#REF!</definedName>
    <definedName name="Конф_51" localSheetId="25">#REF!</definedName>
    <definedName name="Конф_52" localSheetId="25">#REF!</definedName>
    <definedName name="Конф_53" localSheetId="25">#REF!</definedName>
    <definedName name="Конф_54" localSheetId="25">#REF!</definedName>
    <definedName name="конфл" localSheetId="25">#REF!</definedName>
    <definedName name="конфл_49" localSheetId="25">#REF!</definedName>
    <definedName name="конфл_50" localSheetId="25">#REF!</definedName>
    <definedName name="конфл_51" localSheetId="25">#REF!</definedName>
    <definedName name="конфл_52" localSheetId="25">#REF!</definedName>
    <definedName name="конфл_53" localSheetId="25">#REF!</definedName>
    <definedName name="конфл_54" localSheetId="25">#REF!</definedName>
    <definedName name="конфл2" localSheetId="25">#REF!</definedName>
    <definedName name="конфл2_49" localSheetId="25">#REF!</definedName>
    <definedName name="конфл2_50" localSheetId="25">#REF!</definedName>
    <definedName name="конфл2_51" localSheetId="25">#REF!</definedName>
    <definedName name="конфл2_52" localSheetId="25">#REF!</definedName>
    <definedName name="конфл2_53" localSheetId="25">#REF!</definedName>
    <definedName name="конфл2_54" localSheetId="25">#REF!</definedName>
    <definedName name="Копия" localSheetId="16" hidden="1">{#N/A,#N/A,TRUE,"Смета на пасс. обор. №1"}</definedName>
    <definedName name="Копия" localSheetId="36" hidden="1">{#N/A,#N/A,TRUE,"Смета на пасс. обор. №1"}</definedName>
    <definedName name="Копия" localSheetId="40" hidden="1">{#N/A,#N/A,TRUE,"Смета на пасс. обор. №1"}</definedName>
    <definedName name="Копия" localSheetId="30" hidden="1">{#N/A,#N/A,TRUE,"Смета на пасс. обор. №1"}</definedName>
    <definedName name="Копия" localSheetId="6" hidden="1">{#N/A,#N/A,TRUE,"Смета на пасс. обор. №1"}</definedName>
    <definedName name="Копия" localSheetId="7" hidden="1">{#N/A,#N/A,TRUE,"Смета на пасс. обор. №1"}</definedName>
    <definedName name="Копия" localSheetId="18" hidden="1">{#N/A,#N/A,TRUE,"Смета на пасс. обор. №1"}</definedName>
    <definedName name="Копия" localSheetId="38" hidden="1">{#N/A,#N/A,TRUE,"Смета на пасс. обор. №1"}</definedName>
    <definedName name="Копия" localSheetId="19" hidden="1">{#N/A,#N/A,TRUE,"Смета на пасс. обор. №1"}</definedName>
    <definedName name="Копия" hidden="1">{#N/A,#N/A,TRUE,"Смета на пасс. обор. №1"}</definedName>
    <definedName name="Копия2509" localSheetId="16" hidden="1">{#N/A,#N/A,TRUE,"Смета на пасс. обор. №1"}</definedName>
    <definedName name="Копия2509" localSheetId="36" hidden="1">{#N/A,#N/A,TRUE,"Смета на пасс. обор. №1"}</definedName>
    <definedName name="Копия2509" localSheetId="40" hidden="1">{#N/A,#N/A,TRUE,"Смета на пасс. обор. №1"}</definedName>
    <definedName name="Копия2509" localSheetId="30" hidden="1">{#N/A,#N/A,TRUE,"Смета на пасс. обор. №1"}</definedName>
    <definedName name="Копия2509" localSheetId="6" hidden="1">{#N/A,#N/A,TRUE,"Смета на пасс. обор. №1"}</definedName>
    <definedName name="Копия2509" localSheetId="7" hidden="1">{#N/A,#N/A,TRUE,"Смета на пасс. обор. №1"}</definedName>
    <definedName name="Копия2509" localSheetId="18" hidden="1">{#N/A,#N/A,TRUE,"Смета на пасс. обор. №1"}</definedName>
    <definedName name="Копия2509" localSheetId="38" hidden="1">{#N/A,#N/A,TRUE,"Смета на пасс. обор. №1"}</definedName>
    <definedName name="Копия2509" localSheetId="19" hidden="1">{#N/A,#N/A,TRUE,"Смета на пасс. обор. №1"}</definedName>
    <definedName name="Копия2509" hidden="1">{#N/A,#N/A,TRUE,"Смета на пасс. обор. №1"}</definedName>
    <definedName name="кор" localSheetId="16">#REF!</definedName>
    <definedName name="кор" localSheetId="25">#REF!</definedName>
    <definedName name="кор" localSheetId="18">#REF!</definedName>
    <definedName name="Корнеева" localSheetId="16">#REF!</definedName>
    <definedName name="Корнеева" localSheetId="25">#REF!</definedName>
    <definedName name="Корнеева" localSheetId="18">#REF!</definedName>
    <definedName name="Костромская_область" localSheetId="25">#REF!</definedName>
    <definedName name="Костромская_область" localSheetId="18">#REF!</definedName>
    <definedName name="котофей" localSheetId="16" hidden="1">{#N/A,#N/A,TRUE,"Смета на пасс. обор. №1"}</definedName>
    <definedName name="котофей" localSheetId="36" hidden="1">{#N/A,#N/A,TRUE,"Смета на пасс. обор. №1"}</definedName>
    <definedName name="котофей" localSheetId="40" hidden="1">{#N/A,#N/A,TRUE,"Смета на пасс. обор. №1"}</definedName>
    <definedName name="котофей" localSheetId="30" hidden="1">{#N/A,#N/A,TRUE,"Смета на пасс. обор. №1"}</definedName>
    <definedName name="котофей" localSheetId="6" hidden="1">{#N/A,#N/A,TRUE,"Смета на пасс. обор. №1"}</definedName>
    <definedName name="котофей" localSheetId="7" hidden="1">{#N/A,#N/A,TRUE,"Смета на пасс. обор. №1"}</definedName>
    <definedName name="котофей" localSheetId="18" hidden="1">{#N/A,#N/A,TRUE,"Смета на пасс. обор. №1"}</definedName>
    <definedName name="котофей" localSheetId="38" hidden="1">{#N/A,#N/A,TRUE,"Смета на пасс. обор. №1"}</definedName>
    <definedName name="котофей" localSheetId="19" hidden="1">{#N/A,#N/A,TRUE,"Смета на пасс. обор. №1"}</definedName>
    <definedName name="котофей" hidden="1">{#N/A,#N/A,TRUE,"Смета на пасс. обор. №1"}</definedName>
    <definedName name="котофей_1" localSheetId="16" hidden="1">{#N/A,#N/A,TRUE,"Смета на пасс. обор. №1"}</definedName>
    <definedName name="котофей_1" localSheetId="36" hidden="1">{#N/A,#N/A,TRUE,"Смета на пасс. обор. №1"}</definedName>
    <definedName name="котофей_1" localSheetId="40" hidden="1">{#N/A,#N/A,TRUE,"Смета на пасс. обор. №1"}</definedName>
    <definedName name="котофей_1" localSheetId="30" hidden="1">{#N/A,#N/A,TRUE,"Смета на пасс. обор. №1"}</definedName>
    <definedName name="котофей_1" localSheetId="6" hidden="1">{#N/A,#N/A,TRUE,"Смета на пасс. обор. №1"}</definedName>
    <definedName name="котофей_1" localSheetId="7" hidden="1">{#N/A,#N/A,TRUE,"Смета на пасс. обор. №1"}</definedName>
    <definedName name="котофей_1" localSheetId="18" hidden="1">{#N/A,#N/A,TRUE,"Смета на пасс. обор. №1"}</definedName>
    <definedName name="котофей_1" localSheetId="38" hidden="1">{#N/A,#N/A,TRUE,"Смета на пасс. обор. №1"}</definedName>
    <definedName name="котофей_1" localSheetId="19" hidden="1">{#N/A,#N/A,TRUE,"Смета на пасс. обор. №1"}</definedName>
    <definedName name="котофей_1" hidden="1">{#N/A,#N/A,TRUE,"Смета на пасс. обор. №1"}</definedName>
    <definedName name="КоэфБезПоля" localSheetId="16">#REF!</definedName>
    <definedName name="КоэфБезПоля" localSheetId="25">#REF!</definedName>
    <definedName name="КоэфБезПоля" localSheetId="18">#REF!</definedName>
    <definedName name="КоэфГорЗак" localSheetId="25">#REF!</definedName>
    <definedName name="КоэфГорЗак" localSheetId="18">#REF!</definedName>
    <definedName name="Коэффициент" localSheetId="16">#REF!</definedName>
    <definedName name="Коэффициент" localSheetId="25">#REF!</definedName>
    <definedName name="Коэффициент" localSheetId="30">#REF!</definedName>
    <definedName name="Коэффициент" localSheetId="18">#REF!</definedName>
    <definedName name="Коэффициент_1" localSheetId="25">#REF!</definedName>
    <definedName name="Коэффициент_1" localSheetId="18">#REF!</definedName>
    <definedName name="кп" localSheetId="0">#REF!</definedName>
    <definedName name="кп" localSheetId="25">#REF!</definedName>
    <definedName name="Кпроект" localSheetId="16">'[28]Исх. данные'!#REF!</definedName>
    <definedName name="Кпроект" localSheetId="25">'[29]Исх. данные'!#REF!</definedName>
    <definedName name="кпупыуы" localSheetId="40">#REF!</definedName>
    <definedName name="Краснодарский_край" localSheetId="16">#REF!</definedName>
    <definedName name="Краснодарский_край" localSheetId="25">#REF!</definedName>
    <definedName name="Краснодарский_край" localSheetId="30">#REF!</definedName>
    <definedName name="Краснодарский_край" localSheetId="18">#REF!</definedName>
    <definedName name="Красноярский_край" localSheetId="25">#REF!</definedName>
    <definedName name="Красноярский_край" localSheetId="30">#REF!</definedName>
    <definedName name="Красноярский_край" localSheetId="18">#REF!</definedName>
    <definedName name="Красноярский_край_1" localSheetId="25">#REF!</definedName>
    <definedName name="Красноярский_край_1" localSheetId="30">#REF!</definedName>
    <definedName name="Красноярский_край_1" localSheetId="18">#REF!</definedName>
    <definedName name="кук" localSheetId="16" hidden="1">{#N/A,#N/A,TRUE,"Смета на пасс. обор. №1"}</definedName>
    <definedName name="кук" localSheetId="36" hidden="1">{#N/A,#N/A,TRUE,"Смета на пасс. обор. №1"}</definedName>
    <definedName name="кук" localSheetId="40" hidden="1">{#N/A,#N/A,TRUE,"Смета на пасс. обор. №1"}</definedName>
    <definedName name="кук" localSheetId="30" hidden="1">{#N/A,#N/A,TRUE,"Смета на пасс. обор. №1"}</definedName>
    <definedName name="кук" localSheetId="6" hidden="1">{#N/A,#N/A,TRUE,"Смета на пасс. обор. №1"}</definedName>
    <definedName name="кук" localSheetId="7" hidden="1">{#N/A,#N/A,TRUE,"Смета на пасс. обор. №1"}</definedName>
    <definedName name="кук" localSheetId="18" hidden="1">{#N/A,#N/A,TRUE,"Смета на пасс. обор. №1"}</definedName>
    <definedName name="кук" localSheetId="38" hidden="1">{#N/A,#N/A,TRUE,"Смета на пасс. обор. №1"}</definedName>
    <definedName name="кук" localSheetId="19" hidden="1">{#N/A,#N/A,TRUE,"Смета на пасс. обор. №1"}</definedName>
    <definedName name="кук" hidden="1">{#N/A,#N/A,TRUE,"Смета на пасс. обор. №1"}</definedName>
    <definedName name="кук_1" localSheetId="16" hidden="1">{#N/A,#N/A,TRUE,"Смета на пасс. обор. №1"}</definedName>
    <definedName name="кук_1" localSheetId="36" hidden="1">{#N/A,#N/A,TRUE,"Смета на пасс. обор. №1"}</definedName>
    <definedName name="кук_1" localSheetId="40" hidden="1">{#N/A,#N/A,TRUE,"Смета на пасс. обор. №1"}</definedName>
    <definedName name="кук_1" localSheetId="30" hidden="1">{#N/A,#N/A,TRUE,"Смета на пасс. обор. №1"}</definedName>
    <definedName name="кук_1" localSheetId="6" hidden="1">{#N/A,#N/A,TRUE,"Смета на пасс. обор. №1"}</definedName>
    <definedName name="кук_1" localSheetId="7" hidden="1">{#N/A,#N/A,TRUE,"Смета на пасс. обор. №1"}</definedName>
    <definedName name="кук_1" localSheetId="18" hidden="1">{#N/A,#N/A,TRUE,"Смета на пасс. обор. №1"}</definedName>
    <definedName name="кук_1" localSheetId="38" hidden="1">{#N/A,#N/A,TRUE,"Смета на пасс. обор. №1"}</definedName>
    <definedName name="кук_1" localSheetId="19" hidden="1">{#N/A,#N/A,TRUE,"Смета на пасс. обор. №1"}</definedName>
    <definedName name="кук_1" hidden="1">{#N/A,#N/A,TRUE,"Смета на пасс. обор. №1"}</definedName>
    <definedName name="куку" localSheetId="16">#REF!</definedName>
    <definedName name="куку" localSheetId="25">#REF!</definedName>
    <definedName name="куку" localSheetId="18">#REF!</definedName>
    <definedName name="Курган" localSheetId="16">#REF!</definedName>
    <definedName name="Курган" localSheetId="25">#REF!</definedName>
    <definedName name="Курган" localSheetId="18">#REF!</definedName>
    <definedName name="Курганская_область" localSheetId="25">#REF!</definedName>
    <definedName name="Курганская_область" localSheetId="18">#REF!</definedName>
    <definedName name="Курганская_область_1" localSheetId="25">#REF!</definedName>
    <definedName name="курорты" localSheetId="0">#REF!</definedName>
    <definedName name="курорты" localSheetId="25">#REF!</definedName>
    <definedName name="Курс_1" localSheetId="16">#REF!</definedName>
    <definedName name="Курс_1" localSheetId="25">#REF!</definedName>
    <definedName name="Курс_1" localSheetId="18">#REF!</definedName>
    <definedName name="курс_дол" localSheetId="25">#REF!</definedName>
    <definedName name="курс_дол" localSheetId="18">#REF!</definedName>
    <definedName name="Курс_доллара_США" localSheetId="16">#REF!</definedName>
    <definedName name="Курс_доллара_США" localSheetId="25">#REF!</definedName>
    <definedName name="Курс_доллара_США" localSheetId="30">#REF!</definedName>
    <definedName name="Курс_доллара_США" localSheetId="18">#REF!</definedName>
    <definedName name="курс1" localSheetId="25">#REF!</definedName>
    <definedName name="курс1" localSheetId="30">#REF!</definedName>
    <definedName name="курс1" localSheetId="18">#REF!</definedName>
    <definedName name="Курская_область" localSheetId="25">#REF!</definedName>
    <definedName name="Курская_область" localSheetId="30">#REF!</definedName>
    <definedName name="Курская_область" localSheetId="18">#REF!</definedName>
    <definedName name="кшн" localSheetId="25">#REF!</definedName>
    <definedName name="л" localSheetId="16" hidden="1">{#N/A,#N/A,TRUE,"Смета на пасс. обор. №1"}</definedName>
    <definedName name="л" localSheetId="36" hidden="1">{#N/A,#N/A,TRUE,"Смета на пасс. обор. №1"}</definedName>
    <definedName name="л" localSheetId="40" hidden="1">{#N/A,#N/A,TRUE,"Смета на пасс. обор. №1"}</definedName>
    <definedName name="л" localSheetId="30" hidden="1">{#N/A,#N/A,TRUE,"Смета на пасс. обор. №1"}</definedName>
    <definedName name="л" localSheetId="6" hidden="1">{#N/A,#N/A,TRUE,"Смета на пасс. обор. №1"}</definedName>
    <definedName name="л" localSheetId="7" hidden="1">{#N/A,#N/A,TRUE,"Смета на пасс. обор. №1"}</definedName>
    <definedName name="л" localSheetId="18" hidden="1">{#N/A,#N/A,TRUE,"Смета на пасс. обор. №1"}</definedName>
    <definedName name="л" localSheetId="38" hidden="1">{#N/A,#N/A,TRUE,"Смета на пасс. обор. №1"}</definedName>
    <definedName name="л" localSheetId="19" hidden="1">{#N/A,#N/A,TRUE,"Смета на пасс. обор. №1"}</definedName>
    <definedName name="л" hidden="1">{#N/A,#N/A,TRUE,"Смета на пасс. обор. №1"}</definedName>
    <definedName name="л_1" localSheetId="16" hidden="1">{#N/A,#N/A,TRUE,"Смета на пасс. обор. №1"}</definedName>
    <definedName name="л_1" localSheetId="36" hidden="1">{#N/A,#N/A,TRUE,"Смета на пасс. обор. №1"}</definedName>
    <definedName name="л_1" localSheetId="40" hidden="1">{#N/A,#N/A,TRUE,"Смета на пасс. обор. №1"}</definedName>
    <definedName name="л_1" localSheetId="30" hidden="1">{#N/A,#N/A,TRUE,"Смета на пасс. обор. №1"}</definedName>
    <definedName name="л_1" localSheetId="6" hidden="1">{#N/A,#N/A,TRUE,"Смета на пасс. обор. №1"}</definedName>
    <definedName name="л_1" localSheetId="7" hidden="1">{#N/A,#N/A,TRUE,"Смета на пасс. обор. №1"}</definedName>
    <definedName name="л_1" localSheetId="18" hidden="1">{#N/A,#N/A,TRUE,"Смета на пасс. обор. №1"}</definedName>
    <definedName name="л_1" localSheetId="38" hidden="1">{#N/A,#N/A,TRUE,"Смета на пасс. обор. №1"}</definedName>
    <definedName name="л_1" localSheetId="19" hidden="1">{#N/A,#N/A,TRUE,"Смета на пасс. обор. №1"}</definedName>
    <definedName name="л_1" hidden="1">{#N/A,#N/A,TRUE,"Смета на пасс. обор. №1"}</definedName>
    <definedName name="Л1" localSheetId="36" hidden="1">{"IMRAK42x8x8",#N/A,TRUE,"IMRAK 1400 42U 800X800";"IMRAK32x6x6",#N/A,TRUE,"IMRAK 1400 32U 600x600";"IMRAK42x12x8",#N/A,TRUE,"IMRAK 1400 42U 1200x800";"IMRAK15x6x4",#N/A,TRUE,"IMRAK 400 15U FRONT SECTION"}</definedName>
    <definedName name="Л1" localSheetId="40" hidden="1">{"IMRAK42x8x8",#N/A,TRUE,"IMRAK 1400 42U 800X800";"IMRAK32x6x6",#N/A,TRUE,"IMRAK 1400 32U 600x600";"IMRAK42x12x8",#N/A,TRUE,"IMRAK 1400 42U 1200x800";"IMRAK15x6x4",#N/A,TRUE,"IMRAK 400 15U FRONT SECTION"}</definedName>
    <definedName name="Л1" localSheetId="6" hidden="1">{"IMRAK42x8x8",#N/A,TRUE,"IMRAK 1400 42U 800X800";"IMRAK32x6x6",#N/A,TRUE,"IMRAK 1400 32U 600x600";"IMRAK42x12x8",#N/A,TRUE,"IMRAK 1400 42U 1200x800";"IMRAK15x6x4",#N/A,TRUE,"IMRAK 400 15U FRONT SECTION"}</definedName>
    <definedName name="Л1" localSheetId="7" hidden="1">{"IMRAK42x8x8",#N/A,TRUE,"IMRAK 1400 42U 800X800";"IMRAK32x6x6",#N/A,TRUE,"IMRAK 1400 32U 600x600";"IMRAK42x12x8",#N/A,TRUE,"IMRAK 1400 42U 1200x800";"IMRAK15x6x4",#N/A,TRUE,"IMRAK 400 15U FRONT SECTION"}</definedName>
    <definedName name="Л1" localSheetId="38" hidden="1">{"IMRAK42x8x8",#N/A,TRUE,"IMRAK 1400 42U 800X800";"IMRAK32x6x6",#N/A,TRUE,"IMRAK 1400 32U 600x600";"IMRAK42x12x8",#N/A,TRUE,"IMRAK 1400 42U 1200x800";"IMRAK15x6x4",#N/A,TRUE,"IMRAK 400 15U FRONT SECTION"}</definedName>
    <definedName name="Л1" hidden="1">{"IMRAK42x8x8",#N/A,TRUE,"IMRAK 1400 42U 800X800";"IMRAK32x6x6",#N/A,TRUE,"IMRAK 1400 32U 600x600";"IMRAK42x12x8",#N/A,TRUE,"IMRAK 1400 42U 1200x800";"IMRAK15x6x4",#N/A,TRUE,"IMRAK 400 15U FRONT SECTION"}</definedName>
    <definedName name="лаб_иссл" localSheetId="16">#REF!</definedName>
    <definedName name="лаб_иссл" localSheetId="25">#REF!</definedName>
    <definedName name="лаб_иссл" localSheetId="18">#REF!</definedName>
    <definedName name="Лаб_стац" localSheetId="16">#REF!</definedName>
    <definedName name="Лаб_стац" localSheetId="25">#REF!</definedName>
    <definedName name="Лаб_стац" localSheetId="18">#REF!</definedName>
    <definedName name="Лаб_эксп_усл" localSheetId="16">#REF!</definedName>
    <definedName name="Лаб_эксп_усл" localSheetId="25">#REF!</definedName>
    <definedName name="Лаб_эксп_усл" localSheetId="18">#REF!</definedName>
    <definedName name="ЛабМашБур" localSheetId="16">[30]СмМашБур!#REF!</definedName>
    <definedName name="ЛабМашБур" localSheetId="25">[30]СмМашБур!#REF!</definedName>
    <definedName name="ЛабМашБур" localSheetId="18">[30]СмМашБур!#REF!</definedName>
    <definedName name="лаборатория" localSheetId="16">#REF!</definedName>
    <definedName name="лаборатория" localSheetId="25">#REF!</definedName>
    <definedName name="лаборатория" localSheetId="30">#REF!</definedName>
    <definedName name="лаборатория" localSheetId="18">#REF!</definedName>
    <definedName name="ЛабШурфов" localSheetId="16">#REF!</definedName>
    <definedName name="ЛабШурфов" localSheetId="25">#REF!</definedName>
    <definedName name="ЛабШурфов" localSheetId="18">#REF!</definedName>
    <definedName name="лв" localSheetId="25">#REF!</definedName>
    <definedName name="лв" localSheetId="18">#REF!</definedName>
    <definedName name="лвнг" localSheetId="25">#REF!</definedName>
    <definedName name="лдж" localSheetId="16" hidden="1">{#N/A,#N/A,TRUE,"Смета на пасс. обор. №1"}</definedName>
    <definedName name="лдж" localSheetId="36" hidden="1">{#N/A,#N/A,TRUE,"Смета на пасс. обор. №1"}</definedName>
    <definedName name="лдж" localSheetId="40" hidden="1">{#N/A,#N/A,TRUE,"Смета на пасс. обор. №1"}</definedName>
    <definedName name="лдж" localSheetId="30" hidden="1">{#N/A,#N/A,TRUE,"Смета на пасс. обор. №1"}</definedName>
    <definedName name="лдж" localSheetId="6" hidden="1">{#N/A,#N/A,TRUE,"Смета на пасс. обор. №1"}</definedName>
    <definedName name="лдж" localSheetId="7" hidden="1">{#N/A,#N/A,TRUE,"Смета на пасс. обор. №1"}</definedName>
    <definedName name="лдж" localSheetId="18" hidden="1">{#N/A,#N/A,TRUE,"Смета на пасс. обор. №1"}</definedName>
    <definedName name="лдж" localSheetId="38" hidden="1">{#N/A,#N/A,TRUE,"Смета на пасс. обор. №1"}</definedName>
    <definedName name="лдж" localSheetId="19" hidden="1">{#N/A,#N/A,TRUE,"Смета на пасс. обор. №1"}</definedName>
    <definedName name="лдж" hidden="1">{#N/A,#N/A,TRUE,"Смета на пасс. обор. №1"}</definedName>
    <definedName name="лдж_1" localSheetId="16" hidden="1">{#N/A,#N/A,TRUE,"Смета на пасс. обор. №1"}</definedName>
    <definedName name="лдж_1" localSheetId="36" hidden="1">{#N/A,#N/A,TRUE,"Смета на пасс. обор. №1"}</definedName>
    <definedName name="лдж_1" localSheetId="40" hidden="1">{#N/A,#N/A,TRUE,"Смета на пасс. обор. №1"}</definedName>
    <definedName name="лдж_1" localSheetId="30" hidden="1">{#N/A,#N/A,TRUE,"Смета на пасс. обор. №1"}</definedName>
    <definedName name="лдж_1" localSheetId="6" hidden="1">{#N/A,#N/A,TRUE,"Смета на пасс. обор. №1"}</definedName>
    <definedName name="лдж_1" localSheetId="7" hidden="1">{#N/A,#N/A,TRUE,"Смета на пасс. обор. №1"}</definedName>
    <definedName name="лдж_1" localSheetId="18" hidden="1">{#N/A,#N/A,TRUE,"Смета на пасс. обор. №1"}</definedName>
    <definedName name="лдж_1" localSheetId="38" hidden="1">{#N/A,#N/A,TRUE,"Смета на пасс. обор. №1"}</definedName>
    <definedName name="лдж_1" localSheetId="19" hidden="1">{#N/A,#N/A,TRUE,"Смета на пасс. обор. №1"}</definedName>
    <definedName name="лдж_1" hidden="1">{#N/A,#N/A,TRUE,"Смета на пасс. обор. №1"}</definedName>
    <definedName name="лдллл" localSheetId="16">#REF!</definedName>
    <definedName name="лдллл" localSheetId="25">#REF!</definedName>
    <definedName name="лдллл" localSheetId="18">#REF!</definedName>
    <definedName name="Ленинградская_область" localSheetId="25">#REF!</definedName>
    <definedName name="Ленинградская_область" localSheetId="18">#REF!</definedName>
    <definedName name="Липецкая_область" localSheetId="25">#REF!</definedName>
    <definedName name="Липецкая_область" localSheetId="18">#REF!</definedName>
    <definedName name="лист" localSheetId="25">#REF!</definedName>
    <definedName name="Лифты" localSheetId="25">#REF!</definedName>
    <definedName name="лкон" localSheetId="25">#REF!</definedName>
    <definedName name="ллддд" localSheetId="16">#REF!</definedName>
    <definedName name="ллддд" localSheetId="25">#REF!</definedName>
    <definedName name="ллддд" localSheetId="18">#REF!</definedName>
    <definedName name="ллдж" localSheetId="16">#REF!</definedName>
    <definedName name="ллдж" localSheetId="25">#REF!</definedName>
    <definedName name="ллдж" localSheetId="18">#REF!</definedName>
    <definedName name="ллл" localSheetId="25">#REF!</definedName>
    <definedName name="ллл" localSheetId="18">#REF!</definedName>
    <definedName name="лн" localSheetId="25">#REF!</definedName>
    <definedName name="лнвг" localSheetId="25">#REF!</definedName>
    <definedName name="лнгва" localSheetId="25">#REF!</definedName>
    <definedName name="ло" localSheetId="25">#REF!</definedName>
    <definedName name="ловпр" localSheetId="25">#REF!</definedName>
    <definedName name="логалгнеелн" localSheetId="25">#REF!</definedName>
    <definedName name="лол" localSheetId="25">#REF!</definedName>
    <definedName name="лор" localSheetId="16" hidden="1">{#N/A,#N/A,TRUE,"Смета на пасс. обор. №1"}</definedName>
    <definedName name="лор" localSheetId="36" hidden="1">{#N/A,#N/A,TRUE,"Смета на пасс. обор. №1"}</definedName>
    <definedName name="лор" localSheetId="40" hidden="1">{#N/A,#N/A,TRUE,"Смета на пасс. обор. №1"}</definedName>
    <definedName name="лор" localSheetId="30" hidden="1">{#N/A,#N/A,TRUE,"Смета на пасс. обор. №1"}</definedName>
    <definedName name="лор" localSheetId="6" hidden="1">{#N/A,#N/A,TRUE,"Смета на пасс. обор. №1"}</definedName>
    <definedName name="лор" localSheetId="7" hidden="1">{#N/A,#N/A,TRUE,"Смета на пасс. обор. №1"}</definedName>
    <definedName name="лор" localSheetId="18" hidden="1">{#N/A,#N/A,TRUE,"Смета на пасс. обор. №1"}</definedName>
    <definedName name="лор" localSheetId="38" hidden="1">{#N/A,#N/A,TRUE,"Смета на пасс. обор. №1"}</definedName>
    <definedName name="лор" localSheetId="19" hidden="1">{#N/A,#N/A,TRUE,"Смета на пасс. обор. №1"}</definedName>
    <definedName name="лор" hidden="1">{#N/A,#N/A,TRUE,"Смета на пасс. обор. №1"}</definedName>
    <definedName name="лор_1" localSheetId="16" hidden="1">{#N/A,#N/A,TRUE,"Смета на пасс. обор. №1"}</definedName>
    <definedName name="лор_1" localSheetId="36" hidden="1">{#N/A,#N/A,TRUE,"Смета на пасс. обор. №1"}</definedName>
    <definedName name="лор_1" localSheetId="40" hidden="1">{#N/A,#N/A,TRUE,"Смета на пасс. обор. №1"}</definedName>
    <definedName name="лор_1" localSheetId="30" hidden="1">{#N/A,#N/A,TRUE,"Смета на пасс. обор. №1"}</definedName>
    <definedName name="лор_1" localSheetId="6" hidden="1">{#N/A,#N/A,TRUE,"Смета на пасс. обор. №1"}</definedName>
    <definedName name="лор_1" localSheetId="7" hidden="1">{#N/A,#N/A,TRUE,"Смета на пасс. обор. №1"}</definedName>
    <definedName name="лор_1" localSheetId="18" hidden="1">{#N/A,#N/A,TRUE,"Смета на пасс. обор. №1"}</definedName>
    <definedName name="лор_1" localSheetId="38" hidden="1">{#N/A,#N/A,TRUE,"Смета на пасс. обор. №1"}</definedName>
    <definedName name="лор_1" localSheetId="19" hidden="1">{#N/A,#N/A,TRUE,"Смета на пасс. обор. №1"}</definedName>
    <definedName name="лор_1" hidden="1">{#N/A,#N/A,TRUE,"Смета на пасс. обор. №1"}</definedName>
    <definedName name="лорщшгошщлдбжд" localSheetId="16">#REF!</definedName>
    <definedName name="лорщшгошщлдбжд" localSheetId="25">#REF!</definedName>
    <definedName name="лорщшгошщлдбжд" localSheetId="18">#REF!</definedName>
    <definedName name="лот" localSheetId="16" hidden="1">{#N/A,#N/A,TRUE,"Смета на пасс. обор. №1"}</definedName>
    <definedName name="лот" localSheetId="36" hidden="1">{#N/A,#N/A,TRUE,"Смета на пасс. обор. №1"}</definedName>
    <definedName name="лот" localSheetId="40" hidden="1">{#N/A,#N/A,TRUE,"Смета на пасс. обор. №1"}</definedName>
    <definedName name="лот" localSheetId="30" hidden="1">{#N/A,#N/A,TRUE,"Смета на пасс. обор. №1"}</definedName>
    <definedName name="лот" localSheetId="6" hidden="1">{#N/A,#N/A,TRUE,"Смета на пасс. обор. №1"}</definedName>
    <definedName name="лот" localSheetId="7" hidden="1">{#N/A,#N/A,TRUE,"Смета на пасс. обор. №1"}</definedName>
    <definedName name="лот" localSheetId="18" hidden="1">{#N/A,#N/A,TRUE,"Смета на пасс. обор. №1"}</definedName>
    <definedName name="лот" localSheetId="38" hidden="1">{#N/A,#N/A,TRUE,"Смета на пасс. обор. №1"}</definedName>
    <definedName name="лот" localSheetId="19" hidden="1">{#N/A,#N/A,TRUE,"Смета на пасс. обор. №1"}</definedName>
    <definedName name="лот" hidden="1">{#N/A,#N/A,TRUE,"Смета на пасс. обор. №1"}</definedName>
    <definedName name="лот_1" localSheetId="16" hidden="1">{#N/A,#N/A,TRUE,"Смета на пасс. обор. №1"}</definedName>
    <definedName name="лот_1" localSheetId="36" hidden="1">{#N/A,#N/A,TRUE,"Смета на пасс. обор. №1"}</definedName>
    <definedName name="лот_1" localSheetId="40" hidden="1">{#N/A,#N/A,TRUE,"Смета на пасс. обор. №1"}</definedName>
    <definedName name="лот_1" localSheetId="30" hidden="1">{#N/A,#N/A,TRUE,"Смета на пасс. обор. №1"}</definedName>
    <definedName name="лот_1" localSheetId="6" hidden="1">{#N/A,#N/A,TRUE,"Смета на пасс. обор. №1"}</definedName>
    <definedName name="лот_1" localSheetId="7" hidden="1">{#N/A,#N/A,TRUE,"Смета на пасс. обор. №1"}</definedName>
    <definedName name="лот_1" localSheetId="18" hidden="1">{#N/A,#N/A,TRUE,"Смета на пасс. обор. №1"}</definedName>
    <definedName name="лот_1" localSheetId="38" hidden="1">{#N/A,#N/A,TRUE,"Смета на пасс. обор. №1"}</definedName>
    <definedName name="лот_1" localSheetId="19" hidden="1">{#N/A,#N/A,TRUE,"Смета на пасс. обор. №1"}</definedName>
    <definedName name="лот_1" hidden="1">{#N/A,#N/A,TRUE,"Смета на пасс. обор. №1"}</definedName>
    <definedName name="лпрра" localSheetId="16">#REF!</definedName>
    <definedName name="лпрра" localSheetId="25">#REF!</definedName>
    <definedName name="лпрра" localSheetId="18">#REF!</definedName>
    <definedName name="лрал" localSheetId="25">#REF!</definedName>
    <definedName name="лрал" localSheetId="18">#REF!</definedName>
    <definedName name="лрлд" localSheetId="25">#REF!</definedName>
    <definedName name="лрлд" localSheetId="18">#REF!</definedName>
    <definedName name="лрпораплтль" localSheetId="16">#REF!</definedName>
    <definedName name="лрпораплтль" localSheetId="25">#REF!</definedName>
    <definedName name="лрр" localSheetId="25">#REF!</definedName>
    <definedName name="Лс" localSheetId="25">#REF!</definedName>
    <definedName name="М" localSheetId="25">#REF!</definedName>
    <definedName name="Магаданская_область" localSheetId="25">#REF!</definedName>
    <definedName name="Магаданская_область_1" localSheetId="25">#REF!</definedName>
    <definedName name="МАРЖА" localSheetId="25">#REF!</definedName>
    <definedName name="Махачкала" localSheetId="25">#REF!</definedName>
    <definedName name="Махачкала_1" localSheetId="25">#REF!</definedName>
    <definedName name="Махачкала_2" localSheetId="25">#REF!</definedName>
    <definedName name="Махачкала_22" localSheetId="25">#REF!</definedName>
    <definedName name="Махачкала_49" localSheetId="25">#REF!</definedName>
    <definedName name="Махачкала_5" localSheetId="25">#REF!</definedName>
    <definedName name="Махачкала_50" localSheetId="25">#REF!</definedName>
    <definedName name="Махачкала_51" localSheetId="25">#REF!</definedName>
    <definedName name="Махачкала_52" localSheetId="25">#REF!</definedName>
    <definedName name="Махачкала_53" localSheetId="25">#REF!</definedName>
    <definedName name="Махачкала_54" localSheetId="25">#REF!</definedName>
    <definedName name="Месяцы" localSheetId="25">#REF!</definedName>
    <definedName name="Месяцы2" localSheetId="25">#REF!</definedName>
    <definedName name="Месяцы3" localSheetId="25">#REF!</definedName>
    <definedName name="Металли_еская_дверца_для_напольного_монтажного_шкафа_VERO__600x600x42U__с_замком_и_клю_ами" localSheetId="25">#REF!</definedName>
    <definedName name="МИ_Т" localSheetId="16">#REF!</definedName>
    <definedName name="МИ_Т" localSheetId="25">#REF!</definedName>
    <definedName name="МИ_Т" localSheetId="30">#REF!</definedName>
    <definedName name="МИ_Т" localSheetId="18">#REF!</definedName>
    <definedName name="МИА5" localSheetId="25">#REF!</definedName>
    <definedName name="МИА5" localSheetId="30">#REF!</definedName>
    <definedName name="МИА5" localSheetId="18">#REF!</definedName>
    <definedName name="мил" localSheetId="16">{0,"овz";1,"z";2,"аz";5,"овz"}</definedName>
    <definedName name="мил" localSheetId="40">{0,"овz";1,"z";2,"аz";5,"овz"}</definedName>
    <definedName name="мил" localSheetId="30">{0,"овz";1,"z";2,"аz";5,"овz"}</definedName>
    <definedName name="мил" localSheetId="18">{0,"овz";1,"z";2,"аz";5,"овz"}</definedName>
    <definedName name="мир" localSheetId="16" hidden="1">{#N/A,#N/A,TRUE,"Смета на пасс. обор. №1"}</definedName>
    <definedName name="мир" localSheetId="36" hidden="1">{#N/A,#N/A,TRUE,"Смета на пасс. обор. №1"}</definedName>
    <definedName name="мир" localSheetId="40" hidden="1">{#N/A,#N/A,TRUE,"Смета на пасс. обор. №1"}</definedName>
    <definedName name="мир" localSheetId="30" hidden="1">{#N/A,#N/A,TRUE,"Смета на пасс. обор. №1"}</definedName>
    <definedName name="мир" localSheetId="6" hidden="1">{#N/A,#N/A,TRUE,"Смета на пасс. обор. №1"}</definedName>
    <definedName name="мир" localSheetId="7" hidden="1">{#N/A,#N/A,TRUE,"Смета на пасс. обор. №1"}</definedName>
    <definedName name="мир" localSheetId="18" hidden="1">{#N/A,#N/A,TRUE,"Смета на пасс. обор. №1"}</definedName>
    <definedName name="мир" localSheetId="38" hidden="1">{#N/A,#N/A,TRUE,"Смета на пасс. обор. №1"}</definedName>
    <definedName name="мир" localSheetId="19" hidden="1">{#N/A,#N/A,TRUE,"Смета на пасс. обор. №1"}</definedName>
    <definedName name="мир" hidden="1">{#N/A,#N/A,TRUE,"Смета на пасс. обор. №1"}</definedName>
    <definedName name="мир_1" localSheetId="16" hidden="1">{#N/A,#N/A,TRUE,"Смета на пасс. обор. №1"}</definedName>
    <definedName name="мир_1" localSheetId="36" hidden="1">{#N/A,#N/A,TRUE,"Смета на пасс. обор. №1"}</definedName>
    <definedName name="мир_1" localSheetId="40" hidden="1">{#N/A,#N/A,TRUE,"Смета на пасс. обор. №1"}</definedName>
    <definedName name="мир_1" localSheetId="30" hidden="1">{#N/A,#N/A,TRUE,"Смета на пасс. обор. №1"}</definedName>
    <definedName name="мир_1" localSheetId="6" hidden="1">{#N/A,#N/A,TRUE,"Смета на пасс. обор. №1"}</definedName>
    <definedName name="мир_1" localSheetId="7" hidden="1">{#N/A,#N/A,TRUE,"Смета на пасс. обор. №1"}</definedName>
    <definedName name="мир_1" localSheetId="18" hidden="1">{#N/A,#N/A,TRUE,"Смета на пасс. обор. №1"}</definedName>
    <definedName name="мир_1" localSheetId="38" hidden="1">{#N/A,#N/A,TRUE,"Смета на пасс. обор. №1"}</definedName>
    <definedName name="мир_1" localSheetId="19" hidden="1">{#N/A,#N/A,TRUE,"Смета на пасс. обор. №1"}</definedName>
    <definedName name="мир_1" hidden="1">{#N/A,#N/A,TRUE,"Смета на пасс. обор. №1"}</definedName>
    <definedName name="мись" localSheetId="16">#REF!</definedName>
    <definedName name="мись" localSheetId="25">#REF!</definedName>
    <definedName name="мись" localSheetId="18">#REF!</definedName>
    <definedName name="мит" localSheetId="16">#REF!</definedName>
    <definedName name="мит" localSheetId="25">#REF!</definedName>
    <definedName name="мит" localSheetId="18">#REF!</definedName>
    <definedName name="мм" localSheetId="16">#REF!</definedName>
    <definedName name="мм" localSheetId="25">#REF!</definedName>
    <definedName name="мм" localSheetId="30">#REF!</definedName>
    <definedName name="мм" localSheetId="18">#REF!</definedName>
    <definedName name="МММММММММ" localSheetId="25">#REF!</definedName>
    <definedName name="МММММММММ" localSheetId="18">#REF!</definedName>
    <definedName name="мойка" localSheetId="25">#REF!</definedName>
    <definedName name="мойка" localSheetId="18">#REF!</definedName>
    <definedName name="молния" localSheetId="36" hidden="1">{#N/A,#N/A,TRUE,"Смета на пасс. обор. №1"}</definedName>
    <definedName name="молния" localSheetId="40" hidden="1">{#N/A,#N/A,TRUE,"Смета на пасс. обор. №1"}</definedName>
    <definedName name="молния" localSheetId="6" hidden="1">{#N/A,#N/A,TRUE,"Смета на пасс. обор. №1"}</definedName>
    <definedName name="молния" localSheetId="7" hidden="1">{#N/A,#N/A,TRUE,"Смета на пасс. обор. №1"}</definedName>
    <definedName name="молния" localSheetId="38" hidden="1">{#N/A,#N/A,TRUE,"Смета на пасс. обор. №1"}</definedName>
    <definedName name="молния" hidden="1">{#N/A,#N/A,TRUE,"Смета на пасс. обор. №1"}</definedName>
    <definedName name="Монтаж" localSheetId="16">#REF!</definedName>
    <definedName name="Монтаж" localSheetId="25">#REF!</definedName>
    <definedName name="Монтажные_работы_в_базисных_ценах" localSheetId="25">#REF!</definedName>
    <definedName name="Монтажные_работы_в_текущих_ценах" localSheetId="25">'[26]Переменные и константы'!#REF!</definedName>
    <definedName name="Монтажные_работы_в_текущих_ценах_по_ресурсному_расчету" localSheetId="25">'[26]Переменные и константы'!#REF!</definedName>
    <definedName name="Монтажные_работы_в_текущих_ценах_после_применения_индексов" localSheetId="25">'[26]Переменные и константы'!#REF!</definedName>
    <definedName name="Московская_область" localSheetId="16">#REF!</definedName>
    <definedName name="Московская_область" localSheetId="25">#REF!</definedName>
    <definedName name="Московская_область" localSheetId="30">#REF!</definedName>
    <definedName name="Московская_область" localSheetId="18">#REF!</definedName>
    <definedName name="мотаж2" localSheetId="25">#REF!</definedName>
    <definedName name="мотаж2" localSheetId="30">#REF!</definedName>
    <definedName name="мотаж2" localSheetId="18">#REF!</definedName>
    <definedName name="мтч" localSheetId="25">#REF!</definedName>
    <definedName name="мтч" localSheetId="30">#REF!</definedName>
    <definedName name="мтч" localSheetId="18">#REF!</definedName>
    <definedName name="мтьюп" localSheetId="25">#REF!</definedName>
    <definedName name="Мурманская_область" localSheetId="25">#REF!</definedName>
    <definedName name="Мурманская_область_1" localSheetId="25">#REF!</definedName>
    <definedName name="нагдл" localSheetId="16">[4]топография!#REF!</definedName>
    <definedName name="нагдл" localSheetId="25">[5]топография!#REF!</definedName>
    <definedName name="над" localSheetId="16">#REF!</definedName>
    <definedName name="над" localSheetId="25">#REF!</definedName>
    <definedName name="над" localSheetId="18">#REF!</definedName>
    <definedName name="Название_проекта" localSheetId="16">#REF!</definedName>
    <definedName name="Название_проекта" localSheetId="25">#REF!</definedName>
    <definedName name="Название_проекта" localSheetId="18">#REF!</definedName>
    <definedName name="Название_проекта_1" localSheetId="25">#REF!</definedName>
    <definedName name="Название_проекта_1" localSheetId="18">#REF!</definedName>
    <definedName name="Наименование_группы_строек" localSheetId="25">#REF!</definedName>
    <definedName name="Наименование_локальной_сметы" localSheetId="25">#REF!</definedName>
    <definedName name="Наименование_объекта" localSheetId="25">#REF!</definedName>
    <definedName name="Наименование_объектной_сметы" localSheetId="25">#REF!</definedName>
    <definedName name="Наименование_очереди" localSheetId="25">#REF!</definedName>
    <definedName name="Наименование_пускового_комплекса" localSheetId="25">#REF!</definedName>
    <definedName name="Наименование_сводного_сметного_расчета" localSheetId="25">#REF!</definedName>
    <definedName name="Наименование_стройки" localSheetId="25">#REF!</definedName>
    <definedName name="накладные" localSheetId="25">#REF!</definedName>
    <definedName name="НАЧ_ИО" localSheetId="25">#REF!</definedName>
    <definedName name="НАЧ_ИО_РД" localSheetId="25">#REF!</definedName>
    <definedName name="НАЧ_МО" localSheetId="25">#REF!</definedName>
    <definedName name="НАЧ_МО_РД" localSheetId="25">#REF!</definedName>
    <definedName name="НАЧ_ОО" localSheetId="25">#REF!</definedName>
    <definedName name="НАЧ_ОО_РД" localSheetId="25">#REF!</definedName>
    <definedName name="НАЧ_ОР" localSheetId="25">#REF!</definedName>
    <definedName name="НАЧ_ОР_РД" localSheetId="25">#REF!</definedName>
    <definedName name="НАЧ_ПО" localSheetId="25">#REF!</definedName>
    <definedName name="НАЧ_ПО_РД" localSheetId="25">#REF!</definedName>
    <definedName name="НАЧ_ТО" localSheetId="25">#REF!</definedName>
    <definedName name="НАЧ_ТО_РД" localSheetId="25">#REF!</definedName>
    <definedName name="нвле" localSheetId="16">#REF!</definedName>
    <definedName name="нвле" localSheetId="25">#REF!</definedName>
    <definedName name="нвле" localSheetId="30">#REF!</definedName>
    <definedName name="нвле" localSheetId="18">#REF!</definedName>
    <definedName name="нгагл" localSheetId="25">#REF!</definedName>
    <definedName name="нгагл" localSheetId="30">#REF!</definedName>
    <definedName name="нгагл" localSheetId="18">#REF!</definedName>
    <definedName name="нго" localSheetId="25">#REF!</definedName>
    <definedName name="нго" localSheetId="30">#REF!</definedName>
    <definedName name="нго" localSheetId="18">#REF!</definedName>
    <definedName name="нгпнрап" localSheetId="25">#REF!</definedName>
    <definedName name="ндс" localSheetId="0">#REF!</definedName>
    <definedName name="ндс" localSheetId="25">#REF!</definedName>
    <definedName name="нево" localSheetId="25">#REF!</definedName>
    <definedName name="неоукено" localSheetId="16">[4]топография!#REF!</definedName>
    <definedName name="неоукено" localSheetId="25">[5]топография!#REF!</definedName>
    <definedName name="неп" localSheetId="16">#REF!</definedName>
    <definedName name="неп" localSheetId="25">#REF!</definedName>
    <definedName name="неп" localSheetId="18">#REF!</definedName>
    <definedName name="неп_1" localSheetId="25">#REF!</definedName>
    <definedName name="неп_1" localSheetId="18">#REF!</definedName>
    <definedName name="неп_10" localSheetId="25">#REF!</definedName>
    <definedName name="неп_10" localSheetId="18">#REF!</definedName>
    <definedName name="неп_11" localSheetId="25">#REF!</definedName>
    <definedName name="неп_12" localSheetId="25">#REF!</definedName>
    <definedName name="неп_13" localSheetId="25">#REF!</definedName>
    <definedName name="неп_14" localSheetId="25">#REF!</definedName>
    <definedName name="неп_15" localSheetId="25">#REF!</definedName>
    <definedName name="неп_16" localSheetId="25">#REF!</definedName>
    <definedName name="неп_17" localSheetId="25">#REF!</definedName>
    <definedName name="неп_18" localSheetId="25">#REF!</definedName>
    <definedName name="неп_19" localSheetId="25">#REF!</definedName>
    <definedName name="неп_2" localSheetId="25">#REF!</definedName>
    <definedName name="неп_20" localSheetId="25">#REF!</definedName>
    <definedName name="неп_21" localSheetId="25">#REF!</definedName>
    <definedName name="неп_49" localSheetId="25">#REF!</definedName>
    <definedName name="неп_50" localSheetId="25">#REF!</definedName>
    <definedName name="неп_51" localSheetId="25">#REF!</definedName>
    <definedName name="неп_52" localSheetId="25">#REF!</definedName>
    <definedName name="неп_53" localSheetId="25">#REF!</definedName>
    <definedName name="неп_54" localSheetId="25">#REF!</definedName>
    <definedName name="неп_6" localSheetId="25">#REF!</definedName>
    <definedName name="неп_7" localSheetId="25">#REF!</definedName>
    <definedName name="неп_8" localSheetId="25">#REF!</definedName>
    <definedName name="неп_9" localSheetId="25">#REF!</definedName>
    <definedName name="нер" localSheetId="16">#REF!</definedName>
    <definedName name="нер" localSheetId="25">#REF!</definedName>
    <definedName name="нер" localSheetId="18">#REF!</definedName>
    <definedName name="неуо" localSheetId="25">#REF!</definedName>
    <definedName name="неуо" localSheetId="18">#REF!</definedName>
    <definedName name="Нижегородская_область" localSheetId="25">#REF!</definedName>
    <definedName name="Нижегородская_область" localSheetId="18">#REF!</definedName>
    <definedName name="ннн" localSheetId="36" hidden="1">{#N/A,#N/A,TRUE,"Смета на пасс. обор. №1"}</definedName>
    <definedName name="ннн" localSheetId="40" hidden="1">{#N/A,#N/A,TRUE,"Смета на пасс. обор. №1"}</definedName>
    <definedName name="ннн" localSheetId="6" hidden="1">{#N/A,#N/A,TRUE,"Смета на пасс. обор. №1"}</definedName>
    <definedName name="ннн" localSheetId="7" hidden="1">{#N/A,#N/A,TRUE,"Смета на пасс. обор. №1"}</definedName>
    <definedName name="ннн" localSheetId="38" hidden="1">{#N/A,#N/A,TRUE,"Смета на пасс. обор. №1"}</definedName>
    <definedName name="ннн" hidden="1">{#N/A,#N/A,TRUE,"Смета на пасс. обор. №1"}</definedName>
    <definedName name="ННОвгород" localSheetId="16">#REF!</definedName>
    <definedName name="ННОвгород" localSheetId="25">#REF!</definedName>
    <definedName name="ННОвгород_1" localSheetId="25">#REF!</definedName>
    <definedName name="ННОвгород_2" localSheetId="25">#REF!</definedName>
    <definedName name="ННОвгород_22" localSheetId="25">#REF!</definedName>
    <definedName name="ННОвгород_49" localSheetId="25">#REF!</definedName>
    <definedName name="ННОвгород_5" localSheetId="25">#REF!</definedName>
    <definedName name="ННОвгород_50" localSheetId="25">#REF!</definedName>
    <definedName name="ННОвгород_51" localSheetId="25">#REF!</definedName>
    <definedName name="ННОвгород_52" localSheetId="25">#REF!</definedName>
    <definedName name="ННОвгород_53" localSheetId="25">#REF!</definedName>
    <definedName name="ННОвгород_54" localSheetId="25">#REF!</definedName>
    <definedName name="но" localSheetId="25">#REF!</definedName>
    <definedName name="Новгородская_область" localSheetId="25">#REF!</definedName>
    <definedName name="Новосибирская_область" localSheetId="25">#REF!</definedName>
    <definedName name="Новосибирская_область_1" localSheetId="25">#REF!</definedName>
    <definedName name="новый" localSheetId="16">#REF!</definedName>
    <definedName name="новый" localSheetId="25">#REF!</definedName>
    <definedName name="новый" localSheetId="18">#REF!</definedName>
    <definedName name="Номер_договора" localSheetId="16">#REF!</definedName>
    <definedName name="Номер_договора" localSheetId="25">#REF!</definedName>
    <definedName name="Номер_договора" localSheetId="18">#REF!</definedName>
    <definedName name="Номер_договора_1" localSheetId="25">#REF!</definedName>
    <definedName name="Номер_договора_1" localSheetId="18">#REF!</definedName>
    <definedName name="Норм_трудоемкость_механизаторов_по_смете_с_учетом_к_тов" localSheetId="16">'[26]Переменные и константы'!#REF!</definedName>
    <definedName name="Норм_трудоемкость_механизаторов_по_смете_с_учетом_к_тов" localSheetId="25">'[26]Переменные и константы'!#REF!</definedName>
    <definedName name="Норм_трудоемкость_механизаторов_по_смете_с_учетом_к_тов" localSheetId="18">'[26]Переменные и константы'!#REF!</definedName>
    <definedName name="Норм_трудоемкость_осн_рабочих_по_смете_с_учетом_к_тов" localSheetId="16">'[26]Переменные и константы'!#REF!</definedName>
    <definedName name="Норм_трудоемкость_осн_рабочих_по_смете_с_учетом_к_тов" localSheetId="25">'[26]Переменные и константы'!#REF!</definedName>
    <definedName name="Норм_трудоемкость_осн_рабочих_по_смете_с_учетом_к_тов" localSheetId="18">'[26]Переменные и константы'!#REF!</definedName>
    <definedName name="Нормативная_трудоемкость_механизаторов_по_смете" localSheetId="25">'[26]Переменные и константы'!#REF!</definedName>
    <definedName name="Нормативная_трудоемкость_механизаторов_по_смете" localSheetId="18">'[26]Переменные и константы'!#REF!</definedName>
    <definedName name="Нормативная_трудоемкость_основных_рабочих_по_смете" localSheetId="25">'[26]Переменные и константы'!#REF!</definedName>
    <definedName name="Нормативная_трудоемкость_основных_рабочих_по_смете" localSheetId="18">'[26]Переменные и константы'!#REF!</definedName>
    <definedName name="о" localSheetId="16">#REF!</definedName>
    <definedName name="о" localSheetId="25">#REF!</definedName>
    <definedName name="о" localSheetId="18">#REF!</definedName>
    <definedName name="о_1" localSheetId="25">#REF!</definedName>
    <definedName name="о_1" localSheetId="18">#REF!</definedName>
    <definedName name="оа" localSheetId="16">[4]топография!#REF!</definedName>
    <definedName name="оа" localSheetId="25">[5]топография!#REF!</definedName>
    <definedName name="оа" localSheetId="18">[5]топография!#REF!</definedName>
    <definedName name="об" localSheetId="16">#REF!</definedName>
    <definedName name="об" localSheetId="25">#REF!</definedName>
    <definedName name="об" localSheetId="18">#REF!</definedName>
    <definedName name="_xlnm.Print_Area" localSheetId="27">'02-01-08 Инженерная защита терр'!$A$1:$M$1700</definedName>
    <definedName name="_xlnm.Print_Area" localSheetId="29">'02-01-08-Д (аналог)'!$A$1:$N$777</definedName>
    <definedName name="_xlnm.Print_Area" localSheetId="28">'02-01-08-И (аналог)'!$A$1:$M$815</definedName>
    <definedName name="_xlnm.Print_Area" localSheetId="16">Геофизика!$A$1:$J$51</definedName>
    <definedName name="_xlnm.Print_Area" localSheetId="0">'График работ'!#REF!</definedName>
    <definedName name="_xlnm.Print_Area" localSheetId="25">'КВЛ (аналог EL6)'!$A$1:$H$72</definedName>
    <definedName name="_xlnm.Print_Area" localSheetId="24">'КВЛ (аналог VP-3)'!$A$1:$H$72</definedName>
    <definedName name="_xlnm.Print_Area" localSheetId="40">#REF!</definedName>
    <definedName name="_xlnm.Print_Area" localSheetId="41">'ЛСР 02-01-01-доп. АР. МФЦ'!$A$1:$N$3725</definedName>
    <definedName name="_xlnm.Print_Area" localSheetId="30">'ЛСР 02-02-01'!$A$1:$P$379</definedName>
    <definedName name="_xlnm.Print_Area" localSheetId="42">'МФЦ КПК'!$A$1:$H$122</definedName>
    <definedName name="_xlnm.Print_Area" localSheetId="7">НМЦК!$A$1:$F$49</definedName>
    <definedName name="_xlnm.Print_Area" localSheetId="18">#REF!</definedName>
    <definedName name="_xlnm.Print_Area" localSheetId="34">'Расчет КВЛ'!$B$1:$AF$115</definedName>
    <definedName name="_xlnm.Print_Area" localSheetId="9">'Экспертиза ПД и ИЗ'!$A$1:$H$22</definedName>
    <definedName name="Оборудование_в_базисных_ценах" localSheetId="25">#REF!</definedName>
    <definedName name="Оборудование_в_базисных_ценах" localSheetId="30">#REF!</definedName>
    <definedName name="Оборудование_в_базисных_ценах" localSheetId="18">#REF!</definedName>
    <definedName name="Оборудование_в_текущих_ценах" localSheetId="25">'[26]Переменные и константы'!#REF!</definedName>
    <definedName name="Оборудование_в_текущих_ценах" localSheetId="30">'[26]Переменные и константы'!#REF!</definedName>
    <definedName name="Оборудование_в_текущих_ценах" localSheetId="18">'[26]Переменные и константы'!#REF!</definedName>
    <definedName name="Оборудование_в_текущих_ценах_по_ресурсному_расчету" localSheetId="25">'[26]Переменные и константы'!#REF!</definedName>
    <definedName name="Оборудование_в_текущих_ценах_по_ресурсному_расчету" localSheetId="30">'[26]Переменные и константы'!#REF!</definedName>
    <definedName name="Оборудование_в_текущих_ценах_по_ресурсному_расчету" localSheetId="18">'[26]Переменные и константы'!#REF!</definedName>
    <definedName name="Оборудование_в_текущих_ценах_после_применения_индексов" localSheetId="25">'[26]Переменные и константы'!#REF!</definedName>
    <definedName name="Обоснование_поправки" localSheetId="16">#REF!</definedName>
    <definedName name="Обоснование_поправки" localSheetId="25">#REF!</definedName>
    <definedName name="Обоснование_поправки" localSheetId="30">#REF!</definedName>
    <definedName name="Обоснование_поправки" localSheetId="18">#REF!</definedName>
    <definedName name="обуч" localSheetId="16" hidden="1">{#N/A,#N/A,TRUE,"Смета на пасс. обор. №1"}</definedName>
    <definedName name="обуч" localSheetId="36" hidden="1">{#N/A,#N/A,TRUE,"Смета на пасс. обор. №1"}</definedName>
    <definedName name="обуч" localSheetId="40" hidden="1">{#N/A,#N/A,TRUE,"Смета на пасс. обор. №1"}</definedName>
    <definedName name="обуч" localSheetId="30" hidden="1">{#N/A,#N/A,TRUE,"Смета на пасс. обор. №1"}</definedName>
    <definedName name="обуч" localSheetId="6" hidden="1">{#N/A,#N/A,TRUE,"Смета на пасс. обор. №1"}</definedName>
    <definedName name="обуч" localSheetId="7" hidden="1">{#N/A,#N/A,TRUE,"Смета на пасс. обор. №1"}</definedName>
    <definedName name="обуч" localSheetId="18" hidden="1">{#N/A,#N/A,TRUE,"Смета на пасс. обор. №1"}</definedName>
    <definedName name="обуч" localSheetId="38" hidden="1">{#N/A,#N/A,TRUE,"Смета на пасс. обор. №1"}</definedName>
    <definedName name="обуч" localSheetId="19" hidden="1">{#N/A,#N/A,TRUE,"Смета на пасс. обор. №1"}</definedName>
    <definedName name="обуч" hidden="1">{#N/A,#N/A,TRUE,"Смета на пасс. обор. №1"}</definedName>
    <definedName name="обуч_1" localSheetId="16" hidden="1">{#N/A,#N/A,TRUE,"Смета на пасс. обор. №1"}</definedName>
    <definedName name="обуч_1" localSheetId="36" hidden="1">{#N/A,#N/A,TRUE,"Смета на пасс. обор. №1"}</definedName>
    <definedName name="обуч_1" localSheetId="40" hidden="1">{#N/A,#N/A,TRUE,"Смета на пасс. обор. №1"}</definedName>
    <definedName name="обуч_1" localSheetId="30" hidden="1">{#N/A,#N/A,TRUE,"Смета на пасс. обор. №1"}</definedName>
    <definedName name="обуч_1" localSheetId="6" hidden="1">{#N/A,#N/A,TRUE,"Смета на пасс. обор. №1"}</definedName>
    <definedName name="обуч_1" localSheetId="7" hidden="1">{#N/A,#N/A,TRUE,"Смета на пасс. обор. №1"}</definedName>
    <definedName name="обуч_1" localSheetId="18" hidden="1">{#N/A,#N/A,TRUE,"Смета на пасс. обор. №1"}</definedName>
    <definedName name="обуч_1" localSheetId="38" hidden="1">{#N/A,#N/A,TRUE,"Смета на пасс. обор. №1"}</definedName>
    <definedName name="обуч_1" localSheetId="19" hidden="1">{#N/A,#N/A,TRUE,"Смета на пасс. обор. №1"}</definedName>
    <definedName name="обуч_1" hidden="1">{#N/A,#N/A,TRUE,"Смета на пасс. обор. №1"}</definedName>
    <definedName name="общ_МПА_П" localSheetId="16">#REF!</definedName>
    <definedName name="общ_МПА_П" localSheetId="25">#REF!</definedName>
    <definedName name="общ_МПА_П" localSheetId="18">#REF!</definedName>
    <definedName name="Общаясп" localSheetId="36"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Общаясп" localSheetId="40"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Общаясп" localSheetId="6"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Общаясп" localSheetId="7"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Общаясп" localSheetId="38"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Общаясп"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Объекты" localSheetId="16">#REF!</definedName>
    <definedName name="Объекты" localSheetId="25">#REF!</definedName>
    <definedName name="Объекты" localSheetId="30">#REF!</definedName>
    <definedName name="Объекты" localSheetId="18">#REF!</definedName>
    <definedName name="объем___0" localSheetId="16">#REF!</definedName>
    <definedName name="объем___0" localSheetId="25">#REF!</definedName>
    <definedName name="объем___0" localSheetId="18">#REF!</definedName>
    <definedName name="объем___0___0" localSheetId="25">#REF!</definedName>
    <definedName name="объем___0___0" localSheetId="18">#REF!</definedName>
    <definedName name="объем___0___0___0" localSheetId="25">#REF!</definedName>
    <definedName name="объем___0___0___0" localSheetId="18">#REF!</definedName>
    <definedName name="объем___0___0___0___0" localSheetId="25">#REF!</definedName>
    <definedName name="объем___0___0___0___0___0" localSheetId="25">#REF!</definedName>
    <definedName name="объем___0___0___0___0___0_1" localSheetId="25">#REF!</definedName>
    <definedName name="объем___0___0___0___0_1" localSheetId="25">#REF!</definedName>
    <definedName name="объем___0___0___0___1" localSheetId="25">#REF!</definedName>
    <definedName name="объем___0___0___0___1_1" localSheetId="25">#REF!</definedName>
    <definedName name="объем___0___0___0___5" localSheetId="25">#REF!</definedName>
    <definedName name="объем___0___0___0___5_1" localSheetId="25">#REF!</definedName>
    <definedName name="объем___0___0___0_1" localSheetId="25">#REF!</definedName>
    <definedName name="объем___0___0___0_1_1" localSheetId="25">#REF!</definedName>
    <definedName name="объем___0___0___0_1_1_1" localSheetId="25">#REF!</definedName>
    <definedName name="объем___0___0___0_5" localSheetId="25">#REF!</definedName>
    <definedName name="объем___0___0___0_5_1" localSheetId="25">#REF!</definedName>
    <definedName name="объем___0___0___1" localSheetId="25">#REF!</definedName>
    <definedName name="объем___0___0___1_1" localSheetId="25">#REF!</definedName>
    <definedName name="объем___0___0___2" localSheetId="25">#REF!</definedName>
    <definedName name="объем___0___0___2_1" localSheetId="25">#REF!</definedName>
    <definedName name="объем___0___0___3" localSheetId="25">#REF!</definedName>
    <definedName name="объем___0___0___3_1" localSheetId="25">#REF!</definedName>
    <definedName name="объем___0___0___4" localSheetId="25">#REF!</definedName>
    <definedName name="объем___0___0___4_1" localSheetId="25">#REF!</definedName>
    <definedName name="объем___0___0___5" localSheetId="25">#REF!</definedName>
    <definedName name="объем___0___0___5_1" localSheetId="25">#REF!</definedName>
    <definedName name="объем___0___0_1" localSheetId="25">#REF!</definedName>
    <definedName name="объем___0___0_1_1" localSheetId="25">#REF!</definedName>
    <definedName name="объем___0___0_1_1_1" localSheetId="25">#REF!</definedName>
    <definedName name="объем___0___0_3" localSheetId="25">#REF!</definedName>
    <definedName name="объем___0___0_3_1" localSheetId="25">#REF!</definedName>
    <definedName name="объем___0___0_5" localSheetId="25">#REF!</definedName>
    <definedName name="объем___0___0_5_1" localSheetId="25">#REF!</definedName>
    <definedName name="объем___0___1" localSheetId="25">#REF!</definedName>
    <definedName name="объем___0___1___0" localSheetId="25">#REF!</definedName>
    <definedName name="объем___0___1___0_1" localSheetId="25">#REF!</definedName>
    <definedName name="объем___0___1_1" localSheetId="25">#REF!</definedName>
    <definedName name="объем___0___10" localSheetId="25">#REF!</definedName>
    <definedName name="объем___0___10_1" localSheetId="25">#REF!</definedName>
    <definedName name="объем___0___12" localSheetId="25">#REF!</definedName>
    <definedName name="объем___0___2" localSheetId="25">#REF!</definedName>
    <definedName name="объем___0___2___0" localSheetId="25">#REF!</definedName>
    <definedName name="объем___0___2___0___0" localSheetId="25">#REF!</definedName>
    <definedName name="объем___0___2___0___0_1" localSheetId="25">#REF!</definedName>
    <definedName name="объем___0___2___0_1" localSheetId="25">#REF!</definedName>
    <definedName name="объем___0___2___5" localSheetId="25">#REF!</definedName>
    <definedName name="объем___0___2___5_1" localSheetId="25">#REF!</definedName>
    <definedName name="объем___0___2_1" localSheetId="25">#REF!</definedName>
    <definedName name="объем___0___2_1_1" localSheetId="25">#REF!</definedName>
    <definedName name="объем___0___2_1_1_1" localSheetId="25">#REF!</definedName>
    <definedName name="объем___0___2_3" localSheetId="25">#REF!</definedName>
    <definedName name="объем___0___2_3_1" localSheetId="25">#REF!</definedName>
    <definedName name="объем___0___2_5" localSheetId="25">#REF!</definedName>
    <definedName name="объем___0___2_5_1" localSheetId="25">#REF!</definedName>
    <definedName name="объем___0___3" localSheetId="25">#REF!</definedName>
    <definedName name="объем___0___3___0" localSheetId="25">#REF!</definedName>
    <definedName name="объем___0___3___0_1" localSheetId="25">#REF!</definedName>
    <definedName name="объем___0___3___5" localSheetId="25">#REF!</definedName>
    <definedName name="объем___0___3___5_1" localSheetId="25">#REF!</definedName>
    <definedName name="объем___0___3_1" localSheetId="25">#REF!</definedName>
    <definedName name="объем___0___3_1_1" localSheetId="25">#REF!</definedName>
    <definedName name="объем___0___3_1_1_1" localSheetId="25">#REF!</definedName>
    <definedName name="объем___0___3_5" localSheetId="25">#REF!</definedName>
    <definedName name="объем___0___3_5_1" localSheetId="25">#REF!</definedName>
    <definedName name="объем___0___4" localSheetId="25">#REF!</definedName>
    <definedName name="объем___0___4___0" localSheetId="25">#REF!</definedName>
    <definedName name="объем___0___4___0_1" localSheetId="25">#REF!</definedName>
    <definedName name="объем___0___4___5" localSheetId="25">#REF!</definedName>
    <definedName name="объем___0___4___5_1" localSheetId="25">#REF!</definedName>
    <definedName name="объем___0___4_1" localSheetId="25">#REF!</definedName>
    <definedName name="объем___0___4_1_1" localSheetId="25">#REF!</definedName>
    <definedName name="объем___0___4_1_1_1" localSheetId="25">#REF!</definedName>
    <definedName name="объем___0___4_3" localSheetId="25">#REF!</definedName>
    <definedName name="объем___0___4_3_1" localSheetId="25">#REF!</definedName>
    <definedName name="объем___0___4_5" localSheetId="25">#REF!</definedName>
    <definedName name="объем___0___4_5_1" localSheetId="25">#REF!</definedName>
    <definedName name="объем___0___5" localSheetId="25">#REF!</definedName>
    <definedName name="объем___0___5_1" localSheetId="25">#REF!</definedName>
    <definedName name="объем___0___6" localSheetId="25">#REF!</definedName>
    <definedName name="объем___0___6_1" localSheetId="25">#REF!</definedName>
    <definedName name="объем___0___8" localSheetId="25">#REF!</definedName>
    <definedName name="объем___0___8_1" localSheetId="25">#REF!</definedName>
    <definedName name="объем___0_1" localSheetId="25">#REF!</definedName>
    <definedName name="объем___0_1_1" localSheetId="25">#REF!</definedName>
    <definedName name="объем___0_3" localSheetId="25">#REF!</definedName>
    <definedName name="объем___0_3_1" localSheetId="25">#REF!</definedName>
    <definedName name="объем___0_5" localSheetId="25">#REF!</definedName>
    <definedName name="объем___0_5_1" localSheetId="25">#REF!</definedName>
    <definedName name="объем___1" localSheetId="25">#REF!</definedName>
    <definedName name="объем___1___0" localSheetId="25">#REF!</definedName>
    <definedName name="объем___1___0___0" localSheetId="25">#REF!</definedName>
    <definedName name="объем___1___0___0_1" localSheetId="25">#REF!</definedName>
    <definedName name="объем___1___0_1" localSheetId="25">#REF!</definedName>
    <definedName name="объем___1___1" localSheetId="25">#REF!</definedName>
    <definedName name="объем___1___1_1" localSheetId="25">#REF!</definedName>
    <definedName name="объем___1___5" localSheetId="25">#REF!</definedName>
    <definedName name="объем___1___5_1" localSheetId="25">#REF!</definedName>
    <definedName name="объем___1_1" localSheetId="25">#REF!</definedName>
    <definedName name="объем___1_1_1" localSheetId="25">#REF!</definedName>
    <definedName name="объем___1_1_1_1" localSheetId="25">#REF!</definedName>
    <definedName name="объем___1_3" localSheetId="25">#REF!</definedName>
    <definedName name="объем___1_3_1" localSheetId="25">#REF!</definedName>
    <definedName name="объем___1_5" localSheetId="25">#REF!</definedName>
    <definedName name="объем___1_5_1" localSheetId="25">#REF!</definedName>
    <definedName name="объем___10" localSheetId="25">#REF!</definedName>
    <definedName name="объем___10___0___0" localSheetId="16">#REF!</definedName>
    <definedName name="объем___10___0___0" localSheetId="25">#REF!</definedName>
    <definedName name="объем___10___0___0" localSheetId="18">#REF!</definedName>
    <definedName name="объем___10___0___0___0" localSheetId="16">#REF!</definedName>
    <definedName name="объем___10___0___0___0" localSheetId="25">#REF!</definedName>
    <definedName name="объем___10___0___0___0" localSheetId="18">#REF!</definedName>
    <definedName name="объем___10___0___0___0_1" localSheetId="16">#REF!</definedName>
    <definedName name="объем___10___0___0___0_1" localSheetId="25">#REF!</definedName>
    <definedName name="объем___10___0___0___0_1" localSheetId="18">#REF!</definedName>
    <definedName name="объем___10___0___0_1" localSheetId="25">#REF!</definedName>
    <definedName name="объем___10___0_1" localSheetId="16">#REF!</definedName>
    <definedName name="объем___10___0_1" localSheetId="25">#REF!</definedName>
    <definedName name="объем___10___0_1" localSheetId="18">#REF!</definedName>
    <definedName name="объем___10___1" localSheetId="16">#REF!</definedName>
    <definedName name="объем___10___1" localSheetId="25">#REF!</definedName>
    <definedName name="объем___10___1" localSheetId="18">#REF!</definedName>
    <definedName name="объем___10___10" localSheetId="16">#REF!</definedName>
    <definedName name="объем___10___10" localSheetId="25">#REF!</definedName>
    <definedName name="объем___10___10" localSheetId="18">#REF!</definedName>
    <definedName name="объем___10___12" localSheetId="16">#REF!</definedName>
    <definedName name="объем___10___12" localSheetId="25">#REF!</definedName>
    <definedName name="объем___10___12" localSheetId="18">#REF!</definedName>
    <definedName name="объем___10___5" localSheetId="16">#REF!</definedName>
    <definedName name="объем___10___5" localSheetId="25">#REF!</definedName>
    <definedName name="объем___10___5" localSheetId="18">#REF!</definedName>
    <definedName name="объем___10___5_1" localSheetId="16">#REF!</definedName>
    <definedName name="объем___10___5_1" localSheetId="25">#REF!</definedName>
    <definedName name="объем___10___5_1" localSheetId="18">#REF!</definedName>
    <definedName name="объем___10_3" localSheetId="16">#REF!</definedName>
    <definedName name="объем___10_3" localSheetId="25">#REF!</definedName>
    <definedName name="объем___10_3" localSheetId="18">#REF!</definedName>
    <definedName name="объем___10_3_1" localSheetId="16">#REF!</definedName>
    <definedName name="объем___10_3_1" localSheetId="25">#REF!</definedName>
    <definedName name="объем___10_3_1" localSheetId="18">#REF!</definedName>
    <definedName name="объем___10_5" localSheetId="16">#REF!</definedName>
    <definedName name="объем___10_5" localSheetId="25">#REF!</definedName>
    <definedName name="объем___10_5" localSheetId="18">#REF!</definedName>
    <definedName name="объем___10_5_1" localSheetId="25">#REF!</definedName>
    <definedName name="объем___11" localSheetId="25">#REF!</definedName>
    <definedName name="объем___11___10" localSheetId="16">#REF!</definedName>
    <definedName name="объем___11___10" localSheetId="25">#REF!</definedName>
    <definedName name="объем___11___10" localSheetId="18">#REF!</definedName>
    <definedName name="объем___11___2" localSheetId="16">#REF!</definedName>
    <definedName name="объем___11___2" localSheetId="25">#REF!</definedName>
    <definedName name="объем___11___2" localSheetId="18">#REF!</definedName>
    <definedName name="объем___11___4" localSheetId="16">#REF!</definedName>
    <definedName name="объем___11___4" localSheetId="25">#REF!</definedName>
    <definedName name="объем___11___4" localSheetId="18">#REF!</definedName>
    <definedName name="объем___11___6" localSheetId="25">#REF!</definedName>
    <definedName name="объем___11___8" localSheetId="25">#REF!</definedName>
    <definedName name="объем___11_1" localSheetId="25">#REF!</definedName>
    <definedName name="объем___2" localSheetId="16">#REF!</definedName>
    <definedName name="объем___2" localSheetId="25">#REF!</definedName>
    <definedName name="объем___2" localSheetId="18">#REF!</definedName>
    <definedName name="объем___2___0" localSheetId="16">#REF!</definedName>
    <definedName name="объем___2___0" localSheetId="25">#REF!</definedName>
    <definedName name="объем___2___0" localSheetId="18">#REF!</definedName>
    <definedName name="объем___2___0___0" localSheetId="16">#REF!</definedName>
    <definedName name="объем___2___0___0" localSheetId="25">#REF!</definedName>
    <definedName name="объем___2___0___0" localSheetId="18">#REF!</definedName>
    <definedName name="объем___2___0___0___0" localSheetId="25">#REF!</definedName>
    <definedName name="объем___2___0___0___0___0" localSheetId="25">#REF!</definedName>
    <definedName name="объем___2___0___0___0___0_1" localSheetId="25">#REF!</definedName>
    <definedName name="объем___2___0___0___0_1" localSheetId="25">#REF!</definedName>
    <definedName name="объем___2___0___0___1" localSheetId="25">#REF!</definedName>
    <definedName name="объем___2___0___0___1_1" localSheetId="25">#REF!</definedName>
    <definedName name="объем___2___0___0___5" localSheetId="25">#REF!</definedName>
    <definedName name="объем___2___0___0___5_1" localSheetId="25">#REF!</definedName>
    <definedName name="объем___2___0___0_1" localSheetId="25">#REF!</definedName>
    <definedName name="объем___2___0___0_1_1" localSheetId="25">#REF!</definedName>
    <definedName name="объем___2___0___0_1_1_1" localSheetId="25">#REF!</definedName>
    <definedName name="объем___2___0___0_5" localSheetId="25">#REF!</definedName>
    <definedName name="объем___2___0___0_5_1" localSheetId="25">#REF!</definedName>
    <definedName name="объем___2___0___1" localSheetId="25">#REF!</definedName>
    <definedName name="объем___2___0___1_1" localSheetId="25">#REF!</definedName>
    <definedName name="объем___2___0___5" localSheetId="25">#REF!</definedName>
    <definedName name="объем___2___0___5_1" localSheetId="25">#REF!</definedName>
    <definedName name="объем___2___0_1" localSheetId="25">#REF!</definedName>
    <definedName name="объем___2___0_1_1" localSheetId="25">#REF!</definedName>
    <definedName name="объем___2___0_1_1_1" localSheetId="25">#REF!</definedName>
    <definedName name="объем___2___0_3" localSheetId="25">#REF!</definedName>
    <definedName name="объем___2___0_3_1" localSheetId="25">#REF!</definedName>
    <definedName name="объем___2___0_5" localSheetId="25">#REF!</definedName>
    <definedName name="объем___2___0_5_1" localSheetId="25">#REF!</definedName>
    <definedName name="объем___2___1" localSheetId="25">#REF!</definedName>
    <definedName name="объем___2___1_1" localSheetId="25">#REF!</definedName>
    <definedName name="объем___2___10" localSheetId="25">#REF!</definedName>
    <definedName name="объем___2___10_1" localSheetId="25">#REF!</definedName>
    <definedName name="объем___2___12" localSheetId="25">#REF!</definedName>
    <definedName name="объем___2___2" localSheetId="25">#REF!</definedName>
    <definedName name="объем___2___2_1" localSheetId="25">#REF!</definedName>
    <definedName name="объем___2___3" localSheetId="25">#REF!</definedName>
    <definedName name="объем___2___4" localSheetId="25">#REF!</definedName>
    <definedName name="объем___2___4___0" localSheetId="25">#REF!</definedName>
    <definedName name="объем___2___4___0_1" localSheetId="25">#REF!</definedName>
    <definedName name="объем___2___4___5" localSheetId="25">#REF!</definedName>
    <definedName name="объем___2___4___5_1" localSheetId="25">#REF!</definedName>
    <definedName name="объем___2___4_1" localSheetId="25">#REF!</definedName>
    <definedName name="объем___2___4_1_1" localSheetId="25">#REF!</definedName>
    <definedName name="объем___2___4_1_1_1" localSheetId="25">#REF!</definedName>
    <definedName name="объем___2___4_3" localSheetId="25">#REF!</definedName>
    <definedName name="объем___2___4_3_1" localSheetId="25">#REF!</definedName>
    <definedName name="объем___2___4_5" localSheetId="25">#REF!</definedName>
    <definedName name="объем___2___4_5_1" localSheetId="25">#REF!</definedName>
    <definedName name="объем___2___5" localSheetId="25">#REF!</definedName>
    <definedName name="объем___2___5_1" localSheetId="25">#REF!</definedName>
    <definedName name="объем___2___6" localSheetId="25">#REF!</definedName>
    <definedName name="объем___2___6_1" localSheetId="25">#REF!</definedName>
    <definedName name="объем___2___8" localSheetId="25">#REF!</definedName>
    <definedName name="объем___2___8_1" localSheetId="25">#REF!</definedName>
    <definedName name="объем___2_1" localSheetId="25">#REF!</definedName>
    <definedName name="объем___2_1_1" localSheetId="25">#REF!</definedName>
    <definedName name="объем___2_1_1_1" localSheetId="25">#REF!</definedName>
    <definedName name="объем___2_3" localSheetId="25">#REF!</definedName>
    <definedName name="объем___2_3_1" localSheetId="25">#REF!</definedName>
    <definedName name="объем___2_5" localSheetId="25">#REF!</definedName>
    <definedName name="объем___2_5_1" localSheetId="25">#REF!</definedName>
    <definedName name="объем___3" localSheetId="25">#REF!</definedName>
    <definedName name="объем___3___0" localSheetId="25">#REF!</definedName>
    <definedName name="объем___3___0___5" localSheetId="16">#REF!</definedName>
    <definedName name="объем___3___0___5" localSheetId="25">#REF!</definedName>
    <definedName name="объем___3___0___5" localSheetId="18">#REF!</definedName>
    <definedName name="объем___3___0___5_1" localSheetId="16">#REF!</definedName>
    <definedName name="объем___3___0___5_1" localSheetId="25">#REF!</definedName>
    <definedName name="объем___3___0___5_1" localSheetId="18">#REF!</definedName>
    <definedName name="объем___3___0_1" localSheetId="16">#REF!</definedName>
    <definedName name="объем___3___0_1" localSheetId="25">#REF!</definedName>
    <definedName name="объем___3___0_1" localSheetId="18">#REF!</definedName>
    <definedName name="объем___3___0_3" localSheetId="16">#REF!</definedName>
    <definedName name="объем___3___0_3" localSheetId="25">#REF!</definedName>
    <definedName name="объем___3___0_3" localSheetId="18">#REF!</definedName>
    <definedName name="объем___3___0_3_1" localSheetId="16">#REF!</definedName>
    <definedName name="объем___3___0_3_1" localSheetId="25">#REF!</definedName>
    <definedName name="объем___3___0_3_1" localSheetId="18">#REF!</definedName>
    <definedName name="объем___3___0_5" localSheetId="16">#REF!</definedName>
    <definedName name="объем___3___0_5" localSheetId="25">#REF!</definedName>
    <definedName name="объем___3___0_5" localSheetId="18">#REF!</definedName>
    <definedName name="объем___3___0_5_1" localSheetId="25">#REF!</definedName>
    <definedName name="объем___3___10" localSheetId="25">#REF!</definedName>
    <definedName name="объем___3___2" localSheetId="25">#REF!</definedName>
    <definedName name="объем___3___2_1" localSheetId="25">#REF!</definedName>
    <definedName name="объем___3___3" localSheetId="25">#REF!</definedName>
    <definedName name="объем___3___3_1" localSheetId="25">#REF!</definedName>
    <definedName name="объем___3___4" localSheetId="25">#REF!</definedName>
    <definedName name="объем___3___5" localSheetId="25">#REF!</definedName>
    <definedName name="объем___3___5_1" localSheetId="25">#REF!</definedName>
    <definedName name="объем___3___6" localSheetId="25">#REF!</definedName>
    <definedName name="объем___3___8" localSheetId="25">#REF!</definedName>
    <definedName name="объем___3_1" localSheetId="25">#REF!</definedName>
    <definedName name="объем___3_1_1" localSheetId="25">#REF!</definedName>
    <definedName name="объем___3_1_1_1" localSheetId="25">#REF!</definedName>
    <definedName name="объем___3_5" localSheetId="16">#REF!</definedName>
    <definedName name="объем___3_5" localSheetId="25">#REF!</definedName>
    <definedName name="объем___3_5" localSheetId="18">#REF!</definedName>
    <definedName name="объем___3_5_1" localSheetId="16">#REF!</definedName>
    <definedName name="объем___3_5_1" localSheetId="25">#REF!</definedName>
    <definedName name="объем___3_5_1" localSheetId="18">#REF!</definedName>
    <definedName name="объем___4" localSheetId="16">#REF!</definedName>
    <definedName name="объем___4" localSheetId="25">#REF!</definedName>
    <definedName name="объем___4" localSheetId="18">#REF!</definedName>
    <definedName name="объем___4___0___0" localSheetId="16">#REF!</definedName>
    <definedName name="объем___4___0___0" localSheetId="25">#REF!</definedName>
    <definedName name="объем___4___0___0" localSheetId="18">#REF!</definedName>
    <definedName name="объем___4___0___0___0" localSheetId="16">#REF!</definedName>
    <definedName name="объем___4___0___0___0" localSheetId="25">#REF!</definedName>
    <definedName name="объем___4___0___0___0" localSheetId="18">#REF!</definedName>
    <definedName name="объем___4___0___0___0___0" localSheetId="16">#REF!</definedName>
    <definedName name="объем___4___0___0___0___0" localSheetId="25">#REF!</definedName>
    <definedName name="объем___4___0___0___0___0" localSheetId="18">#REF!</definedName>
    <definedName name="объем___4___0___0___0___0_1" localSheetId="25">#REF!</definedName>
    <definedName name="объем___4___0___0___0_1" localSheetId="25">#REF!</definedName>
    <definedName name="объем___4___0___0___1" localSheetId="25">#REF!</definedName>
    <definedName name="объем___4___0___0___1_1" localSheetId="25">#REF!</definedName>
    <definedName name="объем___4___0___0___5" localSheetId="25">#REF!</definedName>
    <definedName name="объем___4___0___0___5_1" localSheetId="25">#REF!</definedName>
    <definedName name="объем___4___0___0_1" localSheetId="25">#REF!</definedName>
    <definedName name="объем___4___0___0_1_1" localSheetId="25">#REF!</definedName>
    <definedName name="объем___4___0___0_1_1_1" localSheetId="25">#REF!</definedName>
    <definedName name="объем___4___0___0_5" localSheetId="25">#REF!</definedName>
    <definedName name="объем___4___0___0_5_1" localSheetId="25">#REF!</definedName>
    <definedName name="объем___4___0___1" localSheetId="25">#REF!</definedName>
    <definedName name="объем___4___0___1_1" localSheetId="25">#REF!</definedName>
    <definedName name="объем___4___0_1" localSheetId="16">#REF!</definedName>
    <definedName name="объем___4___0_1" localSheetId="25">#REF!</definedName>
    <definedName name="объем___4___0_1" localSheetId="18">#REF!</definedName>
    <definedName name="объем___4___0_1_1" localSheetId="16">#REF!</definedName>
    <definedName name="объем___4___0_1_1" localSheetId="25">#REF!</definedName>
    <definedName name="объем___4___0_1_1" localSheetId="18">#REF!</definedName>
    <definedName name="объем___4___0_1_1_1" localSheetId="16">#REF!</definedName>
    <definedName name="объем___4___0_1_1_1" localSheetId="25">#REF!</definedName>
    <definedName name="объем___4___0_1_1_1" localSheetId="18">#REF!</definedName>
    <definedName name="объем___4___0_3" localSheetId="25">#REF!</definedName>
    <definedName name="объем___4___0_3_1" localSheetId="25">#REF!</definedName>
    <definedName name="объем___4___1" localSheetId="16">#REF!</definedName>
    <definedName name="объем___4___1" localSheetId="25">#REF!</definedName>
    <definedName name="объем___4___1" localSheetId="18">#REF!</definedName>
    <definedName name="объем___4___1_1" localSheetId="16">#REF!</definedName>
    <definedName name="объем___4___1_1" localSheetId="25">#REF!</definedName>
    <definedName name="объем___4___1_1" localSheetId="18">#REF!</definedName>
    <definedName name="объем___4___10" localSheetId="16">#REF!</definedName>
    <definedName name="объем___4___10" localSheetId="25">#REF!</definedName>
    <definedName name="объем___4___10" localSheetId="18">#REF!</definedName>
    <definedName name="объем___4___10_1" localSheetId="25">#REF!</definedName>
    <definedName name="объем___4___12" localSheetId="25">#REF!</definedName>
    <definedName name="объем___4___2" localSheetId="25">#REF!</definedName>
    <definedName name="объем___4___2_1" localSheetId="25">#REF!</definedName>
    <definedName name="объем___4___3" localSheetId="25">#REF!</definedName>
    <definedName name="объем___4___3_1" localSheetId="25">#REF!</definedName>
    <definedName name="объем___4___4" localSheetId="25">#REF!</definedName>
    <definedName name="объем___4___4_1" localSheetId="25">#REF!</definedName>
    <definedName name="объем___4___5" localSheetId="25">#REF!</definedName>
    <definedName name="объем___4___5_1" localSheetId="25">#REF!</definedName>
    <definedName name="объем___4___6" localSheetId="25">#REF!</definedName>
    <definedName name="объем___4___6_1" localSheetId="25">#REF!</definedName>
    <definedName name="объем___4___8" localSheetId="25">#REF!</definedName>
    <definedName name="объем___4___8_1" localSheetId="25">#REF!</definedName>
    <definedName name="объем___4_1" localSheetId="25">#REF!</definedName>
    <definedName name="объем___4_1_1" localSheetId="25">#REF!</definedName>
    <definedName name="объем___4_1_1_1" localSheetId="25">#REF!</definedName>
    <definedName name="объем___4_3" localSheetId="25">#REF!</definedName>
    <definedName name="объем___4_3_1" localSheetId="25">#REF!</definedName>
    <definedName name="объем___4_5" localSheetId="25">#REF!</definedName>
    <definedName name="объем___4_5_1" localSheetId="25">#REF!</definedName>
    <definedName name="объем___5___0" localSheetId="16">#REF!</definedName>
    <definedName name="объем___5___0" localSheetId="25">#REF!</definedName>
    <definedName name="объем___5___0" localSheetId="18">#REF!</definedName>
    <definedName name="объем___5___0___0" localSheetId="16">#REF!</definedName>
    <definedName name="объем___5___0___0" localSheetId="25">#REF!</definedName>
    <definedName name="объем___5___0___0" localSheetId="18">#REF!</definedName>
    <definedName name="объем___5___0___0___0" localSheetId="16">#REF!</definedName>
    <definedName name="объем___5___0___0___0" localSheetId="25">#REF!</definedName>
    <definedName name="объем___5___0___0___0" localSheetId="18">#REF!</definedName>
    <definedName name="объем___5___0___0___0___0" localSheetId="25">#REF!</definedName>
    <definedName name="объем___5___0___0___0___0_1" localSheetId="25">#REF!</definedName>
    <definedName name="объем___5___0___0___0_1" localSheetId="25">#REF!</definedName>
    <definedName name="объем___5___0___0_1" localSheetId="25">#REF!</definedName>
    <definedName name="объем___5___0___1" localSheetId="25">#REF!</definedName>
    <definedName name="объем___5___0___1_1" localSheetId="25">#REF!</definedName>
    <definedName name="объем___5___0___5" localSheetId="25">#REF!</definedName>
    <definedName name="объем___5___0___5_1" localSheetId="25">#REF!</definedName>
    <definedName name="объем___5___0_1" localSheetId="25">#REF!</definedName>
    <definedName name="объем___5___0_1_1" localSheetId="25">#REF!</definedName>
    <definedName name="объем___5___0_1_1_1" localSheetId="25">#REF!</definedName>
    <definedName name="объем___5___0_3" localSheetId="25">#REF!</definedName>
    <definedName name="объем___5___0_3_1" localSheetId="25">#REF!</definedName>
    <definedName name="объем___5___0_5" localSheetId="25">#REF!</definedName>
    <definedName name="объем___5___0_5_1" localSheetId="25">#REF!</definedName>
    <definedName name="объем___5___1" localSheetId="25">#REF!</definedName>
    <definedName name="объем___5___1_1" localSheetId="25">#REF!</definedName>
    <definedName name="объем___5_1" localSheetId="16">#REF!</definedName>
    <definedName name="объем___5_1" localSheetId="25">#REF!</definedName>
    <definedName name="объем___5_1" localSheetId="18">#REF!</definedName>
    <definedName name="объем___5_1_1" localSheetId="16">#REF!</definedName>
    <definedName name="объем___5_1_1" localSheetId="25">#REF!</definedName>
    <definedName name="объем___5_1_1" localSheetId="18">#REF!</definedName>
    <definedName name="объем___5_1_1_1" localSheetId="16">#REF!</definedName>
    <definedName name="объем___5_1_1_1" localSheetId="25">#REF!</definedName>
    <definedName name="объем___5_1_1_1" localSheetId="18">#REF!</definedName>
    <definedName name="объем___6___0" localSheetId="16">#REF!</definedName>
    <definedName name="объем___6___0" localSheetId="25">#REF!</definedName>
    <definedName name="объем___6___0" localSheetId="18">#REF!</definedName>
    <definedName name="объем___6___0___0" localSheetId="16">#REF!</definedName>
    <definedName name="объем___6___0___0" localSheetId="25">#REF!</definedName>
    <definedName name="объем___6___0___0" localSheetId="18">#REF!</definedName>
    <definedName name="объем___6___0___0___0" localSheetId="16">#REF!</definedName>
    <definedName name="объем___6___0___0___0" localSheetId="25">#REF!</definedName>
    <definedName name="объем___6___0___0___0" localSheetId="18">#REF!</definedName>
    <definedName name="объем___6___0___0___0___0" localSheetId="25">#REF!</definedName>
    <definedName name="объем___6___0___0___0___0_1" localSheetId="25">#REF!</definedName>
    <definedName name="объем___6___0___0___0_1" localSheetId="25">#REF!</definedName>
    <definedName name="объем___6___0___0_1" localSheetId="25">#REF!</definedName>
    <definedName name="объем___6___0___1" localSheetId="25">#REF!</definedName>
    <definedName name="объем___6___0___1_1" localSheetId="25">#REF!</definedName>
    <definedName name="объем___6___0___5" localSheetId="25">#REF!</definedName>
    <definedName name="объем___6___0___5_1" localSheetId="25">#REF!</definedName>
    <definedName name="объем___6___0_1" localSheetId="25">#REF!</definedName>
    <definedName name="объем___6___0_1_1" localSheetId="25">#REF!</definedName>
    <definedName name="объем___6___0_1_1_1" localSheetId="25">#REF!</definedName>
    <definedName name="объем___6___0_3" localSheetId="25">#REF!</definedName>
    <definedName name="объем___6___0_3_1" localSheetId="25">#REF!</definedName>
    <definedName name="объем___6___0_5" localSheetId="25">#REF!</definedName>
    <definedName name="объем___6___0_5_1" localSheetId="25">#REF!</definedName>
    <definedName name="объем___6___1" localSheetId="25">#REF!</definedName>
    <definedName name="объем___6___10" localSheetId="25">#REF!</definedName>
    <definedName name="объем___6___10_1" localSheetId="25">#REF!</definedName>
    <definedName name="объем___6___12" localSheetId="25">#REF!</definedName>
    <definedName name="объем___6___2" localSheetId="25">#REF!</definedName>
    <definedName name="объем___6___2_1" localSheetId="25">#REF!</definedName>
    <definedName name="объем___6___4" localSheetId="25">#REF!</definedName>
    <definedName name="объем___6___4_1" localSheetId="25">#REF!</definedName>
    <definedName name="объем___6___6" localSheetId="16">#REF!</definedName>
    <definedName name="объем___6___6" localSheetId="25">#REF!</definedName>
    <definedName name="объем___6___6" localSheetId="18">#REF!</definedName>
    <definedName name="объем___6___6_1" localSheetId="16">#REF!</definedName>
    <definedName name="объем___6___6_1" localSheetId="25">#REF!</definedName>
    <definedName name="объем___6___6_1" localSheetId="18">#REF!</definedName>
    <definedName name="объем___6___8" localSheetId="16">#REF!</definedName>
    <definedName name="объем___6___8" localSheetId="25">#REF!</definedName>
    <definedName name="объем___6___8" localSheetId="18">#REF!</definedName>
    <definedName name="объем___6___8_1" localSheetId="25">#REF!</definedName>
    <definedName name="объем___6_1" localSheetId="25">#REF!</definedName>
    <definedName name="объем___6_1_1" localSheetId="25">#REF!</definedName>
    <definedName name="объем___6_1_1_1" localSheetId="25">#REF!</definedName>
    <definedName name="объем___6_3" localSheetId="25">#REF!</definedName>
    <definedName name="объем___6_3_1" localSheetId="25">#REF!</definedName>
    <definedName name="объем___7" localSheetId="16">#REF!</definedName>
    <definedName name="объем___7" localSheetId="25">#REF!</definedName>
    <definedName name="объем___7" localSheetId="18">#REF!</definedName>
    <definedName name="объем___7___0" localSheetId="16">#REF!</definedName>
    <definedName name="объем___7___0" localSheetId="25">#REF!</definedName>
    <definedName name="объем___7___0" localSheetId="18">#REF!</definedName>
    <definedName name="объем___7___10" localSheetId="16">#REF!</definedName>
    <definedName name="объем___7___10" localSheetId="25">#REF!</definedName>
    <definedName name="объем___7___10" localSheetId="18">#REF!</definedName>
    <definedName name="объем___7___2" localSheetId="25">#REF!</definedName>
    <definedName name="объем___7___4" localSheetId="25">#REF!</definedName>
    <definedName name="объем___7___6" localSheetId="25">#REF!</definedName>
    <definedName name="объем___7___8" localSheetId="25">#REF!</definedName>
    <definedName name="объем___7_1" localSheetId="25">#REF!</definedName>
    <definedName name="объем___8" localSheetId="25">#REF!</definedName>
    <definedName name="объем___8___0" localSheetId="25">#REF!</definedName>
    <definedName name="объем___8___0___0" localSheetId="25">#REF!</definedName>
    <definedName name="объем___8___0___0___0" localSheetId="25">#REF!</definedName>
    <definedName name="объем___8___0___0___0___0" localSheetId="25">#REF!</definedName>
    <definedName name="объем___8___0___0___0___0_1" localSheetId="25">#REF!</definedName>
    <definedName name="объем___8___0___0___0_1" localSheetId="25">#REF!</definedName>
    <definedName name="объем___8___0___0_1" localSheetId="25">#REF!</definedName>
    <definedName name="объем___8___0___1" localSheetId="25">#REF!</definedName>
    <definedName name="объем___8___0___1_1" localSheetId="25">#REF!</definedName>
    <definedName name="объем___8___0___5" localSheetId="25">#REF!</definedName>
    <definedName name="объем___8___0___5_1" localSheetId="25">#REF!</definedName>
    <definedName name="объем___8___0_1" localSheetId="25">#REF!</definedName>
    <definedName name="объем___8___0_1_1" localSheetId="25">#REF!</definedName>
    <definedName name="объем___8___0_1_1_1" localSheetId="25">#REF!</definedName>
    <definedName name="объем___8___0_3" localSheetId="25">#REF!</definedName>
    <definedName name="объем___8___0_3_1" localSheetId="25">#REF!</definedName>
    <definedName name="объем___8___0_5" localSheetId="25">#REF!</definedName>
    <definedName name="объем___8___0_5_1" localSheetId="25">#REF!</definedName>
    <definedName name="объем___8___1" localSheetId="25">#REF!</definedName>
    <definedName name="объем___8___10" localSheetId="25">#REF!</definedName>
    <definedName name="объем___8___10_1" localSheetId="25">#REF!</definedName>
    <definedName name="объем___8___12" localSheetId="25">#REF!</definedName>
    <definedName name="объем___8___2" localSheetId="25">#REF!</definedName>
    <definedName name="объем___8___2_1" localSheetId="25">#REF!</definedName>
    <definedName name="объем___8___4" localSheetId="25">#REF!</definedName>
    <definedName name="объем___8___4_1" localSheetId="25">#REF!</definedName>
    <definedName name="объем___8___5" localSheetId="25">#REF!</definedName>
    <definedName name="объем___8___5_1" localSheetId="25">#REF!</definedName>
    <definedName name="объем___8___6" localSheetId="25">#REF!</definedName>
    <definedName name="объем___8___6_1" localSheetId="25">#REF!</definedName>
    <definedName name="объем___8___8" localSheetId="25">#REF!</definedName>
    <definedName name="объем___8___8_1" localSheetId="25">#REF!</definedName>
    <definedName name="объем___8_1" localSheetId="25">#REF!</definedName>
    <definedName name="объем___8_1_1" localSheetId="25">#REF!</definedName>
    <definedName name="объем___8_1_1_1" localSheetId="25">#REF!</definedName>
    <definedName name="объем___8_3" localSheetId="25">#REF!</definedName>
    <definedName name="объем___8_3_1" localSheetId="25">#REF!</definedName>
    <definedName name="объем___8_5" localSheetId="25">#REF!</definedName>
    <definedName name="объем___8_5_1" localSheetId="25">#REF!</definedName>
    <definedName name="объем___9" localSheetId="25">#REF!</definedName>
    <definedName name="объем___9___0" localSheetId="25">#REF!</definedName>
    <definedName name="объем___9___0___0" localSheetId="25">#REF!</definedName>
    <definedName name="объем___9___0___0___0" localSheetId="25">#REF!</definedName>
    <definedName name="объем___9___0___0___0___0" localSheetId="25">#REF!</definedName>
    <definedName name="объем___9___0___0___0___0_1" localSheetId="25">#REF!</definedName>
    <definedName name="объем___9___0___0___0_1" localSheetId="25">#REF!</definedName>
    <definedName name="объем___9___0___0_1" localSheetId="25">#REF!</definedName>
    <definedName name="объем___9___0___5" localSheetId="25">#REF!</definedName>
    <definedName name="объем___9___0___5_1" localSheetId="25">#REF!</definedName>
    <definedName name="объем___9___0_1" localSheetId="25">#REF!</definedName>
    <definedName name="объем___9___0_5" localSheetId="25">#REF!</definedName>
    <definedName name="объем___9___0_5_1" localSheetId="25">#REF!</definedName>
    <definedName name="объем___9___10" localSheetId="25">#REF!</definedName>
    <definedName name="объем___9___2" localSheetId="25">#REF!</definedName>
    <definedName name="объем___9___4" localSheetId="25">#REF!</definedName>
    <definedName name="объем___9___5" localSheetId="25">#REF!</definedName>
    <definedName name="объем___9___5_1" localSheetId="25">#REF!</definedName>
    <definedName name="объем___9___6" localSheetId="25">#REF!</definedName>
    <definedName name="объем___9___8" localSheetId="25">#REF!</definedName>
    <definedName name="объем___9_1" localSheetId="25">#REF!</definedName>
    <definedName name="объем___9_1_1" localSheetId="25">#REF!</definedName>
    <definedName name="объем___9_1_1_1" localSheetId="25">#REF!</definedName>
    <definedName name="объем___9_3" localSheetId="25">#REF!</definedName>
    <definedName name="объем___9_3_1" localSheetId="25">#REF!</definedName>
    <definedName name="объем___9_5" localSheetId="25">#REF!</definedName>
    <definedName name="объем___9_5_1" localSheetId="25">#REF!</definedName>
    <definedName name="объем1" localSheetId="16">#REF!</definedName>
    <definedName name="объем1" localSheetId="25">#REF!</definedName>
    <definedName name="объем1" localSheetId="18">#REF!</definedName>
    <definedName name="ов" localSheetId="25">#REF!</definedName>
    <definedName name="ов" localSheetId="18">#REF!</definedName>
    <definedName name="овао" localSheetId="25">#REF!</definedName>
    <definedName name="овао" localSheetId="18">#REF!</definedName>
    <definedName name="овено" localSheetId="25">#REF!</definedName>
    <definedName name="овпв" localSheetId="25">#REF!</definedName>
    <definedName name="ог" localSheetId="16" hidden="1">{#N/A,#N/A,TRUE,"Смета на пасс. обор. №1"}</definedName>
    <definedName name="ог" localSheetId="36" hidden="1">{#N/A,#N/A,TRUE,"Смета на пасс. обор. №1"}</definedName>
    <definedName name="ог" localSheetId="40" hidden="1">{#N/A,#N/A,TRUE,"Смета на пасс. обор. №1"}</definedName>
    <definedName name="ог" localSheetId="30" hidden="1">{#N/A,#N/A,TRUE,"Смета на пасс. обор. №1"}</definedName>
    <definedName name="ог" localSheetId="6" hidden="1">{#N/A,#N/A,TRUE,"Смета на пасс. обор. №1"}</definedName>
    <definedName name="ог" localSheetId="7" hidden="1">{#N/A,#N/A,TRUE,"Смета на пасс. обор. №1"}</definedName>
    <definedName name="ог" localSheetId="18" hidden="1">{#N/A,#N/A,TRUE,"Смета на пасс. обор. №1"}</definedName>
    <definedName name="ог" localSheetId="38" hidden="1">{#N/A,#N/A,TRUE,"Смета на пасс. обор. №1"}</definedName>
    <definedName name="ог" localSheetId="19" hidden="1">{#N/A,#N/A,TRUE,"Смета на пасс. обор. №1"}</definedName>
    <definedName name="ог" hidden="1">{#N/A,#N/A,TRUE,"Смета на пасс. обор. №1"}</definedName>
    <definedName name="ог_1" localSheetId="16" hidden="1">{#N/A,#N/A,TRUE,"Смета на пасс. обор. №1"}</definedName>
    <definedName name="ог_1" localSheetId="36" hidden="1">{#N/A,#N/A,TRUE,"Смета на пасс. обор. №1"}</definedName>
    <definedName name="ог_1" localSheetId="40" hidden="1">{#N/A,#N/A,TRUE,"Смета на пасс. обор. №1"}</definedName>
    <definedName name="ог_1" localSheetId="30" hidden="1">{#N/A,#N/A,TRUE,"Смета на пасс. обор. №1"}</definedName>
    <definedName name="ог_1" localSheetId="6" hidden="1">{#N/A,#N/A,TRUE,"Смета на пасс. обор. №1"}</definedName>
    <definedName name="ог_1" localSheetId="7" hidden="1">{#N/A,#N/A,TRUE,"Смета на пасс. обор. №1"}</definedName>
    <definedName name="ог_1" localSheetId="18" hidden="1">{#N/A,#N/A,TRUE,"Смета на пасс. обор. №1"}</definedName>
    <definedName name="ог_1" localSheetId="38" hidden="1">{#N/A,#N/A,TRUE,"Смета на пасс. обор. №1"}</definedName>
    <definedName name="ог_1" localSheetId="19" hidden="1">{#N/A,#N/A,TRUE,"Смета на пасс. обор. №1"}</definedName>
    <definedName name="ог_1" hidden="1">{#N/A,#N/A,TRUE,"Смета на пасс. обор. №1"}</definedName>
    <definedName name="одлпд" localSheetId="16">#REF!</definedName>
    <definedName name="одлпд" localSheetId="25">#REF!</definedName>
    <definedName name="одлпд" localSheetId="18">#REF!</definedName>
    <definedName name="оев" localSheetId="25">#REF!</definedName>
    <definedName name="оев" localSheetId="18">#REF!</definedName>
    <definedName name="оек" localSheetId="25">#REF!</definedName>
    <definedName name="оек" localSheetId="18">#REF!</definedName>
    <definedName name="ок" localSheetId="16">#REF!</definedName>
    <definedName name="ок" localSheetId="25">#REF!</definedName>
    <definedName name="ок_1" localSheetId="25">#REF!</definedName>
    <definedName name="окн" localSheetId="25">#REF!</definedName>
    <definedName name="Окончательно" localSheetId="25">#REF!</definedName>
    <definedName name="олд" localSheetId="16" hidden="1">{#N/A,#N/A,TRUE,"Смета на пасс. обор. №1"}</definedName>
    <definedName name="олд" localSheetId="36" hidden="1">{#N/A,#N/A,TRUE,"Смета на пасс. обор. №1"}</definedName>
    <definedName name="олд" localSheetId="40" hidden="1">{#N/A,#N/A,TRUE,"Смета на пасс. обор. №1"}</definedName>
    <definedName name="олд" localSheetId="30" hidden="1">{#N/A,#N/A,TRUE,"Смета на пасс. обор. №1"}</definedName>
    <definedName name="олд" localSheetId="6" hidden="1">{#N/A,#N/A,TRUE,"Смета на пасс. обор. №1"}</definedName>
    <definedName name="олд" localSheetId="7" hidden="1">{#N/A,#N/A,TRUE,"Смета на пасс. обор. №1"}</definedName>
    <definedName name="олд" localSheetId="18" hidden="1">{#N/A,#N/A,TRUE,"Смета на пасс. обор. №1"}</definedName>
    <definedName name="олд" localSheetId="38" hidden="1">{#N/A,#N/A,TRUE,"Смета на пасс. обор. №1"}</definedName>
    <definedName name="олд" localSheetId="19" hidden="1">{#N/A,#N/A,TRUE,"Смета на пасс. обор. №1"}</definedName>
    <definedName name="олд" hidden="1">{#N/A,#N/A,TRUE,"Смета на пасс. обор. №1"}</definedName>
    <definedName name="олд_1" localSheetId="16" hidden="1">{#N/A,#N/A,TRUE,"Смета на пасс. обор. №1"}</definedName>
    <definedName name="олд_1" localSheetId="36" hidden="1">{#N/A,#N/A,TRUE,"Смета на пасс. обор. №1"}</definedName>
    <definedName name="олд_1" localSheetId="40" hidden="1">{#N/A,#N/A,TRUE,"Смета на пасс. обор. №1"}</definedName>
    <definedName name="олд_1" localSheetId="30" hidden="1">{#N/A,#N/A,TRUE,"Смета на пасс. обор. №1"}</definedName>
    <definedName name="олд_1" localSheetId="6" hidden="1">{#N/A,#N/A,TRUE,"Смета на пасс. обор. №1"}</definedName>
    <definedName name="олд_1" localSheetId="7" hidden="1">{#N/A,#N/A,TRUE,"Смета на пасс. обор. №1"}</definedName>
    <definedName name="олд_1" localSheetId="18" hidden="1">{#N/A,#N/A,TRUE,"Смета на пасс. обор. №1"}</definedName>
    <definedName name="олд_1" localSheetId="38" hidden="1">{#N/A,#N/A,TRUE,"Смета на пасс. обор. №1"}</definedName>
    <definedName name="олд_1" localSheetId="19" hidden="1">{#N/A,#N/A,TRUE,"Смета на пасс. обор. №1"}</definedName>
    <definedName name="олд_1" hidden="1">{#N/A,#N/A,TRUE,"Смета на пасс. обор. №1"}</definedName>
    <definedName name="олорлшгш" localSheetId="16">#REF!</definedName>
    <definedName name="олорлшгш" localSheetId="25">#REF!</definedName>
    <definedName name="олорлшгш" localSheetId="18">#REF!</definedName>
    <definedName name="олпрол" localSheetId="16">#REF!</definedName>
    <definedName name="олпрол" localSheetId="25">#REF!</definedName>
    <definedName name="олпрол" localSheetId="18">#REF!</definedName>
    <definedName name="олролрт" localSheetId="25">#REF!</definedName>
    <definedName name="олролрт" localSheetId="18">#REF!</definedName>
    <definedName name="олрщшошшлд" localSheetId="25">#REF!</definedName>
    <definedName name="олюдю" localSheetId="25">#REF!</definedName>
    <definedName name="ОЛЯ" localSheetId="25">#REF!</definedName>
    <definedName name="Омская_область" localSheetId="25">#REF!</definedName>
    <definedName name="Омская_область_1" localSheetId="25">#REF!</definedName>
    <definedName name="оо" localSheetId="25">#REF!</definedName>
    <definedName name="ооо" localSheetId="25">#REF!</definedName>
    <definedName name="ООО_НИИПРИИ___Севзапинжтехнология" localSheetId="0">#REF!</definedName>
    <definedName name="ООО_НИИПРИИ___Севзапинжтехнология" localSheetId="25">#REF!</definedName>
    <definedName name="оооо" localSheetId="25">#REF!</definedName>
    <definedName name="оот" localSheetId="25">#REF!</definedName>
    <definedName name="опао" localSheetId="25">#REF!</definedName>
    <definedName name="Описание_группы_строек" localSheetId="16">#REF!</definedName>
    <definedName name="Описание_группы_строек" localSheetId="25">#REF!</definedName>
    <definedName name="Описание_группы_строек" localSheetId="30">#REF!</definedName>
    <definedName name="Описание_группы_строек" localSheetId="18">#REF!</definedName>
    <definedName name="Описание_локальной_сметы" localSheetId="25">#REF!</definedName>
    <definedName name="Описание_локальной_сметы" localSheetId="30">#REF!</definedName>
    <definedName name="Описание_локальной_сметы" localSheetId="18">#REF!</definedName>
    <definedName name="Описание_объекта" localSheetId="25">#REF!</definedName>
    <definedName name="Описание_объекта" localSheetId="30">#REF!</definedName>
    <definedName name="Описание_объекта" localSheetId="18">#REF!</definedName>
    <definedName name="Описание_объектной_сметы" localSheetId="25">#REF!</definedName>
    <definedName name="Описание_очереди" localSheetId="25">#REF!</definedName>
    <definedName name="Описание_пускового_комплекса" localSheetId="25">#REF!</definedName>
    <definedName name="Описание_сводного_сметного_расчета" localSheetId="25">#REF!</definedName>
    <definedName name="Описание_стройки" localSheetId="25">#REF!</definedName>
    <definedName name="Оренбургская_область" localSheetId="25">#REF!</definedName>
    <definedName name="Оренбургская_область_1" localSheetId="25">#REF!</definedName>
    <definedName name="Орловская_область" localSheetId="25">#REF!</definedName>
    <definedName name="орп" localSheetId="16" hidden="1">{#N/A,#N/A,TRUE,"Смета на пасс. обор. №1"}</definedName>
    <definedName name="орп" localSheetId="36" hidden="1">{#N/A,#N/A,TRUE,"Смета на пасс. обор. №1"}</definedName>
    <definedName name="орп" localSheetId="40" hidden="1">{#N/A,#N/A,TRUE,"Смета на пасс. обор. №1"}</definedName>
    <definedName name="орп" localSheetId="30" hidden="1">{#N/A,#N/A,TRUE,"Смета на пасс. обор. №1"}</definedName>
    <definedName name="орп" localSheetId="6" hidden="1">{#N/A,#N/A,TRUE,"Смета на пасс. обор. №1"}</definedName>
    <definedName name="орп" localSheetId="7" hidden="1">{#N/A,#N/A,TRUE,"Смета на пасс. обор. №1"}</definedName>
    <definedName name="орп" localSheetId="18" hidden="1">{#N/A,#N/A,TRUE,"Смета на пасс. обор. №1"}</definedName>
    <definedName name="орп" localSheetId="38" hidden="1">{#N/A,#N/A,TRUE,"Смета на пасс. обор. №1"}</definedName>
    <definedName name="орп" localSheetId="19" hidden="1">{#N/A,#N/A,TRUE,"Смета на пасс. обор. №1"}</definedName>
    <definedName name="орп" hidden="1">{#N/A,#N/A,TRUE,"Смета на пасс. обор. №1"}</definedName>
    <definedName name="орп_1" localSheetId="16" hidden="1">{#N/A,#N/A,TRUE,"Смета на пасс. обор. №1"}</definedName>
    <definedName name="орп_1" localSheetId="36" hidden="1">{#N/A,#N/A,TRUE,"Смета на пасс. обор. №1"}</definedName>
    <definedName name="орп_1" localSheetId="40" hidden="1">{#N/A,#N/A,TRUE,"Смета на пасс. обор. №1"}</definedName>
    <definedName name="орп_1" localSheetId="30" hidden="1">{#N/A,#N/A,TRUE,"Смета на пасс. обор. №1"}</definedName>
    <definedName name="орп_1" localSheetId="6" hidden="1">{#N/A,#N/A,TRUE,"Смета на пасс. обор. №1"}</definedName>
    <definedName name="орп_1" localSheetId="7" hidden="1">{#N/A,#N/A,TRUE,"Смета на пасс. обор. №1"}</definedName>
    <definedName name="орп_1" localSheetId="18" hidden="1">{#N/A,#N/A,TRUE,"Смета на пасс. обор. №1"}</definedName>
    <definedName name="орп_1" localSheetId="38" hidden="1">{#N/A,#N/A,TRUE,"Смета на пасс. обор. №1"}</definedName>
    <definedName name="орп_1" localSheetId="19" hidden="1">{#N/A,#N/A,TRUE,"Смета на пасс. обор. №1"}</definedName>
    <definedName name="орп_1" hidden="1">{#N/A,#N/A,TRUE,"Смета на пасс. обор. №1"}</definedName>
    <definedName name="орьл" localSheetId="16">[4]топография!#REF!</definedName>
    <definedName name="орьл" localSheetId="25">[5]топография!#REF!</definedName>
    <definedName name="Осн_Камер" localSheetId="16">#REF!</definedName>
    <definedName name="Осн_Камер" localSheetId="25">#REF!</definedName>
    <definedName name="Осн_Камер" localSheetId="18">#REF!</definedName>
    <definedName name="Основание" localSheetId="25">#REF!</definedName>
    <definedName name="Основание" localSheetId="18">#REF!</definedName>
    <definedName name="основная" localSheetId="36"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основная" localSheetId="40"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основная" localSheetId="6"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основная" localSheetId="7"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основная" localSheetId="38"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основная" hidden="1">{#N/A,#N/A,FALSE,"КЦ15-1";#N/A,#N/A,FALSE,"КЦ14-1";#N/A,#N/A,FALSE,"КЦ13-1";#N/A,#N/A,FALSE,"КЦ12-1";#N/A,#N/A,FALSE,"КЦ11-1";#N/A,#N/A,FALSE,"КЦ11-2";#N/A,#N/A,FALSE,"КЦ10-1";#N/A,#N/A,FALSE,"КЦ9-1";#N/A,#N/A,FALSE,"КЦ8-1";#N/A,#N/A,FALSE,"КЦ7-1";#N/A,#N/A,FALSE,"КЦ6-1";#N/A,#N/A,FALSE,"КЦ5-1";#N/A,#N/A,FALSE,"КЦ4-1";#N/A,#N/A,FALSE,"КЦ3-1";#N/A,#N/A,FALSE,"КЦ2-1";#N/A,#N/A,FALSE,"КЦ2-2";#N/A,#N/A,FALSE,"КЦ1-1";#N/A,#N/A,FALSE,"КЦ0-2";#N/A,#N/A,FALSE,"КЦ0-1";#N/A,#N/A,FALSE,"Переход";#N/A,#N/A,FALSE,"Инструмент";#N/A,#N/A,FALSE,"Приборы";#N/A,#N/A,FALSE,"КЦП-1"}</definedName>
    <definedName name="от" localSheetId="16" hidden="1">{#N/A,#N/A,TRUE,"Смета на пасс. обор. №1"}</definedName>
    <definedName name="от" localSheetId="36" hidden="1">{#N/A,#N/A,TRUE,"Смета на пасс. обор. №1"}</definedName>
    <definedName name="от" localSheetId="40" hidden="1">{#N/A,#N/A,TRUE,"Смета на пасс. обор. №1"}</definedName>
    <definedName name="от" localSheetId="30" hidden="1">{#N/A,#N/A,TRUE,"Смета на пасс. обор. №1"}</definedName>
    <definedName name="от" localSheetId="6" hidden="1">{#N/A,#N/A,TRUE,"Смета на пасс. обор. №1"}</definedName>
    <definedName name="от" localSheetId="7" hidden="1">{#N/A,#N/A,TRUE,"Смета на пасс. обор. №1"}</definedName>
    <definedName name="от" localSheetId="18" hidden="1">{#N/A,#N/A,TRUE,"Смета на пасс. обор. №1"}</definedName>
    <definedName name="от" localSheetId="38" hidden="1">{#N/A,#N/A,TRUE,"Смета на пасс. обор. №1"}</definedName>
    <definedName name="от" localSheetId="19" hidden="1">{#N/A,#N/A,TRUE,"Смета на пасс. обор. №1"}</definedName>
    <definedName name="от" hidden="1">{#N/A,#N/A,TRUE,"Смета на пасс. обор. №1"}</definedName>
    <definedName name="от_1" localSheetId="16" hidden="1">{#N/A,#N/A,TRUE,"Смета на пасс. обор. №1"}</definedName>
    <definedName name="от_1" localSheetId="36" hidden="1">{#N/A,#N/A,TRUE,"Смета на пасс. обор. №1"}</definedName>
    <definedName name="от_1" localSheetId="40" hidden="1">{#N/A,#N/A,TRUE,"Смета на пасс. обор. №1"}</definedName>
    <definedName name="от_1" localSheetId="30" hidden="1">{#N/A,#N/A,TRUE,"Смета на пасс. обор. №1"}</definedName>
    <definedName name="от_1" localSheetId="6" hidden="1">{#N/A,#N/A,TRUE,"Смета на пасс. обор. №1"}</definedName>
    <definedName name="от_1" localSheetId="7" hidden="1">{#N/A,#N/A,TRUE,"Смета на пасс. обор. №1"}</definedName>
    <definedName name="от_1" localSheetId="18" hidden="1">{#N/A,#N/A,TRUE,"Смета на пасс. обор. №1"}</definedName>
    <definedName name="от_1" localSheetId="38" hidden="1">{#N/A,#N/A,TRUE,"Смета на пасс. обор. №1"}</definedName>
    <definedName name="от_1" localSheetId="19" hidden="1">{#N/A,#N/A,TRUE,"Смета на пасс. обор. №1"}</definedName>
    <definedName name="от_1" hidden="1">{#N/A,#N/A,TRUE,"Смета на пасс. обор. №1"}</definedName>
    <definedName name="Отчет" localSheetId="16">#REF!</definedName>
    <definedName name="Отчет" localSheetId="25">#REF!</definedName>
    <definedName name="Отчет" localSheetId="18">#REF!</definedName>
    <definedName name="Отчетный_период__учет_выполненных_работ" localSheetId="25">#REF!</definedName>
    <definedName name="Отчетный_период__учет_выполненных_работ" localSheetId="18">#REF!</definedName>
    <definedName name="оьт" localSheetId="16">#REF!</definedName>
    <definedName name="оьт" localSheetId="25">#REF!</definedName>
    <definedName name="оьт" localSheetId="18">#REF!</definedName>
    <definedName name="оьыватв" localSheetId="25">#REF!</definedName>
    <definedName name="оьыватв" localSheetId="18">#REF!</definedName>
    <definedName name="оюю" localSheetId="25">#REF!</definedName>
    <definedName name="оюю" localSheetId="18">#REF!</definedName>
    <definedName name="п" localSheetId="25">#REF!</definedName>
    <definedName name="п_1" localSheetId="25">#REF!</definedName>
    <definedName name="п1" localSheetId="36" hidden="1">{#N/A,#N/A,TRUE,"Смета на пасс. обор. №1"}</definedName>
    <definedName name="п1" localSheetId="40" hidden="1">{#N/A,#N/A,TRUE,"Смета на пасс. обор. №1"}</definedName>
    <definedName name="п1" localSheetId="6" hidden="1">{#N/A,#N/A,TRUE,"Смета на пасс. обор. №1"}</definedName>
    <definedName name="п1" localSheetId="7" hidden="1">{#N/A,#N/A,TRUE,"Смета на пасс. обор. №1"}</definedName>
    <definedName name="п1" localSheetId="38" hidden="1">{#N/A,#N/A,TRUE,"Смета на пасс. обор. №1"}</definedName>
    <definedName name="п1" hidden="1">{#N/A,#N/A,TRUE,"Смета на пасс. обор. №1"}</definedName>
    <definedName name="п1111111" localSheetId="16">#REF!</definedName>
    <definedName name="п1111111" localSheetId="25">#REF!</definedName>
    <definedName name="п45" localSheetId="25">#REF!</definedName>
    <definedName name="ПА3" localSheetId="25">#REF!</definedName>
    <definedName name="ПА4" localSheetId="25">#REF!</definedName>
    <definedName name="паирав" localSheetId="25">#REF!</definedName>
    <definedName name="пао" localSheetId="25">#REF!</definedName>
    <definedName name="пап" localSheetId="25">#REF!</definedName>
    <definedName name="паша" localSheetId="25">#REF!</definedName>
    <definedName name="ПБ" localSheetId="25">#REF!</definedName>
    <definedName name="пвар" localSheetId="25">#REF!</definedName>
    <definedName name="пвопв" localSheetId="25">#REF!</definedName>
    <definedName name="пвр" localSheetId="25">#REF!</definedName>
    <definedName name="пврл" localSheetId="25">#REF!</definedName>
    <definedName name="пвррь" localSheetId="25">#REF!</definedName>
    <definedName name="пврьп" localSheetId="25">#REF!</definedName>
    <definedName name="пврьпв" localSheetId="25">#REF!</definedName>
    <definedName name="пврьпврь" localSheetId="25">#REF!</definedName>
    <definedName name="пвСпп" localSheetId="25">#REF!</definedName>
    <definedName name="пвы" localSheetId="16">[4]топография!#REF!</definedName>
    <definedName name="пвы" localSheetId="25">[5]топография!#REF!</definedName>
    <definedName name="пвьрвпрь" localSheetId="16">#REF!</definedName>
    <definedName name="пвьрвпрь" localSheetId="25">#REF!</definedName>
    <definedName name="пвьрвпрь" localSheetId="18">#REF!</definedName>
    <definedName name="пг" localSheetId="25">#REF!</definedName>
    <definedName name="пг" localSheetId="18">#REF!</definedName>
    <definedName name="пгшд" localSheetId="25">#REF!</definedName>
    <definedName name="пгшд" localSheetId="18">#REF!</definedName>
    <definedName name="ПД" localSheetId="25">#REF!</definedName>
    <definedName name="пдплд" localSheetId="25">#REF!</definedName>
    <definedName name="пек" localSheetId="25">#REF!</definedName>
    <definedName name="Пензенская_область" localSheetId="25">#REF!</definedName>
    <definedName name="перв_кат" localSheetId="25">#REF!</definedName>
    <definedName name="первая_кат" localSheetId="25">#REF!</definedName>
    <definedName name="первый" localSheetId="25">#REF!</definedName>
    <definedName name="Пермская_область" localSheetId="16">#REF!</definedName>
    <definedName name="Пермская_область" localSheetId="25">#REF!</definedName>
    <definedName name="Пермская_область" localSheetId="30">#REF!</definedName>
    <definedName name="Пермская_область" localSheetId="18">#REF!</definedName>
    <definedName name="Пермская_область_1" localSheetId="25">#REF!</definedName>
    <definedName name="Пермская_область_1" localSheetId="30">#REF!</definedName>
    <definedName name="Пермская_область_1" localSheetId="18">#REF!</definedName>
    <definedName name="ПЗ2" localSheetId="25">#REF!</definedName>
    <definedName name="ПЗ2" localSheetId="18">#REF!</definedName>
    <definedName name="Пи" localSheetId="25">#REF!</definedName>
    <definedName name="Пи_" localSheetId="25">#REF!</definedName>
    <definedName name="пионер" localSheetId="0">#REF!</definedName>
    <definedName name="пионер" localSheetId="25">#REF!</definedName>
    <definedName name="ПИР" localSheetId="25">#REF!</definedName>
    <definedName name="ПИСС_стац" localSheetId="25">#REF!</definedName>
    <definedName name="ПИСС_эксп" localSheetId="25">#REF!</definedName>
    <definedName name="пл" localSheetId="16">#REF!</definedName>
    <definedName name="пл" localSheetId="25">#REF!</definedName>
    <definedName name="пл" localSheetId="18">#REF!</definedName>
    <definedName name="плдпол" localSheetId="16">#REF!</definedName>
    <definedName name="плдпол" localSheetId="25">#REF!</definedName>
    <definedName name="плдпол" localSheetId="30">#REF!</definedName>
    <definedName name="плдпол" localSheetId="18">#REF!</definedName>
    <definedName name="плдполд" localSheetId="25">#REF!</definedName>
    <definedName name="плдполд" localSheetId="30">#REF!</definedName>
    <definedName name="плдполд" localSheetId="18">#REF!</definedName>
    <definedName name="плодолд" localSheetId="25">#REF!</definedName>
    <definedName name="плодолд" localSheetId="30">#REF!</definedName>
    <definedName name="плодолд" localSheetId="18">#REF!</definedName>
    <definedName name="Площадь" localSheetId="25">#REF!</definedName>
    <definedName name="Площадь_1" localSheetId="25">#REF!</definedName>
    <definedName name="Площадь_нелинейных_объектов" localSheetId="25">#REF!</definedName>
    <definedName name="Площадь_нелинейных_объектов_1" localSheetId="25">#REF!</definedName>
    <definedName name="Площадь_планшетов" localSheetId="25">#REF!</definedName>
    <definedName name="Площадь_планшетов_1" localSheetId="25">#REF!</definedName>
    <definedName name="плп" localSheetId="16">[4]топография!#REF!</definedName>
    <definedName name="плп" localSheetId="25">[5]топография!#REF!</definedName>
    <definedName name="плыа" localSheetId="16">#REF!</definedName>
    <definedName name="плыа" localSheetId="25">#REF!</definedName>
    <definedName name="плыа" localSheetId="18">#REF!</definedName>
    <definedName name="плю" localSheetId="25">#REF!</definedName>
    <definedName name="плю" localSheetId="18">#REF!</definedName>
    <definedName name="пнр" localSheetId="25">#REF!</definedName>
    <definedName name="пнр" localSheetId="18">#REF!</definedName>
    <definedName name="по" localSheetId="25">#REF!</definedName>
    <definedName name="пов" localSheetId="25">#REF!</definedName>
    <definedName name="Подгон" localSheetId="25">#REF!</definedName>
    <definedName name="подлжддлджд" localSheetId="25">#REF!</definedName>
    <definedName name="ПОКАЗАТЕЛИ_ДОЛГОСР.ПРОГНОЗА" localSheetId="25">'[31]2002(v2)'!#REF!</definedName>
    <definedName name="Покупное_ПО" localSheetId="16">#REF!</definedName>
    <definedName name="Покупное_ПО" localSheetId="25">#REF!</definedName>
    <definedName name="Покупное_ПО" localSheetId="30">#REF!</definedName>
    <definedName name="Покупное_ПО" localSheetId="18">#REF!</definedName>
    <definedName name="Покупные" localSheetId="25">#REF!</definedName>
    <definedName name="Покупные" localSheetId="30">#REF!</definedName>
    <definedName name="Покупные" localSheetId="18">#REF!</definedName>
    <definedName name="Покупные_изделия" localSheetId="25">#REF!</definedName>
    <definedName name="Покупные_изделия" localSheetId="30">#REF!</definedName>
    <definedName name="Покупные_изделия" localSheetId="18">#REF!</definedName>
    <definedName name="полд" localSheetId="25">#REF!</definedName>
    <definedName name="Полевые" localSheetId="25">#REF!</definedName>
    <definedName name="Полно" localSheetId="25">#REF!</definedName>
    <definedName name="попр" localSheetId="25">#REF!</definedName>
    <definedName name="Поправочные_коэффициенты_по_письму_Госстроя_от_25.12.90___0" localSheetId="16">#REF!</definedName>
    <definedName name="Поправочные_коэффициенты_по_письму_Госстроя_от_25.12.90___0" localSheetId="25">#REF!</definedName>
    <definedName name="Поправочные_коэффициенты_по_письму_Госстроя_от_25.12.90___0" localSheetId="18">#REF!</definedName>
    <definedName name="Поправочные_коэффициенты_по_письму_Госстроя_от_25.12.90___0___0" localSheetId="16">#REF!</definedName>
    <definedName name="Поправочные_коэффициенты_по_письму_Госстроя_от_25.12.90___0___0" localSheetId="25">#REF!</definedName>
    <definedName name="Поправочные_коэффициенты_по_письму_Госстроя_от_25.12.90___0___0" localSheetId="18">#REF!</definedName>
    <definedName name="Поправочные_коэффициенты_по_письму_Госстроя_от_25.12.90___0___0___0" localSheetId="16">#REF!</definedName>
    <definedName name="Поправочные_коэффициенты_по_письму_Госстроя_от_25.12.90___0___0___0" localSheetId="25">#REF!</definedName>
    <definedName name="Поправочные_коэффициенты_по_письму_Госстроя_от_25.12.90___0___0___0" localSheetId="18">#REF!</definedName>
    <definedName name="Поправочные_коэффициенты_по_письму_Госстроя_от_25.12.90___0___0___0___0" localSheetId="25">#REF!</definedName>
    <definedName name="Поправочные_коэффициенты_по_письму_Госстроя_от_25.12.90___0___0___0___0___0" localSheetId="25">#REF!</definedName>
    <definedName name="Поправочные_коэффициенты_по_письму_Госстроя_от_25.12.90___0___0___0___0___0_1" localSheetId="25">#REF!</definedName>
    <definedName name="Поправочные_коэффициенты_по_письму_Госстроя_от_25.12.90___0___0___0___0_1" localSheetId="25">#REF!</definedName>
    <definedName name="Поправочные_коэффициенты_по_письму_Госстроя_от_25.12.90___0___0___0___1" localSheetId="25">#REF!</definedName>
    <definedName name="Поправочные_коэффициенты_по_письму_Госстроя_от_25.12.90___0___0___0___1_1" localSheetId="25">#REF!</definedName>
    <definedName name="Поправочные_коэффициенты_по_письму_Госстроя_от_25.12.90___0___0___0___5" localSheetId="25">#REF!</definedName>
    <definedName name="Поправочные_коэффициенты_по_письму_Госстроя_от_25.12.90___0___0___0___5_1" localSheetId="25">#REF!</definedName>
    <definedName name="Поправочные_коэффициенты_по_письму_Госстроя_от_25.12.90___0___0___0_1" localSheetId="25">#REF!</definedName>
    <definedName name="Поправочные_коэффициенты_по_письму_Госстроя_от_25.12.90___0___0___0_1_1" localSheetId="25">#REF!</definedName>
    <definedName name="Поправочные_коэффициенты_по_письму_Госстроя_от_25.12.90___0___0___0_1_1_1" localSheetId="25">#REF!</definedName>
    <definedName name="Поправочные_коэффициенты_по_письму_Госстроя_от_25.12.90___0___0___0_5" localSheetId="25">#REF!</definedName>
    <definedName name="Поправочные_коэффициенты_по_письму_Госстроя_от_25.12.90___0___0___0_5_1" localSheetId="25">#REF!</definedName>
    <definedName name="Поправочные_коэффициенты_по_письму_Госстроя_от_25.12.90___0___0___1" localSheetId="25">#REF!</definedName>
    <definedName name="Поправочные_коэффициенты_по_письму_Госстроя_от_25.12.90___0___0___1_1" localSheetId="25">#REF!</definedName>
    <definedName name="Поправочные_коэффициенты_по_письму_Госстроя_от_25.12.90___0___0___2" localSheetId="25">#REF!</definedName>
    <definedName name="Поправочные_коэффициенты_по_письму_Госстроя_от_25.12.90___0___0___2_1" localSheetId="25">#REF!</definedName>
    <definedName name="Поправочные_коэффициенты_по_письму_Госстроя_от_25.12.90___0___0___3" localSheetId="25">#REF!</definedName>
    <definedName name="Поправочные_коэффициенты_по_письму_Госстроя_от_25.12.90___0___0___3_1" localSheetId="25">#REF!</definedName>
    <definedName name="Поправочные_коэффициенты_по_письму_Госстроя_от_25.12.90___0___0___4" localSheetId="25">#REF!</definedName>
    <definedName name="Поправочные_коэффициенты_по_письму_Госстроя_от_25.12.90___0___0___4_1" localSheetId="25">#REF!</definedName>
    <definedName name="Поправочные_коэффициенты_по_письму_Госстроя_от_25.12.90___0___0___5" localSheetId="25">#REF!</definedName>
    <definedName name="Поправочные_коэффициенты_по_письму_Госстроя_от_25.12.90___0___0___5_1" localSheetId="25">#REF!</definedName>
    <definedName name="Поправочные_коэффициенты_по_письму_Госстроя_от_25.12.90___0___0_1" localSheetId="25">#REF!</definedName>
    <definedName name="Поправочные_коэффициенты_по_письму_Госстроя_от_25.12.90___0___0_1_1" localSheetId="25">#REF!</definedName>
    <definedName name="Поправочные_коэффициенты_по_письму_Госстроя_от_25.12.90___0___0_1_1_1" localSheetId="25">#REF!</definedName>
    <definedName name="Поправочные_коэффициенты_по_письму_Госстроя_от_25.12.90___0___0_3" localSheetId="25">#REF!</definedName>
    <definedName name="Поправочные_коэффициенты_по_письму_Госстроя_от_25.12.90___0___0_3_1" localSheetId="25">#REF!</definedName>
    <definedName name="Поправочные_коэффициенты_по_письму_Госстроя_от_25.12.90___0___0_5" localSheetId="25">#REF!</definedName>
    <definedName name="Поправочные_коэффициенты_по_письму_Госстроя_от_25.12.90___0___0_5_1" localSheetId="25">#REF!</definedName>
    <definedName name="Поправочные_коэффициенты_по_письму_Госстроя_от_25.12.90___0___1" localSheetId="25">#REF!</definedName>
    <definedName name="Поправочные_коэффициенты_по_письму_Госстроя_от_25.12.90___0___1___0" localSheetId="25">#REF!</definedName>
    <definedName name="Поправочные_коэффициенты_по_письму_Госстроя_от_25.12.90___0___1___0_1" localSheetId="25">#REF!</definedName>
    <definedName name="Поправочные_коэффициенты_по_письму_Госстроя_от_25.12.90___0___1_1" localSheetId="25">#REF!</definedName>
    <definedName name="Поправочные_коэффициенты_по_письму_Госстроя_от_25.12.90___0___10" localSheetId="25">#REF!</definedName>
    <definedName name="Поправочные_коэффициенты_по_письму_Госстроя_от_25.12.90___0___10_1" localSheetId="25">#REF!</definedName>
    <definedName name="Поправочные_коэффициенты_по_письму_Госстроя_от_25.12.90___0___12" localSheetId="25">#REF!</definedName>
    <definedName name="Поправочные_коэффициенты_по_письму_Госстроя_от_25.12.90___0___2" localSheetId="25">#REF!</definedName>
    <definedName name="Поправочные_коэффициенты_по_письму_Госстроя_от_25.12.90___0___2___0" localSheetId="25">#REF!</definedName>
    <definedName name="Поправочные_коэффициенты_по_письму_Госстроя_от_25.12.90___0___2___0___0" localSheetId="25">#REF!</definedName>
    <definedName name="Поправочные_коэффициенты_по_письму_Госстроя_от_25.12.90___0___2___0___0_1" localSheetId="25">#REF!</definedName>
    <definedName name="Поправочные_коэффициенты_по_письму_Госстроя_от_25.12.90___0___2___0_1" localSheetId="25">#REF!</definedName>
    <definedName name="Поправочные_коэффициенты_по_письму_Госстроя_от_25.12.90___0___2___5" localSheetId="25">#REF!</definedName>
    <definedName name="Поправочные_коэффициенты_по_письму_Госстроя_от_25.12.90___0___2___5_1" localSheetId="25">#REF!</definedName>
    <definedName name="Поправочные_коэффициенты_по_письму_Госстроя_от_25.12.90___0___2_1" localSheetId="25">#REF!</definedName>
    <definedName name="Поправочные_коэффициенты_по_письму_Госстроя_от_25.12.90___0___2_1_1" localSheetId="25">#REF!</definedName>
    <definedName name="Поправочные_коэффициенты_по_письму_Госстроя_от_25.12.90___0___2_1_1_1" localSheetId="25">#REF!</definedName>
    <definedName name="Поправочные_коэффициенты_по_письму_Госстроя_от_25.12.90___0___2_3" localSheetId="25">#REF!</definedName>
    <definedName name="Поправочные_коэффициенты_по_письму_Госстроя_от_25.12.90___0___2_3_1" localSheetId="25">#REF!</definedName>
    <definedName name="Поправочные_коэффициенты_по_письму_Госстроя_от_25.12.90___0___2_5" localSheetId="25">#REF!</definedName>
    <definedName name="Поправочные_коэффициенты_по_письму_Госстроя_от_25.12.90___0___2_5_1" localSheetId="25">#REF!</definedName>
    <definedName name="Поправочные_коэффициенты_по_письму_Госстроя_от_25.12.90___0___3" localSheetId="25">#REF!</definedName>
    <definedName name="Поправочные_коэффициенты_по_письму_Госстроя_от_25.12.90___0___3___0" localSheetId="25">#REF!</definedName>
    <definedName name="Поправочные_коэффициенты_по_письму_Госстроя_от_25.12.90___0___3___0___0" localSheetId="25">#REF!</definedName>
    <definedName name="Поправочные_коэффициенты_по_письму_Госстроя_от_25.12.90___0___3___0___0_1" localSheetId="25">#REF!</definedName>
    <definedName name="Поправочные_коэффициенты_по_письму_Госстроя_от_25.12.90___0___3___0___1" localSheetId="25">#REF!</definedName>
    <definedName name="Поправочные_коэффициенты_по_письму_Госстроя_от_25.12.90___0___3___0___1_1" localSheetId="25">#REF!</definedName>
    <definedName name="Поправочные_коэффициенты_по_письму_Госстроя_от_25.12.90___0___3___0___5" localSheetId="25">#REF!</definedName>
    <definedName name="Поправочные_коэффициенты_по_письму_Госстроя_от_25.12.90___0___3___0___5_1" localSheetId="25">#REF!</definedName>
    <definedName name="Поправочные_коэффициенты_по_письму_Госстроя_от_25.12.90___0___3___0_1" localSheetId="25">#REF!</definedName>
    <definedName name="Поправочные_коэффициенты_по_письму_Госстроя_от_25.12.90___0___3___0_1_1" localSheetId="25">#REF!</definedName>
    <definedName name="Поправочные_коэффициенты_по_письму_Госстроя_от_25.12.90___0___3___0_1_1_1" localSheetId="25">#REF!</definedName>
    <definedName name="Поправочные_коэффициенты_по_письму_Госстроя_от_25.12.90___0___3___0_5" localSheetId="25">#REF!</definedName>
    <definedName name="Поправочные_коэффициенты_по_письму_Госстроя_от_25.12.90___0___3___0_5_1" localSheetId="25">#REF!</definedName>
    <definedName name="Поправочные_коэффициенты_по_письму_Госстроя_от_25.12.90___0___3___5" localSheetId="25">#REF!</definedName>
    <definedName name="Поправочные_коэффициенты_по_письму_Госстроя_от_25.12.90___0___3___5_1" localSheetId="25">#REF!</definedName>
    <definedName name="Поправочные_коэффициенты_по_письму_Госстроя_от_25.12.90___0___3_1" localSheetId="25">#REF!</definedName>
    <definedName name="Поправочные_коэффициенты_по_письму_Госстроя_от_25.12.90___0___3_1_1" localSheetId="25">#REF!</definedName>
    <definedName name="Поправочные_коэффициенты_по_письму_Госстроя_от_25.12.90___0___3_1_1_1" localSheetId="25">#REF!</definedName>
    <definedName name="Поправочные_коэффициенты_по_письму_Госстроя_от_25.12.90___0___3_5" localSheetId="25">#REF!</definedName>
    <definedName name="Поправочные_коэффициенты_по_письму_Госстроя_от_25.12.90___0___3_5_1" localSheetId="25">#REF!</definedName>
    <definedName name="Поправочные_коэффициенты_по_письму_Госстроя_от_25.12.90___0___4" localSheetId="25">#REF!</definedName>
    <definedName name="Поправочные_коэффициенты_по_письму_Госстроя_от_25.12.90___0___4___0" localSheetId="25">#REF!</definedName>
    <definedName name="Поправочные_коэффициенты_по_письму_Госстроя_от_25.12.90___0___4___0_1" localSheetId="25">#REF!</definedName>
    <definedName name="Поправочные_коэффициенты_по_письму_Госстроя_от_25.12.90___0___4___5" localSheetId="25">#REF!</definedName>
    <definedName name="Поправочные_коэффициенты_по_письму_Госстроя_от_25.12.90___0___4___5_1" localSheetId="25">#REF!</definedName>
    <definedName name="Поправочные_коэффициенты_по_письму_Госстроя_от_25.12.90___0___4_1" localSheetId="25">#REF!</definedName>
    <definedName name="Поправочные_коэффициенты_по_письму_Госстроя_от_25.12.90___0___4_1_1" localSheetId="25">#REF!</definedName>
    <definedName name="Поправочные_коэффициенты_по_письму_Госстроя_от_25.12.90___0___4_1_1_1" localSheetId="25">#REF!</definedName>
    <definedName name="Поправочные_коэффициенты_по_письму_Госстроя_от_25.12.90___0___4_3" localSheetId="25">#REF!</definedName>
    <definedName name="Поправочные_коэффициенты_по_письму_Госстроя_от_25.12.90___0___4_3_1" localSheetId="25">#REF!</definedName>
    <definedName name="Поправочные_коэффициенты_по_письму_Госстроя_от_25.12.90___0___4_5" localSheetId="25">#REF!</definedName>
    <definedName name="Поправочные_коэффициенты_по_письму_Госстроя_от_25.12.90___0___4_5_1" localSheetId="25">#REF!</definedName>
    <definedName name="Поправочные_коэффициенты_по_письму_Госстроя_от_25.12.90___0___5" localSheetId="25">#REF!</definedName>
    <definedName name="Поправочные_коэффициенты_по_письму_Госстроя_от_25.12.90___0___5_1" localSheetId="25">#REF!</definedName>
    <definedName name="Поправочные_коэффициенты_по_письму_Госстроя_от_25.12.90___0___6" localSheetId="25">#REF!</definedName>
    <definedName name="Поправочные_коэффициенты_по_письму_Госстроя_от_25.12.90___0___6_1" localSheetId="25">#REF!</definedName>
    <definedName name="Поправочные_коэффициенты_по_письму_Госстроя_от_25.12.90___0___8" localSheetId="25">#REF!</definedName>
    <definedName name="Поправочные_коэффициенты_по_письму_Госстроя_от_25.12.90___0___8_1" localSheetId="25">#REF!</definedName>
    <definedName name="Поправочные_коэффициенты_по_письму_Госстроя_от_25.12.90___0_1" localSheetId="25">#REF!</definedName>
    <definedName name="Поправочные_коэффициенты_по_письму_Госстроя_от_25.12.90___0_1_1" localSheetId="25">#REF!</definedName>
    <definedName name="Поправочные_коэффициенты_по_письму_Госстроя_от_25.12.90___0_3" localSheetId="25">#REF!</definedName>
    <definedName name="Поправочные_коэффициенты_по_письму_Госстроя_от_25.12.90___0_3_1" localSheetId="25">#REF!</definedName>
    <definedName name="Поправочные_коэффициенты_по_письму_Госстроя_от_25.12.90___0_5" localSheetId="25">#REF!</definedName>
    <definedName name="Поправочные_коэффициенты_по_письму_Госстроя_от_25.12.90___0_5_1" localSheetId="25">#REF!</definedName>
    <definedName name="Поправочные_коэффициенты_по_письму_Госстроя_от_25.12.90___1" localSheetId="25">#REF!</definedName>
    <definedName name="Поправочные_коэффициенты_по_письму_Госстроя_от_25.12.90___1___0" localSheetId="25">#REF!</definedName>
    <definedName name="Поправочные_коэффициенты_по_письму_Госстроя_от_25.12.90___1___0___0" localSheetId="25">#REF!</definedName>
    <definedName name="Поправочные_коэффициенты_по_письму_Госстроя_от_25.12.90___1___0___0_1" localSheetId="25">#REF!</definedName>
    <definedName name="Поправочные_коэффициенты_по_письму_Госстроя_от_25.12.90___1___0_1" localSheetId="25">#REF!</definedName>
    <definedName name="Поправочные_коэффициенты_по_письму_Госстроя_от_25.12.90___1___1" localSheetId="25">#REF!</definedName>
    <definedName name="Поправочные_коэффициенты_по_письму_Госстроя_от_25.12.90___1___1_1" localSheetId="25">#REF!</definedName>
    <definedName name="Поправочные_коэффициенты_по_письму_Госстроя_от_25.12.90___1___3" localSheetId="25">#REF!</definedName>
    <definedName name="Поправочные_коэффициенты_по_письму_Госстроя_от_25.12.90___1___3_1" localSheetId="25">#REF!</definedName>
    <definedName name="Поправочные_коэффициенты_по_письму_Госстроя_от_25.12.90___1___5" localSheetId="25">#REF!</definedName>
    <definedName name="Поправочные_коэффициенты_по_письму_Госстроя_от_25.12.90___1___5_1" localSheetId="25">#REF!</definedName>
    <definedName name="Поправочные_коэффициенты_по_письму_Госстроя_от_25.12.90___1_1" localSheetId="25">#REF!</definedName>
    <definedName name="Поправочные_коэффициенты_по_письму_Госстроя_от_25.12.90___1_1_1" localSheetId="25">#REF!</definedName>
    <definedName name="Поправочные_коэффициенты_по_письму_Госстроя_от_25.12.90___1_1_1_1" localSheetId="25">#REF!</definedName>
    <definedName name="Поправочные_коэффициенты_по_письму_Госстроя_от_25.12.90___1_5" localSheetId="25">#REF!</definedName>
    <definedName name="Поправочные_коэффициенты_по_письму_Госстроя_от_25.12.90___1_5_1" localSheetId="25">#REF!</definedName>
    <definedName name="Поправочные_коэффициенты_по_письму_Госстроя_от_25.12.90___10" localSheetId="25">#REF!</definedName>
    <definedName name="Поправочные_коэффициенты_по_письму_Госстроя_от_25.12.90___10___0___0" localSheetId="16">#REF!</definedName>
    <definedName name="Поправочные_коэффициенты_по_письму_Госстроя_от_25.12.90___10___0___0" localSheetId="25">#REF!</definedName>
    <definedName name="Поправочные_коэффициенты_по_письму_Госстроя_от_25.12.90___10___0___0" localSheetId="18">#REF!</definedName>
    <definedName name="Поправочные_коэффициенты_по_письму_Госстроя_от_25.12.90___10___0___0___0" localSheetId="16">#REF!</definedName>
    <definedName name="Поправочные_коэффициенты_по_письму_Госстроя_от_25.12.90___10___0___0___0" localSheetId="25">#REF!</definedName>
    <definedName name="Поправочные_коэффициенты_по_письму_Госстроя_от_25.12.90___10___0___0___0" localSheetId="18">#REF!</definedName>
    <definedName name="Поправочные_коэффициенты_по_письму_Госстроя_от_25.12.90___10___0___0___0_1" localSheetId="16">#REF!</definedName>
    <definedName name="Поправочные_коэффициенты_по_письму_Госстроя_от_25.12.90___10___0___0___0_1" localSheetId="25">#REF!</definedName>
    <definedName name="Поправочные_коэффициенты_по_письму_Госстроя_от_25.12.90___10___0___0___0_1" localSheetId="18">#REF!</definedName>
    <definedName name="Поправочные_коэффициенты_по_письму_Госстроя_от_25.12.90___10___0___0_1" localSheetId="25">#REF!</definedName>
    <definedName name="Поправочные_коэффициенты_по_письму_Госстроя_от_25.12.90___10___0_1" localSheetId="16">#REF!</definedName>
    <definedName name="Поправочные_коэффициенты_по_письму_Госстроя_от_25.12.90___10___0_1" localSheetId="25">#REF!</definedName>
    <definedName name="Поправочные_коэффициенты_по_письму_Госстроя_от_25.12.90___10___0_1" localSheetId="18">#REF!</definedName>
    <definedName name="Поправочные_коэффициенты_по_письму_Госстроя_от_25.12.90___10___1" localSheetId="16">#REF!</definedName>
    <definedName name="Поправочные_коэффициенты_по_письму_Госстроя_от_25.12.90___10___1" localSheetId="25">#REF!</definedName>
    <definedName name="Поправочные_коэффициенты_по_письму_Госстроя_от_25.12.90___10___1" localSheetId="18">#REF!</definedName>
    <definedName name="Поправочные_коэффициенты_по_письму_Госстроя_от_25.12.90___10___10" localSheetId="16">#REF!</definedName>
    <definedName name="Поправочные_коэффициенты_по_письму_Госстроя_от_25.12.90___10___10" localSheetId="25">#REF!</definedName>
    <definedName name="Поправочные_коэффициенты_по_письму_Госстроя_от_25.12.90___10___10" localSheetId="18">#REF!</definedName>
    <definedName name="Поправочные_коэффициенты_по_письму_Госстроя_от_25.12.90___10___12" localSheetId="16">#REF!</definedName>
    <definedName name="Поправочные_коэффициенты_по_письму_Госстроя_от_25.12.90___10___12" localSheetId="25">#REF!</definedName>
    <definedName name="Поправочные_коэффициенты_по_письму_Госстроя_от_25.12.90___10___12" localSheetId="18">#REF!</definedName>
    <definedName name="Поправочные_коэффициенты_по_письму_Госстроя_от_25.12.90___10___5" localSheetId="16">#REF!</definedName>
    <definedName name="Поправочные_коэффициенты_по_письму_Госстроя_от_25.12.90___10___5" localSheetId="25">#REF!</definedName>
    <definedName name="Поправочные_коэффициенты_по_письму_Госстроя_от_25.12.90___10___5" localSheetId="18">#REF!</definedName>
    <definedName name="Поправочные_коэффициенты_по_письму_Госстроя_от_25.12.90___10___5_1" localSheetId="16">#REF!</definedName>
    <definedName name="Поправочные_коэффициенты_по_письму_Госстроя_от_25.12.90___10___5_1" localSheetId="25">#REF!</definedName>
    <definedName name="Поправочные_коэффициенты_по_письму_Госстроя_от_25.12.90___10___5_1" localSheetId="18">#REF!</definedName>
    <definedName name="Поправочные_коэффициенты_по_письму_Госстроя_от_25.12.90___10_3" localSheetId="16">#REF!</definedName>
    <definedName name="Поправочные_коэффициенты_по_письму_Госстроя_от_25.12.90___10_3" localSheetId="25">#REF!</definedName>
    <definedName name="Поправочные_коэффициенты_по_письму_Госстроя_от_25.12.90___10_3" localSheetId="18">#REF!</definedName>
    <definedName name="Поправочные_коэффициенты_по_письму_Госстроя_от_25.12.90___10_3_1" localSheetId="16">#REF!</definedName>
    <definedName name="Поправочные_коэффициенты_по_письму_Госстроя_от_25.12.90___10_3_1" localSheetId="25">#REF!</definedName>
    <definedName name="Поправочные_коэффициенты_по_письму_Госстроя_от_25.12.90___10_3_1" localSheetId="18">#REF!</definedName>
    <definedName name="Поправочные_коэффициенты_по_письму_Госстроя_от_25.12.90___10_5" localSheetId="16">#REF!</definedName>
    <definedName name="Поправочные_коэффициенты_по_письму_Госстроя_от_25.12.90___10_5" localSheetId="25">#REF!</definedName>
    <definedName name="Поправочные_коэффициенты_по_письму_Госстроя_от_25.12.90___10_5" localSheetId="18">#REF!</definedName>
    <definedName name="Поправочные_коэффициенты_по_письму_Госстроя_от_25.12.90___10_5_1" localSheetId="25">#REF!</definedName>
    <definedName name="Поправочные_коэффициенты_по_письму_Госстроя_от_25.12.90___11" localSheetId="25">#REF!</definedName>
    <definedName name="Поправочные_коэффициенты_по_письму_Госстроя_от_25.12.90___11___10" localSheetId="16">#REF!</definedName>
    <definedName name="Поправочные_коэффициенты_по_письму_Госстроя_от_25.12.90___11___10" localSheetId="25">#REF!</definedName>
    <definedName name="Поправочные_коэффициенты_по_письму_Госстроя_от_25.12.90___11___10" localSheetId="18">#REF!</definedName>
    <definedName name="Поправочные_коэффициенты_по_письму_Госстроя_от_25.12.90___11___2" localSheetId="16">#REF!</definedName>
    <definedName name="Поправочные_коэффициенты_по_письму_Госстроя_от_25.12.90___11___2" localSheetId="25">#REF!</definedName>
    <definedName name="Поправочные_коэффициенты_по_письму_Госстроя_от_25.12.90___11___2" localSheetId="18">#REF!</definedName>
    <definedName name="Поправочные_коэффициенты_по_письму_Госстроя_от_25.12.90___11___4" localSheetId="16">#REF!</definedName>
    <definedName name="Поправочные_коэффициенты_по_письму_Госстроя_от_25.12.90___11___4" localSheetId="25">#REF!</definedName>
    <definedName name="Поправочные_коэффициенты_по_письму_Госстроя_от_25.12.90___11___4" localSheetId="18">#REF!</definedName>
    <definedName name="Поправочные_коэффициенты_по_письму_Госстроя_от_25.12.90___11___6" localSheetId="25">#REF!</definedName>
    <definedName name="Поправочные_коэффициенты_по_письму_Госстроя_от_25.12.90___11___8" localSheetId="25">#REF!</definedName>
    <definedName name="Поправочные_коэффициенты_по_письму_Госстроя_от_25.12.90___11_1" localSheetId="25">#REF!</definedName>
    <definedName name="Поправочные_коэффициенты_по_письму_Госстроя_от_25.12.90___2" localSheetId="16">#REF!</definedName>
    <definedName name="Поправочные_коэффициенты_по_письму_Госстроя_от_25.12.90___2" localSheetId="25">#REF!</definedName>
    <definedName name="Поправочные_коэффициенты_по_письму_Госстроя_от_25.12.90___2" localSheetId="18">#REF!</definedName>
    <definedName name="Поправочные_коэффициенты_по_письму_Госстроя_от_25.12.90___2___0" localSheetId="16">#REF!</definedName>
    <definedName name="Поправочные_коэффициенты_по_письму_Госстроя_от_25.12.90___2___0" localSheetId="25">#REF!</definedName>
    <definedName name="Поправочные_коэффициенты_по_письму_Госстроя_от_25.12.90___2___0" localSheetId="18">#REF!</definedName>
    <definedName name="Поправочные_коэффициенты_по_письму_Госстроя_от_25.12.90___2___0___0" localSheetId="16">#REF!</definedName>
    <definedName name="Поправочные_коэффициенты_по_письму_Госстроя_от_25.12.90___2___0___0" localSheetId="25">#REF!</definedName>
    <definedName name="Поправочные_коэффициенты_по_письму_Госстроя_от_25.12.90___2___0___0" localSheetId="18">#REF!</definedName>
    <definedName name="Поправочные_коэффициенты_по_письму_Госстроя_от_25.12.90___2___0___0___0" localSheetId="25">#REF!</definedName>
    <definedName name="Поправочные_коэффициенты_по_письму_Госстроя_от_25.12.90___2___0___0___0___0" localSheetId="25">#REF!</definedName>
    <definedName name="Поправочные_коэффициенты_по_письму_Госстроя_от_25.12.90___2___0___0___0___0_1" localSheetId="25">#REF!</definedName>
    <definedName name="Поправочные_коэффициенты_по_письму_Госстроя_от_25.12.90___2___0___0___0_1" localSheetId="25">#REF!</definedName>
    <definedName name="Поправочные_коэффициенты_по_письму_Госстроя_от_25.12.90___2___0___0___1" localSheetId="25">#REF!</definedName>
    <definedName name="Поправочные_коэффициенты_по_письму_Госстроя_от_25.12.90___2___0___0___1_1" localSheetId="25">#REF!</definedName>
    <definedName name="Поправочные_коэффициенты_по_письму_Госстроя_от_25.12.90___2___0___0___5" localSheetId="25">#REF!</definedName>
    <definedName name="Поправочные_коэффициенты_по_письму_Госстроя_от_25.12.90___2___0___0___5_1" localSheetId="25">#REF!</definedName>
    <definedName name="Поправочные_коэффициенты_по_письму_Госстроя_от_25.12.90___2___0___0_1" localSheetId="25">#REF!</definedName>
    <definedName name="Поправочные_коэффициенты_по_письму_Госстроя_от_25.12.90___2___0___0_1_1" localSheetId="25">#REF!</definedName>
    <definedName name="Поправочные_коэффициенты_по_письму_Госстроя_от_25.12.90___2___0___0_1_1_1" localSheetId="25">#REF!</definedName>
    <definedName name="Поправочные_коэффициенты_по_письму_Госстроя_от_25.12.90___2___0___0_5" localSheetId="25">#REF!</definedName>
    <definedName name="Поправочные_коэффициенты_по_письму_Госстроя_от_25.12.90___2___0___0_5_1" localSheetId="25">#REF!</definedName>
    <definedName name="Поправочные_коэффициенты_по_письму_Госстроя_от_25.12.90___2___0___1" localSheetId="25">#REF!</definedName>
    <definedName name="Поправочные_коэффициенты_по_письму_Госстроя_от_25.12.90___2___0___1_1" localSheetId="25">#REF!</definedName>
    <definedName name="Поправочные_коэффициенты_по_письму_Госстроя_от_25.12.90___2___0___5" localSheetId="25">#REF!</definedName>
    <definedName name="Поправочные_коэффициенты_по_письму_Госстроя_от_25.12.90___2___0___5_1" localSheetId="25">#REF!</definedName>
    <definedName name="Поправочные_коэффициенты_по_письму_Госстроя_от_25.12.90___2___0_1" localSheetId="25">#REF!</definedName>
    <definedName name="Поправочные_коэффициенты_по_письму_Госстроя_от_25.12.90___2___0_1_1" localSheetId="25">#REF!</definedName>
    <definedName name="Поправочные_коэффициенты_по_письму_Госстроя_от_25.12.90___2___0_1_1_1" localSheetId="25">#REF!</definedName>
    <definedName name="Поправочные_коэффициенты_по_письму_Госстроя_от_25.12.90___2___0_3" localSheetId="25">#REF!</definedName>
    <definedName name="Поправочные_коэффициенты_по_письму_Госстроя_от_25.12.90___2___0_3_1" localSheetId="25">#REF!</definedName>
    <definedName name="Поправочные_коэффициенты_по_письму_Госстроя_от_25.12.90___2___0_5" localSheetId="25">#REF!</definedName>
    <definedName name="Поправочные_коэффициенты_по_письму_Госстроя_от_25.12.90___2___0_5_1" localSheetId="25">#REF!</definedName>
    <definedName name="Поправочные_коэффициенты_по_письму_Госстроя_от_25.12.90___2___1" localSheetId="25">#REF!</definedName>
    <definedName name="Поправочные_коэффициенты_по_письму_Госстроя_от_25.12.90___2___1_1" localSheetId="25">#REF!</definedName>
    <definedName name="Поправочные_коэффициенты_по_письму_Госстроя_от_25.12.90___2___10" localSheetId="25">#REF!</definedName>
    <definedName name="Поправочные_коэффициенты_по_письму_Госстроя_от_25.12.90___2___10_1" localSheetId="25">#REF!</definedName>
    <definedName name="Поправочные_коэффициенты_по_письму_Госстроя_от_25.12.90___2___12" localSheetId="25">#REF!</definedName>
    <definedName name="Поправочные_коэффициенты_по_письму_Госстроя_от_25.12.90___2___2" localSheetId="25">#REF!</definedName>
    <definedName name="Поправочные_коэффициенты_по_письму_Госстроя_от_25.12.90___2___2_1" localSheetId="25">#REF!</definedName>
    <definedName name="Поправочные_коэффициенты_по_письму_Госстроя_от_25.12.90___2___3" localSheetId="25">#REF!</definedName>
    <definedName name="Поправочные_коэффициенты_по_письму_Госстроя_от_25.12.90___2___3_1" localSheetId="25">#REF!</definedName>
    <definedName name="Поправочные_коэффициенты_по_письму_Госстроя_от_25.12.90___2___4" localSheetId="25">#REF!</definedName>
    <definedName name="Поправочные_коэффициенты_по_письму_Госстроя_от_25.12.90___2___4___0" localSheetId="25">#REF!</definedName>
    <definedName name="Поправочные_коэффициенты_по_письму_Госстроя_от_25.12.90___2___4___0_1" localSheetId="25">#REF!</definedName>
    <definedName name="Поправочные_коэффициенты_по_письму_Госстроя_от_25.12.90___2___4___5" localSheetId="25">#REF!</definedName>
    <definedName name="Поправочные_коэффициенты_по_письму_Госстроя_от_25.12.90___2___4___5_1" localSheetId="25">#REF!</definedName>
    <definedName name="Поправочные_коэффициенты_по_письму_Госстроя_от_25.12.90___2___4_1" localSheetId="25">#REF!</definedName>
    <definedName name="Поправочные_коэффициенты_по_письму_Госстроя_от_25.12.90___2___4_1_1" localSheetId="25">#REF!</definedName>
    <definedName name="Поправочные_коэффициенты_по_письму_Госстроя_от_25.12.90___2___4_1_1_1" localSheetId="25">#REF!</definedName>
    <definedName name="Поправочные_коэффициенты_по_письму_Госстроя_от_25.12.90___2___4_3" localSheetId="25">#REF!</definedName>
    <definedName name="Поправочные_коэффициенты_по_письму_Госстроя_от_25.12.90___2___4_3_1" localSheetId="25">#REF!</definedName>
    <definedName name="Поправочные_коэффициенты_по_письму_Госстроя_от_25.12.90___2___4_5" localSheetId="25">#REF!</definedName>
    <definedName name="Поправочные_коэффициенты_по_письму_Госстроя_от_25.12.90___2___4_5_1" localSheetId="25">#REF!</definedName>
    <definedName name="Поправочные_коэффициенты_по_письму_Госстроя_от_25.12.90___2___5" localSheetId="25">#REF!</definedName>
    <definedName name="Поправочные_коэффициенты_по_письму_Госстроя_от_25.12.90___2___5_1" localSheetId="25">#REF!</definedName>
    <definedName name="Поправочные_коэффициенты_по_письму_Госстроя_от_25.12.90___2___6" localSheetId="25">#REF!</definedName>
    <definedName name="Поправочные_коэффициенты_по_письму_Госстроя_от_25.12.90___2___6_1" localSheetId="25">#REF!</definedName>
    <definedName name="Поправочные_коэффициенты_по_письму_Госстроя_от_25.12.90___2___8" localSheetId="25">#REF!</definedName>
    <definedName name="Поправочные_коэффициенты_по_письму_Госстроя_от_25.12.90___2___8_1" localSheetId="25">#REF!</definedName>
    <definedName name="Поправочные_коэффициенты_по_письму_Госстроя_от_25.12.90___2_1" localSheetId="25">#REF!</definedName>
    <definedName name="Поправочные_коэффициенты_по_письму_Госстроя_от_25.12.90___2_1_1" localSheetId="25">#REF!</definedName>
    <definedName name="Поправочные_коэффициенты_по_письму_Госстроя_от_25.12.90___2_1_1_1" localSheetId="25">#REF!</definedName>
    <definedName name="Поправочные_коэффициенты_по_письму_Госстроя_от_25.12.90___2_3" localSheetId="25">#REF!</definedName>
    <definedName name="Поправочные_коэффициенты_по_письму_Госстроя_от_25.12.90___2_3_1" localSheetId="25">#REF!</definedName>
    <definedName name="Поправочные_коэффициенты_по_письму_Госстроя_от_25.12.90___2_5" localSheetId="25">#REF!</definedName>
    <definedName name="Поправочные_коэффициенты_по_письму_Госстроя_от_25.12.90___2_5_1" localSheetId="25">#REF!</definedName>
    <definedName name="Поправочные_коэффициенты_по_письму_Госстроя_от_25.12.90___3" localSheetId="25">#REF!</definedName>
    <definedName name="Поправочные_коэффициенты_по_письму_Госстроя_от_25.12.90___3___0" localSheetId="25">#REF!</definedName>
    <definedName name="Поправочные_коэффициенты_по_письму_Госстроя_от_25.12.90___3___0___0___0" localSheetId="16">#REF!</definedName>
    <definedName name="Поправочные_коэффициенты_по_письму_Госстроя_от_25.12.90___3___0___0___0" localSheetId="25">#REF!</definedName>
    <definedName name="Поправочные_коэффициенты_по_письму_Госстроя_от_25.12.90___3___0___0___0" localSheetId="18">#REF!</definedName>
    <definedName name="Поправочные_коэффициенты_по_письму_Госстроя_от_25.12.90___3___0___0___0_1" localSheetId="16">#REF!</definedName>
    <definedName name="Поправочные_коэффициенты_по_письму_Госстроя_от_25.12.90___3___0___0___0_1" localSheetId="25">#REF!</definedName>
    <definedName name="Поправочные_коэффициенты_по_письму_Госстроя_от_25.12.90___3___0___0___0_1" localSheetId="18">#REF!</definedName>
    <definedName name="Поправочные_коэффициенты_по_письму_Госстроя_от_25.12.90___3___0___0___1" localSheetId="16">#REF!</definedName>
    <definedName name="Поправочные_коэффициенты_по_письму_Госстроя_от_25.12.90___3___0___0___1" localSheetId="25">#REF!</definedName>
    <definedName name="Поправочные_коэффициенты_по_письму_Госстроя_от_25.12.90___3___0___0___1" localSheetId="18">#REF!</definedName>
    <definedName name="Поправочные_коэффициенты_по_письму_Госстроя_от_25.12.90___3___0___0___1_1" localSheetId="25">#REF!</definedName>
    <definedName name="Поправочные_коэффициенты_по_письму_Госстроя_от_25.12.90___3___0___0_1" localSheetId="16">#REF!</definedName>
    <definedName name="Поправочные_коэффициенты_по_письму_Госстроя_от_25.12.90___3___0___0_1" localSheetId="25">#REF!</definedName>
    <definedName name="Поправочные_коэффициенты_по_письму_Госстроя_от_25.12.90___3___0___0_1" localSheetId="18">#REF!</definedName>
    <definedName name="Поправочные_коэффициенты_по_письму_Госстроя_от_25.12.90___3___0___0_1_1" localSheetId="16">#REF!</definedName>
    <definedName name="Поправочные_коэффициенты_по_письму_Госстроя_от_25.12.90___3___0___0_1_1" localSheetId="25">#REF!</definedName>
    <definedName name="Поправочные_коэффициенты_по_письму_Госстроя_от_25.12.90___3___0___0_1_1" localSheetId="18">#REF!</definedName>
    <definedName name="Поправочные_коэффициенты_по_письму_Госстроя_от_25.12.90___3___0___0_1_1_1" localSheetId="16">#REF!</definedName>
    <definedName name="Поправочные_коэффициенты_по_письму_Госстроя_от_25.12.90___3___0___0_1_1_1" localSheetId="25">#REF!</definedName>
    <definedName name="Поправочные_коэффициенты_по_письму_Госстроя_от_25.12.90___3___0___0_1_1_1" localSheetId="18">#REF!</definedName>
    <definedName name="Поправочные_коэффициенты_по_письму_Госстроя_от_25.12.90___3___0___1" localSheetId="16">#REF!</definedName>
    <definedName name="Поправочные_коэффициенты_по_письму_Госстроя_от_25.12.90___3___0___1" localSheetId="25">#REF!</definedName>
    <definedName name="Поправочные_коэффициенты_по_письму_Госстроя_от_25.12.90___3___0___1" localSheetId="18">#REF!</definedName>
    <definedName name="Поправочные_коэффициенты_по_письму_Госстроя_от_25.12.90___3___0___1_1" localSheetId="16">#REF!</definedName>
    <definedName name="Поправочные_коэффициенты_по_письму_Госстроя_от_25.12.90___3___0___1_1" localSheetId="25">#REF!</definedName>
    <definedName name="Поправочные_коэффициенты_по_письму_Госстроя_от_25.12.90___3___0___1_1" localSheetId="18">#REF!</definedName>
    <definedName name="Поправочные_коэффициенты_по_письму_Госстроя_от_25.12.90___3___0___2" localSheetId="16">#REF!</definedName>
    <definedName name="Поправочные_коэффициенты_по_письму_Госстроя_от_25.12.90___3___0___2" localSheetId="25">#REF!</definedName>
    <definedName name="Поправочные_коэффициенты_по_письму_Госстроя_от_25.12.90___3___0___2" localSheetId="18">#REF!</definedName>
    <definedName name="Поправочные_коэффициенты_по_письму_Госстроя_от_25.12.90___3___0___2_1" localSheetId="25">#REF!</definedName>
    <definedName name="Поправочные_коэффициенты_по_письму_Госстроя_от_25.12.90___3___0___5" localSheetId="16">#REF!</definedName>
    <definedName name="Поправочные_коэффициенты_по_письму_Госстроя_от_25.12.90___3___0___5" localSheetId="25">#REF!</definedName>
    <definedName name="Поправочные_коэффициенты_по_письму_Госстроя_от_25.12.90___3___0___5" localSheetId="18">#REF!</definedName>
    <definedName name="Поправочные_коэффициенты_по_письму_Госстроя_от_25.12.90___3___0___5_1" localSheetId="16">#REF!</definedName>
    <definedName name="Поправочные_коэффициенты_по_письму_Госстроя_от_25.12.90___3___0___5_1" localSheetId="25">#REF!</definedName>
    <definedName name="Поправочные_коэффициенты_по_письму_Госстроя_от_25.12.90___3___0___5_1" localSheetId="18">#REF!</definedName>
    <definedName name="Поправочные_коэффициенты_по_письму_Госстроя_от_25.12.90___3___0_1" localSheetId="16">#REF!</definedName>
    <definedName name="Поправочные_коэффициенты_по_письму_Госстроя_от_25.12.90___3___0_1" localSheetId="25">#REF!</definedName>
    <definedName name="Поправочные_коэффициенты_по_письму_Госстроя_от_25.12.90___3___0_1" localSheetId="18">#REF!</definedName>
    <definedName name="Поправочные_коэффициенты_по_письму_Госстроя_от_25.12.90___3___0_1_1" localSheetId="25">#REF!</definedName>
    <definedName name="Поправочные_коэффициенты_по_письму_Госстроя_от_25.12.90___3___0_1_1_1" localSheetId="25">#REF!</definedName>
    <definedName name="Поправочные_коэффициенты_по_письму_Госстроя_от_25.12.90___3___0_3" localSheetId="25">#REF!</definedName>
    <definedName name="Поправочные_коэффициенты_по_письму_Госстроя_от_25.12.90___3___0_3_1" localSheetId="25">#REF!</definedName>
    <definedName name="Поправочные_коэффициенты_по_письму_Госстроя_от_25.12.90___3___0_5" localSheetId="25">#REF!</definedName>
    <definedName name="Поправочные_коэффициенты_по_письму_Госстроя_от_25.12.90___3___0_5_1" localSheetId="25">#REF!</definedName>
    <definedName name="Поправочные_коэффициенты_по_письму_Госстроя_от_25.12.90___3___10" localSheetId="25">#REF!</definedName>
    <definedName name="Поправочные_коэффициенты_по_письму_Госстроя_от_25.12.90___3___2" localSheetId="25">#REF!</definedName>
    <definedName name="Поправочные_коэффициенты_по_письму_Госстроя_от_25.12.90___3___2_1" localSheetId="25">#REF!</definedName>
    <definedName name="Поправочные_коэффициенты_по_письму_Госстроя_от_25.12.90___3___3" localSheetId="25">#REF!</definedName>
    <definedName name="Поправочные_коэффициенты_по_письму_Госстроя_от_25.12.90___3___3_1" localSheetId="25">#REF!</definedName>
    <definedName name="Поправочные_коэффициенты_по_письму_Госстроя_от_25.12.90___3___4" localSheetId="25">#REF!</definedName>
    <definedName name="Поправочные_коэффициенты_по_письму_Госстроя_от_25.12.90___3___5" localSheetId="25">#REF!</definedName>
    <definedName name="Поправочные_коэффициенты_по_письму_Госстроя_от_25.12.90___3___5_1" localSheetId="25">#REF!</definedName>
    <definedName name="Поправочные_коэффициенты_по_письму_Госстроя_от_25.12.90___3___6" localSheetId="25">#REF!</definedName>
    <definedName name="Поправочные_коэффициенты_по_письму_Госстроя_от_25.12.90___3___8" localSheetId="25">#REF!</definedName>
    <definedName name="Поправочные_коэффициенты_по_письму_Госстроя_от_25.12.90___3_1" localSheetId="25">#REF!</definedName>
    <definedName name="Поправочные_коэффициенты_по_письму_Госстроя_от_25.12.90___3_1_1" localSheetId="25">#REF!</definedName>
    <definedName name="Поправочные_коэффициенты_по_письму_Госстроя_от_25.12.90___3_1_1_1" localSheetId="25">#REF!</definedName>
    <definedName name="Поправочные_коэффициенты_по_письму_Госстроя_от_25.12.90___3_5" localSheetId="16">#REF!</definedName>
    <definedName name="Поправочные_коэффициенты_по_письму_Госстроя_от_25.12.90___3_5" localSheetId="25">#REF!</definedName>
    <definedName name="Поправочные_коэффициенты_по_письму_Госстроя_от_25.12.90___3_5" localSheetId="18">#REF!</definedName>
    <definedName name="Поправочные_коэффициенты_по_письму_Госстроя_от_25.12.90___3_5_1" localSheetId="16">#REF!</definedName>
    <definedName name="Поправочные_коэффициенты_по_письму_Госстроя_от_25.12.90___3_5_1" localSheetId="25">#REF!</definedName>
    <definedName name="Поправочные_коэффициенты_по_письму_Госстроя_от_25.12.90___3_5_1" localSheetId="18">#REF!</definedName>
    <definedName name="Поправочные_коэффициенты_по_письму_Госстроя_от_25.12.90___4" localSheetId="16">#REF!</definedName>
    <definedName name="Поправочные_коэффициенты_по_письму_Госстроя_от_25.12.90___4" localSheetId="25">#REF!</definedName>
    <definedName name="Поправочные_коэффициенты_по_письму_Госстроя_от_25.12.90___4" localSheetId="18">#REF!</definedName>
    <definedName name="Поправочные_коэффициенты_по_письму_Госстроя_от_25.12.90___4___0___0" localSheetId="16">#REF!</definedName>
    <definedName name="Поправочные_коэффициенты_по_письму_Госстроя_от_25.12.90___4___0___0" localSheetId="25">#REF!</definedName>
    <definedName name="Поправочные_коэффициенты_по_письму_Госстроя_от_25.12.90___4___0___0" localSheetId="18">#REF!</definedName>
    <definedName name="Поправочные_коэффициенты_по_письму_Госстроя_от_25.12.90___4___0___0___0" localSheetId="16">#REF!</definedName>
    <definedName name="Поправочные_коэффициенты_по_письму_Госстроя_от_25.12.90___4___0___0___0" localSheetId="25">#REF!</definedName>
    <definedName name="Поправочные_коэффициенты_по_письму_Госстроя_от_25.12.90___4___0___0___0" localSheetId="18">#REF!</definedName>
    <definedName name="Поправочные_коэффициенты_по_письму_Госстроя_от_25.12.90___4___0___0___0___0" localSheetId="16">#REF!</definedName>
    <definedName name="Поправочные_коэффициенты_по_письму_Госстроя_от_25.12.90___4___0___0___0___0" localSheetId="25">#REF!</definedName>
    <definedName name="Поправочные_коэффициенты_по_письму_Госстроя_от_25.12.90___4___0___0___0___0" localSheetId="18">#REF!</definedName>
    <definedName name="Поправочные_коэффициенты_по_письму_Госстроя_от_25.12.90___4___0___0___0___0_1" localSheetId="25">#REF!</definedName>
    <definedName name="Поправочные_коэффициенты_по_письму_Госстроя_от_25.12.90___4___0___0___0_1" localSheetId="25">#REF!</definedName>
    <definedName name="Поправочные_коэффициенты_по_письму_Госстроя_от_25.12.90___4___0___0___1" localSheetId="25">#REF!</definedName>
    <definedName name="Поправочные_коэффициенты_по_письму_Госстроя_от_25.12.90___4___0___0___1_1" localSheetId="25">#REF!</definedName>
    <definedName name="Поправочные_коэффициенты_по_письму_Госстроя_от_25.12.90___4___0___0___5" localSheetId="25">#REF!</definedName>
    <definedName name="Поправочные_коэффициенты_по_письму_Госстроя_от_25.12.90___4___0___0___5_1" localSheetId="25">#REF!</definedName>
    <definedName name="Поправочные_коэффициенты_по_письму_Госстроя_от_25.12.90___4___0___0_1" localSheetId="25">#REF!</definedName>
    <definedName name="Поправочные_коэффициенты_по_письму_Госстроя_от_25.12.90___4___0___0_1_1" localSheetId="25">#REF!</definedName>
    <definedName name="Поправочные_коэффициенты_по_письму_Госстроя_от_25.12.90___4___0___0_1_1_1" localSheetId="25">#REF!</definedName>
    <definedName name="Поправочные_коэффициенты_по_письму_Госстроя_от_25.12.90___4___0___0_5" localSheetId="25">#REF!</definedName>
    <definedName name="Поправочные_коэффициенты_по_письму_Госстроя_от_25.12.90___4___0___0_5_1" localSheetId="25">#REF!</definedName>
    <definedName name="Поправочные_коэффициенты_по_письму_Госстроя_от_25.12.90___4___0___1" localSheetId="25">#REF!</definedName>
    <definedName name="Поправочные_коэффициенты_по_письму_Госстроя_от_25.12.90___4___0___1_1" localSheetId="25">#REF!</definedName>
    <definedName name="Поправочные_коэффициенты_по_письму_Госстроя_от_25.12.90___4___0___2" localSheetId="25">#REF!</definedName>
    <definedName name="Поправочные_коэффициенты_по_письму_Госстроя_от_25.12.90___4___0___2_1" localSheetId="25">#REF!</definedName>
    <definedName name="Поправочные_коэффициенты_по_письму_Госстроя_от_25.12.90___4___0___4" localSheetId="25">#REF!</definedName>
    <definedName name="Поправочные_коэффициенты_по_письму_Госстроя_от_25.12.90___4___0___4_1" localSheetId="25">#REF!</definedName>
    <definedName name="Поправочные_коэффициенты_по_письму_Госстроя_от_25.12.90___4___0_1" localSheetId="16">#REF!</definedName>
    <definedName name="Поправочные_коэффициенты_по_письму_Госстроя_от_25.12.90___4___0_1" localSheetId="25">#REF!</definedName>
    <definedName name="Поправочные_коэффициенты_по_письму_Госстроя_от_25.12.90___4___0_1" localSheetId="18">#REF!</definedName>
    <definedName name="Поправочные_коэффициенты_по_письму_Госстроя_от_25.12.90___4___0_1_1" localSheetId="16">#REF!</definedName>
    <definedName name="Поправочные_коэффициенты_по_письму_Госстроя_от_25.12.90___4___0_1_1" localSheetId="25">#REF!</definedName>
    <definedName name="Поправочные_коэффициенты_по_письму_Госстроя_от_25.12.90___4___0_1_1" localSheetId="18">#REF!</definedName>
    <definedName name="Поправочные_коэффициенты_по_письму_Госстроя_от_25.12.90___4___0_1_1_1" localSheetId="16">#REF!</definedName>
    <definedName name="Поправочные_коэффициенты_по_письму_Госстроя_от_25.12.90___4___0_1_1_1" localSheetId="25">#REF!</definedName>
    <definedName name="Поправочные_коэффициенты_по_письму_Госстроя_от_25.12.90___4___0_1_1_1" localSheetId="18">#REF!</definedName>
    <definedName name="Поправочные_коэффициенты_по_письму_Госстроя_от_25.12.90___4___10" localSheetId="16">#REF!</definedName>
    <definedName name="Поправочные_коэффициенты_по_письму_Госстроя_от_25.12.90___4___10" localSheetId="25">#REF!</definedName>
    <definedName name="Поправочные_коэффициенты_по_письму_Госстроя_от_25.12.90___4___10" localSheetId="18">#REF!</definedName>
    <definedName name="Поправочные_коэффициенты_по_письму_Госстроя_от_25.12.90___4___10_1" localSheetId="16">#REF!</definedName>
    <definedName name="Поправочные_коэффициенты_по_письму_Госстроя_от_25.12.90___4___10_1" localSheetId="25">#REF!</definedName>
    <definedName name="Поправочные_коэффициенты_по_письму_Госстроя_от_25.12.90___4___10_1" localSheetId="18">#REF!</definedName>
    <definedName name="Поправочные_коэффициенты_по_письму_Госстроя_от_25.12.90___4___12" localSheetId="16">#REF!</definedName>
    <definedName name="Поправочные_коэффициенты_по_письму_Госстроя_от_25.12.90___4___12" localSheetId="25">#REF!</definedName>
    <definedName name="Поправочные_коэффициенты_по_письму_Госстроя_от_25.12.90___4___12" localSheetId="18">#REF!</definedName>
    <definedName name="Поправочные_коэффициенты_по_письму_Госстроя_от_25.12.90___4___2" localSheetId="25">#REF!</definedName>
    <definedName name="Поправочные_коэффициенты_по_письму_Госстроя_от_25.12.90___4___2_1" localSheetId="25">#REF!</definedName>
    <definedName name="Поправочные_коэффициенты_по_письму_Госстроя_от_25.12.90___4___3" localSheetId="25">#REF!</definedName>
    <definedName name="Поправочные_коэффициенты_по_письму_Госстроя_от_25.12.90___4___3___0" localSheetId="25">#REF!</definedName>
    <definedName name="Поправочные_коэффициенты_по_письму_Госстроя_от_25.12.90___4___3___0___0" localSheetId="25">#REF!</definedName>
    <definedName name="Поправочные_коэффициенты_по_письму_Госстроя_от_25.12.90___4___3___0___0_1" localSheetId="25">#REF!</definedName>
    <definedName name="Поправочные_коэффициенты_по_письму_Госстроя_от_25.12.90___4___3___0_1" localSheetId="25">#REF!</definedName>
    <definedName name="Поправочные_коэффициенты_по_письму_Госстроя_от_25.12.90___4___3___5" localSheetId="25">#REF!</definedName>
    <definedName name="Поправочные_коэффициенты_по_письму_Госстроя_от_25.12.90___4___3___5_1" localSheetId="25">#REF!</definedName>
    <definedName name="Поправочные_коэффициенты_по_письму_Госстроя_от_25.12.90___4___3_1" localSheetId="25">#REF!</definedName>
    <definedName name="Поправочные_коэффициенты_по_письму_Госстроя_от_25.12.90___4___3_1_1" localSheetId="25">#REF!</definedName>
    <definedName name="Поправочные_коэффициенты_по_письму_Госстроя_от_25.12.90___4___3_1_1_1" localSheetId="25">#REF!</definedName>
    <definedName name="Поправочные_коэффициенты_по_письму_Госстроя_от_25.12.90___4___3_5" localSheetId="25">#REF!</definedName>
    <definedName name="Поправочные_коэффициенты_по_письму_Госстроя_от_25.12.90___4___3_5_1" localSheetId="25">#REF!</definedName>
    <definedName name="Поправочные_коэффициенты_по_письму_Госстроя_от_25.12.90___4___4" localSheetId="25">#REF!</definedName>
    <definedName name="Поправочные_коэффициенты_по_письму_Госстроя_от_25.12.90___4___4_1" localSheetId="25">#REF!</definedName>
    <definedName name="Поправочные_коэффициенты_по_письму_Госстроя_от_25.12.90___4___5" localSheetId="25">#REF!</definedName>
    <definedName name="Поправочные_коэффициенты_по_письму_Госстроя_от_25.12.90___4___5_1" localSheetId="25">#REF!</definedName>
    <definedName name="Поправочные_коэффициенты_по_письму_Госстроя_от_25.12.90___4___6" localSheetId="25">#REF!</definedName>
    <definedName name="Поправочные_коэффициенты_по_письму_Госстроя_от_25.12.90___4___6_1" localSheetId="25">#REF!</definedName>
    <definedName name="Поправочные_коэффициенты_по_письму_Госстроя_от_25.12.90___4___8" localSheetId="25">#REF!</definedName>
    <definedName name="Поправочные_коэффициенты_по_письму_Госстроя_от_25.12.90___4___8_1" localSheetId="25">#REF!</definedName>
    <definedName name="Поправочные_коэффициенты_по_письму_Госстроя_от_25.12.90___4_1" localSheetId="25">#REF!</definedName>
    <definedName name="Поправочные_коэффициенты_по_письму_Госстроя_от_25.12.90___4_3" localSheetId="16">#REF!</definedName>
    <definedName name="Поправочные_коэффициенты_по_письму_Госстроя_от_25.12.90___4_3" localSheetId="25">#REF!</definedName>
    <definedName name="Поправочные_коэффициенты_по_письму_Госстроя_от_25.12.90___4_3" localSheetId="18">#REF!</definedName>
    <definedName name="Поправочные_коэффициенты_по_письму_Госстроя_от_25.12.90___4_3_1" localSheetId="16">#REF!</definedName>
    <definedName name="Поправочные_коэффициенты_по_письму_Госстроя_от_25.12.90___4_3_1" localSheetId="25">#REF!</definedName>
    <definedName name="Поправочные_коэффициенты_по_письму_Госстроя_от_25.12.90___4_3_1" localSheetId="18">#REF!</definedName>
    <definedName name="Поправочные_коэффициенты_по_письму_Госстроя_от_25.12.90___4_5" localSheetId="16">#REF!</definedName>
    <definedName name="Поправочные_коэффициенты_по_письму_Госстроя_от_25.12.90___4_5" localSheetId="25">#REF!</definedName>
    <definedName name="Поправочные_коэффициенты_по_письму_Госстроя_от_25.12.90___4_5" localSheetId="18">#REF!</definedName>
    <definedName name="Поправочные_коэффициенты_по_письму_Госстроя_от_25.12.90___4_5_1" localSheetId="25">#REF!</definedName>
    <definedName name="Поправочные_коэффициенты_по_письму_Госстроя_от_25.12.90___5___0" localSheetId="16">#REF!</definedName>
    <definedName name="Поправочные_коэффициенты_по_письму_Госстроя_от_25.12.90___5___0" localSheetId="25">#REF!</definedName>
    <definedName name="Поправочные_коэффициенты_по_письму_Госстроя_от_25.12.90___5___0" localSheetId="18">#REF!</definedName>
    <definedName name="Поправочные_коэффициенты_по_письму_Госстроя_от_25.12.90___5___0___0" localSheetId="16">#REF!</definedName>
    <definedName name="Поправочные_коэффициенты_по_письму_Госстроя_от_25.12.90___5___0___0" localSheetId="25">#REF!</definedName>
    <definedName name="Поправочные_коэффициенты_по_письму_Госстроя_от_25.12.90___5___0___0" localSheetId="18">#REF!</definedName>
    <definedName name="Поправочные_коэффициенты_по_письму_Госстроя_от_25.12.90___5___0___0___0" localSheetId="16">#REF!</definedName>
    <definedName name="Поправочные_коэффициенты_по_письму_Госстроя_от_25.12.90___5___0___0___0" localSheetId="25">#REF!</definedName>
    <definedName name="Поправочные_коэффициенты_по_письму_Госстроя_от_25.12.90___5___0___0___0" localSheetId="18">#REF!</definedName>
    <definedName name="Поправочные_коэффициенты_по_письму_Госстроя_от_25.12.90___5___0___0___0___0" localSheetId="25">#REF!</definedName>
    <definedName name="Поправочные_коэффициенты_по_письму_Госстроя_от_25.12.90___5___0___0___0___0_1" localSheetId="25">#REF!</definedName>
    <definedName name="Поправочные_коэффициенты_по_письму_Госстроя_от_25.12.90___5___0___0___0_1" localSheetId="25">#REF!</definedName>
    <definedName name="Поправочные_коэффициенты_по_письму_Госстроя_от_25.12.90___5___0___0_1" localSheetId="25">#REF!</definedName>
    <definedName name="Поправочные_коэффициенты_по_письму_Госстроя_от_25.12.90___5___0___1" localSheetId="25">#REF!</definedName>
    <definedName name="Поправочные_коэффициенты_по_письму_Госстроя_от_25.12.90___5___0___1_1" localSheetId="25">#REF!</definedName>
    <definedName name="Поправочные_коэффициенты_по_письму_Госстроя_от_25.12.90___5___0___5" localSheetId="25">#REF!</definedName>
    <definedName name="Поправочные_коэффициенты_по_письму_Госстроя_от_25.12.90___5___0___5_1" localSheetId="25">#REF!</definedName>
    <definedName name="Поправочные_коэффициенты_по_письму_Госстроя_от_25.12.90___5___0_1" localSheetId="25">#REF!</definedName>
    <definedName name="Поправочные_коэффициенты_по_письму_Госстроя_от_25.12.90___5___0_1_1" localSheetId="25">#REF!</definedName>
    <definedName name="Поправочные_коэффициенты_по_письму_Госстроя_от_25.12.90___5___0_1_1_1" localSheetId="25">#REF!</definedName>
    <definedName name="Поправочные_коэффициенты_по_письму_Госстроя_от_25.12.90___5___0_3" localSheetId="25">#REF!</definedName>
    <definedName name="Поправочные_коэффициенты_по_письму_Госстроя_от_25.12.90___5___0_3_1" localSheetId="25">#REF!</definedName>
    <definedName name="Поправочные_коэффициенты_по_письму_Госстроя_от_25.12.90___5___0_5" localSheetId="25">#REF!</definedName>
    <definedName name="Поправочные_коэффициенты_по_письму_Госстроя_от_25.12.90___5___0_5_1" localSheetId="25">#REF!</definedName>
    <definedName name="Поправочные_коэффициенты_по_письму_Госстроя_от_25.12.90___5___1" localSheetId="25">#REF!</definedName>
    <definedName name="Поправочные_коэффициенты_по_письму_Госстроя_от_25.12.90___5___1_1" localSheetId="25">#REF!</definedName>
    <definedName name="Поправочные_коэффициенты_по_письму_Госстроя_от_25.12.90___5_1" localSheetId="16">#REF!</definedName>
    <definedName name="Поправочные_коэффициенты_по_письму_Госстроя_от_25.12.90___5_1" localSheetId="25">#REF!</definedName>
    <definedName name="Поправочные_коэффициенты_по_письму_Госстроя_от_25.12.90___5_1" localSheetId="18">#REF!</definedName>
    <definedName name="Поправочные_коэффициенты_по_письму_Госстроя_от_25.12.90___5_1_1" localSheetId="16">#REF!</definedName>
    <definedName name="Поправочные_коэффициенты_по_письму_Госстроя_от_25.12.90___5_1_1" localSheetId="25">#REF!</definedName>
    <definedName name="Поправочные_коэффициенты_по_письму_Госстроя_от_25.12.90___5_1_1" localSheetId="18">#REF!</definedName>
    <definedName name="Поправочные_коэффициенты_по_письму_Госстроя_от_25.12.90___5_1_1_1" localSheetId="16">#REF!</definedName>
    <definedName name="Поправочные_коэффициенты_по_письму_Госстроя_от_25.12.90___5_1_1_1" localSheetId="25">#REF!</definedName>
    <definedName name="Поправочные_коэффициенты_по_письму_Госстроя_от_25.12.90___5_1_1_1" localSheetId="18">#REF!</definedName>
    <definedName name="Поправочные_коэффициенты_по_письму_Госстроя_от_25.12.90___6___0" localSheetId="16">#REF!</definedName>
    <definedName name="Поправочные_коэффициенты_по_письму_Госстроя_от_25.12.90___6___0" localSheetId="25">#REF!</definedName>
    <definedName name="Поправочные_коэффициенты_по_письму_Госстроя_от_25.12.90___6___0" localSheetId="18">#REF!</definedName>
    <definedName name="Поправочные_коэффициенты_по_письму_Госстроя_от_25.12.90___6___0___0" localSheetId="16">#REF!</definedName>
    <definedName name="Поправочные_коэффициенты_по_письму_Госстроя_от_25.12.90___6___0___0" localSheetId="25">#REF!</definedName>
    <definedName name="Поправочные_коэффициенты_по_письму_Госстроя_от_25.12.90___6___0___0" localSheetId="18">#REF!</definedName>
    <definedName name="Поправочные_коэффициенты_по_письму_Госстроя_от_25.12.90___6___0___0___0" localSheetId="16">#REF!</definedName>
    <definedName name="Поправочные_коэффициенты_по_письму_Госстроя_от_25.12.90___6___0___0___0" localSheetId="25">#REF!</definedName>
    <definedName name="Поправочные_коэффициенты_по_письму_Госстроя_от_25.12.90___6___0___0___0" localSheetId="18">#REF!</definedName>
    <definedName name="Поправочные_коэффициенты_по_письму_Госстроя_от_25.12.90___6___0___0___0___0" localSheetId="25">#REF!</definedName>
    <definedName name="Поправочные_коэффициенты_по_письму_Госстроя_от_25.12.90___6___0___0___0___0_1" localSheetId="25">#REF!</definedName>
    <definedName name="Поправочные_коэффициенты_по_письму_Госстроя_от_25.12.90___6___0___0___0_1" localSheetId="25">#REF!</definedName>
    <definedName name="Поправочные_коэффициенты_по_письму_Госстроя_от_25.12.90___6___0___0_1" localSheetId="25">#REF!</definedName>
    <definedName name="Поправочные_коэффициенты_по_письму_Госстроя_от_25.12.90___6___0___1" localSheetId="25">#REF!</definedName>
    <definedName name="Поправочные_коэффициенты_по_письму_Госстроя_от_25.12.90___6___0___1_1" localSheetId="25">#REF!</definedName>
    <definedName name="Поправочные_коэффициенты_по_письму_Госстроя_от_25.12.90___6___0___5" localSheetId="25">#REF!</definedName>
    <definedName name="Поправочные_коэффициенты_по_письму_Госстроя_от_25.12.90___6___0___5_1" localSheetId="25">#REF!</definedName>
    <definedName name="Поправочные_коэффициенты_по_письму_Госстроя_от_25.12.90___6___0_1" localSheetId="25">#REF!</definedName>
    <definedName name="Поправочные_коэффициенты_по_письму_Госстроя_от_25.12.90___6___0_1_1" localSheetId="25">#REF!</definedName>
    <definedName name="Поправочные_коэффициенты_по_письму_Госстроя_от_25.12.90___6___0_1_1_1" localSheetId="25">#REF!</definedName>
    <definedName name="Поправочные_коэффициенты_по_письму_Госстроя_от_25.12.90___6___0_3" localSheetId="25">#REF!</definedName>
    <definedName name="Поправочные_коэффициенты_по_письму_Госстроя_от_25.12.90___6___0_3_1" localSheetId="25">#REF!</definedName>
    <definedName name="Поправочные_коэффициенты_по_письму_Госстроя_от_25.12.90___6___0_5" localSheetId="25">#REF!</definedName>
    <definedName name="Поправочные_коэффициенты_по_письму_Госстроя_от_25.12.90___6___0_5_1" localSheetId="25">#REF!</definedName>
    <definedName name="Поправочные_коэффициенты_по_письму_Госстроя_от_25.12.90___6___1" localSheetId="25">#REF!</definedName>
    <definedName name="Поправочные_коэффициенты_по_письму_Госстроя_от_25.12.90___6___10" localSheetId="25">#REF!</definedName>
    <definedName name="Поправочные_коэффициенты_по_письму_Госстроя_от_25.12.90___6___10_1" localSheetId="25">#REF!</definedName>
    <definedName name="Поправочные_коэффициенты_по_письму_Госстроя_от_25.12.90___6___12" localSheetId="25">#REF!</definedName>
    <definedName name="Поправочные_коэффициенты_по_письму_Госстроя_от_25.12.90___6___2" localSheetId="25">#REF!</definedName>
    <definedName name="Поправочные_коэффициенты_по_письму_Госстроя_от_25.12.90___6___2_1" localSheetId="25">#REF!</definedName>
    <definedName name="Поправочные_коэффициенты_по_письму_Госстроя_от_25.12.90___6___4" localSheetId="25">#REF!</definedName>
    <definedName name="Поправочные_коэффициенты_по_письму_Госстроя_от_25.12.90___6___4_1" localSheetId="25">#REF!</definedName>
    <definedName name="Поправочные_коэффициенты_по_письму_Госстроя_от_25.12.90___6___6" localSheetId="16">#REF!</definedName>
    <definedName name="Поправочные_коэффициенты_по_письму_Госстроя_от_25.12.90___6___6" localSheetId="25">#REF!</definedName>
    <definedName name="Поправочные_коэффициенты_по_письму_Госстроя_от_25.12.90___6___6" localSheetId="18">#REF!</definedName>
    <definedName name="Поправочные_коэффициенты_по_письму_Госстроя_от_25.12.90___6___6_1" localSheetId="16">#REF!</definedName>
    <definedName name="Поправочные_коэффициенты_по_письму_Госстроя_от_25.12.90___6___6_1" localSheetId="25">#REF!</definedName>
    <definedName name="Поправочные_коэффициенты_по_письму_Госстроя_от_25.12.90___6___6_1" localSheetId="18">#REF!</definedName>
    <definedName name="Поправочные_коэффициенты_по_письму_Госстроя_от_25.12.90___6___8" localSheetId="16">#REF!</definedName>
    <definedName name="Поправочные_коэффициенты_по_письму_Госстроя_от_25.12.90___6___8" localSheetId="25">#REF!</definedName>
    <definedName name="Поправочные_коэффициенты_по_письму_Госстроя_от_25.12.90___6___8" localSheetId="18">#REF!</definedName>
    <definedName name="Поправочные_коэффициенты_по_письму_Госстроя_от_25.12.90___6___8_1" localSheetId="25">#REF!</definedName>
    <definedName name="Поправочные_коэффициенты_по_письму_Госстроя_от_25.12.90___6_1" localSheetId="25">#REF!</definedName>
    <definedName name="Поправочные_коэффициенты_по_письму_Госстроя_от_25.12.90___6_1_1" localSheetId="25">#REF!</definedName>
    <definedName name="Поправочные_коэффициенты_по_письму_Госстроя_от_25.12.90___6_1_1_1" localSheetId="25">#REF!</definedName>
    <definedName name="Поправочные_коэффициенты_по_письму_Госстроя_от_25.12.90___6_3" localSheetId="25">#REF!</definedName>
    <definedName name="Поправочные_коэффициенты_по_письму_Госстроя_от_25.12.90___6_3_1" localSheetId="25">#REF!</definedName>
    <definedName name="Поправочные_коэффициенты_по_письму_Госстроя_от_25.12.90___7" localSheetId="16">#REF!</definedName>
    <definedName name="Поправочные_коэффициенты_по_письму_Госстроя_от_25.12.90___7" localSheetId="25">#REF!</definedName>
    <definedName name="Поправочные_коэффициенты_по_письму_Госстроя_от_25.12.90___7" localSheetId="18">#REF!</definedName>
    <definedName name="Поправочные_коэффициенты_по_письму_Госстроя_от_25.12.90___7___0" localSheetId="16">#REF!</definedName>
    <definedName name="Поправочные_коэффициенты_по_письму_Госстроя_от_25.12.90___7___0" localSheetId="25">#REF!</definedName>
    <definedName name="Поправочные_коэффициенты_по_письму_Госстроя_от_25.12.90___7___0" localSheetId="18">#REF!</definedName>
    <definedName name="Поправочные_коэффициенты_по_письму_Госстроя_от_25.12.90___7___0_1" localSheetId="16">#REF!</definedName>
    <definedName name="Поправочные_коэффициенты_по_письму_Госстроя_от_25.12.90___7___0_1" localSheetId="25">#REF!</definedName>
    <definedName name="Поправочные_коэффициенты_по_письму_Госстроя_от_25.12.90___7___0_1" localSheetId="18">#REF!</definedName>
    <definedName name="Поправочные_коэффициенты_по_письму_Госстроя_от_25.12.90___7___10" localSheetId="25">#REF!</definedName>
    <definedName name="Поправочные_коэффициенты_по_письму_Госстроя_от_25.12.90___7___2" localSheetId="25">#REF!</definedName>
    <definedName name="Поправочные_коэффициенты_по_письму_Госстроя_от_25.12.90___7___4" localSheetId="25">#REF!</definedName>
    <definedName name="Поправочные_коэффициенты_по_письму_Госстроя_от_25.12.90___7___6" localSheetId="25">#REF!</definedName>
    <definedName name="Поправочные_коэффициенты_по_письму_Госстроя_от_25.12.90___7___8" localSheetId="25">#REF!</definedName>
    <definedName name="Поправочные_коэффициенты_по_письму_Госстроя_от_25.12.90___7_1" localSheetId="25">#REF!</definedName>
    <definedName name="Поправочные_коэффициенты_по_письму_Госстроя_от_25.12.90___8" localSheetId="25">#REF!</definedName>
    <definedName name="Поправочные_коэффициенты_по_письму_Госстроя_от_25.12.90___8___0" localSheetId="25">#REF!</definedName>
    <definedName name="Поправочные_коэффициенты_по_письму_Госстроя_от_25.12.90___8___0___0" localSheetId="25">#REF!</definedName>
    <definedName name="Поправочные_коэффициенты_по_письму_Госстроя_от_25.12.90___8___0___0___0" localSheetId="25">#REF!</definedName>
    <definedName name="Поправочные_коэффициенты_по_письму_Госстроя_от_25.12.90___8___0___0___0___0" localSheetId="25">#REF!</definedName>
    <definedName name="Поправочные_коэффициенты_по_письму_Госстроя_от_25.12.90___8___0___0___0___0_1" localSheetId="25">#REF!</definedName>
    <definedName name="Поправочные_коэффициенты_по_письму_Госстроя_от_25.12.90___8___0___0___0_1" localSheetId="25">#REF!</definedName>
    <definedName name="Поправочные_коэффициенты_по_письму_Госстроя_от_25.12.90___8___0___0_1" localSheetId="25">#REF!</definedName>
    <definedName name="Поправочные_коэффициенты_по_письму_Госстроя_от_25.12.90___8___0___1" localSheetId="25">#REF!</definedName>
    <definedName name="Поправочные_коэффициенты_по_письму_Госстроя_от_25.12.90___8___0___1_1" localSheetId="25">#REF!</definedName>
    <definedName name="Поправочные_коэффициенты_по_письму_Госстроя_от_25.12.90___8___0___5" localSheetId="25">#REF!</definedName>
    <definedName name="Поправочные_коэффициенты_по_письму_Госстроя_от_25.12.90___8___0___5_1" localSheetId="25">#REF!</definedName>
    <definedName name="Поправочные_коэффициенты_по_письму_Госстроя_от_25.12.90___8___0_1" localSheetId="25">#REF!</definedName>
    <definedName name="Поправочные_коэффициенты_по_письму_Госстроя_от_25.12.90___8___0_1_1" localSheetId="25">#REF!</definedName>
    <definedName name="Поправочные_коэффициенты_по_письму_Госстроя_от_25.12.90___8___0_1_1_1" localSheetId="25">#REF!</definedName>
    <definedName name="Поправочные_коэффициенты_по_письму_Госстроя_от_25.12.90___8___0_3" localSheetId="25">#REF!</definedName>
    <definedName name="Поправочные_коэффициенты_по_письму_Госстроя_от_25.12.90___8___0_3_1" localSheetId="25">#REF!</definedName>
    <definedName name="Поправочные_коэффициенты_по_письму_Госстроя_от_25.12.90___8___0_5" localSheetId="25">#REF!</definedName>
    <definedName name="Поправочные_коэффициенты_по_письму_Госстроя_от_25.12.90___8___0_5_1" localSheetId="25">#REF!</definedName>
    <definedName name="Поправочные_коэффициенты_по_письму_Госстроя_от_25.12.90___8___1" localSheetId="25">#REF!</definedName>
    <definedName name="Поправочные_коэффициенты_по_письму_Госстроя_от_25.12.90___8___10" localSheetId="25">#REF!</definedName>
    <definedName name="Поправочные_коэффициенты_по_письму_Госстроя_от_25.12.90___8___10_1" localSheetId="25">#REF!</definedName>
    <definedName name="Поправочные_коэффициенты_по_письму_Госстроя_от_25.12.90___8___12" localSheetId="25">#REF!</definedName>
    <definedName name="Поправочные_коэффициенты_по_письму_Госстроя_от_25.12.90___8___2" localSheetId="25">#REF!</definedName>
    <definedName name="Поправочные_коэффициенты_по_письму_Госстроя_от_25.12.90___8___2_1" localSheetId="25">#REF!</definedName>
    <definedName name="Поправочные_коэффициенты_по_письму_Госстроя_от_25.12.90___8___4" localSheetId="25">#REF!</definedName>
    <definedName name="Поправочные_коэффициенты_по_письму_Госстроя_от_25.12.90___8___4_1" localSheetId="25">#REF!</definedName>
    <definedName name="Поправочные_коэффициенты_по_письму_Госстроя_от_25.12.90___8___5" localSheetId="25">#REF!</definedName>
    <definedName name="Поправочные_коэффициенты_по_письму_Госстроя_от_25.12.90___8___5_1" localSheetId="25">#REF!</definedName>
    <definedName name="Поправочные_коэффициенты_по_письму_Госстроя_от_25.12.90___8___6" localSheetId="25">#REF!</definedName>
    <definedName name="Поправочные_коэффициенты_по_письму_Госстроя_от_25.12.90___8___6_1" localSheetId="25">#REF!</definedName>
    <definedName name="Поправочные_коэффициенты_по_письму_Госстроя_от_25.12.90___8___8" localSheetId="25">#REF!</definedName>
    <definedName name="Поправочные_коэффициенты_по_письму_Госстроя_от_25.12.90___8___8_1" localSheetId="25">#REF!</definedName>
    <definedName name="Поправочные_коэффициенты_по_письму_Госстроя_от_25.12.90___8_1" localSheetId="25">#REF!</definedName>
    <definedName name="Поправочные_коэффициенты_по_письму_Госстроя_от_25.12.90___8_1_1" localSheetId="25">#REF!</definedName>
    <definedName name="Поправочные_коэффициенты_по_письму_Госстроя_от_25.12.90___8_1_1_1" localSheetId="25">#REF!</definedName>
    <definedName name="Поправочные_коэффициенты_по_письму_Госстроя_от_25.12.90___8_3" localSheetId="25">#REF!</definedName>
    <definedName name="Поправочные_коэффициенты_по_письму_Госстроя_от_25.12.90___8_3_1" localSheetId="25">#REF!</definedName>
    <definedName name="Поправочные_коэффициенты_по_письму_Госстроя_от_25.12.90___8_5" localSheetId="25">#REF!</definedName>
    <definedName name="Поправочные_коэффициенты_по_письму_Госстроя_от_25.12.90___8_5_1" localSheetId="25">#REF!</definedName>
    <definedName name="Поправочные_коэффициенты_по_письму_Госстроя_от_25.12.90___9" localSheetId="25">#REF!</definedName>
    <definedName name="Поправочные_коэффициенты_по_письму_Госстроя_от_25.12.90___9___0" localSheetId="25">#REF!</definedName>
    <definedName name="Поправочные_коэффициенты_по_письму_Госстроя_от_25.12.90___9___0___0" localSheetId="25">#REF!</definedName>
    <definedName name="Поправочные_коэффициенты_по_письму_Госстроя_от_25.12.90___9___0___0___0" localSheetId="25">#REF!</definedName>
    <definedName name="Поправочные_коэффициенты_по_письму_Госстроя_от_25.12.90___9___0___0___0___0" localSheetId="25">#REF!</definedName>
    <definedName name="Поправочные_коэффициенты_по_письму_Госстроя_от_25.12.90___9___0___0___0___0_1" localSheetId="25">#REF!</definedName>
    <definedName name="Поправочные_коэффициенты_по_письму_Госстроя_от_25.12.90___9___0___0___0_1" localSheetId="25">#REF!</definedName>
    <definedName name="Поправочные_коэффициенты_по_письму_Госстроя_от_25.12.90___9___0___0_1" localSheetId="25">#REF!</definedName>
    <definedName name="Поправочные_коэффициенты_по_письму_Госстроя_от_25.12.90___9___0___5" localSheetId="25">#REF!</definedName>
    <definedName name="Поправочные_коэффициенты_по_письму_Госстроя_от_25.12.90___9___0___5_1" localSheetId="25">#REF!</definedName>
    <definedName name="Поправочные_коэффициенты_по_письму_Госстроя_от_25.12.90___9___0_1" localSheetId="25">#REF!</definedName>
    <definedName name="Поправочные_коэффициенты_по_письму_Госстроя_от_25.12.90___9___0_5" localSheetId="25">#REF!</definedName>
    <definedName name="Поправочные_коэффициенты_по_письму_Госстроя_от_25.12.90___9___0_5_1" localSheetId="25">#REF!</definedName>
    <definedName name="Поправочные_коэффициенты_по_письму_Госстроя_от_25.12.90___9___10" localSheetId="25">#REF!</definedName>
    <definedName name="Поправочные_коэффициенты_по_письму_Госстроя_от_25.12.90___9___2" localSheetId="25">#REF!</definedName>
    <definedName name="Поправочные_коэффициенты_по_письму_Госстроя_от_25.12.90___9___4" localSheetId="25">#REF!</definedName>
    <definedName name="Поправочные_коэффициенты_по_письму_Госстроя_от_25.12.90___9___5" localSheetId="25">#REF!</definedName>
    <definedName name="Поправочные_коэффициенты_по_письму_Госстроя_от_25.12.90___9___5_1" localSheetId="25">#REF!</definedName>
    <definedName name="Поправочные_коэффициенты_по_письму_Госстроя_от_25.12.90___9___6" localSheetId="25">#REF!</definedName>
    <definedName name="Поправочные_коэффициенты_по_письму_Госстроя_от_25.12.90___9___8" localSheetId="25">#REF!</definedName>
    <definedName name="Поправочные_коэффициенты_по_письму_Госстроя_от_25.12.90___9_1" localSheetId="25">#REF!</definedName>
    <definedName name="Поправочные_коэффициенты_по_письму_Госстроя_от_25.12.90___9_1_1" localSheetId="25">#REF!</definedName>
    <definedName name="Поправочные_коэффициенты_по_письму_Госстроя_от_25.12.90___9_1_1_1" localSheetId="25">#REF!</definedName>
    <definedName name="Поправочные_коэффициенты_по_письму_Госстроя_от_25.12.90___9_3" localSheetId="25">#REF!</definedName>
    <definedName name="Поправочные_коэффициенты_по_письму_Госстроя_от_25.12.90___9_3_1" localSheetId="25">#REF!</definedName>
    <definedName name="Поправочные_коэффициенты_по_письму_Госстроя_от_25.12.90___9_5" localSheetId="25">#REF!</definedName>
    <definedName name="Поправочные_коэффициенты_по_письму_Госстроя_от_25.12.90___9_5_1" localSheetId="25">#REF!</definedName>
    <definedName name="Поправочные_коэффициенты_по_письму_Госстроя_от_25.12.90_1_1" localSheetId="16">#REF!</definedName>
    <definedName name="Поправочные_коэффициенты_по_письму_Госстроя_от_25.12.90_1_1" localSheetId="25">#REF!</definedName>
    <definedName name="Поправочные_коэффициенты_по_письму_Госстроя_от_25.12.90_1_1" localSheetId="18">#REF!</definedName>
    <definedName name="Поправочные_коэффициенты_по_письму_Госстроя_от_25.12.90_1_1_1" localSheetId="16">#REF!</definedName>
    <definedName name="Поправочные_коэффициенты_по_письму_Госстроя_от_25.12.90_1_1_1" localSheetId="25">#REF!</definedName>
    <definedName name="Поправочные_коэффициенты_по_письму_Госстроя_от_25.12.90_1_1_1" localSheetId="18">#REF!</definedName>
    <definedName name="пор" localSheetId="16" hidden="1">{#N/A,#N/A,TRUE,"Смета на пасс. обор. №1"}</definedName>
    <definedName name="пор" localSheetId="36" hidden="1">{#N/A,#N/A,TRUE,"Смета на пасс. обор. №1"}</definedName>
    <definedName name="пор" localSheetId="40" hidden="1">{#N/A,#N/A,TRUE,"Смета на пасс. обор. №1"}</definedName>
    <definedName name="пор" localSheetId="30" hidden="1">{#N/A,#N/A,TRUE,"Смета на пасс. обор. №1"}</definedName>
    <definedName name="пор" localSheetId="6" hidden="1">{#N/A,#N/A,TRUE,"Смета на пасс. обор. №1"}</definedName>
    <definedName name="пор" localSheetId="7" hidden="1">{#N/A,#N/A,TRUE,"Смета на пасс. обор. №1"}</definedName>
    <definedName name="пор" localSheetId="18" hidden="1">{#N/A,#N/A,TRUE,"Смета на пасс. обор. №1"}</definedName>
    <definedName name="пор" localSheetId="38" hidden="1">{#N/A,#N/A,TRUE,"Смета на пасс. обор. №1"}</definedName>
    <definedName name="пор" localSheetId="19" hidden="1">{#N/A,#N/A,TRUE,"Смета на пасс. обор. №1"}</definedName>
    <definedName name="пор" hidden="1">{#N/A,#N/A,TRUE,"Смета на пасс. обор. №1"}</definedName>
    <definedName name="пор_1" localSheetId="16" hidden="1">{#N/A,#N/A,TRUE,"Смета на пасс. обор. №1"}</definedName>
    <definedName name="пор_1" localSheetId="36" hidden="1">{#N/A,#N/A,TRUE,"Смета на пасс. обор. №1"}</definedName>
    <definedName name="пор_1" localSheetId="40" hidden="1">{#N/A,#N/A,TRUE,"Смета на пасс. обор. №1"}</definedName>
    <definedName name="пор_1" localSheetId="30" hidden="1">{#N/A,#N/A,TRUE,"Смета на пасс. обор. №1"}</definedName>
    <definedName name="пор_1" localSheetId="6" hidden="1">{#N/A,#N/A,TRUE,"Смета на пасс. обор. №1"}</definedName>
    <definedName name="пор_1" localSheetId="7" hidden="1">{#N/A,#N/A,TRUE,"Смета на пасс. обор. №1"}</definedName>
    <definedName name="пор_1" localSheetId="18" hidden="1">{#N/A,#N/A,TRUE,"Смета на пасс. обор. №1"}</definedName>
    <definedName name="пор_1" localSheetId="38" hidden="1">{#N/A,#N/A,TRUE,"Смета на пасс. обор. №1"}</definedName>
    <definedName name="пор_1" localSheetId="19" hidden="1">{#N/A,#N/A,TRUE,"Смета на пасс. обор. №1"}</definedName>
    <definedName name="пор_1" hidden="1">{#N/A,#N/A,TRUE,"Смета на пасс. обор. №1"}</definedName>
    <definedName name="поток2" localSheetId="16">#REF!</definedName>
    <definedName name="поток2" localSheetId="25">#REF!</definedName>
    <definedName name="поток2" localSheetId="18">#REF!</definedName>
    <definedName name="поып" localSheetId="16">[4]топография!#REF!</definedName>
    <definedName name="поып" localSheetId="25">[5]топография!#REF!</definedName>
    <definedName name="поып" localSheetId="18">[5]топография!#REF!</definedName>
    <definedName name="пояснит." localSheetId="16">#REF!</definedName>
    <definedName name="пояснит." localSheetId="25">#REF!</definedName>
    <definedName name="пояснит." localSheetId="18">#REF!</definedName>
    <definedName name="ппвьпр" localSheetId="25">#REF!</definedName>
    <definedName name="ппвьпр" localSheetId="18">#REF!</definedName>
    <definedName name="ппп" localSheetId="25">#REF!</definedName>
    <definedName name="ппп" localSheetId="18">#REF!</definedName>
    <definedName name="пппп" localSheetId="0">#REF!</definedName>
    <definedName name="пппп" localSheetId="25">#REF!</definedName>
    <definedName name="ппппп" localSheetId="36" hidden="1">{#N/A,#N/A,TRUE,"Смета на пасс. обор. №1"}</definedName>
    <definedName name="ппппп" localSheetId="40" hidden="1">{#N/A,#N/A,TRUE,"Смета на пасс. обор. №1"}</definedName>
    <definedName name="ппппп" localSheetId="6" hidden="1">{#N/A,#N/A,TRUE,"Смета на пасс. обор. №1"}</definedName>
    <definedName name="ппппп" localSheetId="7" hidden="1">{#N/A,#N/A,TRUE,"Смета на пасс. обор. №1"}</definedName>
    <definedName name="ппппп" localSheetId="38" hidden="1">{#N/A,#N/A,TRUE,"Смета на пасс. обор. №1"}</definedName>
    <definedName name="ппппп" hidden="1">{#N/A,#N/A,TRUE,"Смета на пасс. обор. №1"}</definedName>
    <definedName name="пппппп" localSheetId="36" hidden="1">{#N/A,#N/A,TRUE,"Смета на пасс. обор. №1"}</definedName>
    <definedName name="пппппп" localSheetId="40" hidden="1">{#N/A,#N/A,TRUE,"Смета на пасс. обор. №1"}</definedName>
    <definedName name="пппппп" localSheetId="6" hidden="1">{#N/A,#N/A,TRUE,"Смета на пасс. обор. №1"}</definedName>
    <definedName name="пппппп" localSheetId="7" hidden="1">{#N/A,#N/A,TRUE,"Смета на пасс. обор. №1"}</definedName>
    <definedName name="пппппп" localSheetId="38" hidden="1">{#N/A,#N/A,TRUE,"Смета на пасс. обор. №1"}</definedName>
    <definedName name="пппппп" hidden="1">{#N/A,#N/A,TRUE,"Смета на пасс. обор. №1"}</definedName>
    <definedName name="пппппппппппппппппппппппа" localSheetId="16">#REF!</definedName>
    <definedName name="пппппппппппппппппппппппа" localSheetId="25">#REF!</definedName>
    <definedName name="пр" localSheetId="16">[4]топография!#REF!</definedName>
    <definedName name="пр" localSheetId="25">[5]топография!#REF!</definedName>
    <definedName name="правоп" localSheetId="16">#REF!</definedName>
    <definedName name="правоп" localSheetId="25">#REF!</definedName>
    <definedName name="правоп" localSheetId="18">#REF!</definedName>
    <definedName name="прд" localSheetId="25">#REF!</definedName>
    <definedName name="прд" localSheetId="18">#REF!</definedName>
    <definedName name="прдо" localSheetId="25">#REF!</definedName>
    <definedName name="прдо" localSheetId="18">#REF!</definedName>
    <definedName name="прибыль" localSheetId="16">#REF!</definedName>
    <definedName name="прибыль" localSheetId="25">#REF!</definedName>
    <definedName name="прибыль" localSheetId="18">#REF!</definedName>
    <definedName name="Прикладное_ПО" localSheetId="25">#REF!</definedName>
    <definedName name="Прикладное_ПО" localSheetId="18">#REF!</definedName>
    <definedName name="Прилож" localSheetId="25">#REF!</definedName>
    <definedName name="Прилож" localSheetId="18">#REF!</definedName>
    <definedName name="Приморский_край" localSheetId="25">#REF!</definedName>
    <definedName name="Приморский_край_1" localSheetId="25">#REF!</definedName>
    <definedName name="прл" localSheetId="25">#REF!</definedName>
    <definedName name="прлв" localSheetId="25">#REF!</definedName>
    <definedName name="прлвпрл" localSheetId="25">#REF!</definedName>
    <definedName name="прлпврл" localSheetId="25">#REF!</definedName>
    <definedName name="прлпр" localSheetId="25">#REF!</definedName>
    <definedName name="прльп" localSheetId="25">#REF!</definedName>
    <definedName name="про" localSheetId="16" hidden="1">{#N/A,#N/A,TRUE,"Смета на пасс. обор. №1"}</definedName>
    <definedName name="про" localSheetId="36" hidden="1">{#N/A,#N/A,TRUE,"Смета на пасс. обор. №1"}</definedName>
    <definedName name="про" localSheetId="40" hidden="1">{#N/A,#N/A,TRUE,"Смета на пасс. обор. №1"}</definedName>
    <definedName name="про" localSheetId="30" hidden="1">{#N/A,#N/A,TRUE,"Смета на пасс. обор. №1"}</definedName>
    <definedName name="про" localSheetId="6" hidden="1">{#N/A,#N/A,TRUE,"Смета на пасс. обор. №1"}</definedName>
    <definedName name="про" localSheetId="7" hidden="1">{#N/A,#N/A,TRUE,"Смета на пасс. обор. №1"}</definedName>
    <definedName name="про" localSheetId="18" hidden="1">{#N/A,#N/A,TRUE,"Смета на пасс. обор. №1"}</definedName>
    <definedName name="про" localSheetId="38" hidden="1">{#N/A,#N/A,TRUE,"Смета на пасс. обор. №1"}</definedName>
    <definedName name="про" localSheetId="19" hidden="1">{#N/A,#N/A,TRUE,"Смета на пасс. обор. №1"}</definedName>
    <definedName name="про" hidden="1">{#N/A,#N/A,TRUE,"Смета на пасс. обор. №1"}</definedName>
    <definedName name="про_1" localSheetId="16" hidden="1">{#N/A,#N/A,TRUE,"Смета на пасс. обор. №1"}</definedName>
    <definedName name="про_1" localSheetId="36" hidden="1">{#N/A,#N/A,TRUE,"Смета на пасс. обор. №1"}</definedName>
    <definedName name="про_1" localSheetId="40" hidden="1">{#N/A,#N/A,TRUE,"Смета на пасс. обор. №1"}</definedName>
    <definedName name="про_1" localSheetId="30" hidden="1">{#N/A,#N/A,TRUE,"Смета на пасс. обор. №1"}</definedName>
    <definedName name="про_1" localSheetId="6" hidden="1">{#N/A,#N/A,TRUE,"Смета на пасс. обор. №1"}</definedName>
    <definedName name="про_1" localSheetId="7" hidden="1">{#N/A,#N/A,TRUE,"Смета на пасс. обор. №1"}</definedName>
    <definedName name="про_1" localSheetId="18" hidden="1">{#N/A,#N/A,TRUE,"Смета на пасс. обор. №1"}</definedName>
    <definedName name="про_1" localSheetId="38" hidden="1">{#N/A,#N/A,TRUE,"Смета на пасс. обор. №1"}</definedName>
    <definedName name="про_1" localSheetId="19" hidden="1">{#N/A,#N/A,TRUE,"Смета на пасс. обор. №1"}</definedName>
    <definedName name="про_1" hidden="1">{#N/A,#N/A,TRUE,"Смета на пасс. обор. №1"}</definedName>
    <definedName name="пробная" localSheetId="0">#REF!</definedName>
    <definedName name="пробная" localSheetId="25">#REF!</definedName>
    <definedName name="пробная" localSheetId="18">#REF!</definedName>
    <definedName name="пробная_1" localSheetId="25">#REF!</definedName>
    <definedName name="пробная_1" localSheetId="18">#REF!</definedName>
    <definedName name="Проверил" localSheetId="25">#REF!</definedName>
    <definedName name="провпо" localSheetId="25">#REF!</definedName>
    <definedName name="проект" localSheetId="16">#REF!</definedName>
    <definedName name="проект" localSheetId="25">#REF!</definedName>
    <definedName name="проект" localSheetId="18">#REF!</definedName>
    <definedName name="Проектно_сметная_документация_по_объекту__Реконструкция_автодороги_М_20__Санкт_Петербург_Киев___Пулковское_Киевское_шоссе__на_участке_от_дороги_на_г.Пушкин_до_пос._Дони_в_административных_границах_Санкт_Петербурга" localSheetId="0">#REF!</definedName>
    <definedName name="Проектно_сметная_документация_по_объекту__Реконструкция_автодороги_М_20__Санкт_Петербург_Киев___Пулковское_Киевское_шоссе__на_участке_от_дороги_на_г.Пушкин_до_пос._Дони_в_административных_границах_Санкт_Петербурга" localSheetId="25">#REF!</definedName>
    <definedName name="Проектно_сметная_документация_по_объекту__Реконструкция_автодороги_М_20__Санкт_Петербург_Киев___Пулковское_Киевское_шоссе__на_участке_от_дороги_на_г.Пушкин_до_пос._Дони_в_административных_границах_Санкт_Петербурга" localSheetId="18">#REF!</definedName>
    <definedName name="Проектные2" localSheetId="25">#REF!</definedName>
    <definedName name="прол" localSheetId="16" hidden="1">{#N/A,#N/A,TRUE,"Смета на пасс. обор. №1"}</definedName>
    <definedName name="прол" localSheetId="36" hidden="1">{#N/A,#N/A,TRUE,"Смета на пасс. обор. №1"}</definedName>
    <definedName name="прол" localSheetId="40" hidden="1">{#N/A,#N/A,TRUE,"Смета на пасс. обор. №1"}</definedName>
    <definedName name="прол" localSheetId="30" hidden="1">{#N/A,#N/A,TRUE,"Смета на пасс. обор. №1"}</definedName>
    <definedName name="прол" localSheetId="6" hidden="1">{#N/A,#N/A,TRUE,"Смета на пасс. обор. №1"}</definedName>
    <definedName name="прол" localSheetId="7" hidden="1">{#N/A,#N/A,TRUE,"Смета на пасс. обор. №1"}</definedName>
    <definedName name="прол" localSheetId="18" hidden="1">{#N/A,#N/A,TRUE,"Смета на пасс. обор. №1"}</definedName>
    <definedName name="прол" localSheetId="38" hidden="1">{#N/A,#N/A,TRUE,"Смета на пасс. обор. №1"}</definedName>
    <definedName name="прол" localSheetId="19" hidden="1">{#N/A,#N/A,TRUE,"Смета на пасс. обор. №1"}</definedName>
    <definedName name="прол" hidden="1">{#N/A,#N/A,TRUE,"Смета на пасс. обор. №1"}</definedName>
    <definedName name="пролдж" localSheetId="16" hidden="1">{#N/A,#N/A,TRUE,"Смета на пасс. обор. №1"}</definedName>
    <definedName name="пролдж" localSheetId="36" hidden="1">{#N/A,#N/A,TRUE,"Смета на пасс. обор. №1"}</definedName>
    <definedName name="пролдж" localSheetId="40" hidden="1">{#N/A,#N/A,TRUE,"Смета на пасс. обор. №1"}</definedName>
    <definedName name="пролдж" localSheetId="30" hidden="1">{#N/A,#N/A,TRUE,"Смета на пасс. обор. №1"}</definedName>
    <definedName name="пролдж" localSheetId="6" hidden="1">{#N/A,#N/A,TRUE,"Смета на пасс. обор. №1"}</definedName>
    <definedName name="пролдж" localSheetId="7" hidden="1">{#N/A,#N/A,TRUE,"Смета на пасс. обор. №1"}</definedName>
    <definedName name="пролдж" localSheetId="18" hidden="1">{#N/A,#N/A,TRUE,"Смета на пасс. обор. №1"}</definedName>
    <definedName name="пролдж" localSheetId="38" hidden="1">{#N/A,#N/A,TRUE,"Смета на пасс. обор. №1"}</definedName>
    <definedName name="пролдж" localSheetId="19" hidden="1">{#N/A,#N/A,TRUE,"Смета на пасс. обор. №1"}</definedName>
    <definedName name="пролдж" hidden="1">{#N/A,#N/A,TRUE,"Смета на пасс. обор. №1"}</definedName>
    <definedName name="пролдж_1" localSheetId="16" hidden="1">{#N/A,#N/A,TRUE,"Смета на пасс. обор. №1"}</definedName>
    <definedName name="пролдж_1" localSheetId="36" hidden="1">{#N/A,#N/A,TRUE,"Смета на пасс. обор. №1"}</definedName>
    <definedName name="пролдж_1" localSheetId="40" hidden="1">{#N/A,#N/A,TRUE,"Смета на пасс. обор. №1"}</definedName>
    <definedName name="пролдж_1" localSheetId="30" hidden="1">{#N/A,#N/A,TRUE,"Смета на пасс. обор. №1"}</definedName>
    <definedName name="пролдж_1" localSheetId="6" hidden="1">{#N/A,#N/A,TRUE,"Смета на пасс. обор. №1"}</definedName>
    <definedName name="пролдж_1" localSheetId="7" hidden="1">{#N/A,#N/A,TRUE,"Смета на пасс. обор. №1"}</definedName>
    <definedName name="пролдж_1" localSheetId="18" hidden="1">{#N/A,#N/A,TRUE,"Смета на пасс. обор. №1"}</definedName>
    <definedName name="пролдж_1" localSheetId="38" hidden="1">{#N/A,#N/A,TRUE,"Смета на пасс. обор. №1"}</definedName>
    <definedName name="пролдж_1" localSheetId="19" hidden="1">{#N/A,#N/A,TRUE,"Смета на пасс. обор. №1"}</definedName>
    <definedName name="пролдж_1" hidden="1">{#N/A,#N/A,TRUE,"Смета на пасс. обор. №1"}</definedName>
    <definedName name="пролоддошщ" localSheetId="16">#REF!</definedName>
    <definedName name="пролоддошщ" localSheetId="25">#REF!</definedName>
    <definedName name="пролоддошщ" localSheetId="18">#REF!</definedName>
    <definedName name="промбез" localSheetId="16">[4]топография!#REF!</definedName>
    <definedName name="промбез" localSheetId="25">[5]топография!#REF!</definedName>
    <definedName name="промбез" localSheetId="18">[5]топография!#REF!</definedName>
    <definedName name="Промбезоп" localSheetId="16">#REF!</definedName>
    <definedName name="Промбезоп" localSheetId="25">#REF!</definedName>
    <definedName name="Промбезоп" localSheetId="18">#REF!</definedName>
    <definedName name="Промышленная" localSheetId="25">#REF!</definedName>
    <definedName name="Промышленная" localSheetId="18">#REF!</definedName>
    <definedName name="пропо" localSheetId="16">[4]топография!#REF!</definedName>
    <definedName name="пропо" localSheetId="25">[5]топография!#REF!</definedName>
    <definedName name="пропо" localSheetId="18">[5]топография!#REF!</definedName>
    <definedName name="пропр" localSheetId="16">#REF!</definedName>
    <definedName name="пропр" localSheetId="25">#REF!</definedName>
    <definedName name="пропр" localSheetId="18">#REF!</definedName>
    <definedName name="протоколРМВК" localSheetId="16">#REF!</definedName>
    <definedName name="протоколРМВК" localSheetId="25">#REF!</definedName>
    <definedName name="протоколРМВК" localSheetId="18">#REF!</definedName>
    <definedName name="прочие" localSheetId="25">#REF!</definedName>
    <definedName name="прочие" localSheetId="18">#REF!</definedName>
    <definedName name="Прочие_затраты_в_базисных_ценах" localSheetId="25">#REF!</definedName>
    <definedName name="Прочие_затраты_в_базисных_ценах" localSheetId="18">#REF!</definedName>
    <definedName name="Прочие_затраты_в_текущих_ценах" localSheetId="25">'[26]Переменные и константы'!#REF!</definedName>
    <definedName name="Прочие_затраты_в_текущих_ценах" localSheetId="18">'[26]Переменные и константы'!#REF!</definedName>
    <definedName name="Прочие_затраты_в_текущих_ценах_по_ресурсному_расчету" localSheetId="25">'[26]Переменные и константы'!#REF!</definedName>
    <definedName name="Прочие_затраты_в_текущих_ценах_по_ресурсному_расчету" localSheetId="18">'[26]Переменные и константы'!#REF!</definedName>
    <definedName name="Прочие_затраты_в_текущих_ценах_после_применения_индексов" localSheetId="25">'[26]Переменные и константы'!#REF!</definedName>
    <definedName name="Прочие_затраты_в_текущих_ценах_после_применения_индексов" localSheetId="18">'[26]Переменные и константы'!#REF!</definedName>
    <definedName name="Прочие_работы" localSheetId="16">#REF!</definedName>
    <definedName name="Прочие_работы" localSheetId="25">#REF!</definedName>
    <definedName name="Прочие_работы" localSheetId="30">#REF!</definedName>
    <definedName name="Прочие_работы" localSheetId="18">#REF!</definedName>
    <definedName name="прп" localSheetId="16">[4]топография!#REF!</definedName>
    <definedName name="прп" localSheetId="25">[5]топография!#REF!</definedName>
    <definedName name="прп" localSheetId="18">[5]топография!#REF!</definedName>
    <definedName name="прпр" localSheetId="16">[15]Коэфф1.!#REF!</definedName>
    <definedName name="прпр" localSheetId="25">[15]Коэфф1.!#REF!</definedName>
    <definedName name="прпр" localSheetId="18">[15]Коэфф1.!#REF!</definedName>
    <definedName name="прпр_1" localSheetId="16">#REF!</definedName>
    <definedName name="прпр_1" localSheetId="25">#REF!</definedName>
    <definedName name="прпр_1" localSheetId="18">#REF!</definedName>
    <definedName name="пртпр" localSheetId="25">#REF!</definedName>
    <definedName name="пртпр" localSheetId="18">#REF!</definedName>
    <definedName name="прч" localSheetId="25">#REF!</definedName>
    <definedName name="прч" localSheetId="18">#REF!</definedName>
    <definedName name="прь" localSheetId="25">#REF!</definedName>
    <definedName name="прьв" localSheetId="25">#REF!</definedName>
    <definedName name="прьвпрь" localSheetId="16">[4]топография!#REF!</definedName>
    <definedName name="прьвпрь" localSheetId="25">[5]топография!#REF!</definedName>
    <definedName name="прьто" localSheetId="16">#REF!</definedName>
    <definedName name="прьто" localSheetId="25">#REF!</definedName>
    <definedName name="прьто" localSheetId="18">#REF!</definedName>
    <definedName name="Псковская_область" localSheetId="25">#REF!</definedName>
    <definedName name="Псковская_область" localSheetId="18">#REF!</definedName>
    <definedName name="псрл" localSheetId="25">#REF!</definedName>
    <definedName name="псрл" localSheetId="18">#REF!</definedName>
    <definedName name="пуск" localSheetId="25">#REF!</definedName>
    <definedName name="пшждю" localSheetId="25">#REF!</definedName>
    <definedName name="пьбю" localSheetId="25">#REF!</definedName>
    <definedName name="пьюию" localSheetId="25">#REF!</definedName>
    <definedName name="пятый" localSheetId="25">#REF!</definedName>
    <definedName name="р" localSheetId="25">#REF!</definedName>
    <definedName name="Разработка" localSheetId="16">#REF!</definedName>
    <definedName name="Разработка" localSheetId="25">#REF!</definedName>
    <definedName name="Разработка" localSheetId="30">#REF!</definedName>
    <definedName name="Разработка" localSheetId="18">#REF!</definedName>
    <definedName name="Разработка_" localSheetId="25">#REF!</definedName>
    <definedName name="Разработка_" localSheetId="30">#REF!</definedName>
    <definedName name="Разработка_" localSheetId="18">#REF!</definedName>
    <definedName name="Районный_к_т_к_ЗП" localSheetId="25">'[26]Переменные и константы'!#REF!</definedName>
    <definedName name="Районный_к_т_к_ЗП" localSheetId="30">'[26]Переменные и константы'!#REF!</definedName>
    <definedName name="Районный_к_т_к_ЗП" localSheetId="18">'[26]Переменные и константы'!#REF!</definedName>
    <definedName name="Районный_к_т_к_ЗП_по_ресурсному_расчету" localSheetId="25">'[26]Переменные и константы'!#REF!</definedName>
    <definedName name="Районный_к_т_к_ЗП_по_ресурсному_расчету" localSheetId="30">'[26]Переменные и константы'!#REF!</definedName>
    <definedName name="Районный_к_т_к_ЗП_по_ресурсному_расчету" localSheetId="18">'[26]Переменные и константы'!#REF!</definedName>
    <definedName name="раоб" localSheetId="16">#REF!</definedName>
    <definedName name="раоб" localSheetId="25">#REF!</definedName>
    <definedName name="раоб" localSheetId="30">#REF!</definedName>
    <definedName name="раоб" localSheetId="18">#REF!</definedName>
    <definedName name="раобароб" localSheetId="25">#REF!</definedName>
    <definedName name="раобароб" localSheetId="30">#REF!</definedName>
    <definedName name="раобароб" localSheetId="18">#REF!</definedName>
    <definedName name="раобь" localSheetId="25">#REF!</definedName>
    <definedName name="раобь" localSheetId="30">#REF!</definedName>
    <definedName name="раобь" localSheetId="18">#REF!</definedName>
    <definedName name="раолао" localSheetId="25">#REF!</definedName>
    <definedName name="рбтмь" localSheetId="16">#REF!</definedName>
    <definedName name="рбтмь" localSheetId="25">#REF!</definedName>
    <definedName name="рбтмь" localSheetId="30">#REF!</definedName>
    <definedName name="рбтмь" localSheetId="18">#REF!</definedName>
    <definedName name="ргл" localSheetId="16">#REF!</definedName>
    <definedName name="ргл" localSheetId="25">#REF!</definedName>
    <definedName name="ргл" localSheetId="18">#REF!</definedName>
    <definedName name="РД" localSheetId="25">#REF!</definedName>
    <definedName name="РД" localSheetId="18">#REF!</definedName>
    <definedName name="рдп" localSheetId="25">#REF!</definedName>
    <definedName name="Регистрационный_номер_группы_строек" localSheetId="25">#REF!</definedName>
    <definedName name="Регистрационный_номер_локальной_сметы" localSheetId="25">#REF!</definedName>
    <definedName name="Регистрационный_номер_объекта" localSheetId="25">#REF!</definedName>
    <definedName name="Регистрационный_номер_объектной_сметы" localSheetId="25">#REF!</definedName>
    <definedName name="Регистрационный_номер_очереди" localSheetId="25">#REF!</definedName>
    <definedName name="Регистрационный_номер_пускового_комплекса" localSheetId="25">#REF!</definedName>
    <definedName name="Регистрационный_номер_сводного_сметного_расчета" localSheetId="25">#REF!</definedName>
    <definedName name="Регистрационный_номер_стройки" localSheetId="25">#REF!</definedName>
    <definedName name="рек" localSheetId="0">#REF!</definedName>
    <definedName name="рек" localSheetId="25">#REF!</definedName>
    <definedName name="Республика_Адыгея" localSheetId="25">#REF!</definedName>
    <definedName name="Республика_Алтай" localSheetId="25">#REF!</definedName>
    <definedName name="Республика_Алтай_1" localSheetId="25">#REF!</definedName>
    <definedName name="Республика_Башкортостан" localSheetId="25">#REF!</definedName>
    <definedName name="Республика_Башкортостан_1" localSheetId="25">#REF!</definedName>
    <definedName name="Республика_Бурятия" localSheetId="25">#REF!</definedName>
    <definedName name="Республика_Бурятия_1" localSheetId="25">#REF!</definedName>
    <definedName name="Республика_Дагестан" localSheetId="25">#REF!</definedName>
    <definedName name="Республика_Ингушетия" localSheetId="25">#REF!</definedName>
    <definedName name="Республика_Калмыкия" localSheetId="25">#REF!</definedName>
    <definedName name="Республика_Карелия" localSheetId="25">#REF!</definedName>
    <definedName name="Республика_Карелия_1" localSheetId="25">#REF!</definedName>
    <definedName name="Республика_Коми" localSheetId="25">#REF!</definedName>
    <definedName name="Республика_Коми_1" localSheetId="25">#REF!</definedName>
    <definedName name="Республика_Марий_Эл" localSheetId="25">#REF!</definedName>
    <definedName name="Республика_Мордовия" localSheetId="25">#REF!</definedName>
    <definedName name="Республика_Саха__Якутия" localSheetId="25">#REF!</definedName>
    <definedName name="Республика_Саха__Якутия_1" localSheetId="25">#REF!</definedName>
    <definedName name="Республика_Северная_Осетия___Алания" localSheetId="25">#REF!</definedName>
    <definedName name="Республика_Татарстан__Татарстан" localSheetId="25">#REF!</definedName>
    <definedName name="Республика_Татарстан__Татарстан_1" localSheetId="25">#REF!</definedName>
    <definedName name="Республика_Тыва" localSheetId="25">#REF!</definedName>
    <definedName name="Республика_Тыва_1" localSheetId="25">#REF!</definedName>
    <definedName name="Республика_Хакасия" localSheetId="25">#REF!</definedName>
    <definedName name="РЗА2" localSheetId="25">#REF!</definedName>
    <definedName name="рл" localSheetId="16">[4]топография!#REF!</definedName>
    <definedName name="рл" localSheetId="25">[5]топография!#REF!</definedName>
    <definedName name="рл" localSheetId="18">[5]топография!#REF!</definedName>
    <definedName name="рлвро" localSheetId="16">#REF!</definedName>
    <definedName name="рлвро" localSheetId="25">#REF!</definedName>
    <definedName name="рлвро" localSheetId="18">#REF!</definedName>
    <definedName name="рлд" localSheetId="25">#REF!</definedName>
    <definedName name="рлд" localSheetId="18">#REF!</definedName>
    <definedName name="рлдг" localSheetId="25">#REF!</definedName>
    <definedName name="рлдг" localSheetId="18">#REF!</definedName>
    <definedName name="ровро" localSheetId="25">#REF!</definedName>
    <definedName name="родарод" localSheetId="25">#REF!</definedName>
    <definedName name="рож" localSheetId="25">#REF!</definedName>
    <definedName name="рол" localSheetId="16" hidden="1">{#N/A,#N/A,TRUE,"Смета на пасс. обор. №1"}</definedName>
    <definedName name="рол" localSheetId="36" hidden="1">{#N/A,#N/A,TRUE,"Смета на пасс. обор. №1"}</definedName>
    <definedName name="рол" localSheetId="40" hidden="1">{#N/A,#N/A,TRUE,"Смета на пасс. обор. №1"}</definedName>
    <definedName name="рол" localSheetId="30" hidden="1">{#N/A,#N/A,TRUE,"Смета на пасс. обор. №1"}</definedName>
    <definedName name="рол" localSheetId="6" hidden="1">{#N/A,#N/A,TRUE,"Смета на пасс. обор. №1"}</definedName>
    <definedName name="рол" localSheetId="7" hidden="1">{#N/A,#N/A,TRUE,"Смета на пасс. обор. №1"}</definedName>
    <definedName name="рол" localSheetId="18" hidden="1">{#N/A,#N/A,TRUE,"Смета на пасс. обор. №1"}</definedName>
    <definedName name="рол" localSheetId="38" hidden="1">{#N/A,#N/A,TRUE,"Смета на пасс. обор. №1"}</definedName>
    <definedName name="рол" localSheetId="19" hidden="1">{#N/A,#N/A,TRUE,"Смета на пасс. обор. №1"}</definedName>
    <definedName name="рол" hidden="1">{#N/A,#N/A,TRUE,"Смета на пасс. обор. №1"}</definedName>
    <definedName name="рол_1" localSheetId="16" hidden="1">{#N/A,#N/A,TRUE,"Смета на пасс. обор. №1"}</definedName>
    <definedName name="рол_1" localSheetId="36" hidden="1">{#N/A,#N/A,TRUE,"Смета на пасс. обор. №1"}</definedName>
    <definedName name="рол_1" localSheetId="40" hidden="1">{#N/A,#N/A,TRUE,"Смета на пасс. обор. №1"}</definedName>
    <definedName name="рол_1" localSheetId="30" hidden="1">{#N/A,#N/A,TRUE,"Смета на пасс. обор. №1"}</definedName>
    <definedName name="рол_1" localSheetId="6" hidden="1">{#N/A,#N/A,TRUE,"Смета на пасс. обор. №1"}</definedName>
    <definedName name="рол_1" localSheetId="7" hidden="1">{#N/A,#N/A,TRUE,"Смета на пасс. обор. №1"}</definedName>
    <definedName name="рол_1" localSheetId="18" hidden="1">{#N/A,#N/A,TRUE,"Смета на пасс. обор. №1"}</definedName>
    <definedName name="рол_1" localSheetId="38" hidden="1">{#N/A,#N/A,TRUE,"Смета на пасс. обор. №1"}</definedName>
    <definedName name="рол_1" localSheetId="19" hidden="1">{#N/A,#N/A,TRUE,"Смета на пасс. обор. №1"}</definedName>
    <definedName name="рол_1" hidden="1">{#N/A,#N/A,TRUE,"Смета на пасс. обор. №1"}</definedName>
    <definedName name="роло" localSheetId="16">#REF!</definedName>
    <definedName name="роло" localSheetId="25">#REF!</definedName>
    <definedName name="роло" localSheetId="18">#REF!</definedName>
    <definedName name="ропгнлпеглн" localSheetId="16">#REF!</definedName>
    <definedName name="ропгнлпеглн" localSheetId="25">#REF!</definedName>
    <definedName name="ропгнлпеглн" localSheetId="18">#REF!</definedName>
    <definedName name="Ростовская_область" localSheetId="25">#REF!</definedName>
    <definedName name="Ростовская_область" localSheetId="18">#REF!</definedName>
    <definedName name="рот" localSheetId="25">#REF!</definedName>
    <definedName name="рпачрпч" localSheetId="25">#REF!</definedName>
    <definedName name="рпв" localSheetId="25">#REF!</definedName>
    <definedName name="рплрл" localSheetId="25">#REF!</definedName>
    <definedName name="рповпр" localSheetId="25">#REF!</definedName>
    <definedName name="рповр" localSheetId="25">#REF!</definedName>
    <definedName name="рпьрь" localSheetId="25">#REF!</definedName>
    <definedName name="рр" localSheetId="16" hidden="1">{#N/A,#N/A,TRUE,"Смета на пасс. обор. №1"}</definedName>
    <definedName name="рр" localSheetId="36" hidden="1">{#N/A,#N/A,TRUE,"Смета на пасс. обор. №1"}</definedName>
    <definedName name="рр" localSheetId="40" hidden="1">{#N/A,#N/A,TRUE,"Смета на пасс. обор. №1"}</definedName>
    <definedName name="рр" localSheetId="30" hidden="1">{#N/A,#N/A,TRUE,"Смета на пасс. обор. №1"}</definedName>
    <definedName name="рр" localSheetId="6" hidden="1">{#N/A,#N/A,TRUE,"Смета на пасс. обор. №1"}</definedName>
    <definedName name="рр" localSheetId="7" hidden="1">{#N/A,#N/A,TRUE,"Смета на пасс. обор. №1"}</definedName>
    <definedName name="рр" localSheetId="18" hidden="1">{#N/A,#N/A,TRUE,"Смета на пасс. обор. №1"}</definedName>
    <definedName name="рр" localSheetId="38" hidden="1">{#N/A,#N/A,TRUE,"Смета на пасс. обор. №1"}</definedName>
    <definedName name="рр" localSheetId="19" hidden="1">{#N/A,#N/A,TRUE,"Смета на пасс. обор. №1"}</definedName>
    <definedName name="рр" hidden="1">{#N/A,#N/A,TRUE,"Смета на пасс. обор. №1"}</definedName>
    <definedName name="рр_1" localSheetId="16" hidden="1">{#N/A,#N/A,TRUE,"Смета на пасс. обор. №1"}</definedName>
    <definedName name="рр_1" localSheetId="36" hidden="1">{#N/A,#N/A,TRUE,"Смета на пасс. обор. №1"}</definedName>
    <definedName name="рр_1" localSheetId="40" hidden="1">{#N/A,#N/A,TRUE,"Смета на пасс. обор. №1"}</definedName>
    <definedName name="рр_1" localSheetId="30" hidden="1">{#N/A,#N/A,TRUE,"Смета на пасс. обор. №1"}</definedName>
    <definedName name="рр_1" localSheetId="6" hidden="1">{#N/A,#N/A,TRUE,"Смета на пасс. обор. №1"}</definedName>
    <definedName name="рр_1" localSheetId="7" hidden="1">{#N/A,#N/A,TRUE,"Смета на пасс. обор. №1"}</definedName>
    <definedName name="рр_1" localSheetId="18" hidden="1">{#N/A,#N/A,TRUE,"Смета на пасс. обор. №1"}</definedName>
    <definedName name="рр_1" localSheetId="38" hidden="1">{#N/A,#N/A,TRUE,"Смета на пасс. обор. №1"}</definedName>
    <definedName name="рр_1" localSheetId="19" hidden="1">{#N/A,#N/A,TRUE,"Смета на пасс. обор. №1"}</definedName>
    <definedName name="рр_1" hidden="1">{#N/A,#N/A,TRUE,"Смета на пасс. обор. №1"}</definedName>
    <definedName name="РРК" localSheetId="16">#REF!</definedName>
    <definedName name="РРК" localSheetId="25">#REF!</definedName>
    <definedName name="РРК" localSheetId="18">#REF!</definedName>
    <definedName name="ррюбр" localSheetId="25">#REF!</definedName>
    <definedName name="ррюбр" localSheetId="18">#REF!</definedName>
    <definedName name="РСЛ" localSheetId="25">#REF!</definedName>
    <definedName name="РСЛ" localSheetId="18">#REF!</definedName>
    <definedName name="руе" localSheetId="25">#REF!</definedName>
    <definedName name="Руководитель" localSheetId="25">#REF!</definedName>
    <definedName name="Руководитель_1" localSheetId="25">#REF!</definedName>
    <definedName name="ручей" localSheetId="25">#REF!</definedName>
    <definedName name="рыар" localSheetId="16">[4]топография!#REF!</definedName>
    <definedName name="рыар" localSheetId="25">[5]топография!#REF!</definedName>
    <definedName name="Рязанская_область" localSheetId="16">#REF!</definedName>
    <definedName name="Рязанская_область" localSheetId="25">#REF!</definedName>
    <definedName name="Рязанская_область" localSheetId="18">#REF!</definedName>
    <definedName name="ряпр" localSheetId="16">[4]топография!#REF!</definedName>
    <definedName name="ряпр" localSheetId="25">[5]топография!#REF!</definedName>
    <definedName name="ряпр" localSheetId="18">[5]топография!#REF!</definedName>
    <definedName name="С" localSheetId="16" hidden="1">{#N/A,#N/A,FALSE,"Шаблон_Спец1"}</definedName>
    <definedName name="С" localSheetId="0" hidden="1">{#N/A,#N/A,FALSE,"Шаблон_Спец1"}</definedName>
    <definedName name="С" localSheetId="36" hidden="1">{#N/A,#N/A,FALSE,"Шаблон_Спец1"}</definedName>
    <definedName name="С" localSheetId="40" hidden="1">{#N/A,#N/A,FALSE,"Шаблон_Спец1"}</definedName>
    <definedName name="С" localSheetId="30" hidden="1">{#N/A,#N/A,FALSE,"Шаблон_Спец1"}</definedName>
    <definedName name="С" localSheetId="6" hidden="1">{#N/A,#N/A,FALSE,"Шаблон_Спец1"}</definedName>
    <definedName name="С" localSheetId="7" hidden="1">{#N/A,#N/A,FALSE,"Шаблон_Спец1"}</definedName>
    <definedName name="С" localSheetId="18" hidden="1">{#N/A,#N/A,FALSE,"Шаблон_Спец1"}</definedName>
    <definedName name="С" localSheetId="38" hidden="1">{#N/A,#N/A,FALSE,"Шаблон_Спец1"}</definedName>
    <definedName name="С" localSheetId="19" hidden="1">{#N/A,#N/A,FALSE,"Шаблон_Спец1"}</definedName>
    <definedName name="С" localSheetId="9" hidden="1">{#N/A,#N/A,FALSE,"Шаблон_Спец1"}</definedName>
    <definedName name="С" hidden="1">{#N/A,#N/A,FALSE,"Шаблон_Спец1"}</definedName>
    <definedName name="с_1" localSheetId="16" hidden="1">{#N/A,#N/A,TRUE,"Смета на пасс. обор. №1"}</definedName>
    <definedName name="с_1" localSheetId="36" hidden="1">{#N/A,#N/A,TRUE,"Смета на пасс. обор. №1"}</definedName>
    <definedName name="с_1" localSheetId="40" hidden="1">{#N/A,#N/A,TRUE,"Смета на пасс. обор. №1"}</definedName>
    <definedName name="с_1" localSheetId="30" hidden="1">{#N/A,#N/A,TRUE,"Смета на пасс. обор. №1"}</definedName>
    <definedName name="с_1" localSheetId="6" hidden="1">{#N/A,#N/A,TRUE,"Смета на пасс. обор. №1"}</definedName>
    <definedName name="с_1" localSheetId="7" hidden="1">{#N/A,#N/A,TRUE,"Смета на пасс. обор. №1"}</definedName>
    <definedName name="с_1" localSheetId="18" hidden="1">{#N/A,#N/A,TRUE,"Смета на пасс. обор. №1"}</definedName>
    <definedName name="с_1" localSheetId="38" hidden="1">{#N/A,#N/A,TRUE,"Смета на пасс. обор. №1"}</definedName>
    <definedName name="с_1" localSheetId="19" hidden="1">{#N/A,#N/A,TRUE,"Смета на пасс. обор. №1"}</definedName>
    <definedName name="с_1" hidden="1">{#N/A,#N/A,TRUE,"Смета на пасс. обор. №1"}</definedName>
    <definedName name="с1" localSheetId="0">#REF!</definedName>
    <definedName name="с1" localSheetId="25">#REF!</definedName>
    <definedName name="с1" localSheetId="18">#REF!</definedName>
    <definedName name="с10" localSheetId="0">#REF!</definedName>
    <definedName name="с10" localSheetId="25">#REF!</definedName>
    <definedName name="с2" localSheetId="0">#REF!</definedName>
    <definedName name="с2" localSheetId="25">#REF!</definedName>
    <definedName name="с3" localSheetId="0">#REF!</definedName>
    <definedName name="с3" localSheetId="25">#REF!</definedName>
    <definedName name="с4" localSheetId="0">#REF!</definedName>
    <definedName name="с4" localSheetId="25">#REF!</definedName>
    <definedName name="с5" localSheetId="0">#REF!</definedName>
    <definedName name="с5" localSheetId="25">#REF!</definedName>
    <definedName name="с6" localSheetId="0">#REF!</definedName>
    <definedName name="с6" localSheetId="25">#REF!</definedName>
    <definedName name="с7" localSheetId="0">#REF!</definedName>
    <definedName name="с7" localSheetId="25">#REF!</definedName>
    <definedName name="с8" localSheetId="0">#REF!</definedName>
    <definedName name="с8" localSheetId="25">#REF!</definedName>
    <definedName name="с9" localSheetId="0">#REF!</definedName>
    <definedName name="с9" localSheetId="25">#REF!</definedName>
    <definedName name="саа" localSheetId="25">#REF!</definedName>
    <definedName name="сам" localSheetId="16" hidden="1">{#N/A,#N/A,TRUE,"Смета на пасс. обор. №1"}</definedName>
    <definedName name="сам" localSheetId="36" hidden="1">{#N/A,#N/A,TRUE,"Смета на пасс. обор. №1"}</definedName>
    <definedName name="сам" localSheetId="40" hidden="1">{#N/A,#N/A,TRUE,"Смета на пасс. обор. №1"}</definedName>
    <definedName name="сам" localSheetId="30" hidden="1">{#N/A,#N/A,TRUE,"Смета на пасс. обор. №1"}</definedName>
    <definedName name="сам" localSheetId="6" hidden="1">{#N/A,#N/A,TRUE,"Смета на пасс. обор. №1"}</definedName>
    <definedName name="сам" localSheetId="7" hidden="1">{#N/A,#N/A,TRUE,"Смета на пасс. обор. №1"}</definedName>
    <definedName name="сам" localSheetId="18" hidden="1">{#N/A,#N/A,TRUE,"Смета на пасс. обор. №1"}</definedName>
    <definedName name="сам" localSheetId="38" hidden="1">{#N/A,#N/A,TRUE,"Смета на пасс. обор. №1"}</definedName>
    <definedName name="сам" localSheetId="19" hidden="1">{#N/A,#N/A,TRUE,"Смета на пасс. обор. №1"}</definedName>
    <definedName name="сам" hidden="1">{#N/A,#N/A,TRUE,"Смета на пасс. обор. №1"}</definedName>
    <definedName name="сам_1" localSheetId="16" hidden="1">{#N/A,#N/A,TRUE,"Смета на пасс. обор. №1"}</definedName>
    <definedName name="сам_1" localSheetId="36" hidden="1">{#N/A,#N/A,TRUE,"Смета на пасс. обор. №1"}</definedName>
    <definedName name="сам_1" localSheetId="40" hidden="1">{#N/A,#N/A,TRUE,"Смета на пасс. обор. №1"}</definedName>
    <definedName name="сам_1" localSheetId="30" hidden="1">{#N/A,#N/A,TRUE,"Смета на пасс. обор. №1"}</definedName>
    <definedName name="сам_1" localSheetId="6" hidden="1">{#N/A,#N/A,TRUE,"Смета на пасс. обор. №1"}</definedName>
    <definedName name="сам_1" localSheetId="7" hidden="1">{#N/A,#N/A,TRUE,"Смета на пасс. обор. №1"}</definedName>
    <definedName name="сам_1" localSheetId="18" hidden="1">{#N/A,#N/A,TRUE,"Смета на пасс. обор. №1"}</definedName>
    <definedName name="сам_1" localSheetId="38" hidden="1">{#N/A,#N/A,TRUE,"Смета на пасс. обор. №1"}</definedName>
    <definedName name="сам_1" localSheetId="19" hidden="1">{#N/A,#N/A,TRUE,"Смета на пасс. обор. №1"}</definedName>
    <definedName name="сам_1" hidden="1">{#N/A,#N/A,TRUE,"Смета на пасс. обор. №1"}</definedName>
    <definedName name="Самарская_область" localSheetId="16">#REF!</definedName>
    <definedName name="Самарская_область" localSheetId="25">#REF!</definedName>
    <definedName name="Самарская_область" localSheetId="18">#REF!</definedName>
    <definedName name="Саратовская_область" localSheetId="25">#REF!</definedName>
    <definedName name="Саратовская_область" localSheetId="18">#REF!</definedName>
    <definedName name="Сахалинская_область" localSheetId="25">#REF!</definedName>
    <definedName name="Сахалинская_область" localSheetId="18">#REF!</definedName>
    <definedName name="Сахалинская_область_1" localSheetId="25">#REF!</definedName>
    <definedName name="СВ1" localSheetId="16">#REF!</definedName>
    <definedName name="СВ1" localSheetId="25">#REF!</definedName>
    <definedName name="СВ1" localSheetId="40">#REF!</definedName>
    <definedName name="Свердловская_область" localSheetId="25">#REF!</definedName>
    <definedName name="Свердловская_область_1" localSheetId="25">#REF!</definedName>
    <definedName name="Свод1" localSheetId="16">#REF!</definedName>
    <definedName name="Свод1" localSheetId="25">#REF!</definedName>
    <definedName name="Свод1" localSheetId="40">#REF!</definedName>
    <definedName name="Сводка" localSheetId="25">#REF!</definedName>
    <definedName name="Сводная" localSheetId="25">#REF!</definedName>
    <definedName name="Сводная_новая1" localSheetId="25">#REF!</definedName>
    <definedName name="Сводная1" localSheetId="25">#REF!</definedName>
    <definedName name="Сводно_сметный_расчет" localSheetId="25">#REF!</definedName>
    <definedName name="Сводно_сметный_расчет_49" localSheetId="25">#REF!</definedName>
    <definedName name="Сводно_сметный_расчет_50" localSheetId="25">#REF!</definedName>
    <definedName name="Сводно_сметный_расчет_51" localSheetId="25">#REF!</definedName>
    <definedName name="Сводно_сметный_расчет_52" localSheetId="25">#REF!</definedName>
    <definedName name="Сводно_сметный_расчет_53" localSheetId="25">#REF!</definedName>
    <definedName name="Сводно_сметный_расчет_54" localSheetId="25">#REF!</definedName>
    <definedName name="сврд" localSheetId="16">[4]топография!#REF!</definedName>
    <definedName name="сврд" localSheetId="25">[5]топография!#REF!</definedName>
    <definedName name="сев" localSheetId="0">#REF!</definedName>
    <definedName name="сев" localSheetId="25">#REF!</definedName>
    <definedName name="сев" localSheetId="18">#REF!</definedName>
    <definedName name="Север" localSheetId="25">#REF!</definedName>
    <definedName name="Север" localSheetId="18">#REF!</definedName>
    <definedName name="Секционный_выключатель" localSheetId="36"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Секционный_выключатель" localSheetId="40"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Секционный_выключатель" localSheetId="6"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Секционный_выключатель" localSheetId="7"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Секционный_выключатель" localSheetId="38"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Секционный_выключатель"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Семь" localSheetId="16">#REF!</definedName>
    <definedName name="Семь" localSheetId="25">#REF!</definedName>
    <definedName name="Сервис" localSheetId="25">#REF!</definedName>
    <definedName name="Сервис_Всего" localSheetId="25">'[15]Прайс лист'!#REF!</definedName>
    <definedName name="Сервис_Всего_1" localSheetId="16">#REF!</definedName>
    <definedName name="Сервис_Всего_1" localSheetId="25">#REF!</definedName>
    <definedName name="Сервис_Всего_1" localSheetId="30">#REF!</definedName>
    <definedName name="Сервис_Всего_1" localSheetId="18">#REF!</definedName>
    <definedName name="Сервисное_оборудование" localSheetId="16">[15]Коэфф1.!#REF!</definedName>
    <definedName name="Сервисное_оборудование" localSheetId="25">[15]Коэфф1.!#REF!</definedName>
    <definedName name="Сервисное_оборудование" localSheetId="18">[15]Коэфф1.!#REF!</definedName>
    <definedName name="Сервисное_оборудование_1" localSheetId="16">#REF!</definedName>
    <definedName name="Сервисное_оборудование_1" localSheetId="25">#REF!</definedName>
    <definedName name="Сервисное_оборудование_1" localSheetId="18">#REF!</definedName>
    <definedName name="СМ" localSheetId="16">#REF!</definedName>
    <definedName name="СМ" localSheetId="25">#REF!</definedName>
    <definedName name="СМ" localSheetId="18">#REF!</definedName>
    <definedName name="см.расч.Ставрополь" localSheetId="25">#REF!</definedName>
    <definedName name="см.расч.Ставрополь" localSheetId="18">#REF!</definedName>
    <definedName name="см.расч.Ставрополь_1" localSheetId="25">#REF!</definedName>
    <definedName name="см.расч.Ставрополь_2" localSheetId="25">#REF!</definedName>
    <definedName name="см.расч.Ставрополь_22" localSheetId="25">#REF!</definedName>
    <definedName name="см.расч.Ставрополь_49" localSheetId="25">#REF!</definedName>
    <definedName name="см.расч.Ставрополь_5" localSheetId="25">#REF!</definedName>
    <definedName name="см.расч.Ставрополь_50" localSheetId="25">#REF!</definedName>
    <definedName name="см.расч.Ставрополь_51" localSheetId="25">#REF!</definedName>
    <definedName name="см.расч.Ставрополь_52" localSheetId="25">#REF!</definedName>
    <definedName name="см.расч.Ставрополь_53" localSheetId="25">#REF!</definedName>
    <definedName name="см.расч.Ставрополь_54" localSheetId="25">#REF!</definedName>
    <definedName name="см.расчетАстрахань" localSheetId="25">#REF!</definedName>
    <definedName name="см.расчетАстрахань_1" localSheetId="25">#REF!</definedName>
    <definedName name="см.расчетАстрахань_2" localSheetId="25">#REF!</definedName>
    <definedName name="см.расчетАстрахань_22" localSheetId="25">#REF!</definedName>
    <definedName name="см.расчетАстрахань_49" localSheetId="25">#REF!</definedName>
    <definedName name="см.расчетАстрахань_5" localSheetId="25">#REF!</definedName>
    <definedName name="см.расчетАстрахань_50" localSheetId="25">#REF!</definedName>
    <definedName name="см.расчетАстрахань_51" localSheetId="25">#REF!</definedName>
    <definedName name="см.расчетАстрахань_52" localSheetId="25">#REF!</definedName>
    <definedName name="см.расчетАстрахань_53" localSheetId="25">#REF!</definedName>
    <definedName name="см.расчетАстрахань_54" localSheetId="25">#REF!</definedName>
    <definedName name="см.расчетМахачкала" localSheetId="25">#REF!</definedName>
    <definedName name="см.расчетМахачкала_1" localSheetId="25">#REF!</definedName>
    <definedName name="см.расчетМахачкала_2" localSheetId="25">#REF!</definedName>
    <definedName name="см.расчетМахачкала_22" localSheetId="25">#REF!</definedName>
    <definedName name="см.расчетМахачкала_49" localSheetId="25">#REF!</definedName>
    <definedName name="см.расчетМахачкала_5" localSheetId="25">#REF!</definedName>
    <definedName name="см.расчетМахачкала_50" localSheetId="25">#REF!</definedName>
    <definedName name="см.расчетМахачкала_51" localSheetId="25">#REF!</definedName>
    <definedName name="см.расчетМахачкала_52" localSheetId="25">#REF!</definedName>
    <definedName name="см.расчетМахачкала_53" localSheetId="25">#REF!</definedName>
    <definedName name="см.расчетМахачкала_54" localSheetId="25">#REF!</definedName>
    <definedName name="см.расчетН.Новгород" localSheetId="25">#REF!</definedName>
    <definedName name="см.расчетН.Новгород_1" localSheetId="25">#REF!</definedName>
    <definedName name="см.расчетН.Новгород_2" localSheetId="25">#REF!</definedName>
    <definedName name="см.расчетН.Новгород_22" localSheetId="25">#REF!</definedName>
    <definedName name="см.расчетН.Новгород_49" localSheetId="25">#REF!</definedName>
    <definedName name="см.расчетН.Новгород_5" localSheetId="25">#REF!</definedName>
    <definedName name="см.расчетН.Новгород_50" localSheetId="25">#REF!</definedName>
    <definedName name="см.расчетН.Новгород_51" localSheetId="25">#REF!</definedName>
    <definedName name="см.расчетН.Новгород_52" localSheetId="25">#REF!</definedName>
    <definedName name="см.расчетН.Новгород_53" localSheetId="25">#REF!</definedName>
    <definedName name="см.расчетН.Новгород_54" localSheetId="25">#REF!</definedName>
    <definedName name="см_1" localSheetId="25">#REF!</definedName>
    <definedName name="см_конк" localSheetId="0">#REF!</definedName>
    <definedName name="см_конк" localSheetId="25">#REF!</definedName>
    <definedName name="см1" localSheetId="25">#REF!</definedName>
    <definedName name="См7" localSheetId="16">#REF!</definedName>
    <definedName name="См7" localSheetId="25">#REF!</definedName>
    <definedName name="См7" localSheetId="30">#REF!</definedName>
    <definedName name="См7" localSheetId="18">#REF!</definedName>
    <definedName name="СМА" localSheetId="16">[4]топография!#REF!</definedName>
    <definedName name="СМА" localSheetId="25">[5]топография!#REF!</definedName>
    <definedName name="СМА" localSheetId="18">[5]топография!#REF!</definedName>
    <definedName name="Смет" localSheetId="16" hidden="1">{#N/A,#N/A,TRUE,"Смета на пасс. обор. №1"}</definedName>
    <definedName name="Смет" localSheetId="36" hidden="1">{#N/A,#N/A,TRUE,"Смета на пасс. обор. №1"}</definedName>
    <definedName name="Смет" localSheetId="40" hidden="1">{#N/A,#N/A,TRUE,"Смета на пасс. обор. №1"}</definedName>
    <definedName name="Смет" localSheetId="30" hidden="1">{#N/A,#N/A,TRUE,"Смета на пасс. обор. №1"}</definedName>
    <definedName name="Смет" localSheetId="6" hidden="1">{#N/A,#N/A,TRUE,"Смета на пасс. обор. №1"}</definedName>
    <definedName name="Смет" localSheetId="7" hidden="1">{#N/A,#N/A,TRUE,"Смета на пасс. обор. №1"}</definedName>
    <definedName name="Смет" localSheetId="18" hidden="1">{#N/A,#N/A,TRUE,"Смета на пасс. обор. №1"}</definedName>
    <definedName name="Смет" localSheetId="38" hidden="1">{#N/A,#N/A,TRUE,"Смета на пасс. обор. №1"}</definedName>
    <definedName name="Смет" localSheetId="19" hidden="1">{#N/A,#N/A,TRUE,"Смета на пасс. обор. №1"}</definedName>
    <definedName name="Смет" hidden="1">{#N/A,#N/A,TRUE,"Смета на пасс. обор. №1"}</definedName>
    <definedName name="Смет_1" localSheetId="16" hidden="1">{#N/A,#N/A,TRUE,"Смета на пасс. обор. №1"}</definedName>
    <definedName name="Смет_1" localSheetId="36" hidden="1">{#N/A,#N/A,TRUE,"Смета на пасс. обор. №1"}</definedName>
    <definedName name="Смет_1" localSheetId="40" hidden="1">{#N/A,#N/A,TRUE,"Смета на пасс. обор. №1"}</definedName>
    <definedName name="Смет_1" localSheetId="30" hidden="1">{#N/A,#N/A,TRUE,"Смета на пасс. обор. №1"}</definedName>
    <definedName name="Смет_1" localSheetId="6" hidden="1">{#N/A,#N/A,TRUE,"Смета на пасс. обор. №1"}</definedName>
    <definedName name="Смет_1" localSheetId="7" hidden="1">{#N/A,#N/A,TRUE,"Смета на пасс. обор. №1"}</definedName>
    <definedName name="Смет_1" localSheetId="18" hidden="1">{#N/A,#N/A,TRUE,"Смета на пасс. обор. №1"}</definedName>
    <definedName name="Смет_1" localSheetId="38" hidden="1">{#N/A,#N/A,TRUE,"Смета на пасс. обор. №1"}</definedName>
    <definedName name="Смет_1" localSheetId="19" hidden="1">{#N/A,#N/A,TRUE,"Смета на пасс. обор. №1"}</definedName>
    <definedName name="Смет_1" hidden="1">{#N/A,#N/A,TRUE,"Смета на пасс. обор. №1"}</definedName>
    <definedName name="смета" localSheetId="16" hidden="1">{#N/A,#N/A,TRUE,"Смета на пасс. обор. №1"}</definedName>
    <definedName name="смета" localSheetId="36" hidden="1">{#N/A,#N/A,TRUE,"Смета на пасс. обор. №1"}</definedName>
    <definedName name="смета" localSheetId="40" hidden="1">{#N/A,#N/A,TRUE,"Смета на пасс. обор. №1"}</definedName>
    <definedName name="смета" localSheetId="30" hidden="1">{#N/A,#N/A,TRUE,"Смета на пасс. обор. №1"}</definedName>
    <definedName name="смета" localSheetId="6" hidden="1">{#N/A,#N/A,TRUE,"Смета на пасс. обор. №1"}</definedName>
    <definedName name="смета" localSheetId="7" hidden="1">{#N/A,#N/A,TRUE,"Смета на пасс. обор. №1"}</definedName>
    <definedName name="смета" localSheetId="18" hidden="1">{#N/A,#N/A,TRUE,"Смета на пасс. обор. №1"}</definedName>
    <definedName name="смета" localSheetId="38" hidden="1">{#N/A,#N/A,TRUE,"Смета на пасс. обор. №1"}</definedName>
    <definedName name="смета" localSheetId="19" hidden="1">{#N/A,#N/A,TRUE,"Смета на пасс. обор. №1"}</definedName>
    <definedName name="смета" hidden="1">{#N/A,#N/A,TRUE,"Смета на пасс. обор. №1"}</definedName>
    <definedName name="смета_1" localSheetId="16" hidden="1">{#N/A,#N/A,TRUE,"Смета на пасс. обор. №1"}</definedName>
    <definedName name="смета_1" localSheetId="36" hidden="1">{#N/A,#N/A,TRUE,"Смета на пасс. обор. №1"}</definedName>
    <definedName name="смета_1" localSheetId="40" hidden="1">{#N/A,#N/A,TRUE,"Смета на пасс. обор. №1"}</definedName>
    <definedName name="смета_1" localSheetId="30" hidden="1">{#N/A,#N/A,TRUE,"Смета на пасс. обор. №1"}</definedName>
    <definedName name="смета_1" localSheetId="6" hidden="1">{#N/A,#N/A,TRUE,"Смета на пасс. обор. №1"}</definedName>
    <definedName name="смета_1" localSheetId="7" hidden="1">{#N/A,#N/A,TRUE,"Смета на пасс. обор. №1"}</definedName>
    <definedName name="смета_1" localSheetId="18" hidden="1">{#N/A,#N/A,TRUE,"Смета на пасс. обор. №1"}</definedName>
    <definedName name="смета_1" localSheetId="38" hidden="1">{#N/A,#N/A,TRUE,"Смета на пасс. обор. №1"}</definedName>
    <definedName name="смета_1" localSheetId="19" hidden="1">{#N/A,#N/A,TRUE,"Смета на пасс. обор. №1"}</definedName>
    <definedName name="смета_1" hidden="1">{#N/A,#N/A,TRUE,"Смета на пасс. обор. №1"}</definedName>
    <definedName name="смета1" localSheetId="16">#REF!</definedName>
    <definedName name="смета1" localSheetId="25">#REF!</definedName>
    <definedName name="смета1" localSheetId="30">#REF!</definedName>
    <definedName name="смета1" localSheetId="18">#REF!</definedName>
    <definedName name="Сметная_стоимость_в_базисных_ценах" localSheetId="16">#REF!</definedName>
    <definedName name="Сметная_стоимость_в_базисных_ценах" localSheetId="25">#REF!</definedName>
    <definedName name="Сметная_стоимость_в_базисных_ценах" localSheetId="18">#REF!</definedName>
    <definedName name="Сметная_стоимость_в_текущих_ценах__после_применения_индексов" localSheetId="16">'[26]Переменные и константы'!#REF!</definedName>
    <definedName name="Сметная_стоимость_в_текущих_ценах__после_применения_индексов" localSheetId="25">'[26]Переменные и константы'!#REF!</definedName>
    <definedName name="Сметная_стоимость_в_текущих_ценах__после_применения_индексов" localSheetId="18">'[26]Переменные и константы'!#REF!</definedName>
    <definedName name="Сметная_стоимость_по_ресурсному_расчету" localSheetId="16">#REF!</definedName>
    <definedName name="Сметная_стоимость_по_ресурсному_расчету" localSheetId="25">#REF!</definedName>
    <definedName name="Сметная_стоимость_по_ресурсному_расчету" localSheetId="30">#REF!</definedName>
    <definedName name="Сметная_стоимость_по_ресурсному_расчету" localSheetId="18">#REF!</definedName>
    <definedName name="СМеточка" localSheetId="25">#REF!</definedName>
    <definedName name="СМеточка" localSheetId="30">#REF!</definedName>
    <definedName name="СМеточка" localSheetId="18">#REF!</definedName>
    <definedName name="сми" localSheetId="25">#REF!</definedName>
    <definedName name="сми" localSheetId="18">#REF!</definedName>
    <definedName name="смиь" localSheetId="25">#REF!</definedName>
    <definedName name="Смоленская_область" localSheetId="25">#REF!</definedName>
    <definedName name="смр" localSheetId="25">#REF!</definedName>
    <definedName name="смт" localSheetId="25">#REF!</definedName>
    <definedName name="Согласование" localSheetId="25">#REF!</definedName>
    <definedName name="Согласование_1" localSheetId="25">#REF!</definedName>
    <definedName name="содерж." localSheetId="25">#REF!</definedName>
    <definedName name="Содерж_Осн_Базы" localSheetId="25">#REF!</definedName>
    <definedName name="соп" localSheetId="25">#REF!</definedName>
    <definedName name="сос" localSheetId="25">#REF!</definedName>
    <definedName name="Составитель" localSheetId="16">#REF!</definedName>
    <definedName name="Составитель" localSheetId="25">#REF!</definedName>
    <definedName name="Составитель" localSheetId="18">#REF!</definedName>
    <definedName name="Составитель_1" localSheetId="25">#REF!</definedName>
    <definedName name="Составитель_1" localSheetId="18">#REF!</definedName>
    <definedName name="сп1" localSheetId="16">#REF!</definedName>
    <definedName name="сп1" localSheetId="0">#REF!</definedName>
    <definedName name="сп1" localSheetId="25">#REF!</definedName>
    <definedName name="сп1" localSheetId="40">#REF!</definedName>
    <definedName name="сп2" localSheetId="0">#REF!</definedName>
    <definedName name="сп2" localSheetId="25">#REF!</definedName>
    <definedName name="спио" localSheetId="25">#REF!</definedName>
    <definedName name="спрь" localSheetId="16">[4]топография!#REF!</definedName>
    <definedName name="спрь" localSheetId="25">[5]топография!#REF!</definedName>
    <definedName name="спрь" localSheetId="18">[5]топография!#REF!</definedName>
    <definedName name="срл" localSheetId="16">#REF!</definedName>
    <definedName name="срл" localSheetId="25">#REF!</definedName>
    <definedName name="срл" localSheetId="18">#REF!</definedName>
    <definedName name="срлдд" localSheetId="25">#REF!</definedName>
    <definedName name="срлдд" localSheetId="18">#REF!</definedName>
    <definedName name="срлрл" localSheetId="25">#REF!</definedName>
    <definedName name="срлрл" localSheetId="18">#REF!</definedName>
    <definedName name="срьрьс" localSheetId="25">#REF!</definedName>
    <definedName name="сс" localSheetId="16" hidden="1">{#N/A,#N/A,TRUE,"Смета на пасс. обор. №1"}</definedName>
    <definedName name="сс" localSheetId="36" hidden="1">{#N/A,#N/A,TRUE,"Смета на пасс. обор. №1"}</definedName>
    <definedName name="сс" localSheetId="40" hidden="1">{#N/A,#N/A,TRUE,"Смета на пасс. обор. №1"}</definedName>
    <definedName name="сс" localSheetId="30" hidden="1">{#N/A,#N/A,TRUE,"Смета на пасс. обор. №1"}</definedName>
    <definedName name="сс" localSheetId="6" hidden="1">{#N/A,#N/A,TRUE,"Смета на пасс. обор. №1"}</definedName>
    <definedName name="сс" localSheetId="7" hidden="1">{#N/A,#N/A,TRUE,"Смета на пасс. обор. №1"}</definedName>
    <definedName name="сс" localSheetId="18" hidden="1">{#N/A,#N/A,TRUE,"Смета на пасс. обор. №1"}</definedName>
    <definedName name="сс" localSheetId="38" hidden="1">{#N/A,#N/A,TRUE,"Смета на пасс. обор. №1"}</definedName>
    <definedName name="сс" localSheetId="19" hidden="1">{#N/A,#N/A,TRUE,"Смета на пасс. обор. №1"}</definedName>
    <definedName name="сс" hidden="1">{#N/A,#N/A,TRUE,"Смета на пасс. обор. №1"}</definedName>
    <definedName name="сс_1" localSheetId="16" hidden="1">{#N/A,#N/A,TRUE,"Смета на пасс. обор. №1"}</definedName>
    <definedName name="сс_1" localSheetId="36" hidden="1">{#N/A,#N/A,TRUE,"Смета на пасс. обор. №1"}</definedName>
    <definedName name="сс_1" localSheetId="40" hidden="1">{#N/A,#N/A,TRUE,"Смета на пасс. обор. №1"}</definedName>
    <definedName name="сс_1" localSheetId="30" hidden="1">{#N/A,#N/A,TRUE,"Смета на пасс. обор. №1"}</definedName>
    <definedName name="сс_1" localSheetId="6" hidden="1">{#N/A,#N/A,TRUE,"Смета на пасс. обор. №1"}</definedName>
    <definedName name="сс_1" localSheetId="7" hidden="1">{#N/A,#N/A,TRUE,"Смета на пасс. обор. №1"}</definedName>
    <definedName name="сс_1" localSheetId="18" hidden="1">{#N/A,#N/A,TRUE,"Смета на пасс. обор. №1"}</definedName>
    <definedName name="сс_1" localSheetId="38" hidden="1">{#N/A,#N/A,TRUE,"Смета на пасс. обор. №1"}</definedName>
    <definedName name="сс_1" localSheetId="19" hidden="1">{#N/A,#N/A,TRUE,"Смета на пасс. обор. №1"}</definedName>
    <definedName name="сс_1" hidden="1">{#N/A,#N/A,TRUE,"Смета на пасс. обор. №1"}</definedName>
    <definedName name="ссп" localSheetId="16" hidden="1">{#N/A,#N/A,TRUE,"Смета на пасс. обор. №1"}</definedName>
    <definedName name="ссп" localSheetId="36" hidden="1">{#N/A,#N/A,TRUE,"Смета на пасс. обор. №1"}</definedName>
    <definedName name="ссп" localSheetId="40" hidden="1">{#N/A,#N/A,TRUE,"Смета на пасс. обор. №1"}</definedName>
    <definedName name="ссп" localSheetId="30" hidden="1">{#N/A,#N/A,TRUE,"Смета на пасс. обор. №1"}</definedName>
    <definedName name="ссп" localSheetId="6" hidden="1">{#N/A,#N/A,TRUE,"Смета на пасс. обор. №1"}</definedName>
    <definedName name="ссп" localSheetId="7" hidden="1">{#N/A,#N/A,TRUE,"Смета на пасс. обор. №1"}</definedName>
    <definedName name="ссп" localSheetId="18" hidden="1">{#N/A,#N/A,TRUE,"Смета на пасс. обор. №1"}</definedName>
    <definedName name="ссп" localSheetId="38" hidden="1">{#N/A,#N/A,TRUE,"Смета на пасс. обор. №1"}</definedName>
    <definedName name="ссп" localSheetId="19" hidden="1">{#N/A,#N/A,TRUE,"Смета на пасс. обор. №1"}</definedName>
    <definedName name="ссп" hidden="1">{#N/A,#N/A,TRUE,"Смета на пасс. обор. №1"}</definedName>
    <definedName name="ссп_1" localSheetId="16" hidden="1">{#N/A,#N/A,TRUE,"Смета на пасс. обор. №1"}</definedName>
    <definedName name="ссп_1" localSheetId="36" hidden="1">{#N/A,#N/A,TRUE,"Смета на пасс. обор. №1"}</definedName>
    <definedName name="ссп_1" localSheetId="40" hidden="1">{#N/A,#N/A,TRUE,"Смета на пасс. обор. №1"}</definedName>
    <definedName name="ссп_1" localSheetId="30" hidden="1">{#N/A,#N/A,TRUE,"Смета на пасс. обор. №1"}</definedName>
    <definedName name="ссп_1" localSheetId="6" hidden="1">{#N/A,#N/A,TRUE,"Смета на пасс. обор. №1"}</definedName>
    <definedName name="ссп_1" localSheetId="7" hidden="1">{#N/A,#N/A,TRUE,"Смета на пасс. обор. №1"}</definedName>
    <definedName name="ссп_1" localSheetId="18" hidden="1">{#N/A,#N/A,TRUE,"Смета на пасс. обор. №1"}</definedName>
    <definedName name="ссп_1" localSheetId="38" hidden="1">{#N/A,#N/A,TRUE,"Смета на пасс. обор. №1"}</definedName>
    <definedName name="ссп_1" localSheetId="19" hidden="1">{#N/A,#N/A,TRUE,"Смета на пасс. обор. №1"}</definedName>
    <definedName name="ссп_1" hidden="1">{#N/A,#N/A,TRUE,"Смета на пасс. обор. №1"}</definedName>
    <definedName name="ССР" localSheetId="16">#REF!</definedName>
    <definedName name="ССР" localSheetId="25">#REF!</definedName>
    <definedName name="ССР" localSheetId="18">#REF!</definedName>
    <definedName name="ССР_ИИ_Д1_корр" localSheetId="16">#REF!</definedName>
    <definedName name="ССР_ИИ_Д1_корр" localSheetId="25">#REF!</definedName>
    <definedName name="ССР_ИИ_Д1_корр" localSheetId="18">#REF!</definedName>
    <definedName name="ссс" localSheetId="16">#REF!</definedName>
    <definedName name="ссс" localSheetId="25">#REF!</definedName>
    <definedName name="ссс" localSheetId="18">#REF!</definedName>
    <definedName name="ссср" localSheetId="25">#REF!</definedName>
    <definedName name="сссс" localSheetId="25">#REF!</definedName>
    <definedName name="ссссс" localSheetId="16" hidden="1">{#N/A,#N/A,TRUE,"Смета на пасс. обор. №1"}</definedName>
    <definedName name="ссссс" localSheetId="36" hidden="1">{#N/A,#N/A,TRUE,"Смета на пасс. обор. №1"}</definedName>
    <definedName name="ссссс" localSheetId="40" hidden="1">{#N/A,#N/A,TRUE,"Смета на пасс. обор. №1"}</definedName>
    <definedName name="ссссс" localSheetId="30" hidden="1">{#N/A,#N/A,TRUE,"Смета на пасс. обор. №1"}</definedName>
    <definedName name="ссссс" localSheetId="6" hidden="1">{#N/A,#N/A,TRUE,"Смета на пасс. обор. №1"}</definedName>
    <definedName name="ссссс" localSheetId="7" hidden="1">{#N/A,#N/A,TRUE,"Смета на пасс. обор. №1"}</definedName>
    <definedName name="ссссс" localSheetId="18" hidden="1">{#N/A,#N/A,TRUE,"Смета на пасс. обор. №1"}</definedName>
    <definedName name="ссссс" localSheetId="38" hidden="1">{#N/A,#N/A,TRUE,"Смета на пасс. обор. №1"}</definedName>
    <definedName name="ссссс" localSheetId="19" hidden="1">{#N/A,#N/A,TRUE,"Смета на пасс. обор. №1"}</definedName>
    <definedName name="ссссс" hidden="1">{#N/A,#N/A,TRUE,"Смета на пасс. обор. №1"}</definedName>
    <definedName name="ссссс_1" localSheetId="16" hidden="1">{#N/A,#N/A,TRUE,"Смета на пасс. обор. №1"}</definedName>
    <definedName name="ссссс_1" localSheetId="36" hidden="1">{#N/A,#N/A,TRUE,"Смета на пасс. обор. №1"}</definedName>
    <definedName name="ссссс_1" localSheetId="40" hidden="1">{#N/A,#N/A,TRUE,"Смета на пасс. обор. №1"}</definedName>
    <definedName name="ссссс_1" localSheetId="30" hidden="1">{#N/A,#N/A,TRUE,"Смета на пасс. обор. №1"}</definedName>
    <definedName name="ссссс_1" localSheetId="6" hidden="1">{#N/A,#N/A,TRUE,"Смета на пасс. обор. №1"}</definedName>
    <definedName name="ссссс_1" localSheetId="7" hidden="1">{#N/A,#N/A,TRUE,"Смета на пасс. обор. №1"}</definedName>
    <definedName name="ссссс_1" localSheetId="18" hidden="1">{#N/A,#N/A,TRUE,"Смета на пасс. обор. №1"}</definedName>
    <definedName name="ссссс_1" localSheetId="38" hidden="1">{#N/A,#N/A,TRUE,"Смета на пасс. обор. №1"}</definedName>
    <definedName name="ссссс_1" localSheetId="19" hidden="1">{#N/A,#N/A,TRUE,"Смета на пасс. обор. №1"}</definedName>
    <definedName name="ссссс_1" hidden="1">{#N/A,#N/A,TRUE,"Смета на пасс. обор. №1"}</definedName>
    <definedName name="Ставрополь" localSheetId="16">#REF!</definedName>
    <definedName name="Ставрополь" localSheetId="25">#REF!</definedName>
    <definedName name="Ставрополь" localSheetId="18">#REF!</definedName>
    <definedName name="Ставрополь_1" localSheetId="16">#REF!</definedName>
    <definedName name="Ставрополь_1" localSheetId="25">#REF!</definedName>
    <definedName name="Ставрополь_1" localSheetId="18">#REF!</definedName>
    <definedName name="Ставрополь_2" localSheetId="16">#REF!</definedName>
    <definedName name="Ставрополь_2" localSheetId="25">#REF!</definedName>
    <definedName name="Ставрополь_2" localSheetId="18">#REF!</definedName>
    <definedName name="Ставрополь_22" localSheetId="25">#REF!</definedName>
    <definedName name="Ставрополь_49" localSheetId="25">#REF!</definedName>
    <definedName name="Ставрополь_5" localSheetId="25">#REF!</definedName>
    <definedName name="Ставрополь_50" localSheetId="25">#REF!</definedName>
    <definedName name="Ставрополь_51" localSheetId="25">#REF!</definedName>
    <definedName name="Ставрополь_52" localSheetId="25">#REF!</definedName>
    <definedName name="Ставрополь_53" localSheetId="25">#REF!</definedName>
    <definedName name="Ставрополь_54" localSheetId="25">#REF!</definedName>
    <definedName name="Ставропольский_край" localSheetId="25">#REF!</definedName>
    <definedName name="сто" localSheetId="16">'[32]8'!#REF!</definedName>
    <definedName name="сто" localSheetId="25">'[32]8'!#REF!</definedName>
    <definedName name="сто" localSheetId="18">'[32]8'!#REF!</definedName>
    <definedName name="Стоимость" localSheetId="16">#REF!</definedName>
    <definedName name="Стоимость" localSheetId="25">#REF!</definedName>
    <definedName name="Стоимость" localSheetId="30">#REF!</definedName>
    <definedName name="Стоимость" localSheetId="18">#REF!</definedName>
    <definedName name="Стоимость_по_акту_выполненных_работ_в_базисных_ценах" localSheetId="25">#REF!</definedName>
    <definedName name="Стоимость_по_акту_выполненных_работ_в_базисных_ценах" localSheetId="30">#REF!</definedName>
    <definedName name="Стоимость_по_акту_выполненных_работ_в_базисных_ценах" localSheetId="18">#REF!</definedName>
    <definedName name="Стоимость_по_акту_выполненных_работ_при_ресурсном_расчете" localSheetId="25">#REF!</definedName>
    <definedName name="Стоимость_по_акту_выполненных_работ_при_ресурсном_расчете" localSheetId="30">#REF!</definedName>
    <definedName name="Стоимость_по_акту_выполненных_работ_при_ресурсном_расчете" localSheetId="18">#REF!</definedName>
    <definedName name="Строительная_полоса" localSheetId="16">#REF!</definedName>
    <definedName name="Строительная_полоса" localSheetId="25">#REF!</definedName>
    <definedName name="Строительная_полоса" localSheetId="18">#REF!</definedName>
    <definedName name="Строительная_полоса_1" localSheetId="25">#REF!</definedName>
    <definedName name="Строительная_полоса_1" localSheetId="18">#REF!</definedName>
    <definedName name="Строительные_работы_в_базисных_ценах" localSheetId="25">#REF!</definedName>
    <definedName name="Строительные_работы_в_базисных_ценах" localSheetId="18">#REF!</definedName>
    <definedName name="Строительные_работы_в_текущих_ценах" localSheetId="25">'[26]Переменные и константы'!#REF!</definedName>
    <definedName name="Строительные_работы_в_текущих_ценах" localSheetId="18">'[26]Переменные и константы'!#REF!</definedName>
    <definedName name="Строительные_работы_в_текущих_ценах_по_ресурсному_расчету" localSheetId="25">'[26]Переменные и константы'!#REF!</definedName>
    <definedName name="Строительные_работы_в_текущих_ценах_по_ресурсному_расчету" localSheetId="18">'[26]Переменные и константы'!#REF!</definedName>
    <definedName name="Строительные_работы_в_текущих_ценах_после_применения_индексов" localSheetId="25">'[26]Переменные и константы'!#REF!</definedName>
    <definedName name="Строительные_работы_в_текущих_ценах_после_применения_индексов" localSheetId="18">'[26]Переменные и константы'!#REF!</definedName>
    <definedName name="структ." localSheetId="16">#REF!</definedName>
    <definedName name="структ." localSheetId="25">#REF!</definedName>
    <definedName name="структ." localSheetId="30">#REF!</definedName>
    <definedName name="структ." localSheetId="18">#REF!</definedName>
    <definedName name="сусусу" localSheetId="16" hidden="1">{#N/A,#N/A,TRUE,"Смета на пасс. обор. №1"}</definedName>
    <definedName name="сусусу" localSheetId="36" hidden="1">{#N/A,#N/A,TRUE,"Смета на пасс. обор. №1"}</definedName>
    <definedName name="сусусу" localSheetId="40" hidden="1">{#N/A,#N/A,TRUE,"Смета на пасс. обор. №1"}</definedName>
    <definedName name="сусусу" localSheetId="30" hidden="1">{#N/A,#N/A,TRUE,"Смета на пасс. обор. №1"}</definedName>
    <definedName name="сусусу" localSheetId="6" hidden="1">{#N/A,#N/A,TRUE,"Смета на пасс. обор. №1"}</definedName>
    <definedName name="сусусу" localSheetId="7" hidden="1">{#N/A,#N/A,TRUE,"Смета на пасс. обор. №1"}</definedName>
    <definedName name="сусусу" localSheetId="18" hidden="1">{#N/A,#N/A,TRUE,"Смета на пасс. обор. №1"}</definedName>
    <definedName name="сусусу" localSheetId="38" hidden="1">{#N/A,#N/A,TRUE,"Смета на пасс. обор. №1"}</definedName>
    <definedName name="сусусу" localSheetId="19" hidden="1">{#N/A,#N/A,TRUE,"Смета на пасс. обор. №1"}</definedName>
    <definedName name="сусусу" hidden="1">{#N/A,#N/A,TRUE,"Смета на пасс. обор. №1"}</definedName>
    <definedName name="сусусу_1" localSheetId="16" hidden="1">{#N/A,#N/A,TRUE,"Смета на пасс. обор. №1"}</definedName>
    <definedName name="сусусу_1" localSheetId="36" hidden="1">{#N/A,#N/A,TRUE,"Смета на пасс. обор. №1"}</definedName>
    <definedName name="сусусу_1" localSheetId="40" hidden="1">{#N/A,#N/A,TRUE,"Смета на пасс. обор. №1"}</definedName>
    <definedName name="сусусу_1" localSheetId="30" hidden="1">{#N/A,#N/A,TRUE,"Смета на пасс. обор. №1"}</definedName>
    <definedName name="сусусу_1" localSheetId="6" hidden="1">{#N/A,#N/A,TRUE,"Смета на пасс. обор. №1"}</definedName>
    <definedName name="сусусу_1" localSheetId="7" hidden="1">{#N/A,#N/A,TRUE,"Смета на пасс. обор. №1"}</definedName>
    <definedName name="сусусу_1" localSheetId="18" hidden="1">{#N/A,#N/A,TRUE,"Смета на пасс. обор. №1"}</definedName>
    <definedName name="сусусу_1" localSheetId="38" hidden="1">{#N/A,#N/A,TRUE,"Смета на пасс. обор. №1"}</definedName>
    <definedName name="сусусу_1" localSheetId="19" hidden="1">{#N/A,#N/A,TRUE,"Смета на пасс. обор. №1"}</definedName>
    <definedName name="сусусу_1" hidden="1">{#N/A,#N/A,TRUE,"Смета на пасс. обор. №1"}</definedName>
    <definedName name="счьор" localSheetId="16">[4]топография!#REF!</definedName>
    <definedName name="счьор" localSheetId="25">[5]топография!#REF!</definedName>
    <definedName name="т" localSheetId="16">#REF!</definedName>
    <definedName name="т" localSheetId="25">#REF!</definedName>
    <definedName name="т" localSheetId="18">#REF!</definedName>
    <definedName name="Т5" localSheetId="16">#REF!</definedName>
    <definedName name="Т5" localSheetId="25">#REF!</definedName>
    <definedName name="Т5" localSheetId="18">#REF!</definedName>
    <definedName name="Т6" localSheetId="25">#REF!</definedName>
    <definedName name="Т6" localSheetId="18">#REF!</definedName>
    <definedName name="Тамбовская_область" localSheetId="25">#REF!</definedName>
    <definedName name="тасс" localSheetId="16" hidden="1">{#N/A,#N/A,TRUE,"Смета на пасс. обор. №1"}</definedName>
    <definedName name="тасс" localSheetId="36" hidden="1">{#N/A,#N/A,TRUE,"Смета на пасс. обор. №1"}</definedName>
    <definedName name="тасс" localSheetId="40" hidden="1">{#N/A,#N/A,TRUE,"Смета на пасс. обор. №1"}</definedName>
    <definedName name="тасс" localSheetId="30" hidden="1">{#N/A,#N/A,TRUE,"Смета на пасс. обор. №1"}</definedName>
    <definedName name="тасс" localSheetId="6" hidden="1">{#N/A,#N/A,TRUE,"Смета на пасс. обор. №1"}</definedName>
    <definedName name="тасс" localSheetId="7" hidden="1">{#N/A,#N/A,TRUE,"Смета на пасс. обор. №1"}</definedName>
    <definedName name="тасс" localSheetId="18" hidden="1">{#N/A,#N/A,TRUE,"Смета на пасс. обор. №1"}</definedName>
    <definedName name="тасс" localSheetId="38" hidden="1">{#N/A,#N/A,TRUE,"Смета на пасс. обор. №1"}</definedName>
    <definedName name="тасс" localSheetId="19" hidden="1">{#N/A,#N/A,TRUE,"Смета на пасс. обор. №1"}</definedName>
    <definedName name="тасс" hidden="1">{#N/A,#N/A,TRUE,"Смета на пасс. обор. №1"}</definedName>
    <definedName name="тасс_1" localSheetId="16" hidden="1">{#N/A,#N/A,TRUE,"Смета на пасс. обор. №1"}</definedName>
    <definedName name="тасс_1" localSheetId="36" hidden="1">{#N/A,#N/A,TRUE,"Смета на пасс. обор. №1"}</definedName>
    <definedName name="тасс_1" localSheetId="40" hidden="1">{#N/A,#N/A,TRUE,"Смета на пасс. обор. №1"}</definedName>
    <definedName name="тасс_1" localSheetId="30" hidden="1">{#N/A,#N/A,TRUE,"Смета на пасс. обор. №1"}</definedName>
    <definedName name="тасс_1" localSheetId="6" hidden="1">{#N/A,#N/A,TRUE,"Смета на пасс. обор. №1"}</definedName>
    <definedName name="тасс_1" localSheetId="7" hidden="1">{#N/A,#N/A,TRUE,"Смета на пасс. обор. №1"}</definedName>
    <definedName name="тасс_1" localSheetId="18" hidden="1">{#N/A,#N/A,TRUE,"Смета на пасс. обор. №1"}</definedName>
    <definedName name="тасс_1" localSheetId="38" hidden="1">{#N/A,#N/A,TRUE,"Смета на пасс. обор. №1"}</definedName>
    <definedName name="тасс_1" localSheetId="19" hidden="1">{#N/A,#N/A,TRUE,"Смета на пасс. обор. №1"}</definedName>
    <definedName name="тасс_1" hidden="1">{#N/A,#N/A,TRUE,"Смета на пасс. обор. №1"}</definedName>
    <definedName name="Тверская_область" localSheetId="16">#REF!</definedName>
    <definedName name="Тверская_область" localSheetId="25">#REF!</definedName>
    <definedName name="Тверская_область" localSheetId="18">#REF!</definedName>
    <definedName name="теодкккккккккккк" localSheetId="16">#REF!</definedName>
    <definedName name="теодкккккккккккк" localSheetId="25">#REF!</definedName>
    <definedName name="теодкккккккккккк" localSheetId="30">#REF!</definedName>
    <definedName name="теодкккккккккккк" localSheetId="18">#REF!</definedName>
    <definedName name="Территориальная_поправка_к_ТЕР" localSheetId="25">#REF!</definedName>
    <definedName name="Территориальная_поправка_к_ТЕР" localSheetId="18">#REF!</definedName>
    <definedName name="техник" localSheetId="25">#REF!</definedName>
    <definedName name="техник" localSheetId="18">#REF!</definedName>
    <definedName name="технич" localSheetId="25">#REF!</definedName>
    <definedName name="ТолкоМашЛаб" localSheetId="25">[30]СмМашБур!#REF!</definedName>
    <definedName name="ТолькоМашБур" localSheetId="25">[30]СмМашБур!#REF!</definedName>
    <definedName name="ТолькоРучБур" localSheetId="25">[30]СмРучБур!#REF!</definedName>
    <definedName name="Томская_область" localSheetId="16">#REF!</definedName>
    <definedName name="Томская_область" localSheetId="25">#REF!</definedName>
    <definedName name="Томская_область" localSheetId="30">#REF!</definedName>
    <definedName name="Томская_область" localSheetId="18">#REF!</definedName>
    <definedName name="Томская_область_1" localSheetId="25">#REF!</definedName>
    <definedName name="Томская_область_1" localSheetId="30">#REF!</definedName>
    <definedName name="Томская_область_1" localSheetId="18">#REF!</definedName>
    <definedName name="топ1" localSheetId="25">#REF!</definedName>
    <definedName name="топ1" localSheetId="18">#REF!</definedName>
    <definedName name="топ2" localSheetId="25">#REF!</definedName>
    <definedName name="топо" localSheetId="25">#REF!</definedName>
    <definedName name="топо_1" localSheetId="25">#REF!</definedName>
    <definedName name="топогр1" localSheetId="25">#REF!</definedName>
    <definedName name="топограф" localSheetId="25">#REF!</definedName>
    <definedName name="тор" localSheetId="25">#REF!</definedName>
    <definedName name="тра" localSheetId="36" hidden="1">{"IMRAK42x8x8",#N/A,TRUE,"IMRAK 1400 42U 800X800";"IMRAK32x6x6",#N/A,TRUE,"IMRAK 1400 32U 600x600";"IMRAK42x12x8",#N/A,TRUE,"IMRAK 1400 42U 1200x800";"IMRAK15x6x4",#N/A,TRUE,"IMRAK 400 15U FRONT SECTION"}</definedName>
    <definedName name="тра" localSheetId="40" hidden="1">{"IMRAK42x8x8",#N/A,TRUE,"IMRAK 1400 42U 800X800";"IMRAK32x6x6",#N/A,TRUE,"IMRAK 1400 32U 600x600";"IMRAK42x12x8",#N/A,TRUE,"IMRAK 1400 42U 1200x800";"IMRAK15x6x4",#N/A,TRUE,"IMRAK 400 15U FRONT SECTION"}</definedName>
    <definedName name="тра" localSheetId="6" hidden="1">{"IMRAK42x8x8",#N/A,TRUE,"IMRAK 1400 42U 800X800";"IMRAK32x6x6",#N/A,TRUE,"IMRAK 1400 32U 600x600";"IMRAK42x12x8",#N/A,TRUE,"IMRAK 1400 42U 1200x800";"IMRAK15x6x4",#N/A,TRUE,"IMRAK 400 15U FRONT SECTION"}</definedName>
    <definedName name="тра" localSheetId="7" hidden="1">{"IMRAK42x8x8",#N/A,TRUE,"IMRAK 1400 42U 800X800";"IMRAK32x6x6",#N/A,TRUE,"IMRAK 1400 32U 600x600";"IMRAK42x12x8",#N/A,TRUE,"IMRAK 1400 42U 1200x800";"IMRAK15x6x4",#N/A,TRUE,"IMRAK 400 15U FRONT SECTION"}</definedName>
    <definedName name="тра" localSheetId="38" hidden="1">{"IMRAK42x8x8",#N/A,TRUE,"IMRAK 1400 42U 800X800";"IMRAK32x6x6",#N/A,TRUE,"IMRAK 1400 32U 600x600";"IMRAK42x12x8",#N/A,TRUE,"IMRAK 1400 42U 1200x800";"IMRAK15x6x4",#N/A,TRUE,"IMRAK 400 15U FRONT SECTION"}</definedName>
    <definedName name="тра" hidden="1">{"IMRAK42x8x8",#N/A,TRUE,"IMRAK 1400 42U 800X800";"IMRAK32x6x6",#N/A,TRUE,"IMRAK 1400 32U 600x600";"IMRAK42x12x8",#N/A,TRUE,"IMRAK 1400 42U 1200x800";"IMRAK15x6x4",#N/A,TRUE,"IMRAK 400 15U FRONT SECTION"}</definedName>
    <definedName name="тран" localSheetId="36" hidden="1">{"IMRAK42x8x8",#N/A,TRUE,"IMRAK 1400 42U 800X800";"IMRAK32x6x6",#N/A,TRUE,"IMRAK 1400 32U 600x600";"IMRAK42x12x8",#N/A,TRUE,"IMRAK 1400 42U 1200x800";"IMRAK15x6x4",#N/A,TRUE,"IMRAK 400 15U FRONT SECTION"}</definedName>
    <definedName name="тран" localSheetId="40" hidden="1">{"IMRAK42x8x8",#N/A,TRUE,"IMRAK 1400 42U 800X800";"IMRAK32x6x6",#N/A,TRUE,"IMRAK 1400 32U 600x600";"IMRAK42x12x8",#N/A,TRUE,"IMRAK 1400 42U 1200x800";"IMRAK15x6x4",#N/A,TRUE,"IMRAK 400 15U FRONT SECTION"}</definedName>
    <definedName name="тран" localSheetId="6" hidden="1">{"IMRAK42x8x8",#N/A,TRUE,"IMRAK 1400 42U 800X800";"IMRAK32x6x6",#N/A,TRUE,"IMRAK 1400 32U 600x600";"IMRAK42x12x8",#N/A,TRUE,"IMRAK 1400 42U 1200x800";"IMRAK15x6x4",#N/A,TRUE,"IMRAK 400 15U FRONT SECTION"}</definedName>
    <definedName name="тран" localSheetId="7" hidden="1">{"IMRAK42x8x8",#N/A,TRUE,"IMRAK 1400 42U 800X800";"IMRAK32x6x6",#N/A,TRUE,"IMRAK 1400 32U 600x600";"IMRAK42x12x8",#N/A,TRUE,"IMRAK 1400 42U 1200x800";"IMRAK15x6x4",#N/A,TRUE,"IMRAK 400 15U FRONT SECTION"}</definedName>
    <definedName name="тран" localSheetId="38" hidden="1">{"IMRAK42x8x8",#N/A,TRUE,"IMRAK 1400 42U 800X800";"IMRAK32x6x6",#N/A,TRUE,"IMRAK 1400 32U 600x600";"IMRAK42x12x8",#N/A,TRUE,"IMRAK 1400 42U 1200x800";"IMRAK15x6x4",#N/A,TRUE,"IMRAK 400 15U FRONT SECTION"}</definedName>
    <definedName name="тран" hidden="1">{"IMRAK42x8x8",#N/A,TRUE,"IMRAK 1400 42U 800X800";"IMRAK32x6x6",#N/A,TRUE,"IMRAK 1400 32U 600x600";"IMRAK42x12x8",#N/A,TRUE,"IMRAK 1400 42U 1200x800";"IMRAK15x6x4",#N/A,TRUE,"IMRAK 400 15U FRONT SECTION"}</definedName>
    <definedName name="третий" localSheetId="16">#REF!</definedName>
    <definedName name="третий" localSheetId="25">#REF!</definedName>
    <definedName name="третья_кат" localSheetId="25">#REF!</definedName>
    <definedName name="трол" localSheetId="25">#REF!</definedName>
    <definedName name="трп" localSheetId="16" hidden="1">{#N/A,#N/A,TRUE,"Смета на пасс. обор. №1"}</definedName>
    <definedName name="трп" localSheetId="36" hidden="1">{#N/A,#N/A,TRUE,"Смета на пасс. обор. №1"}</definedName>
    <definedName name="трп" localSheetId="40" hidden="1">{#N/A,#N/A,TRUE,"Смета на пасс. обор. №1"}</definedName>
    <definedName name="трп" localSheetId="30" hidden="1">{#N/A,#N/A,TRUE,"Смета на пасс. обор. №1"}</definedName>
    <definedName name="трп" localSheetId="6" hidden="1">{#N/A,#N/A,TRUE,"Смета на пасс. обор. №1"}</definedName>
    <definedName name="трп" localSheetId="7" hidden="1">{#N/A,#N/A,TRUE,"Смета на пасс. обор. №1"}</definedName>
    <definedName name="трп" localSheetId="18" hidden="1">{#N/A,#N/A,TRUE,"Смета на пасс. обор. №1"}</definedName>
    <definedName name="трп" localSheetId="38" hidden="1">{#N/A,#N/A,TRUE,"Смета на пасс. обор. №1"}</definedName>
    <definedName name="трп" localSheetId="19" hidden="1">{#N/A,#N/A,TRUE,"Смета на пасс. обор. №1"}</definedName>
    <definedName name="трп" hidden="1">{#N/A,#N/A,TRUE,"Смета на пасс. обор. №1"}</definedName>
    <definedName name="трп_1" localSheetId="16" hidden="1">{#N/A,#N/A,TRUE,"Смета на пасс. обор. №1"}</definedName>
    <definedName name="трп_1" localSheetId="36" hidden="1">{#N/A,#N/A,TRUE,"Смета на пасс. обор. №1"}</definedName>
    <definedName name="трп_1" localSheetId="40" hidden="1">{#N/A,#N/A,TRUE,"Смета на пасс. обор. №1"}</definedName>
    <definedName name="трп_1" localSheetId="30" hidden="1">{#N/A,#N/A,TRUE,"Смета на пасс. обор. №1"}</definedName>
    <definedName name="трп_1" localSheetId="6" hidden="1">{#N/A,#N/A,TRUE,"Смета на пасс. обор. №1"}</definedName>
    <definedName name="трп_1" localSheetId="7" hidden="1">{#N/A,#N/A,TRUE,"Смета на пасс. обор. №1"}</definedName>
    <definedName name="трп_1" localSheetId="18" hidden="1">{#N/A,#N/A,TRUE,"Смета на пасс. обор. №1"}</definedName>
    <definedName name="трп_1" localSheetId="38" hidden="1">{#N/A,#N/A,TRUE,"Смета на пасс. обор. №1"}</definedName>
    <definedName name="трп_1" localSheetId="19" hidden="1">{#N/A,#N/A,TRUE,"Смета на пасс. обор. №1"}</definedName>
    <definedName name="трп_1" hidden="1">{#N/A,#N/A,TRUE,"Смета на пасс. обор. №1"}</definedName>
    <definedName name="Труд_механизаторов_по_акту_вып_работ_с_учетом_к_тов" localSheetId="16">#REF!</definedName>
    <definedName name="Труд_механизаторов_по_акту_вып_работ_с_учетом_к_тов" localSheetId="25">#REF!</definedName>
    <definedName name="Труд_механизаторов_по_акту_вып_работ_с_учетом_к_тов" localSheetId="18">#REF!</definedName>
    <definedName name="Труд_основн_рабочих_по_акту_вып_работ_с_учетом_к_тов" localSheetId="25">#REF!</definedName>
    <definedName name="Труд_основн_рабочих_по_акту_вып_работ_с_учетом_к_тов" localSheetId="18">#REF!</definedName>
    <definedName name="Трудоемкость_механизаторов_по_акту_выполненных_работ" localSheetId="25">#REF!</definedName>
    <definedName name="Трудоемкость_механизаторов_по_акту_выполненных_работ" localSheetId="18">#REF!</definedName>
    <definedName name="Трудоемкость_основных_рабочих_по_акту_выполненных_работ" localSheetId="25">#REF!</definedName>
    <definedName name="ТС1" localSheetId="25">#REF!</definedName>
    <definedName name="Тульская_область" localSheetId="25">#REF!</definedName>
    <definedName name="тыс" localSheetId="16">{0,"тысячz";1,"тысячаz";2,"тысячиz";5,"тысячz"}</definedName>
    <definedName name="тыс" localSheetId="40">{0,"тысячz";1,"тысячаz";2,"тысячиz";5,"тысячz"}</definedName>
    <definedName name="тыс" localSheetId="30">{0,"тысячz";1,"тысячаz";2,"тысячиz";5,"тысячz"}</definedName>
    <definedName name="тыс" localSheetId="18">{0,"тысячz";1,"тысячаz";2,"тысячиz";5,"тысячz"}</definedName>
    <definedName name="тьбю" localSheetId="16">#REF!</definedName>
    <definedName name="тьбю" localSheetId="25">#REF!</definedName>
    <definedName name="тьбю" localSheetId="18">#REF!</definedName>
    <definedName name="тьюит" localSheetId="25">#REF!</definedName>
    <definedName name="тьюит" localSheetId="18">#REF!</definedName>
    <definedName name="ТЭО" localSheetId="25">#REF!</definedName>
    <definedName name="ТЭО" localSheetId="18">#REF!</definedName>
    <definedName name="ТЭО1" localSheetId="25">#REF!</definedName>
    <definedName name="ТЭО2" localSheetId="25">#REF!</definedName>
    <definedName name="ТЭОДКК" localSheetId="25">#REF!</definedName>
    <definedName name="ТЭОДККК" localSheetId="25">#REF!</definedName>
    <definedName name="Тюменская_область" localSheetId="25">#REF!</definedName>
    <definedName name="Тюменская_область_1" localSheetId="25">#REF!</definedName>
    <definedName name="убыль" localSheetId="25">#REF!</definedName>
    <definedName name="ува" localSheetId="25">#REF!</definedName>
    <definedName name="уг" localSheetId="25">#REF!</definedName>
    <definedName name="Удмуртская_Республика" localSheetId="25">#REF!</definedName>
    <definedName name="Удмуртская_Республика_1" localSheetId="25">#REF!</definedName>
    <definedName name="уено" localSheetId="25">#REF!</definedName>
    <definedName name="уенонео" localSheetId="25">#REF!</definedName>
    <definedName name="уер" localSheetId="25">#REF!</definedName>
    <definedName name="уеро" localSheetId="25">#REF!</definedName>
    <definedName name="уерор" localSheetId="25">#REF!</definedName>
    <definedName name="ук" localSheetId="16" hidden="1">{#N/A,#N/A,TRUE,"Смета на пасс. обор. №1"}</definedName>
    <definedName name="ук" localSheetId="36" hidden="1">{#N/A,#N/A,TRUE,"Смета на пасс. обор. №1"}</definedName>
    <definedName name="ук" localSheetId="40" hidden="1">{#N/A,#N/A,TRUE,"Смета на пасс. обор. №1"}</definedName>
    <definedName name="ук" localSheetId="30" hidden="1">{#N/A,#N/A,TRUE,"Смета на пасс. обор. №1"}</definedName>
    <definedName name="ук" localSheetId="6" hidden="1">{#N/A,#N/A,TRUE,"Смета на пасс. обор. №1"}</definedName>
    <definedName name="ук" localSheetId="7" hidden="1">{#N/A,#N/A,TRUE,"Смета на пасс. обор. №1"}</definedName>
    <definedName name="ук" localSheetId="18" hidden="1">{#N/A,#N/A,TRUE,"Смета на пасс. обор. №1"}</definedName>
    <definedName name="ук" localSheetId="38" hidden="1">{#N/A,#N/A,TRUE,"Смета на пасс. обор. №1"}</definedName>
    <definedName name="ук" localSheetId="19" hidden="1">{#N/A,#N/A,TRUE,"Смета на пасс. обор. №1"}</definedName>
    <definedName name="ук" hidden="1">{#N/A,#N/A,TRUE,"Смета на пасс. обор. №1"}</definedName>
    <definedName name="ук_1" localSheetId="16" hidden="1">{#N/A,#N/A,TRUE,"Смета на пасс. обор. №1"}</definedName>
    <definedName name="ук_1" localSheetId="36" hidden="1">{#N/A,#N/A,TRUE,"Смета на пасс. обор. №1"}</definedName>
    <definedName name="ук_1" localSheetId="40" hidden="1">{#N/A,#N/A,TRUE,"Смета на пасс. обор. №1"}</definedName>
    <definedName name="ук_1" localSheetId="30" hidden="1">{#N/A,#N/A,TRUE,"Смета на пасс. обор. №1"}</definedName>
    <definedName name="ук_1" localSheetId="6" hidden="1">{#N/A,#N/A,TRUE,"Смета на пасс. обор. №1"}</definedName>
    <definedName name="ук_1" localSheetId="7" hidden="1">{#N/A,#N/A,TRUE,"Смета на пасс. обор. №1"}</definedName>
    <definedName name="ук_1" localSheetId="18" hidden="1">{#N/A,#N/A,TRUE,"Смета на пасс. обор. №1"}</definedName>
    <definedName name="ук_1" localSheetId="38" hidden="1">{#N/A,#N/A,TRUE,"Смета на пасс. обор. №1"}</definedName>
    <definedName name="ук_1" localSheetId="19" hidden="1">{#N/A,#N/A,TRUE,"Смета на пасс. обор. №1"}</definedName>
    <definedName name="ук_1" hidden="1">{#N/A,#N/A,TRUE,"Смета на пасс. обор. №1"}</definedName>
    <definedName name="уке" localSheetId="16">#REF!</definedName>
    <definedName name="уке" localSheetId="25">#REF!</definedName>
    <definedName name="уке" localSheetId="18">#REF!</definedName>
    <definedName name="укее" localSheetId="25">#REF!</definedName>
    <definedName name="укее" localSheetId="18">#REF!</definedName>
    <definedName name="укк_м" localSheetId="25">#REF!</definedName>
    <definedName name="укк_м" localSheetId="18">#REF!</definedName>
    <definedName name="Укрупненный_норматив_НР_для_расчета_в_текущих_ценах_и_ценах_2001г." localSheetId="25">#REF!</definedName>
    <definedName name="Укрупненный_норматив_НР_для_расчета_в_ценах_1984г." localSheetId="25">#REF!</definedName>
    <definedName name="Укрупненный_норматив_СП_для_расчета_в_текущих_ценах_и_ценах_2001г." localSheetId="25">#REF!</definedName>
    <definedName name="Укрупненный_норматив_СП_для_расчета_в_ценах_1984г." localSheetId="25">#REF!</definedName>
    <definedName name="укц" localSheetId="25">#REF!</definedName>
    <definedName name="Ульяновская_область" localSheetId="25">#REF!</definedName>
    <definedName name="уне" localSheetId="25">#REF!</definedName>
    <definedName name="уно" localSheetId="25">#REF!</definedName>
    <definedName name="уо" localSheetId="25">#REF!</definedName>
    <definedName name="уое" localSheetId="25">#REF!</definedName>
    <definedName name="упроуо" localSheetId="25">#REF!</definedName>
    <definedName name="упрт" localSheetId="25">#REF!</definedName>
    <definedName name="ур" localSheetId="25">#REF!</definedName>
    <definedName name="уре" localSheetId="25">#REF!</definedName>
    <definedName name="урк" localSheetId="25">#REF!</definedName>
    <definedName name="урн" localSheetId="25">#REF!</definedName>
    <definedName name="уу" localSheetId="36" hidden="1">{#N/A,#N/A,TRUE,"Смета на пасс. обор. №1"}</definedName>
    <definedName name="уу" localSheetId="25">#REF!</definedName>
    <definedName name="уукк" localSheetId="25">#REF!</definedName>
    <definedName name="ууу" localSheetId="25">#REF!</definedName>
    <definedName name="уууу" localSheetId="36" hidden="1">{#N/A,#N/A,TRUE,"Смета на пасс. обор. №1"}</definedName>
    <definedName name="уууу" localSheetId="40" hidden="1">{#N/A,#N/A,TRUE,"Смета на пасс. обор. №1"}</definedName>
    <definedName name="уууу" localSheetId="6" hidden="1">{#N/A,#N/A,TRUE,"Смета на пасс. обор. №1"}</definedName>
    <definedName name="уууу" localSheetId="7" hidden="1">{#N/A,#N/A,TRUE,"Смета на пасс. обор. №1"}</definedName>
    <definedName name="уууу" localSheetId="38" hidden="1">{#N/A,#N/A,TRUE,"Смета на пасс. обор. №1"}</definedName>
    <definedName name="уууу" hidden="1">{#N/A,#N/A,TRUE,"Смета на пасс. обор. №1"}</definedName>
    <definedName name="ууууу" localSheetId="36" hidden="1">{#N/A,#N/A,TRUE,"Смета на пасс. обор. №1"}</definedName>
    <definedName name="ууууу" localSheetId="40" hidden="1">{#N/A,#N/A,TRUE,"Смета на пасс. обор. №1"}</definedName>
    <definedName name="ууууу" localSheetId="6" hidden="1">{#N/A,#N/A,TRUE,"Смета на пасс. обор. №1"}</definedName>
    <definedName name="ууууу" localSheetId="7" hidden="1">{#N/A,#N/A,TRUE,"Смета на пасс. обор. №1"}</definedName>
    <definedName name="ууууу" localSheetId="38" hidden="1">{#N/A,#N/A,TRUE,"Смета на пасс. обор. №1"}</definedName>
    <definedName name="ууууу" hidden="1">{#N/A,#N/A,TRUE,"Смета на пасс. обор. №1"}</definedName>
    <definedName name="уцуц" localSheetId="16">#REF!</definedName>
    <definedName name="уцуц" localSheetId="25">#REF!</definedName>
    <definedName name="Участок" localSheetId="25">#REF!</definedName>
    <definedName name="Участок_1" localSheetId="25">#REF!</definedName>
    <definedName name="ушщпгу" localSheetId="25">#REF!</definedName>
    <definedName name="уы" localSheetId="16" hidden="1">{#N/A,#N/A,TRUE,"Смета на пасс. обор. №1"}</definedName>
    <definedName name="уы" localSheetId="36" hidden="1">{#N/A,#N/A,TRUE,"Смета на пасс. обор. №1"}</definedName>
    <definedName name="уы" localSheetId="40" hidden="1">{#N/A,#N/A,TRUE,"Смета на пасс. обор. №1"}</definedName>
    <definedName name="уы" localSheetId="30" hidden="1">{#N/A,#N/A,TRUE,"Смета на пасс. обор. №1"}</definedName>
    <definedName name="уы" localSheetId="6" hidden="1">{#N/A,#N/A,TRUE,"Смета на пасс. обор. №1"}</definedName>
    <definedName name="уы" localSheetId="7" hidden="1">{#N/A,#N/A,TRUE,"Смета на пасс. обор. №1"}</definedName>
    <definedName name="уы" localSheetId="18" hidden="1">{#N/A,#N/A,TRUE,"Смета на пасс. обор. №1"}</definedName>
    <definedName name="уы" localSheetId="38" hidden="1">{#N/A,#N/A,TRUE,"Смета на пасс. обор. №1"}</definedName>
    <definedName name="уы" localSheetId="19" hidden="1">{#N/A,#N/A,TRUE,"Смета на пасс. обор. №1"}</definedName>
    <definedName name="уы" hidden="1">{#N/A,#N/A,TRUE,"Смета на пасс. обор. №1"}</definedName>
    <definedName name="уы_1" localSheetId="16" hidden="1">{#N/A,#N/A,TRUE,"Смета на пасс. обор. №1"}</definedName>
    <definedName name="уы_1" localSheetId="36" hidden="1">{#N/A,#N/A,TRUE,"Смета на пасс. обор. №1"}</definedName>
    <definedName name="уы_1" localSheetId="40" hidden="1">{#N/A,#N/A,TRUE,"Смета на пасс. обор. №1"}</definedName>
    <definedName name="уы_1" localSheetId="30" hidden="1">{#N/A,#N/A,TRUE,"Смета на пасс. обор. №1"}</definedName>
    <definedName name="уы_1" localSheetId="6" hidden="1">{#N/A,#N/A,TRUE,"Смета на пасс. обор. №1"}</definedName>
    <definedName name="уы_1" localSheetId="7" hidden="1">{#N/A,#N/A,TRUE,"Смета на пасс. обор. №1"}</definedName>
    <definedName name="уы_1" localSheetId="18" hidden="1">{#N/A,#N/A,TRUE,"Смета на пасс. обор. №1"}</definedName>
    <definedName name="уы_1" localSheetId="38" hidden="1">{#N/A,#N/A,TRUE,"Смета на пасс. обор. №1"}</definedName>
    <definedName name="уы_1" localSheetId="19" hidden="1">{#N/A,#N/A,TRUE,"Смета на пасс. обор. №1"}</definedName>
    <definedName name="уы_1" hidden="1">{#N/A,#N/A,TRUE,"Смета на пасс. обор. №1"}</definedName>
    <definedName name="ф" localSheetId="16" hidden="1">{#N/A,#N/A,TRUE,"Смета на пасс. обор. №1"}</definedName>
    <definedName name="ф" localSheetId="36" hidden="1">{#N/A,#N/A,TRUE,"Смета на пасс. обор. №1"}</definedName>
    <definedName name="ф" localSheetId="40" hidden="1">{#N/A,#N/A,TRUE,"Смета на пасс. обор. №1"}</definedName>
    <definedName name="ф" localSheetId="30" hidden="1">{#N/A,#N/A,TRUE,"Смета на пасс. обор. №1"}</definedName>
    <definedName name="ф" localSheetId="6" hidden="1">{#N/A,#N/A,TRUE,"Смета на пасс. обор. №1"}</definedName>
    <definedName name="ф" localSheetId="7" hidden="1">{#N/A,#N/A,TRUE,"Смета на пасс. обор. №1"}</definedName>
    <definedName name="ф" localSheetId="18" hidden="1">{#N/A,#N/A,TRUE,"Смета на пасс. обор. №1"}</definedName>
    <definedName name="ф" localSheetId="38" hidden="1">{#N/A,#N/A,TRUE,"Смета на пасс. обор. №1"}</definedName>
    <definedName name="ф" localSheetId="19" hidden="1">{#N/A,#N/A,TRUE,"Смета на пасс. обор. №1"}</definedName>
    <definedName name="ф" hidden="1">{#N/A,#N/A,TRUE,"Смета на пасс. обор. №1"}</definedName>
    <definedName name="ф_1" localSheetId="16" hidden="1">{#N/A,#N/A,TRUE,"Смета на пасс. обор. №1"}</definedName>
    <definedName name="ф_1" localSheetId="36" hidden="1">{#N/A,#N/A,TRUE,"Смета на пасс. обор. №1"}</definedName>
    <definedName name="ф_1" localSheetId="40" hidden="1">{#N/A,#N/A,TRUE,"Смета на пасс. обор. №1"}</definedName>
    <definedName name="ф_1" localSheetId="30" hidden="1">{#N/A,#N/A,TRUE,"Смета на пасс. обор. №1"}</definedName>
    <definedName name="ф_1" localSheetId="6" hidden="1">{#N/A,#N/A,TRUE,"Смета на пасс. обор. №1"}</definedName>
    <definedName name="ф_1" localSheetId="7" hidden="1">{#N/A,#N/A,TRUE,"Смета на пасс. обор. №1"}</definedName>
    <definedName name="ф_1" localSheetId="18" hidden="1">{#N/A,#N/A,TRUE,"Смета на пасс. обор. №1"}</definedName>
    <definedName name="ф_1" localSheetId="38" hidden="1">{#N/A,#N/A,TRUE,"Смета на пасс. обор. №1"}</definedName>
    <definedName name="ф_1" localSheetId="19" hidden="1">{#N/A,#N/A,TRUE,"Смета на пасс. обор. №1"}</definedName>
    <definedName name="ф_1" hidden="1">{#N/A,#N/A,TRUE,"Смета на пасс. обор. №1"}</definedName>
    <definedName name="ф1" localSheetId="16">#REF!</definedName>
    <definedName name="ф1" localSheetId="25">#REF!</definedName>
    <definedName name="ф1" localSheetId="18">#REF!</definedName>
    <definedName name="фавр" localSheetId="25">#REF!</definedName>
    <definedName name="фавр" localSheetId="18">#REF!</definedName>
    <definedName name="фапиаи" localSheetId="25">#REF!</definedName>
    <definedName name="фапиаи" localSheetId="18">#REF!</definedName>
    <definedName name="фвап" localSheetId="25">#REF!</definedName>
    <definedName name="фвапив" localSheetId="25">#REF!</definedName>
    <definedName name="фнн" localSheetId="25">#REF!</definedName>
    <definedName name="фукек" localSheetId="16">#REF!</definedName>
    <definedName name="фукек" localSheetId="25">#REF!</definedName>
    <definedName name="фукек" localSheetId="18">#REF!</definedName>
    <definedName name="фф" localSheetId="36" hidden="1">{#N/A,#N/A,TRUE,"Смета на пасс. обор. №1"}</definedName>
    <definedName name="фф" localSheetId="40" hidden="1">{#N/A,#N/A,TRUE,"Смета на пасс. обор. №1"}</definedName>
    <definedName name="фф" localSheetId="6" hidden="1">{#N/A,#N/A,TRUE,"Смета на пасс. обор. №1"}</definedName>
    <definedName name="фф" localSheetId="7" hidden="1">{#N/A,#N/A,TRUE,"Смета на пасс. обор. №1"}</definedName>
    <definedName name="фф" localSheetId="38" hidden="1">{#N/A,#N/A,TRUE,"Смета на пасс. обор. №1"}</definedName>
    <definedName name="фф" hidden="1">{#N/A,#N/A,TRUE,"Смета на пасс. обор. №1"}</definedName>
    <definedName name="ффггг" localSheetId="25">#REF!</definedName>
    <definedName name="ффггг" localSheetId="18">#REF!</definedName>
    <definedName name="фффф" localSheetId="36" hidden="1">{#N/A,#N/A,TRUE,"Смета на пасс. обор. №1"}</definedName>
    <definedName name="фффф" localSheetId="40" hidden="1">{#N/A,#N/A,TRUE,"Смета на пасс. обор. №1"}</definedName>
    <definedName name="фффф" localSheetId="6" hidden="1">{#N/A,#N/A,TRUE,"Смета на пасс. обор. №1"}</definedName>
    <definedName name="фффф" localSheetId="7" hidden="1">{#N/A,#N/A,TRUE,"Смета на пасс. обор. №1"}</definedName>
    <definedName name="фффф" localSheetId="38" hidden="1">{#N/A,#N/A,TRUE,"Смета на пасс. обор. №1"}</definedName>
    <definedName name="фффф" hidden="1">{#N/A,#N/A,TRUE,"Смета на пасс. обор. №1"}</definedName>
    <definedName name="фффффф" localSheetId="25">#REF!</definedName>
    <definedName name="фффффф" localSheetId="18">#REF!</definedName>
    <definedName name="ффыв" localSheetId="25">#REF!</definedName>
    <definedName name="фы" localSheetId="16">[4]топография!#REF!</definedName>
    <definedName name="фы" localSheetId="25">[5]топография!#REF!</definedName>
    <definedName name="фыв" localSheetId="16" hidden="1">{#N/A,#N/A,TRUE,"Смета на пасс. обор. №1"}</definedName>
    <definedName name="фыв" localSheetId="36" hidden="1">{#N/A,#N/A,TRUE,"Смета на пасс. обор. №1"}</definedName>
    <definedName name="фыв" localSheetId="40" hidden="1">{#N/A,#N/A,TRUE,"Смета на пасс. обор. №1"}</definedName>
    <definedName name="фыв" localSheetId="30" hidden="1">{#N/A,#N/A,TRUE,"Смета на пасс. обор. №1"}</definedName>
    <definedName name="фыв" localSheetId="6" hidden="1">{#N/A,#N/A,TRUE,"Смета на пасс. обор. №1"}</definedName>
    <definedName name="фыв" localSheetId="7" hidden="1">{#N/A,#N/A,TRUE,"Смета на пасс. обор. №1"}</definedName>
    <definedName name="фыв" localSheetId="18" hidden="1">{#N/A,#N/A,TRUE,"Смета на пасс. обор. №1"}</definedName>
    <definedName name="фыв" localSheetId="38" hidden="1">{#N/A,#N/A,TRUE,"Смета на пасс. обор. №1"}</definedName>
    <definedName name="фыв" localSheetId="19" hidden="1">{#N/A,#N/A,TRUE,"Смета на пасс. обор. №1"}</definedName>
    <definedName name="фыв" hidden="1">{#N/A,#N/A,TRUE,"Смета на пасс. обор. №1"}</definedName>
    <definedName name="фыв_1" localSheetId="16" hidden="1">{#N/A,#N/A,TRUE,"Смета на пасс. обор. №1"}</definedName>
    <definedName name="фыв_1" localSheetId="36" hidden="1">{#N/A,#N/A,TRUE,"Смета на пасс. обор. №1"}</definedName>
    <definedName name="фыв_1" localSheetId="40" hidden="1">{#N/A,#N/A,TRUE,"Смета на пасс. обор. №1"}</definedName>
    <definedName name="фыв_1" localSheetId="30" hidden="1">{#N/A,#N/A,TRUE,"Смета на пасс. обор. №1"}</definedName>
    <definedName name="фыв_1" localSheetId="6" hidden="1">{#N/A,#N/A,TRUE,"Смета на пасс. обор. №1"}</definedName>
    <definedName name="фыв_1" localSheetId="7" hidden="1">{#N/A,#N/A,TRUE,"Смета на пасс. обор. №1"}</definedName>
    <definedName name="фыв_1" localSheetId="18" hidden="1">{#N/A,#N/A,TRUE,"Смета на пасс. обор. №1"}</definedName>
    <definedName name="фыв_1" localSheetId="38" hidden="1">{#N/A,#N/A,TRUE,"Смета на пасс. обор. №1"}</definedName>
    <definedName name="фыв_1" localSheetId="19" hidden="1">{#N/A,#N/A,TRUE,"Смета на пасс. обор. №1"}</definedName>
    <definedName name="фыв_1" hidden="1">{#N/A,#N/A,TRUE,"Смета на пасс. обор. №1"}</definedName>
    <definedName name="Хабаровский_край" localSheetId="16">#REF!</definedName>
    <definedName name="Хабаровский_край" localSheetId="25">#REF!</definedName>
    <definedName name="Хабаровский_край" localSheetId="18">#REF!</definedName>
    <definedName name="Хабаровский_край_1" localSheetId="25">#REF!</definedName>
    <definedName name="Хабаровский_край_1" localSheetId="18">#REF!</definedName>
    <definedName name="хххх" localSheetId="36" hidden="1">{"IMRAK42x8x8",#N/A,TRUE,"IMRAK 1400 42U 800X800";"IMRAK32x6x6",#N/A,TRUE,"IMRAK 1400 32U 600x600";"IMRAK42x12x8",#N/A,TRUE,"IMRAK 1400 42U 1200x800";"IMRAK15x6x4",#N/A,TRUE,"IMRAK 400 15U FRONT SECTION"}</definedName>
    <definedName name="хххх" localSheetId="40" hidden="1">{"IMRAK42x8x8",#N/A,TRUE,"IMRAK 1400 42U 800X800";"IMRAK32x6x6",#N/A,TRUE,"IMRAK 1400 32U 600x600";"IMRAK42x12x8",#N/A,TRUE,"IMRAK 1400 42U 1200x800";"IMRAK15x6x4",#N/A,TRUE,"IMRAK 400 15U FRONT SECTION"}</definedName>
    <definedName name="хххх" localSheetId="6" hidden="1">{"IMRAK42x8x8",#N/A,TRUE,"IMRAK 1400 42U 800X800";"IMRAK32x6x6",#N/A,TRUE,"IMRAK 1400 32U 600x600";"IMRAK42x12x8",#N/A,TRUE,"IMRAK 1400 42U 1200x800";"IMRAK15x6x4",#N/A,TRUE,"IMRAK 400 15U FRONT SECTION"}</definedName>
    <definedName name="хххх" localSheetId="7" hidden="1">{"IMRAK42x8x8",#N/A,TRUE,"IMRAK 1400 42U 800X800";"IMRAK32x6x6",#N/A,TRUE,"IMRAK 1400 32U 600x600";"IMRAK42x12x8",#N/A,TRUE,"IMRAK 1400 42U 1200x800";"IMRAK15x6x4",#N/A,TRUE,"IMRAK 400 15U FRONT SECTION"}</definedName>
    <definedName name="хххх" localSheetId="38" hidden="1">{"IMRAK42x8x8",#N/A,TRUE,"IMRAK 1400 42U 800X800";"IMRAK32x6x6",#N/A,TRUE,"IMRAK 1400 32U 600x600";"IMRAK42x12x8",#N/A,TRUE,"IMRAK 1400 42U 1200x800";"IMRAK15x6x4",#N/A,TRUE,"IMRAK 400 15U FRONT SECTION"}</definedName>
    <definedName name="хххх" hidden="1">{"IMRAK42x8x8",#N/A,TRUE,"IMRAK 1400 42U 800X800";"IMRAK32x6x6",#N/A,TRUE,"IMRAK 1400 32U 600x600";"IMRAK42x12x8",#N/A,TRUE,"IMRAK 1400 42U 1200x800";"IMRAK15x6x4",#N/A,TRUE,"IMRAK 400 15U FRONT SECTION"}</definedName>
    <definedName name="хэ" localSheetId="16" hidden="1">{#N/A,#N/A,TRUE,"Смета на пасс. обор. №1"}</definedName>
    <definedName name="хэ" localSheetId="36" hidden="1">{#N/A,#N/A,TRUE,"Смета на пасс. обор. №1"}</definedName>
    <definedName name="хэ" localSheetId="40" hidden="1">{#N/A,#N/A,TRUE,"Смета на пасс. обор. №1"}</definedName>
    <definedName name="хэ" localSheetId="30" hidden="1">{#N/A,#N/A,TRUE,"Смета на пасс. обор. №1"}</definedName>
    <definedName name="хэ" localSheetId="6" hidden="1">{#N/A,#N/A,TRUE,"Смета на пасс. обор. №1"}</definedName>
    <definedName name="хэ" localSheetId="7" hidden="1">{#N/A,#N/A,TRUE,"Смета на пасс. обор. №1"}</definedName>
    <definedName name="хэ" localSheetId="18" hidden="1">{#N/A,#N/A,TRUE,"Смета на пасс. обор. №1"}</definedName>
    <definedName name="хэ" localSheetId="38" hidden="1">{#N/A,#N/A,TRUE,"Смета на пасс. обор. №1"}</definedName>
    <definedName name="хэ" localSheetId="19" hidden="1">{#N/A,#N/A,TRUE,"Смета на пасс. обор. №1"}</definedName>
    <definedName name="хэ" hidden="1">{#N/A,#N/A,TRUE,"Смета на пасс. обор. №1"}</definedName>
    <definedName name="хэ_1" localSheetId="16" hidden="1">{#N/A,#N/A,TRUE,"Смета на пасс. обор. №1"}</definedName>
    <definedName name="хэ_1" localSheetId="36" hidden="1">{#N/A,#N/A,TRUE,"Смета на пасс. обор. №1"}</definedName>
    <definedName name="хэ_1" localSheetId="40" hidden="1">{#N/A,#N/A,TRUE,"Смета на пасс. обор. №1"}</definedName>
    <definedName name="хэ_1" localSheetId="30" hidden="1">{#N/A,#N/A,TRUE,"Смета на пасс. обор. №1"}</definedName>
    <definedName name="хэ_1" localSheetId="6" hidden="1">{#N/A,#N/A,TRUE,"Смета на пасс. обор. №1"}</definedName>
    <definedName name="хэ_1" localSheetId="7" hidden="1">{#N/A,#N/A,TRUE,"Смета на пасс. обор. №1"}</definedName>
    <definedName name="хэ_1" localSheetId="18" hidden="1">{#N/A,#N/A,TRUE,"Смета на пасс. обор. №1"}</definedName>
    <definedName name="хэ_1" localSheetId="38" hidden="1">{#N/A,#N/A,TRUE,"Смета на пасс. обор. №1"}</definedName>
    <definedName name="хэ_1" localSheetId="19" hidden="1">{#N/A,#N/A,TRUE,"Смета на пасс. обор. №1"}</definedName>
    <definedName name="хэ_1" hidden="1">{#N/A,#N/A,TRUE,"Смета на пасс. обор. №1"}</definedName>
    <definedName name="ц" localSheetId="16">#REF!</definedName>
    <definedName name="ц" localSheetId="36" hidden="1">{#N/A,#N/A,TRUE,"Смета на пасс. обор. №1"}</definedName>
    <definedName name="ц" localSheetId="25">#REF!</definedName>
    <definedName name="ц" localSheetId="18">#REF!</definedName>
    <definedName name="цвет" localSheetId="16" hidden="1">{#N/A,#N/A,TRUE,"Смета на пасс. обор. №1"}</definedName>
    <definedName name="цвет" localSheetId="36" hidden="1">{#N/A,#N/A,TRUE,"Смета на пасс. обор. №1"}</definedName>
    <definedName name="цвет" localSheetId="40" hidden="1">{#N/A,#N/A,TRUE,"Смета на пасс. обор. №1"}</definedName>
    <definedName name="цвет" localSheetId="30" hidden="1">{#N/A,#N/A,TRUE,"Смета на пасс. обор. №1"}</definedName>
    <definedName name="цвет" localSheetId="6" hidden="1">{#N/A,#N/A,TRUE,"Смета на пасс. обор. №1"}</definedName>
    <definedName name="цвет" localSheetId="7" hidden="1">{#N/A,#N/A,TRUE,"Смета на пасс. обор. №1"}</definedName>
    <definedName name="цвет" localSheetId="18" hidden="1">{#N/A,#N/A,TRUE,"Смета на пасс. обор. №1"}</definedName>
    <definedName name="цвет" localSheetId="38" hidden="1">{#N/A,#N/A,TRUE,"Смета на пасс. обор. №1"}</definedName>
    <definedName name="цвет" localSheetId="19" hidden="1">{#N/A,#N/A,TRUE,"Смета на пасс. обор. №1"}</definedName>
    <definedName name="цвет" hidden="1">{#N/A,#N/A,TRUE,"Смета на пасс. обор. №1"}</definedName>
    <definedName name="цвет_1" localSheetId="16" hidden="1">{#N/A,#N/A,TRUE,"Смета на пасс. обор. №1"}</definedName>
    <definedName name="цвет_1" localSheetId="36" hidden="1">{#N/A,#N/A,TRUE,"Смета на пасс. обор. №1"}</definedName>
    <definedName name="цвет_1" localSheetId="40" hidden="1">{#N/A,#N/A,TRUE,"Смета на пасс. обор. №1"}</definedName>
    <definedName name="цвет_1" localSheetId="30" hidden="1">{#N/A,#N/A,TRUE,"Смета на пасс. обор. №1"}</definedName>
    <definedName name="цвет_1" localSheetId="6" hidden="1">{#N/A,#N/A,TRUE,"Смета на пасс. обор. №1"}</definedName>
    <definedName name="цвет_1" localSheetId="7" hidden="1">{#N/A,#N/A,TRUE,"Смета на пасс. обор. №1"}</definedName>
    <definedName name="цвет_1" localSheetId="18" hidden="1">{#N/A,#N/A,TRUE,"Смета на пасс. обор. №1"}</definedName>
    <definedName name="цвет_1" localSheetId="38" hidden="1">{#N/A,#N/A,TRUE,"Смета на пасс. обор. №1"}</definedName>
    <definedName name="цвет_1" localSheetId="19" hidden="1">{#N/A,#N/A,TRUE,"Смета на пасс. обор. №1"}</definedName>
    <definedName name="цвет_1" hidden="1">{#N/A,#N/A,TRUE,"Смета на пасс. обор. №1"}</definedName>
    <definedName name="цена___0" localSheetId="16">#REF!</definedName>
    <definedName name="цена___0" localSheetId="25">#REF!</definedName>
    <definedName name="цена___0" localSheetId="18">#REF!</definedName>
    <definedName name="цена___0___0" localSheetId="16">#REF!</definedName>
    <definedName name="цена___0___0" localSheetId="25">#REF!</definedName>
    <definedName name="цена___0___0" localSheetId="18">#REF!</definedName>
    <definedName name="цена___0___0___0" localSheetId="16">#REF!</definedName>
    <definedName name="цена___0___0___0" localSheetId="25">#REF!</definedName>
    <definedName name="цена___0___0___0" localSheetId="18">#REF!</definedName>
    <definedName name="цена___0___0___0___0" localSheetId="25">#REF!</definedName>
    <definedName name="цена___0___0___0___0___0" localSheetId="25">#REF!</definedName>
    <definedName name="цена___0___0___0___0___0_1" localSheetId="25">#REF!</definedName>
    <definedName name="цена___0___0___0___0_1" localSheetId="25">#REF!</definedName>
    <definedName name="цена___0___0___0___1" localSheetId="25">#REF!</definedName>
    <definedName name="цена___0___0___0___1_1" localSheetId="25">#REF!</definedName>
    <definedName name="цена___0___0___0___5" localSheetId="25">#REF!</definedName>
    <definedName name="цена___0___0___0___5_1" localSheetId="25">#REF!</definedName>
    <definedName name="цена___0___0___0_1" localSheetId="25">#REF!</definedName>
    <definedName name="цена___0___0___0_1_1" localSheetId="25">#REF!</definedName>
    <definedName name="цена___0___0___0_1_1_1" localSheetId="25">#REF!</definedName>
    <definedName name="цена___0___0___0_5" localSheetId="25">#REF!</definedName>
    <definedName name="цена___0___0___0_5_1" localSheetId="25">#REF!</definedName>
    <definedName name="цена___0___0___1" localSheetId="25">#REF!</definedName>
    <definedName name="цена___0___0___1_1" localSheetId="25">#REF!</definedName>
    <definedName name="цена___0___0___2" localSheetId="25">#REF!</definedName>
    <definedName name="цена___0___0___2_1" localSheetId="25">#REF!</definedName>
    <definedName name="цена___0___0___3" localSheetId="25">#REF!</definedName>
    <definedName name="цена___0___0___3_1" localSheetId="25">#REF!</definedName>
    <definedName name="цена___0___0___4" localSheetId="25">#REF!</definedName>
    <definedName name="цена___0___0___4_1" localSheetId="25">#REF!</definedName>
    <definedName name="цена___0___0___5" localSheetId="25">#REF!</definedName>
    <definedName name="цена___0___0___5_1" localSheetId="25">#REF!</definedName>
    <definedName name="цена___0___0_1" localSheetId="25">#REF!</definedName>
    <definedName name="цена___0___0_1_1" localSheetId="25">#REF!</definedName>
    <definedName name="цена___0___0_1_1_1" localSheetId="25">#REF!</definedName>
    <definedName name="цена___0___0_3" localSheetId="25">#REF!</definedName>
    <definedName name="цена___0___0_3_1" localSheetId="25">#REF!</definedName>
    <definedName name="цена___0___0_5" localSheetId="25">#REF!</definedName>
    <definedName name="цена___0___0_5_1" localSheetId="25">#REF!</definedName>
    <definedName name="цена___0___1" localSheetId="25">#REF!</definedName>
    <definedName name="цена___0___1___0" localSheetId="25">#REF!</definedName>
    <definedName name="цена___0___1___0_1" localSheetId="25">#REF!</definedName>
    <definedName name="цена___0___1_1" localSheetId="25">#REF!</definedName>
    <definedName name="цена___0___10" localSheetId="25">#REF!</definedName>
    <definedName name="цена___0___10_1" localSheetId="25">#REF!</definedName>
    <definedName name="цена___0___12" localSheetId="25">#REF!</definedName>
    <definedName name="цена___0___2" localSheetId="25">#REF!</definedName>
    <definedName name="цена___0___2___0" localSheetId="25">#REF!</definedName>
    <definedName name="цена___0___2___0___0" localSheetId="25">#REF!</definedName>
    <definedName name="цена___0___2___0___0_1" localSheetId="25">#REF!</definedName>
    <definedName name="цена___0___2___0_1" localSheetId="25">#REF!</definedName>
    <definedName name="цена___0___2___5" localSheetId="25">#REF!</definedName>
    <definedName name="цена___0___2___5_1" localSheetId="25">#REF!</definedName>
    <definedName name="цена___0___2_1" localSheetId="25">#REF!</definedName>
    <definedName name="цена___0___2_1_1" localSheetId="25">#REF!</definedName>
    <definedName name="цена___0___2_1_1_1" localSheetId="25">#REF!</definedName>
    <definedName name="цена___0___2_3" localSheetId="25">#REF!</definedName>
    <definedName name="цена___0___2_3_1" localSheetId="25">#REF!</definedName>
    <definedName name="цена___0___2_5" localSheetId="25">#REF!</definedName>
    <definedName name="цена___0___2_5_1" localSheetId="25">#REF!</definedName>
    <definedName name="цена___0___3" localSheetId="25">#REF!</definedName>
    <definedName name="цена___0___3___0" localSheetId="25">#REF!</definedName>
    <definedName name="цена___0___3___0_1" localSheetId="25">#REF!</definedName>
    <definedName name="цена___0___3___5" localSheetId="25">#REF!</definedName>
    <definedName name="цена___0___3___5_1" localSheetId="25">#REF!</definedName>
    <definedName name="цена___0___3_1" localSheetId="25">#REF!</definedName>
    <definedName name="цена___0___3_1_1" localSheetId="25">#REF!</definedName>
    <definedName name="цена___0___3_1_1_1" localSheetId="25">#REF!</definedName>
    <definedName name="цена___0___3_5" localSheetId="25">#REF!</definedName>
    <definedName name="цена___0___3_5_1" localSheetId="25">#REF!</definedName>
    <definedName name="цена___0___4" localSheetId="25">#REF!</definedName>
    <definedName name="цена___0___4___0" localSheetId="25">#REF!</definedName>
    <definedName name="цена___0___4___0_1" localSheetId="25">#REF!</definedName>
    <definedName name="цена___0___4___5" localSheetId="25">#REF!</definedName>
    <definedName name="цена___0___4___5_1" localSheetId="25">#REF!</definedName>
    <definedName name="цена___0___4_1" localSheetId="25">#REF!</definedName>
    <definedName name="цена___0___4_1_1" localSheetId="25">#REF!</definedName>
    <definedName name="цена___0___4_1_1_1" localSheetId="25">#REF!</definedName>
    <definedName name="цена___0___4_3" localSheetId="25">#REF!</definedName>
    <definedName name="цена___0___4_3_1" localSheetId="25">#REF!</definedName>
    <definedName name="цена___0___4_5" localSheetId="25">#REF!</definedName>
    <definedName name="цена___0___4_5_1" localSheetId="25">#REF!</definedName>
    <definedName name="цена___0___5" localSheetId="25">#REF!</definedName>
    <definedName name="цена___0___5_1" localSheetId="25">#REF!</definedName>
    <definedName name="цена___0___6" localSheetId="25">#REF!</definedName>
    <definedName name="цена___0___6_1" localSheetId="25">#REF!</definedName>
    <definedName name="цена___0___8" localSheetId="25">#REF!</definedName>
    <definedName name="цена___0___8_1" localSheetId="25">#REF!</definedName>
    <definedName name="цена___0_1" localSheetId="25">#REF!</definedName>
    <definedName name="цена___0_1_1" localSheetId="25">#REF!</definedName>
    <definedName name="цена___0_3" localSheetId="25">#REF!</definedName>
    <definedName name="цена___0_3_1" localSheetId="25">#REF!</definedName>
    <definedName name="цена___0_5" localSheetId="25">#REF!</definedName>
    <definedName name="цена___0_5_1" localSheetId="25">#REF!</definedName>
    <definedName name="цена___1" localSheetId="25">#REF!</definedName>
    <definedName name="цена___1___0" localSheetId="25">#REF!</definedName>
    <definedName name="цена___1___0___0" localSheetId="25">#REF!</definedName>
    <definedName name="цена___1___0___0_1" localSheetId="25">#REF!</definedName>
    <definedName name="цена___1___0_1" localSheetId="25">#REF!</definedName>
    <definedName name="цена___1___1" localSheetId="25">#REF!</definedName>
    <definedName name="цена___1___1_1" localSheetId="25">#REF!</definedName>
    <definedName name="цена___1___5" localSheetId="25">#REF!</definedName>
    <definedName name="цена___1___5_1" localSheetId="25">#REF!</definedName>
    <definedName name="цена___1_1" localSheetId="25">#REF!</definedName>
    <definedName name="цена___1_1_1" localSheetId="25">#REF!</definedName>
    <definedName name="цена___1_1_1_1" localSheetId="25">#REF!</definedName>
    <definedName name="цена___1_3" localSheetId="25">#REF!</definedName>
    <definedName name="цена___1_3_1" localSheetId="25">#REF!</definedName>
    <definedName name="цена___1_5" localSheetId="25">#REF!</definedName>
    <definedName name="цена___1_5_1" localSheetId="25">#REF!</definedName>
    <definedName name="цена___10" localSheetId="25">#REF!</definedName>
    <definedName name="цена___10___0___0" localSheetId="16">#REF!</definedName>
    <definedName name="цена___10___0___0" localSheetId="25">#REF!</definedName>
    <definedName name="цена___10___0___0" localSheetId="18">#REF!</definedName>
    <definedName name="цена___10___0___0___0" localSheetId="16">#REF!</definedName>
    <definedName name="цена___10___0___0___0" localSheetId="25">#REF!</definedName>
    <definedName name="цена___10___0___0___0" localSheetId="18">#REF!</definedName>
    <definedName name="цена___10___0___0___0_1" localSheetId="16">#REF!</definedName>
    <definedName name="цена___10___0___0___0_1" localSheetId="25">#REF!</definedName>
    <definedName name="цена___10___0___0___0_1" localSheetId="18">#REF!</definedName>
    <definedName name="цена___10___0___0_1" localSheetId="25">#REF!</definedName>
    <definedName name="цена___10___0_1" localSheetId="16">#REF!</definedName>
    <definedName name="цена___10___0_1" localSheetId="25">#REF!</definedName>
    <definedName name="цена___10___0_1" localSheetId="18">#REF!</definedName>
    <definedName name="цена___10___1" localSheetId="16">#REF!</definedName>
    <definedName name="цена___10___1" localSheetId="25">#REF!</definedName>
    <definedName name="цена___10___1" localSheetId="18">#REF!</definedName>
    <definedName name="цена___10___10" localSheetId="16">#REF!</definedName>
    <definedName name="цена___10___10" localSheetId="25">#REF!</definedName>
    <definedName name="цена___10___10" localSheetId="18">#REF!</definedName>
    <definedName name="цена___10___12" localSheetId="16">#REF!</definedName>
    <definedName name="цена___10___12" localSheetId="25">#REF!</definedName>
    <definedName name="цена___10___12" localSheetId="18">#REF!</definedName>
    <definedName name="цена___10___5" localSheetId="16">#REF!</definedName>
    <definedName name="цена___10___5" localSheetId="25">#REF!</definedName>
    <definedName name="цена___10___5" localSheetId="18">#REF!</definedName>
    <definedName name="цена___10___5_1" localSheetId="16">#REF!</definedName>
    <definedName name="цена___10___5_1" localSheetId="25">#REF!</definedName>
    <definedName name="цена___10___5_1" localSheetId="18">#REF!</definedName>
    <definedName name="цена___10_3" localSheetId="16">#REF!</definedName>
    <definedName name="цена___10_3" localSheetId="25">#REF!</definedName>
    <definedName name="цена___10_3" localSheetId="18">#REF!</definedName>
    <definedName name="цена___10_3_1" localSheetId="16">#REF!</definedName>
    <definedName name="цена___10_3_1" localSheetId="25">#REF!</definedName>
    <definedName name="цена___10_3_1" localSheetId="18">#REF!</definedName>
    <definedName name="цена___10_5" localSheetId="16">#REF!</definedName>
    <definedName name="цена___10_5" localSheetId="25">#REF!</definedName>
    <definedName name="цена___10_5" localSheetId="18">#REF!</definedName>
    <definedName name="цена___10_5_1" localSheetId="25">#REF!</definedName>
    <definedName name="цена___11" localSheetId="25">#REF!</definedName>
    <definedName name="цена___11___10" localSheetId="16">#REF!</definedName>
    <definedName name="цена___11___10" localSheetId="25">#REF!</definedName>
    <definedName name="цена___11___10" localSheetId="18">#REF!</definedName>
    <definedName name="цена___11___2" localSheetId="16">#REF!</definedName>
    <definedName name="цена___11___2" localSheetId="25">#REF!</definedName>
    <definedName name="цена___11___2" localSheetId="18">#REF!</definedName>
    <definedName name="цена___11___4" localSheetId="16">#REF!</definedName>
    <definedName name="цена___11___4" localSheetId="25">#REF!</definedName>
    <definedName name="цена___11___4" localSheetId="18">#REF!</definedName>
    <definedName name="цена___11___6" localSheetId="25">#REF!</definedName>
    <definedName name="цена___11___8" localSheetId="25">#REF!</definedName>
    <definedName name="цена___11_1" localSheetId="25">#REF!</definedName>
    <definedName name="цена___2" localSheetId="16">#REF!</definedName>
    <definedName name="цена___2" localSheetId="25">#REF!</definedName>
    <definedName name="цена___2" localSheetId="18">#REF!</definedName>
    <definedName name="цена___2___0" localSheetId="16">#REF!</definedName>
    <definedName name="цена___2___0" localSheetId="25">#REF!</definedName>
    <definedName name="цена___2___0" localSheetId="18">#REF!</definedName>
    <definedName name="цена___2___0___0" localSheetId="16">#REF!</definedName>
    <definedName name="цена___2___0___0" localSheetId="25">#REF!</definedName>
    <definedName name="цена___2___0___0" localSheetId="18">#REF!</definedName>
    <definedName name="цена___2___0___0___0" localSheetId="25">#REF!</definedName>
    <definedName name="цена___2___0___0___0___0" localSheetId="25">#REF!</definedName>
    <definedName name="цена___2___0___0___0___0_1" localSheetId="25">#REF!</definedName>
    <definedName name="цена___2___0___0___0_1" localSheetId="25">#REF!</definedName>
    <definedName name="цена___2___0___0___1" localSheetId="25">#REF!</definedName>
    <definedName name="цена___2___0___0___1_1" localSheetId="25">#REF!</definedName>
    <definedName name="цена___2___0___0___5" localSheetId="25">#REF!</definedName>
    <definedName name="цена___2___0___0___5_1" localSheetId="25">#REF!</definedName>
    <definedName name="цена___2___0___0_1" localSheetId="25">#REF!</definedName>
    <definedName name="цена___2___0___0_1_1" localSheetId="25">#REF!</definedName>
    <definedName name="цена___2___0___0_1_1_1" localSheetId="25">#REF!</definedName>
    <definedName name="цена___2___0___0_5" localSheetId="25">#REF!</definedName>
    <definedName name="цена___2___0___0_5_1" localSheetId="25">#REF!</definedName>
    <definedName name="цена___2___0___1" localSheetId="25">#REF!</definedName>
    <definedName name="цена___2___0___1_1" localSheetId="25">#REF!</definedName>
    <definedName name="цена___2___0___5" localSheetId="25">#REF!</definedName>
    <definedName name="цена___2___0___5_1" localSheetId="25">#REF!</definedName>
    <definedName name="цена___2___0_1" localSheetId="25">#REF!</definedName>
    <definedName name="цена___2___0_1_1" localSheetId="25">#REF!</definedName>
    <definedName name="цена___2___0_1_1_1" localSheetId="25">#REF!</definedName>
    <definedName name="цена___2___0_3" localSheetId="25">#REF!</definedName>
    <definedName name="цена___2___0_3_1" localSheetId="25">#REF!</definedName>
    <definedName name="цена___2___0_5" localSheetId="25">#REF!</definedName>
    <definedName name="цена___2___0_5_1" localSheetId="25">#REF!</definedName>
    <definedName name="цена___2___1" localSheetId="25">#REF!</definedName>
    <definedName name="цена___2___1_1" localSheetId="25">#REF!</definedName>
    <definedName name="цена___2___10" localSheetId="25">#REF!</definedName>
    <definedName name="цена___2___10_1" localSheetId="25">#REF!</definedName>
    <definedName name="цена___2___12" localSheetId="25">#REF!</definedName>
    <definedName name="цена___2___2" localSheetId="25">#REF!</definedName>
    <definedName name="цена___2___2_1" localSheetId="25">#REF!</definedName>
    <definedName name="цена___2___3" localSheetId="25">#REF!</definedName>
    <definedName name="цена___2___4" localSheetId="25">#REF!</definedName>
    <definedName name="цена___2___4___0" localSheetId="25">#REF!</definedName>
    <definedName name="цена___2___4___0_1" localSheetId="25">#REF!</definedName>
    <definedName name="цена___2___4___5" localSheetId="25">#REF!</definedName>
    <definedName name="цена___2___4___5_1" localSheetId="25">#REF!</definedName>
    <definedName name="цена___2___4_1" localSheetId="25">#REF!</definedName>
    <definedName name="цена___2___4_1_1" localSheetId="25">#REF!</definedName>
    <definedName name="цена___2___4_1_1_1" localSheetId="25">#REF!</definedName>
    <definedName name="цена___2___4_3" localSheetId="25">#REF!</definedName>
    <definedName name="цена___2___4_3_1" localSheetId="25">#REF!</definedName>
    <definedName name="цена___2___4_5" localSheetId="25">#REF!</definedName>
    <definedName name="цена___2___4_5_1" localSheetId="25">#REF!</definedName>
    <definedName name="цена___2___5" localSheetId="25">#REF!</definedName>
    <definedName name="цена___2___5_1" localSheetId="25">#REF!</definedName>
    <definedName name="цена___2___6" localSheetId="25">#REF!</definedName>
    <definedName name="цена___2___6_1" localSheetId="25">#REF!</definedName>
    <definedName name="цена___2___8" localSheetId="25">#REF!</definedName>
    <definedName name="цена___2___8_1" localSheetId="25">#REF!</definedName>
    <definedName name="цена___2_1" localSheetId="25">#REF!</definedName>
    <definedName name="цена___2_1_1" localSheetId="25">#REF!</definedName>
    <definedName name="цена___2_1_1_1" localSheetId="25">#REF!</definedName>
    <definedName name="цена___2_3" localSheetId="25">#REF!</definedName>
    <definedName name="цена___2_3_1" localSheetId="25">#REF!</definedName>
    <definedName name="цена___2_5" localSheetId="25">#REF!</definedName>
    <definedName name="цена___2_5_1" localSheetId="25">#REF!</definedName>
    <definedName name="цена___3" localSheetId="25">#REF!</definedName>
    <definedName name="цена___3___0" localSheetId="25">#REF!</definedName>
    <definedName name="цена___3___0___5" localSheetId="16">#REF!</definedName>
    <definedName name="цена___3___0___5" localSheetId="25">#REF!</definedName>
    <definedName name="цена___3___0___5" localSheetId="18">#REF!</definedName>
    <definedName name="цена___3___0___5_1" localSheetId="16">#REF!</definedName>
    <definedName name="цена___3___0___5_1" localSheetId="25">#REF!</definedName>
    <definedName name="цена___3___0___5_1" localSheetId="18">#REF!</definedName>
    <definedName name="цена___3___0_1" localSheetId="16">#REF!</definedName>
    <definedName name="цена___3___0_1" localSheetId="25">#REF!</definedName>
    <definedName name="цена___3___0_1" localSheetId="18">#REF!</definedName>
    <definedName name="цена___3___0_3" localSheetId="16">#REF!</definedName>
    <definedName name="цена___3___0_3" localSheetId="25">#REF!</definedName>
    <definedName name="цена___3___0_3" localSheetId="18">#REF!</definedName>
    <definedName name="цена___3___0_3_1" localSheetId="16">#REF!</definedName>
    <definedName name="цена___3___0_3_1" localSheetId="25">#REF!</definedName>
    <definedName name="цена___3___0_3_1" localSheetId="18">#REF!</definedName>
    <definedName name="цена___3___0_5" localSheetId="16">#REF!</definedName>
    <definedName name="цена___3___0_5" localSheetId="25">#REF!</definedName>
    <definedName name="цена___3___0_5" localSheetId="18">#REF!</definedName>
    <definedName name="цена___3___0_5_1" localSheetId="25">#REF!</definedName>
    <definedName name="цена___3___10" localSheetId="25">#REF!</definedName>
    <definedName name="цена___3___2" localSheetId="25">#REF!</definedName>
    <definedName name="цена___3___2_1" localSheetId="25">#REF!</definedName>
    <definedName name="цена___3___3" localSheetId="25">#REF!</definedName>
    <definedName name="цена___3___3_1" localSheetId="25">#REF!</definedName>
    <definedName name="цена___3___4" localSheetId="25">#REF!</definedName>
    <definedName name="цена___3___5" localSheetId="25">#REF!</definedName>
    <definedName name="цена___3___5_1" localSheetId="25">#REF!</definedName>
    <definedName name="цена___3___6" localSheetId="25">#REF!</definedName>
    <definedName name="цена___3___8" localSheetId="25">#REF!</definedName>
    <definedName name="цена___3_1" localSheetId="25">#REF!</definedName>
    <definedName name="цена___3_1_1" localSheetId="25">#REF!</definedName>
    <definedName name="цена___3_1_1_1" localSheetId="25">#REF!</definedName>
    <definedName name="цена___3_5" localSheetId="16">#REF!</definedName>
    <definedName name="цена___3_5" localSheetId="25">#REF!</definedName>
    <definedName name="цена___3_5" localSheetId="18">#REF!</definedName>
    <definedName name="цена___3_5_1" localSheetId="16">#REF!</definedName>
    <definedName name="цена___3_5_1" localSheetId="25">#REF!</definedName>
    <definedName name="цена___3_5_1" localSheetId="18">#REF!</definedName>
    <definedName name="цена___4" localSheetId="16">#REF!</definedName>
    <definedName name="цена___4" localSheetId="25">#REF!</definedName>
    <definedName name="цена___4" localSheetId="18">#REF!</definedName>
    <definedName name="цена___4___0___0" localSheetId="16">#REF!</definedName>
    <definedName name="цена___4___0___0" localSheetId="25">#REF!</definedName>
    <definedName name="цена___4___0___0" localSheetId="18">#REF!</definedName>
    <definedName name="цена___4___0___0___0" localSheetId="16">#REF!</definedName>
    <definedName name="цена___4___0___0___0" localSheetId="25">#REF!</definedName>
    <definedName name="цена___4___0___0___0" localSheetId="18">#REF!</definedName>
    <definedName name="цена___4___0___0___0___0" localSheetId="16">#REF!</definedName>
    <definedName name="цена___4___0___0___0___0" localSheetId="25">#REF!</definedName>
    <definedName name="цена___4___0___0___0___0" localSheetId="18">#REF!</definedName>
    <definedName name="цена___4___0___0___0___0_1" localSheetId="25">#REF!</definedName>
    <definedName name="цена___4___0___0___0_1" localSheetId="25">#REF!</definedName>
    <definedName name="цена___4___0___0___1" localSheetId="25">#REF!</definedName>
    <definedName name="цена___4___0___0___1_1" localSheetId="25">#REF!</definedName>
    <definedName name="цена___4___0___0___5" localSheetId="25">#REF!</definedName>
    <definedName name="цена___4___0___0___5_1" localSheetId="25">#REF!</definedName>
    <definedName name="цена___4___0___0_1" localSheetId="25">#REF!</definedName>
    <definedName name="цена___4___0___0_1_1" localSheetId="25">#REF!</definedName>
    <definedName name="цена___4___0___0_1_1_1" localSheetId="25">#REF!</definedName>
    <definedName name="цена___4___0___0_5" localSheetId="25">#REF!</definedName>
    <definedName name="цена___4___0___0_5_1" localSheetId="25">#REF!</definedName>
    <definedName name="цена___4___0___1" localSheetId="25">#REF!</definedName>
    <definedName name="цена___4___0___1_1" localSheetId="25">#REF!</definedName>
    <definedName name="цена___4___0_1" localSheetId="16">#REF!</definedName>
    <definedName name="цена___4___0_1" localSheetId="25">#REF!</definedName>
    <definedName name="цена___4___0_1" localSheetId="18">#REF!</definedName>
    <definedName name="цена___4___0_1_1" localSheetId="16">#REF!</definedName>
    <definedName name="цена___4___0_1_1" localSheetId="25">#REF!</definedName>
    <definedName name="цена___4___0_1_1" localSheetId="18">#REF!</definedName>
    <definedName name="цена___4___0_1_1_1" localSheetId="16">#REF!</definedName>
    <definedName name="цена___4___0_1_1_1" localSheetId="25">#REF!</definedName>
    <definedName name="цена___4___0_1_1_1" localSheetId="18">#REF!</definedName>
    <definedName name="цена___4___0_3" localSheetId="25">#REF!</definedName>
    <definedName name="цена___4___0_3_1" localSheetId="25">#REF!</definedName>
    <definedName name="цена___4___1" localSheetId="16">#REF!</definedName>
    <definedName name="цена___4___1" localSheetId="25">#REF!</definedName>
    <definedName name="цена___4___1" localSheetId="18">#REF!</definedName>
    <definedName name="цена___4___1_1" localSheetId="16">#REF!</definedName>
    <definedName name="цена___4___1_1" localSheetId="25">#REF!</definedName>
    <definedName name="цена___4___1_1" localSheetId="18">#REF!</definedName>
    <definedName name="цена___4___10" localSheetId="16">#REF!</definedName>
    <definedName name="цена___4___10" localSheetId="25">#REF!</definedName>
    <definedName name="цена___4___10" localSheetId="18">#REF!</definedName>
    <definedName name="цена___4___10_1" localSheetId="25">#REF!</definedName>
    <definedName name="цена___4___12" localSheetId="25">#REF!</definedName>
    <definedName name="цена___4___2" localSheetId="25">#REF!</definedName>
    <definedName name="цена___4___2_1" localSheetId="25">#REF!</definedName>
    <definedName name="цена___4___3" localSheetId="25">#REF!</definedName>
    <definedName name="цена___4___3_1" localSheetId="25">#REF!</definedName>
    <definedName name="цена___4___4" localSheetId="25">#REF!</definedName>
    <definedName name="цена___4___4_1" localSheetId="25">#REF!</definedName>
    <definedName name="цена___4___5" localSheetId="25">#REF!</definedName>
    <definedName name="цена___4___5_1" localSheetId="25">#REF!</definedName>
    <definedName name="цена___4___6" localSheetId="25">#REF!</definedName>
    <definedName name="цена___4___6_1" localSheetId="25">#REF!</definedName>
    <definedName name="цена___4___8" localSheetId="25">#REF!</definedName>
    <definedName name="цена___4___8_1" localSheetId="25">#REF!</definedName>
    <definedName name="цена___4_1" localSheetId="25">#REF!</definedName>
    <definedName name="цена___4_1_1" localSheetId="25">#REF!</definedName>
    <definedName name="цена___4_1_1_1" localSheetId="25">#REF!</definedName>
    <definedName name="цена___4_3" localSheetId="25">#REF!</definedName>
    <definedName name="цена___4_3_1" localSheetId="25">#REF!</definedName>
    <definedName name="цена___4_5" localSheetId="25">#REF!</definedName>
    <definedName name="цена___4_5_1" localSheetId="25">#REF!</definedName>
    <definedName name="цена___5___0" localSheetId="16">#REF!</definedName>
    <definedName name="цена___5___0" localSheetId="25">#REF!</definedName>
    <definedName name="цена___5___0" localSheetId="18">#REF!</definedName>
    <definedName name="цена___5___0___0" localSheetId="16">#REF!</definedName>
    <definedName name="цена___5___0___0" localSheetId="25">#REF!</definedName>
    <definedName name="цена___5___0___0" localSheetId="18">#REF!</definedName>
    <definedName name="цена___5___0___0___0" localSheetId="16">#REF!</definedName>
    <definedName name="цена___5___0___0___0" localSheetId="25">#REF!</definedName>
    <definedName name="цена___5___0___0___0" localSheetId="18">#REF!</definedName>
    <definedName name="цена___5___0___0___0___0" localSheetId="25">#REF!</definedName>
    <definedName name="цена___5___0___0___0___0_1" localSheetId="25">#REF!</definedName>
    <definedName name="цена___5___0___0___0_1" localSheetId="25">#REF!</definedName>
    <definedName name="цена___5___0___0_1" localSheetId="25">#REF!</definedName>
    <definedName name="цена___5___0___1" localSheetId="25">#REF!</definedName>
    <definedName name="цена___5___0___1_1" localSheetId="25">#REF!</definedName>
    <definedName name="цена___5___0___5" localSheetId="25">#REF!</definedName>
    <definedName name="цена___5___0___5_1" localSheetId="25">#REF!</definedName>
    <definedName name="цена___5___0_1" localSheetId="25">#REF!</definedName>
    <definedName name="цена___5___0_1_1" localSheetId="25">#REF!</definedName>
    <definedName name="цена___5___0_1_1_1" localSheetId="25">#REF!</definedName>
    <definedName name="цена___5___0_3" localSheetId="25">#REF!</definedName>
    <definedName name="цена___5___0_3_1" localSheetId="25">#REF!</definedName>
    <definedName name="цена___5___0_5" localSheetId="25">#REF!</definedName>
    <definedName name="цена___5___0_5_1" localSheetId="25">#REF!</definedName>
    <definedName name="цена___5___1" localSheetId="25">#REF!</definedName>
    <definedName name="цена___5___1_1" localSheetId="25">#REF!</definedName>
    <definedName name="цена___5_1" localSheetId="16">#REF!</definedName>
    <definedName name="цена___5_1" localSheetId="25">#REF!</definedName>
    <definedName name="цена___5_1" localSheetId="18">#REF!</definedName>
    <definedName name="цена___5_1_1" localSheetId="16">#REF!</definedName>
    <definedName name="цена___5_1_1" localSheetId="25">#REF!</definedName>
    <definedName name="цена___5_1_1" localSheetId="18">#REF!</definedName>
    <definedName name="цена___5_1_1_1" localSheetId="16">#REF!</definedName>
    <definedName name="цена___5_1_1_1" localSheetId="25">#REF!</definedName>
    <definedName name="цена___5_1_1_1" localSheetId="18">#REF!</definedName>
    <definedName name="цена___6___0" localSheetId="16">#REF!</definedName>
    <definedName name="цена___6___0" localSheetId="25">#REF!</definedName>
    <definedName name="цена___6___0" localSheetId="18">#REF!</definedName>
    <definedName name="цена___6___0___0" localSheetId="16">#REF!</definedName>
    <definedName name="цена___6___0___0" localSheetId="25">#REF!</definedName>
    <definedName name="цена___6___0___0" localSheetId="18">#REF!</definedName>
    <definedName name="цена___6___0___0___0" localSheetId="16">#REF!</definedName>
    <definedName name="цена___6___0___0___0" localSheetId="25">#REF!</definedName>
    <definedName name="цена___6___0___0___0" localSheetId="18">#REF!</definedName>
    <definedName name="цена___6___0___0___0___0" localSheetId="25">#REF!</definedName>
    <definedName name="цена___6___0___0___0___0_1" localSheetId="25">#REF!</definedName>
    <definedName name="цена___6___0___0___0_1" localSheetId="25">#REF!</definedName>
    <definedName name="цена___6___0___0_1" localSheetId="25">#REF!</definedName>
    <definedName name="цена___6___0___1" localSheetId="25">#REF!</definedName>
    <definedName name="цена___6___0___1_1" localSheetId="25">#REF!</definedName>
    <definedName name="цена___6___0___5" localSheetId="25">#REF!</definedName>
    <definedName name="цена___6___0___5_1" localSheetId="25">#REF!</definedName>
    <definedName name="цена___6___0_1" localSheetId="25">#REF!</definedName>
    <definedName name="цена___6___0_1_1" localSheetId="25">#REF!</definedName>
    <definedName name="цена___6___0_1_1_1" localSheetId="25">#REF!</definedName>
    <definedName name="цена___6___0_3" localSheetId="25">#REF!</definedName>
    <definedName name="цена___6___0_3_1" localSheetId="25">#REF!</definedName>
    <definedName name="цена___6___0_5" localSheetId="25">#REF!</definedName>
    <definedName name="цена___6___0_5_1" localSheetId="25">#REF!</definedName>
    <definedName name="цена___6___1" localSheetId="25">#REF!</definedName>
    <definedName name="цена___6___10" localSheetId="25">#REF!</definedName>
    <definedName name="цена___6___10_1" localSheetId="25">#REF!</definedName>
    <definedName name="цена___6___12" localSheetId="25">#REF!</definedName>
    <definedName name="цена___6___2" localSheetId="25">#REF!</definedName>
    <definedName name="цена___6___2_1" localSheetId="25">#REF!</definedName>
    <definedName name="цена___6___4" localSheetId="25">#REF!</definedName>
    <definedName name="цена___6___4_1" localSheetId="25">#REF!</definedName>
    <definedName name="цена___6___6" localSheetId="16">#REF!</definedName>
    <definedName name="цена___6___6" localSheetId="25">#REF!</definedName>
    <definedName name="цена___6___6" localSheetId="18">#REF!</definedName>
    <definedName name="цена___6___6_1" localSheetId="16">#REF!</definedName>
    <definedName name="цена___6___6_1" localSheetId="25">#REF!</definedName>
    <definedName name="цена___6___6_1" localSheetId="18">#REF!</definedName>
    <definedName name="цена___6___8" localSheetId="16">#REF!</definedName>
    <definedName name="цена___6___8" localSheetId="25">#REF!</definedName>
    <definedName name="цена___6___8" localSheetId="18">#REF!</definedName>
    <definedName name="цена___6___8_1" localSheetId="25">#REF!</definedName>
    <definedName name="цена___6_1" localSheetId="25">#REF!</definedName>
    <definedName name="цена___6_1_1" localSheetId="25">#REF!</definedName>
    <definedName name="цена___6_1_1_1" localSheetId="25">#REF!</definedName>
    <definedName name="цена___6_3" localSheetId="25">#REF!</definedName>
    <definedName name="цена___6_3_1" localSheetId="25">#REF!</definedName>
    <definedName name="цена___7" localSheetId="16">#REF!</definedName>
    <definedName name="цена___7" localSheetId="25">#REF!</definedName>
    <definedName name="цена___7" localSheetId="18">#REF!</definedName>
    <definedName name="цена___7___0" localSheetId="16">#REF!</definedName>
    <definedName name="цена___7___0" localSheetId="25">#REF!</definedName>
    <definedName name="цена___7___0" localSheetId="18">#REF!</definedName>
    <definedName name="цена___7___10" localSheetId="16">#REF!</definedName>
    <definedName name="цена___7___10" localSheetId="25">#REF!</definedName>
    <definedName name="цена___7___10" localSheetId="18">#REF!</definedName>
    <definedName name="цена___7___2" localSheetId="25">#REF!</definedName>
    <definedName name="цена___7___4" localSheetId="25">#REF!</definedName>
    <definedName name="цена___7___6" localSheetId="25">#REF!</definedName>
    <definedName name="цена___7___8" localSheetId="25">#REF!</definedName>
    <definedName name="цена___7_1" localSheetId="25">#REF!</definedName>
    <definedName name="цена___8" localSheetId="25">#REF!</definedName>
    <definedName name="цена___8___0" localSheetId="25">#REF!</definedName>
    <definedName name="цена___8___0___0" localSheetId="25">#REF!</definedName>
    <definedName name="цена___8___0___0___0" localSheetId="25">#REF!</definedName>
    <definedName name="цена___8___0___0___0___0" localSheetId="25">#REF!</definedName>
    <definedName name="цена___8___0___0___0___0_1" localSheetId="25">#REF!</definedName>
    <definedName name="цена___8___0___0___0_1" localSheetId="25">#REF!</definedName>
    <definedName name="цена___8___0___0_1" localSheetId="25">#REF!</definedName>
    <definedName name="цена___8___0___1" localSheetId="25">#REF!</definedName>
    <definedName name="цена___8___0___1_1" localSheetId="25">#REF!</definedName>
    <definedName name="цена___8___0___5" localSheetId="25">#REF!</definedName>
    <definedName name="цена___8___0___5_1" localSheetId="25">#REF!</definedName>
    <definedName name="цена___8___0_1" localSheetId="25">#REF!</definedName>
    <definedName name="цена___8___0_1_1" localSheetId="25">#REF!</definedName>
    <definedName name="цена___8___0_1_1_1" localSheetId="25">#REF!</definedName>
    <definedName name="цена___8___0_3" localSheetId="25">#REF!</definedName>
    <definedName name="цена___8___0_3_1" localSheetId="25">#REF!</definedName>
    <definedName name="цена___8___0_5" localSheetId="25">#REF!</definedName>
    <definedName name="цена___8___0_5_1" localSheetId="25">#REF!</definedName>
    <definedName name="цена___8___1" localSheetId="25">#REF!</definedName>
    <definedName name="цена___8___10" localSheetId="25">#REF!</definedName>
    <definedName name="цена___8___10_1" localSheetId="25">#REF!</definedName>
    <definedName name="цена___8___12" localSheetId="25">#REF!</definedName>
    <definedName name="цена___8___2" localSheetId="25">#REF!</definedName>
    <definedName name="цена___8___2_1" localSheetId="25">#REF!</definedName>
    <definedName name="цена___8___4" localSheetId="25">#REF!</definedName>
    <definedName name="цена___8___4_1" localSheetId="25">#REF!</definedName>
    <definedName name="цена___8___5" localSheetId="25">#REF!</definedName>
    <definedName name="цена___8___5_1" localSheetId="25">#REF!</definedName>
    <definedName name="цена___8___6" localSheetId="25">#REF!</definedName>
    <definedName name="цена___8___6_1" localSheetId="25">#REF!</definedName>
    <definedName name="цена___8___8" localSheetId="25">#REF!</definedName>
    <definedName name="цена___8___8_1" localSheetId="25">#REF!</definedName>
    <definedName name="цена___8_1" localSheetId="25">#REF!</definedName>
    <definedName name="цена___8_1_1" localSheetId="25">#REF!</definedName>
    <definedName name="цена___8_1_1_1" localSheetId="25">#REF!</definedName>
    <definedName name="цена___8_3" localSheetId="25">#REF!</definedName>
    <definedName name="цена___8_3_1" localSheetId="25">#REF!</definedName>
    <definedName name="цена___8_5" localSheetId="25">#REF!</definedName>
    <definedName name="цена___8_5_1" localSheetId="25">#REF!</definedName>
    <definedName name="цена___9" localSheetId="25">#REF!</definedName>
    <definedName name="цена___9___0" localSheetId="25">#REF!</definedName>
    <definedName name="цена___9___0___0" localSheetId="25">#REF!</definedName>
    <definedName name="цена___9___0___0___0" localSheetId="25">#REF!</definedName>
    <definedName name="цена___9___0___0___0___0" localSheetId="25">#REF!</definedName>
    <definedName name="цена___9___0___0___0___0_1" localSheetId="25">#REF!</definedName>
    <definedName name="цена___9___0___0___0_1" localSheetId="25">#REF!</definedName>
    <definedName name="цена___9___0___0_1" localSheetId="25">#REF!</definedName>
    <definedName name="цена___9___0___5" localSheetId="25">#REF!</definedName>
    <definedName name="цена___9___0___5_1" localSheetId="25">#REF!</definedName>
    <definedName name="цена___9___0_1" localSheetId="25">#REF!</definedName>
    <definedName name="цена___9___0_5" localSheetId="25">#REF!</definedName>
    <definedName name="цена___9___0_5_1" localSheetId="25">#REF!</definedName>
    <definedName name="цена___9___10" localSheetId="25">#REF!</definedName>
    <definedName name="цена___9___2" localSheetId="25">#REF!</definedName>
    <definedName name="цена___9___4" localSheetId="25">#REF!</definedName>
    <definedName name="цена___9___5" localSheetId="25">#REF!</definedName>
    <definedName name="цена___9___5_1" localSheetId="25">#REF!</definedName>
    <definedName name="цена___9___6" localSheetId="25">#REF!</definedName>
    <definedName name="цена___9___8" localSheetId="25">#REF!</definedName>
    <definedName name="цена___9_1" localSheetId="25">#REF!</definedName>
    <definedName name="цена___9_1_1" localSheetId="25">#REF!</definedName>
    <definedName name="цена___9_1_1_1" localSheetId="25">#REF!</definedName>
    <definedName name="цена___9_3" localSheetId="25">#REF!</definedName>
    <definedName name="цена___9_3_1" localSheetId="25">#REF!</definedName>
    <definedName name="цена___9_5" localSheetId="25">#REF!</definedName>
    <definedName name="цена___9_5_1" localSheetId="25">#REF!</definedName>
    <definedName name="Цена1" localSheetId="16">#REF!</definedName>
    <definedName name="Цена1" localSheetId="25">#REF!</definedName>
    <definedName name="Цена1" localSheetId="18">#REF!</definedName>
    <definedName name="ЦенаМашБур" localSheetId="25">[30]СмМашБур!#REF!</definedName>
    <definedName name="ЦенаРучБур" localSheetId="16">[30]СмРучБур!#REF!</definedName>
    <definedName name="ЦенаРучБур" localSheetId="25">[30]СмРучБур!#REF!</definedName>
    <definedName name="ЦенаРучБур" localSheetId="18">[30]СмРучБур!#REF!</definedName>
    <definedName name="ЦенаШурфов" localSheetId="16">#REF!</definedName>
    <definedName name="ЦенаШурфов" localSheetId="25">#REF!</definedName>
    <definedName name="ЦенаШурфов" localSheetId="30">#REF!</definedName>
    <definedName name="ЦенаШурфов" localSheetId="18">#REF!</definedName>
    <definedName name="цуе" localSheetId="16" hidden="1">{#N/A,#N/A,TRUE,"Смета на пасс. обор. №1"}</definedName>
    <definedName name="цуе" localSheetId="36" hidden="1">{#N/A,#N/A,TRUE,"Смета на пасс. обор. №1"}</definedName>
    <definedName name="цуе" localSheetId="40" hidden="1">{#N/A,#N/A,TRUE,"Смета на пасс. обор. №1"}</definedName>
    <definedName name="цуе" localSheetId="30" hidden="1">{#N/A,#N/A,TRUE,"Смета на пасс. обор. №1"}</definedName>
    <definedName name="цуе" localSheetId="6" hidden="1">{#N/A,#N/A,TRUE,"Смета на пасс. обор. №1"}</definedName>
    <definedName name="цуе" localSheetId="7" hidden="1">{#N/A,#N/A,TRUE,"Смета на пасс. обор. №1"}</definedName>
    <definedName name="цуе" localSheetId="18" hidden="1">{#N/A,#N/A,TRUE,"Смета на пасс. обор. №1"}</definedName>
    <definedName name="цуе" localSheetId="38" hidden="1">{#N/A,#N/A,TRUE,"Смета на пасс. обор. №1"}</definedName>
    <definedName name="цуе" localSheetId="19" hidden="1">{#N/A,#N/A,TRUE,"Смета на пасс. обор. №1"}</definedName>
    <definedName name="цуе" hidden="1">{#N/A,#N/A,TRUE,"Смета на пасс. обор. №1"}</definedName>
    <definedName name="цук" localSheetId="16">#REF!</definedName>
    <definedName name="цук" localSheetId="25">#REF!</definedName>
    <definedName name="цук" localSheetId="18">#REF!</definedName>
    <definedName name="цукеп" localSheetId="25">#REF!</definedName>
    <definedName name="цукеп" localSheetId="18">#REF!</definedName>
    <definedName name="цукцук" localSheetId="25">#REF!</definedName>
    <definedName name="цукцук" localSheetId="18">#REF!</definedName>
    <definedName name="цукцукуцкцук" localSheetId="25">#REF!</definedName>
    <definedName name="цукцукцук" localSheetId="25">#REF!</definedName>
    <definedName name="цфйе" localSheetId="25">#REF!</definedName>
    <definedName name="цц" localSheetId="36" hidden="1">{#N/A,#N/A,TRUE,"Смета на пасс. обор. №1"}</definedName>
    <definedName name="цц" localSheetId="40" hidden="1">{#N/A,#N/A,TRUE,"Смета на пасс. обор. №1"}</definedName>
    <definedName name="цц" localSheetId="6" hidden="1">{#N/A,#N/A,TRUE,"Смета на пасс. обор. №1"}</definedName>
    <definedName name="цц" localSheetId="7" hidden="1">{#N/A,#N/A,TRUE,"Смета на пасс. обор. №1"}</definedName>
    <definedName name="цц" localSheetId="38" hidden="1">{#N/A,#N/A,TRUE,"Смета на пасс. обор. №1"}</definedName>
    <definedName name="цц" hidden="1">{#N/A,#N/A,TRUE,"Смета на пасс. обор. №1"}</definedName>
    <definedName name="ццц" localSheetId="16">#REF!</definedName>
    <definedName name="ццц" localSheetId="25">#REF!</definedName>
    <definedName name="цы" localSheetId="25">#REF!</definedName>
    <definedName name="цы_1" localSheetId="25">#REF!</definedName>
    <definedName name="ч" localSheetId="16" hidden="1">{#N/A,#N/A,TRUE,"Смета на пасс. обор. №1"}</definedName>
    <definedName name="ч" localSheetId="36" hidden="1">{#N/A,#N/A,TRUE,"Смета на пасс. обор. №1"}</definedName>
    <definedName name="ч" localSheetId="40" hidden="1">{#N/A,#N/A,TRUE,"Смета на пасс. обор. №1"}</definedName>
    <definedName name="ч" localSheetId="30" hidden="1">{#N/A,#N/A,TRUE,"Смета на пасс. обор. №1"}</definedName>
    <definedName name="ч" localSheetId="6" hidden="1">{#N/A,#N/A,TRUE,"Смета на пасс. обор. №1"}</definedName>
    <definedName name="ч" localSheetId="7" hidden="1">{#N/A,#N/A,TRUE,"Смета на пасс. обор. №1"}</definedName>
    <definedName name="ч" localSheetId="18" hidden="1">{#N/A,#N/A,TRUE,"Смета на пасс. обор. №1"}</definedName>
    <definedName name="ч" localSheetId="38" hidden="1">{#N/A,#N/A,TRUE,"Смета на пасс. обор. №1"}</definedName>
    <definedName name="ч" localSheetId="19" hidden="1">{#N/A,#N/A,TRUE,"Смета на пасс. обор. №1"}</definedName>
    <definedName name="ч" hidden="1">{#N/A,#N/A,TRUE,"Смета на пасс. обор. №1"}</definedName>
    <definedName name="ч_1" localSheetId="16" hidden="1">{#N/A,#N/A,TRUE,"Смета на пасс. обор. №1"}</definedName>
    <definedName name="ч_1" localSheetId="36" hidden="1">{#N/A,#N/A,TRUE,"Смета на пасс. обор. №1"}</definedName>
    <definedName name="ч_1" localSheetId="40" hidden="1">{#N/A,#N/A,TRUE,"Смета на пасс. обор. №1"}</definedName>
    <definedName name="ч_1" localSheetId="30" hidden="1">{#N/A,#N/A,TRUE,"Смета на пасс. обор. №1"}</definedName>
    <definedName name="ч_1" localSheetId="6" hidden="1">{#N/A,#N/A,TRUE,"Смета на пасс. обор. №1"}</definedName>
    <definedName name="ч_1" localSheetId="7" hidden="1">{#N/A,#N/A,TRUE,"Смета на пасс. обор. №1"}</definedName>
    <definedName name="ч_1" localSheetId="18" hidden="1">{#N/A,#N/A,TRUE,"Смета на пасс. обор. №1"}</definedName>
    <definedName name="ч_1" localSheetId="38" hidden="1">{#N/A,#N/A,TRUE,"Смета на пасс. обор. №1"}</definedName>
    <definedName name="ч_1" localSheetId="19" hidden="1">{#N/A,#N/A,TRUE,"Смета на пасс. обор. №1"}</definedName>
    <definedName name="ч_1" hidden="1">{#N/A,#N/A,TRUE,"Смета на пасс. обор. №1"}</definedName>
    <definedName name="чапо" localSheetId="16">#REF!</definedName>
    <definedName name="чапо" localSheetId="25">#REF!</definedName>
    <definedName name="чапо" localSheetId="18">#REF!</definedName>
    <definedName name="чапр" localSheetId="25">#REF!</definedName>
    <definedName name="чапр" localSheetId="18">#REF!</definedName>
    <definedName name="Челябинская_область" localSheetId="25">#REF!</definedName>
    <definedName name="Челябинская_область" localSheetId="18">#REF!</definedName>
    <definedName name="Челябинская_область_1" localSheetId="25">#REF!</definedName>
    <definedName name="четвертый" localSheetId="25">#REF!</definedName>
    <definedName name="Чеченская_Республика" localSheetId="25">#REF!</definedName>
    <definedName name="Читинская_область" localSheetId="25">#REF!</definedName>
    <definedName name="Читинская_область_1" localSheetId="25">#REF!</definedName>
    <definedName name="чмтчмт" localSheetId="25">#REF!</definedName>
    <definedName name="чмтчт" localSheetId="25">#REF!</definedName>
    <definedName name="чс" localSheetId="25">#REF!</definedName>
    <definedName name="чсапр" localSheetId="25">#REF!</definedName>
    <definedName name="чсипа" localSheetId="16">[4]топография!#REF!</definedName>
    <definedName name="чсипа" localSheetId="25">[5]топография!#REF!</definedName>
    <definedName name="чсиь" localSheetId="16">#REF!</definedName>
    <definedName name="чсиь" localSheetId="25">#REF!</definedName>
    <definedName name="чсиь" localSheetId="18">#REF!</definedName>
    <definedName name="чсмт" localSheetId="25">#REF!</definedName>
    <definedName name="чсмт" localSheetId="18">#REF!</definedName>
    <definedName name="чстм" localSheetId="25">#REF!</definedName>
    <definedName name="чстм" localSheetId="18">#REF!</definedName>
    <definedName name="чт" localSheetId="25">#REF!</definedName>
    <definedName name="чтм" localSheetId="25">#REF!</definedName>
    <definedName name="чть" localSheetId="25">#REF!</definedName>
    <definedName name="Чувашская_Республика___Чувашия" localSheetId="25">#REF!</definedName>
    <definedName name="Чукотский_автономный_округ" localSheetId="25">#REF!</definedName>
    <definedName name="Чукотский_автономный_округ_1" localSheetId="25">#REF!</definedName>
    <definedName name="ш" localSheetId="16" hidden="1">{#N/A,#N/A,TRUE,"Смета на пасс. обор. №1"}</definedName>
    <definedName name="ш" localSheetId="36" hidden="1">{#N/A,#N/A,TRUE,"Смета на пасс. обор. №1"}</definedName>
    <definedName name="ш" localSheetId="40" hidden="1">{#N/A,#N/A,TRUE,"Смета на пасс. обор. №1"}</definedName>
    <definedName name="ш" localSheetId="30" hidden="1">{#N/A,#N/A,TRUE,"Смета на пасс. обор. №1"}</definedName>
    <definedName name="ш" localSheetId="6" hidden="1">{#N/A,#N/A,TRUE,"Смета на пасс. обор. №1"}</definedName>
    <definedName name="ш" localSheetId="7" hidden="1">{#N/A,#N/A,TRUE,"Смета на пасс. обор. №1"}</definedName>
    <definedName name="ш" localSheetId="18" hidden="1">{#N/A,#N/A,TRUE,"Смета на пасс. обор. №1"}</definedName>
    <definedName name="ш" localSheetId="38" hidden="1">{#N/A,#N/A,TRUE,"Смета на пасс. обор. №1"}</definedName>
    <definedName name="ш" localSheetId="19" hidden="1">{#N/A,#N/A,TRUE,"Смета на пасс. обор. №1"}</definedName>
    <definedName name="ш" hidden="1">{#N/A,#N/A,TRUE,"Смета на пасс. обор. №1"}</definedName>
    <definedName name="ш_1" localSheetId="16" hidden="1">{#N/A,#N/A,TRUE,"Смета на пасс. обор. №1"}</definedName>
    <definedName name="ш_1" localSheetId="36" hidden="1">{#N/A,#N/A,TRUE,"Смета на пасс. обор. №1"}</definedName>
    <definedName name="ш_1" localSheetId="40" hidden="1">{#N/A,#N/A,TRUE,"Смета на пасс. обор. №1"}</definedName>
    <definedName name="ш_1" localSheetId="30" hidden="1">{#N/A,#N/A,TRUE,"Смета на пасс. обор. №1"}</definedName>
    <definedName name="ш_1" localSheetId="6" hidden="1">{#N/A,#N/A,TRUE,"Смета на пасс. обор. №1"}</definedName>
    <definedName name="ш_1" localSheetId="7" hidden="1">{#N/A,#N/A,TRUE,"Смета на пасс. обор. №1"}</definedName>
    <definedName name="ш_1" localSheetId="18" hidden="1">{#N/A,#N/A,TRUE,"Смета на пасс. обор. №1"}</definedName>
    <definedName name="ш_1" localSheetId="38" hidden="1">{#N/A,#N/A,TRUE,"Смета на пасс. обор. №1"}</definedName>
    <definedName name="ш_1" localSheetId="19" hidden="1">{#N/A,#N/A,TRUE,"Смета на пасс. обор. №1"}</definedName>
    <definedName name="ш_1" hidden="1">{#N/A,#N/A,TRUE,"Смета на пасс. обор. №1"}</definedName>
    <definedName name="шгд" localSheetId="16">#REF!</definedName>
    <definedName name="шгд" localSheetId="25">#REF!</definedName>
    <definedName name="шгд" localSheetId="18">#REF!</definedName>
    <definedName name="шгнкушгрдаы" localSheetId="16">#REF!</definedName>
    <definedName name="шгнкушгрдаы" localSheetId="25">#REF!</definedName>
    <definedName name="шгнкушгрдаы" localSheetId="18">#REF!</definedName>
    <definedName name="шгфуждлоэзшщ\ыфтм" localSheetId="25">#REF!</definedName>
    <definedName name="шгфуждлоэзшщ\ыфтм" localSheetId="18">#REF!</definedName>
    <definedName name="шдгшж" localSheetId="25">#REF!</definedName>
    <definedName name="шестой" localSheetId="25">#REF!</definedName>
    <definedName name="Шесть" localSheetId="25">#REF!</definedName>
    <definedName name="Шкафы_ТМ" localSheetId="25">#REF!</definedName>
    <definedName name="шплю" localSheetId="25">#REF!</definedName>
    <definedName name="шпр" localSheetId="25">#REF!</definedName>
    <definedName name="шщгщ9шщллщ" localSheetId="25">#REF!</definedName>
    <definedName name="щжэдж" localSheetId="25">#REF!</definedName>
    <definedName name="щшшщрг" localSheetId="25">#REF!</definedName>
    <definedName name="щщ" localSheetId="25">#REF!</definedName>
    <definedName name="ъхз" localSheetId="25">#REF!</definedName>
    <definedName name="ы" localSheetId="16" hidden="1">{#N/A,#N/A,TRUE,"Смета на пасс. обор. №1"}</definedName>
    <definedName name="ы" localSheetId="36" hidden="1">{#N/A,#N/A,TRUE,"Смета на пасс. обор. №1"}</definedName>
    <definedName name="ы" localSheetId="40" hidden="1">{#N/A,#N/A,TRUE,"Смета на пасс. обор. №1"}</definedName>
    <definedName name="ы" localSheetId="30" hidden="1">{#N/A,#N/A,TRUE,"Смета на пасс. обор. №1"}</definedName>
    <definedName name="ы" localSheetId="6" hidden="1">{#N/A,#N/A,TRUE,"Смета на пасс. обор. №1"}</definedName>
    <definedName name="ы" localSheetId="7" hidden="1">{#N/A,#N/A,TRUE,"Смета на пасс. обор. №1"}</definedName>
    <definedName name="ы" localSheetId="18" hidden="1">{#N/A,#N/A,TRUE,"Смета на пасс. обор. №1"}</definedName>
    <definedName name="ы" localSheetId="38" hidden="1">{#N/A,#N/A,TRUE,"Смета на пасс. обор. №1"}</definedName>
    <definedName name="ы" localSheetId="19" hidden="1">{#N/A,#N/A,TRUE,"Смета на пасс. обор. №1"}</definedName>
    <definedName name="ы" hidden="1">{#N/A,#N/A,TRUE,"Смета на пасс. обор. №1"}</definedName>
    <definedName name="ы_1" localSheetId="16" hidden="1">{#N/A,#N/A,TRUE,"Смета на пасс. обор. №1"}</definedName>
    <definedName name="ы_1" localSheetId="36" hidden="1">{#N/A,#N/A,TRUE,"Смета на пасс. обор. №1"}</definedName>
    <definedName name="ы_1" localSheetId="40" hidden="1">{#N/A,#N/A,TRUE,"Смета на пасс. обор. №1"}</definedName>
    <definedName name="ы_1" localSheetId="30" hidden="1">{#N/A,#N/A,TRUE,"Смета на пасс. обор. №1"}</definedName>
    <definedName name="ы_1" localSheetId="6" hidden="1">{#N/A,#N/A,TRUE,"Смета на пасс. обор. №1"}</definedName>
    <definedName name="ы_1" localSheetId="7" hidden="1">{#N/A,#N/A,TRUE,"Смета на пасс. обор. №1"}</definedName>
    <definedName name="ы_1" localSheetId="18" hidden="1">{#N/A,#N/A,TRUE,"Смета на пасс. обор. №1"}</definedName>
    <definedName name="ы_1" localSheetId="38" hidden="1">{#N/A,#N/A,TRUE,"Смета на пасс. обор. №1"}</definedName>
    <definedName name="ы_1" localSheetId="19" hidden="1">{#N/A,#N/A,TRUE,"Смета на пасс. обор. №1"}</definedName>
    <definedName name="ы_1" hidden="1">{#N/A,#N/A,TRUE,"Смета на пасс. обор. №1"}</definedName>
    <definedName name="ыа" localSheetId="16">#REF!</definedName>
    <definedName name="ыа" localSheetId="25">#REF!</definedName>
    <definedName name="ыа" localSheetId="18">#REF!</definedName>
    <definedName name="ыаоаы" localSheetId="25">#REF!</definedName>
    <definedName name="ыаоаы" localSheetId="18">#REF!</definedName>
    <definedName name="ыаоаыо" localSheetId="25">#REF!</definedName>
    <definedName name="ыаоаыо" localSheetId="18">#REF!</definedName>
    <definedName name="ыаоаып" localSheetId="25">#REF!</definedName>
    <definedName name="ыаоп" localSheetId="25">#REF!</definedName>
    <definedName name="ыапо" localSheetId="25">#REF!</definedName>
    <definedName name="ыапоапоао" localSheetId="25">#REF!</definedName>
    <definedName name="ыапоаыо" localSheetId="25">#REF!</definedName>
    <definedName name="ыапоы" localSheetId="25">#REF!</definedName>
    <definedName name="ыапоыа" localSheetId="25">#REF!</definedName>
    <definedName name="ыапр" localSheetId="16">[4]топография!#REF!</definedName>
    <definedName name="ыапр" localSheetId="25">[5]топография!#REF!</definedName>
    <definedName name="ыапраыр" localSheetId="16">#REF!</definedName>
    <definedName name="ыапраыр" localSheetId="25">#REF!</definedName>
    <definedName name="ыапраыр" localSheetId="18">#REF!</definedName>
    <definedName name="ыаролд" localSheetId="36" hidden="1">{#N/A,#N/A,TRUE,"Смета на пасс. обор. №1"}</definedName>
    <definedName name="ыаролд" localSheetId="40" hidden="1">{#N/A,#N/A,TRUE,"Смета на пасс. обор. №1"}</definedName>
    <definedName name="ыаролд" localSheetId="6" hidden="1">{#N/A,#N/A,TRUE,"Смета на пасс. обор. №1"}</definedName>
    <definedName name="ыаролд" localSheetId="7" hidden="1">{#N/A,#N/A,TRUE,"Смета на пасс. обор. №1"}</definedName>
    <definedName name="ыаролд" localSheetId="38" hidden="1">{#N/A,#N/A,TRUE,"Смета на пасс. обор. №1"}</definedName>
    <definedName name="ыаролд" hidden="1">{#N/A,#N/A,TRUE,"Смета на пасс. обор. №1"}</definedName>
    <definedName name="ыв" localSheetId="16">[11]ПДР!#REF!</definedName>
    <definedName name="ыв" localSheetId="25">[11]ПДР!#REF!</definedName>
    <definedName name="ыв" localSheetId="18">[11]ПДР!#REF!</definedName>
    <definedName name="ЫВGGGGGGGGGGGGGGG" localSheetId="16">#REF!</definedName>
    <definedName name="ЫВGGGGGGGGGGGGGGG" localSheetId="25">#REF!</definedName>
    <definedName name="ЫВGGGGGGGGGGGGGGG" localSheetId="18">#REF!</definedName>
    <definedName name="ыва" localSheetId="16" hidden="1">{#N/A,#N/A,TRUE,"Смета на пасс. обор. №1"}</definedName>
    <definedName name="ыва" localSheetId="36" hidden="1">{#N/A,#N/A,TRUE,"Смета на пасс. обор. №1"}</definedName>
    <definedName name="ыва" localSheetId="40" hidden="1">{#N/A,#N/A,TRUE,"Смета на пасс. обор. №1"}</definedName>
    <definedName name="ыва" localSheetId="30" hidden="1">{#N/A,#N/A,TRUE,"Смета на пасс. обор. №1"}</definedName>
    <definedName name="ыва" localSheetId="6" hidden="1">{#N/A,#N/A,TRUE,"Смета на пасс. обор. №1"}</definedName>
    <definedName name="ыва" localSheetId="7" hidden="1">{#N/A,#N/A,TRUE,"Смета на пасс. обор. №1"}</definedName>
    <definedName name="ыва" localSheetId="18" hidden="1">{#N/A,#N/A,TRUE,"Смета на пасс. обор. №1"}</definedName>
    <definedName name="ыва" localSheetId="38" hidden="1">{#N/A,#N/A,TRUE,"Смета на пасс. обор. №1"}</definedName>
    <definedName name="ыва" localSheetId="19" hidden="1">{#N/A,#N/A,TRUE,"Смета на пасс. обор. №1"}</definedName>
    <definedName name="ыва" hidden="1">{#N/A,#N/A,TRUE,"Смета на пасс. обор. №1"}</definedName>
    <definedName name="ыва_1" localSheetId="16" hidden="1">{#N/A,#N/A,TRUE,"Смета на пасс. обор. №1"}</definedName>
    <definedName name="ыва_1" localSheetId="36" hidden="1">{#N/A,#N/A,TRUE,"Смета на пасс. обор. №1"}</definedName>
    <definedName name="ыва_1" localSheetId="40" hidden="1">{#N/A,#N/A,TRUE,"Смета на пасс. обор. №1"}</definedName>
    <definedName name="ыва_1" localSheetId="30" hidden="1">{#N/A,#N/A,TRUE,"Смета на пасс. обор. №1"}</definedName>
    <definedName name="ыва_1" localSheetId="6" hidden="1">{#N/A,#N/A,TRUE,"Смета на пасс. обор. №1"}</definedName>
    <definedName name="ыва_1" localSheetId="7" hidden="1">{#N/A,#N/A,TRUE,"Смета на пасс. обор. №1"}</definedName>
    <definedName name="ыва_1" localSheetId="18" hidden="1">{#N/A,#N/A,TRUE,"Смета на пасс. обор. №1"}</definedName>
    <definedName name="ыва_1" localSheetId="38" hidden="1">{#N/A,#N/A,TRUE,"Смета на пасс. обор. №1"}</definedName>
    <definedName name="ыва_1" localSheetId="19" hidden="1">{#N/A,#N/A,TRUE,"Смета на пасс. обор. №1"}</definedName>
    <definedName name="ыва_1" hidden="1">{#N/A,#N/A,TRUE,"Смета на пасс. обор. №1"}</definedName>
    <definedName name="ывапвыфп" localSheetId="16">[4]топография!#REF!</definedName>
    <definedName name="ывапвыфп" localSheetId="25">[5]топография!#REF!</definedName>
    <definedName name="ываф" localSheetId="16">#REF!</definedName>
    <definedName name="ываф" localSheetId="25">#REF!</definedName>
    <definedName name="ываф" localSheetId="18">#REF!</definedName>
    <definedName name="Ываы" localSheetId="25">#REF!</definedName>
    <definedName name="Ываы" localSheetId="18">#REF!</definedName>
    <definedName name="ЫВаЫа" localSheetId="25">#REF!</definedName>
    <definedName name="ЫВаЫа" localSheetId="18">#REF!</definedName>
    <definedName name="ЫВаЫваав" localSheetId="25">#REF!</definedName>
    <definedName name="ывпавар" localSheetId="25">#REF!</definedName>
    <definedName name="ЫВПВвввв" localSheetId="16">[4]топография!#REF!</definedName>
    <definedName name="ЫВПВвввв" localSheetId="25">[5]топография!#REF!</definedName>
    <definedName name="ыВПВП" localSheetId="16">#REF!</definedName>
    <definedName name="ыВПВП" localSheetId="25">#REF!</definedName>
    <definedName name="ыВПВП" localSheetId="18">#REF!</definedName>
    <definedName name="ыкен" localSheetId="25">#REF!</definedName>
    <definedName name="ыкен" localSheetId="18">#REF!</definedName>
    <definedName name="ыопвпо" localSheetId="25">#REF!</definedName>
    <definedName name="ыопвпо" localSheetId="18">#REF!</definedName>
    <definedName name="ып" localSheetId="25">#REF!</definedName>
    <definedName name="ыпаота" localSheetId="25">#REF!</definedName>
    <definedName name="ыпартап" localSheetId="25">#REF!</definedName>
    <definedName name="ыпатапт" localSheetId="25">#REF!</definedName>
    <definedName name="ыпми" localSheetId="25">#REF!</definedName>
    <definedName name="ыпо" localSheetId="25">#REF!</definedName>
    <definedName name="ыпоыа" localSheetId="25">#REF!</definedName>
    <definedName name="ыпоыапо" localSheetId="25">#REF!</definedName>
    <definedName name="ыпр" localSheetId="25">#REF!</definedName>
    <definedName name="ыпрапр" localSheetId="25">#REF!</definedName>
    <definedName name="ыпраыпо" localSheetId="16">[4]топография!#REF!</definedName>
    <definedName name="ыпраыпо" localSheetId="25">[5]топография!#REF!</definedName>
    <definedName name="ыпры" localSheetId="16">#REF!</definedName>
    <definedName name="ыпры" localSheetId="25">#REF!</definedName>
    <definedName name="ыпры" localSheetId="18">#REF!</definedName>
    <definedName name="ырипыр" localSheetId="25">#REF!</definedName>
    <definedName name="ырипыр" localSheetId="18">#REF!</definedName>
    <definedName name="ырп" localSheetId="25">#REF!</definedName>
    <definedName name="ырп" localSheetId="18">#REF!</definedName>
    <definedName name="ыукнр" localSheetId="25">#REF!</definedName>
    <definedName name="ыы" localSheetId="25">#REF!</definedName>
    <definedName name="ыы_1" localSheetId="25">#REF!</definedName>
    <definedName name="ыы_10" localSheetId="25">#REF!</definedName>
    <definedName name="ыы_11" localSheetId="25">#REF!</definedName>
    <definedName name="ыы_12" localSheetId="25">#REF!</definedName>
    <definedName name="ыы_13" localSheetId="25">#REF!</definedName>
    <definedName name="ыы_14" localSheetId="25">#REF!</definedName>
    <definedName name="ыы_15" localSheetId="25">#REF!</definedName>
    <definedName name="ыы_16" localSheetId="25">#REF!</definedName>
    <definedName name="ыы_17" localSheetId="25">#REF!</definedName>
    <definedName name="ыы_18" localSheetId="25">#REF!</definedName>
    <definedName name="ыы_19" localSheetId="25">#REF!</definedName>
    <definedName name="ыы_2" localSheetId="25">#REF!</definedName>
    <definedName name="ыы_20" localSheetId="25">#REF!</definedName>
    <definedName name="ыы_21" localSheetId="25">#REF!</definedName>
    <definedName name="ыы_49" localSheetId="25">#REF!</definedName>
    <definedName name="ыы_50" localSheetId="25">#REF!</definedName>
    <definedName name="ыы_51" localSheetId="25">#REF!</definedName>
    <definedName name="ыы_52" localSheetId="25">#REF!</definedName>
    <definedName name="ыы_53" localSheetId="25">#REF!</definedName>
    <definedName name="ыы_54" localSheetId="25">#REF!</definedName>
    <definedName name="ыы_6" localSheetId="25">#REF!</definedName>
    <definedName name="ыы_7" localSheetId="25">#REF!</definedName>
    <definedName name="ыы_8" localSheetId="25">#REF!</definedName>
    <definedName name="ыы_9" localSheetId="25">#REF!</definedName>
    <definedName name="ыыы" localSheetId="25">#REF!</definedName>
    <definedName name="ыыыы" localSheetId="36" hidden="1">{#N/A,#N/A,TRUE,"Смета на пасс. обор. №1"}</definedName>
    <definedName name="ыыыы" localSheetId="25">#REF!</definedName>
    <definedName name="ьбют" localSheetId="16">#REF!</definedName>
    <definedName name="ьбют" localSheetId="25">#REF!</definedName>
    <definedName name="ьбют" localSheetId="18">#REF!</definedName>
    <definedName name="ьвпрьрп" localSheetId="25">#REF!</definedName>
    <definedName name="ьвпрьрп" localSheetId="18">#REF!</definedName>
    <definedName name="ьврп" localSheetId="25">#REF!</definedName>
    <definedName name="ьврп" localSheetId="18">#REF!</definedName>
    <definedName name="ьпрьп" localSheetId="25">#REF!</definedName>
    <definedName name="ьььь" localSheetId="36" hidden="1">{#N/A,#N/A,TRUE,"Смета на пасс. обор. №1"}</definedName>
    <definedName name="ьььь" localSheetId="40" hidden="1">{#N/A,#N/A,TRUE,"Смета на пасс. обор. №1"}</definedName>
    <definedName name="ьььь" localSheetId="6" hidden="1">{#N/A,#N/A,TRUE,"Смета на пасс. обор. №1"}</definedName>
    <definedName name="ьььь" localSheetId="7" hidden="1">{#N/A,#N/A,TRUE,"Смета на пасс. обор. №1"}</definedName>
    <definedName name="ьььь" localSheetId="38" hidden="1">{#N/A,#N/A,TRUE,"Смета на пасс. обор. №1"}</definedName>
    <definedName name="ьььь" hidden="1">{#N/A,#N/A,TRUE,"Смета на пасс. обор. №1"}</definedName>
    <definedName name="э1" localSheetId="16">#REF!</definedName>
    <definedName name="э1" localSheetId="25">#REF!</definedName>
    <definedName name="эж" localSheetId="25">#REF!</definedName>
    <definedName name="эж_1" localSheetId="25">#REF!</definedName>
    <definedName name="эж_10" localSheetId="25">#REF!</definedName>
    <definedName name="эж_11" localSheetId="25">#REF!</definedName>
    <definedName name="эж_12" localSheetId="25">#REF!</definedName>
    <definedName name="эж_13" localSheetId="25">#REF!</definedName>
    <definedName name="эж_14" localSheetId="25">#REF!</definedName>
    <definedName name="эж_15" localSheetId="25">#REF!</definedName>
    <definedName name="эж_16" localSheetId="25">#REF!</definedName>
    <definedName name="эж_17" localSheetId="25">#REF!</definedName>
    <definedName name="эж_18" localSheetId="25">#REF!</definedName>
    <definedName name="эж_19" localSheetId="25">#REF!</definedName>
    <definedName name="эж_2" localSheetId="25">#REF!</definedName>
    <definedName name="эж_20" localSheetId="25">#REF!</definedName>
    <definedName name="эж_21" localSheetId="25">#REF!</definedName>
    <definedName name="эж_49" localSheetId="25">#REF!</definedName>
    <definedName name="эж_50" localSheetId="25">#REF!</definedName>
    <definedName name="эж_51" localSheetId="25">#REF!</definedName>
    <definedName name="эж_52" localSheetId="25">#REF!</definedName>
    <definedName name="эж_53" localSheetId="25">#REF!</definedName>
    <definedName name="эж_54" localSheetId="25">#REF!</definedName>
    <definedName name="эж_6" localSheetId="25">#REF!</definedName>
    <definedName name="эж_7" localSheetId="25">#REF!</definedName>
    <definedName name="эж_8" localSheetId="25">#REF!</definedName>
    <definedName name="эж_9" localSheetId="25">#REF!</definedName>
    <definedName name="эк" localSheetId="25">#REF!</definedName>
    <definedName name="эк1" localSheetId="25">#REF!</definedName>
    <definedName name="эко" localSheetId="25">#REF!</definedName>
    <definedName name="эко___0" localSheetId="25">#REF!</definedName>
    <definedName name="эко___0_1" localSheetId="25">#REF!</definedName>
    <definedName name="эко_1" localSheetId="25">#REF!</definedName>
    <definedName name="эко_5" localSheetId="25">#REF!</definedName>
    <definedName name="эко_5_1" localSheetId="25">#REF!</definedName>
    <definedName name="эко1" localSheetId="25">#REF!</definedName>
    <definedName name="экол.1" localSheetId="16">[4]топография!#REF!</definedName>
    <definedName name="экол.1" localSheetId="25">[5]топография!#REF!</definedName>
    <definedName name="экол1" localSheetId="16">#REF!</definedName>
    <definedName name="экол1" localSheetId="25">#REF!</definedName>
    <definedName name="экол1" localSheetId="18">#REF!</definedName>
    <definedName name="экол2" localSheetId="25">#REF!</definedName>
    <definedName name="экол2" localSheetId="18">#REF!</definedName>
    <definedName name="Экол3" localSheetId="25">#REF!</definedName>
    <definedName name="Экол3" localSheetId="18">#REF!</definedName>
    <definedName name="эколог" localSheetId="25">#REF!</definedName>
    <definedName name="экологияч" localSheetId="16">#REF!</definedName>
    <definedName name="экологияч" localSheetId="25">#REF!</definedName>
    <definedName name="экологияч" localSheetId="18">#REF!</definedName>
    <definedName name="экт" localSheetId="25">#REF!</definedName>
    <definedName name="экт" localSheetId="18">#REF!</definedName>
    <definedName name="эл" localSheetId="16" hidden="1">{#N/A,#N/A,TRUE,"Смета на пасс. обор. №1"}</definedName>
    <definedName name="эл" localSheetId="36" hidden="1">{#N/A,#N/A,TRUE,"Смета на пасс. обор. №1"}</definedName>
    <definedName name="эл" localSheetId="40" hidden="1">{#N/A,#N/A,TRUE,"Смета на пасс. обор. №1"}</definedName>
    <definedName name="эл" localSheetId="30" hidden="1">{#N/A,#N/A,TRUE,"Смета на пасс. обор. №1"}</definedName>
    <definedName name="эл" localSheetId="6" hidden="1">{#N/A,#N/A,TRUE,"Смета на пасс. обор. №1"}</definedName>
    <definedName name="эл" localSheetId="7" hidden="1">{#N/A,#N/A,TRUE,"Смета на пасс. обор. №1"}</definedName>
    <definedName name="эл" localSheetId="18" hidden="1">{#N/A,#N/A,TRUE,"Смета на пасс. обор. №1"}</definedName>
    <definedName name="эл" localSheetId="38" hidden="1">{#N/A,#N/A,TRUE,"Смета на пасс. обор. №1"}</definedName>
    <definedName name="эл" localSheetId="19" hidden="1">{#N/A,#N/A,TRUE,"Смета на пасс. обор. №1"}</definedName>
    <definedName name="эл" hidden="1">{#N/A,#N/A,TRUE,"Смета на пасс. обор. №1"}</definedName>
    <definedName name="Эл.щиты" localSheetId="36" hidden="1">{"IMRAK42x8x8",#N/A,TRUE,"IMRAK 1400 42U 800X800";"IMRAK32x6x6",#N/A,TRUE,"IMRAK 1400 32U 600x600";"IMRAK42x12x8",#N/A,TRUE,"IMRAK 1400 42U 1200x800";"IMRAK15x6x4",#N/A,TRUE,"IMRAK 400 15U FRONT SECTION"}</definedName>
    <definedName name="Эл.щиты" localSheetId="40" hidden="1">{"IMRAK42x8x8",#N/A,TRUE,"IMRAK 1400 42U 800X800";"IMRAK32x6x6",#N/A,TRUE,"IMRAK 1400 32U 600x600";"IMRAK42x12x8",#N/A,TRUE,"IMRAK 1400 42U 1200x800";"IMRAK15x6x4",#N/A,TRUE,"IMRAK 400 15U FRONT SECTION"}</definedName>
    <definedName name="Эл.щиты" localSheetId="6" hidden="1">{"IMRAK42x8x8",#N/A,TRUE,"IMRAK 1400 42U 800X800";"IMRAK32x6x6",#N/A,TRUE,"IMRAK 1400 32U 600x600";"IMRAK42x12x8",#N/A,TRUE,"IMRAK 1400 42U 1200x800";"IMRAK15x6x4",#N/A,TRUE,"IMRAK 400 15U FRONT SECTION"}</definedName>
    <definedName name="Эл.щиты" localSheetId="7" hidden="1">{"IMRAK42x8x8",#N/A,TRUE,"IMRAK 1400 42U 800X800";"IMRAK32x6x6",#N/A,TRUE,"IMRAK 1400 32U 600x600";"IMRAK42x12x8",#N/A,TRUE,"IMRAK 1400 42U 1200x800";"IMRAK15x6x4",#N/A,TRUE,"IMRAK 400 15U FRONT SECTION"}</definedName>
    <definedName name="Эл.щиты" localSheetId="38" hidden="1">{"IMRAK42x8x8",#N/A,TRUE,"IMRAK 1400 42U 800X800";"IMRAK32x6x6",#N/A,TRUE,"IMRAK 1400 32U 600x600";"IMRAK42x12x8",#N/A,TRUE,"IMRAK 1400 42U 1200x800";"IMRAK15x6x4",#N/A,TRUE,"IMRAK 400 15U FRONT SECTION"}</definedName>
    <definedName name="Эл.щиты" hidden="1">{"IMRAK42x8x8",#N/A,TRUE,"IMRAK 1400 42U 800X800";"IMRAK32x6x6",#N/A,TRUE,"IMRAK 1400 32U 600x600";"IMRAK42x12x8",#N/A,TRUE,"IMRAK 1400 42U 1200x800";"IMRAK15x6x4",#N/A,TRUE,"IMRAK 400 15U FRONT SECTION"}</definedName>
    <definedName name="эл_1" localSheetId="16" hidden="1">{#N/A,#N/A,TRUE,"Смета на пасс. обор. №1"}</definedName>
    <definedName name="эл_1" localSheetId="36" hidden="1">{#N/A,#N/A,TRUE,"Смета на пасс. обор. №1"}</definedName>
    <definedName name="эл_1" localSheetId="40" hidden="1">{#N/A,#N/A,TRUE,"Смета на пасс. обор. №1"}</definedName>
    <definedName name="эл_1" localSheetId="30" hidden="1">{#N/A,#N/A,TRUE,"Смета на пасс. обор. №1"}</definedName>
    <definedName name="эл_1" localSheetId="6" hidden="1">{#N/A,#N/A,TRUE,"Смета на пасс. обор. №1"}</definedName>
    <definedName name="эл_1" localSheetId="7" hidden="1">{#N/A,#N/A,TRUE,"Смета на пасс. обор. №1"}</definedName>
    <definedName name="эл_1" localSheetId="18" hidden="1">{#N/A,#N/A,TRUE,"Смета на пасс. обор. №1"}</definedName>
    <definedName name="эл_1" localSheetId="38" hidden="1">{#N/A,#N/A,TRUE,"Смета на пасс. обор. №1"}</definedName>
    <definedName name="эл_1" localSheetId="19" hidden="1">{#N/A,#N/A,TRUE,"Смета на пасс. обор. №1"}</definedName>
    <definedName name="эл_1" hidden="1">{#N/A,#N/A,TRUE,"Смета на пасс. обор. №1"}</definedName>
    <definedName name="ЭлеСи_1" localSheetId="16">#REF!</definedName>
    <definedName name="ЭлеСи_1" localSheetId="25">#REF!</definedName>
    <definedName name="ЭлеСи_1" localSheetId="30">#REF!</definedName>
    <definedName name="ЭлеСи_1" localSheetId="18">#REF!</definedName>
    <definedName name="элрасч" localSheetId="25">#REF!</definedName>
    <definedName name="элрасч" localSheetId="30">#REF!</definedName>
    <definedName name="элрасч" localSheetId="18">#REF!</definedName>
    <definedName name="ЭЛСИ_Т" localSheetId="25">#REF!</definedName>
    <definedName name="ЭЛСИ_Т" localSheetId="30">#REF!</definedName>
    <definedName name="ЭЛСИ_Т" localSheetId="18">#REF!</definedName>
    <definedName name="эмс" localSheetId="16">[4]топография!#REF!</definedName>
    <definedName name="эмс" localSheetId="25">[5]топография!#REF!</definedName>
    <definedName name="эмс" localSheetId="30">[5]топография!#REF!</definedName>
    <definedName name="эмс" localSheetId="18">[5]топография!#REF!</definedName>
    <definedName name="ю" localSheetId="16">#REF!</definedName>
    <definedName name="ю" localSheetId="25">#REF!</definedName>
    <definedName name="ю" localSheetId="18">#REF!</definedName>
    <definedName name="юб" localSheetId="25">#REF!</definedName>
    <definedName name="юб" localSheetId="18">#REF!</definedName>
    <definedName name="юдшншджгп" localSheetId="25">#REF!</definedName>
    <definedName name="юдшншджгп" localSheetId="18">#REF!</definedName>
    <definedName name="ЮФУ" localSheetId="25">#REF!</definedName>
    <definedName name="ЮФУ2" localSheetId="25">#REF!</definedName>
    <definedName name="юю" localSheetId="36" hidden="1">{#N/A,#N/A,TRUE,"Смета на пасс. обор. №1"}</definedName>
    <definedName name="юю" localSheetId="40" hidden="1">{#N/A,#N/A,TRUE,"Смета на пасс. обор. №1"}</definedName>
    <definedName name="юю" localSheetId="6" hidden="1">{#N/A,#N/A,TRUE,"Смета на пасс. обор. №1"}</definedName>
    <definedName name="юю" localSheetId="7" hidden="1">{#N/A,#N/A,TRUE,"Смета на пасс. обор. №1"}</definedName>
    <definedName name="юю" localSheetId="38" hidden="1">{#N/A,#N/A,TRUE,"Смета на пасс. обор. №1"}</definedName>
    <definedName name="юю" hidden="1">{#N/A,#N/A,TRUE,"Смета на пасс. обор. №1"}</definedName>
    <definedName name="ююю" localSheetId="16" hidden="1">{#N/A,#N/A,TRUE,"Смета на пасс. обор. №1"}</definedName>
    <definedName name="ююю" localSheetId="36" hidden="1">{#N/A,#N/A,TRUE,"Смета на пасс. обор. №1"}</definedName>
    <definedName name="ююю" localSheetId="40" hidden="1">{#N/A,#N/A,TRUE,"Смета на пасс. обор. №1"}</definedName>
    <definedName name="ююю" localSheetId="30" hidden="1">{#N/A,#N/A,TRUE,"Смета на пасс. обор. №1"}</definedName>
    <definedName name="ююю" localSheetId="6" hidden="1">{#N/A,#N/A,TRUE,"Смета на пасс. обор. №1"}</definedName>
    <definedName name="ююю" localSheetId="7" hidden="1">{#N/A,#N/A,TRUE,"Смета на пасс. обор. №1"}</definedName>
    <definedName name="ююю" localSheetId="18" hidden="1">{#N/A,#N/A,TRUE,"Смета на пасс. обор. №1"}</definedName>
    <definedName name="ююю" localSheetId="38" hidden="1">{#N/A,#N/A,TRUE,"Смета на пасс. обор. №1"}</definedName>
    <definedName name="ююю" localSheetId="19" hidden="1">{#N/A,#N/A,TRUE,"Смета на пасс. обор. №1"}</definedName>
    <definedName name="ююю" hidden="1">{#N/A,#N/A,TRUE,"Смета на пасс. обор. №1"}</definedName>
    <definedName name="ююю_1" localSheetId="16" hidden="1">{#N/A,#N/A,TRUE,"Смета на пасс. обор. №1"}</definedName>
    <definedName name="ююю_1" localSheetId="36" hidden="1">{#N/A,#N/A,TRUE,"Смета на пасс. обор. №1"}</definedName>
    <definedName name="ююю_1" localSheetId="40" hidden="1">{#N/A,#N/A,TRUE,"Смета на пасс. обор. №1"}</definedName>
    <definedName name="ююю_1" localSheetId="30" hidden="1">{#N/A,#N/A,TRUE,"Смета на пасс. обор. №1"}</definedName>
    <definedName name="ююю_1" localSheetId="6" hidden="1">{#N/A,#N/A,TRUE,"Смета на пасс. обор. №1"}</definedName>
    <definedName name="ююю_1" localSheetId="7" hidden="1">{#N/A,#N/A,TRUE,"Смета на пасс. обор. №1"}</definedName>
    <definedName name="ююю_1" localSheetId="18" hidden="1">{#N/A,#N/A,TRUE,"Смета на пасс. обор. №1"}</definedName>
    <definedName name="ююю_1" localSheetId="38" hidden="1">{#N/A,#N/A,TRUE,"Смета на пасс. обор. №1"}</definedName>
    <definedName name="ююю_1" localSheetId="19" hidden="1">{#N/A,#N/A,TRUE,"Смета на пасс. обор. №1"}</definedName>
    <definedName name="ююю_1" hidden="1">{#N/A,#N/A,TRUE,"Смета на пасс. обор. №1"}</definedName>
    <definedName name="я" localSheetId="16">#REF!</definedName>
    <definedName name="я" localSheetId="25">#REF!</definedName>
    <definedName name="я" localSheetId="40">#REF!</definedName>
    <definedName name="я" localSheetId="18">#REF!</definedName>
    <definedName name="яапт" localSheetId="25">#REF!</definedName>
    <definedName name="яапт" localSheetId="18">#REF!</definedName>
    <definedName name="яапяяяя" localSheetId="25">#REF!</definedName>
    <definedName name="яапяяяя" localSheetId="18">#REF!</definedName>
    <definedName name="явапяап" localSheetId="25">#REF!</definedName>
    <definedName name="явапявп" localSheetId="25">#REF!</definedName>
    <definedName name="явар" localSheetId="25">#REF!</definedName>
    <definedName name="яваряра" localSheetId="25">#REF!</definedName>
    <definedName name="ярая" localSheetId="25">#REF!</definedName>
    <definedName name="яраяраря" localSheetId="25">#REF!</definedName>
    <definedName name="яроптап" localSheetId="25">#REF!</definedName>
    <definedName name="Ярославская_область" localSheetId="25">#REF!</definedName>
    <definedName name="ЯЯЯ" localSheetId="16">[4]топография!#REF!</definedName>
    <definedName name="ЯЯЯ" localSheetId="25">[5]топография!#REF!</definedName>
  </definedNames>
  <calcPr calcId="162913" fullPrecision="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0" i="192" l="1"/>
  <c r="C7" i="192" l="1"/>
  <c r="C6" i="192"/>
  <c r="B9" i="193"/>
  <c r="E64" i="196"/>
  <c r="K64" i="196"/>
  <c r="F125" i="175"/>
  <c r="F124" i="175"/>
  <c r="F123" i="175"/>
  <c r="F122" i="175"/>
  <c r="F121" i="175"/>
  <c r="F120" i="175"/>
  <c r="F29" i="193" l="1"/>
  <c r="F36" i="193"/>
  <c r="D36" i="193"/>
  <c r="F34" i="193"/>
  <c r="F38" i="193" s="1"/>
  <c r="D34" i="193"/>
  <c r="F30" i="193"/>
  <c r="F31" i="193" s="1"/>
  <c r="F32" i="193" l="1"/>
  <c r="F37" i="193"/>
  <c r="C38" i="193"/>
  <c r="C37" i="193"/>
  <c r="C39" i="193" l="1"/>
  <c r="F39" i="193"/>
  <c r="Y10" i="128" l="1"/>
  <c r="W10" i="128"/>
  <c r="M10" i="128"/>
  <c r="H10" i="128"/>
  <c r="N10" i="128" s="1"/>
  <c r="Q10" i="128" s="1"/>
  <c r="U10" i="128" s="1"/>
  <c r="M815" i="202"/>
  <c r="M816" i="202"/>
  <c r="M20" i="202"/>
  <c r="M47" i="202"/>
  <c r="M130" i="202" s="1"/>
  <c r="M131" i="202" s="1"/>
  <c r="M75" i="202"/>
  <c r="M102" i="202"/>
  <c r="M133" i="202"/>
  <c r="M142" i="202"/>
  <c r="M158" i="202"/>
  <c r="M176" i="202"/>
  <c r="M227" i="202" s="1"/>
  <c r="M228" i="202" s="1"/>
  <c r="M195" i="202"/>
  <c r="M214" i="202"/>
  <c r="M230" i="202"/>
  <c r="M296" i="202" s="1"/>
  <c r="M297" i="202" s="1"/>
  <c r="M247" i="202"/>
  <c r="M261" i="202"/>
  <c r="M282" i="202"/>
  <c r="M299" i="202"/>
  <c r="M307" i="202"/>
  <c r="M321" i="202"/>
  <c r="M340" i="202"/>
  <c r="M353" i="202"/>
  <c r="M365" i="202"/>
  <c r="M374" i="202"/>
  <c r="M396" i="202"/>
  <c r="M410" i="202"/>
  <c r="M436" i="202"/>
  <c r="M451" i="202"/>
  <c r="M466" i="202"/>
  <c r="M482" i="202"/>
  <c r="M496" i="202"/>
  <c r="M511" i="202"/>
  <c r="M525" i="202"/>
  <c r="M541" i="202"/>
  <c r="M571" i="202" s="1"/>
  <c r="M572" i="202" s="1"/>
  <c r="M556" i="202"/>
  <c r="M574" i="202"/>
  <c r="M683" i="202" s="1"/>
  <c r="M684" i="202" s="1"/>
  <c r="M589" i="202"/>
  <c r="M611" i="202"/>
  <c r="M635" i="202"/>
  <c r="M659" i="202"/>
  <c r="M686" i="202"/>
  <c r="M701" i="202"/>
  <c r="M716" i="202"/>
  <c r="M730" i="202"/>
  <c r="M744" i="202"/>
  <c r="M758" i="202"/>
  <c r="M781" i="202"/>
  <c r="M805" i="202"/>
  <c r="F818" i="202"/>
  <c r="X10" i="128" l="1"/>
  <c r="Z10" i="128" s="1"/>
  <c r="AC10" i="128" s="1"/>
  <c r="AE10" i="128" s="1"/>
  <c r="M173" i="202"/>
  <c r="M174" i="202" s="1"/>
  <c r="M433" i="202"/>
  <c r="M434" i="202" s="1"/>
  <c r="M814" i="202" s="1"/>
  <c r="M812" i="202"/>
  <c r="M813" i="202" s="1"/>
  <c r="M538" i="202"/>
  <c r="M539" i="202" s="1"/>
  <c r="M337" i="202"/>
  <c r="M338" i="202" s="1"/>
  <c r="W119" i="128" l="1"/>
  <c r="H119" i="128"/>
  <c r="E8" i="128"/>
  <c r="Y119" i="128"/>
  <c r="M119" i="128"/>
  <c r="N119" i="128"/>
  <c r="Q119" i="128" s="1"/>
  <c r="U119" i="128" s="1"/>
  <c r="H11" i="128"/>
  <c r="N11" i="128" s="1"/>
  <c r="Y11" i="128"/>
  <c r="W11" i="128"/>
  <c r="M11" i="128"/>
  <c r="Y9" i="128"/>
  <c r="W9" i="128"/>
  <c r="H9" i="128"/>
  <c r="N9" i="128" s="1"/>
  <c r="Q9" i="128" s="1"/>
  <c r="U9" i="128" s="1"/>
  <c r="B9" i="128"/>
  <c r="B10" i="128" s="1"/>
  <c r="B11" i="128" s="1"/>
  <c r="E121" i="128"/>
  <c r="E120" i="128"/>
  <c r="X9" i="128" l="1"/>
  <c r="Z9" i="128" s="1"/>
  <c r="AC9" i="128" s="1"/>
  <c r="AE9" i="128" s="1"/>
  <c r="X119" i="128"/>
  <c r="Z119" i="128" s="1"/>
  <c r="AC119" i="128" s="1"/>
  <c r="AE119" i="128" s="1"/>
  <c r="Q11" i="128"/>
  <c r="BQ72" i="200"/>
  <c r="BQ71" i="200" s="1"/>
  <c r="BP72" i="200"/>
  <c r="BP70" i="200" s="1"/>
  <c r="BO72" i="200"/>
  <c r="BN72" i="200"/>
  <c r="BM72" i="200"/>
  <c r="BL72" i="200"/>
  <c r="BJ72" i="200"/>
  <c r="BH72" i="200"/>
  <c r="BG72" i="200"/>
  <c r="BF72" i="200"/>
  <c r="BL68" i="200" s="1"/>
  <c r="BQ69" i="200"/>
  <c r="BQ68" i="200"/>
  <c r="BP68" i="200"/>
  <c r="BP67" i="200"/>
  <c r="BL66" i="200"/>
  <c r="BL65" i="200"/>
  <c r="BL64" i="200"/>
  <c r="BQ61" i="200"/>
  <c r="BM61" i="200"/>
  <c r="BQ60" i="200"/>
  <c r="BM60" i="200"/>
  <c r="BQ59" i="200"/>
  <c r="BO59" i="200"/>
  <c r="BM59" i="200"/>
  <c r="BO58" i="200"/>
  <c r="BM58" i="200"/>
  <c r="BL58" i="200"/>
  <c r="BO57" i="200"/>
  <c r="BM57" i="200"/>
  <c r="BL57" i="200"/>
  <c r="BO56" i="200"/>
  <c r="BM56" i="200"/>
  <c r="BL56" i="200"/>
  <c r="BP42" i="200"/>
  <c r="BM42" i="200"/>
  <c r="BH42" i="200"/>
  <c r="BG42" i="200"/>
  <c r="BF42" i="200"/>
  <c r="BJ42" i="200" s="1"/>
  <c r="BM41" i="200"/>
  <c r="BL41" i="200"/>
  <c r="BH41" i="200"/>
  <c r="BJ41" i="200" s="1"/>
  <c r="BG41" i="200"/>
  <c r="BF41" i="200"/>
  <c r="BQ40" i="200"/>
  <c r="BP40" i="200"/>
  <c r="BM40" i="200"/>
  <c r="BH40" i="200"/>
  <c r="BG40" i="200"/>
  <c r="BJ40" i="200" s="1"/>
  <c r="BM39" i="200"/>
  <c r="BL39" i="200"/>
  <c r="BM38" i="200"/>
  <c r="BL38" i="200"/>
  <c r="BM37" i="200"/>
  <c r="BL37" i="200"/>
  <c r="BM36" i="200"/>
  <c r="BL36" i="200"/>
  <c r="BM35" i="200"/>
  <c r="BL35" i="200"/>
  <c r="BM34" i="200"/>
  <c r="BL34" i="200"/>
  <c r="BO33" i="200"/>
  <c r="BM33" i="200"/>
  <c r="BL33" i="200"/>
  <c r="BM32" i="200"/>
  <c r="BL32" i="200"/>
  <c r="BO31" i="200"/>
  <c r="BM31" i="200"/>
  <c r="BL31" i="200"/>
  <c r="BM30" i="200"/>
  <c r="BL30" i="200"/>
  <c r="BQ29" i="200"/>
  <c r="BP29" i="200"/>
  <c r="BO29" i="200"/>
  <c r="BM29" i="200"/>
  <c r="BK29" i="200"/>
  <c r="BK30" i="200" s="1"/>
  <c r="Y104" i="128"/>
  <c r="W104" i="128"/>
  <c r="H104" i="128"/>
  <c r="N104" i="128" s="1"/>
  <c r="Q104" i="128" s="1"/>
  <c r="U104" i="128" s="1"/>
  <c r="U11" i="128" l="1"/>
  <c r="X104" i="128"/>
  <c r="Z104" i="128" s="1"/>
  <c r="BN69" i="200"/>
  <c r="BN61" i="200"/>
  <c r="BN60" i="200"/>
  <c r="BN70" i="200"/>
  <c r="BN62" i="200"/>
  <c r="BN59" i="200"/>
  <c r="BN71" i="200"/>
  <c r="BN63" i="200"/>
  <c r="BN39" i="200"/>
  <c r="BR39" i="200" s="1"/>
  <c r="BS39" i="200" s="1"/>
  <c r="BT39" i="200" s="1"/>
  <c r="BN38" i="200"/>
  <c r="BR38" i="200" s="1"/>
  <c r="BS38" i="200" s="1"/>
  <c r="BT38" i="200" s="1"/>
  <c r="BN37" i="200"/>
  <c r="BR37" i="200" s="1"/>
  <c r="BS37" i="200" s="1"/>
  <c r="BT37" i="200" s="1"/>
  <c r="BN36" i="200"/>
  <c r="BR36" i="200" s="1"/>
  <c r="BS36" i="200" s="1"/>
  <c r="BT36" i="200" s="1"/>
  <c r="BN34" i="200"/>
  <c r="BR34" i="200" s="1"/>
  <c r="BS34" i="200" s="1"/>
  <c r="BT34" i="200" s="1"/>
  <c r="BN64" i="200"/>
  <c r="BR64" i="200" s="1"/>
  <c r="BS64" i="200" s="1"/>
  <c r="BT64" i="200" s="1"/>
  <c r="BN33" i="200"/>
  <c r="BN32" i="200"/>
  <c r="BN56" i="200"/>
  <c r="BN31" i="200"/>
  <c r="BR31" i="200" s="1"/>
  <c r="BS31" i="200" s="1"/>
  <c r="BT31" i="200" s="1"/>
  <c r="BN66" i="200"/>
  <c r="BN30" i="200"/>
  <c r="BN42" i="200"/>
  <c r="BR42" i="200" s="1"/>
  <c r="BS42" i="200" s="1"/>
  <c r="BT42" i="200" s="1"/>
  <c r="BW42" i="200" s="1"/>
  <c r="BN68" i="200"/>
  <c r="BN40" i="200"/>
  <c r="BN29" i="200"/>
  <c r="BN58" i="200"/>
  <c r="BN41" i="200"/>
  <c r="BR41" i="200" s="1"/>
  <c r="BS41" i="200" s="1"/>
  <c r="BT41" i="200" s="1"/>
  <c r="BW41" i="200" s="1"/>
  <c r="BN35" i="200"/>
  <c r="BR35" i="200" s="1"/>
  <c r="BS35" i="200" s="1"/>
  <c r="BT35" i="200" s="1"/>
  <c r="BN57" i="200"/>
  <c r="BR57" i="200" s="1"/>
  <c r="BS57" i="200" s="1"/>
  <c r="BT57" i="200" s="1"/>
  <c r="BN65" i="200"/>
  <c r="BR65" i="200" s="1"/>
  <c r="BS65" i="200" s="1"/>
  <c r="BT65" i="200" s="1"/>
  <c r="BR32" i="200"/>
  <c r="BS32" i="200" s="1"/>
  <c r="BT32" i="200" s="1"/>
  <c r="BR68" i="200"/>
  <c r="BS68" i="200" s="1"/>
  <c r="BT68" i="200" s="1"/>
  <c r="BN67" i="200"/>
  <c r="BP66" i="200"/>
  <c r="BQ67" i="200"/>
  <c r="BL59" i="200"/>
  <c r="BL63" i="200"/>
  <c r="BR63" i="200" s="1"/>
  <c r="BS63" i="200" s="1"/>
  <c r="BT63" i="200" s="1"/>
  <c r="BQ66" i="200"/>
  <c r="BR66" i="200" s="1"/>
  <c r="BS66" i="200" s="1"/>
  <c r="BT66" i="200" s="1"/>
  <c r="BP56" i="200"/>
  <c r="BR56" i="200" s="1"/>
  <c r="BS56" i="200" s="1"/>
  <c r="BT56" i="200" s="1"/>
  <c r="BL60" i="200"/>
  <c r="BL62" i="200"/>
  <c r="BL29" i="200"/>
  <c r="BR29" i="200" s="1"/>
  <c r="BQ32" i="200"/>
  <c r="BP34" i="200"/>
  <c r="BP36" i="200"/>
  <c r="BP38" i="200"/>
  <c r="BL40" i="200"/>
  <c r="BR40" i="200" s="1"/>
  <c r="BS40" i="200" s="1"/>
  <c r="BT40" i="200" s="1"/>
  <c r="BW40" i="200" s="1"/>
  <c r="BP41" i="200"/>
  <c r="BQ56" i="200"/>
  <c r="BL42" i="200"/>
  <c r="BQ58" i="200"/>
  <c r="BP59" i="200"/>
  <c r="BP60" i="200"/>
  <c r="BP61" i="200"/>
  <c r="BQ62" i="200"/>
  <c r="BL67" i="200"/>
  <c r="BP69" i="200"/>
  <c r="BQ70" i="200"/>
  <c r="BP30" i="200"/>
  <c r="BQ42" i="200"/>
  <c r="BP65" i="200"/>
  <c r="BL71" i="200"/>
  <c r="BQ30" i="200"/>
  <c r="BR30" i="200" s="1"/>
  <c r="BS30" i="200" s="1"/>
  <c r="BT30" i="200" s="1"/>
  <c r="BP31" i="200"/>
  <c r="BP32" i="200"/>
  <c r="BL61" i="200"/>
  <c r="BP64" i="200"/>
  <c r="BQ65" i="200"/>
  <c r="BL70" i="200"/>
  <c r="BR70" i="200" s="1"/>
  <c r="BS70" i="200" s="1"/>
  <c r="BT70" i="200" s="1"/>
  <c r="BQ31" i="200"/>
  <c r="BP33" i="200"/>
  <c r="BR33" i="200" s="1"/>
  <c r="BS33" i="200" s="1"/>
  <c r="BT33" i="200" s="1"/>
  <c r="BP35" i="200"/>
  <c r="BP37" i="200"/>
  <c r="BP39" i="200"/>
  <c r="BP57" i="200"/>
  <c r="BP63" i="200"/>
  <c r="BQ64" i="200"/>
  <c r="BL69" i="200"/>
  <c r="BR69" i="200" s="1"/>
  <c r="BS69" i="200" s="1"/>
  <c r="BT69" i="200" s="1"/>
  <c r="BP71" i="200"/>
  <c r="BQ33" i="200"/>
  <c r="BQ34" i="200"/>
  <c r="BQ35" i="200"/>
  <c r="BQ36" i="200"/>
  <c r="BQ37" i="200"/>
  <c r="BQ38" i="200"/>
  <c r="BQ39" i="200"/>
  <c r="BQ41" i="200"/>
  <c r="BQ57" i="200"/>
  <c r="BP58" i="200"/>
  <c r="BP62" i="200"/>
  <c r="BQ63" i="200"/>
  <c r="X11" i="128" l="1"/>
  <c r="BR71" i="200"/>
  <c r="BS71" i="200" s="1"/>
  <c r="BT71" i="200" s="1"/>
  <c r="BR61" i="200"/>
  <c r="BS61" i="200" s="1"/>
  <c r="BT61" i="200" s="1"/>
  <c r="BR58" i="200"/>
  <c r="BS58" i="200" s="1"/>
  <c r="BT58" i="200" s="1"/>
  <c r="BR67" i="200"/>
  <c r="BS67" i="200" s="1"/>
  <c r="BT67" i="200" s="1"/>
  <c r="BR60" i="200"/>
  <c r="BS60" i="200" s="1"/>
  <c r="BT60" i="200" s="1"/>
  <c r="BR59" i="200"/>
  <c r="BS59" i="200" s="1"/>
  <c r="BT59" i="200" s="1"/>
  <c r="BR72" i="200"/>
  <c r="BS29" i="200"/>
  <c r="BR62" i="200"/>
  <c r="BS62" i="200" s="1"/>
  <c r="BT62" i="200" s="1"/>
  <c r="Z11" i="128" l="1"/>
  <c r="BS72" i="200"/>
  <c r="BT29" i="200"/>
  <c r="AC11" i="128" l="1"/>
  <c r="BT72" i="200"/>
  <c r="BW29" i="200"/>
  <c r="AE11" i="128" l="1"/>
  <c r="H82" i="128"/>
  <c r="Y122" i="128"/>
  <c r="W122" i="128"/>
  <c r="H122" i="128"/>
  <c r="E122" i="128"/>
  <c r="N122" i="128" s="1"/>
  <c r="Q122" i="128" s="1"/>
  <c r="U122" i="128" s="1"/>
  <c r="Y120" i="128"/>
  <c r="W120" i="128"/>
  <c r="H120" i="128"/>
  <c r="Y8" i="128"/>
  <c r="W8" i="128"/>
  <c r="M8" i="128"/>
  <c r="H8" i="128"/>
  <c r="H121" i="128"/>
  <c r="Y121" i="128"/>
  <c r="W121" i="128"/>
  <c r="M121" i="128"/>
  <c r="B121" i="128"/>
  <c r="B122" i="128" s="1"/>
  <c r="B115" i="128"/>
  <c r="X122" i="128" l="1"/>
  <c r="Z122" i="128" s="1"/>
  <c r="AC122" i="128" s="1"/>
  <c r="AE122" i="128" s="1"/>
  <c r="N121" i="128"/>
  <c r="Q121" i="128" s="1"/>
  <c r="U121" i="128" s="1"/>
  <c r="X121" i="128" s="1"/>
  <c r="Z121" i="128" s="1"/>
  <c r="AC121" i="128" s="1"/>
  <c r="AE121" i="128" s="1"/>
  <c r="N120" i="128"/>
  <c r="Q120" i="128" s="1"/>
  <c r="U120" i="128" s="1"/>
  <c r="X120" i="128" s="1"/>
  <c r="Z120" i="128" s="1"/>
  <c r="AC120" i="128" s="1"/>
  <c r="AE120" i="128" s="1"/>
  <c r="N8" i="128"/>
  <c r="Q8" i="128" l="1"/>
  <c r="P86" i="128"/>
  <c r="Y86" i="128"/>
  <c r="H86" i="128"/>
  <c r="N86" i="128" s="1"/>
  <c r="Y123" i="128"/>
  <c r="W123" i="128"/>
  <c r="V123" i="128"/>
  <c r="H123" i="128"/>
  <c r="N123" i="128" s="1"/>
  <c r="Q123" i="128" s="1"/>
  <c r="U123" i="128" s="1"/>
  <c r="B123" i="128"/>
  <c r="U8" i="128" l="1"/>
  <c r="Q86" i="128"/>
  <c r="U86" i="128" s="1"/>
  <c r="X86" i="128" s="1"/>
  <c r="Z86" i="128" s="1"/>
  <c r="X123" i="128"/>
  <c r="Z123" i="128" s="1"/>
  <c r="AC123" i="128" s="1"/>
  <c r="AE123" i="128" s="1"/>
  <c r="AA123" i="128"/>
  <c r="AD123" i="128" s="1"/>
  <c r="X8" i="128" l="1"/>
  <c r="Y47" i="128"/>
  <c r="H47" i="128"/>
  <c r="N47" i="128" s="1"/>
  <c r="Q47" i="128" s="1"/>
  <c r="U47" i="128" s="1"/>
  <c r="X47" i="128" s="1"/>
  <c r="Y46" i="128"/>
  <c r="W46" i="128"/>
  <c r="L46" i="128"/>
  <c r="V46" i="128" s="1"/>
  <c r="K46" i="128"/>
  <c r="I46" i="128"/>
  <c r="H46" i="128"/>
  <c r="H106" i="128"/>
  <c r="N106" i="128" s="1"/>
  <c r="Q106" i="128" s="1"/>
  <c r="U106" i="128" s="1"/>
  <c r="Y106" i="128"/>
  <c r="W106" i="128"/>
  <c r="L106" i="128"/>
  <c r="V106" i="128" s="1"/>
  <c r="K106" i="128"/>
  <c r="I106" i="128"/>
  <c r="Y52" i="128"/>
  <c r="W52" i="128"/>
  <c r="L52" i="128"/>
  <c r="V52" i="128" s="1"/>
  <c r="K52" i="128"/>
  <c r="I52" i="128"/>
  <c r="H52" i="128"/>
  <c r="H48" i="128"/>
  <c r="N48" i="128" s="1"/>
  <c r="Y48" i="128"/>
  <c r="W48" i="128"/>
  <c r="L48" i="128"/>
  <c r="V48" i="128" s="1"/>
  <c r="K48" i="128"/>
  <c r="I48" i="128"/>
  <c r="AC104" i="128"/>
  <c r="AE104" i="128" s="1"/>
  <c r="AC88" i="128"/>
  <c r="AC86" i="128"/>
  <c r="AE86" i="128" s="1"/>
  <c r="Y105" i="128"/>
  <c r="W105" i="128"/>
  <c r="H105" i="128"/>
  <c r="L105" i="128"/>
  <c r="V105" i="128" s="1"/>
  <c r="K105" i="128"/>
  <c r="I105" i="128"/>
  <c r="H99" i="128"/>
  <c r="N99" i="128" s="1"/>
  <c r="Q99" i="128" s="1"/>
  <c r="U99" i="128" s="1"/>
  <c r="Y99" i="128"/>
  <c r="W99" i="128"/>
  <c r="L99" i="128"/>
  <c r="V99" i="128" s="1"/>
  <c r="K99" i="128"/>
  <c r="I99" i="128"/>
  <c r="Y31" i="128"/>
  <c r="W31" i="128"/>
  <c r="H31" i="128"/>
  <c r="Y124" i="128"/>
  <c r="W124" i="128"/>
  <c r="H124" i="128"/>
  <c r="H108" i="128"/>
  <c r="Y108" i="128"/>
  <c r="W108" i="128"/>
  <c r="L108" i="128"/>
  <c r="V108" i="128" s="1"/>
  <c r="K108" i="128"/>
  <c r="I108" i="128"/>
  <c r="Y103" i="128"/>
  <c r="W103" i="128"/>
  <c r="H103" i="128"/>
  <c r="N103" i="128" s="1"/>
  <c r="L103" i="128"/>
  <c r="V103" i="128" s="1"/>
  <c r="K103" i="128"/>
  <c r="I103" i="128"/>
  <c r="Y102" i="128"/>
  <c r="W102" i="128"/>
  <c r="L102" i="128"/>
  <c r="V102" i="128" s="1"/>
  <c r="K102" i="128"/>
  <c r="I102" i="128"/>
  <c r="H102" i="128"/>
  <c r="N102" i="128" s="1"/>
  <c r="Q102" i="128" s="1"/>
  <c r="U102" i="128" s="1"/>
  <c r="Y89" i="128"/>
  <c r="W89" i="128"/>
  <c r="H89" i="128"/>
  <c r="E89" i="128"/>
  <c r="E87" i="128"/>
  <c r="Y87" i="128"/>
  <c r="W87" i="128"/>
  <c r="H87" i="128"/>
  <c r="Y85" i="128"/>
  <c r="W85" i="128"/>
  <c r="H85" i="128"/>
  <c r="E85" i="128"/>
  <c r="Y84" i="128"/>
  <c r="W84" i="128"/>
  <c r="H84" i="128"/>
  <c r="N84" i="128" s="1"/>
  <c r="P84" i="128"/>
  <c r="Z8" i="128" l="1"/>
  <c r="Z47" i="128"/>
  <c r="AC47" i="128" s="1"/>
  <c r="AE47" i="128" s="1"/>
  <c r="M52" i="128"/>
  <c r="N52" i="128"/>
  <c r="Q52" i="128" s="1"/>
  <c r="U52" i="128" s="1"/>
  <c r="X52" i="128" s="1"/>
  <c r="Z52" i="128" s="1"/>
  <c r="AC52" i="128" s="1"/>
  <c r="AE52" i="128" s="1"/>
  <c r="X106" i="128"/>
  <c r="Z106" i="128" s="1"/>
  <c r="AC106" i="128" s="1"/>
  <c r="AE106" i="128" s="1"/>
  <c r="M105" i="128"/>
  <c r="M46" i="128"/>
  <c r="AA46" i="128"/>
  <c r="N46" i="128"/>
  <c r="Q46" i="128" s="1"/>
  <c r="U46" i="128" s="1"/>
  <c r="X46" i="128" s="1"/>
  <c r="Z46" i="128" s="1"/>
  <c r="AC46" i="128" s="1"/>
  <c r="AE46" i="128" s="1"/>
  <c r="N105" i="128"/>
  <c r="Q105" i="128" s="1"/>
  <c r="AA106" i="128"/>
  <c r="X99" i="128"/>
  <c r="X102" i="128"/>
  <c r="Z102" i="128" s="1"/>
  <c r="AC102" i="128" s="1"/>
  <c r="AE102" i="128" s="1"/>
  <c r="AA52" i="128"/>
  <c r="M106" i="128"/>
  <c r="Q48" i="128"/>
  <c r="M48" i="128"/>
  <c r="AA105" i="128"/>
  <c r="M99" i="128"/>
  <c r="N89" i="128"/>
  <c r="Q89" i="128" s="1"/>
  <c r="U89" i="128" s="1"/>
  <c r="X89" i="128" s="1"/>
  <c r="Z89" i="128" s="1"/>
  <c r="AC89" i="128" s="1"/>
  <c r="AE89" i="128" s="1"/>
  <c r="N87" i="128"/>
  <c r="Q87" i="128" s="1"/>
  <c r="U87" i="128" s="1"/>
  <c r="X87" i="128" s="1"/>
  <c r="Z87" i="128" s="1"/>
  <c r="AC87" i="128" s="1"/>
  <c r="AE87" i="128" s="1"/>
  <c r="M108" i="128"/>
  <c r="N108" i="128"/>
  <c r="Q84" i="128"/>
  <c r="U84" i="128" s="1"/>
  <c r="X84" i="128" s="1"/>
  <c r="Z84" i="128" s="1"/>
  <c r="AC84" i="128" s="1"/>
  <c r="AE84" i="128" s="1"/>
  <c r="N85" i="128"/>
  <c r="Q85" i="128" s="1"/>
  <c r="U85" i="128" s="1"/>
  <c r="X85" i="128" s="1"/>
  <c r="Z85" i="128" s="1"/>
  <c r="AC85" i="128" s="1"/>
  <c r="AE85" i="128" s="1"/>
  <c r="M103" i="128"/>
  <c r="Q103" i="128" s="1"/>
  <c r="U103" i="128" s="1"/>
  <c r="X103" i="128" s="1"/>
  <c r="AA102" i="128"/>
  <c r="AA103" i="128"/>
  <c r="M102" i="128"/>
  <c r="AC8" i="128" l="1"/>
  <c r="Q108" i="128"/>
  <c r="N107" i="128"/>
  <c r="Z99" i="128"/>
  <c r="U48" i="128"/>
  <c r="Z103" i="128"/>
  <c r="AC103" i="128" s="1"/>
  <c r="U105" i="128"/>
  <c r="AE8" i="128" l="1"/>
  <c r="U108" i="128"/>
  <c r="Q107" i="128"/>
  <c r="AC99" i="128"/>
  <c r="X48" i="128"/>
  <c r="X105" i="128"/>
  <c r="X108" i="128" l="1"/>
  <c r="U107" i="128"/>
  <c r="AE99" i="128"/>
  <c r="Z48" i="128"/>
  <c r="AE103" i="128"/>
  <c r="Z105" i="128"/>
  <c r="AC105" i="128" s="1"/>
  <c r="AE105" i="128" s="1"/>
  <c r="X107" i="128" l="1"/>
  <c r="Z108" i="128"/>
  <c r="AC48" i="128"/>
  <c r="AC108" i="128" l="1"/>
  <c r="Z107" i="128"/>
  <c r="AE48" i="128"/>
  <c r="AC107" i="128" l="1"/>
  <c r="AE107" i="128" s="1"/>
  <c r="AE108" i="128"/>
  <c r="Y83" i="128" l="1"/>
  <c r="W83" i="128"/>
  <c r="H83" i="128"/>
  <c r="E83" i="128"/>
  <c r="Y51" i="128"/>
  <c r="W51" i="128"/>
  <c r="H51" i="128"/>
  <c r="E49" i="128"/>
  <c r="H49" i="128"/>
  <c r="Y49" i="128"/>
  <c r="W49" i="128"/>
  <c r="L49" i="128"/>
  <c r="K49" i="128"/>
  <c r="I49" i="128"/>
  <c r="Y13" i="128"/>
  <c r="Y14" i="128"/>
  <c r="Y15" i="128"/>
  <c r="Y16" i="128"/>
  <c r="Y18" i="128"/>
  <c r="Y19" i="128"/>
  <c r="Y20" i="128"/>
  <c r="Y23" i="128"/>
  <c r="Y24" i="128"/>
  <c r="Y27" i="128"/>
  <c r="Y28" i="128"/>
  <c r="Y29" i="128"/>
  <c r="Y30" i="128"/>
  <c r="Y32" i="128"/>
  <c r="Y33" i="128"/>
  <c r="Y34" i="128"/>
  <c r="Y36" i="128"/>
  <c r="Y37" i="128"/>
  <c r="Y38" i="128"/>
  <c r="Y43" i="128"/>
  <c r="Y44" i="128"/>
  <c r="Y54" i="128"/>
  <c r="Y55" i="128"/>
  <c r="Y56" i="128"/>
  <c r="Y71" i="128"/>
  <c r="Y80" i="128"/>
  <c r="Y82" i="128"/>
  <c r="Y101" i="128"/>
  <c r="W101" i="128"/>
  <c r="H101" i="128"/>
  <c r="L101" i="128"/>
  <c r="V101" i="128" s="1"/>
  <c r="K101" i="128"/>
  <c r="I101" i="128"/>
  <c r="W82" i="128"/>
  <c r="V82" i="128"/>
  <c r="N82" i="128"/>
  <c r="AH81" i="128"/>
  <c r="AG81" i="128"/>
  <c r="M81" i="128"/>
  <c r="N81" i="128" s="1"/>
  <c r="Q81" i="128" s="1"/>
  <c r="U81" i="128" s="1"/>
  <c r="X81" i="128" s="1"/>
  <c r="Z81" i="128" s="1"/>
  <c r="AC81" i="128" s="1"/>
  <c r="AE81" i="128" s="1"/>
  <c r="L81" i="128"/>
  <c r="V81" i="128" s="1"/>
  <c r="AA81" i="128" s="1"/>
  <c r="AD81" i="128" s="1"/>
  <c r="H80" i="128"/>
  <c r="V49" i="128" l="1"/>
  <c r="Q82" i="128"/>
  <c r="N83" i="128"/>
  <c r="Q83" i="128" s="1"/>
  <c r="U83" i="128" s="1"/>
  <c r="X83" i="128" s="1"/>
  <c r="Z83" i="128" s="1"/>
  <c r="AC83" i="128" s="1"/>
  <c r="AE83" i="128" s="1"/>
  <c r="N49" i="128"/>
  <c r="Q49" i="128" s="1"/>
  <c r="U49" i="128" s="1"/>
  <c r="X49" i="128" s="1"/>
  <c r="Z49" i="128" s="1"/>
  <c r="AC49" i="128" s="1"/>
  <c r="AE49" i="128" s="1"/>
  <c r="E50" i="128"/>
  <c r="E51" i="128" s="1"/>
  <c r="AA49" i="128"/>
  <c r="AD49" i="128" s="1"/>
  <c r="AA83" i="128"/>
  <c r="M101" i="128"/>
  <c r="N101" i="128"/>
  <c r="M49" i="128"/>
  <c r="AA101" i="128"/>
  <c r="AA82" i="128"/>
  <c r="AD82" i="128" s="1"/>
  <c r="E80" i="128"/>
  <c r="W80" i="128"/>
  <c r="L80" i="128"/>
  <c r="K80" i="128"/>
  <c r="I80" i="128"/>
  <c r="M79" i="128"/>
  <c r="L79" i="128"/>
  <c r="U82" i="128" l="1"/>
  <c r="Q101" i="128"/>
  <c r="N100" i="128"/>
  <c r="N98" i="128" s="1"/>
  <c r="M80" i="128"/>
  <c r="V51" i="128"/>
  <c r="N51" i="128"/>
  <c r="Q51" i="128" s="1"/>
  <c r="U51" i="128" s="1"/>
  <c r="X51" i="128" s="1"/>
  <c r="Z51" i="128" s="1"/>
  <c r="AC51" i="128" s="1"/>
  <c r="AE51" i="128" s="1"/>
  <c r="V80" i="128"/>
  <c r="AA80" i="128" s="1"/>
  <c r="AD80" i="128" s="1"/>
  <c r="N80" i="128"/>
  <c r="N79" i="128" s="1"/>
  <c r="AG80" i="128"/>
  <c r="AH80" i="128"/>
  <c r="H71" i="128"/>
  <c r="E71" i="128"/>
  <c r="H55" i="128"/>
  <c r="E55" i="128"/>
  <c r="H54" i="128"/>
  <c r="E54" i="128"/>
  <c r="H44" i="128"/>
  <c r="E44" i="128"/>
  <c r="H43" i="128"/>
  <c r="E43" i="128"/>
  <c r="H38" i="128"/>
  <c r="H37" i="128"/>
  <c r="N37" i="128" s="1"/>
  <c r="H36" i="128"/>
  <c r="N36" i="128" s="1"/>
  <c r="H34" i="128"/>
  <c r="N34" i="128" s="1"/>
  <c r="H33" i="128"/>
  <c r="H32" i="128"/>
  <c r="E32" i="128"/>
  <c r="H30" i="128"/>
  <c r="E30" i="128"/>
  <c r="H29" i="128"/>
  <c r="N29" i="128" s="1"/>
  <c r="H28" i="128"/>
  <c r="N28" i="128" s="1"/>
  <c r="H27" i="128"/>
  <c r="H24" i="128"/>
  <c r="N24" i="128" s="1"/>
  <c r="H23" i="128"/>
  <c r="J64" i="196"/>
  <c r="I64" i="196"/>
  <c r="H64" i="196"/>
  <c r="G64" i="196"/>
  <c r="F64" i="196"/>
  <c r="X82" i="128" l="1"/>
  <c r="Z82" i="128" s="1"/>
  <c r="AC82" i="128" s="1"/>
  <c r="AE82" i="128" s="1"/>
  <c r="U101" i="128"/>
  <c r="Q100" i="128"/>
  <c r="Q98" i="128" s="1"/>
  <c r="N30" i="128"/>
  <c r="N43" i="128"/>
  <c r="Q80" i="128"/>
  <c r="Q79" i="128" s="1"/>
  <c r="N32" i="128"/>
  <c r="N44" i="128"/>
  <c r="X101" i="128" l="1"/>
  <c r="U100" i="128"/>
  <c r="U98" i="128" s="1"/>
  <c r="U80" i="128"/>
  <c r="U79" i="128" s="1"/>
  <c r="X100" i="128" l="1"/>
  <c r="X98" i="128" s="1"/>
  <c r="Z101" i="128"/>
  <c r="X80" i="128"/>
  <c r="X79" i="128" s="1"/>
  <c r="AC101" i="128" l="1"/>
  <c r="Z100" i="128"/>
  <c r="Z98" i="128" s="1"/>
  <c r="Z80" i="128"/>
  <c r="Z79" i="128" s="1"/>
  <c r="AE101" i="128" l="1"/>
  <c r="AC100" i="128"/>
  <c r="AC98" i="128" s="1"/>
  <c r="AC80" i="128"/>
  <c r="AC79" i="128" s="1"/>
  <c r="AE80" i="128" l="1"/>
  <c r="F110" i="196" l="1"/>
  <c r="D110" i="196"/>
  <c r="F108" i="196"/>
  <c r="D108" i="196"/>
  <c r="F106" i="196"/>
  <c r="D106" i="196"/>
  <c r="F101" i="196"/>
  <c r="F100" i="196"/>
  <c r="F99" i="196"/>
  <c r="F92" i="196"/>
  <c r="D92" i="196"/>
  <c r="F90" i="196"/>
  <c r="D90" i="196"/>
  <c r="F88" i="196"/>
  <c r="F87" i="196"/>
  <c r="F85" i="196"/>
  <c r="F78" i="196"/>
  <c r="C79" i="196" s="1"/>
  <c r="D78" i="196"/>
  <c r="F75" i="196"/>
  <c r="F76" i="196" s="1"/>
  <c r="B112" i="196" l="1"/>
  <c r="F102" i="196"/>
  <c r="F103" i="196" s="1"/>
  <c r="F86" i="196"/>
  <c r="F111" i="196"/>
  <c r="F112" i="196"/>
  <c r="F93" i="196"/>
  <c r="B111" i="196"/>
  <c r="F79" i="196"/>
  <c r="C93" i="196"/>
  <c r="F104" i="196"/>
  <c r="F113" i="196" l="1"/>
  <c r="C113" i="196"/>
  <c r="H18" i="128" l="1"/>
  <c r="H20" i="128"/>
  <c r="N20" i="128" s="1"/>
  <c r="Q20" i="128" s="1"/>
  <c r="U20" i="128" s="1"/>
  <c r="W20" i="128"/>
  <c r="L20" i="128"/>
  <c r="V20" i="128" s="1"/>
  <c r="K20" i="128"/>
  <c r="I20" i="128"/>
  <c r="C5" i="192"/>
  <c r="W19" i="128"/>
  <c r="H19" i="128"/>
  <c r="N19" i="128" s="1"/>
  <c r="W16" i="128"/>
  <c r="W15" i="128"/>
  <c r="W14" i="128"/>
  <c r="W13" i="128"/>
  <c r="H15" i="128"/>
  <c r="N15" i="128" s="1"/>
  <c r="H14" i="128"/>
  <c r="N14" i="128" s="1"/>
  <c r="E13" i="128"/>
  <c r="H13" i="128" s="1"/>
  <c r="N13" i="128" s="1"/>
  <c r="X20" i="128" l="1"/>
  <c r="M20" i="128"/>
  <c r="Y193" i="194"/>
  <c r="W193" i="194"/>
  <c r="N193" i="194"/>
  <c r="Q193" i="194" s="1"/>
  <c r="U193" i="194" s="1"/>
  <c r="X193" i="194" s="1"/>
  <c r="M193" i="194"/>
  <c r="H193" i="194"/>
  <c r="Y192" i="194"/>
  <c r="W192" i="194"/>
  <c r="Q192" i="194"/>
  <c r="U192" i="194" s="1"/>
  <c r="X192" i="194" s="1"/>
  <c r="M192" i="194"/>
  <c r="H192" i="194"/>
  <c r="N192" i="194" s="1"/>
  <c r="Y191" i="194"/>
  <c r="X191" i="194"/>
  <c r="W191" i="194"/>
  <c r="M191" i="194"/>
  <c r="H191" i="194"/>
  <c r="E191" i="194"/>
  <c r="N191" i="194" s="1"/>
  <c r="Q191" i="194" s="1"/>
  <c r="U191" i="194" s="1"/>
  <c r="Y190" i="194"/>
  <c r="Z190" i="194" s="1"/>
  <c r="W190" i="194"/>
  <c r="M190" i="194"/>
  <c r="H190" i="194"/>
  <c r="N190" i="194" s="1"/>
  <c r="Q190" i="194" s="1"/>
  <c r="U190" i="194" s="1"/>
  <c r="X190" i="194" s="1"/>
  <c r="E190" i="194"/>
  <c r="Y189" i="194"/>
  <c r="W189" i="194"/>
  <c r="M189" i="194"/>
  <c r="H189" i="194"/>
  <c r="N189" i="194" s="1"/>
  <c r="Q189" i="194" s="1"/>
  <c r="U189" i="194" s="1"/>
  <c r="X189" i="194" s="1"/>
  <c r="Y188" i="194"/>
  <c r="W188" i="194"/>
  <c r="M188" i="194"/>
  <c r="H188" i="194"/>
  <c r="E188" i="194"/>
  <c r="N188" i="194" s="1"/>
  <c r="E187" i="194"/>
  <c r="Y186" i="194"/>
  <c r="W186" i="194"/>
  <c r="M186" i="194"/>
  <c r="H186" i="194"/>
  <c r="E186" i="194"/>
  <c r="N186" i="194" s="1"/>
  <c r="Q186" i="194" s="1"/>
  <c r="U186" i="194" s="1"/>
  <c r="X186" i="194" s="1"/>
  <c r="Z186" i="194" s="1"/>
  <c r="Y185" i="194"/>
  <c r="W185" i="194"/>
  <c r="N185" i="194"/>
  <c r="M185" i="194"/>
  <c r="H185" i="194"/>
  <c r="E185" i="194"/>
  <c r="E184" i="194"/>
  <c r="Y183" i="194"/>
  <c r="W183" i="194"/>
  <c r="M183" i="194"/>
  <c r="H183" i="194"/>
  <c r="E183" i="194"/>
  <c r="N183" i="194" s="1"/>
  <c r="Q183" i="194" s="1"/>
  <c r="U183" i="194" s="1"/>
  <c r="X183" i="194" s="1"/>
  <c r="Y182" i="194"/>
  <c r="W182" i="194"/>
  <c r="M182" i="194"/>
  <c r="H182" i="194"/>
  <c r="E182" i="194"/>
  <c r="E181" i="194"/>
  <c r="Y180" i="194"/>
  <c r="W180" i="194"/>
  <c r="N180" i="194"/>
  <c r="Q180" i="194" s="1"/>
  <c r="U180" i="194" s="1"/>
  <c r="X180" i="194" s="1"/>
  <c r="M180" i="194"/>
  <c r="H180" i="194"/>
  <c r="E180" i="194"/>
  <c r="N179" i="194"/>
  <c r="Q179" i="194" s="1"/>
  <c r="U179" i="194" s="1"/>
  <c r="X179" i="194" s="1"/>
  <c r="Z179" i="194" s="1"/>
  <c r="Y178" i="194"/>
  <c r="W178" i="194"/>
  <c r="N178" i="194"/>
  <c r="Q178" i="194" s="1"/>
  <c r="U178" i="194" s="1"/>
  <c r="X178" i="194" s="1"/>
  <c r="M178" i="194"/>
  <c r="H178" i="194"/>
  <c r="E178" i="194"/>
  <c r="Y177" i="194"/>
  <c r="X177" i="194"/>
  <c r="Z177" i="194" s="1"/>
  <c r="W177" i="194"/>
  <c r="N177" i="194"/>
  <c r="Q177" i="194" s="1"/>
  <c r="U177" i="194" s="1"/>
  <c r="M177" i="194"/>
  <c r="H177" i="194"/>
  <c r="N176" i="194"/>
  <c r="Q176" i="194" s="1"/>
  <c r="U176" i="194" s="1"/>
  <c r="X176" i="194" s="1"/>
  <c r="Z176" i="194" s="1"/>
  <c r="Y175" i="194"/>
  <c r="W175" i="194"/>
  <c r="N175" i="194"/>
  <c r="Q175" i="194" s="1"/>
  <c r="U175" i="194" s="1"/>
  <c r="X175" i="194" s="1"/>
  <c r="Z175" i="194" s="1"/>
  <c r="M175" i="194"/>
  <c r="H175" i="194"/>
  <c r="N174" i="194"/>
  <c r="Q174" i="194" s="1"/>
  <c r="U174" i="194" s="1"/>
  <c r="X174" i="194" s="1"/>
  <c r="Z174" i="194" s="1"/>
  <c r="Y173" i="194"/>
  <c r="W173" i="194"/>
  <c r="M173" i="194"/>
  <c r="H173" i="194"/>
  <c r="N173" i="194" s="1"/>
  <c r="Q173" i="194" s="1"/>
  <c r="U173" i="194" s="1"/>
  <c r="X173" i="194" s="1"/>
  <c r="Q172" i="194"/>
  <c r="U172" i="194" s="1"/>
  <c r="X172" i="194" s="1"/>
  <c r="Z172" i="194" s="1"/>
  <c r="N172" i="194"/>
  <c r="Y171" i="194"/>
  <c r="W171" i="194"/>
  <c r="N171" i="194"/>
  <c r="Q171" i="194" s="1"/>
  <c r="U171" i="194" s="1"/>
  <c r="X171" i="194" s="1"/>
  <c r="M171" i="194"/>
  <c r="H171" i="194"/>
  <c r="E171" i="194"/>
  <c r="Y170" i="194"/>
  <c r="W170" i="194"/>
  <c r="U170" i="194"/>
  <c r="X170" i="194" s="1"/>
  <c r="Q170" i="194"/>
  <c r="M170" i="194"/>
  <c r="H170" i="194"/>
  <c r="E170" i="194"/>
  <c r="N170" i="194" s="1"/>
  <c r="Y169" i="194"/>
  <c r="X169" i="194"/>
  <c r="W169" i="194"/>
  <c r="N169" i="194"/>
  <c r="Q169" i="194" s="1"/>
  <c r="U169" i="194" s="1"/>
  <c r="M169" i="194"/>
  <c r="H169" i="194"/>
  <c r="E169" i="194"/>
  <c r="N168" i="194"/>
  <c r="Q168" i="194" s="1"/>
  <c r="U168" i="194" s="1"/>
  <c r="X168" i="194" s="1"/>
  <c r="Z168" i="194" s="1"/>
  <c r="Y167" i="194"/>
  <c r="X167" i="194"/>
  <c r="W167" i="194"/>
  <c r="M167" i="194"/>
  <c r="H167" i="194"/>
  <c r="E167" i="194"/>
  <c r="N167" i="194" s="1"/>
  <c r="Q167" i="194" s="1"/>
  <c r="U167" i="194" s="1"/>
  <c r="Y166" i="194"/>
  <c r="Z166" i="194" s="1"/>
  <c r="W166" i="194"/>
  <c r="M166" i="194"/>
  <c r="H166" i="194"/>
  <c r="N166" i="194" s="1"/>
  <c r="Q166" i="194" s="1"/>
  <c r="U166" i="194" s="1"/>
  <c r="X166" i="194" s="1"/>
  <c r="Z165" i="194"/>
  <c r="Q165" i="194"/>
  <c r="U165" i="194" s="1"/>
  <c r="X165" i="194" s="1"/>
  <c r="N165" i="194"/>
  <c r="Y164" i="194"/>
  <c r="X164" i="194"/>
  <c r="W164" i="194"/>
  <c r="M164" i="194"/>
  <c r="H164" i="194"/>
  <c r="N164" i="194" s="1"/>
  <c r="Q164" i="194" s="1"/>
  <c r="U164" i="194" s="1"/>
  <c r="Y163" i="194"/>
  <c r="W163" i="194"/>
  <c r="M163" i="194"/>
  <c r="H163" i="194"/>
  <c r="N163" i="194" s="1"/>
  <c r="Q163" i="194" s="1"/>
  <c r="U163" i="194" s="1"/>
  <c r="X163" i="194" s="1"/>
  <c r="Y162" i="194"/>
  <c r="W162" i="194"/>
  <c r="M162" i="194"/>
  <c r="H162" i="194"/>
  <c r="N162" i="194" s="1"/>
  <c r="Q162" i="194" s="1"/>
  <c r="U162" i="194" s="1"/>
  <c r="X162" i="194" s="1"/>
  <c r="E162" i="194"/>
  <c r="Y161" i="194"/>
  <c r="W161" i="194"/>
  <c r="N161" i="194"/>
  <c r="Q161" i="194" s="1"/>
  <c r="U161" i="194" s="1"/>
  <c r="X161" i="194" s="1"/>
  <c r="Z161" i="194" s="1"/>
  <c r="M161" i="194"/>
  <c r="H161" i="194"/>
  <c r="E161" i="194"/>
  <c r="Y160" i="194"/>
  <c r="W160" i="194"/>
  <c r="U160" i="194"/>
  <c r="X160" i="194" s="1"/>
  <c r="M160" i="194"/>
  <c r="H160" i="194"/>
  <c r="N160" i="194" s="1"/>
  <c r="Q160" i="194" s="1"/>
  <c r="Y159" i="194"/>
  <c r="X159" i="194"/>
  <c r="W159" i="194"/>
  <c r="N159" i="194"/>
  <c r="Q159" i="194" s="1"/>
  <c r="U159" i="194" s="1"/>
  <c r="M159" i="194"/>
  <c r="H159" i="194"/>
  <c r="E159" i="194"/>
  <c r="Y158" i="194"/>
  <c r="W158" i="194"/>
  <c r="M158" i="194"/>
  <c r="H158" i="194"/>
  <c r="N158" i="194" s="1"/>
  <c r="Q158" i="194" s="1"/>
  <c r="U158" i="194" s="1"/>
  <c r="X158" i="194" s="1"/>
  <c r="W157" i="194"/>
  <c r="M157" i="194"/>
  <c r="H157" i="194"/>
  <c r="N157" i="194" s="1"/>
  <c r="Q157" i="194" s="1"/>
  <c r="U157" i="194" s="1"/>
  <c r="X157" i="194" s="1"/>
  <c r="Z157" i="194" s="1"/>
  <c r="Q156" i="194"/>
  <c r="U156" i="194" s="1"/>
  <c r="X156" i="194" s="1"/>
  <c r="Z156" i="194" s="1"/>
  <c r="N156" i="194"/>
  <c r="Y155" i="194"/>
  <c r="X155" i="194"/>
  <c r="W155" i="194"/>
  <c r="M155" i="194"/>
  <c r="H155" i="194"/>
  <c r="N155" i="194" s="1"/>
  <c r="Q155" i="194" s="1"/>
  <c r="U155" i="194" s="1"/>
  <c r="E155" i="194"/>
  <c r="N154" i="194"/>
  <c r="Q154" i="194" s="1"/>
  <c r="U154" i="194" s="1"/>
  <c r="X154" i="194" s="1"/>
  <c r="Z154" i="194" s="1"/>
  <c r="Y153" i="194"/>
  <c r="W153" i="194"/>
  <c r="M153" i="194"/>
  <c r="H153" i="194"/>
  <c r="E153" i="194"/>
  <c r="N153" i="194" s="1"/>
  <c r="Q153" i="194" s="1"/>
  <c r="U153" i="194" s="1"/>
  <c r="X153" i="194" s="1"/>
  <c r="Y152" i="194"/>
  <c r="W152" i="194"/>
  <c r="M152" i="194"/>
  <c r="H152" i="194"/>
  <c r="N152" i="194" s="1"/>
  <c r="Q152" i="194" s="1"/>
  <c r="U152" i="194" s="1"/>
  <c r="X152" i="194" s="1"/>
  <c r="E152" i="194"/>
  <c r="Y151" i="194"/>
  <c r="W151" i="194"/>
  <c r="Q151" i="194"/>
  <c r="U151" i="194" s="1"/>
  <c r="X151" i="194" s="1"/>
  <c r="N151" i="194"/>
  <c r="M151" i="194"/>
  <c r="H151" i="194"/>
  <c r="E151" i="194"/>
  <c r="Q150" i="194"/>
  <c r="U150" i="194" s="1"/>
  <c r="X150" i="194" s="1"/>
  <c r="Z150" i="194" s="1"/>
  <c r="N150" i="194"/>
  <c r="N149" i="194"/>
  <c r="Q149" i="194" s="1"/>
  <c r="U149" i="194" s="1"/>
  <c r="X149" i="194" s="1"/>
  <c r="Z149" i="194" s="1"/>
  <c r="Y148" i="194"/>
  <c r="W148" i="194"/>
  <c r="M148" i="194"/>
  <c r="H148" i="194"/>
  <c r="E148" i="194"/>
  <c r="Y147" i="194"/>
  <c r="W147" i="194"/>
  <c r="N147" i="194"/>
  <c r="Q147" i="194" s="1"/>
  <c r="U147" i="194" s="1"/>
  <c r="X147" i="194" s="1"/>
  <c r="M147" i="194"/>
  <c r="H147" i="194"/>
  <c r="E147" i="194"/>
  <c r="Q146" i="194"/>
  <c r="U146" i="194" s="1"/>
  <c r="X146" i="194" s="1"/>
  <c r="Z146" i="194" s="1"/>
  <c r="E146" i="194"/>
  <c r="N146" i="194" s="1"/>
  <c r="N145" i="194"/>
  <c r="Q145" i="194" s="1"/>
  <c r="U145" i="194" s="1"/>
  <c r="X145" i="194" s="1"/>
  <c r="Z145" i="194" s="1"/>
  <c r="Y144" i="194"/>
  <c r="Z144" i="194" s="1"/>
  <c r="W144" i="194"/>
  <c r="M144" i="194"/>
  <c r="H144" i="194"/>
  <c r="N144" i="194" s="1"/>
  <c r="Q144" i="194" s="1"/>
  <c r="U144" i="194" s="1"/>
  <c r="X144" i="194" s="1"/>
  <c r="Y143" i="194"/>
  <c r="W143" i="194"/>
  <c r="M143" i="194"/>
  <c r="H143" i="194"/>
  <c r="N143" i="194" s="1"/>
  <c r="Q143" i="194" s="1"/>
  <c r="U143" i="194" s="1"/>
  <c r="X143" i="194" s="1"/>
  <c r="E143" i="194"/>
  <c r="Y142" i="194"/>
  <c r="W142" i="194"/>
  <c r="Q142" i="194"/>
  <c r="U142" i="194" s="1"/>
  <c r="X142" i="194" s="1"/>
  <c r="N142" i="194"/>
  <c r="M142" i="194"/>
  <c r="H142" i="194"/>
  <c r="E142" i="194"/>
  <c r="Q141" i="194"/>
  <c r="U141" i="194" s="1"/>
  <c r="X141" i="194" s="1"/>
  <c r="Z141" i="194" s="1"/>
  <c r="N141" i="194"/>
  <c r="Y140" i="194"/>
  <c r="W140" i="194"/>
  <c r="N140" i="194"/>
  <c r="Q140" i="194" s="1"/>
  <c r="U140" i="194" s="1"/>
  <c r="X140" i="194" s="1"/>
  <c r="M140" i="194"/>
  <c r="H140" i="194"/>
  <c r="Y139" i="194"/>
  <c r="W139" i="194"/>
  <c r="M139" i="194"/>
  <c r="H139" i="194"/>
  <c r="N139" i="194" s="1"/>
  <c r="Q139" i="194" s="1"/>
  <c r="U139" i="194" s="1"/>
  <c r="X139" i="194" s="1"/>
  <c r="U138" i="194"/>
  <c r="X138" i="194" s="1"/>
  <c r="Z138" i="194" s="1"/>
  <c r="Q138" i="194"/>
  <c r="N138" i="194"/>
  <c r="Y137" i="194"/>
  <c r="W137" i="194"/>
  <c r="Q137" i="194"/>
  <c r="U137" i="194" s="1"/>
  <c r="X137" i="194" s="1"/>
  <c r="Z137" i="194" s="1"/>
  <c r="N137" i="194"/>
  <c r="E137" i="194"/>
  <c r="Y136" i="194"/>
  <c r="W136" i="194"/>
  <c r="U136" i="194"/>
  <c r="X136" i="194" s="1"/>
  <c r="Q136" i="194"/>
  <c r="M136" i="194"/>
  <c r="H136" i="194"/>
  <c r="E136" i="194"/>
  <c r="N136" i="194" s="1"/>
  <c r="N135" i="194"/>
  <c r="Q135" i="194" s="1"/>
  <c r="U135" i="194" s="1"/>
  <c r="X135" i="194" s="1"/>
  <c r="Z135" i="194" s="1"/>
  <c r="E135" i="194"/>
  <c r="Q134" i="194"/>
  <c r="U134" i="194" s="1"/>
  <c r="X134" i="194" s="1"/>
  <c r="Z134" i="194" s="1"/>
  <c r="N134" i="194"/>
  <c r="B134" i="194"/>
  <c r="B135" i="194" s="1"/>
  <c r="B136" i="194" s="1"/>
  <c r="B137" i="194" s="1"/>
  <c r="B138" i="194" s="1"/>
  <c r="B139" i="194" s="1"/>
  <c r="B140" i="194" s="1"/>
  <c r="B141" i="194" s="1"/>
  <c r="B142" i="194" s="1"/>
  <c r="B143" i="194" s="1"/>
  <c r="B144" i="194" s="1"/>
  <c r="B145" i="194" s="1"/>
  <c r="B146" i="194" s="1"/>
  <c r="B147" i="194" s="1"/>
  <c r="U133" i="194"/>
  <c r="X133" i="194" s="1"/>
  <c r="Z133" i="194" s="1"/>
  <c r="Q133" i="194"/>
  <c r="N133" i="194"/>
  <c r="Y132" i="194"/>
  <c r="W132" i="194"/>
  <c r="Q132" i="194"/>
  <c r="U132" i="194" s="1"/>
  <c r="X132" i="194" s="1"/>
  <c r="N132" i="194"/>
  <c r="M132" i="194"/>
  <c r="H132" i="194"/>
  <c r="E132" i="194"/>
  <c r="Y131" i="194"/>
  <c r="W131" i="194"/>
  <c r="M131" i="194"/>
  <c r="H131" i="194"/>
  <c r="E131" i="194"/>
  <c r="Y130" i="194"/>
  <c r="W130" i="194"/>
  <c r="M130" i="194"/>
  <c r="H130" i="194"/>
  <c r="E130" i="194"/>
  <c r="N130" i="194" s="1"/>
  <c r="Q130" i="194" s="1"/>
  <c r="U130" i="194" s="1"/>
  <c r="X130" i="194" s="1"/>
  <c r="Y129" i="194"/>
  <c r="W129" i="194"/>
  <c r="N129" i="194"/>
  <c r="Q129" i="194" s="1"/>
  <c r="U129" i="194" s="1"/>
  <c r="X129" i="194" s="1"/>
  <c r="M129" i="194"/>
  <c r="H129" i="194"/>
  <c r="E129" i="194"/>
  <c r="Y128" i="194"/>
  <c r="Z128" i="194" s="1"/>
  <c r="W128" i="194"/>
  <c r="M128" i="194"/>
  <c r="H128" i="194"/>
  <c r="N128" i="194" s="1"/>
  <c r="Q128" i="194" s="1"/>
  <c r="U128" i="194" s="1"/>
  <c r="X128" i="194" s="1"/>
  <c r="W127" i="194"/>
  <c r="V127" i="194"/>
  <c r="K127" i="194"/>
  <c r="I127" i="194"/>
  <c r="H127" i="194"/>
  <c r="E127" i="194"/>
  <c r="W126" i="194"/>
  <c r="V126" i="194"/>
  <c r="L126" i="194"/>
  <c r="K126" i="194"/>
  <c r="I126" i="194"/>
  <c r="H126" i="194"/>
  <c r="M126" i="194" s="1"/>
  <c r="N126" i="194" s="1"/>
  <c r="Q126" i="194" s="1"/>
  <c r="U126" i="194" s="1"/>
  <c r="X126" i="194" s="1"/>
  <c r="AC125" i="194"/>
  <c r="V125" i="194"/>
  <c r="AA125" i="194" s="1"/>
  <c r="AD125" i="194" s="1"/>
  <c r="M125" i="194"/>
  <c r="N125" i="194" s="1"/>
  <c r="Q125" i="194" s="1"/>
  <c r="U125" i="194" s="1"/>
  <c r="X125" i="194" s="1"/>
  <c r="Z125" i="194" s="1"/>
  <c r="F125" i="194"/>
  <c r="AA124" i="194"/>
  <c r="AD124" i="194" s="1"/>
  <c r="V124" i="194"/>
  <c r="U124" i="194"/>
  <c r="X124" i="194" s="1"/>
  <c r="Z124" i="194" s="1"/>
  <c r="AC124" i="194" s="1"/>
  <c r="N124" i="194"/>
  <c r="Q124" i="194" s="1"/>
  <c r="M124" i="194"/>
  <c r="F124" i="194"/>
  <c r="V123" i="194"/>
  <c r="AA123" i="194" s="1"/>
  <c r="AD123" i="194" s="1"/>
  <c r="N123" i="194"/>
  <c r="Q123" i="194" s="1"/>
  <c r="U123" i="194" s="1"/>
  <c r="X123" i="194" s="1"/>
  <c r="Z123" i="194" s="1"/>
  <c r="AC123" i="194" s="1"/>
  <c r="M123" i="194"/>
  <c r="AA122" i="194"/>
  <c r="AD122" i="194" s="1"/>
  <c r="V122" i="194"/>
  <c r="M122" i="194"/>
  <c r="N122" i="194" s="1"/>
  <c r="Q122" i="194" s="1"/>
  <c r="U122" i="194" s="1"/>
  <c r="X122" i="194" s="1"/>
  <c r="Z122" i="194" s="1"/>
  <c r="AC122" i="194" s="1"/>
  <c r="F122" i="194"/>
  <c r="W121" i="194"/>
  <c r="V121" i="194"/>
  <c r="U121" i="194"/>
  <c r="X121" i="194" s="1"/>
  <c r="L121" i="194"/>
  <c r="K121" i="194"/>
  <c r="I121" i="194"/>
  <c r="H121" i="194"/>
  <c r="M121" i="194" s="1"/>
  <c r="N121" i="194" s="1"/>
  <c r="Q121" i="194" s="1"/>
  <c r="AA120" i="194"/>
  <c r="AD120" i="194" s="1"/>
  <c r="V120" i="194"/>
  <c r="N120" i="194"/>
  <c r="Q120" i="194" s="1"/>
  <c r="U120" i="194" s="1"/>
  <c r="X120" i="194" s="1"/>
  <c r="Z120" i="194" s="1"/>
  <c r="AC120" i="194" s="1"/>
  <c r="M120" i="194"/>
  <c r="W119" i="194"/>
  <c r="L119" i="194"/>
  <c r="V119" i="194" s="1"/>
  <c r="K119" i="194"/>
  <c r="I119" i="194"/>
  <c r="H119" i="194"/>
  <c r="M119" i="194" s="1"/>
  <c r="N119" i="194" s="1"/>
  <c r="Q119" i="194" s="1"/>
  <c r="U119" i="194" s="1"/>
  <c r="AA118" i="194"/>
  <c r="AD118" i="194" s="1"/>
  <c r="V118" i="194"/>
  <c r="N118" i="194"/>
  <c r="Q118" i="194" s="1"/>
  <c r="U118" i="194" s="1"/>
  <c r="X118" i="194" s="1"/>
  <c r="Z118" i="194" s="1"/>
  <c r="AC118" i="194" s="1"/>
  <c r="M118" i="194"/>
  <c r="F118" i="194"/>
  <c r="W117" i="194"/>
  <c r="L117" i="194"/>
  <c r="V117" i="194" s="1"/>
  <c r="K117" i="194"/>
  <c r="I117" i="194"/>
  <c r="H117" i="194"/>
  <c r="V116" i="194"/>
  <c r="AA116" i="194" s="1"/>
  <c r="AD116" i="194" s="1"/>
  <c r="M116" i="194"/>
  <c r="N116" i="194" s="1"/>
  <c r="Q116" i="194" s="1"/>
  <c r="U116" i="194" s="1"/>
  <c r="X116" i="194" s="1"/>
  <c r="Z116" i="194" s="1"/>
  <c r="AC116" i="194" s="1"/>
  <c r="AC115" i="194"/>
  <c r="V115" i="194"/>
  <c r="AA115" i="194" s="1"/>
  <c r="AD115" i="194" s="1"/>
  <c r="N115" i="194"/>
  <c r="M115" i="194"/>
  <c r="F115" i="194"/>
  <c r="W114" i="194"/>
  <c r="L114" i="194"/>
  <c r="V114" i="194" s="1"/>
  <c r="K114" i="194"/>
  <c r="I114" i="194"/>
  <c r="H114" i="194"/>
  <c r="AC113" i="194"/>
  <c r="V113" i="194"/>
  <c r="AA113" i="194" s="1"/>
  <c r="AD113" i="194" s="1"/>
  <c r="M113" i="194"/>
  <c r="N113" i="194" s="1"/>
  <c r="F113" i="194"/>
  <c r="X112" i="194"/>
  <c r="Z112" i="194" s="1"/>
  <c r="AC112" i="194" s="1"/>
  <c r="V112" i="194"/>
  <c r="AA112" i="194" s="1"/>
  <c r="AD112" i="194" s="1"/>
  <c r="M112" i="194"/>
  <c r="N112" i="194" s="1"/>
  <c r="Q112" i="194" s="1"/>
  <c r="U112" i="194" s="1"/>
  <c r="F112" i="194"/>
  <c r="AD111" i="194"/>
  <c r="Z111" i="194"/>
  <c r="AC111" i="194" s="1"/>
  <c r="V111" i="194"/>
  <c r="AA111" i="194" s="1"/>
  <c r="M111" i="194"/>
  <c r="N111" i="194" s="1"/>
  <c r="Q111" i="194" s="1"/>
  <c r="U111" i="194" s="1"/>
  <c r="X111" i="194" s="1"/>
  <c r="F111" i="194"/>
  <c r="AA110" i="194"/>
  <c r="AD110" i="194" s="1"/>
  <c r="V110" i="194"/>
  <c r="N110" i="194"/>
  <c r="Q110" i="194" s="1"/>
  <c r="U110" i="194" s="1"/>
  <c r="X110" i="194" s="1"/>
  <c r="Z110" i="194" s="1"/>
  <c r="AC110" i="194" s="1"/>
  <c r="M110" i="194"/>
  <c r="F110" i="194"/>
  <c r="V109" i="194"/>
  <c r="AA109" i="194" s="1"/>
  <c r="AD109" i="194" s="1"/>
  <c r="N109" i="194"/>
  <c r="Q109" i="194" s="1"/>
  <c r="U109" i="194" s="1"/>
  <c r="X109" i="194" s="1"/>
  <c r="Z109" i="194" s="1"/>
  <c r="AC109" i="194" s="1"/>
  <c r="M109" i="194"/>
  <c r="F109" i="194"/>
  <c r="V108" i="194"/>
  <c r="AA108" i="194" s="1"/>
  <c r="AD108" i="194" s="1"/>
  <c r="M108" i="194"/>
  <c r="N108" i="194" s="1"/>
  <c r="Q108" i="194" s="1"/>
  <c r="U108" i="194" s="1"/>
  <c r="X108" i="194" s="1"/>
  <c r="Z108" i="194" s="1"/>
  <c r="AC108" i="194" s="1"/>
  <c r="F108" i="194"/>
  <c r="V107" i="194"/>
  <c r="AA107" i="194" s="1"/>
  <c r="AD107" i="194" s="1"/>
  <c r="M107" i="194"/>
  <c r="N107" i="194" s="1"/>
  <c r="Q107" i="194" s="1"/>
  <c r="U107" i="194" s="1"/>
  <c r="X107" i="194" s="1"/>
  <c r="Z107" i="194" s="1"/>
  <c r="AC107" i="194" s="1"/>
  <c r="V106" i="194"/>
  <c r="AA106" i="194" s="1"/>
  <c r="AD106" i="194" s="1"/>
  <c r="M106" i="194"/>
  <c r="N106" i="194" s="1"/>
  <c r="Q106" i="194" s="1"/>
  <c r="U106" i="194" s="1"/>
  <c r="X106" i="194" s="1"/>
  <c r="Z106" i="194" s="1"/>
  <c r="AC106" i="194" s="1"/>
  <c r="F106" i="194"/>
  <c r="AC105" i="194"/>
  <c r="AA105" i="194"/>
  <c r="AD105" i="194" s="1"/>
  <c r="V105" i="194"/>
  <c r="M105" i="194"/>
  <c r="N105" i="194" s="1"/>
  <c r="Q105" i="194" s="1"/>
  <c r="U105" i="194" s="1"/>
  <c r="X105" i="194" s="1"/>
  <c r="Z105" i="194" s="1"/>
  <c r="F105" i="194"/>
  <c r="V104" i="194"/>
  <c r="AA104" i="194" s="1"/>
  <c r="AD104" i="194" s="1"/>
  <c r="N104" i="194"/>
  <c r="Q104" i="194" s="1"/>
  <c r="U104" i="194" s="1"/>
  <c r="X104" i="194" s="1"/>
  <c r="Z104" i="194" s="1"/>
  <c r="AC104" i="194" s="1"/>
  <c r="M104" i="194"/>
  <c r="F104" i="194"/>
  <c r="AD103" i="194"/>
  <c r="V103" i="194"/>
  <c r="AA103" i="194" s="1"/>
  <c r="M103" i="194"/>
  <c r="N103" i="194" s="1"/>
  <c r="Q103" i="194" s="1"/>
  <c r="U103" i="194" s="1"/>
  <c r="X103" i="194" s="1"/>
  <c r="Z103" i="194" s="1"/>
  <c r="AC103" i="194" s="1"/>
  <c r="AA102" i="194"/>
  <c r="AD102" i="194" s="1"/>
  <c r="V102" i="194"/>
  <c r="Q102" i="194"/>
  <c r="U102" i="194" s="1"/>
  <c r="X102" i="194" s="1"/>
  <c r="Z102" i="194" s="1"/>
  <c r="AC102" i="194" s="1"/>
  <c r="M102" i="194"/>
  <c r="N102" i="194" s="1"/>
  <c r="F102" i="194"/>
  <c r="AC101" i="194"/>
  <c r="V101" i="194"/>
  <c r="AA101" i="194" s="1"/>
  <c r="AD101" i="194" s="1"/>
  <c r="M101" i="194"/>
  <c r="N101" i="194" s="1"/>
  <c r="Q101" i="194" s="1"/>
  <c r="U101" i="194" s="1"/>
  <c r="X101" i="194" s="1"/>
  <c r="Z101" i="194" s="1"/>
  <c r="F101" i="194"/>
  <c r="W100" i="194"/>
  <c r="V100" i="194"/>
  <c r="L100" i="194"/>
  <c r="K100" i="194"/>
  <c r="I100" i="194"/>
  <c r="H100" i="194"/>
  <c r="M100" i="194" s="1"/>
  <c r="N100" i="194" s="1"/>
  <c r="Q100" i="194" s="1"/>
  <c r="U100" i="194" s="1"/>
  <c r="X100" i="194" s="1"/>
  <c r="AA99" i="194"/>
  <c r="AD99" i="194" s="1"/>
  <c r="V99" i="194"/>
  <c r="Q99" i="194"/>
  <c r="U99" i="194" s="1"/>
  <c r="X99" i="194" s="1"/>
  <c r="Z99" i="194" s="1"/>
  <c r="AC99" i="194" s="1"/>
  <c r="M99" i="194"/>
  <c r="N99" i="194" s="1"/>
  <c r="F99" i="194"/>
  <c r="W98" i="194"/>
  <c r="N98" i="194"/>
  <c r="Q98" i="194" s="1"/>
  <c r="U98" i="194" s="1"/>
  <c r="X98" i="194" s="1"/>
  <c r="K98" i="194"/>
  <c r="I98" i="194"/>
  <c r="H98" i="194"/>
  <c r="M98" i="194" s="1"/>
  <c r="E98" i="194"/>
  <c r="V98" i="194" s="1"/>
  <c r="W97" i="194"/>
  <c r="K97" i="194"/>
  <c r="I97" i="194"/>
  <c r="H97" i="194"/>
  <c r="E97" i="194"/>
  <c r="V97" i="194" s="1"/>
  <c r="W96" i="194"/>
  <c r="V96" i="194"/>
  <c r="U96" i="194"/>
  <c r="X96" i="194" s="1"/>
  <c r="M96" i="194"/>
  <c r="N96" i="194" s="1"/>
  <c r="Q96" i="194" s="1"/>
  <c r="K96" i="194"/>
  <c r="I96" i="194"/>
  <c r="H96" i="194"/>
  <c r="W95" i="194"/>
  <c r="I95" i="194"/>
  <c r="H95" i="194"/>
  <c r="E95" i="194"/>
  <c r="V95" i="194" s="1"/>
  <c r="M94" i="194"/>
  <c r="M93" i="194"/>
  <c r="I93" i="194"/>
  <c r="I94" i="194" s="1"/>
  <c r="H93" i="194"/>
  <c r="H94" i="194" s="1"/>
  <c r="H92" i="194" s="1"/>
  <c r="W91" i="194"/>
  <c r="V91" i="194"/>
  <c r="L91" i="194"/>
  <c r="K91" i="194"/>
  <c r="I91" i="194"/>
  <c r="H91" i="194"/>
  <c r="M91" i="194" s="1"/>
  <c r="N91" i="194" s="1"/>
  <c r="Q91" i="194" s="1"/>
  <c r="U91" i="194" s="1"/>
  <c r="X91" i="194" s="1"/>
  <c r="E91" i="194"/>
  <c r="W90" i="194"/>
  <c r="M90" i="194"/>
  <c r="N90" i="194" s="1"/>
  <c r="Q90" i="194" s="1"/>
  <c r="U90" i="194" s="1"/>
  <c r="X90" i="194" s="1"/>
  <c r="L90" i="194"/>
  <c r="V90" i="194" s="1"/>
  <c r="K90" i="194"/>
  <c r="I90" i="194"/>
  <c r="H90" i="194"/>
  <c r="E90" i="194"/>
  <c r="V89" i="194"/>
  <c r="K89" i="194"/>
  <c r="I89" i="194"/>
  <c r="H89" i="194"/>
  <c r="E89" i="194"/>
  <c r="M88" i="194"/>
  <c r="N88" i="194" s="1"/>
  <c r="Q88" i="194" s="1"/>
  <c r="U88" i="194" s="1"/>
  <c r="L88" i="194"/>
  <c r="V88" i="194" s="1"/>
  <c r="K88" i="194"/>
  <c r="I88" i="194"/>
  <c r="H88" i="194"/>
  <c r="B88" i="194"/>
  <c r="B89" i="194" s="1"/>
  <c r="B90" i="194" s="1"/>
  <c r="B91" i="194" s="1"/>
  <c r="B92" i="194" s="1"/>
  <c r="B93" i="194" s="1"/>
  <c r="B94" i="194" s="1"/>
  <c r="B95" i="194" s="1"/>
  <c r="B96" i="194" s="1"/>
  <c r="B97" i="194" s="1"/>
  <c r="B98" i="194" s="1"/>
  <c r="B99" i="194" s="1"/>
  <c r="B100" i="194" s="1"/>
  <c r="B101" i="194" s="1"/>
  <c r="B102" i="194" s="1"/>
  <c r="B103" i="194" s="1"/>
  <c r="B104" i="194" s="1"/>
  <c r="B105" i="194" s="1"/>
  <c r="B106" i="194" s="1"/>
  <c r="B107" i="194" s="1"/>
  <c r="B108" i="194" s="1"/>
  <c r="B109" i="194" s="1"/>
  <c r="B110" i="194" s="1"/>
  <c r="B111" i="194" s="1"/>
  <c r="B112" i="194" s="1"/>
  <c r="B113" i="194" s="1"/>
  <c r="B114" i="194" s="1"/>
  <c r="B115" i="194" s="1"/>
  <c r="B116" i="194" s="1"/>
  <c r="B117" i="194" s="1"/>
  <c r="B118" i="194" s="1"/>
  <c r="B119" i="194" s="1"/>
  <c r="B120" i="194" s="1"/>
  <c r="B121" i="194" s="1"/>
  <c r="B122" i="194" s="1"/>
  <c r="B123" i="194" s="1"/>
  <c r="B124" i="194" s="1"/>
  <c r="B125" i="194" s="1"/>
  <c r="B126" i="194" s="1"/>
  <c r="B127" i="194" s="1"/>
  <c r="B128" i="194" s="1"/>
  <c r="B129" i="194" s="1"/>
  <c r="B130" i="194" s="1"/>
  <c r="B131" i="194" s="1"/>
  <c r="B132" i="194" s="1"/>
  <c r="AH78" i="194"/>
  <c r="M77" i="194"/>
  <c r="N77" i="194" s="1"/>
  <c r="Q77" i="194" s="1"/>
  <c r="U77" i="194" s="1"/>
  <c r="X77" i="194" s="1"/>
  <c r="L77" i="194"/>
  <c r="V77" i="194" s="1"/>
  <c r="V76" i="194"/>
  <c r="Q76" i="194"/>
  <c r="U76" i="194" s="1"/>
  <c r="X76" i="194" s="1"/>
  <c r="N76" i="194"/>
  <c r="M76" i="194"/>
  <c r="L76" i="194"/>
  <c r="V75" i="194"/>
  <c r="U75" i="194"/>
  <c r="X75" i="194" s="1"/>
  <c r="N75" i="194"/>
  <c r="Q75" i="194" s="1"/>
  <c r="M75" i="194"/>
  <c r="L75" i="194"/>
  <c r="V74" i="194"/>
  <c r="Q74" i="194"/>
  <c r="U74" i="194" s="1"/>
  <c r="X74" i="194" s="1"/>
  <c r="M74" i="194"/>
  <c r="N74" i="194" s="1"/>
  <c r="L74" i="194"/>
  <c r="X73" i="194"/>
  <c r="N73" i="194"/>
  <c r="Q73" i="194" s="1"/>
  <c r="U73" i="194" s="1"/>
  <c r="M73" i="194"/>
  <c r="L73" i="194"/>
  <c r="V73" i="194" s="1"/>
  <c r="M72" i="194"/>
  <c r="N72" i="194" s="1"/>
  <c r="Q72" i="194" s="1"/>
  <c r="U72" i="194" s="1"/>
  <c r="X72" i="194" s="1"/>
  <c r="L72" i="194"/>
  <c r="V72" i="194" s="1"/>
  <c r="M71" i="194"/>
  <c r="N71" i="194" s="1"/>
  <c r="Q71" i="194" s="1"/>
  <c r="U71" i="194" s="1"/>
  <c r="X71" i="194" s="1"/>
  <c r="L71" i="194"/>
  <c r="V71" i="194" s="1"/>
  <c r="M70" i="194"/>
  <c r="L70" i="194"/>
  <c r="K70" i="194"/>
  <c r="I70" i="194"/>
  <c r="H70" i="194"/>
  <c r="E70" i="194"/>
  <c r="M69" i="194"/>
  <c r="L69" i="194"/>
  <c r="V68" i="194"/>
  <c r="U68" i="194"/>
  <c r="X68" i="194" s="1"/>
  <c r="Q68" i="194"/>
  <c r="M68" i="194"/>
  <c r="N68" i="194" s="1"/>
  <c r="L68" i="194"/>
  <c r="N67" i="194"/>
  <c r="Q67" i="194" s="1"/>
  <c r="U67" i="194" s="1"/>
  <c r="X67" i="194" s="1"/>
  <c r="M67" i="194"/>
  <c r="L67" i="194"/>
  <c r="V67" i="194" s="1"/>
  <c r="Q66" i="194"/>
  <c r="U66" i="194" s="1"/>
  <c r="X66" i="194" s="1"/>
  <c r="M66" i="194"/>
  <c r="N66" i="194" s="1"/>
  <c r="L66" i="194"/>
  <c r="V66" i="194" s="1"/>
  <c r="V65" i="194"/>
  <c r="M65" i="194"/>
  <c r="N65" i="194" s="1"/>
  <c r="Q65" i="194" s="1"/>
  <c r="U65" i="194" s="1"/>
  <c r="X65" i="194" s="1"/>
  <c r="L65" i="194"/>
  <c r="Q64" i="194"/>
  <c r="U64" i="194" s="1"/>
  <c r="X64" i="194" s="1"/>
  <c r="N64" i="194"/>
  <c r="M64" i="194"/>
  <c r="L64" i="194"/>
  <c r="V64" i="194" s="1"/>
  <c r="V63" i="194"/>
  <c r="M63" i="194"/>
  <c r="N63" i="194" s="1"/>
  <c r="Q63" i="194" s="1"/>
  <c r="U63" i="194" s="1"/>
  <c r="X63" i="194" s="1"/>
  <c r="L63" i="194"/>
  <c r="N62" i="194"/>
  <c r="Q62" i="194" s="1"/>
  <c r="U62" i="194" s="1"/>
  <c r="X62" i="194" s="1"/>
  <c r="M62" i="194"/>
  <c r="L62" i="194"/>
  <c r="V62" i="194" s="1"/>
  <c r="V61" i="194"/>
  <c r="N61" i="194"/>
  <c r="Q61" i="194" s="1"/>
  <c r="U61" i="194" s="1"/>
  <c r="X61" i="194" s="1"/>
  <c r="M61" i="194"/>
  <c r="L61" i="194"/>
  <c r="V60" i="194"/>
  <c r="N60" i="194"/>
  <c r="Q60" i="194" s="1"/>
  <c r="U60" i="194" s="1"/>
  <c r="X60" i="194" s="1"/>
  <c r="M60" i="194"/>
  <c r="L60" i="194"/>
  <c r="V59" i="194"/>
  <c r="Q59" i="194"/>
  <c r="U59" i="194" s="1"/>
  <c r="X59" i="194" s="1"/>
  <c r="N59" i="194"/>
  <c r="M59" i="194"/>
  <c r="L59" i="194"/>
  <c r="M58" i="194"/>
  <c r="N58" i="194" s="1"/>
  <c r="Q58" i="194" s="1"/>
  <c r="U58" i="194" s="1"/>
  <c r="X58" i="194" s="1"/>
  <c r="L58" i="194"/>
  <c r="V58" i="194" s="1"/>
  <c r="U57" i="194"/>
  <c r="X57" i="194" s="1"/>
  <c r="N57" i="194"/>
  <c r="Q57" i="194" s="1"/>
  <c r="M57" i="194"/>
  <c r="L57" i="194"/>
  <c r="V57" i="194" s="1"/>
  <c r="V56" i="194"/>
  <c r="M56" i="194"/>
  <c r="N56" i="194" s="1"/>
  <c r="Q56" i="194" s="1"/>
  <c r="U56" i="194" s="1"/>
  <c r="X56" i="194" s="1"/>
  <c r="L56" i="194"/>
  <c r="L55" i="194"/>
  <c r="H55" i="194"/>
  <c r="E55" i="194"/>
  <c r="L54" i="194"/>
  <c r="K54" i="194"/>
  <c r="I54" i="194"/>
  <c r="H54" i="194"/>
  <c r="E54" i="194"/>
  <c r="V54" i="194" s="1"/>
  <c r="L53" i="194"/>
  <c r="K53" i="194"/>
  <c r="I53" i="194"/>
  <c r="H53" i="194"/>
  <c r="M53" i="194" s="1"/>
  <c r="N53" i="194" s="1"/>
  <c r="E53" i="194"/>
  <c r="AH52" i="194"/>
  <c r="AG52" i="194"/>
  <c r="AG78" i="194" s="1"/>
  <c r="M52" i="194"/>
  <c r="L52" i="194"/>
  <c r="Q51" i="194"/>
  <c r="U51" i="194" s="1"/>
  <c r="X51" i="194" s="1"/>
  <c r="M51" i="194"/>
  <c r="N51" i="194" s="1"/>
  <c r="L51" i="194"/>
  <c r="V51" i="194" s="1"/>
  <c r="V50" i="194"/>
  <c r="L50" i="194"/>
  <c r="K50" i="194"/>
  <c r="I50" i="194"/>
  <c r="H50" i="194"/>
  <c r="M50" i="194" s="1"/>
  <c r="N50" i="194" s="1"/>
  <c r="Q50" i="194" s="1"/>
  <c r="U50" i="194" s="1"/>
  <c r="E50" i="194"/>
  <c r="V49" i="194"/>
  <c r="L49" i="194"/>
  <c r="K49" i="194"/>
  <c r="I49" i="194"/>
  <c r="H49" i="194"/>
  <c r="E49" i="194"/>
  <c r="M48" i="194"/>
  <c r="L48" i="194"/>
  <c r="M47" i="194"/>
  <c r="L47" i="194"/>
  <c r="V46" i="194"/>
  <c r="U46" i="194"/>
  <c r="X46" i="194" s="1"/>
  <c r="Q46" i="194"/>
  <c r="M46" i="194"/>
  <c r="N46" i="194" s="1"/>
  <c r="L46" i="194"/>
  <c r="L45" i="194"/>
  <c r="V45" i="194" s="1"/>
  <c r="K45" i="194"/>
  <c r="I45" i="194"/>
  <c r="H45" i="194"/>
  <c r="E45" i="194"/>
  <c r="L44" i="194"/>
  <c r="K44" i="194"/>
  <c r="I44" i="194"/>
  <c r="H44" i="194"/>
  <c r="M44" i="194" s="1"/>
  <c r="N44" i="194" s="1"/>
  <c r="Q44" i="194" s="1"/>
  <c r="U44" i="194" s="1"/>
  <c r="E44" i="194"/>
  <c r="V44" i="194" s="1"/>
  <c r="L43" i="194"/>
  <c r="V43" i="194" s="1"/>
  <c r="K43" i="194"/>
  <c r="H43" i="194"/>
  <c r="M43" i="194" s="1"/>
  <c r="N43" i="194" s="1"/>
  <c r="M42" i="194"/>
  <c r="L42" i="194"/>
  <c r="Q41" i="194"/>
  <c r="U41" i="194" s="1"/>
  <c r="L41" i="194"/>
  <c r="V41" i="194" s="1"/>
  <c r="H41" i="194"/>
  <c r="M41" i="194" s="1"/>
  <c r="N41" i="194" s="1"/>
  <c r="V40" i="194"/>
  <c r="L40" i="194"/>
  <c r="K40" i="194"/>
  <c r="I40" i="194"/>
  <c r="H40" i="194"/>
  <c r="M40" i="194" s="1"/>
  <c r="E40" i="194"/>
  <c r="V39" i="194"/>
  <c r="L39" i="194"/>
  <c r="K39" i="194"/>
  <c r="I39" i="194"/>
  <c r="H39" i="194"/>
  <c r="M39" i="194" s="1"/>
  <c r="N39" i="194" s="1"/>
  <c r="Q39" i="194" s="1"/>
  <c r="U39" i="194" s="1"/>
  <c r="E39" i="194"/>
  <c r="L38" i="194"/>
  <c r="K38" i="194"/>
  <c r="I38" i="194"/>
  <c r="H38" i="194"/>
  <c r="E38" i="194"/>
  <c r="M37" i="194"/>
  <c r="N37" i="194" s="1"/>
  <c r="Q37" i="194" s="1"/>
  <c r="U37" i="194" s="1"/>
  <c r="L37" i="194"/>
  <c r="V37" i="194" s="1"/>
  <c r="H37" i="194"/>
  <c r="V36" i="194"/>
  <c r="L36" i="194"/>
  <c r="H36" i="194"/>
  <c r="M36" i="194" s="1"/>
  <c r="N36" i="194" s="1"/>
  <c r="Q36" i="194" s="1"/>
  <c r="U36" i="194" s="1"/>
  <c r="L35" i="194"/>
  <c r="K35" i="194"/>
  <c r="M35" i="194" s="1"/>
  <c r="I35" i="194"/>
  <c r="H35" i="194"/>
  <c r="E35" i="194"/>
  <c r="AH34" i="194"/>
  <c r="AG34" i="194"/>
  <c r="M34" i="194"/>
  <c r="L34" i="194"/>
  <c r="M33" i="194"/>
  <c r="L33" i="194"/>
  <c r="L32" i="194"/>
  <c r="V32" i="194" s="1"/>
  <c r="K32" i="194"/>
  <c r="I32" i="194"/>
  <c r="H32" i="194"/>
  <c r="M32" i="194" s="1"/>
  <c r="N32" i="194" s="1"/>
  <c r="Q32" i="194" s="1"/>
  <c r="U32" i="194" s="1"/>
  <c r="L31" i="194"/>
  <c r="V31" i="194" s="1"/>
  <c r="K31" i="194"/>
  <c r="M31" i="194" s="1"/>
  <c r="I31" i="194"/>
  <c r="H31" i="194"/>
  <c r="E31" i="194"/>
  <c r="V30" i="194"/>
  <c r="V29" i="194" s="1"/>
  <c r="M30" i="194"/>
  <c r="N30" i="194" s="1"/>
  <c r="L30" i="194"/>
  <c r="L28" i="194"/>
  <c r="V28" i="194" s="1"/>
  <c r="H28" i="194"/>
  <c r="M28" i="194" s="1"/>
  <c r="N28" i="194" s="1"/>
  <c r="Q28" i="194" s="1"/>
  <c r="U28" i="194" s="1"/>
  <c r="X28" i="194" s="1"/>
  <c r="L27" i="194"/>
  <c r="K27" i="194"/>
  <c r="I27" i="194"/>
  <c r="H27" i="194"/>
  <c r="M27" i="194" s="1"/>
  <c r="N27" i="194" s="1"/>
  <c r="E27" i="194"/>
  <c r="V27" i="194" s="1"/>
  <c r="M26" i="194"/>
  <c r="L26" i="194"/>
  <c r="L25" i="194"/>
  <c r="V24" i="194"/>
  <c r="L24" i="194"/>
  <c r="H24" i="194"/>
  <c r="M24" i="194" s="1"/>
  <c r="N24" i="194" s="1"/>
  <c r="Q24" i="194" s="1"/>
  <c r="U24" i="194" s="1"/>
  <c r="X24" i="194" s="1"/>
  <c r="V23" i="194"/>
  <c r="L23" i="194"/>
  <c r="H23" i="194"/>
  <c r="M23" i="194" s="1"/>
  <c r="N23" i="194" s="1"/>
  <c r="Q23" i="194" s="1"/>
  <c r="U23" i="194" s="1"/>
  <c r="X23" i="194" s="1"/>
  <c r="L22" i="194"/>
  <c r="E22" i="194"/>
  <c r="B21" i="194"/>
  <c r="B22" i="194" s="1"/>
  <c r="B23" i="194" s="1"/>
  <c r="B24" i="194" s="1"/>
  <c r="B25" i="194" s="1"/>
  <c r="B26" i="194" s="1"/>
  <c r="B27" i="194" s="1"/>
  <c r="B28" i="194" s="1"/>
  <c r="B29" i="194" s="1"/>
  <c r="B30" i="194" s="1"/>
  <c r="B31" i="194" s="1"/>
  <c r="H14" i="194"/>
  <c r="N14" i="194" s="1"/>
  <c r="E14" i="194"/>
  <c r="AH13" i="194"/>
  <c r="AH81" i="194" s="1"/>
  <c r="H9" i="194"/>
  <c r="H11" i="194" s="1"/>
  <c r="B9" i="194"/>
  <c r="B10" i="194" s="1"/>
  <c r="B11" i="194" s="1"/>
  <c r="B12" i="194" s="1"/>
  <c r="B13" i="194" s="1"/>
  <c r="B2" i="194"/>
  <c r="Z173" i="194" l="1"/>
  <c r="Z193" i="194"/>
  <c r="Z147" i="194"/>
  <c r="Z140" i="194"/>
  <c r="Z170" i="194"/>
  <c r="Z155" i="194"/>
  <c r="Z152" i="194"/>
  <c r="Z163" i="194"/>
  <c r="Z180" i="194"/>
  <c r="Z151" i="194"/>
  <c r="Z153" i="194"/>
  <c r="Z162" i="194"/>
  <c r="Z158" i="194"/>
  <c r="Z167" i="194"/>
  <c r="Z143" i="194"/>
  <c r="Z159" i="194"/>
  <c r="Z164" i="194"/>
  <c r="Z191" i="194"/>
  <c r="Z129" i="194"/>
  <c r="Z136" i="194"/>
  <c r="Z132" i="194"/>
  <c r="Z171" i="194"/>
  <c r="Z189" i="194"/>
  <c r="Z142" i="194"/>
  <c r="Z160" i="194"/>
  <c r="Z178" i="194"/>
  <c r="Z183" i="194"/>
  <c r="Z130" i="194"/>
  <c r="Z139" i="194"/>
  <c r="Z192" i="194"/>
  <c r="N40" i="194"/>
  <c r="Q40" i="194" s="1"/>
  <c r="U40" i="194" s="1"/>
  <c r="Q43" i="194"/>
  <c r="F30" i="194"/>
  <c r="B32" i="194"/>
  <c r="B33" i="194" s="1"/>
  <c r="B34" i="194" s="1"/>
  <c r="B35" i="194" s="1"/>
  <c r="B36" i="194" s="1"/>
  <c r="B37" i="194" s="1"/>
  <c r="B38" i="194" s="1"/>
  <c r="B39" i="194" s="1"/>
  <c r="B40" i="194" s="1"/>
  <c r="B41" i="194" s="1"/>
  <c r="B42" i="194" s="1"/>
  <c r="B43" i="194" s="1"/>
  <c r="B44" i="194" s="1"/>
  <c r="B45" i="194" s="1"/>
  <c r="V26" i="194"/>
  <c r="Q30" i="194"/>
  <c r="N29" i="194"/>
  <c r="Q53" i="194"/>
  <c r="Q27" i="194"/>
  <c r="N26" i="194"/>
  <c r="N35" i="194"/>
  <c r="V35" i="194"/>
  <c r="V38" i="194"/>
  <c r="I9" i="194"/>
  <c r="V22" i="194"/>
  <c r="M38" i="194"/>
  <c r="V42" i="194"/>
  <c r="M45" i="194"/>
  <c r="N45" i="194" s="1"/>
  <c r="Q45" i="194" s="1"/>
  <c r="U45" i="194" s="1"/>
  <c r="V48" i="194"/>
  <c r="V47" i="194" s="1"/>
  <c r="Z169" i="194"/>
  <c r="H22" i="194"/>
  <c r="M22" i="194" s="1"/>
  <c r="N22" i="194" s="1"/>
  <c r="M49" i="194"/>
  <c r="N49" i="194" s="1"/>
  <c r="V53" i="194"/>
  <c r="I55" i="194"/>
  <c r="V55" i="194"/>
  <c r="B148" i="194"/>
  <c r="B149" i="194" s="1"/>
  <c r="B150" i="194" s="1"/>
  <c r="B151" i="194" s="1"/>
  <c r="B152" i="194" s="1"/>
  <c r="B153" i="194" s="1"/>
  <c r="B154" i="194" s="1"/>
  <c r="B155" i="194" s="1"/>
  <c r="B156" i="194" s="1"/>
  <c r="B157" i="194" s="1"/>
  <c r="B158" i="194" s="1"/>
  <c r="B159" i="194" s="1"/>
  <c r="B160" i="194" s="1"/>
  <c r="B161" i="194" s="1"/>
  <c r="B162" i="194" s="1"/>
  <c r="B163" i="194" s="1"/>
  <c r="B164" i="194" s="1"/>
  <c r="B165" i="194" s="1"/>
  <c r="B166" i="194" s="1"/>
  <c r="B167" i="194" s="1"/>
  <c r="B168" i="194" s="1"/>
  <c r="B169" i="194" s="1"/>
  <c r="B170" i="194" s="1"/>
  <c r="B171" i="194" s="1"/>
  <c r="B172" i="194" s="1"/>
  <c r="B173" i="194" s="1"/>
  <c r="B174" i="194" s="1"/>
  <c r="B175" i="194" s="1"/>
  <c r="AG13" i="194"/>
  <c r="AG81" i="194" s="1"/>
  <c r="N31" i="194"/>
  <c r="Q31" i="194" s="1"/>
  <c r="U31" i="194" s="1"/>
  <c r="N38" i="194"/>
  <c r="Q38" i="194" s="1"/>
  <c r="U38" i="194" s="1"/>
  <c r="M54" i="194"/>
  <c r="N54" i="194" s="1"/>
  <c r="K55" i="194"/>
  <c r="E25" i="194"/>
  <c r="X119" i="194"/>
  <c r="V70" i="194"/>
  <c r="N70" i="194"/>
  <c r="M89" i="194"/>
  <c r="K95" i="194"/>
  <c r="M95" i="194" s="1"/>
  <c r="N95" i="194" s="1"/>
  <c r="Q95" i="194" s="1"/>
  <c r="U95" i="194" s="1"/>
  <c r="X95" i="194" s="1"/>
  <c r="N93" i="194"/>
  <c r="M92" i="194"/>
  <c r="N89" i="194"/>
  <c r="Q89" i="194" s="1"/>
  <c r="U89" i="194" s="1"/>
  <c r="M97" i="194"/>
  <c r="N97" i="194" s="1"/>
  <c r="Q97" i="194" s="1"/>
  <c r="U97" i="194" s="1"/>
  <c r="X97" i="194" s="1"/>
  <c r="M114" i="194"/>
  <c r="N114" i="194" s="1"/>
  <c r="Q114" i="194" s="1"/>
  <c r="U114" i="194" s="1"/>
  <c r="X114" i="194" s="1"/>
  <c r="N148" i="194"/>
  <c r="Q148" i="194" s="1"/>
  <c r="U148" i="194" s="1"/>
  <c r="X148" i="194" s="1"/>
  <c r="Z148" i="194" s="1"/>
  <c r="M117" i="194"/>
  <c r="N117" i="194" s="1"/>
  <c r="Q117" i="194" s="1"/>
  <c r="U117" i="194" s="1"/>
  <c r="X117" i="194" s="1"/>
  <c r="N131" i="194"/>
  <c r="Q131" i="194" s="1"/>
  <c r="U131" i="194" s="1"/>
  <c r="X131" i="194" s="1"/>
  <c r="Z131" i="194" s="1"/>
  <c r="Q188" i="194"/>
  <c r="N187" i="194"/>
  <c r="M127" i="194"/>
  <c r="N127" i="194" s="1"/>
  <c r="Q127" i="194" s="1"/>
  <c r="U127" i="194" s="1"/>
  <c r="X127" i="194" s="1"/>
  <c r="N182" i="194"/>
  <c r="N184" i="194"/>
  <c r="Q185" i="194"/>
  <c r="C3" i="70"/>
  <c r="F149" i="194" l="1"/>
  <c r="Q54" i="194"/>
  <c r="U54" i="194" s="1"/>
  <c r="B176" i="194"/>
  <c r="B177" i="194" s="1"/>
  <c r="B178" i="194" s="1"/>
  <c r="B179" i="194" s="1"/>
  <c r="B180" i="194" s="1"/>
  <c r="B181" i="194" s="1"/>
  <c r="B182" i="194" s="1"/>
  <c r="B183" i="194" s="1"/>
  <c r="B184" i="194" s="1"/>
  <c r="B185" i="194" s="1"/>
  <c r="B186" i="194" s="1"/>
  <c r="B187" i="194" s="1"/>
  <c r="B188" i="194" s="1"/>
  <c r="B189" i="194" s="1"/>
  <c r="B190" i="194" s="1"/>
  <c r="B191" i="194" s="1"/>
  <c r="B192" i="194" s="1"/>
  <c r="F176" i="194"/>
  <c r="U27" i="194"/>
  <c r="Q26" i="194"/>
  <c r="Q93" i="194"/>
  <c r="N94" i="194"/>
  <c r="N92" i="194" s="1"/>
  <c r="M55" i="194"/>
  <c r="N55" i="194" s="1"/>
  <c r="Q55" i="194" s="1"/>
  <c r="U55" i="194" s="1"/>
  <c r="V34" i="194"/>
  <c r="V33" i="194" s="1"/>
  <c r="H25" i="194"/>
  <c r="M25" i="194" s="1"/>
  <c r="N25" i="194" s="1"/>
  <c r="Q25" i="194" s="1"/>
  <c r="U25" i="194" s="1"/>
  <c r="X25" i="194" s="1"/>
  <c r="V25" i="194"/>
  <c r="I11" i="194"/>
  <c r="M9" i="194"/>
  <c r="Q42" i="194"/>
  <c r="U43" i="194"/>
  <c r="Q182" i="194"/>
  <c r="N181" i="194"/>
  <c r="V52" i="194"/>
  <c r="U53" i="194"/>
  <c r="Q52" i="194"/>
  <c r="N42" i="194"/>
  <c r="Q35" i="194"/>
  <c r="N34" i="194"/>
  <c r="N33" i="194" s="1"/>
  <c r="U185" i="194"/>
  <c r="Q184" i="194"/>
  <c r="Q22" i="194"/>
  <c r="N69" i="194"/>
  <c r="Q70" i="194"/>
  <c r="N48" i="194"/>
  <c r="N47" i="194" s="1"/>
  <c r="Q49" i="194"/>
  <c r="Q29" i="194"/>
  <c r="U30" i="194"/>
  <c r="F46" i="194"/>
  <c r="B46" i="194"/>
  <c r="B47" i="194" s="1"/>
  <c r="B48" i="194" s="1"/>
  <c r="B49" i="194" s="1"/>
  <c r="V21" i="194"/>
  <c r="Q187" i="194"/>
  <c r="U188" i="194"/>
  <c r="V69" i="194"/>
  <c r="B14" i="193"/>
  <c r="X185" i="194" l="1"/>
  <c r="U184" i="194"/>
  <c r="N52" i="194"/>
  <c r="Q21" i="194"/>
  <c r="U22" i="194"/>
  <c r="N9" i="194"/>
  <c r="M11" i="194"/>
  <c r="B50" i="194"/>
  <c r="B51" i="194" s="1"/>
  <c r="B52" i="194" s="1"/>
  <c r="B53" i="194" s="1"/>
  <c r="U182" i="194"/>
  <c r="Q181" i="194"/>
  <c r="Q69" i="194"/>
  <c r="U70" i="194"/>
  <c r="V78" i="194"/>
  <c r="V13" i="194"/>
  <c r="V79" i="194" s="1"/>
  <c r="Q94" i="194"/>
  <c r="Q92" i="194" s="1"/>
  <c r="U93" i="194"/>
  <c r="U35" i="194"/>
  <c r="Q34" i="194"/>
  <c r="Q33" i="194" s="1"/>
  <c r="U42" i="194"/>
  <c r="X30" i="194"/>
  <c r="U29" i="194"/>
  <c r="N21" i="194"/>
  <c r="U26" i="194"/>
  <c r="U187" i="194"/>
  <c r="X188" i="194"/>
  <c r="U49" i="194"/>
  <c r="Q48" i="194"/>
  <c r="Q47" i="194" s="1"/>
  <c r="U52" i="194"/>
  <c r="A3" i="192"/>
  <c r="B2" i="193"/>
  <c r="E16" i="193"/>
  <c r="C20" i="193"/>
  <c r="D20" i="193" s="1"/>
  <c r="F20" i="193" s="1"/>
  <c r="C19" i="193"/>
  <c r="D19" i="193" s="1"/>
  <c r="F19" i="193" s="1"/>
  <c r="C18" i="193"/>
  <c r="D18" i="193" s="1"/>
  <c r="F18" i="193" s="1"/>
  <c r="C17" i="193"/>
  <c r="D17" i="193"/>
  <c r="F17" i="193" s="1"/>
  <c r="C16" i="193"/>
  <c r="D16" i="193" s="1"/>
  <c r="C15" i="193"/>
  <c r="C14" i="193"/>
  <c r="D19" i="192"/>
  <c r="E19" i="192" s="1"/>
  <c r="E18" i="192"/>
  <c r="E17" i="192"/>
  <c r="D16" i="192"/>
  <c r="E16" i="192" s="1"/>
  <c r="I40" i="191"/>
  <c r="A40" i="191"/>
  <c r="I37" i="191"/>
  <c r="A37" i="191"/>
  <c r="I34" i="191"/>
  <c r="A34" i="191"/>
  <c r="C5" i="191"/>
  <c r="V81" i="194" l="1"/>
  <c r="V80" i="194"/>
  <c r="U94" i="194"/>
  <c r="U92" i="194" s="1"/>
  <c r="X93" i="194"/>
  <c r="Q9" i="194"/>
  <c r="N11" i="194"/>
  <c r="F51" i="194"/>
  <c r="U21" i="194"/>
  <c r="X22" i="194"/>
  <c r="Z188" i="194"/>
  <c r="Z187" i="194" s="1"/>
  <c r="X187" i="194"/>
  <c r="Q78" i="194"/>
  <c r="Q13" i="194" s="1"/>
  <c r="U48" i="194"/>
  <c r="U47" i="194" s="1"/>
  <c r="U181" i="194"/>
  <c r="X182" i="194"/>
  <c r="B54" i="194"/>
  <c r="F65" i="194" s="1"/>
  <c r="F58" i="194"/>
  <c r="F60" i="194"/>
  <c r="F59" i="194"/>
  <c r="N78" i="194"/>
  <c r="N13" i="194" s="1"/>
  <c r="U34" i="194"/>
  <c r="U33" i="194" s="1"/>
  <c r="U69" i="194"/>
  <c r="Z185" i="194"/>
  <c r="Z184" i="194" s="1"/>
  <c r="X184" i="194"/>
  <c r="F16" i="193"/>
  <c r="E15" i="193"/>
  <c r="D14" i="193"/>
  <c r="E14" i="193"/>
  <c r="D15" i="192"/>
  <c r="E15" i="192" s="1"/>
  <c r="F64" i="194" l="1"/>
  <c r="F66" i="194"/>
  <c r="F57" i="194"/>
  <c r="F67" i="194"/>
  <c r="F63" i="194"/>
  <c r="X181" i="194"/>
  <c r="Z182" i="194"/>
  <c r="Z181" i="194" s="1"/>
  <c r="U78" i="194"/>
  <c r="U13" i="194" s="1"/>
  <c r="X94" i="194"/>
  <c r="X92" i="194"/>
  <c r="U9" i="194"/>
  <c r="Q11" i="194"/>
  <c r="F61" i="194"/>
  <c r="B55" i="194"/>
  <c r="X21" i="194"/>
  <c r="F14" i="193"/>
  <c r="F56" i="194" l="1"/>
  <c r="B56" i="194"/>
  <c r="B57" i="194" s="1"/>
  <c r="B58" i="194" s="1"/>
  <c r="B59" i="194" s="1"/>
  <c r="B60" i="194" s="1"/>
  <c r="B61" i="194" s="1"/>
  <c r="B62" i="194" s="1"/>
  <c r="B63" i="194" s="1"/>
  <c r="B64" i="194" s="1"/>
  <c r="B65" i="194" s="1"/>
  <c r="B66" i="194" s="1"/>
  <c r="B67" i="194" s="1"/>
  <c r="B68" i="194" s="1"/>
  <c r="B69" i="194" s="1"/>
  <c r="B70" i="194" s="1"/>
  <c r="X9" i="194"/>
  <c r="U11" i="194"/>
  <c r="C13" i="192"/>
  <c r="F77" i="194" l="1"/>
  <c r="F73" i="194"/>
  <c r="F75" i="194"/>
  <c r="B71" i="194"/>
  <c r="B72" i="194" s="1"/>
  <c r="B73" i="194" s="1"/>
  <c r="B74" i="194" s="1"/>
  <c r="B75" i="194" s="1"/>
  <c r="B76" i="194" s="1"/>
  <c r="B77" i="194" s="1"/>
  <c r="B78" i="194" s="1"/>
  <c r="F74" i="194"/>
  <c r="F72" i="194"/>
  <c r="F76" i="194"/>
  <c r="F71" i="194"/>
  <c r="X11" i="194"/>
  <c r="D13" i="192"/>
  <c r="E13" i="192" s="1"/>
  <c r="M20" i="189"/>
  <c r="M46" i="189"/>
  <c r="M92" i="189" s="1"/>
  <c r="M93" i="189" s="1"/>
  <c r="M70" i="189"/>
  <c r="M95" i="189"/>
  <c r="M103" i="189"/>
  <c r="M126" i="189" s="1"/>
  <c r="M127" i="189" s="1"/>
  <c r="M115" i="189"/>
  <c r="M129" i="189"/>
  <c r="M142" i="189"/>
  <c r="M155" i="189"/>
  <c r="M170" i="189"/>
  <c r="M183" i="189"/>
  <c r="M194" i="189"/>
  <c r="M211" i="189"/>
  <c r="M225" i="189"/>
  <c r="M233" i="189"/>
  <c r="M245" i="189"/>
  <c r="M262" i="189"/>
  <c r="M273" i="189"/>
  <c r="M283" i="189"/>
  <c r="M292" i="189"/>
  <c r="M309" i="189"/>
  <c r="M321" i="189"/>
  <c r="M344" i="189"/>
  <c r="M357" i="189"/>
  <c r="M370" i="189"/>
  <c r="M384" i="189"/>
  <c r="M396" i="189"/>
  <c r="M409" i="189"/>
  <c r="M421" i="189"/>
  <c r="M436" i="189"/>
  <c r="M449" i="189"/>
  <c r="M465" i="189"/>
  <c r="M478" i="189"/>
  <c r="M494" i="189"/>
  <c r="M515" i="189"/>
  <c r="M534" i="189"/>
  <c r="M556" i="189"/>
  <c r="M568" i="189"/>
  <c r="M580" i="189"/>
  <c r="M592" i="189"/>
  <c r="M604" i="189"/>
  <c r="M616" i="189"/>
  <c r="M636" i="189"/>
  <c r="M657" i="189"/>
  <c r="M433" i="189" l="1"/>
  <c r="M434" i="189" s="1"/>
  <c r="M664" i="189"/>
  <c r="M665" i="189" s="1"/>
  <c r="M462" i="189"/>
  <c r="M463" i="189" s="1"/>
  <c r="M341" i="189"/>
  <c r="M342" i="189" s="1"/>
  <c r="M222" i="189"/>
  <c r="M223" i="189" s="1"/>
  <c r="M553" i="189"/>
  <c r="M554" i="189" s="1"/>
  <c r="M259" i="189"/>
  <c r="M260" i="189" s="1"/>
  <c r="M167" i="189"/>
  <c r="M168" i="189" s="1"/>
  <c r="M666" i="189" s="1"/>
  <c r="M667" i="189" s="1"/>
  <c r="F22" i="26"/>
  <c r="F670" i="189"/>
  <c r="M668" i="189" l="1"/>
  <c r="E14" i="26" l="1"/>
  <c r="M19" i="186"/>
  <c r="M22" i="186"/>
  <c r="M25" i="186"/>
  <c r="M28" i="186"/>
  <c r="M35" i="186"/>
  <c r="M38" i="186"/>
  <c r="M41" i="186"/>
  <c r="M44" i="186"/>
  <c r="M47" i="186"/>
  <c r="M50" i="186"/>
  <c r="M53" i="186"/>
  <c r="M56" i="186"/>
  <c r="M59" i="186"/>
  <c r="M63" i="186"/>
  <c r="M66" i="186"/>
  <c r="M69" i="186"/>
  <c r="M72" i="186"/>
  <c r="M75" i="186"/>
  <c r="M78" i="186"/>
  <c r="M81" i="186"/>
  <c r="M84" i="186"/>
  <c r="M87" i="186"/>
  <c r="M90" i="186"/>
  <c r="M96" i="186"/>
  <c r="M99" i="186"/>
  <c r="M102" i="186"/>
  <c r="M105" i="186"/>
  <c r="M108" i="186"/>
  <c r="M114" i="186"/>
  <c r="M117" i="186"/>
  <c r="M121" i="186"/>
  <c r="F133" i="186"/>
  <c r="M111" i="186" l="1"/>
  <c r="M112" i="186" s="1"/>
  <c r="M128" i="186"/>
  <c r="M129" i="186" s="1"/>
  <c r="M93" i="186"/>
  <c r="M94" i="186" s="1"/>
  <c r="M31" i="186"/>
  <c r="M32" i="186" s="1"/>
  <c r="M130" i="186" s="1"/>
  <c r="M131" i="186" s="1"/>
  <c r="E19" i="26"/>
  <c r="E21" i="185"/>
  <c r="G21" i="185" s="1"/>
  <c r="G20" i="185"/>
  <c r="G19" i="185"/>
  <c r="G16" i="185"/>
  <c r="G15" i="185"/>
  <c r="G14" i="185"/>
  <c r="E17" i="26"/>
  <c r="E55" i="184"/>
  <c r="F43" i="184"/>
  <c r="F44" i="184"/>
  <c r="G44" i="184" s="1"/>
  <c r="E45" i="184"/>
  <c r="G45" i="184" s="1"/>
  <c r="F49" i="184"/>
  <c r="G49" i="184" s="1"/>
  <c r="F19" i="184"/>
  <c r="G19" i="184" s="1"/>
  <c r="G20" i="184"/>
  <c r="G14" i="184"/>
  <c r="E74" i="184"/>
  <c r="G74" i="184" s="1"/>
  <c r="E73" i="184"/>
  <c r="G73" i="184" s="1"/>
  <c r="E72" i="184"/>
  <c r="G72" i="184" s="1"/>
  <c r="E71" i="184"/>
  <c r="G71" i="184" s="1"/>
  <c r="E70" i="184"/>
  <c r="G70" i="184" s="1"/>
  <c r="E69" i="184"/>
  <c r="G69" i="184" s="1"/>
  <c r="E68" i="184"/>
  <c r="G65" i="184"/>
  <c r="E64" i="184"/>
  <c r="G64" i="184" s="1"/>
  <c r="E63" i="184"/>
  <c r="G63" i="184" s="1"/>
  <c r="E62" i="184"/>
  <c r="G62" i="184" s="1"/>
  <c r="E61" i="184"/>
  <c r="G61" i="184" s="1"/>
  <c r="G60" i="184"/>
  <c r="E46" i="184"/>
  <c r="G46" i="184" s="1"/>
  <c r="E43" i="184"/>
  <c r="G43" i="184" s="1"/>
  <c r="E40" i="184"/>
  <c r="G40" i="184" s="1"/>
  <c r="E37" i="184"/>
  <c r="E38" i="184" s="1"/>
  <c r="G38" i="184" s="1"/>
  <c r="E33" i="184"/>
  <c r="E34" i="184" s="1"/>
  <c r="E35" i="184" s="1"/>
  <c r="G35" i="184" s="1"/>
  <c r="E31" i="184"/>
  <c r="G31" i="184" s="1"/>
  <c r="E30" i="184"/>
  <c r="G30" i="184" s="1"/>
  <c r="E29" i="184"/>
  <c r="G29" i="184" s="1"/>
  <c r="E28" i="184"/>
  <c r="G28" i="184" s="1"/>
  <c r="G23" i="184"/>
  <c r="G22" i="184"/>
  <c r="G21" i="184"/>
  <c r="G18" i="184"/>
  <c r="G17" i="184"/>
  <c r="G16" i="184"/>
  <c r="G15" i="184"/>
  <c r="E13" i="26"/>
  <c r="M37" i="183"/>
  <c r="M36" i="183"/>
  <c r="M40" i="183" s="1"/>
  <c r="M41" i="183" s="1"/>
  <c r="M32" i="183"/>
  <c r="M31" i="183"/>
  <c r="M30" i="183"/>
  <c r="M29" i="183"/>
  <c r="M33" i="183" s="1"/>
  <c r="M34" i="183" s="1"/>
  <c r="M26" i="183"/>
  <c r="M27" i="183" s="1"/>
  <c r="M25" i="183"/>
  <c r="M24" i="183"/>
  <c r="M23" i="183"/>
  <c r="M22" i="183"/>
  <c r="M19" i="183"/>
  <c r="G22" i="185" l="1"/>
  <c r="G23" i="185" s="1"/>
  <c r="G24" i="185" s="1"/>
  <c r="G25" i="185" s="1"/>
  <c r="G26" i="185" s="1"/>
  <c r="G27" i="185" s="1"/>
  <c r="G28" i="185" s="1"/>
  <c r="G29" i="185" s="1"/>
  <c r="G31" i="185" s="1"/>
  <c r="G17" i="185"/>
  <c r="G33" i="184"/>
  <c r="E36" i="184"/>
  <c r="G36" i="184" s="1"/>
  <c r="G66" i="184"/>
  <c r="G34" i="184"/>
  <c r="G37" i="184"/>
  <c r="G24" i="184"/>
  <c r="M42" i="183"/>
  <c r="M43" i="183" s="1"/>
  <c r="F45" i="183" s="1"/>
  <c r="G41" i="184" l="1"/>
  <c r="F53" i="184"/>
  <c r="G53" i="184" s="1"/>
  <c r="E47" i="184" l="1"/>
  <c r="G47" i="184" s="1"/>
  <c r="G48" i="184" s="1"/>
  <c r="F54" i="184"/>
  <c r="G54" i="184" s="1"/>
  <c r="F55" i="184" l="1"/>
  <c r="G55" i="184" s="1"/>
  <c r="G56" i="184" s="1"/>
  <c r="F50" i="184"/>
  <c r="G50" i="184" s="1"/>
  <c r="G51" i="184" s="1"/>
  <c r="G57" i="184" s="1"/>
  <c r="G58" i="184" l="1"/>
  <c r="G75" i="184" s="1"/>
  <c r="G76" i="184" s="1"/>
  <c r="E16" i="26" l="1"/>
  <c r="E15" i="26"/>
  <c r="M36" i="181"/>
  <c r="M33" i="181"/>
  <c r="M32" i="181"/>
  <c r="M31" i="181"/>
  <c r="M30" i="181"/>
  <c r="M29" i="181"/>
  <c r="M28" i="181"/>
  <c r="M27" i="181"/>
  <c r="M37" i="181" s="1"/>
  <c r="M38" i="181" s="1"/>
  <c r="M26" i="181"/>
  <c r="M23" i="181"/>
  <c r="M24" i="181" s="1"/>
  <c r="M22" i="181"/>
  <c r="M21" i="181"/>
  <c r="M36" i="180"/>
  <c r="M33" i="180"/>
  <c r="M32" i="180"/>
  <c r="M31" i="180"/>
  <c r="M30" i="180"/>
  <c r="M29" i="180"/>
  <c r="M28" i="180"/>
  <c r="M27" i="180"/>
  <c r="M26" i="180"/>
  <c r="M37" i="180" s="1"/>
  <c r="M38" i="180" s="1"/>
  <c r="M22" i="180"/>
  <c r="M21" i="180"/>
  <c r="M23" i="180" s="1"/>
  <c r="M24" i="180" s="1"/>
  <c r="M40" i="181" l="1"/>
  <c r="M40" i="180"/>
  <c r="M41" i="181" l="1"/>
  <c r="M43" i="181" s="1"/>
  <c r="M41" i="180"/>
  <c r="M42" i="181" l="1"/>
  <c r="M44" i="181"/>
  <c r="M45" i="181" s="1"/>
  <c r="M46" i="181" s="1"/>
  <c r="M47" i="181" s="1"/>
  <c r="M48" i="181" s="1"/>
  <c r="F50" i="181" s="1"/>
  <c r="M43" i="180"/>
  <c r="M44" i="180" s="1"/>
  <c r="M45" i="180" s="1"/>
  <c r="M46" i="180" s="1"/>
  <c r="M47" i="180" s="1"/>
  <c r="M48" i="180" s="1"/>
  <c r="F50" i="180" s="1"/>
  <c r="M42" i="180"/>
  <c r="K36" i="128" l="1"/>
  <c r="L36" i="128"/>
  <c r="L34" i="128"/>
  <c r="L28" i="128" l="1"/>
  <c r="V28" i="128" s="1"/>
  <c r="M28" i="128"/>
  <c r="Q28" i="128" s="1"/>
  <c r="U28" i="128" s="1"/>
  <c r="M29" i="128"/>
  <c r="Q29" i="128" s="1"/>
  <c r="U29" i="128" s="1"/>
  <c r="K27" i="128"/>
  <c r="I27" i="128"/>
  <c r="E27" i="128"/>
  <c r="N27" i="128" s="1"/>
  <c r="L27" i="128"/>
  <c r="L29" i="128" l="1"/>
  <c r="V29" i="128" s="1"/>
  <c r="M27" i="128"/>
  <c r="V27" i="128"/>
  <c r="V26" i="128" l="1"/>
  <c r="Q27" i="128"/>
  <c r="N26" i="128"/>
  <c r="K33" i="128"/>
  <c r="I33" i="128"/>
  <c r="K30" i="128"/>
  <c r="I30" i="128"/>
  <c r="U27" i="128" l="1"/>
  <c r="U26" i="128" s="1"/>
  <c r="Q26" i="128"/>
  <c r="K38" i="128"/>
  <c r="I38" i="128"/>
  <c r="E38" i="128"/>
  <c r="N38" i="128" s="1"/>
  <c r="K71" i="128"/>
  <c r="I71" i="128"/>
  <c r="K55" i="128"/>
  <c r="I55" i="128"/>
  <c r="K54" i="128"/>
  <c r="I54" i="128"/>
  <c r="K44" i="128"/>
  <c r="I44" i="128"/>
  <c r="K43" i="128"/>
  <c r="I43" i="128"/>
  <c r="K37" i="128"/>
  <c r="I37" i="128"/>
  <c r="K32" i="128"/>
  <c r="I32" i="128"/>
  <c r="K24" i="128"/>
  <c r="I24" i="128"/>
  <c r="K23" i="128"/>
  <c r="I23" i="128"/>
  <c r="K18" i="128"/>
  <c r="I18" i="128"/>
  <c r="N71" i="128"/>
  <c r="L55" i="128"/>
  <c r="V55" i="128" l="1"/>
  <c r="N55" i="128"/>
  <c r="M55" i="128"/>
  <c r="E56" i="128"/>
  <c r="H56" i="128" s="1"/>
  <c r="N54" i="128"/>
  <c r="M44" i="128"/>
  <c r="L44" i="128"/>
  <c r="L43" i="128"/>
  <c r="E33" i="128"/>
  <c r="N33" i="128" s="1"/>
  <c r="Q55" i="128" l="1"/>
  <c r="U55" i="128" s="1"/>
  <c r="N56" i="128"/>
  <c r="K56" i="128"/>
  <c r="I56" i="128"/>
  <c r="V43" i="128"/>
  <c r="V44" i="128"/>
  <c r="Q44" i="128"/>
  <c r="U44" i="128" s="1"/>
  <c r="M43" i="128"/>
  <c r="E23" i="128"/>
  <c r="N23" i="128" s="1"/>
  <c r="F113" i="175"/>
  <c r="F112" i="175"/>
  <c r="F111" i="175"/>
  <c r="F110" i="175"/>
  <c r="F109" i="175"/>
  <c r="F108" i="175"/>
  <c r="F107" i="175"/>
  <c r="F106" i="175"/>
  <c r="F105" i="175"/>
  <c r="F104" i="175"/>
  <c r="F103" i="175"/>
  <c r="F102" i="175"/>
  <c r="F101" i="175"/>
  <c r="F100" i="175"/>
  <c r="F99" i="175"/>
  <c r="F98" i="175"/>
  <c r="F97" i="175"/>
  <c r="F96" i="175"/>
  <c r="F95" i="175"/>
  <c r="F94" i="175"/>
  <c r="F93" i="175"/>
  <c r="F92" i="175"/>
  <c r="F91" i="175"/>
  <c r="F90" i="175"/>
  <c r="F89" i="175"/>
  <c r="F88" i="175"/>
  <c r="F87" i="175"/>
  <c r="F86" i="175"/>
  <c r="F85" i="175"/>
  <c r="F84" i="175"/>
  <c r="F83" i="175"/>
  <c r="F82" i="175"/>
  <c r="F81" i="175"/>
  <c r="F80" i="175"/>
  <c r="F79" i="175"/>
  <c r="F78" i="175"/>
  <c r="F77" i="175"/>
  <c r="F76" i="175"/>
  <c r="F75" i="175"/>
  <c r="F74" i="175"/>
  <c r="F73" i="175"/>
  <c r="F72" i="175"/>
  <c r="F71" i="175"/>
  <c r="F70" i="175"/>
  <c r="F69" i="175"/>
  <c r="F68" i="175"/>
  <c r="F67" i="175"/>
  <c r="F66" i="175"/>
  <c r="F65" i="175"/>
  <c r="F64" i="175"/>
  <c r="F63" i="175"/>
  <c r="F62" i="175"/>
  <c r="F61" i="175"/>
  <c r="F60" i="175"/>
  <c r="F59" i="175"/>
  <c r="F58" i="175"/>
  <c r="F57" i="175"/>
  <c r="F56" i="175"/>
  <c r="F55" i="175"/>
  <c r="F54" i="175"/>
  <c r="F53" i="175"/>
  <c r="F52" i="175"/>
  <c r="F51" i="175"/>
  <c r="F50" i="175"/>
  <c r="F49" i="175"/>
  <c r="F48" i="175"/>
  <c r="F47" i="175"/>
  <c r="F46" i="175"/>
  <c r="F45" i="175"/>
  <c r="F44" i="175"/>
  <c r="F43" i="175"/>
  <c r="F42" i="175"/>
  <c r="F41" i="175"/>
  <c r="F40" i="175"/>
  <c r="F39" i="175"/>
  <c r="F38" i="175"/>
  <c r="F37" i="175"/>
  <c r="F36" i="175"/>
  <c r="F35" i="175"/>
  <c r="F34" i="175"/>
  <c r="F33" i="175"/>
  <c r="F32" i="175"/>
  <c r="F31" i="175"/>
  <c r="F30" i="175"/>
  <c r="F29" i="175"/>
  <c r="F28" i="175"/>
  <c r="F27" i="175"/>
  <c r="F26" i="175"/>
  <c r="F25" i="175"/>
  <c r="F24" i="175"/>
  <c r="F23" i="175"/>
  <c r="F22" i="175"/>
  <c r="F21" i="175"/>
  <c r="F20" i="175"/>
  <c r="F19" i="175"/>
  <c r="F18" i="175"/>
  <c r="F17" i="175"/>
  <c r="F16" i="175"/>
  <c r="F15" i="175"/>
  <c r="F14" i="175"/>
  <c r="F13" i="175"/>
  <c r="F12" i="175"/>
  <c r="F11" i="175"/>
  <c r="F10" i="175"/>
  <c r="F9" i="175"/>
  <c r="F8" i="175"/>
  <c r="F7" i="175"/>
  <c r="F6" i="175"/>
  <c r="F5" i="175"/>
  <c r="F4" i="175"/>
  <c r="Q43" i="128" l="1"/>
  <c r="F115" i="175"/>
  <c r="F114" i="175"/>
  <c r="E18" i="128"/>
  <c r="N18" i="128" s="1"/>
  <c r="N17" i="128" s="1"/>
  <c r="M18" i="128"/>
  <c r="E16" i="128"/>
  <c r="M78" i="128"/>
  <c r="N78" i="128" s="1"/>
  <c r="Q78" i="128" s="1"/>
  <c r="U78" i="128" s="1"/>
  <c r="L78" i="128"/>
  <c r="V78" i="128" s="1"/>
  <c r="M77" i="128"/>
  <c r="N77" i="128" s="1"/>
  <c r="Q77" i="128" s="1"/>
  <c r="U77" i="128" s="1"/>
  <c r="L77" i="128"/>
  <c r="V77" i="128" s="1"/>
  <c r="M76" i="128"/>
  <c r="N76" i="128" s="1"/>
  <c r="Q76" i="128" s="1"/>
  <c r="U76" i="128" s="1"/>
  <c r="L76" i="128"/>
  <c r="V76" i="128" s="1"/>
  <c r="M75" i="128"/>
  <c r="N75" i="128" s="1"/>
  <c r="Q75" i="128" s="1"/>
  <c r="U75" i="128" s="1"/>
  <c r="L75" i="128"/>
  <c r="V75" i="128" s="1"/>
  <c r="M74" i="128"/>
  <c r="N74" i="128" s="1"/>
  <c r="Q74" i="128" s="1"/>
  <c r="U74" i="128" s="1"/>
  <c r="L74" i="128"/>
  <c r="V74" i="128" s="1"/>
  <c r="M73" i="128"/>
  <c r="N73" i="128" s="1"/>
  <c r="Q73" i="128" s="1"/>
  <c r="U73" i="128" s="1"/>
  <c r="L73" i="128"/>
  <c r="V73" i="128" s="1"/>
  <c r="M72" i="128"/>
  <c r="N72" i="128" s="1"/>
  <c r="Q72" i="128" s="1"/>
  <c r="U72" i="128" s="1"/>
  <c r="L72" i="128"/>
  <c r="V72" i="128" s="1"/>
  <c r="M71" i="128"/>
  <c r="L71" i="128"/>
  <c r="V71" i="128" s="1"/>
  <c r="M70" i="128"/>
  <c r="L70" i="128"/>
  <c r="M69" i="128"/>
  <c r="N69" i="128" s="1"/>
  <c r="Q69" i="128" s="1"/>
  <c r="U69" i="128" s="1"/>
  <c r="L69" i="128"/>
  <c r="V69" i="128" s="1"/>
  <c r="M68" i="128"/>
  <c r="N68" i="128" s="1"/>
  <c r="Q68" i="128" s="1"/>
  <c r="U68" i="128" s="1"/>
  <c r="L68" i="128"/>
  <c r="V68" i="128" s="1"/>
  <c r="M67" i="128"/>
  <c r="N67" i="128" s="1"/>
  <c r="Q67" i="128" s="1"/>
  <c r="U67" i="128" s="1"/>
  <c r="L67" i="128"/>
  <c r="V67" i="128" s="1"/>
  <c r="M66" i="128"/>
  <c r="N66" i="128" s="1"/>
  <c r="Q66" i="128" s="1"/>
  <c r="U66" i="128" s="1"/>
  <c r="L66" i="128"/>
  <c r="V66" i="128" s="1"/>
  <c r="M65" i="128"/>
  <c r="N65" i="128" s="1"/>
  <c r="Q65" i="128" s="1"/>
  <c r="U65" i="128" s="1"/>
  <c r="L65" i="128"/>
  <c r="V65" i="128" s="1"/>
  <c r="M64" i="128"/>
  <c r="N64" i="128" s="1"/>
  <c r="Q64" i="128" s="1"/>
  <c r="U64" i="128" s="1"/>
  <c r="L64" i="128"/>
  <c r="V64" i="128" s="1"/>
  <c r="M63" i="128"/>
  <c r="N63" i="128" s="1"/>
  <c r="Q63" i="128" s="1"/>
  <c r="U63" i="128" s="1"/>
  <c r="L63" i="128"/>
  <c r="V63" i="128" s="1"/>
  <c r="M62" i="128"/>
  <c r="N62" i="128" s="1"/>
  <c r="Q62" i="128" s="1"/>
  <c r="U62" i="128" s="1"/>
  <c r="L62" i="128"/>
  <c r="V62" i="128" s="1"/>
  <c r="M61" i="128"/>
  <c r="N61" i="128" s="1"/>
  <c r="Q61" i="128" s="1"/>
  <c r="U61" i="128" s="1"/>
  <c r="L61" i="128"/>
  <c r="V61" i="128" s="1"/>
  <c r="M60" i="128"/>
  <c r="N60" i="128" s="1"/>
  <c r="Q60" i="128" s="1"/>
  <c r="U60" i="128" s="1"/>
  <c r="L60" i="128"/>
  <c r="V60" i="128" s="1"/>
  <c r="M59" i="128"/>
  <c r="N59" i="128" s="1"/>
  <c r="Q59" i="128" s="1"/>
  <c r="U59" i="128" s="1"/>
  <c r="L59" i="128"/>
  <c r="V59" i="128" s="1"/>
  <c r="M58" i="128"/>
  <c r="N58" i="128" s="1"/>
  <c r="Q58" i="128" s="1"/>
  <c r="U58" i="128" s="1"/>
  <c r="L58" i="128"/>
  <c r="V58" i="128" s="1"/>
  <c r="M30" i="128"/>
  <c r="Q30" i="128" s="1"/>
  <c r="U30" i="128" s="1"/>
  <c r="L30" i="128"/>
  <c r="V30" i="128" s="1"/>
  <c r="M26" i="128"/>
  <c r="L26" i="128"/>
  <c r="M25" i="128"/>
  <c r="L25" i="128"/>
  <c r="M24" i="128"/>
  <c r="Q24" i="128" s="1"/>
  <c r="U24" i="128" s="1"/>
  <c r="L24" i="128"/>
  <c r="V24" i="128" s="1"/>
  <c r="M23" i="128"/>
  <c r="L23" i="128"/>
  <c r="V23" i="128" s="1"/>
  <c r="M19" i="128"/>
  <c r="L19" i="128"/>
  <c r="V19" i="128" s="1"/>
  <c r="L18" i="128"/>
  <c r="M17" i="128"/>
  <c r="L17" i="128"/>
  <c r="L16" i="128"/>
  <c r="M15" i="128"/>
  <c r="L15" i="128"/>
  <c r="V15" i="128" s="1"/>
  <c r="M14" i="128"/>
  <c r="Q14" i="128" s="1"/>
  <c r="U14" i="128" s="1"/>
  <c r="L14" i="128"/>
  <c r="V14" i="128" s="1"/>
  <c r="M13" i="128"/>
  <c r="L13" i="128"/>
  <c r="M39" i="128"/>
  <c r="N39" i="128" s="1"/>
  <c r="L39" i="128"/>
  <c r="V39" i="128" s="1"/>
  <c r="M38" i="128"/>
  <c r="L38" i="128"/>
  <c r="V38" i="128" s="1"/>
  <c r="M37" i="128"/>
  <c r="Q37" i="128" s="1"/>
  <c r="U37" i="128" s="1"/>
  <c r="L37" i="128"/>
  <c r="V37" i="128" s="1"/>
  <c r="M36" i="128"/>
  <c r="V36" i="128"/>
  <c r="M35" i="128"/>
  <c r="L35" i="128"/>
  <c r="M34" i="128"/>
  <c r="Q34" i="128" s="1"/>
  <c r="U34" i="128" s="1"/>
  <c r="V34" i="128"/>
  <c r="M33" i="128"/>
  <c r="Q33" i="128" s="1"/>
  <c r="U33" i="128" s="1"/>
  <c r="L33" i="128"/>
  <c r="V33" i="128" s="1"/>
  <c r="M32" i="128"/>
  <c r="Q32" i="128" s="1"/>
  <c r="U32" i="128" s="1"/>
  <c r="L32" i="128"/>
  <c r="V32" i="128" s="1"/>
  <c r="M53" i="128"/>
  <c r="L53" i="128"/>
  <c r="M45" i="128"/>
  <c r="N45" i="128" s="1"/>
  <c r="Q45" i="128" s="1"/>
  <c r="U45" i="128" s="1"/>
  <c r="L45" i="128"/>
  <c r="V45" i="128" s="1"/>
  <c r="V42" i="128" s="1"/>
  <c r="V41" i="128" s="1"/>
  <c r="M42" i="128"/>
  <c r="L42" i="128"/>
  <c r="M41" i="128"/>
  <c r="L41" i="128"/>
  <c r="M54" i="128"/>
  <c r="L54" i="128"/>
  <c r="V54" i="128" s="1"/>
  <c r="M56" i="128"/>
  <c r="Q56" i="128" s="1"/>
  <c r="U56" i="128" s="1"/>
  <c r="L56" i="128"/>
  <c r="V56" i="128" s="1"/>
  <c r="L57" i="128"/>
  <c r="V57" i="128" s="1"/>
  <c r="M57" i="128"/>
  <c r="N57" i="128" s="1"/>
  <c r="Q57" i="128" s="1"/>
  <c r="U57" i="128" s="1"/>
  <c r="Q39" i="128" l="1"/>
  <c r="U39" i="128" s="1"/>
  <c r="N35" i="128"/>
  <c r="V21" i="128"/>
  <c r="Q71" i="128"/>
  <c r="N70" i="128"/>
  <c r="H16" i="128"/>
  <c r="N16" i="128" s="1"/>
  <c r="Q16" i="128" s="1"/>
  <c r="U16" i="128" s="1"/>
  <c r="Q54" i="128"/>
  <c r="N53" i="128"/>
  <c r="V25" i="128"/>
  <c r="V53" i="128"/>
  <c r="V35" i="128"/>
  <c r="Q36" i="128"/>
  <c r="N42" i="128"/>
  <c r="N41" i="128" s="1"/>
  <c r="V70" i="128"/>
  <c r="U43" i="128"/>
  <c r="U42" i="128" s="1"/>
  <c r="U41" i="128" s="1"/>
  <c r="Q42" i="128"/>
  <c r="Q41" i="128" s="1"/>
  <c r="F116" i="175"/>
  <c r="Q19" i="128"/>
  <c r="Q13" i="128"/>
  <c r="Q15" i="128"/>
  <c r="U15" i="128" s="1"/>
  <c r="Q38" i="128"/>
  <c r="V18" i="128"/>
  <c r="V17" i="128" s="1"/>
  <c r="Q18" i="128"/>
  <c r="Q23" i="128"/>
  <c r="U23" i="128" s="1"/>
  <c r="V13" i="128"/>
  <c r="V16" i="128"/>
  <c r="Q35" i="128" l="1"/>
  <c r="U18" i="128"/>
  <c r="Q17" i="128"/>
  <c r="U21" i="128"/>
  <c r="Q21" i="128"/>
  <c r="V12" i="128"/>
  <c r="U54" i="128"/>
  <c r="U53" i="128" s="1"/>
  <c r="Q53" i="128"/>
  <c r="M16" i="128"/>
  <c r="U36" i="128"/>
  <c r="N21" i="128"/>
  <c r="U71" i="128"/>
  <c r="U70" i="128" s="1"/>
  <c r="Q70" i="128"/>
  <c r="V110" i="128"/>
  <c r="F117" i="175"/>
  <c r="E118" i="175"/>
  <c r="F118" i="175" s="1"/>
  <c r="U13" i="128"/>
  <c r="U12" i="128" s="1"/>
  <c r="Q12" i="128"/>
  <c r="N12" i="128"/>
  <c r="U19" i="128"/>
  <c r="U38" i="128"/>
  <c r="E50" i="169"/>
  <c r="E49" i="169"/>
  <c r="E48" i="169"/>
  <c r="E49" i="170"/>
  <c r="E48" i="170"/>
  <c r="E47" i="170"/>
  <c r="E14" i="169"/>
  <c r="E13" i="170"/>
  <c r="U35" i="128" l="1"/>
  <c r="U17" i="128"/>
  <c r="V111" i="128"/>
  <c r="V112" i="128" s="1"/>
  <c r="V79" i="128" l="1"/>
  <c r="W88" i="194"/>
  <c r="W32" i="194"/>
  <c r="W27" i="194"/>
  <c r="W56" i="128"/>
  <c r="W24" i="128"/>
  <c r="W18" i="128"/>
  <c r="W30" i="128"/>
  <c r="W23" i="128"/>
  <c r="W53" i="194"/>
  <c r="W40" i="194"/>
  <c r="W35" i="194"/>
  <c r="W71" i="128"/>
  <c r="W44" i="128"/>
  <c r="W27" i="128"/>
  <c r="W54" i="128"/>
  <c r="W50" i="194"/>
  <c r="W39" i="194"/>
  <c r="W43" i="128"/>
  <c r="W37" i="128"/>
  <c r="W31" i="194"/>
  <c r="W49" i="194"/>
  <c r="W38" i="194"/>
  <c r="W36" i="128"/>
  <c r="W32" i="128"/>
  <c r="W45" i="194"/>
  <c r="W89" i="194"/>
  <c r="W43" i="194"/>
  <c r="W54" i="194"/>
  <c r="W55" i="128"/>
  <c r="W70" i="194"/>
  <c r="W55" i="194"/>
  <c r="W44" i="194"/>
  <c r="W38" i="128"/>
  <c r="W33" i="128"/>
  <c r="W41" i="194"/>
  <c r="W37" i="194"/>
  <c r="W36" i="194"/>
  <c r="W29" i="128"/>
  <c r="W28" i="128"/>
  <c r="W34" i="128"/>
  <c r="E47" i="169"/>
  <c r="E46" i="170"/>
  <c r="X36" i="194" l="1"/>
  <c r="X49" i="194"/>
  <c r="X27" i="128"/>
  <c r="X43" i="194"/>
  <c r="X44" i="128"/>
  <c r="X31" i="194"/>
  <c r="X89" i="194"/>
  <c r="X43" i="128"/>
  <c r="X54" i="194"/>
  <c r="X45" i="194"/>
  <c r="X35" i="194"/>
  <c r="X27" i="194"/>
  <c r="X44" i="194"/>
  <c r="X39" i="194"/>
  <c r="X40" i="194"/>
  <c r="X32" i="194"/>
  <c r="X41" i="194"/>
  <c r="X28" i="128"/>
  <c r="X55" i="194"/>
  <c r="X50" i="194"/>
  <c r="X53" i="194"/>
  <c r="X88" i="194"/>
  <c r="X37" i="194"/>
  <c r="X29" i="128"/>
  <c r="X70" i="194"/>
  <c r="X38" i="194"/>
  <c r="X69" i="194" l="1"/>
  <c r="X48" i="194"/>
  <c r="X47" i="194" s="1"/>
  <c r="X34" i="194"/>
  <c r="X33" i="194" s="1"/>
  <c r="X29" i="194"/>
  <c r="X26" i="194"/>
  <c r="X42" i="194"/>
  <c r="X52" i="194"/>
  <c r="X26" i="128"/>
  <c r="I8" i="170"/>
  <c r="H8" i="170" s="1"/>
  <c r="I9" i="170"/>
  <c r="H9" i="170" s="1"/>
  <c r="I10" i="170"/>
  <c r="H10" i="170" s="1"/>
  <c r="I11" i="170"/>
  <c r="H11" i="170" s="1"/>
  <c r="I7" i="170"/>
  <c r="H7" i="170" s="1"/>
  <c r="E38" i="170"/>
  <c r="E43" i="170"/>
  <c r="E42" i="170"/>
  <c r="E41" i="170"/>
  <c r="E40" i="170"/>
  <c r="E37" i="170"/>
  <c r="E36" i="170"/>
  <c r="E33" i="170"/>
  <c r="E29" i="170"/>
  <c r="E27" i="170"/>
  <c r="E26" i="170"/>
  <c r="E25" i="170"/>
  <c r="E22" i="170"/>
  <c r="E20" i="170"/>
  <c r="E19" i="170"/>
  <c r="E16" i="170"/>
  <c r="E15" i="170"/>
  <c r="B8" i="170"/>
  <c r="B9" i="170" s="1"/>
  <c r="B10" i="170" s="1"/>
  <c r="B11" i="170" s="1"/>
  <c r="B12" i="170" s="1"/>
  <c r="B13" i="170" s="1"/>
  <c r="B14" i="170" s="1"/>
  <c r="B15" i="170" s="1"/>
  <c r="B16" i="170" s="1"/>
  <c r="B17" i="170" s="1"/>
  <c r="B18" i="170" s="1"/>
  <c r="B19" i="170" s="1"/>
  <c r="B20" i="170" s="1"/>
  <c r="B21" i="170" s="1"/>
  <c r="B22" i="170" s="1"/>
  <c r="B23" i="170" s="1"/>
  <c r="B24" i="170" s="1"/>
  <c r="B25" i="170" s="1"/>
  <c r="B26" i="170" s="1"/>
  <c r="B27" i="170" s="1"/>
  <c r="B28" i="170" s="1"/>
  <c r="B29" i="170" s="1"/>
  <c r="B30" i="170" s="1"/>
  <c r="B31" i="170" s="1"/>
  <c r="B32" i="170" s="1"/>
  <c r="B33" i="170" s="1"/>
  <c r="B34" i="170" s="1"/>
  <c r="B35" i="170" s="1"/>
  <c r="B36" i="170" s="1"/>
  <c r="B37" i="170" s="1"/>
  <c r="B38" i="170" s="1"/>
  <c r="B39" i="170" s="1"/>
  <c r="B40" i="170" s="1"/>
  <c r="B41" i="170" s="1"/>
  <c r="B42" i="170" s="1"/>
  <c r="B43" i="170" s="1"/>
  <c r="B44" i="170" s="1"/>
  <c r="B2" i="170"/>
  <c r="E44" i="169"/>
  <c r="E43" i="169"/>
  <c r="E42" i="169"/>
  <c r="E41" i="169"/>
  <c r="E37" i="169"/>
  <c r="E39" i="169" s="1"/>
  <c r="E34" i="169"/>
  <c r="E30" i="169"/>
  <c r="E28" i="169"/>
  <c r="E27" i="169"/>
  <c r="E26" i="169"/>
  <c r="E23" i="169"/>
  <c r="E21" i="169"/>
  <c r="E20" i="169"/>
  <c r="E17" i="169"/>
  <c r="E16" i="169"/>
  <c r="B9" i="169"/>
  <c r="B10" i="169" s="1"/>
  <c r="B11" i="169" s="1"/>
  <c r="B12" i="169" s="1"/>
  <c r="B13" i="169" s="1"/>
  <c r="B14" i="169" s="1"/>
  <c r="B2" i="169"/>
  <c r="F40" i="163"/>
  <c r="D40" i="163"/>
  <c r="F37" i="163"/>
  <c r="F36" i="163"/>
  <c r="F17" i="163"/>
  <c r="F16" i="163"/>
  <c r="F7" i="163"/>
  <c r="F6" i="163"/>
  <c r="X78" i="194" l="1"/>
  <c r="X13" i="194" s="1"/>
  <c r="B45" i="170"/>
  <c r="B46" i="170" s="1"/>
  <c r="B47" i="170" s="1"/>
  <c r="B48" i="170" s="1"/>
  <c r="B49" i="170" s="1"/>
  <c r="B50" i="170" s="1"/>
  <c r="E39" i="170"/>
  <c r="E34" i="170"/>
  <c r="E35" i="169"/>
  <c r="E38" i="169"/>
  <c r="E40" i="169"/>
  <c r="B15" i="169"/>
  <c r="B16" i="169" s="1"/>
  <c r="E36" i="169"/>
  <c r="B17" i="169" l="1"/>
  <c r="B18" i="169" s="1"/>
  <c r="B19" i="169" s="1"/>
  <c r="B20" i="169" s="1"/>
  <c r="B21" i="169" s="1"/>
  <c r="B22" i="169" s="1"/>
  <c r="B23" i="169" s="1"/>
  <c r="B24" i="169" s="1"/>
  <c r="B25" i="169" s="1"/>
  <c r="B26" i="169" s="1"/>
  <c r="B27" i="169" s="1"/>
  <c r="B28" i="169" s="1"/>
  <c r="B29" i="169" s="1"/>
  <c r="B30" i="169" s="1"/>
  <c r="B31" i="169" s="1"/>
  <c r="B32" i="169" s="1"/>
  <c r="B33" i="169" s="1"/>
  <c r="B34" i="169" s="1"/>
  <c r="B35" i="169" s="1"/>
  <c r="B36" i="169" s="1"/>
  <c r="B37" i="169" s="1"/>
  <c r="B38" i="169" s="1"/>
  <c r="B39" i="169" s="1"/>
  <c r="B40" i="169" s="1"/>
  <c r="B41" i="169" s="1"/>
  <c r="B42" i="169" s="1"/>
  <c r="B43" i="169" s="1"/>
  <c r="B44" i="169" s="1"/>
  <c r="C7" i="33"/>
  <c r="C6" i="33"/>
  <c r="B45" i="169" l="1"/>
  <c r="C5" i="33"/>
  <c r="B46" i="169" l="1"/>
  <c r="B47" i="169" s="1"/>
  <c r="B48" i="169" s="1"/>
  <c r="B49" i="169" s="1"/>
  <c r="B50" i="169" s="1"/>
  <c r="B51" i="169" s="1"/>
  <c r="F35" i="163" l="1"/>
  <c r="F41" i="163" l="1"/>
  <c r="F38" i="163"/>
  <c r="C41" i="163"/>
  <c r="F30" i="163"/>
  <c r="D30" i="163"/>
  <c r="F27" i="163"/>
  <c r="F26" i="163"/>
  <c r="D20" i="163"/>
  <c r="Y121" i="194" l="1"/>
  <c r="Y97" i="194"/>
  <c r="Y88" i="194"/>
  <c r="Y70" i="194"/>
  <c r="Y64" i="194"/>
  <c r="Y31" i="194"/>
  <c r="Y30" i="194"/>
  <c r="Y27" i="194"/>
  <c r="Y114" i="194"/>
  <c r="Y100" i="194"/>
  <c r="Y66" i="194"/>
  <c r="Y45" i="194"/>
  <c r="Y98" i="194"/>
  <c r="Y72" i="194"/>
  <c r="Y68" i="194"/>
  <c r="Y58" i="194"/>
  <c r="Y43" i="194"/>
  <c r="Y38" i="194"/>
  <c r="Y119" i="194"/>
  <c r="Y53" i="194"/>
  <c r="Y29" i="194"/>
  <c r="AA29" i="194" s="1"/>
  <c r="AD29" i="194" s="1"/>
  <c r="Y75" i="194"/>
  <c r="Y28" i="194"/>
  <c r="Y91" i="194"/>
  <c r="Y90" i="194"/>
  <c r="Y89" i="194"/>
  <c r="Y77" i="194"/>
  <c r="Y65" i="194"/>
  <c r="Y62" i="194"/>
  <c r="Y55" i="194"/>
  <c r="Y49" i="194"/>
  <c r="Y39" i="194"/>
  <c r="Y25" i="194"/>
  <c r="Y22" i="194"/>
  <c r="Y74" i="194"/>
  <c r="Y73" i="194"/>
  <c r="Y59" i="194"/>
  <c r="Y50" i="194"/>
  <c r="Y44" i="194"/>
  <c r="Y40" i="194"/>
  <c r="Y36" i="194"/>
  <c r="Y32" i="194"/>
  <c r="Y60" i="194"/>
  <c r="Y71" i="194"/>
  <c r="Y63" i="194"/>
  <c r="Y56" i="194"/>
  <c r="Y54" i="194"/>
  <c r="Y24" i="194"/>
  <c r="Y23" i="194"/>
  <c r="Y127" i="194"/>
  <c r="Y126" i="194"/>
  <c r="Y117" i="194"/>
  <c r="Y96" i="194"/>
  <c r="Y95" i="194"/>
  <c r="Y76" i="194"/>
  <c r="Y67" i="194"/>
  <c r="Y61" i="194"/>
  <c r="Y57" i="194"/>
  <c r="Y51" i="194"/>
  <c r="Y46" i="194"/>
  <c r="Y41" i="194"/>
  <c r="Y37" i="194"/>
  <c r="Y35" i="194"/>
  <c r="Y26" i="194"/>
  <c r="AA26" i="194" s="1"/>
  <c r="AD26" i="194" s="1"/>
  <c r="AH36" i="128"/>
  <c r="F25" i="163"/>
  <c r="F15" i="163"/>
  <c r="AG50" i="194" l="1"/>
  <c r="AA50" i="194"/>
  <c r="AD50" i="194" s="1"/>
  <c r="AH50" i="194"/>
  <c r="Z50" i="194"/>
  <c r="AC50" i="194" s="1"/>
  <c r="AE50" i="194" s="1"/>
  <c r="AH44" i="128"/>
  <c r="AA44" i="128"/>
  <c r="AD44" i="128" s="1"/>
  <c r="AG44" i="128"/>
  <c r="Z44" i="128"/>
  <c r="AC44" i="128" s="1"/>
  <c r="AE44" i="128" s="1"/>
  <c r="AA35" i="194"/>
  <c r="AH35" i="194"/>
  <c r="AG35" i="194"/>
  <c r="Z35" i="194"/>
  <c r="AG76" i="194"/>
  <c r="AH76" i="194"/>
  <c r="AA76" i="194"/>
  <c r="AD76" i="194" s="1"/>
  <c r="Z76" i="194"/>
  <c r="AC76" i="194" s="1"/>
  <c r="AE76" i="194" s="1"/>
  <c r="AG54" i="194"/>
  <c r="AH54" i="194"/>
  <c r="AA54" i="194"/>
  <c r="AD54" i="194" s="1"/>
  <c r="Z54" i="194"/>
  <c r="AC54" i="194" s="1"/>
  <c r="AE54" i="194" s="1"/>
  <c r="AA44" i="194"/>
  <c r="AD44" i="194" s="1"/>
  <c r="AG44" i="194"/>
  <c r="AH44" i="194"/>
  <c r="Z44" i="194"/>
  <c r="AC44" i="194" s="1"/>
  <c r="AE44" i="194" s="1"/>
  <c r="AH49" i="194"/>
  <c r="AA49" i="194"/>
  <c r="AG49" i="194"/>
  <c r="Z49" i="194"/>
  <c r="AH28" i="194"/>
  <c r="Z28" i="194"/>
  <c r="AC28" i="194" s="1"/>
  <c r="AE28" i="194" s="1"/>
  <c r="AG28" i="194"/>
  <c r="AA28" i="194"/>
  <c r="AD28" i="194" s="1"/>
  <c r="Z68" i="194"/>
  <c r="AC68" i="194" s="1"/>
  <c r="AE68" i="194" s="1"/>
  <c r="AA68" i="194"/>
  <c r="AD68" i="194" s="1"/>
  <c r="AH30" i="194"/>
  <c r="AG30" i="194"/>
  <c r="AA30" i="194"/>
  <c r="AD30" i="194" s="1"/>
  <c r="Z30" i="194"/>
  <c r="AA37" i="194"/>
  <c r="AD37" i="194" s="1"/>
  <c r="AH37" i="194"/>
  <c r="AG37" i="194"/>
  <c r="Z37" i="194"/>
  <c r="AC37" i="194" s="1"/>
  <c r="AE37" i="194" s="1"/>
  <c r="AH55" i="194"/>
  <c r="AG55" i="194"/>
  <c r="AA55" i="194"/>
  <c r="AD55" i="194" s="1"/>
  <c r="Z55" i="194"/>
  <c r="AC55" i="194" s="1"/>
  <c r="AE55" i="194" s="1"/>
  <c r="AA96" i="194"/>
  <c r="AD96" i="194" s="1"/>
  <c r="Z96" i="194"/>
  <c r="AC96" i="194" s="1"/>
  <c r="Z62" i="194"/>
  <c r="AC62" i="194" s="1"/>
  <c r="AE62" i="194" s="1"/>
  <c r="AA62" i="194"/>
  <c r="AD62" i="194" s="1"/>
  <c r="AG29" i="128"/>
  <c r="AH29" i="128"/>
  <c r="AA29" i="128"/>
  <c r="AD29" i="128" s="1"/>
  <c r="Z29" i="128"/>
  <c r="AC29" i="128" s="1"/>
  <c r="AE29" i="128" s="1"/>
  <c r="AH46" i="194"/>
  <c r="AG46" i="194"/>
  <c r="Z46" i="194"/>
  <c r="AC46" i="194" s="1"/>
  <c r="AE46" i="194" s="1"/>
  <c r="AA46" i="194"/>
  <c r="AD46" i="194" s="1"/>
  <c r="AA117" i="194"/>
  <c r="AD117" i="194" s="1"/>
  <c r="Z117" i="194"/>
  <c r="AC117" i="194" s="1"/>
  <c r="AG71" i="194"/>
  <c r="AH71" i="194"/>
  <c r="Z71" i="194"/>
  <c r="AC71" i="194" s="1"/>
  <c r="AE71" i="194" s="1"/>
  <c r="AA71" i="194"/>
  <c r="AD71" i="194" s="1"/>
  <c r="AH73" i="194"/>
  <c r="AG73" i="194"/>
  <c r="AA73" i="194"/>
  <c r="AD73" i="194" s="1"/>
  <c r="Z73" i="194"/>
  <c r="AC73" i="194" s="1"/>
  <c r="AE73" i="194" s="1"/>
  <c r="AG65" i="194"/>
  <c r="AH65" i="194"/>
  <c r="Z65" i="194"/>
  <c r="AC65" i="194" s="1"/>
  <c r="AE65" i="194" s="1"/>
  <c r="AA65" i="194"/>
  <c r="AD65" i="194" s="1"/>
  <c r="AH53" i="194"/>
  <c r="AA53" i="194"/>
  <c r="AG53" i="194"/>
  <c r="Z53" i="194"/>
  <c r="AG45" i="194"/>
  <c r="AH45" i="194"/>
  <c r="AA45" i="194"/>
  <c r="AD45" i="194" s="1"/>
  <c r="Z45" i="194"/>
  <c r="AC45" i="194" s="1"/>
  <c r="AE45" i="194" s="1"/>
  <c r="AG70" i="194"/>
  <c r="AH70" i="194"/>
  <c r="AA70" i="194"/>
  <c r="Z70" i="194"/>
  <c r="AG43" i="128"/>
  <c r="AH43" i="128"/>
  <c r="AA43" i="128"/>
  <c r="AD43" i="128" s="1"/>
  <c r="Z43" i="128"/>
  <c r="AC43" i="128" s="1"/>
  <c r="AE43" i="128" s="1"/>
  <c r="AH31" i="194"/>
  <c r="AG31" i="194"/>
  <c r="AA31" i="194"/>
  <c r="AD31" i="194" s="1"/>
  <c r="Z31" i="194"/>
  <c r="AC31" i="194" s="1"/>
  <c r="AE31" i="194" s="1"/>
  <c r="AG59" i="194"/>
  <c r="AH59" i="194"/>
  <c r="Z59" i="194"/>
  <c r="AC59" i="194" s="1"/>
  <c r="AE59" i="194" s="1"/>
  <c r="AA59" i="194"/>
  <c r="AD59" i="194" s="1"/>
  <c r="AG28" i="128"/>
  <c r="AA28" i="128"/>
  <c r="AD28" i="128" s="1"/>
  <c r="AH28" i="128"/>
  <c r="Z28" i="128"/>
  <c r="AC28" i="128" s="1"/>
  <c r="AE28" i="128" s="1"/>
  <c r="AG51" i="194"/>
  <c r="AH51" i="194"/>
  <c r="AA51" i="194"/>
  <c r="AD51" i="194" s="1"/>
  <c r="Z51" i="194"/>
  <c r="AC51" i="194" s="1"/>
  <c r="AE51" i="194" s="1"/>
  <c r="AA126" i="194"/>
  <c r="Z126" i="194"/>
  <c r="AH60" i="194"/>
  <c r="Z60" i="194"/>
  <c r="AC60" i="194" s="1"/>
  <c r="AE60" i="194" s="1"/>
  <c r="AG60" i="194"/>
  <c r="AA60" i="194"/>
  <c r="AD60" i="194" s="1"/>
  <c r="AH74" i="194"/>
  <c r="Z74" i="194"/>
  <c r="AC74" i="194" s="1"/>
  <c r="AE74" i="194" s="1"/>
  <c r="AG74" i="194"/>
  <c r="AA74" i="194"/>
  <c r="AD74" i="194" s="1"/>
  <c r="AH77" i="194"/>
  <c r="AG77" i="194"/>
  <c r="Z77" i="194"/>
  <c r="AC77" i="194" s="1"/>
  <c r="AE77" i="194" s="1"/>
  <c r="AA77" i="194"/>
  <c r="AD77" i="194" s="1"/>
  <c r="AA119" i="194"/>
  <c r="AD119" i="194" s="1"/>
  <c r="Z119" i="194"/>
  <c r="AC119" i="194" s="1"/>
  <c r="AG66" i="194"/>
  <c r="AH66" i="194"/>
  <c r="AA66" i="194"/>
  <c r="AD66" i="194" s="1"/>
  <c r="Z66" i="194"/>
  <c r="AC66" i="194" s="1"/>
  <c r="AE66" i="194" s="1"/>
  <c r="AH88" i="194"/>
  <c r="AA88" i="194"/>
  <c r="AD88" i="194" s="1"/>
  <c r="AG88" i="194"/>
  <c r="Z88" i="194"/>
  <c r="AC88" i="194" s="1"/>
  <c r="AE88" i="194" s="1"/>
  <c r="AA95" i="194"/>
  <c r="AD95" i="194" s="1"/>
  <c r="Z95" i="194"/>
  <c r="AH75" i="194"/>
  <c r="AA75" i="194"/>
  <c r="AD75" i="194" s="1"/>
  <c r="AG75" i="194"/>
  <c r="Z75" i="194"/>
  <c r="AC75" i="194" s="1"/>
  <c r="AE75" i="194" s="1"/>
  <c r="AA41" i="194"/>
  <c r="AD41" i="194" s="1"/>
  <c r="AG41" i="194"/>
  <c r="AH41" i="194"/>
  <c r="Z41" i="194"/>
  <c r="AC41" i="194" s="1"/>
  <c r="AE41" i="194" s="1"/>
  <c r="AG64" i="194"/>
  <c r="AH64" i="194"/>
  <c r="Z64" i="194"/>
  <c r="AC64" i="194" s="1"/>
  <c r="AE64" i="194" s="1"/>
  <c r="AA64" i="194"/>
  <c r="AD64" i="194" s="1"/>
  <c r="AH57" i="194"/>
  <c r="AG57" i="194"/>
  <c r="AA57" i="194"/>
  <c r="AD57" i="194" s="1"/>
  <c r="Z57" i="194"/>
  <c r="AC57" i="194" s="1"/>
  <c r="AE57" i="194" s="1"/>
  <c r="AA127" i="194"/>
  <c r="Z127" i="194"/>
  <c r="AH32" i="194"/>
  <c r="AA32" i="194"/>
  <c r="AD32" i="194" s="1"/>
  <c r="AG32" i="194"/>
  <c r="Z32" i="194"/>
  <c r="AC32" i="194" s="1"/>
  <c r="AE32" i="194" s="1"/>
  <c r="AG22" i="194"/>
  <c r="AH22" i="194"/>
  <c r="AA22" i="194"/>
  <c r="Z22" i="194"/>
  <c r="AH89" i="194"/>
  <c r="AA89" i="194"/>
  <c r="AD89" i="194" s="1"/>
  <c r="AG89" i="194"/>
  <c r="Z89" i="194"/>
  <c r="AC89" i="194" s="1"/>
  <c r="AG38" i="194"/>
  <c r="AH38" i="194"/>
  <c r="AA38" i="194"/>
  <c r="AD38" i="194" s="1"/>
  <c r="Z38" i="194"/>
  <c r="AC38" i="194" s="1"/>
  <c r="AE38" i="194" s="1"/>
  <c r="Z100" i="194"/>
  <c r="AC100" i="194" s="1"/>
  <c r="AA100" i="194"/>
  <c r="AD100" i="194" s="1"/>
  <c r="AA97" i="194"/>
  <c r="AD97" i="194" s="1"/>
  <c r="Z97" i="194"/>
  <c r="AH61" i="194"/>
  <c r="AG61" i="194"/>
  <c r="AA61" i="194"/>
  <c r="AD61" i="194" s="1"/>
  <c r="Z61" i="194"/>
  <c r="AC61" i="194" s="1"/>
  <c r="AE61" i="194" s="1"/>
  <c r="AH23" i="194"/>
  <c r="AG23" i="194"/>
  <c r="AA23" i="194"/>
  <c r="AD23" i="194" s="1"/>
  <c r="Z23" i="194"/>
  <c r="AC23" i="194" s="1"/>
  <c r="AE23" i="194" s="1"/>
  <c r="AH36" i="194"/>
  <c r="AG36" i="194"/>
  <c r="AA36" i="194"/>
  <c r="AD36" i="194" s="1"/>
  <c r="Z36" i="194"/>
  <c r="AC36" i="194" s="1"/>
  <c r="AE36" i="194" s="1"/>
  <c r="AH25" i="194"/>
  <c r="AG25" i="194"/>
  <c r="AA25" i="194"/>
  <c r="AD25" i="194" s="1"/>
  <c r="Z25" i="194"/>
  <c r="AC25" i="194" s="1"/>
  <c r="AE25" i="194" s="1"/>
  <c r="AA90" i="194"/>
  <c r="AD90" i="194" s="1"/>
  <c r="Z90" i="194"/>
  <c r="AC90" i="194" s="1"/>
  <c r="AE90" i="194" s="1"/>
  <c r="AH43" i="194"/>
  <c r="AA43" i="194"/>
  <c r="Z43" i="194"/>
  <c r="AA114" i="194"/>
  <c r="AD114" i="194" s="1"/>
  <c r="Z114" i="194"/>
  <c r="AC114" i="194" s="1"/>
  <c r="AA121" i="194"/>
  <c r="AD121" i="194" s="1"/>
  <c r="Z121" i="194"/>
  <c r="AC121" i="194" s="1"/>
  <c r="AG56" i="194"/>
  <c r="AH56" i="194"/>
  <c r="Z56" i="194"/>
  <c r="AC56" i="194" s="1"/>
  <c r="AE56" i="194" s="1"/>
  <c r="AA56" i="194"/>
  <c r="AD56" i="194" s="1"/>
  <c r="AG72" i="194"/>
  <c r="AH72" i="194"/>
  <c r="AA72" i="194"/>
  <c r="AD72" i="194" s="1"/>
  <c r="Z72" i="194"/>
  <c r="AC72" i="194" s="1"/>
  <c r="AE72" i="194" s="1"/>
  <c r="AG27" i="128"/>
  <c r="AH27" i="128"/>
  <c r="AA27" i="128"/>
  <c r="Z27" i="128"/>
  <c r="AG63" i="194"/>
  <c r="AH63" i="194"/>
  <c r="Z63" i="194"/>
  <c r="AC63" i="194" s="1"/>
  <c r="AE63" i="194" s="1"/>
  <c r="AA63" i="194"/>
  <c r="AD63" i="194" s="1"/>
  <c r="Z98" i="194"/>
  <c r="AC98" i="194" s="1"/>
  <c r="AA98" i="194"/>
  <c r="AD98" i="194" s="1"/>
  <c r="AH67" i="194"/>
  <c r="AG67" i="194"/>
  <c r="Z67" i="194"/>
  <c r="AC67" i="194" s="1"/>
  <c r="AE67" i="194" s="1"/>
  <c r="AA67" i="194"/>
  <c r="AD67" i="194" s="1"/>
  <c r="AG24" i="194"/>
  <c r="AH24" i="194"/>
  <c r="Z24" i="194"/>
  <c r="AC24" i="194" s="1"/>
  <c r="AE24" i="194" s="1"/>
  <c r="AA24" i="194"/>
  <c r="AD24" i="194" s="1"/>
  <c r="AG40" i="194"/>
  <c r="AH40" i="194"/>
  <c r="AA40" i="194"/>
  <c r="AD40" i="194" s="1"/>
  <c r="Z40" i="194"/>
  <c r="AC40" i="194" s="1"/>
  <c r="AE40" i="194" s="1"/>
  <c r="AG39" i="194"/>
  <c r="AA39" i="194"/>
  <c r="AD39" i="194" s="1"/>
  <c r="AH39" i="194"/>
  <c r="Z39" i="194"/>
  <c r="AC39" i="194" s="1"/>
  <c r="AE39" i="194" s="1"/>
  <c r="AA91" i="194"/>
  <c r="AD91" i="194" s="1"/>
  <c r="Z91" i="194"/>
  <c r="AC91" i="194" s="1"/>
  <c r="AE91" i="194" s="1"/>
  <c r="AG58" i="194"/>
  <c r="AH58" i="194"/>
  <c r="AA58" i="194"/>
  <c r="AD58" i="194" s="1"/>
  <c r="Z58" i="194"/>
  <c r="AC58" i="194" s="1"/>
  <c r="AE58" i="194" s="1"/>
  <c r="AA27" i="194"/>
  <c r="AD27" i="194" s="1"/>
  <c r="AH27" i="194"/>
  <c r="AG27" i="194"/>
  <c r="Z27" i="194"/>
  <c r="AA20" i="128"/>
  <c r="AD20" i="128" s="1"/>
  <c r="AG20" i="128"/>
  <c r="AH20" i="128"/>
  <c r="Z20" i="128"/>
  <c r="AC20" i="128" s="1"/>
  <c r="AE20" i="128" s="1"/>
  <c r="AH57" i="128"/>
  <c r="AG57" i="128"/>
  <c r="AG59" i="128"/>
  <c r="AH59" i="128"/>
  <c r="AG26" i="128"/>
  <c r="AH26" i="128"/>
  <c r="AG62" i="128"/>
  <c r="AH62" i="128"/>
  <c r="AH33" i="128"/>
  <c r="AG33" i="128"/>
  <c r="AG67" i="128"/>
  <c r="AH67" i="128"/>
  <c r="AH61" i="128"/>
  <c r="AG61" i="128"/>
  <c r="AG19" i="128"/>
  <c r="AH19" i="128"/>
  <c r="AH38" i="128"/>
  <c r="AG38" i="128"/>
  <c r="AG64" i="128"/>
  <c r="AH64" i="128"/>
  <c r="AH72" i="128"/>
  <c r="AG72" i="128"/>
  <c r="AG65" i="128"/>
  <c r="AH65" i="128"/>
  <c r="AG58" i="128"/>
  <c r="AH58" i="128"/>
  <c r="AG22" i="128"/>
  <c r="AH22" i="128"/>
  <c r="AG74" i="128"/>
  <c r="AH74" i="128"/>
  <c r="AG55" i="128"/>
  <c r="AH55" i="128"/>
  <c r="AG73" i="128"/>
  <c r="AH73" i="128"/>
  <c r="AH66" i="128"/>
  <c r="AG66" i="128"/>
  <c r="AH60" i="128"/>
  <c r="AG60" i="128"/>
  <c r="AH76" i="128"/>
  <c r="AG76" i="128"/>
  <c r="AG77" i="128"/>
  <c r="AH77" i="128"/>
  <c r="AH53" i="128"/>
  <c r="AG53" i="128"/>
  <c r="AH32" i="128"/>
  <c r="AG32" i="128"/>
  <c r="AG68" i="128"/>
  <c r="AH68" i="128"/>
  <c r="AH13" i="128"/>
  <c r="AG13" i="128"/>
  <c r="AG78" i="128"/>
  <c r="AH78" i="128"/>
  <c r="AH24" i="128"/>
  <c r="AG24" i="128"/>
  <c r="AG37" i="128"/>
  <c r="AH37" i="128"/>
  <c r="AH39" i="128"/>
  <c r="AG39" i="128"/>
  <c r="AG71" i="128"/>
  <c r="AH71" i="128"/>
  <c r="AG45" i="128"/>
  <c r="AH45" i="128"/>
  <c r="AH16" i="128"/>
  <c r="AG16" i="128"/>
  <c r="AG75" i="128"/>
  <c r="AH75" i="128"/>
  <c r="AG54" i="128"/>
  <c r="AH54" i="128"/>
  <c r="AH56" i="128"/>
  <c r="AG56" i="128"/>
  <c r="AG15" i="128"/>
  <c r="AH15" i="128"/>
  <c r="AG34" i="128"/>
  <c r="AH34" i="128"/>
  <c r="AH23" i="128"/>
  <c r="AG23" i="128"/>
  <c r="AH18" i="128"/>
  <c r="AG18" i="128"/>
  <c r="AG14" i="128"/>
  <c r="AH14" i="128"/>
  <c r="AG30" i="128"/>
  <c r="AH30" i="128"/>
  <c r="F31" i="163"/>
  <c r="C31" i="163"/>
  <c r="AG112" i="128" l="1"/>
  <c r="AH112" i="128"/>
  <c r="Z21" i="194"/>
  <c r="AC22" i="194"/>
  <c r="AE22" i="194" s="1"/>
  <c r="AE127" i="194"/>
  <c r="AH127" i="194"/>
  <c r="AC30" i="194"/>
  <c r="Z29" i="194"/>
  <c r="AC27" i="194"/>
  <c r="AE27" i="194" s="1"/>
  <c r="Z26" i="194"/>
  <c r="AC26" i="194" s="1"/>
  <c r="AC27" i="128"/>
  <c r="Z26" i="128"/>
  <c r="Z42" i="194"/>
  <c r="AC43" i="194"/>
  <c r="Y93" i="194"/>
  <c r="Z93" i="194" s="1"/>
  <c r="AD27" i="128"/>
  <c r="AD26" i="128" s="1"/>
  <c r="AA26" i="128"/>
  <c r="AA42" i="194"/>
  <c r="AD43" i="194"/>
  <c r="AD42" i="194" s="1"/>
  <c r="AE97" i="194"/>
  <c r="AC97" i="194"/>
  <c r="AC70" i="194"/>
  <c r="AE70" i="194" s="1"/>
  <c r="Z69" i="194"/>
  <c r="AC69" i="194" s="1"/>
  <c r="AE69" i="194" s="1"/>
  <c r="AC53" i="194"/>
  <c r="Z52" i="194"/>
  <c r="Z48" i="194"/>
  <c r="Z47" i="194" s="1"/>
  <c r="AC49" i="194"/>
  <c r="AC35" i="194"/>
  <c r="Z34" i="194"/>
  <c r="Z33" i="194" s="1"/>
  <c r="AA21" i="194"/>
  <c r="AD22" i="194"/>
  <c r="AA69" i="194"/>
  <c r="AD69" i="194" s="1"/>
  <c r="AD70" i="194"/>
  <c r="AC95" i="194"/>
  <c r="AE95" i="194"/>
  <c r="AD53" i="194"/>
  <c r="AD52" i="194" s="1"/>
  <c r="AA52" i="194"/>
  <c r="AD49" i="194"/>
  <c r="AD48" i="194" s="1"/>
  <c r="AA48" i="194"/>
  <c r="AA47" i="194" s="1"/>
  <c r="AD47" i="194" s="1"/>
  <c r="AD35" i="194"/>
  <c r="AD34" i="194" s="1"/>
  <c r="AD33" i="194" s="1"/>
  <c r="AA34" i="194"/>
  <c r="AA33" i="194" s="1"/>
  <c r="F28" i="163"/>
  <c r="F20" i="163"/>
  <c r="F18" i="163"/>
  <c r="F10" i="163"/>
  <c r="D10" i="163"/>
  <c r="F8" i="163"/>
  <c r="M124" i="128"/>
  <c r="M31" i="128"/>
  <c r="AC93" i="194" l="1"/>
  <c r="AC94" i="194" s="1"/>
  <c r="AC92" i="194" s="1"/>
  <c r="Z92" i="194"/>
  <c r="Z94" i="194"/>
  <c r="AD21" i="194"/>
  <c r="AD78" i="194" s="1"/>
  <c r="AD13" i="194" s="1"/>
  <c r="AD81" i="194" s="1"/>
  <c r="AA78" i="194"/>
  <c r="AA13" i="194" s="1"/>
  <c r="AA79" i="194" s="1"/>
  <c r="AA80" i="194" s="1"/>
  <c r="AA81" i="194" s="1"/>
  <c r="AE30" i="194"/>
  <c r="AC29" i="194"/>
  <c r="AE43" i="194"/>
  <c r="AC42" i="194"/>
  <c r="AE42" i="194" s="1"/>
  <c r="AE53" i="194"/>
  <c r="AC52" i="194"/>
  <c r="AE35" i="194"/>
  <c r="AC34" i="194"/>
  <c r="AC33" i="194" s="1"/>
  <c r="AE49" i="194"/>
  <c r="AC48" i="194"/>
  <c r="AC26" i="128"/>
  <c r="AE27" i="128"/>
  <c r="Z78" i="194"/>
  <c r="Z13" i="194" s="1"/>
  <c r="I21" i="170"/>
  <c r="H21" i="170" s="1"/>
  <c r="I17" i="170"/>
  <c r="H17" i="170" s="1"/>
  <c r="I31" i="170"/>
  <c r="H31" i="170" s="1"/>
  <c r="I30" i="170"/>
  <c r="H30" i="170" s="1"/>
  <c r="I24" i="170"/>
  <c r="H24" i="170" s="1"/>
  <c r="I23" i="170"/>
  <c r="H23" i="170" s="1"/>
  <c r="I28" i="170"/>
  <c r="H28" i="170" s="1"/>
  <c r="I44" i="170"/>
  <c r="H44" i="170" s="1"/>
  <c r="I18" i="170"/>
  <c r="H18" i="170" s="1"/>
  <c r="C21" i="163"/>
  <c r="F21" i="163"/>
  <c r="F11" i="163"/>
  <c r="C11" i="163"/>
  <c r="Y9" i="194" l="1"/>
  <c r="Z9" i="194" s="1"/>
  <c r="AE48" i="194"/>
  <c r="AC47" i="194"/>
  <c r="AE47" i="194" s="1"/>
  <c r="Y10" i="194"/>
  <c r="G28" i="26"/>
  <c r="G29" i="26" s="1"/>
  <c r="Z8" i="194" l="1"/>
  <c r="Z79" i="194" s="1"/>
  <c r="Z80" i="194" s="1"/>
  <c r="Z81" i="194" s="1"/>
  <c r="AC9" i="194"/>
  <c r="AC8" i="194" s="1"/>
  <c r="Z11" i="194"/>
  <c r="AC11" i="194" s="1"/>
  <c r="AC78" i="194"/>
  <c r="AC13" i="194" s="1"/>
  <c r="AC81" i="194" l="1"/>
  <c r="B12" i="128" l="1"/>
  <c r="B13" i="128" s="1"/>
  <c r="B14" i="128" s="1"/>
  <c r="B15" i="128" s="1"/>
  <c r="B16" i="128" s="1"/>
  <c r="B17" i="128" s="1"/>
  <c r="B18" i="128" s="1"/>
  <c r="B19" i="128" s="1"/>
  <c r="B20" i="128" l="1"/>
  <c r="B21" i="128" s="1"/>
  <c r="B22" i="128" s="1"/>
  <c r="B23" i="128" s="1"/>
  <c r="F22" i="128" s="1"/>
  <c r="B24" i="128" l="1"/>
  <c r="B25" i="128" s="1"/>
  <c r="B26" i="128" s="1"/>
  <c r="B27" i="128" l="1"/>
  <c r="B28" i="128" l="1"/>
  <c r="B29" i="128" l="1"/>
  <c r="B30" i="128" s="1"/>
  <c r="U99" i="161" l="1"/>
  <c r="P99" i="161"/>
  <c r="L99" i="161"/>
  <c r="N99" i="161" s="1"/>
  <c r="W98" i="161"/>
  <c r="V98" i="161"/>
  <c r="U98" i="161"/>
  <c r="O98" i="161"/>
  <c r="M98" i="161"/>
  <c r="P98" i="161" s="1"/>
  <c r="L98" i="161"/>
  <c r="N98" i="161" s="1"/>
  <c r="N97" i="161"/>
  <c r="M97" i="161"/>
  <c r="P97" i="161" s="1"/>
  <c r="L97" i="161"/>
  <c r="W97" i="161" s="1"/>
  <c r="V96" i="161"/>
  <c r="U96" i="161"/>
  <c r="P96" i="161"/>
  <c r="O96" i="161"/>
  <c r="M96" i="161"/>
  <c r="L96" i="161"/>
  <c r="N96" i="161" s="1"/>
  <c r="W95" i="161"/>
  <c r="P95" i="161"/>
  <c r="M95" i="161"/>
  <c r="L95" i="161"/>
  <c r="X95" i="161" s="1"/>
  <c r="W94" i="161"/>
  <c r="V94" i="161"/>
  <c r="O94" i="161"/>
  <c r="N94" i="161"/>
  <c r="M94" i="161"/>
  <c r="P94" i="161" s="1"/>
  <c r="L94" i="161"/>
  <c r="X94" i="161" s="1"/>
  <c r="W93" i="161"/>
  <c r="V93" i="161"/>
  <c r="U93" i="161"/>
  <c r="N93" i="161"/>
  <c r="M93" i="161"/>
  <c r="P93" i="161" s="1"/>
  <c r="L93" i="161"/>
  <c r="O93" i="161" s="1"/>
  <c r="P92" i="161"/>
  <c r="L92" i="161"/>
  <c r="W91" i="161"/>
  <c r="V91" i="161"/>
  <c r="O91" i="161"/>
  <c r="N91" i="161"/>
  <c r="M91" i="161"/>
  <c r="P91" i="161" s="1"/>
  <c r="L91" i="161"/>
  <c r="X91" i="161" s="1"/>
  <c r="W90" i="161"/>
  <c r="V90" i="161"/>
  <c r="U90" i="161"/>
  <c r="N90" i="161"/>
  <c r="M90" i="161"/>
  <c r="P90" i="161" s="1"/>
  <c r="L90" i="161"/>
  <c r="O90" i="161" s="1"/>
  <c r="X89" i="161"/>
  <c r="P89" i="161"/>
  <c r="L89" i="161"/>
  <c r="V88" i="161"/>
  <c r="P88" i="161"/>
  <c r="O88" i="161"/>
  <c r="N88" i="161"/>
  <c r="L88" i="161"/>
  <c r="X88" i="161" s="1"/>
  <c r="AC84" i="161"/>
  <c r="X77" i="161"/>
  <c r="W77" i="161"/>
  <c r="V77" i="161"/>
  <c r="U77" i="161"/>
  <c r="T77" i="161"/>
  <c r="S77" i="161"/>
  <c r="R77" i="161"/>
  <c r="R50" i="161" s="1"/>
  <c r="Q77" i="161"/>
  <c r="Q49" i="161" s="1"/>
  <c r="P77" i="161"/>
  <c r="O77" i="161"/>
  <c r="N77" i="161"/>
  <c r="M76" i="161"/>
  <c r="L76" i="161"/>
  <c r="M75" i="161"/>
  <c r="L75" i="161"/>
  <c r="M74" i="161"/>
  <c r="L74" i="161"/>
  <c r="M73" i="161"/>
  <c r="L73" i="161"/>
  <c r="M72" i="161"/>
  <c r="L72" i="161"/>
  <c r="M71" i="161"/>
  <c r="L71" i="161"/>
  <c r="M70" i="161"/>
  <c r="L70" i="161"/>
  <c r="M69" i="161"/>
  <c r="L69" i="161"/>
  <c r="M68" i="161"/>
  <c r="L68" i="161"/>
  <c r="M67" i="161"/>
  <c r="L67" i="161"/>
  <c r="M66" i="161"/>
  <c r="L66" i="161"/>
  <c r="M65" i="161"/>
  <c r="L65" i="161"/>
  <c r="M64" i="161"/>
  <c r="L64" i="161"/>
  <c r="M63" i="161"/>
  <c r="L63" i="161"/>
  <c r="M62" i="161"/>
  <c r="L62" i="161"/>
  <c r="M61" i="161"/>
  <c r="L61" i="161"/>
  <c r="M60" i="161"/>
  <c r="L60" i="161"/>
  <c r="M59" i="161"/>
  <c r="L59" i="161"/>
  <c r="M58" i="161"/>
  <c r="L58" i="161"/>
  <c r="M57" i="161"/>
  <c r="L57" i="161"/>
  <c r="M56" i="161"/>
  <c r="L56" i="161"/>
  <c r="M55" i="161"/>
  <c r="L55" i="161"/>
  <c r="M54" i="161"/>
  <c r="L54" i="161"/>
  <c r="M53" i="161"/>
  <c r="L53" i="161"/>
  <c r="M52" i="161"/>
  <c r="L52" i="161"/>
  <c r="M51" i="161"/>
  <c r="L51" i="161"/>
  <c r="M50" i="161"/>
  <c r="L50" i="161"/>
  <c r="M49" i="161"/>
  <c r="L49" i="161"/>
  <c r="M48" i="161"/>
  <c r="L48" i="161"/>
  <c r="M47" i="161"/>
  <c r="L47" i="161"/>
  <c r="M46" i="161"/>
  <c r="L46" i="161"/>
  <c r="M45" i="161"/>
  <c r="L45" i="161"/>
  <c r="M44" i="161"/>
  <c r="L44" i="161"/>
  <c r="M43" i="161"/>
  <c r="L43" i="161"/>
  <c r="M42" i="161"/>
  <c r="L42" i="161"/>
  <c r="M41" i="161"/>
  <c r="L41" i="161"/>
  <c r="M40" i="161"/>
  <c r="L40" i="161"/>
  <c r="M39" i="161"/>
  <c r="L39" i="161"/>
  <c r="M38" i="161"/>
  <c r="L38" i="161"/>
  <c r="M37" i="161"/>
  <c r="L37" i="161"/>
  <c r="M36" i="161"/>
  <c r="L36" i="161"/>
  <c r="M35" i="161"/>
  <c r="L35" i="161"/>
  <c r="M34" i="161"/>
  <c r="L34" i="161"/>
  <c r="M33" i="161"/>
  <c r="L33" i="161"/>
  <c r="M32" i="161"/>
  <c r="L32" i="161"/>
  <c r="M31" i="161"/>
  <c r="L31" i="161"/>
  <c r="S29" i="161"/>
  <c r="D7" i="161"/>
  <c r="D6" i="161"/>
  <c r="O66" i="161" l="1"/>
  <c r="V92" i="161"/>
  <c r="U92" i="161"/>
  <c r="O92" i="161"/>
  <c r="N92" i="161"/>
  <c r="Y92" i="161" s="1"/>
  <c r="Z92" i="161" s="1"/>
  <c r="W92" i="161"/>
  <c r="X92" i="161"/>
  <c r="N43" i="161"/>
  <c r="N38" i="161"/>
  <c r="N68" i="161"/>
  <c r="N74" i="161"/>
  <c r="N65" i="161"/>
  <c r="N57" i="161"/>
  <c r="N66" i="161"/>
  <c r="N71" i="161"/>
  <c r="N70" i="161"/>
  <c r="N44" i="161"/>
  <c r="N36" i="161"/>
  <c r="N56" i="161"/>
  <c r="V35" i="161"/>
  <c r="N40" i="161"/>
  <c r="S63" i="161"/>
  <c r="S55" i="161"/>
  <c r="S62" i="161"/>
  <c r="S54" i="161"/>
  <c r="S59" i="161"/>
  <c r="S51" i="161"/>
  <c r="S56" i="161"/>
  <c r="S53" i="161"/>
  <c r="S60" i="161"/>
  <c r="S58" i="161"/>
  <c r="S57" i="161"/>
  <c r="T29" i="161"/>
  <c r="T70" i="161" s="1"/>
  <c r="N75" i="161"/>
  <c r="V65" i="161"/>
  <c r="V57" i="161"/>
  <c r="V47" i="161"/>
  <c r="V73" i="161"/>
  <c r="V46" i="161"/>
  <c r="V33" i="161"/>
  <c r="V69" i="161"/>
  <c r="V76" i="161"/>
  <c r="V41" i="161"/>
  <c r="V39" i="161"/>
  <c r="V38" i="161"/>
  <c r="V70" i="161"/>
  <c r="V50" i="161"/>
  <c r="V45" i="161"/>
  <c r="V37" i="161"/>
  <c r="V54" i="161"/>
  <c r="V59" i="161"/>
  <c r="V63" i="161"/>
  <c r="V32" i="161"/>
  <c r="V44" i="161"/>
  <c r="S61" i="161"/>
  <c r="N73" i="161"/>
  <c r="N34" i="161"/>
  <c r="L77" i="161"/>
  <c r="S52" i="161"/>
  <c r="N31" i="161"/>
  <c r="N41" i="161"/>
  <c r="V55" i="161"/>
  <c r="V89" i="161"/>
  <c r="U89" i="161"/>
  <c r="O89" i="161"/>
  <c r="N89" i="161"/>
  <c r="Y89" i="161" s="1"/>
  <c r="Z89" i="161" s="1"/>
  <c r="W89" i="161"/>
  <c r="M29" i="161"/>
  <c r="M77" i="161"/>
  <c r="U71" i="161"/>
  <c r="U68" i="161"/>
  <c r="U52" i="161"/>
  <c r="U42" i="161"/>
  <c r="U37" i="161"/>
  <c r="U67" i="161"/>
  <c r="U51" i="161"/>
  <c r="U49" i="161"/>
  <c r="U36" i="161"/>
  <c r="U31" i="161"/>
  <c r="U64" i="161"/>
  <c r="U46" i="161"/>
  <c r="U56" i="161"/>
  <c r="U95" i="161"/>
  <c r="O95" i="161"/>
  <c r="N95" i="161"/>
  <c r="V95" i="161"/>
  <c r="Y95" i="161" s="1"/>
  <c r="Z95" i="161" s="1"/>
  <c r="Y94" i="161"/>
  <c r="Z94" i="161" s="1"/>
  <c r="X97" i="161"/>
  <c r="O99" i="161"/>
  <c r="O97" i="161"/>
  <c r="Y97" i="161" s="1"/>
  <c r="Z97" i="161" s="1"/>
  <c r="X98" i="161"/>
  <c r="Y98" i="161" s="1"/>
  <c r="Z98" i="161" s="1"/>
  <c r="V99" i="161"/>
  <c r="O34" i="161"/>
  <c r="W38" i="161"/>
  <c r="W43" i="161"/>
  <c r="O47" i="161"/>
  <c r="W53" i="161"/>
  <c r="O57" i="161"/>
  <c r="W61" i="161"/>
  <c r="W69" i="161"/>
  <c r="O74" i="161"/>
  <c r="W76" i="161"/>
  <c r="U88" i="161"/>
  <c r="Y88" i="161" s="1"/>
  <c r="Z88" i="161" s="1"/>
  <c r="X90" i="161"/>
  <c r="Y90" i="161" s="1"/>
  <c r="Z90" i="161" s="1"/>
  <c r="U91" i="161"/>
  <c r="Y91" i="161" s="1"/>
  <c r="Z91" i="161" s="1"/>
  <c r="X93" i="161"/>
  <c r="Y93" i="161" s="1"/>
  <c r="Z93" i="161" s="1"/>
  <c r="U94" i="161"/>
  <c r="W96" i="161"/>
  <c r="Y96" i="161" s="1"/>
  <c r="Z96" i="161" s="1"/>
  <c r="W99" i="161"/>
  <c r="X96" i="161"/>
  <c r="U97" i="161"/>
  <c r="X99" i="161"/>
  <c r="Y99" i="161"/>
  <c r="Z99" i="161" s="1"/>
  <c r="W88" i="161"/>
  <c r="V97" i="161"/>
  <c r="O35" i="161"/>
  <c r="W39" i="161"/>
  <c r="O40" i="161"/>
  <c r="W44" i="161"/>
  <c r="O48" i="161"/>
  <c r="W54" i="161"/>
  <c r="O58" i="161"/>
  <c r="W62" i="161"/>
  <c r="W70" i="161"/>
  <c r="Y44" i="161" l="1"/>
  <c r="Z44" i="161" s="1"/>
  <c r="X67" i="161"/>
  <c r="X59" i="161"/>
  <c r="X51" i="161"/>
  <c r="X49" i="161"/>
  <c r="X41" i="161"/>
  <c r="X36" i="161"/>
  <c r="X31" i="161"/>
  <c r="O75" i="161"/>
  <c r="X73" i="161"/>
  <c r="X72" i="161"/>
  <c r="X66" i="161"/>
  <c r="X58" i="161"/>
  <c r="X48" i="161"/>
  <c r="X40" i="161"/>
  <c r="X35" i="161"/>
  <c r="O70" i="161"/>
  <c r="X55" i="161"/>
  <c r="O54" i="161"/>
  <c r="X50" i="161"/>
  <c r="W48" i="161"/>
  <c r="W40" i="161"/>
  <c r="W72" i="161"/>
  <c r="W66" i="161"/>
  <c r="X63" i="161"/>
  <c r="O62" i="161"/>
  <c r="W58" i="161"/>
  <c r="X45" i="161"/>
  <c r="O44" i="161"/>
  <c r="W75" i="161"/>
  <c r="U74" i="161"/>
  <c r="Y74" i="161" s="1"/>
  <c r="Z74" i="161" s="1"/>
  <c r="W71" i="161"/>
  <c r="X70" i="161"/>
  <c r="U69" i="161"/>
  <c r="O67" i="161"/>
  <c r="W52" i="161"/>
  <c r="W51" i="161"/>
  <c r="W50" i="161"/>
  <c r="X46" i="161"/>
  <c r="W45" i="161"/>
  <c r="X43" i="161"/>
  <c r="U40" i="161"/>
  <c r="W37" i="161"/>
  <c r="W36" i="161"/>
  <c r="X76" i="161"/>
  <c r="O68" i="161"/>
  <c r="Y68" i="161" s="1"/>
  <c r="Z68" i="161" s="1"/>
  <c r="X56" i="161"/>
  <c r="W55" i="161"/>
  <c r="X53" i="161"/>
  <c r="X47" i="161"/>
  <c r="W46" i="161"/>
  <c r="X44" i="161"/>
  <c r="U43" i="161"/>
  <c r="O41" i="161"/>
  <c r="Y41" i="161" s="1"/>
  <c r="Z41" i="161" s="1"/>
  <c r="U39" i="161"/>
  <c r="U38" i="161"/>
  <c r="W35" i="161"/>
  <c r="O31" i="161"/>
  <c r="W60" i="161"/>
  <c r="W59" i="161"/>
  <c r="W57" i="161"/>
  <c r="U55" i="161"/>
  <c r="O52" i="161"/>
  <c r="O50" i="161"/>
  <c r="U48" i="161"/>
  <c r="U47" i="161"/>
  <c r="O46" i="161"/>
  <c r="O45" i="161"/>
  <c r="U44" i="161"/>
  <c r="O43" i="161"/>
  <c r="O38" i="161"/>
  <c r="Y38" i="161" s="1"/>
  <c r="Z38" i="161" s="1"/>
  <c r="O37" i="161"/>
  <c r="O36" i="161"/>
  <c r="U35" i="161"/>
  <c r="W34" i="161"/>
  <c r="W33" i="161"/>
  <c r="X32" i="161"/>
  <c r="O76" i="161"/>
  <c r="W73" i="161"/>
  <c r="O72" i="161"/>
  <c r="X64" i="161"/>
  <c r="W63" i="161"/>
  <c r="X61" i="161"/>
  <c r="U58" i="161"/>
  <c r="U57" i="161"/>
  <c r="Y57" i="161" s="1"/>
  <c r="Z57" i="161" s="1"/>
  <c r="O56" i="161"/>
  <c r="Y56" i="161" s="1"/>
  <c r="Z56" i="161" s="1"/>
  <c r="O55" i="161"/>
  <c r="U54" i="161"/>
  <c r="O53" i="161"/>
  <c r="O49" i="161"/>
  <c r="U34" i="161"/>
  <c r="U33" i="161"/>
  <c r="W32" i="161"/>
  <c r="O73" i="161"/>
  <c r="X68" i="161"/>
  <c r="X65" i="161"/>
  <c r="W64" i="161"/>
  <c r="X62" i="161"/>
  <c r="U61" i="161"/>
  <c r="O59" i="161"/>
  <c r="X71" i="161"/>
  <c r="W49" i="161"/>
  <c r="X34" i="161"/>
  <c r="X52" i="161"/>
  <c r="X39" i="161"/>
  <c r="W67" i="161"/>
  <c r="U63" i="161"/>
  <c r="W42" i="161"/>
  <c r="O39" i="161"/>
  <c r="U53" i="161"/>
  <c r="W47" i="161"/>
  <c r="N33" i="161"/>
  <c r="N58" i="161"/>
  <c r="O71" i="161"/>
  <c r="Y71" i="161" s="1"/>
  <c r="Z71" i="161" s="1"/>
  <c r="X42" i="161"/>
  <c r="X75" i="161"/>
  <c r="X69" i="161"/>
  <c r="W65" i="161"/>
  <c r="X57" i="161"/>
  <c r="U32" i="161"/>
  <c r="W68" i="161"/>
  <c r="V62" i="161"/>
  <c r="W31" i="161"/>
  <c r="X74" i="161"/>
  <c r="V68" i="161"/>
  <c r="O64" i="161"/>
  <c r="O60" i="161"/>
  <c r="O51" i="161"/>
  <c r="W41" i="161"/>
  <c r="V31" i="161"/>
  <c r="O69" i="161"/>
  <c r="U65" i="161"/>
  <c r="O63" i="161"/>
  <c r="O61" i="161"/>
  <c r="X54" i="161"/>
  <c r="O42" i="161"/>
  <c r="X37" i="161"/>
  <c r="O32" i="161"/>
  <c r="U50" i="161"/>
  <c r="X33" i="161"/>
  <c r="U45" i="161"/>
  <c r="U76" i="161"/>
  <c r="U66" i="161"/>
  <c r="U62" i="161"/>
  <c r="W56" i="161"/>
  <c r="O33" i="161"/>
  <c r="U70" i="161"/>
  <c r="Y70" i="161" s="1"/>
  <c r="Z70" i="161" s="1"/>
  <c r="V66" i="161"/>
  <c r="X60" i="161"/>
  <c r="X38" i="161"/>
  <c r="V60" i="161"/>
  <c r="V51" i="161"/>
  <c r="V42" i="161"/>
  <c r="V56" i="161"/>
  <c r="N35" i="161"/>
  <c r="N45" i="161"/>
  <c r="N67" i="161"/>
  <c r="N47" i="161"/>
  <c r="N53" i="161"/>
  <c r="Y53" i="161" s="1"/>
  <c r="Z53" i="161" s="1"/>
  <c r="V72" i="161"/>
  <c r="T68" i="161"/>
  <c r="T66" i="161"/>
  <c r="T65" i="161"/>
  <c r="T69" i="161"/>
  <c r="T76" i="161"/>
  <c r="T64" i="161"/>
  <c r="Y36" i="161"/>
  <c r="Z36" i="161" s="1"/>
  <c r="Y43" i="161"/>
  <c r="Z43" i="161" s="1"/>
  <c r="U41" i="161"/>
  <c r="U60" i="161"/>
  <c r="V49" i="161"/>
  <c r="V52" i="161"/>
  <c r="V61" i="161"/>
  <c r="V64" i="161"/>
  <c r="V40" i="161"/>
  <c r="N48" i="161"/>
  <c r="Y48" i="161" s="1"/>
  <c r="Z48" i="161" s="1"/>
  <c r="N46" i="161"/>
  <c r="N32" i="161"/>
  <c r="N37" i="161"/>
  <c r="N61" i="161"/>
  <c r="N49" i="161"/>
  <c r="Y49" i="161" s="1"/>
  <c r="Z49" i="161" s="1"/>
  <c r="AC49" i="161" s="1"/>
  <c r="N50" i="161"/>
  <c r="N62" i="161"/>
  <c r="Y62" i="161" s="1"/>
  <c r="Z62" i="161" s="1"/>
  <c r="N42" i="161"/>
  <c r="N69" i="161"/>
  <c r="U72" i="161"/>
  <c r="W74" i="161"/>
  <c r="V58" i="161"/>
  <c r="V71" i="161"/>
  <c r="V43" i="161"/>
  <c r="V74" i="161"/>
  <c r="N59" i="161"/>
  <c r="N54" i="161"/>
  <c r="N39" i="161"/>
  <c r="N63" i="161"/>
  <c r="Y63" i="161" s="1"/>
  <c r="Z63" i="161" s="1"/>
  <c r="N52" i="161"/>
  <c r="N72" i="161"/>
  <c r="Y72" i="161" s="1"/>
  <c r="Z72" i="161" s="1"/>
  <c r="T67" i="161"/>
  <c r="P45" i="161"/>
  <c r="P32" i="161"/>
  <c r="P44" i="161"/>
  <c r="P39" i="161"/>
  <c r="P41" i="161"/>
  <c r="P31" i="161"/>
  <c r="Y31" i="161" s="1"/>
  <c r="P42" i="161"/>
  <c r="P40" i="161"/>
  <c r="Y40" i="161" s="1"/>
  <c r="Z40" i="161" s="1"/>
  <c r="P48" i="161"/>
  <c r="P47" i="161"/>
  <c r="P35" i="161"/>
  <c r="P34" i="161"/>
  <c r="Y34" i="161" s="1"/>
  <c r="Z34" i="161" s="1"/>
  <c r="P33" i="161"/>
  <c r="P36" i="161"/>
  <c r="P46" i="161"/>
  <c r="P38" i="161"/>
  <c r="P37" i="161"/>
  <c r="P43" i="161"/>
  <c r="O65" i="161"/>
  <c r="Y65" i="161" s="1"/>
  <c r="Z65" i="161" s="1"/>
  <c r="U73" i="161"/>
  <c r="U59" i="161"/>
  <c r="U75" i="161"/>
  <c r="Y75" i="161" s="1"/>
  <c r="Z75" i="161" s="1"/>
  <c r="V36" i="161"/>
  <c r="V75" i="161"/>
  <c r="V53" i="161"/>
  <c r="V34" i="161"/>
  <c r="V48" i="161"/>
  <c r="N55" i="161"/>
  <c r="N51" i="161"/>
  <c r="Y51" i="161" s="1"/>
  <c r="Z51" i="161" s="1"/>
  <c r="N64" i="161"/>
  <c r="N60" i="161"/>
  <c r="N76" i="161"/>
  <c r="Y76" i="161" s="1"/>
  <c r="Z76" i="161" s="1"/>
  <c r="V67" i="161"/>
  <c r="Z31" i="161" l="1"/>
  <c r="Y52" i="161"/>
  <c r="Z52" i="161" s="1"/>
  <c r="Y50" i="161"/>
  <c r="Z50" i="161" s="1"/>
  <c r="AC50" i="161" s="1"/>
  <c r="Y47" i="161"/>
  <c r="Z47" i="161" s="1"/>
  <c r="Y39" i="161"/>
  <c r="Z39" i="161" s="1"/>
  <c r="AC39" i="161" s="1"/>
  <c r="Y67" i="161"/>
  <c r="Z67" i="161" s="1"/>
  <c r="Y55" i="161"/>
  <c r="Z55" i="161" s="1"/>
  <c r="Y73" i="161"/>
  <c r="Z73" i="161" s="1"/>
  <c r="Y54" i="161"/>
  <c r="Z54" i="161" s="1"/>
  <c r="Y61" i="161"/>
  <c r="Z61" i="161" s="1"/>
  <c r="Y45" i="161"/>
  <c r="Z45" i="161" s="1"/>
  <c r="Y33" i="161"/>
  <c r="Z33" i="161" s="1"/>
  <c r="Y35" i="161"/>
  <c r="Z35" i="161" s="1"/>
  <c r="Y60" i="161"/>
  <c r="Z60" i="161" s="1"/>
  <c r="Y69" i="161"/>
  <c r="Z69" i="161" s="1"/>
  <c r="Y32" i="161"/>
  <c r="Z32" i="161" s="1"/>
  <c r="Y66" i="161"/>
  <c r="Z66" i="161" s="1"/>
  <c r="Y59" i="161"/>
  <c r="Z59" i="161" s="1"/>
  <c r="Y37" i="161"/>
  <c r="Z37" i="161" s="1"/>
  <c r="Y64" i="161"/>
  <c r="Z64" i="161" s="1"/>
  <c r="Y42" i="161"/>
  <c r="Z42" i="161" s="1"/>
  <c r="Y46" i="161"/>
  <c r="Z46" i="161" s="1"/>
  <c r="Y58" i="161"/>
  <c r="Z58" i="161" s="1"/>
  <c r="Z77" i="161" l="1"/>
  <c r="AC31" i="161"/>
  <c r="Y77" i="161"/>
  <c r="I36" i="170" l="1"/>
  <c r="H36" i="170" s="1"/>
  <c r="I33" i="170" l="1"/>
  <c r="H33" i="170" s="1"/>
  <c r="N31" i="128"/>
  <c r="Q31" i="128" l="1"/>
  <c r="N25" i="128"/>
  <c r="N110" i="128" s="1"/>
  <c r="U31" i="128" l="1"/>
  <c r="U25" i="128" s="1"/>
  <c r="U110" i="128" s="1"/>
  <c r="Q25" i="128"/>
  <c r="Q110" i="128" s="1"/>
  <c r="Q111" i="128" l="1"/>
  <c r="Q112" i="128" s="1"/>
  <c r="U111" i="128"/>
  <c r="U112" i="128" s="1"/>
  <c r="F25" i="26" l="1"/>
  <c r="G23" i="26"/>
  <c r="AI21" i="152" l="1"/>
  <c r="B6" i="127" l="1"/>
  <c r="A6" i="127"/>
  <c r="D129" i="152" l="1"/>
  <c r="E129" i="152" s="1"/>
  <c r="E126" i="152"/>
  <c r="D126" i="152"/>
  <c r="E123" i="152"/>
  <c r="E130" i="152" s="1"/>
  <c r="E133" i="152" s="1"/>
  <c r="D123" i="152"/>
  <c r="D101" i="152"/>
  <c r="E101" i="152" s="1"/>
  <c r="D99" i="152"/>
  <c r="E99" i="152" s="1"/>
  <c r="E96" i="152"/>
  <c r="D96" i="152"/>
  <c r="D93" i="152"/>
  <c r="E93" i="152" s="1"/>
  <c r="E102" i="152" s="1"/>
  <c r="E105" i="152" s="1"/>
  <c r="G75" i="152"/>
  <c r="H75" i="152" s="1"/>
  <c r="H74" i="152"/>
  <c r="G74" i="152"/>
  <c r="G73" i="152"/>
  <c r="H73" i="152" s="1"/>
  <c r="G72" i="152"/>
  <c r="H72" i="152" s="1"/>
  <c r="G71" i="152"/>
  <c r="H71" i="152" s="1"/>
  <c r="G69" i="152"/>
  <c r="H69" i="152" s="1"/>
  <c r="G65" i="152"/>
  <c r="H58" i="152"/>
  <c r="G58" i="152"/>
  <c r="U57" i="152"/>
  <c r="H57" i="152"/>
  <c r="T56" i="152"/>
  <c r="H56" i="152"/>
  <c r="S55" i="152"/>
  <c r="AD55" i="152" s="1"/>
  <c r="H55" i="152"/>
  <c r="R54" i="152"/>
  <c r="H54" i="152"/>
  <c r="F52" i="152"/>
  <c r="E52" i="152"/>
  <c r="D52" i="152"/>
  <c r="F48" i="152"/>
  <c r="O47" i="152"/>
  <c r="H47" i="152"/>
  <c r="G46" i="152"/>
  <c r="H46" i="152" s="1"/>
  <c r="P46" i="152" s="1"/>
  <c r="G45" i="152"/>
  <c r="H45" i="152" s="1"/>
  <c r="P45" i="152" s="1"/>
  <c r="G44" i="152"/>
  <c r="H44" i="152" s="1"/>
  <c r="P44" i="152" s="1"/>
  <c r="G43" i="152"/>
  <c r="H43" i="152" s="1"/>
  <c r="P43" i="152" s="1"/>
  <c r="H38" i="152"/>
  <c r="D37" i="152"/>
  <c r="G34" i="152"/>
  <c r="F34" i="152"/>
  <c r="E34" i="152"/>
  <c r="D34" i="152"/>
  <c r="J33" i="152"/>
  <c r="I33" i="152"/>
  <c r="T33" i="152" s="1"/>
  <c r="H33" i="152"/>
  <c r="K32" i="152"/>
  <c r="AC32" i="152" s="1"/>
  <c r="J32" i="152"/>
  <c r="I32" i="152"/>
  <c r="H32" i="152"/>
  <c r="J31" i="152"/>
  <c r="I31" i="152"/>
  <c r="H31" i="152"/>
  <c r="T30" i="152"/>
  <c r="K30" i="152"/>
  <c r="J30" i="152"/>
  <c r="I30" i="152"/>
  <c r="H30" i="152"/>
  <c r="J29" i="152"/>
  <c r="I29" i="152"/>
  <c r="H29" i="152"/>
  <c r="J28" i="152"/>
  <c r="I28" i="152"/>
  <c r="H28" i="152"/>
  <c r="K27" i="152"/>
  <c r="AC27" i="152" s="1"/>
  <c r="J27" i="152"/>
  <c r="I27" i="152"/>
  <c r="H27" i="152"/>
  <c r="J26" i="152"/>
  <c r="I26" i="152"/>
  <c r="H26" i="152"/>
  <c r="AI25" i="152"/>
  <c r="J25" i="152"/>
  <c r="I25" i="152"/>
  <c r="H25" i="152"/>
  <c r="J24" i="152"/>
  <c r="I24" i="152"/>
  <c r="H24" i="152"/>
  <c r="K23" i="152"/>
  <c r="J23" i="152"/>
  <c r="I23" i="152"/>
  <c r="H23" i="152"/>
  <c r="AI22" i="152"/>
  <c r="O22" i="152"/>
  <c r="K22" i="152"/>
  <c r="AC22" i="152" s="1"/>
  <c r="J22" i="152"/>
  <c r="I22" i="152"/>
  <c r="H22" i="152"/>
  <c r="J21" i="152"/>
  <c r="I21" i="152"/>
  <c r="H21" i="152"/>
  <c r="K20" i="152"/>
  <c r="J20" i="152"/>
  <c r="I20" i="152"/>
  <c r="H20" i="152"/>
  <c r="N19" i="152"/>
  <c r="K19" i="152"/>
  <c r="AC19" i="152" s="1"/>
  <c r="J19" i="152"/>
  <c r="I19" i="152"/>
  <c r="H19" i="152"/>
  <c r="J18" i="152"/>
  <c r="I18" i="152"/>
  <c r="T20" i="152" s="1"/>
  <c r="H18" i="152"/>
  <c r="K17" i="152"/>
  <c r="J17" i="152"/>
  <c r="I17" i="152"/>
  <c r="H17" i="152"/>
  <c r="H16" i="152"/>
  <c r="F16" i="152"/>
  <c r="E16" i="152"/>
  <c r="D16" i="152"/>
  <c r="G14" i="152"/>
  <c r="G35" i="152" s="1"/>
  <c r="G39" i="152" s="1"/>
  <c r="F14" i="152"/>
  <c r="E14" i="152"/>
  <c r="E35" i="152" s="1"/>
  <c r="D14" i="152"/>
  <c r="D35" i="152" s="1"/>
  <c r="K13" i="152"/>
  <c r="AC13" i="152" s="1"/>
  <c r="I13" i="152"/>
  <c r="H13" i="152"/>
  <c r="N12" i="152"/>
  <c r="N22" i="152" s="1"/>
  <c r="H12" i="152"/>
  <c r="AE43" i="152" l="1"/>
  <c r="AD43" i="152"/>
  <c r="P19" i="152"/>
  <c r="P63" i="152" s="1"/>
  <c r="P64" i="152" s="1"/>
  <c r="Y43" i="152"/>
  <c r="P20" i="152"/>
  <c r="AD44" i="152"/>
  <c r="Y44" i="152"/>
  <c r="AE44" i="152" s="1"/>
  <c r="P27" i="152"/>
  <c r="AE45" i="152"/>
  <c r="AD45" i="152"/>
  <c r="Y45" i="152"/>
  <c r="P31" i="152"/>
  <c r="AD46" i="152"/>
  <c r="Y46" i="152"/>
  <c r="AE46" i="152" s="1"/>
  <c r="J63" i="152"/>
  <c r="J64" i="152" s="1"/>
  <c r="H14" i="152"/>
  <c r="AC17" i="152"/>
  <c r="L17" i="152"/>
  <c r="D80" i="152"/>
  <c r="H37" i="152"/>
  <c r="O17" i="152"/>
  <c r="O19" i="152"/>
  <c r="T23" i="152"/>
  <c r="O31" i="152"/>
  <c r="T31" i="152"/>
  <c r="K31" i="152"/>
  <c r="AC31" i="152" s="1"/>
  <c r="T17" i="152"/>
  <c r="AC20" i="152"/>
  <c r="E39" i="152"/>
  <c r="E37" i="152"/>
  <c r="E80" i="152" s="1"/>
  <c r="T19" i="152"/>
  <c r="O25" i="152"/>
  <c r="O23" i="152"/>
  <c r="AC30" i="152"/>
  <c r="L30" i="152"/>
  <c r="Q30" i="152" s="1"/>
  <c r="F35" i="152"/>
  <c r="F39" i="152" s="1"/>
  <c r="F49" i="152" s="1"/>
  <c r="F59" i="152" s="1"/>
  <c r="H34" i="152"/>
  <c r="AC23" i="152"/>
  <c r="M32" i="152"/>
  <c r="Q32" i="152" s="1"/>
  <c r="O18" i="152"/>
  <c r="T22" i="152"/>
  <c r="O27" i="152"/>
  <c r="T32" i="152"/>
  <c r="L18" i="152"/>
  <c r="Q18" i="152" s="1"/>
  <c r="T18" i="152"/>
  <c r="K18" i="152"/>
  <c r="AC18" i="152" s="1"/>
  <c r="O32" i="152"/>
  <c r="L23" i="152"/>
  <c r="Q23" i="152" s="1"/>
  <c r="O28" i="152"/>
  <c r="T26" i="152"/>
  <c r="N32" i="152"/>
  <c r="N28" i="152"/>
  <c r="N25" i="152"/>
  <c r="AD12" i="152"/>
  <c r="N21" i="152"/>
  <c r="N18" i="152"/>
  <c r="Y12" i="152"/>
  <c r="AE12" i="152" s="1"/>
  <c r="N31" i="152"/>
  <c r="N24" i="152"/>
  <c r="N27" i="152"/>
  <c r="N17" i="152"/>
  <c r="N20" i="152"/>
  <c r="N30" i="152"/>
  <c r="N23" i="152"/>
  <c r="N33" i="152"/>
  <c r="N26" i="152"/>
  <c r="N29" i="152"/>
  <c r="D39" i="152"/>
  <c r="L20" i="152"/>
  <c r="Q20" i="152" s="1"/>
  <c r="O30" i="152"/>
  <c r="M21" i="152"/>
  <c r="M17" i="152"/>
  <c r="M20" i="152"/>
  <c r="AE13" i="152"/>
  <c r="M26" i="152"/>
  <c r="O21" i="152"/>
  <c r="L21" i="152"/>
  <c r="T21" i="152"/>
  <c r="K21" i="152"/>
  <c r="AC21" i="152" s="1"/>
  <c r="AD13" i="152"/>
  <c r="M18" i="152"/>
  <c r="O24" i="152"/>
  <c r="T24" i="152"/>
  <c r="K24" i="152"/>
  <c r="AC24" i="152" s="1"/>
  <c r="M23" i="152"/>
  <c r="L27" i="152"/>
  <c r="T27" i="152"/>
  <c r="O29" i="152"/>
  <c r="M30" i="152"/>
  <c r="O26" i="152"/>
  <c r="O33" i="152"/>
  <c r="O20" i="152"/>
  <c r="M24" i="152"/>
  <c r="K25" i="152"/>
  <c r="T25" i="152"/>
  <c r="K28" i="152"/>
  <c r="T28" i="152"/>
  <c r="M31" i="152"/>
  <c r="G42" i="152"/>
  <c r="I63" i="152"/>
  <c r="I64" i="152" s="1"/>
  <c r="L13" i="152"/>
  <c r="L19" i="152"/>
  <c r="L22" i="152"/>
  <c r="M25" i="152"/>
  <c r="M28" i="152"/>
  <c r="K29" i="152"/>
  <c r="L29" i="152" s="1"/>
  <c r="T29" i="152"/>
  <c r="L32" i="152"/>
  <c r="Y55" i="152"/>
  <c r="AE55" i="152" s="1"/>
  <c r="H65" i="152"/>
  <c r="Y13" i="152"/>
  <c r="M19" i="152"/>
  <c r="M22" i="152"/>
  <c r="Q22" i="152" s="1"/>
  <c r="K26" i="152"/>
  <c r="K33" i="152"/>
  <c r="O63" i="152" l="1"/>
  <c r="O64" i="152" s="1"/>
  <c r="N63" i="152"/>
  <c r="N64" i="152" s="1"/>
  <c r="K63" i="152"/>
  <c r="K64" i="152" s="1"/>
  <c r="AC28" i="152"/>
  <c r="L28" i="152"/>
  <c r="Q28" i="152"/>
  <c r="H80" i="152"/>
  <c r="Q19" i="152"/>
  <c r="Q17" i="152"/>
  <c r="D41" i="152"/>
  <c r="H39" i="152"/>
  <c r="L31" i="152"/>
  <c r="H35" i="152"/>
  <c r="E49" i="152"/>
  <c r="E59" i="152" s="1"/>
  <c r="E41" i="152"/>
  <c r="E48" i="152" s="1"/>
  <c r="Q21" i="152"/>
  <c r="AC33" i="152"/>
  <c r="L33" i="152"/>
  <c r="M29" i="152"/>
  <c r="Q29" i="152" s="1"/>
  <c r="M27" i="152"/>
  <c r="Q27" i="152" s="1"/>
  <c r="L24" i="152"/>
  <c r="M33" i="152"/>
  <c r="Q31" i="152"/>
  <c r="H42" i="152"/>
  <c r="G48" i="152"/>
  <c r="G49" i="152" s="1"/>
  <c r="AC29" i="152"/>
  <c r="F61" i="152"/>
  <c r="F62" i="152" s="1"/>
  <c r="F63" i="152" s="1"/>
  <c r="F68" i="152" s="1"/>
  <c r="AC26" i="152"/>
  <c r="L26" i="152"/>
  <c r="Q26" i="152" s="1"/>
  <c r="AC25" i="152"/>
  <c r="AC63" i="152" s="1"/>
  <c r="L25" i="152"/>
  <c r="T63" i="152"/>
  <c r="T64" i="152" s="1"/>
  <c r="F76" i="152" l="1"/>
  <c r="H68" i="152"/>
  <c r="L63" i="152"/>
  <c r="L64" i="152" s="1"/>
  <c r="M63" i="152"/>
  <c r="M64" i="152" s="1"/>
  <c r="Q33" i="152"/>
  <c r="Q24" i="152"/>
  <c r="E61" i="152"/>
  <c r="E62" i="152" s="1"/>
  <c r="E63" i="152"/>
  <c r="E67" i="152" s="1"/>
  <c r="H41" i="152"/>
  <c r="D48" i="152"/>
  <c r="Q25" i="152"/>
  <c r="R24" i="152" l="1"/>
  <c r="E76" i="152"/>
  <c r="H67" i="152"/>
  <c r="Q63" i="152"/>
  <c r="S25" i="152" s="1"/>
  <c r="H48" i="152"/>
  <c r="D49" i="152"/>
  <c r="F77" i="152"/>
  <c r="F78" i="152" s="1"/>
  <c r="AD25" i="152" l="1"/>
  <c r="R33" i="152"/>
  <c r="R25" i="152"/>
  <c r="S33" i="152"/>
  <c r="U24" i="152"/>
  <c r="D59" i="152"/>
  <c r="H49" i="152"/>
  <c r="G51" i="152" s="1"/>
  <c r="Q64" i="152"/>
  <c r="S30" i="152"/>
  <c r="S20" i="152"/>
  <c r="R30" i="152"/>
  <c r="S23" i="152"/>
  <c r="S22" i="152"/>
  <c r="R20" i="152"/>
  <c r="R22" i="152"/>
  <c r="R18" i="152"/>
  <c r="R23" i="152"/>
  <c r="S32" i="152"/>
  <c r="R32" i="152"/>
  <c r="S18" i="152"/>
  <c r="R26" i="152"/>
  <c r="S19" i="152"/>
  <c r="R28" i="152"/>
  <c r="S21" i="152"/>
  <c r="R19" i="152"/>
  <c r="S27" i="152"/>
  <c r="R29" i="152"/>
  <c r="S31" i="152"/>
  <c r="S17" i="152"/>
  <c r="R27" i="152"/>
  <c r="S26" i="152"/>
  <c r="S28" i="152"/>
  <c r="R17" i="152"/>
  <c r="R21" i="152"/>
  <c r="S29" i="152"/>
  <c r="R31" i="152"/>
  <c r="S24" i="152"/>
  <c r="E77" i="152"/>
  <c r="E78" i="152" s="1"/>
  <c r="AD18" i="152" l="1"/>
  <c r="AD29" i="152"/>
  <c r="AD33" i="152"/>
  <c r="AD27" i="152"/>
  <c r="U25" i="152"/>
  <c r="V25" i="152" s="1"/>
  <c r="U19" i="152"/>
  <c r="V19" i="152"/>
  <c r="U33" i="152"/>
  <c r="V33" i="152" s="1"/>
  <c r="V28" i="152"/>
  <c r="U28" i="152"/>
  <c r="U27" i="152"/>
  <c r="V27" i="152" s="1"/>
  <c r="AD19" i="152"/>
  <c r="U20" i="152"/>
  <c r="V20" i="152" s="1"/>
  <c r="D61" i="152"/>
  <c r="AD24" i="152"/>
  <c r="V26" i="152"/>
  <c r="U26" i="152"/>
  <c r="U31" i="152"/>
  <c r="V31" i="152" s="1"/>
  <c r="AD23" i="152"/>
  <c r="U29" i="152"/>
  <c r="V29" i="152"/>
  <c r="V30" i="152"/>
  <c r="U30" i="152"/>
  <c r="AD32" i="152"/>
  <c r="U23" i="152"/>
  <c r="V23" i="152" s="1"/>
  <c r="AD21" i="152"/>
  <c r="U18" i="152"/>
  <c r="V18" i="152" s="1"/>
  <c r="S63" i="152"/>
  <c r="AD17" i="152"/>
  <c r="AD22" i="152"/>
  <c r="AD31" i="152"/>
  <c r="V24" i="152"/>
  <c r="V32" i="152"/>
  <c r="U32" i="152"/>
  <c r="U21" i="152"/>
  <c r="V21" i="152" s="1"/>
  <c r="AD20" i="152"/>
  <c r="R63" i="152"/>
  <c r="R64" i="152" s="1"/>
  <c r="U17" i="152"/>
  <c r="U63" i="152" s="1"/>
  <c r="U64" i="152" s="1"/>
  <c r="AD30" i="152"/>
  <c r="AD28" i="152"/>
  <c r="AD26" i="152"/>
  <c r="U22" i="152"/>
  <c r="V22" i="152" s="1"/>
  <c r="G70" i="152"/>
  <c r="W51" i="152"/>
  <c r="H51" i="152"/>
  <c r="G52" i="152"/>
  <c r="W20" i="152" l="1"/>
  <c r="X20" i="152" s="1"/>
  <c r="W18" i="152"/>
  <c r="X18" i="152"/>
  <c r="W22" i="152"/>
  <c r="X22" i="152" s="1"/>
  <c r="W21" i="152"/>
  <c r="X21" i="152"/>
  <c r="X27" i="152"/>
  <c r="W27" i="152"/>
  <c r="W32" i="152"/>
  <c r="X32" i="152" s="1"/>
  <c r="X26" i="152"/>
  <c r="W26" i="152"/>
  <c r="H52" i="152"/>
  <c r="G59" i="152"/>
  <c r="W29" i="152"/>
  <c r="X29" i="152"/>
  <c r="H70" i="152"/>
  <c r="G76" i="152"/>
  <c r="AD63" i="152"/>
  <c r="D62" i="152"/>
  <c r="W24" i="152"/>
  <c r="X24" i="152" s="1"/>
  <c r="E104" i="152"/>
  <c r="S64" i="152"/>
  <c r="V17" i="152"/>
  <c r="W25" i="152" s="1"/>
  <c r="X25" i="152" s="1"/>
  <c r="W30" i="152"/>
  <c r="X30" i="152" s="1"/>
  <c r="Y25" i="152" l="1"/>
  <c r="AE25" i="152" s="1"/>
  <c r="Y22" i="152"/>
  <c r="AE22" i="152" s="1"/>
  <c r="Y30" i="152"/>
  <c r="AE30" i="152" s="1"/>
  <c r="Y24" i="152"/>
  <c r="AE24" i="152" s="1"/>
  <c r="Y32" i="152"/>
  <c r="AE32" i="152" s="1"/>
  <c r="Y20" i="152"/>
  <c r="AE20" i="152" s="1"/>
  <c r="Y29" i="152"/>
  <c r="AE29" i="152" s="1"/>
  <c r="D63" i="152"/>
  <c r="Y26" i="152"/>
  <c r="AE26" i="152" s="1"/>
  <c r="Y18" i="152"/>
  <c r="AE18" i="152" s="1"/>
  <c r="Z18" i="152"/>
  <c r="E106" i="152"/>
  <c r="E107" i="152" s="1"/>
  <c r="G61" i="152"/>
  <c r="H59" i="152"/>
  <c r="V63" i="152"/>
  <c r="V64" i="152" s="1"/>
  <c r="W17" i="152"/>
  <c r="X17" i="152"/>
  <c r="W19" i="152"/>
  <c r="X19" i="152" s="1"/>
  <c r="W23" i="152"/>
  <c r="X23" i="152" s="1"/>
  <c r="Y27" i="152"/>
  <c r="AE27" i="152" s="1"/>
  <c r="Y21" i="152"/>
  <c r="AE21" i="152" s="1"/>
  <c r="G77" i="152"/>
  <c r="G78" i="152" s="1"/>
  <c r="W28" i="152"/>
  <c r="X28" i="152" s="1"/>
  <c r="W31" i="152"/>
  <c r="X31" i="152" s="1"/>
  <c r="W33" i="152"/>
  <c r="X33" i="152" s="1"/>
  <c r="E108" i="152" l="1"/>
  <c r="F107" i="152"/>
  <c r="Y28" i="152"/>
  <c r="AE28" i="152" s="1"/>
  <c r="Z27" i="152"/>
  <c r="G62" i="152"/>
  <c r="H61" i="152"/>
  <c r="D66" i="152"/>
  <c r="Z24" i="152"/>
  <c r="Y19" i="152"/>
  <c r="AE19" i="152" s="1"/>
  <c r="Z29" i="152"/>
  <c r="Z30" i="152"/>
  <c r="Z23" i="152"/>
  <c r="Y23" i="152"/>
  <c r="AE23" i="152" s="1"/>
  <c r="Y17" i="152"/>
  <c r="X63" i="152"/>
  <c r="W63" i="152"/>
  <c r="W64" i="152" s="1"/>
  <c r="Z20" i="152"/>
  <c r="Z22" i="152"/>
  <c r="Y33" i="152"/>
  <c r="AE33" i="152" s="1"/>
  <c r="Y31" i="152"/>
  <c r="AE31" i="152" s="1"/>
  <c r="AA18" i="152"/>
  <c r="AB18" i="152" s="1"/>
  <c r="AJ18" i="152" s="1"/>
  <c r="Z21" i="152"/>
  <c r="Z26" i="152"/>
  <c r="Z32" i="152"/>
  <c r="Z25" i="152"/>
  <c r="AA23" i="152" l="1"/>
  <c r="AB23" i="152"/>
  <c r="AJ23" i="152" s="1"/>
  <c r="D76" i="152"/>
  <c r="H66" i="152"/>
  <c r="AA29" i="152"/>
  <c r="AB29" i="152" s="1"/>
  <c r="AJ29" i="152" s="1"/>
  <c r="G63" i="152"/>
  <c r="H63" i="152" s="1"/>
  <c r="H62" i="152"/>
  <c r="AA27" i="152"/>
  <c r="AB27" i="152" s="1"/>
  <c r="AJ27" i="152" s="1"/>
  <c r="AA30" i="152"/>
  <c r="AB30" i="152" s="1"/>
  <c r="AJ30" i="152" s="1"/>
  <c r="Z19" i="152"/>
  <c r="AB21" i="152"/>
  <c r="AJ21" i="152" s="1"/>
  <c r="AA21" i="152"/>
  <c r="Z31" i="152"/>
  <c r="AA25" i="152"/>
  <c r="AB25" i="152" s="1"/>
  <c r="AJ25" i="152" s="1"/>
  <c r="AA22" i="152"/>
  <c r="AB22" i="152" s="1"/>
  <c r="AJ22" i="152" s="1"/>
  <c r="Y63" i="152"/>
  <c r="AE17" i="152"/>
  <c r="Z28" i="152"/>
  <c r="Z33" i="152"/>
  <c r="AA32" i="152"/>
  <c r="AB32" i="152" s="1"/>
  <c r="AJ32" i="152" s="1"/>
  <c r="AA20" i="152"/>
  <c r="AB20" i="152" s="1"/>
  <c r="AJ20" i="152" s="1"/>
  <c r="Z17" i="152"/>
  <c r="AA24" i="152"/>
  <c r="AB24" i="152" s="1"/>
  <c r="AJ24" i="152" s="1"/>
  <c r="AF55" i="152"/>
  <c r="AG55" i="152"/>
  <c r="AA26" i="152"/>
  <c r="AB26" i="152" s="1"/>
  <c r="AJ26" i="152" s="1"/>
  <c r="AE63" i="152" l="1"/>
  <c r="E132" i="152" s="1"/>
  <c r="AA19" i="152"/>
  <c r="AB19" i="152" s="1"/>
  <c r="AJ19" i="152" s="1"/>
  <c r="AA33" i="152"/>
  <c r="AB33" i="152" s="1"/>
  <c r="AJ33" i="152" s="1"/>
  <c r="H76" i="152"/>
  <c r="D78" i="152"/>
  <c r="H78" i="152" s="1"/>
  <c r="D77" i="152"/>
  <c r="H77" i="152" s="1"/>
  <c r="AA31" i="152"/>
  <c r="AB31" i="152" s="1"/>
  <c r="AJ31" i="152" s="1"/>
  <c r="Z63" i="152"/>
  <c r="AA17" i="152"/>
  <c r="AB17" i="152"/>
  <c r="AA28" i="152"/>
  <c r="AB28" i="152" s="1"/>
  <c r="AJ28" i="152" s="1"/>
  <c r="AJ17" i="152" l="1"/>
  <c r="AB63" i="152"/>
  <c r="AA63" i="152"/>
  <c r="E134" i="152"/>
  <c r="E135" i="152" s="1"/>
  <c r="F135" i="152" l="1"/>
  <c r="E136" i="152"/>
  <c r="AG43" i="152" l="1"/>
  <c r="AG13" i="152"/>
  <c r="AG45" i="152"/>
  <c r="AF13" i="152"/>
  <c r="AF45" i="152"/>
  <c r="AF12" i="152"/>
  <c r="AG46" i="152"/>
  <c r="AF46" i="152"/>
  <c r="AG12" i="152"/>
  <c r="AF43" i="152"/>
  <c r="AG44" i="152"/>
  <c r="AF44" i="152"/>
  <c r="AF25" i="152"/>
  <c r="AF28" i="152"/>
  <c r="AF22" i="152"/>
  <c r="AF31" i="152"/>
  <c r="AF27" i="152"/>
  <c r="AF20" i="152"/>
  <c r="AF30" i="152"/>
  <c r="AF18" i="152"/>
  <c r="AF21" i="152"/>
  <c r="AF29" i="152"/>
  <c r="AF23" i="152"/>
  <c r="AF33" i="152"/>
  <c r="AF26" i="152"/>
  <c r="AF17" i="152"/>
  <c r="AF32" i="152"/>
  <c r="AF19" i="152"/>
  <c r="AF24" i="152"/>
  <c r="AG18" i="152"/>
  <c r="AG25" i="152"/>
  <c r="AG27" i="152"/>
  <c r="AG30" i="152"/>
  <c r="AG29" i="152"/>
  <c r="AG20" i="152"/>
  <c r="AG24" i="152"/>
  <c r="AG26" i="152"/>
  <c r="AG22" i="152"/>
  <c r="AG32" i="152"/>
  <c r="AG21" i="152"/>
  <c r="AG19" i="152"/>
  <c r="AG23" i="152"/>
  <c r="AG31" i="152"/>
  <c r="AG33" i="152"/>
  <c r="AG28" i="152"/>
  <c r="AG17" i="152"/>
  <c r="AF63" i="152" l="1"/>
  <c r="AG63" i="152"/>
  <c r="G17" i="170" l="1"/>
  <c r="F17" i="170" s="1"/>
  <c r="G31" i="170" l="1"/>
  <c r="F31" i="170" s="1"/>
  <c r="G23" i="170" l="1"/>
  <c r="F23" i="170" s="1"/>
  <c r="G24" i="170"/>
  <c r="F24" i="170" s="1"/>
  <c r="B2" i="128"/>
  <c r="G16" i="26"/>
  <c r="C5" i="26" l="1"/>
  <c r="A3" i="33"/>
  <c r="C3" i="37"/>
  <c r="N124" i="128" l="1"/>
  <c r="Q124" i="128" s="1"/>
  <c r="U124" i="128" s="1"/>
  <c r="B124" i="128" l="1"/>
  <c r="G19" i="26" l="1"/>
  <c r="G26" i="131" l="1"/>
  <c r="G25" i="131"/>
  <c r="J61" i="131"/>
  <c r="J34" i="131"/>
  <c r="J32" i="131"/>
  <c r="J29" i="131"/>
  <c r="F36" i="131" s="1"/>
  <c r="J20" i="131"/>
  <c r="J15" i="131"/>
  <c r="O34" i="131" s="1"/>
  <c r="J36" i="131" l="1"/>
  <c r="J38" i="131" s="1"/>
  <c r="J39" i="131" s="1"/>
  <c r="J24" i="131"/>
  <c r="J25" i="131" s="1"/>
  <c r="J26" i="131" l="1"/>
  <c r="J27" i="131" s="1"/>
  <c r="J41" i="131" l="1"/>
  <c r="D45" i="131" s="1"/>
  <c r="J45" i="131" s="1"/>
  <c r="J44" i="131" l="1"/>
  <c r="J42" i="131"/>
  <c r="J43" i="131"/>
  <c r="J46" i="131" l="1"/>
  <c r="J47" i="131" s="1"/>
  <c r="J48" i="131" s="1"/>
  <c r="J49" i="131" l="1"/>
  <c r="J50" i="131" s="1"/>
  <c r="J51" i="131" s="1"/>
  <c r="G18" i="26"/>
  <c r="G21" i="170" l="1"/>
  <c r="F21" i="170" s="1"/>
  <c r="G28" i="170" l="1"/>
  <c r="F28" i="170" s="1"/>
  <c r="X31" i="128"/>
  <c r="X124" i="128"/>
  <c r="Z124" i="128" s="1"/>
  <c r="Z31" i="128" l="1"/>
  <c r="G18" i="170"/>
  <c r="F18" i="170" s="1"/>
  <c r="I42" i="170"/>
  <c r="H42" i="170" s="1"/>
  <c r="AA63" i="128"/>
  <c r="AD63" i="128" s="1"/>
  <c r="X63" i="128"/>
  <c r="AA45" i="128"/>
  <c r="X45" i="128"/>
  <c r="X56" i="128"/>
  <c r="Z56" i="128" s="1"/>
  <c r="AC56" i="128" s="1"/>
  <c r="AE56" i="128" s="1"/>
  <c r="AA56" i="128"/>
  <c r="AD56" i="128" s="1"/>
  <c r="X77" i="128"/>
  <c r="Z77" i="128" s="1"/>
  <c r="AA77" i="128"/>
  <c r="AD77" i="128" s="1"/>
  <c r="AA64" i="128"/>
  <c r="AD64" i="128" s="1"/>
  <c r="X64" i="128"/>
  <c r="Z64" i="128" s="1"/>
  <c r="AA30" i="128"/>
  <c r="AD30" i="128" s="1"/>
  <c r="X30" i="128"/>
  <c r="Z30" i="128" s="1"/>
  <c r="AC30" i="128" s="1"/>
  <c r="AE30" i="128" s="1"/>
  <c r="AA55" i="128"/>
  <c r="AD55" i="128" s="1"/>
  <c r="X55" i="128"/>
  <c r="Z55" i="128" s="1"/>
  <c r="AC55" i="128" s="1"/>
  <c r="AE55" i="128" s="1"/>
  <c r="AA33" i="128"/>
  <c r="AD33" i="128" s="1"/>
  <c r="X33" i="128"/>
  <c r="Z33" i="128" s="1"/>
  <c r="AC33" i="128" s="1"/>
  <c r="AE33" i="128" s="1"/>
  <c r="X72" i="128"/>
  <c r="Z72" i="128" s="1"/>
  <c r="AA72" i="128"/>
  <c r="AD72" i="128" s="1"/>
  <c r="X32" i="128"/>
  <c r="Z32" i="128" s="1"/>
  <c r="AC32" i="128" s="1"/>
  <c r="AE32" i="128" s="1"/>
  <c r="AA32" i="128"/>
  <c r="AD32" i="128" s="1"/>
  <c r="X69" i="128"/>
  <c r="Z69" i="128" s="1"/>
  <c r="AA69" i="128"/>
  <c r="AD69" i="128" s="1"/>
  <c r="AA22" i="128"/>
  <c r="AD22" i="128" s="1"/>
  <c r="AA75" i="128"/>
  <c r="AD75" i="128" s="1"/>
  <c r="X75" i="128"/>
  <c r="Z75" i="128" s="1"/>
  <c r="AA34" i="128"/>
  <c r="AD34" i="128" s="1"/>
  <c r="X34" i="128"/>
  <c r="Z34" i="128" s="1"/>
  <c r="AC34" i="128" s="1"/>
  <c r="AE34" i="128" s="1"/>
  <c r="AA18" i="128"/>
  <c r="AD18" i="128" s="1"/>
  <c r="X18" i="128"/>
  <c r="X36" i="128"/>
  <c r="AA36" i="128"/>
  <c r="X38" i="128"/>
  <c r="Z38" i="128" s="1"/>
  <c r="AA38" i="128"/>
  <c r="AD38" i="128" s="1"/>
  <c r="AA78" i="128"/>
  <c r="AD78" i="128" s="1"/>
  <c r="X78" i="128"/>
  <c r="Z78" i="128" s="1"/>
  <c r="X74" i="128"/>
  <c r="Z74" i="128" s="1"/>
  <c r="AA74" i="128"/>
  <c r="AD74" i="128" s="1"/>
  <c r="X39" i="128"/>
  <c r="Z39" i="128" s="1"/>
  <c r="AA39" i="128"/>
  <c r="AD39" i="128" s="1"/>
  <c r="AA15" i="128"/>
  <c r="AD15" i="128" s="1"/>
  <c r="X15" i="128"/>
  <c r="Z15" i="128" s="1"/>
  <c r="AA59" i="128"/>
  <c r="AD59" i="128" s="1"/>
  <c r="X59" i="128"/>
  <c r="Z59" i="128" s="1"/>
  <c r="X13" i="128"/>
  <c r="AA13" i="128"/>
  <c r="AA62" i="128"/>
  <c r="AD62" i="128" s="1"/>
  <c r="X62" i="128"/>
  <c r="Z62" i="128" s="1"/>
  <c r="X57" i="128"/>
  <c r="Z57" i="128" s="1"/>
  <c r="AA57" i="128"/>
  <c r="AD57" i="128" s="1"/>
  <c r="X24" i="128"/>
  <c r="Z24" i="128" s="1"/>
  <c r="AC24" i="128" s="1"/>
  <c r="AE24" i="128" s="1"/>
  <c r="AA24" i="128"/>
  <c r="AD24" i="128" s="1"/>
  <c r="AA17" i="128"/>
  <c r="AD17" i="128" s="1"/>
  <c r="AA67" i="128"/>
  <c r="AD67" i="128" s="1"/>
  <c r="X67" i="128"/>
  <c r="Z67" i="128" s="1"/>
  <c r="X71" i="128"/>
  <c r="AA71" i="128"/>
  <c r="AA23" i="128"/>
  <c r="AD23" i="128" s="1"/>
  <c r="X23" i="128"/>
  <c r="AA14" i="128"/>
  <c r="AD14" i="128" s="1"/>
  <c r="X14" i="128"/>
  <c r="Z14" i="128" s="1"/>
  <c r="X66" i="128"/>
  <c r="Z66" i="128" s="1"/>
  <c r="AA66" i="128"/>
  <c r="AD66" i="128" s="1"/>
  <c r="AA21" i="128"/>
  <c r="AD21" i="128" s="1"/>
  <c r="AA76" i="128"/>
  <c r="AD76" i="128" s="1"/>
  <c r="X76" i="128"/>
  <c r="Z76" i="128" s="1"/>
  <c r="X73" i="128"/>
  <c r="Z73" i="128" s="1"/>
  <c r="AA73" i="128"/>
  <c r="AD73" i="128" s="1"/>
  <c r="X58" i="128"/>
  <c r="Z58" i="128" s="1"/>
  <c r="AA58" i="128"/>
  <c r="AD58" i="128" s="1"/>
  <c r="AA16" i="128"/>
  <c r="AD16" i="128" s="1"/>
  <c r="X16" i="128"/>
  <c r="Z16" i="128" s="1"/>
  <c r="X54" i="128"/>
  <c r="Z54" i="128" s="1"/>
  <c r="AA54" i="128"/>
  <c r="AA65" i="128"/>
  <c r="AD65" i="128" s="1"/>
  <c r="X65" i="128"/>
  <c r="Z65" i="128" s="1"/>
  <c r="AA60" i="128"/>
  <c r="AD60" i="128" s="1"/>
  <c r="X60" i="128"/>
  <c r="Z60" i="128" s="1"/>
  <c r="AA68" i="128"/>
  <c r="AD68" i="128" s="1"/>
  <c r="X68" i="128"/>
  <c r="Z68" i="128" s="1"/>
  <c r="AA19" i="128"/>
  <c r="AD19" i="128" s="1"/>
  <c r="X19" i="128"/>
  <c r="Z19" i="128" s="1"/>
  <c r="AA61" i="128"/>
  <c r="AD61" i="128" s="1"/>
  <c r="X61" i="128"/>
  <c r="Z61" i="128" s="1"/>
  <c r="AA37" i="128"/>
  <c r="AD37" i="128" s="1"/>
  <c r="X37" i="128"/>
  <c r="Z37" i="128" s="1"/>
  <c r="AC37" i="128" s="1"/>
  <c r="AE37" i="128" s="1"/>
  <c r="X17" i="128" l="1"/>
  <c r="X35" i="128"/>
  <c r="X25" i="128"/>
  <c r="AC31" i="128"/>
  <c r="AC25" i="128" s="1"/>
  <c r="Z25" i="128"/>
  <c r="Z45" i="128"/>
  <c r="Z42" i="128" s="1"/>
  <c r="Z41" i="128" s="1"/>
  <c r="X42" i="128"/>
  <c r="X41" i="128" s="1"/>
  <c r="Z23" i="128"/>
  <c r="AC23" i="128" s="1"/>
  <c r="AE23" i="128" s="1"/>
  <c r="X21" i="128"/>
  <c r="AD13" i="128"/>
  <c r="AA12" i="128"/>
  <c r="AD12" i="128" s="1"/>
  <c r="AD36" i="128"/>
  <c r="AD35" i="128" s="1"/>
  <c r="AA35" i="128"/>
  <c r="Z13" i="128"/>
  <c r="Z12" i="128" s="1"/>
  <c r="X12" i="128"/>
  <c r="Z36" i="128"/>
  <c r="Z35" i="128" s="1"/>
  <c r="AD71" i="128"/>
  <c r="AA70" i="128"/>
  <c r="AD70" i="128" s="1"/>
  <c r="Z18" i="128"/>
  <c r="Z17" i="128" s="1"/>
  <c r="AD54" i="128"/>
  <c r="AD53" i="128" s="1"/>
  <c r="AA53" i="128"/>
  <c r="Z71" i="128"/>
  <c r="X70" i="128"/>
  <c r="AC54" i="128"/>
  <c r="AD45" i="128"/>
  <c r="AD42" i="128" s="1"/>
  <c r="AA42" i="128"/>
  <c r="AA41" i="128" s="1"/>
  <c r="AD41" i="128" s="1"/>
  <c r="Z63" i="128"/>
  <c r="Z53" i="128" s="1"/>
  <c r="X53" i="128"/>
  <c r="AD25" i="128"/>
  <c r="AA25" i="128"/>
  <c r="I39" i="170"/>
  <c r="H39" i="170" s="1"/>
  <c r="G30" i="170"/>
  <c r="F30" i="170" s="1"/>
  <c r="G42" i="170"/>
  <c r="F42" i="170" s="1"/>
  <c r="I25" i="170"/>
  <c r="H25" i="170" s="1"/>
  <c r="I41" i="170"/>
  <c r="H41" i="170" s="1"/>
  <c r="I43" i="170"/>
  <c r="H43" i="170" s="1"/>
  <c r="G39" i="170"/>
  <c r="F39" i="170" s="1"/>
  <c r="G16" i="170"/>
  <c r="F16" i="170" s="1"/>
  <c r="G35" i="170"/>
  <c r="F35" i="170" s="1"/>
  <c r="AC68" i="128"/>
  <c r="AC76" i="128"/>
  <c r="AE76" i="128" s="1"/>
  <c r="AC62" i="128"/>
  <c r="AC57" i="128"/>
  <c r="AC38" i="128"/>
  <c r="AE38" i="128" s="1"/>
  <c r="AC77" i="128"/>
  <c r="AE77" i="128" s="1"/>
  <c r="I26" i="170"/>
  <c r="H26" i="170" s="1"/>
  <c r="G29" i="170"/>
  <c r="F29" i="170" s="1"/>
  <c r="I34" i="170"/>
  <c r="H34" i="170" s="1"/>
  <c r="G15" i="170"/>
  <c r="F15" i="170" s="1"/>
  <c r="G40" i="170"/>
  <c r="F40" i="170" s="1"/>
  <c r="AC16" i="128"/>
  <c r="AE16" i="128" s="1"/>
  <c r="AC22" i="128"/>
  <c r="G26" i="170"/>
  <c r="F26" i="170" s="1"/>
  <c r="G19" i="170"/>
  <c r="F19" i="170" s="1"/>
  <c r="I29" i="170"/>
  <c r="H29" i="170" s="1"/>
  <c r="G34" i="170"/>
  <c r="F34" i="170" s="1"/>
  <c r="I15" i="170"/>
  <c r="H15" i="170" s="1"/>
  <c r="I40" i="170"/>
  <c r="H40" i="170" s="1"/>
  <c r="AC39" i="128"/>
  <c r="AE39" i="128" s="1"/>
  <c r="AC72" i="128"/>
  <c r="AE72" i="128" s="1"/>
  <c r="I16" i="170"/>
  <c r="H16" i="170" s="1"/>
  <c r="I35" i="170"/>
  <c r="H35" i="170" s="1"/>
  <c r="I22" i="170"/>
  <c r="H22" i="170" s="1"/>
  <c r="G27" i="170"/>
  <c r="F27" i="170" s="1"/>
  <c r="G20" i="170"/>
  <c r="F20" i="170" s="1"/>
  <c r="AC61" i="128"/>
  <c r="AC65" i="128"/>
  <c r="AC67" i="128"/>
  <c r="AC59" i="128"/>
  <c r="AC64" i="128"/>
  <c r="G44" i="170"/>
  <c r="F44" i="170" s="1"/>
  <c r="G22" i="170"/>
  <c r="F22" i="170" s="1"/>
  <c r="I27" i="170"/>
  <c r="H27" i="170" s="1"/>
  <c r="I20" i="170"/>
  <c r="H20" i="170" s="1"/>
  <c r="AC58" i="128"/>
  <c r="AC73" i="128"/>
  <c r="AE73" i="128" s="1"/>
  <c r="AC66" i="128"/>
  <c r="AC74" i="128"/>
  <c r="AE74" i="128" s="1"/>
  <c r="AC69" i="128"/>
  <c r="I19" i="170"/>
  <c r="H19" i="170" s="1"/>
  <c r="G25" i="170"/>
  <c r="F25" i="170" s="1"/>
  <c r="G41" i="170"/>
  <c r="F41" i="170" s="1"/>
  <c r="G43" i="170"/>
  <c r="F43" i="170" s="1"/>
  <c r="AC19" i="128"/>
  <c r="AE19" i="128" s="1"/>
  <c r="AC60" i="128"/>
  <c r="AC14" i="128"/>
  <c r="AE14" i="128" s="1"/>
  <c r="AC15" i="128"/>
  <c r="AE15" i="128" s="1"/>
  <c r="AC78" i="128"/>
  <c r="AE78" i="128" s="1"/>
  <c r="AC75" i="128"/>
  <c r="AE75" i="128" s="1"/>
  <c r="AC45" i="128"/>
  <c r="G46" i="170"/>
  <c r="F46" i="170" s="1"/>
  <c r="G48" i="170"/>
  <c r="F48" i="170" s="1"/>
  <c r="I38" i="170"/>
  <c r="H38" i="170" s="1"/>
  <c r="I49" i="170"/>
  <c r="H49" i="170" s="1"/>
  <c r="G47" i="170"/>
  <c r="F47" i="170" s="1"/>
  <c r="G49" i="170"/>
  <c r="F49" i="170" s="1"/>
  <c r="I47" i="170"/>
  <c r="H47" i="170" s="1"/>
  <c r="I46" i="170"/>
  <c r="H46" i="170" s="1"/>
  <c r="I48" i="170"/>
  <c r="H48" i="170" s="1"/>
  <c r="G37" i="170"/>
  <c r="G38" i="170"/>
  <c r="F38" i="170" s="1"/>
  <c r="I37" i="170"/>
  <c r="H37" i="170" s="1"/>
  <c r="I13" i="170"/>
  <c r="X110" i="128" l="1"/>
  <c r="X111" i="128" s="1"/>
  <c r="X112" i="128" s="1"/>
  <c r="Z21" i="128"/>
  <c r="AE31" i="128"/>
  <c r="AC63" i="128"/>
  <c r="AC13" i="128"/>
  <c r="AC36" i="128"/>
  <c r="AC35" i="128" s="1"/>
  <c r="AC42" i="128"/>
  <c r="AC41" i="128" s="1"/>
  <c r="AE22" i="128"/>
  <c r="AC21" i="128"/>
  <c r="AC18" i="128"/>
  <c r="AA110" i="128"/>
  <c r="AE54" i="128"/>
  <c r="AC53" i="128"/>
  <c r="G33" i="170"/>
  <c r="F33" i="170" s="1"/>
  <c r="AC71" i="128"/>
  <c r="AE71" i="128" s="1"/>
  <c r="Z70" i="128"/>
  <c r="AC70" i="128" s="1"/>
  <c r="F37" i="170"/>
  <c r="G36" i="170"/>
  <c r="F36" i="170" s="1"/>
  <c r="H13" i="170"/>
  <c r="I50" i="170"/>
  <c r="G13" i="170"/>
  <c r="A3" i="127"/>
  <c r="Z110" i="128" l="1"/>
  <c r="Z111" i="128" s="1"/>
  <c r="Z112" i="128" s="1"/>
  <c r="F20" i="192" s="1"/>
  <c r="AE13" i="128"/>
  <c r="AC12" i="128"/>
  <c r="AE18" i="128"/>
  <c r="AC17" i="128"/>
  <c r="AA111" i="128"/>
  <c r="AA112" i="128" s="1"/>
  <c r="G12" i="170"/>
  <c r="F12" i="170" s="1"/>
  <c r="AE42" i="128"/>
  <c r="F13" i="170"/>
  <c r="G50" i="170"/>
  <c r="F50" i="170" s="1"/>
  <c r="C23" i="33"/>
  <c r="H50" i="170"/>
  <c r="AD112" i="128"/>
  <c r="C6" i="127"/>
  <c r="E6" i="127" s="1"/>
  <c r="AC112" i="128" l="1"/>
  <c r="AE112" i="128" s="1"/>
  <c r="AA79" i="128"/>
  <c r="AD79" i="128" s="1"/>
  <c r="C24" i="33"/>
  <c r="D24" i="33" s="1"/>
  <c r="E24" i="33" s="1"/>
  <c r="I12" i="170"/>
  <c r="D23" i="33"/>
  <c r="E23" i="33" s="1"/>
  <c r="C28" i="33"/>
  <c r="D28" i="33" s="1"/>
  <c r="E28" i="33" s="1"/>
  <c r="C21" i="33"/>
  <c r="D21" i="33" s="1"/>
  <c r="E21" i="33" s="1"/>
  <c r="C25" i="33"/>
  <c r="D25" i="33" s="1"/>
  <c r="E25" i="33" s="1"/>
  <c r="G24" i="26"/>
  <c r="H12" i="170" l="1"/>
  <c r="I51" i="170"/>
  <c r="I52" i="170" s="1"/>
  <c r="I53" i="170" s="1"/>
  <c r="L18" i="118"/>
  <c r="K18" i="118"/>
  <c r="J18" i="118"/>
  <c r="D29" i="113" l="1"/>
  <c r="D28" i="113"/>
  <c r="D27" i="113"/>
  <c r="F64" i="113" l="1"/>
  <c r="E64" i="113"/>
  <c r="G59" i="113"/>
  <c r="H59" i="113" s="1"/>
  <c r="N29" i="113"/>
  <c r="T29" i="113" s="1"/>
  <c r="M29" i="113"/>
  <c r="S29" i="113" s="1"/>
  <c r="L29" i="113"/>
  <c r="R29" i="113" s="1"/>
  <c r="U29" i="113" s="1"/>
  <c r="J29" i="113"/>
  <c r="K29" i="113" s="1"/>
  <c r="I29" i="113"/>
  <c r="H29" i="113"/>
  <c r="S28" i="113"/>
  <c r="R28" i="113"/>
  <c r="N28" i="113"/>
  <c r="T28" i="113" s="1"/>
  <c r="M28" i="113"/>
  <c r="L28" i="113"/>
  <c r="J28" i="113"/>
  <c r="I28" i="113"/>
  <c r="K28" i="113" s="1"/>
  <c r="H28" i="113"/>
  <c r="N27" i="113"/>
  <c r="T27" i="113" s="1"/>
  <c r="M27" i="113"/>
  <c r="S27" i="113" s="1"/>
  <c r="L27" i="113"/>
  <c r="R27" i="113" s="1"/>
  <c r="U27" i="113" s="1"/>
  <c r="J27" i="113"/>
  <c r="K27" i="113" s="1"/>
  <c r="I27" i="113"/>
  <c r="D44" i="113"/>
  <c r="H44" i="113" s="1"/>
  <c r="N26" i="113"/>
  <c r="N30" i="113" s="1"/>
  <c r="M26" i="113"/>
  <c r="S26" i="113" s="1"/>
  <c r="L26" i="113"/>
  <c r="R26" i="113" s="1"/>
  <c r="J26" i="113"/>
  <c r="I26" i="113"/>
  <c r="D26" i="113"/>
  <c r="D31" i="113" s="1"/>
  <c r="D41" i="113" s="1"/>
  <c r="K26" i="113" l="1"/>
  <c r="K30" i="113" s="1"/>
  <c r="H41" i="113"/>
  <c r="U28" i="113"/>
  <c r="U44" i="113" s="1"/>
  <c r="D43" i="113"/>
  <c r="H27" i="113"/>
  <c r="H26" i="113"/>
  <c r="T26" i="113"/>
  <c r="U26" i="113" s="1"/>
  <c r="H31" i="113" l="1"/>
  <c r="U30" i="113"/>
  <c r="U43" i="113"/>
  <c r="U45" i="113" s="1"/>
  <c r="H43" i="113"/>
  <c r="H45" i="113" s="1"/>
  <c r="H46" i="113" s="1"/>
  <c r="D45" i="113"/>
  <c r="D46" i="113" s="1"/>
  <c r="U31" i="113" l="1"/>
  <c r="U41" i="113"/>
  <c r="U46" i="113" s="1"/>
  <c r="D48" i="113"/>
  <c r="D51" i="113" l="1"/>
  <c r="D52" i="113" s="1"/>
  <c r="D64" i="113" s="1"/>
  <c r="H48" i="113"/>
  <c r="U48" i="113"/>
  <c r="D66" i="113" l="1"/>
  <c r="D67" i="113" s="1"/>
  <c r="D68" i="113" s="1"/>
  <c r="D70" i="113" l="1"/>
  <c r="D71" i="113" s="1"/>
  <c r="D72" i="113" s="1"/>
  <c r="U44" i="98" l="1"/>
  <c r="N26" i="98"/>
  <c r="T26" i="98" s="1"/>
  <c r="L26" i="98"/>
  <c r="R26" i="98" s="1"/>
  <c r="M26" i="98"/>
  <c r="S26" i="98" s="1"/>
  <c r="J26" i="98"/>
  <c r="I26" i="98"/>
  <c r="D26" i="98"/>
  <c r="D43" i="98" s="1"/>
  <c r="H43" i="98" s="1"/>
  <c r="G59" i="98"/>
  <c r="F64" i="98"/>
  <c r="E64" i="98"/>
  <c r="S29" i="98"/>
  <c r="N29" i="98"/>
  <c r="T29" i="98" s="1"/>
  <c r="M29" i="98"/>
  <c r="L29" i="98"/>
  <c r="R29" i="98" s="1"/>
  <c r="U29" i="98" s="1"/>
  <c r="K29" i="98"/>
  <c r="J29" i="98"/>
  <c r="I29" i="98"/>
  <c r="D29" i="98"/>
  <c r="H29" i="98" s="1"/>
  <c r="T28" i="98"/>
  <c r="S28" i="98"/>
  <c r="N28" i="98"/>
  <c r="M28" i="98"/>
  <c r="L28" i="98"/>
  <c r="R28" i="98" s="1"/>
  <c r="U28" i="98" s="1"/>
  <c r="J28" i="98"/>
  <c r="K28" i="98" s="1"/>
  <c r="I28" i="98"/>
  <c r="H28" i="98"/>
  <c r="D28" i="98"/>
  <c r="S27" i="98"/>
  <c r="N27" i="98"/>
  <c r="M27" i="98"/>
  <c r="L27" i="98"/>
  <c r="R27" i="98" s="1"/>
  <c r="K27" i="98"/>
  <c r="J27" i="98"/>
  <c r="I27" i="98"/>
  <c r="D27" i="98"/>
  <c r="H27" i="98" s="1"/>
  <c r="U26" i="98" l="1"/>
  <c r="U43" i="98" s="1"/>
  <c r="N30" i="98"/>
  <c r="K26" i="98"/>
  <c r="H26" i="98"/>
  <c r="H31" i="98" s="1"/>
  <c r="D31" i="98"/>
  <c r="D41" i="98" s="1"/>
  <c r="H41" i="98" s="1"/>
  <c r="K30" i="98"/>
  <c r="H45" i="98"/>
  <c r="D44" i="98"/>
  <c r="H44" i="98" s="1"/>
  <c r="H59" i="98"/>
  <c r="T27" i="98"/>
  <c r="U27" i="98" s="1"/>
  <c r="U45" i="98" l="1"/>
  <c r="U30" i="98"/>
  <c r="H46" i="98"/>
  <c r="D45" i="98"/>
  <c r="D46" i="98" s="1"/>
  <c r="D48" i="98" l="1"/>
  <c r="U41" i="98"/>
  <c r="U46" i="98" s="1"/>
  <c r="U31" i="98"/>
  <c r="U49" i="98" l="1"/>
  <c r="U49" i="113"/>
  <c r="U51" i="113" s="1"/>
  <c r="U52" i="113" s="1"/>
  <c r="G62" i="113"/>
  <c r="H62" i="113" s="1"/>
  <c r="G49" i="98"/>
  <c r="H49" i="98" s="1"/>
  <c r="G49" i="113"/>
  <c r="D51" i="98"/>
  <c r="D52" i="98" s="1"/>
  <c r="D64" i="98" s="1"/>
  <c r="H48" i="98"/>
  <c r="U48" i="98"/>
  <c r="U51" i="98" l="1"/>
  <c r="U52" i="98" s="1"/>
  <c r="H49" i="113"/>
  <c r="H51" i="113" s="1"/>
  <c r="H52" i="113" s="1"/>
  <c r="G51" i="113"/>
  <c r="G52" i="113" s="1"/>
  <c r="G51" i="98"/>
  <c r="G52" i="98" s="1"/>
  <c r="G62" i="98"/>
  <c r="H62" i="98" s="1"/>
  <c r="D66" i="98"/>
  <c r="D67" i="98" s="1"/>
  <c r="D68" i="98" s="1"/>
  <c r="H51" i="98"/>
  <c r="H52" i="98" s="1"/>
  <c r="G54" i="98" s="1"/>
  <c r="G54" i="113" l="1"/>
  <c r="G61" i="113"/>
  <c r="H61" i="113" s="1"/>
  <c r="D70" i="98"/>
  <c r="D71" i="98" s="1"/>
  <c r="D72" i="98" s="1"/>
  <c r="G61" i="98"/>
  <c r="G55" i="113" l="1"/>
  <c r="H54" i="113"/>
  <c r="H55" i="113" s="1"/>
  <c r="H61" i="98"/>
  <c r="G55" i="98"/>
  <c r="H54" i="98"/>
  <c r="H55" i="98" s="1"/>
  <c r="G25" i="26" l="1"/>
  <c r="G22" i="26"/>
  <c r="G26" i="26" l="1"/>
  <c r="D13" i="70"/>
  <c r="G15" i="26"/>
  <c r="H10" i="194" l="1"/>
  <c r="B15" i="193"/>
  <c r="G58" i="113"/>
  <c r="H58" i="113" s="1"/>
  <c r="G58" i="98"/>
  <c r="H58" i="98" s="1"/>
  <c r="D15" i="70"/>
  <c r="D16" i="70" s="1"/>
  <c r="G14" i="26"/>
  <c r="G13" i="26"/>
  <c r="G17" i="26"/>
  <c r="D15" i="193" l="1"/>
  <c r="B21" i="193"/>
  <c r="B22" i="193" s="1"/>
  <c r="B23" i="193" s="1"/>
  <c r="I10" i="194"/>
  <c r="H12" i="194"/>
  <c r="H8" i="194" s="1"/>
  <c r="D17" i="70"/>
  <c r="G16" i="70"/>
  <c r="G20" i="26"/>
  <c r="I12" i="194" l="1"/>
  <c r="M10" i="194"/>
  <c r="I8" i="194"/>
  <c r="F15" i="193"/>
  <c r="D21" i="193"/>
  <c r="D22" i="193" s="1"/>
  <c r="D23" i="193" s="1"/>
  <c r="D10" i="70"/>
  <c r="D12" i="70" s="1"/>
  <c r="G30" i="26"/>
  <c r="G57" i="113"/>
  <c r="H57" i="113" s="1"/>
  <c r="G57" i="98"/>
  <c r="N10" i="194" l="1"/>
  <c r="M12" i="194"/>
  <c r="M8" i="194" s="1"/>
  <c r="C14" i="192"/>
  <c r="F21" i="193"/>
  <c r="H17" i="70"/>
  <c r="H18" i="70" s="1"/>
  <c r="H19" i="70" s="1"/>
  <c r="J17" i="70"/>
  <c r="H57" i="98"/>
  <c r="C21" i="192" l="1"/>
  <c r="D21" i="192" s="1"/>
  <c r="E21" i="192" s="1"/>
  <c r="F22" i="193"/>
  <c r="F23" i="193" s="1"/>
  <c r="D14" i="192"/>
  <c r="D20" i="192" s="1"/>
  <c r="C20" i="192"/>
  <c r="Q10" i="194"/>
  <c r="N12" i="194"/>
  <c r="N8" i="194" s="1"/>
  <c r="N79" i="194" s="1"/>
  <c r="G60" i="113"/>
  <c r="G60" i="98"/>
  <c r="H60" i="98" s="1"/>
  <c r="H63" i="98" s="1"/>
  <c r="H64" i="98" s="1"/>
  <c r="E31" i="35"/>
  <c r="E14" i="192" l="1"/>
  <c r="B23" i="190" s="1"/>
  <c r="N80" i="194"/>
  <c r="N81" i="194" s="1"/>
  <c r="U10" i="194"/>
  <c r="Q12" i="194"/>
  <c r="Q8" i="194" s="1"/>
  <c r="Q79" i="194" s="1"/>
  <c r="Q80" i="194" s="1"/>
  <c r="Q81" i="194" s="1"/>
  <c r="H60" i="113"/>
  <c r="H63" i="113" s="1"/>
  <c r="H64" i="113" s="1"/>
  <c r="G63" i="113"/>
  <c r="G64" i="113" s="1"/>
  <c r="G66" i="113" s="1"/>
  <c r="G63" i="98"/>
  <c r="G64" i="98" s="1"/>
  <c r="G66" i="98" s="1"/>
  <c r="G67" i="98" s="1"/>
  <c r="G68" i="98" s="1"/>
  <c r="G70" i="98" s="1"/>
  <c r="G71" i="98" s="1"/>
  <c r="G72" i="98" s="1"/>
  <c r="D20" i="27"/>
  <c r="G20" i="192" l="1"/>
  <c r="G7" i="191"/>
  <c r="U12" i="194"/>
  <c r="X10" i="194"/>
  <c r="U8" i="194"/>
  <c r="U79" i="194" s="1"/>
  <c r="U80" i="194" s="1"/>
  <c r="U81" i="194" s="1"/>
  <c r="G67" i="113"/>
  <c r="G68" i="113" s="1"/>
  <c r="G70" i="113" s="1"/>
  <c r="G71" i="113" s="1"/>
  <c r="G72" i="113" s="1"/>
  <c r="H66" i="113"/>
  <c r="H67" i="113" s="1"/>
  <c r="H68" i="113" s="1"/>
  <c r="H70" i="113" s="1"/>
  <c r="H71" i="113" s="1"/>
  <c r="H72" i="113" s="1"/>
  <c r="H66" i="98"/>
  <c r="H67" i="98" s="1"/>
  <c r="H68" i="98" s="1"/>
  <c r="H70" i="98" s="1"/>
  <c r="H71" i="98" s="1"/>
  <c r="H72" i="98" s="1"/>
  <c r="D8" i="98" s="1"/>
  <c r="D12" i="27"/>
  <c r="E7" i="35"/>
  <c r="E39" i="35"/>
  <c r="E15" i="35" s="1"/>
  <c r="E37" i="35"/>
  <c r="E13" i="35" s="1"/>
  <c r="E36" i="35"/>
  <c r="E12" i="35" s="1"/>
  <c r="E35" i="35"/>
  <c r="E11" i="35" s="1"/>
  <c r="E34" i="35"/>
  <c r="E10" i="35" s="1"/>
  <c r="E32" i="35"/>
  <c r="E8" i="35" s="1"/>
  <c r="E40" i="35"/>
  <c r="E16" i="35" s="1"/>
  <c r="E41" i="35"/>
  <c r="E17" i="35" s="1"/>
  <c r="E42" i="35"/>
  <c r="E18" i="35" s="1"/>
  <c r="B18" i="35"/>
  <c r="B17" i="35"/>
  <c r="B16" i="35"/>
  <c r="B15" i="35"/>
  <c r="B14" i="35"/>
  <c r="B13" i="35"/>
  <c r="B12" i="35"/>
  <c r="B11" i="35"/>
  <c r="B10" i="35"/>
  <c r="B9" i="35"/>
  <c r="B8" i="35"/>
  <c r="B7" i="35"/>
  <c r="A8" i="191"/>
  <c r="X12" i="194" l="1"/>
  <c r="X8" i="194" s="1"/>
  <c r="X79" i="194" s="1"/>
  <c r="X80" i="194" s="1"/>
  <c r="X81" i="194" s="1"/>
  <c r="Z10" i="194"/>
  <c r="N111" i="128"/>
  <c r="N112" i="128" s="1"/>
  <c r="G9" i="170"/>
  <c r="C20" i="33"/>
  <c r="C17" i="33"/>
  <c r="H75" i="113"/>
  <c r="H76" i="113" s="1"/>
  <c r="D8" i="113"/>
  <c r="H75" i="98"/>
  <c r="H76" i="98" s="1"/>
  <c r="AC10" i="194" l="1"/>
  <c r="Z12" i="194"/>
  <c r="AC12" i="194" s="1"/>
  <c r="C19" i="33"/>
  <c r="D19" i="33" s="1"/>
  <c r="E19" i="33" s="1"/>
  <c r="F9" i="170"/>
  <c r="G11" i="170"/>
  <c r="F11" i="170" s="1"/>
  <c r="D20" i="33"/>
  <c r="E20" i="33" s="1"/>
  <c r="D17" i="33"/>
  <c r="D14" i="27"/>
  <c r="C4" i="27"/>
  <c r="D211" i="1"/>
  <c r="D123" i="1"/>
  <c r="E17" i="33" l="1"/>
  <c r="A7" i="13"/>
  <c r="G30" i="13"/>
  <c r="G31" i="13" s="1"/>
  <c r="G32" i="13" s="1"/>
  <c r="G19" i="13"/>
  <c r="G17" i="13"/>
  <c r="C16" i="33" l="1"/>
  <c r="C13" i="33"/>
  <c r="G8" i="170"/>
  <c r="G20" i="13"/>
  <c r="G24" i="13" s="1"/>
  <c r="G33" i="13"/>
  <c r="G34" i="13" s="1"/>
  <c r="G10" i="170" l="1"/>
  <c r="F10" i="170" s="1"/>
  <c r="F8" i="170"/>
  <c r="D13" i="33"/>
  <c r="D26" i="33" s="1"/>
  <c r="C26" i="33"/>
  <c r="D16" i="33"/>
  <c r="E16" i="33" s="1"/>
  <c r="C30" i="33"/>
  <c r="D30" i="33" s="1"/>
  <c r="E30" i="33" s="1"/>
  <c r="G7" i="170"/>
  <c r="E44" i="33"/>
  <c r="C15" i="33"/>
  <c r="G35" i="13"/>
  <c r="G36" i="13" s="1"/>
  <c r="E13" i="33" l="1"/>
  <c r="E26" i="33" s="1"/>
  <c r="E45" i="33" s="1"/>
  <c r="G51" i="170"/>
  <c r="G52" i="170" s="1"/>
  <c r="G53" i="170" s="1"/>
  <c r="F7" i="170"/>
  <c r="D15" i="33"/>
  <c r="E15" i="33" s="1"/>
  <c r="C29" i="33"/>
  <c r="D29" i="33" s="1"/>
  <c r="E29" i="33" s="1"/>
  <c r="G37" i="13"/>
  <c r="G38" i="13" s="1"/>
  <c r="G39" i="13" l="1"/>
  <c r="G40" i="13" s="1"/>
  <c r="G41" i="13" l="1"/>
  <c r="G42" i="13" s="1"/>
  <c r="D16" i="27" l="1"/>
  <c r="D18" i="27" s="1"/>
  <c r="D19" i="27" s="1"/>
  <c r="H20" i="27" s="1"/>
  <c r="H21" i="27" s="1"/>
  <c r="B28" i="36" l="1"/>
  <c r="G5" i="37" l="1"/>
  <c r="A6" i="37"/>
  <c r="B31" i="128" l="1"/>
  <c r="B32" i="128" l="1"/>
  <c r="B33" i="128" s="1"/>
  <c r="B34" i="128" s="1"/>
  <c r="B35" i="128" s="1"/>
  <c r="B36" i="128" s="1"/>
  <c r="B37" i="128" s="1"/>
  <c r="B38" i="128" s="1"/>
  <c r="F39" i="128" l="1"/>
  <c r="B39" i="128"/>
  <c r="B40" i="128" s="1"/>
  <c r="B41" i="128" s="1"/>
  <c r="B42" i="128" s="1"/>
  <c r="B43" i="128" s="1"/>
  <c r="B44" i="128" l="1"/>
  <c r="B45" i="128" s="1"/>
  <c r="B46" i="128" s="1"/>
  <c r="B47" i="128" s="1"/>
  <c r="B48" i="128" s="1"/>
  <c r="B49" i="128" s="1"/>
  <c r="F45" i="128" l="1"/>
  <c r="F50" i="128"/>
  <c r="B50" i="128"/>
  <c r="B51" i="128" s="1"/>
  <c r="B52" i="128" s="1"/>
  <c r="B53" i="128" s="1"/>
  <c r="B54" i="128" s="1"/>
  <c r="F60" i="128" l="1"/>
  <c r="F61" i="128"/>
  <c r="B55" i="128"/>
  <c r="F58" i="128" s="1"/>
  <c r="F59" i="128"/>
  <c r="F68" i="128" l="1"/>
  <c r="B56" i="128"/>
  <c r="F62" i="128"/>
  <c r="F65" i="128"/>
  <c r="F66" i="128"/>
  <c r="F67" i="128"/>
  <c r="F64" i="128"/>
  <c r="B57" i="128" l="1"/>
  <c r="B58" i="128" s="1"/>
  <c r="B59" i="128" s="1"/>
  <c r="B60" i="128" s="1"/>
  <c r="B61" i="128" s="1"/>
  <c r="B62" i="128" s="1"/>
  <c r="B63" i="128" s="1"/>
  <c r="B64" i="128" s="1"/>
  <c r="B65" i="128" s="1"/>
  <c r="B66" i="128" s="1"/>
  <c r="B67" i="128" s="1"/>
  <c r="B68" i="128" s="1"/>
  <c r="B69" i="128" s="1"/>
  <c r="B70" i="128" s="1"/>
  <c r="B71" i="128" s="1"/>
  <c r="F57" i="128"/>
  <c r="F76" i="128" l="1"/>
  <c r="F78" i="128"/>
  <c r="B72" i="128"/>
  <c r="B73" i="128" s="1"/>
  <c r="B74" i="128" s="1"/>
  <c r="B75" i="128" s="1"/>
  <c r="B76" i="128" s="1"/>
  <c r="B77" i="128" s="1"/>
  <c r="B78" i="128" s="1"/>
  <c r="B79" i="128" s="1"/>
  <c r="B80" i="128" s="1"/>
  <c r="F75" i="128"/>
  <c r="F77" i="128"/>
  <c r="F73" i="128"/>
  <c r="F74" i="128"/>
  <c r="F72" i="128"/>
  <c r="F81" i="128" l="1"/>
  <c r="B81" i="128"/>
  <c r="B82" i="128" s="1"/>
  <c r="B83" i="128" l="1"/>
  <c r="B84" i="128" s="1"/>
  <c r="B85" i="128" s="1"/>
  <c r="B86" i="128" s="1"/>
  <c r="B87" i="128" s="1"/>
  <c r="B88" i="128" s="1"/>
  <c r="B89" i="128" s="1"/>
  <c r="B90" i="128" s="1"/>
  <c r="B91" i="128" s="1"/>
  <c r="B92" i="128" s="1"/>
  <c r="B93" i="128" s="1"/>
  <c r="B94" i="128" s="1"/>
  <c r="B95" i="128" s="1"/>
  <c r="B96" i="128" s="1"/>
  <c r="B97" i="128" s="1"/>
  <c r="B98" i="128" s="1"/>
  <c r="B99" i="128" s="1"/>
  <c r="B100" i="128" s="1"/>
  <c r="B101" i="128" s="1"/>
  <c r="B102" i="128" s="1"/>
  <c r="B103" i="128" s="1"/>
  <c r="B104" i="128" s="1"/>
  <c r="B105" i="128" s="1"/>
  <c r="B106" i="128" s="1"/>
  <c r="B107" i="128" s="1"/>
  <c r="B108" i="128" s="1"/>
  <c r="B109" i="128" s="1"/>
</calcChain>
</file>

<file path=xl/comments1.xml><?xml version="1.0" encoding="utf-8"?>
<comments xmlns="http://schemas.openxmlformats.org/spreadsheetml/2006/main">
  <authors>
    <author>Сергей</author>
    <author>Alex</author>
    <author>Алексей</author>
    <author>Alex Sosedko</author>
  </authors>
  <commentList>
    <comment ref="B4" authorId="0" shapeId="0">
      <text>
        <r>
          <rPr>
            <sz val="8"/>
            <rFont val="Tahoma"/>
            <family val="2"/>
            <charset val="204"/>
          </rPr>
          <t>Титул::&lt;Индекс/ЛН локальной сметы&gt;   &lt;Регистрационный номер локальной сметы&gt;</t>
        </r>
      </text>
    </comment>
    <comment ref="B7" authorId="0" shapeId="0">
      <text>
        <r>
          <rPr>
            <sz val="8"/>
            <rFont val="Tahoma"/>
            <family val="2"/>
            <charset val="204"/>
          </rPr>
          <t>Титул::&lt;Наименование стройки&gt;, &lt;Наименование объекта&gt;, &lt;Наименование локальной сметы&gt;, &lt;Наименование очереди&gt;</t>
        </r>
      </text>
    </comment>
    <comment ref="C11" authorId="0" shapeId="0">
      <text>
        <r>
          <rPr>
            <sz val="8"/>
            <rFont val="Tahoma"/>
            <family val="2"/>
            <charset val="204"/>
          </rPr>
          <t>Титул::&lt;подпись 240 значение&gt;</t>
        </r>
      </text>
    </comment>
    <comment ref="C13" authorId="1" shapeId="0">
      <text>
        <r>
          <rPr>
            <b/>
            <sz val="8"/>
            <rFont val="Tahoma"/>
            <family val="2"/>
            <charset val="204"/>
          </rPr>
          <t>Титул::&lt;подпись 230 значение&gt;</t>
        </r>
      </text>
    </comment>
    <comment ref="B15" authorId="2" shapeId="0">
      <text>
        <r>
          <rPr>
            <b/>
            <sz val="9"/>
            <rFont val="Tahoma"/>
            <family val="2"/>
            <charset val="204"/>
          </rPr>
          <t>Титул::&lt;Итого по расчету&gt; &lt;Единица измерения стомости&gt;</t>
        </r>
      </text>
    </comment>
    <comment ref="E17" authorId="2" shapeId="0">
      <text>
        <r>
          <rPr>
            <b/>
            <sz val="9"/>
            <rFont val="Tahoma"/>
            <family val="2"/>
            <charset val="204"/>
          </rPr>
          <t>Титул::&lt;Единица измерения стомости&gt;</t>
        </r>
      </text>
    </comment>
    <comment ref="F17" authorId="2" shapeId="0">
      <text>
        <r>
          <rPr>
            <b/>
            <sz val="9"/>
            <rFont val="Tahoma"/>
            <family val="2"/>
            <charset val="204"/>
          </rPr>
          <t>Титул::&lt;Единица измерения стомости&gt;</t>
        </r>
      </text>
    </comment>
    <comment ref="B18" authorId="0" shapeId="0">
      <text>
        <r>
          <rPr>
            <sz val="8"/>
            <rFont val="Tahoma"/>
            <family val="2"/>
            <charset val="204"/>
          </rPr>
          <t>ПИР::&lt;Номер позиции по смете&gt;</t>
        </r>
      </text>
    </comment>
    <comment ref="C18" authorId="0" shapeId="0">
      <text>
        <r>
          <rPr>
            <sz val="8"/>
            <rFont val="Tahoma"/>
            <family val="2"/>
            <charset val="204"/>
          </rPr>
          <t>ПИР::&lt;Наименование (текстовая часть) расценки&gt;, &lt;Расчет физ. объема&gt;(&lt;Ед. измерения по расценке&gt;)&lt;Пустой идентификатор&gt;</t>
        </r>
      </text>
    </comment>
    <comment ref="D18" authorId="3" shapeId="0">
      <text>
        <r>
          <rPr>
            <sz val="8"/>
            <rFont val="Tahoma"/>
            <family val="2"/>
            <charset val="204"/>
          </rPr>
          <t>ПИР::&lt;Номера частей&gt;
(&lt;Обоснование (код) позиции&gt;)&lt;Пустой идентификатор&gt;&lt;Наименование коэффициентов со значениями&gt;</t>
        </r>
      </text>
    </comment>
    <comment ref="E18" authorId="0" shapeId="0">
      <text>
        <r>
          <rPr>
            <sz val="8"/>
            <rFont val="Tahoma"/>
            <family val="2"/>
            <charset val="204"/>
          </rPr>
          <t>ПИР::&lt;Расчет стомости&gt;,
где количество &lt;Количество всего (физ. объем) по позиции&gt;=&lt;Формула расчета физ. объема&gt;</t>
        </r>
      </text>
    </comment>
    <comment ref="F18" authorId="1" shapeId="0">
      <text>
        <r>
          <rPr>
            <b/>
            <sz val="8"/>
            <rFont val="Tahoma"/>
            <family val="2"/>
            <charset val="204"/>
          </rPr>
          <t>ПИР::&lt;Стоимость&gt;&lt;Стоимость КОС&gt;</t>
        </r>
      </text>
    </comment>
    <comment ref="B101" authorId="2" shapeId="0">
      <text>
        <r>
          <rPr>
            <b/>
            <sz val="9"/>
            <rFont val="Tahoma"/>
            <family val="2"/>
            <charset val="204"/>
          </rPr>
          <t>Хвост::______________ &lt;подпись 360 значение&gt;</t>
        </r>
      </text>
    </comment>
    <comment ref="B102" authorId="2" shapeId="0">
      <text>
        <r>
          <rPr>
            <b/>
            <sz val="9"/>
            <rFont val="Tahoma"/>
            <family val="2"/>
            <charset val="204"/>
          </rPr>
          <t>Хвост::____________________ &lt;подпись 390 значение&gt;</t>
        </r>
      </text>
    </comment>
    <comment ref="B103" authorId="2" shapeId="0">
      <text>
        <r>
          <rPr>
            <b/>
            <sz val="9"/>
            <rFont val="Tahoma"/>
            <family val="2"/>
            <charset val="204"/>
          </rPr>
          <t>Хвост::___________________________ &lt;подпись 300 значение&gt;</t>
        </r>
      </text>
    </comment>
    <comment ref="B104" authorId="2" shapeId="0">
      <text>
        <r>
          <rPr>
            <b/>
            <sz val="9"/>
            <rFont val="Tahoma"/>
            <family val="2"/>
            <charset val="204"/>
          </rPr>
          <t>Хвост::___________________________ &lt;подпись 310 значение&gt;</t>
        </r>
      </text>
    </comment>
    <comment ref="B106" authorId="2" shapeId="0">
      <text>
        <r>
          <rPr>
            <b/>
            <sz val="9"/>
            <rFont val="Tahoma"/>
            <family val="2"/>
            <charset val="204"/>
          </rPr>
          <t>Хвост::&lt;Описание локальной сметы&gt;</t>
        </r>
      </text>
    </comment>
  </commentList>
</comments>
</file>

<file path=xl/comments2.xml><?xml version="1.0" encoding="utf-8"?>
<comments xmlns="http://schemas.openxmlformats.org/spreadsheetml/2006/main">
  <authors>
    <author>Сергей</author>
    <author>Alex</author>
    <author>Алексей</author>
    <author>Alex Sosedko</author>
  </authors>
  <commentList>
    <comment ref="B4" authorId="0" shapeId="0">
      <text>
        <r>
          <rPr>
            <sz val="8"/>
            <rFont val="Tahoma"/>
            <family val="2"/>
            <charset val="204"/>
          </rPr>
          <t>Титул::&lt;Индекс/ЛН локальной сметы&gt;   &lt;Регистрационный номер локальной сметы&gt;</t>
        </r>
      </text>
    </comment>
    <comment ref="B7" authorId="0" shapeId="0">
      <text>
        <r>
          <rPr>
            <sz val="8"/>
            <rFont val="Tahoma"/>
            <family val="2"/>
            <charset val="204"/>
          </rPr>
          <t>Титул::&lt;Наименование стройки&gt;, &lt;Наименование объекта&gt;, &lt;Наименование локальной сметы&gt;, &lt;Наименование очереди&gt;</t>
        </r>
      </text>
    </comment>
    <comment ref="C11" authorId="0" shapeId="0">
      <text>
        <r>
          <rPr>
            <sz val="8"/>
            <rFont val="Tahoma"/>
            <family val="2"/>
            <charset val="204"/>
          </rPr>
          <t>Титул::&lt;подпись 240 значение&gt;</t>
        </r>
      </text>
    </comment>
    <comment ref="C13" authorId="1" shapeId="0">
      <text>
        <r>
          <rPr>
            <b/>
            <sz val="8"/>
            <rFont val="Tahoma"/>
            <family val="2"/>
            <charset val="204"/>
          </rPr>
          <t>Титул::&lt;подпись 230 значение&gt;</t>
        </r>
      </text>
    </comment>
    <comment ref="B15" authorId="2" shapeId="0">
      <text>
        <r>
          <rPr>
            <b/>
            <sz val="9"/>
            <rFont val="Tahoma"/>
            <family val="2"/>
            <charset val="204"/>
          </rPr>
          <t>Титул::&lt;Итого по расчету&gt; &lt;Единица измерения стомости&gt;</t>
        </r>
      </text>
    </comment>
    <comment ref="E17" authorId="2" shapeId="0">
      <text>
        <r>
          <rPr>
            <b/>
            <sz val="9"/>
            <rFont val="Tahoma"/>
            <family val="2"/>
            <charset val="204"/>
          </rPr>
          <t>Титул::&lt;Единица измерения стомости&gt;</t>
        </r>
      </text>
    </comment>
    <comment ref="F17" authorId="2" shapeId="0">
      <text>
        <r>
          <rPr>
            <b/>
            <sz val="9"/>
            <rFont val="Tahoma"/>
            <family val="2"/>
            <charset val="204"/>
          </rPr>
          <t>Титул::&lt;Единица измерения стомости&gt;</t>
        </r>
      </text>
    </comment>
    <comment ref="B18" authorId="0" shapeId="0">
      <text>
        <r>
          <rPr>
            <sz val="8"/>
            <rFont val="Tahoma"/>
            <family val="2"/>
            <charset val="204"/>
          </rPr>
          <t>ПИР::&lt;Номер позиции по смете&gt;</t>
        </r>
      </text>
    </comment>
    <comment ref="C18" authorId="0" shapeId="0">
      <text>
        <r>
          <rPr>
            <sz val="8"/>
            <rFont val="Tahoma"/>
            <family val="2"/>
            <charset val="204"/>
          </rPr>
          <t>ПИР::&lt;Наименование (текстовая часть) расценки&gt;, &lt;Расчет физ. объема&gt;(&lt;Ед. измерения по расценке&gt;)&lt;Пустой идентификатор&gt;</t>
        </r>
      </text>
    </comment>
    <comment ref="D18" authorId="3" shapeId="0">
      <text>
        <r>
          <rPr>
            <sz val="8"/>
            <rFont val="Tahoma"/>
            <family val="2"/>
            <charset val="204"/>
          </rPr>
          <t>ПИР::&lt;Номера частей&gt;
(&lt;Обоснование (код) позиции&gt;)&lt;Пустой идентификатор&gt;&lt;Наименование коэффициентов со значениями&gt;</t>
        </r>
      </text>
    </comment>
    <comment ref="E18" authorId="0" shapeId="0">
      <text>
        <r>
          <rPr>
            <sz val="8"/>
            <rFont val="Tahoma"/>
            <family val="2"/>
            <charset val="204"/>
          </rPr>
          <t>ПИР::&lt;Расчет стомости&gt;,
где количество &lt;Количество всего (физ. объем) по позиции&gt;=&lt;Формула расчета физ. объема&gt;</t>
        </r>
      </text>
    </comment>
    <comment ref="F18" authorId="1" shapeId="0">
      <text>
        <r>
          <rPr>
            <b/>
            <sz val="8"/>
            <rFont val="Tahoma"/>
            <family val="2"/>
            <charset val="204"/>
          </rPr>
          <t>ПИР::&lt;Стоимость&gt;&lt;Стоимость КОС&gt;</t>
        </r>
      </text>
    </comment>
    <comment ref="B103" authorId="2" shapeId="0">
      <text>
        <r>
          <rPr>
            <b/>
            <sz val="9"/>
            <rFont val="Tahoma"/>
            <family val="2"/>
            <charset val="204"/>
          </rPr>
          <t>Хвост::______________ &lt;подпись 360 значение&gt;</t>
        </r>
      </text>
    </comment>
    <comment ref="B104" authorId="2" shapeId="0">
      <text>
        <r>
          <rPr>
            <b/>
            <sz val="9"/>
            <rFont val="Tahoma"/>
            <family val="2"/>
            <charset val="204"/>
          </rPr>
          <t>Хвост::____________________ &lt;подпись 390 значение&gt;</t>
        </r>
      </text>
    </comment>
    <comment ref="B105" authorId="2" shapeId="0">
      <text>
        <r>
          <rPr>
            <b/>
            <sz val="9"/>
            <rFont val="Tahoma"/>
            <family val="2"/>
            <charset val="204"/>
          </rPr>
          <t>Хвост::___________________________ &lt;подпись 300 значение&gt;</t>
        </r>
      </text>
    </comment>
    <comment ref="B106" authorId="2" shapeId="0">
      <text>
        <r>
          <rPr>
            <b/>
            <sz val="9"/>
            <rFont val="Tahoma"/>
            <family val="2"/>
            <charset val="204"/>
          </rPr>
          <t>Хвост::___________________________ &lt;подпись 310 значение&gt;</t>
        </r>
      </text>
    </comment>
    <comment ref="B108" authorId="2" shapeId="0">
      <text>
        <r>
          <rPr>
            <b/>
            <sz val="9"/>
            <rFont val="Tahoma"/>
            <family val="2"/>
            <charset val="204"/>
          </rPr>
          <t>Хвост::&lt;Описание локальной сметы&gt;</t>
        </r>
      </text>
    </comment>
  </commentList>
</comments>
</file>

<file path=xl/comments3.xml><?xml version="1.0" encoding="utf-8"?>
<comments xmlns="http://schemas.openxmlformats.org/spreadsheetml/2006/main">
  <authors>
    <author>Alex</author>
    <author>Алексей</author>
    <author>Сергей</author>
    <author>Alex Sosedko</author>
  </authors>
  <commentList>
    <comment ref="C13" authorId="0" shapeId="0">
      <text>
        <r>
          <rPr>
            <b/>
            <sz val="8"/>
            <rFont val="Tahoma"/>
            <family val="2"/>
            <charset val="204"/>
          </rPr>
          <t>Титул::&lt;подпись 230 значение&gt;</t>
        </r>
      </text>
    </comment>
    <comment ref="B15" authorId="1" shapeId="0">
      <text>
        <r>
          <rPr>
            <b/>
            <sz val="9"/>
            <rFont val="Tahoma"/>
            <family val="2"/>
            <charset val="204"/>
          </rPr>
          <t>Титул::&lt;Итого по расчету&gt; &lt;Единица измерения стомости&gt;</t>
        </r>
      </text>
    </comment>
    <comment ref="B18" authorId="2" shapeId="0">
      <text>
        <r>
          <rPr>
            <sz val="8"/>
            <rFont val="Tahoma"/>
            <family val="2"/>
            <charset val="204"/>
          </rPr>
          <t>ПИР::&lt;Номер позиции по смете&gt;</t>
        </r>
      </text>
    </comment>
    <comment ref="C18" authorId="2" shapeId="0">
      <text>
        <r>
          <rPr>
            <sz val="8"/>
            <rFont val="Tahoma"/>
            <family val="2"/>
            <charset val="204"/>
          </rPr>
          <t>ПИР::&lt;Наименование (текстовая часть) расценки&gt;, &lt;Расчет физ. объема&gt;(&lt;Ед. измерения по расценке&gt;)&lt;Пустой идентификатор&gt;</t>
        </r>
      </text>
    </comment>
    <comment ref="D18" authorId="3" shapeId="0">
      <text>
        <r>
          <rPr>
            <sz val="8"/>
            <rFont val="Tahoma"/>
            <family val="2"/>
            <charset val="204"/>
          </rPr>
          <t>ПИР::&lt;Номера частей&gt;
(&lt;Обоснование (код) позиции&gt;)&lt;Пустой идентификатор&gt;&lt;Наименование коэффициентов&gt;</t>
        </r>
      </text>
    </comment>
    <comment ref="E18" authorId="2" shapeId="0">
      <text>
        <r>
          <rPr>
            <sz val="8"/>
            <rFont val="Tahoma"/>
            <family val="2"/>
            <charset val="204"/>
          </rPr>
          <t>ПИР::&lt;Расчет стомости&gt;
&lt;Расчет стомости - формула&gt;&lt;Обоснование коэффициентов&gt;</t>
        </r>
      </text>
    </comment>
    <comment ref="F18" authorId="0" shapeId="0">
      <text>
        <r>
          <rPr>
            <b/>
            <sz val="8"/>
            <rFont val="Tahoma"/>
            <family val="2"/>
            <charset val="204"/>
          </rPr>
          <t>ПИР::&lt;Стоимость&gt;&lt;Стоимость КОС&gt;</t>
        </r>
      </text>
    </comment>
    <comment ref="B936" authorId="1" shapeId="0">
      <text>
        <r>
          <rPr>
            <b/>
            <sz val="9"/>
            <rFont val="Tahoma"/>
            <family val="2"/>
            <charset val="204"/>
          </rPr>
          <t>Хвост::______________ &lt;подпись 360 значение&gt;</t>
        </r>
      </text>
    </comment>
    <comment ref="B937" authorId="1" shapeId="0">
      <text>
        <r>
          <rPr>
            <b/>
            <sz val="9"/>
            <rFont val="Tahoma"/>
            <family val="2"/>
            <charset val="204"/>
          </rPr>
          <t>Хвост::____________________ &lt;подпись 390 значение&gt;</t>
        </r>
      </text>
    </comment>
    <comment ref="B938" authorId="1" shapeId="0">
      <text>
        <r>
          <rPr>
            <b/>
            <sz val="9"/>
            <rFont val="Tahoma"/>
            <family val="2"/>
            <charset val="204"/>
          </rPr>
          <t>Хвост::___________________________ &lt;подпись 300 значение&gt;</t>
        </r>
      </text>
    </comment>
    <comment ref="B939" authorId="1" shapeId="0">
      <text>
        <r>
          <rPr>
            <b/>
            <sz val="9"/>
            <rFont val="Tahoma"/>
            <family val="2"/>
            <charset val="204"/>
          </rPr>
          <t>Хвост::___________________________ &lt;подпись 310 значение&gt;</t>
        </r>
      </text>
    </comment>
    <comment ref="B941" authorId="1" shapeId="0">
      <text>
        <r>
          <rPr>
            <b/>
            <sz val="9"/>
            <rFont val="Tahoma"/>
            <family val="2"/>
            <charset val="204"/>
          </rPr>
          <t>Хвост::&lt;Описание локальной сметы&gt;</t>
        </r>
      </text>
    </comment>
  </commentList>
</comments>
</file>

<file path=xl/comments4.xml><?xml version="1.0" encoding="utf-8"?>
<comments xmlns="http://schemas.openxmlformats.org/spreadsheetml/2006/main">
  <authors>
    <author>Alex Sosedko</author>
    <author>kdedova</author>
  </authors>
  <commentList>
    <comment ref="A14" authorId="0" shapeId="0">
      <text>
        <r>
          <rPr>
            <b/>
            <sz val="8"/>
            <color indexed="81"/>
            <rFont val="Tahoma"/>
            <family val="2"/>
            <charset val="204"/>
          </rPr>
          <t xml:space="preserve"> ЛокСмета:: &lt;Номер позиции по смете&gt;</t>
        </r>
      </text>
    </comment>
    <comment ref="B14" authorId="0" shapeId="0">
      <text>
        <r>
          <rPr>
            <b/>
            <sz val="8"/>
            <color indexed="81"/>
            <rFont val="Tahoma"/>
            <family val="2"/>
            <charset val="204"/>
          </rPr>
          <t xml:space="preserve"> ЛокСмета:: &lt;Наименование (текстовая часть) расценки&gt;                                         &lt;Формула расчета стоимости единицы&gt;
&lt;Обоснование коэффициентов&gt;</t>
        </r>
      </text>
    </comment>
    <comment ref="C14" authorId="1" shapeId="0">
      <text>
        <r>
          <rPr>
            <sz val="8"/>
            <color indexed="81"/>
            <rFont val="Tahoma"/>
            <family val="2"/>
            <charset val="204"/>
          </rPr>
          <t xml:space="preserve"> ЛокСмета::&lt;Обоснование (код) позиции&gt;
&lt;Комментарии из базы данных к расценке&gt;
&lt;Примечание&gt;</t>
        </r>
      </text>
    </comment>
    <comment ref="D14" authorId="0" shapeId="0">
      <text>
        <r>
          <rPr>
            <b/>
            <sz val="8"/>
            <color indexed="81"/>
            <rFont val="Tahoma"/>
            <family val="2"/>
            <charset val="204"/>
          </rPr>
          <t xml:space="preserve"> ЛокСмета:: &lt;Ед. измерения по расценке&gt;</t>
        </r>
      </text>
    </comment>
    <comment ref="E14" authorId="0" shapeId="0">
      <text>
        <r>
          <rPr>
            <b/>
            <sz val="8"/>
            <color indexed="81"/>
            <rFont val="Tahoma"/>
            <family val="2"/>
            <charset val="204"/>
          </rPr>
          <t xml:space="preserve"> ЛокСмета:: &lt;Количество всего (физ. объем) по позиции&gt; </t>
        </r>
      </text>
    </comment>
    <comment ref="F14" authorId="0" shapeId="0">
      <text>
        <r>
          <rPr>
            <b/>
            <sz val="8"/>
            <color indexed="81"/>
            <rFont val="Tahoma"/>
            <family val="2"/>
            <charset val="204"/>
          </rPr>
          <t xml:space="preserve"> ЛокСмета::&lt;ПЗ по позиции на единицу в базисных ценах с учетом всех к-тов&gt;</t>
        </r>
      </text>
    </comment>
    <comment ref="G14" authorId="0" shapeId="0">
      <text>
        <r>
          <rPr>
            <b/>
            <sz val="8"/>
            <color indexed="81"/>
            <rFont val="Tahoma"/>
            <family val="2"/>
            <charset val="204"/>
          </rPr>
          <t xml:space="preserve"> ЛокСмета::&lt;ИТОГО ПЗ по позиции для БИМ&gt;</t>
        </r>
      </text>
    </comment>
    <comment ref="A41" authorId="0" shapeId="0">
      <text>
        <r>
          <rPr>
            <b/>
            <sz val="8"/>
            <color indexed="81"/>
            <rFont val="Tahoma"/>
            <family val="2"/>
            <charset val="204"/>
          </rPr>
          <t xml:space="preserve"> Итоги:: &lt;Текстовая часть (итоги)&gt;</t>
        </r>
      </text>
    </comment>
    <comment ref="G41" authorId="0" shapeId="0">
      <text>
        <r>
          <rPr>
            <b/>
            <sz val="8"/>
            <color indexed="81"/>
            <rFont val="Tahoma"/>
            <family val="2"/>
            <charset val="204"/>
          </rPr>
          <t xml:space="preserve"> Итоги:: &lt;Прямые затраты (итоги)&gt;</t>
        </r>
      </text>
    </comment>
  </commentList>
</comments>
</file>

<file path=xl/sharedStrings.xml><?xml version="1.0" encoding="utf-8"?>
<sst xmlns="http://schemas.openxmlformats.org/spreadsheetml/2006/main" count="41330" uniqueCount="9214">
  <si>
    <t>га</t>
  </si>
  <si>
    <t>Подэтап 7.2 Благоустройство санитарной зоны</t>
  </si>
  <si>
    <t>Проектная документация</t>
  </si>
  <si>
    <t>Ориентировочные технические характеристики проектируемых зданий и сооружений</t>
  </si>
  <si>
    <t>по объекту «Благоустройство туристической деревни поляна Азау и прилегающей территории»</t>
  </si>
  <si>
    <t>№ п/п</t>
  </si>
  <si>
    <t>Наименование объектов, систем</t>
  </si>
  <si>
    <t>Ед. изм. основного показателя</t>
  </si>
  <si>
    <t>Основной технический показатель</t>
  </si>
  <si>
    <t>Уровень</t>
  </si>
  <si>
    <t>ответственности</t>
  </si>
  <si>
    <t>Этап 1. Благоустройство въездной группы</t>
  </si>
  <si>
    <t>1.1.</t>
  </si>
  <si>
    <t>Площадь</t>
  </si>
  <si>
    <t>1.2.</t>
  </si>
  <si>
    <t>Арка/стела</t>
  </si>
  <si>
    <t>1.3.</t>
  </si>
  <si>
    <t>Система автоматического туристско-информационного центра (ТИЦ)</t>
  </si>
  <si>
    <t>1.4.</t>
  </si>
  <si>
    <t>Навигация</t>
  </si>
  <si>
    <t>1.5.</t>
  </si>
  <si>
    <t>Освещение</t>
  </si>
  <si>
    <t>1.6.</t>
  </si>
  <si>
    <t>Парковочный стояночный карман</t>
  </si>
  <si>
    <t>1.7.</t>
  </si>
  <si>
    <t>Шлагбаум</t>
  </si>
  <si>
    <t>1.8.</t>
  </si>
  <si>
    <t>МАФ</t>
  </si>
  <si>
    <t>пониженный</t>
  </si>
  <si>
    <t>1.9.</t>
  </si>
  <si>
    <t>Общественный туалет</t>
  </si>
  <si>
    <t>Этап 2. Благоустройство центральной площади и площади зоны выката</t>
  </si>
  <si>
    <t>2.1.</t>
  </si>
  <si>
    <t>2.2.</t>
  </si>
  <si>
    <t>Кинотеатр на открытом воздухе</t>
  </si>
  <si>
    <t>2.3.</t>
  </si>
  <si>
    <t xml:space="preserve">Пешеходные зоны </t>
  </si>
  <si>
    <t>2.4.</t>
  </si>
  <si>
    <t>Открытый камин</t>
  </si>
  <si>
    <t>2.5.</t>
  </si>
  <si>
    <t>Каток</t>
  </si>
  <si>
    <t>габариты 40 х 20м</t>
  </si>
  <si>
    <t>2.6.</t>
  </si>
  <si>
    <t>2.7.</t>
  </si>
  <si>
    <t>2.8.</t>
  </si>
  <si>
    <t>2.9.</t>
  </si>
  <si>
    <t>Иллюминация</t>
  </si>
  <si>
    <t>2.10.</t>
  </si>
  <si>
    <t>2.11.</t>
  </si>
  <si>
    <t>Фотозона</t>
  </si>
  <si>
    <t>2.12.</t>
  </si>
  <si>
    <t xml:space="preserve">2.13. </t>
  </si>
  <si>
    <t>Ливневые лотки</t>
  </si>
  <si>
    <t>Этап 3. Благоустройство дорожной (уличной) сети</t>
  </si>
  <si>
    <t>3.1.</t>
  </si>
  <si>
    <t>3.2.</t>
  </si>
  <si>
    <t>3.3.</t>
  </si>
  <si>
    <t>Велодорожки</t>
  </si>
  <si>
    <t>3.4.</t>
  </si>
  <si>
    <t>3.5.</t>
  </si>
  <si>
    <t>3.6.</t>
  </si>
  <si>
    <t>3.7.</t>
  </si>
  <si>
    <t>Остановочные пункты для общественного транспорта</t>
  </si>
  <si>
    <t>3.8.</t>
  </si>
  <si>
    <t>Площадки для размещения НТО</t>
  </si>
  <si>
    <t xml:space="preserve">3.9. </t>
  </si>
  <si>
    <t>Этап 4 (Лот №1). Благоустройство зоны рекреации</t>
  </si>
  <si>
    <t>4.1.</t>
  </si>
  <si>
    <t>4.2.</t>
  </si>
  <si>
    <t>Пешеходные тропы</t>
  </si>
  <si>
    <t>4.3.</t>
  </si>
  <si>
    <t>Зона пикника</t>
  </si>
  <si>
    <t>4.4.</t>
  </si>
  <si>
    <t>4.5.</t>
  </si>
  <si>
    <t>Озеленение</t>
  </si>
  <si>
    <t>4.6.</t>
  </si>
  <si>
    <t>4.7.</t>
  </si>
  <si>
    <t>4.8.</t>
  </si>
  <si>
    <t>4.9.</t>
  </si>
  <si>
    <t>Подпорные стены и габионы</t>
  </si>
  <si>
    <t>Этап 5 (Лот №2). Благоустройство зоны рекреации</t>
  </si>
  <si>
    <t>5.1.</t>
  </si>
  <si>
    <t>5.2.</t>
  </si>
  <si>
    <t>5.3.</t>
  </si>
  <si>
    <t>5.4.</t>
  </si>
  <si>
    <t>5.5.</t>
  </si>
  <si>
    <t>5.6.</t>
  </si>
  <si>
    <t>5.7.</t>
  </si>
  <si>
    <t>5.8.</t>
  </si>
  <si>
    <t>Этап 6 (Лот №3). Благоустройство парковой зоны</t>
  </si>
  <si>
    <t>6.1.</t>
  </si>
  <si>
    <t>Подэтап 6.1 – Благоустройство парковой зоны</t>
  </si>
  <si>
    <t>6.1.1.</t>
  </si>
  <si>
    <t>6.1.2.</t>
  </si>
  <si>
    <t>Родельбан</t>
  </si>
  <si>
    <t>6.1.3.</t>
  </si>
  <si>
    <t>Лестница здоровья</t>
  </si>
  <si>
    <t>6.1.4.</t>
  </si>
  <si>
    <t>6.1.5.</t>
  </si>
  <si>
    <t>6.1.6.</t>
  </si>
  <si>
    <t>6.1.7.</t>
  </si>
  <si>
    <t>6.1.8.</t>
  </si>
  <si>
    <t>Подэтап 6.2 - Благоустройство детского парка</t>
  </si>
  <si>
    <t>6.2.1.</t>
  </si>
  <si>
    <t>6.2.2.</t>
  </si>
  <si>
    <t>Площадка для игр</t>
  </si>
  <si>
    <t>6.2.3.</t>
  </si>
  <si>
    <t>6.2.4.</t>
  </si>
  <si>
    <t>Веревочный парк «скай-парк» и полоса препятствий</t>
  </si>
  <si>
    <t>6.2.5.</t>
  </si>
  <si>
    <t>Скалодром</t>
  </si>
  <si>
    <t>6.2.6.</t>
  </si>
  <si>
    <t>6.2.7.</t>
  </si>
  <si>
    <t>6.2.8.</t>
  </si>
  <si>
    <t>Подэтап 6.3 – Благоустройство зоны воркаута</t>
  </si>
  <si>
    <t>6.3.1.</t>
  </si>
  <si>
    <t>6.3.2.</t>
  </si>
  <si>
    <t>Зона воркаута</t>
  </si>
  <si>
    <t>6.3.3.</t>
  </si>
  <si>
    <t>6.3.4.</t>
  </si>
  <si>
    <t>6.3.5.</t>
  </si>
  <si>
    <t>6.3.6.</t>
  </si>
  <si>
    <t>Подэтап 6.4 – Благоустройство парка активного отдыха</t>
  </si>
  <si>
    <t>6.4.1.</t>
  </si>
  <si>
    <t>6.4.2.</t>
  </si>
  <si>
    <r>
      <t>Каток</t>
    </r>
    <r>
      <rPr>
        <sz val="11"/>
        <color theme="1"/>
        <rFont val="Calibri"/>
        <family val="2"/>
        <charset val="204"/>
        <scheme val="minor"/>
      </rPr>
      <t xml:space="preserve"> </t>
    </r>
    <r>
      <rPr>
        <sz val="12"/>
        <color theme="1"/>
        <rFont val="Times New Roman"/>
        <family val="1"/>
        <charset val="204"/>
      </rPr>
      <t>и пункт проката</t>
    </r>
  </si>
  <si>
    <t>6.4.3.</t>
  </si>
  <si>
    <t>6.4.4.</t>
  </si>
  <si>
    <t>6.4.5.</t>
  </si>
  <si>
    <t xml:space="preserve">Универсальная детская площадка </t>
  </si>
  <si>
    <t>м2</t>
  </si>
  <si>
    <t>250 - 500</t>
  </si>
  <si>
    <t>6.4.6.</t>
  </si>
  <si>
    <t>Площадка воркаут</t>
  </si>
  <si>
    <t>6.4.7.</t>
  </si>
  <si>
    <t>6.4.8.</t>
  </si>
  <si>
    <t>6.4.9.</t>
  </si>
  <si>
    <t>Площадки размещения НТО</t>
  </si>
  <si>
    <t>6.4.10.</t>
  </si>
  <si>
    <t>6.4.11.</t>
  </si>
  <si>
    <t>Подпорные стенки и габионы</t>
  </si>
  <si>
    <t>6.4.12.</t>
  </si>
  <si>
    <t>Этап 7 (Лот №4)</t>
  </si>
  <si>
    <t>Подэтап 7.1 Благоустройство зоны рекреации</t>
  </si>
  <si>
    <t>7.1.1.</t>
  </si>
  <si>
    <t>7.1.2.</t>
  </si>
  <si>
    <t>7.1.3.</t>
  </si>
  <si>
    <t>7.1.4.</t>
  </si>
  <si>
    <t>Прогулочная зона</t>
  </si>
  <si>
    <t>7.1.5.</t>
  </si>
  <si>
    <t>7.1.6.</t>
  </si>
  <si>
    <t>7.1.7.</t>
  </si>
  <si>
    <t>Общественные туалеты</t>
  </si>
  <si>
    <t>7.1.8.</t>
  </si>
  <si>
    <t>7.2.1.</t>
  </si>
  <si>
    <t>7.2.2.</t>
  </si>
  <si>
    <t>км</t>
  </si>
  <si>
    <t>объект</t>
  </si>
  <si>
    <t xml:space="preserve">Это  относиться к парковке или является ограждением ? </t>
  </si>
  <si>
    <t xml:space="preserve">Какое кол-во ? </t>
  </si>
  <si>
    <t xml:space="preserve">Это современные  мультимедийные системы : 1.Экран динамического табло; 2.Стойка SOS-INFO   3. WI-FI ;4. Зарядные устройства USB, или администротивно-бытовое здание или павильон ? </t>
  </si>
  <si>
    <t>Какие виды навигации ?  Указатели или современные  мультимедийные системы.</t>
  </si>
  <si>
    <t xml:space="preserve">Какая площадъ? </t>
  </si>
  <si>
    <t xml:space="preserve">Открытй камин как памятник </t>
  </si>
  <si>
    <t xml:space="preserve">Какая протяженность? </t>
  </si>
  <si>
    <t xml:space="preserve">Какая площадъ?  Это объект кап. Строения ? Или переносная композиция? </t>
  </si>
  <si>
    <t xml:space="preserve">Это световая иллюминация фасадов зданий или деревьев? </t>
  </si>
  <si>
    <t xml:space="preserve">Какая протяженность п.м ? </t>
  </si>
  <si>
    <t>Какая площадъ?  Открытый пункт или как Административное здание ?</t>
  </si>
  <si>
    <t>По ГОСТ Р 52766-2007 организация остановочных пунктов  относится к обустройству дорог общего пользования, поэтому для их проектирования можно воспользоваться СБЦП «Автомобильные дороги общего пользования»  с учетом данных Раздела 5 «Таблицы относительной стоимости» (взять только разделы : Организация и безопасность движения и обустройство дорог, Охрана окружающей среды, ПОС и сметная документация). За ед. изм. проектирования принять  одну дорогу протяженностью до 2 км. Применить необходимые коэфф. на условия проектирования из ТЧ.</t>
  </si>
  <si>
    <t>В Справочниках базовых цен на проектные работы для строительства «Городские инженерные сооружения и коммуникации» изд. 2008 г. и «Автомобильные дороги общего пользования изд. 2007 г. стоимость проектирования автобусных остановок, а также заездных карманов к ним, не учтена. Стоимость проектирования заездных карманов можно учесть применительно коэффициентом на дополнительную полосу движения, введя его по пропорции общей протяженности объекта и суммарной протяженности заездных карманов.</t>
  </si>
  <si>
    <t xml:space="preserve">Какая площадь для размещения НТО (Рыночная площадь)?   Будут предусмотрены павильонные ? Какая площадь павильонов? </t>
  </si>
  <si>
    <t>Какая протяженность?</t>
  </si>
  <si>
    <t xml:space="preserve">Какая площадь обогрева? </t>
  </si>
  <si>
    <t>Какая площадь?</t>
  </si>
  <si>
    <t>Озеленение входит в раздел СБЦ  Территориального планирования. ( Благоустройство)</t>
  </si>
  <si>
    <t xml:space="preserve">Какая площадь ? </t>
  </si>
  <si>
    <t xml:space="preserve">Какая площадь  пункта проката? Какая площадъ катка. Каток крытый или открытый ?  </t>
  </si>
  <si>
    <t xml:space="preserve">Какая протяженность п.м ?  </t>
  </si>
  <si>
    <t>Какая площадь га ? Это ландшафтный дизайн ?   Если Ландшафтный дизайн  то  применяется СБЦ "Объекты жилищно-гражданского строительства", М., 2010 г. Если посев газона, то это учтено разделом  СБЦ Территориальное планирование и планировка территорий</t>
  </si>
  <si>
    <t>УТОЧНИТЬ ОБЪЕМЫ</t>
  </si>
  <si>
    <t xml:space="preserve">Заказчик </t>
  </si>
  <si>
    <t>(наименование организации)</t>
  </si>
  <si>
    <t>"Утвержден"    «    »________________2020 г.</t>
  </si>
  <si>
    <t>(наименование работ и затрат, наименование объекта)</t>
  </si>
  <si>
    <t>Наименование работ</t>
  </si>
  <si>
    <t>Обоснование цены</t>
  </si>
  <si>
    <t>Ед. изм.</t>
  </si>
  <si>
    <t>Кол-во</t>
  </si>
  <si>
    <t>Стоимость работ, тыс. руб.</t>
  </si>
  <si>
    <t>1</t>
  </si>
  <si>
    <t>1.1</t>
  </si>
  <si>
    <t>1.2</t>
  </si>
  <si>
    <t>Итого</t>
  </si>
  <si>
    <t>Приказ Министерства регионального развития РФ  Рекомендуемый коэффициент, учитывающих регионально-климатические условиядля Краснодарского края</t>
  </si>
  <si>
    <t>Всего с учетом коэффициентов по разделу 1</t>
  </si>
  <si>
    <t>Работы, не учтенный НЦС и относящие к СМР</t>
  </si>
  <si>
    <t>2.1</t>
  </si>
  <si>
    <t>Фасонные части из полиэтилена (отводы, тройники)</t>
  </si>
  <si>
    <t>ЛСР№02-02 (п14-20)</t>
  </si>
  <si>
    <t>2.2</t>
  </si>
  <si>
    <t>Фасонные части из полиэтилена (седловой отвод)</t>
  </si>
  <si>
    <t>ЛСР02-01  (п 21-23)</t>
  </si>
  <si>
    <t>2.3</t>
  </si>
  <si>
    <t>Фасонные части из полиэтилена (неразьемные соединения)</t>
  </si>
  <si>
    <t>ЛСР02-02  (п 24-26)</t>
  </si>
  <si>
    <t>2,4</t>
  </si>
  <si>
    <t>Футляры на выходе из земли</t>
  </si>
  <si>
    <t>ЛСР02-02  (п 33-36)</t>
  </si>
  <si>
    <t>Итого стоимость работ, не учтенных НЦС, относящие к СМР по разделу 3</t>
  </si>
  <si>
    <t>Итого по разделам 1,2,3</t>
  </si>
  <si>
    <t>Временные здания и сооружения. 3,1%</t>
  </si>
  <si>
    <t>Итого с временными зданиями и сооружениями</t>
  </si>
  <si>
    <t xml:space="preserve">Производствол работ в зимнее время 0,54% </t>
  </si>
  <si>
    <t>Итого с производством работ в зимнее время</t>
  </si>
  <si>
    <t>Строительный контроль 2,14%</t>
  </si>
  <si>
    <t>Итого со строительным контролем</t>
  </si>
  <si>
    <t xml:space="preserve">Непредвиденные затраты 2 % </t>
  </si>
  <si>
    <t>Итого с непредвиденными затратами</t>
  </si>
  <si>
    <t>Итого по состоянию на 4-й кв.2019г. По разделам 1-4</t>
  </si>
  <si>
    <t xml:space="preserve"> НДС 20%</t>
  </si>
  <si>
    <t xml:space="preserve"> ВСЕГО с учетом НДС</t>
  </si>
  <si>
    <t xml:space="preserve">Составил :        </t>
  </si>
  <si>
    <t xml:space="preserve">подпись (должность Ф.И.О. контактный телефон) </t>
  </si>
  <si>
    <t>НЦС81-02-14-2022, табл.14-01-005-07</t>
  </si>
  <si>
    <t>Наружные инженерные сети водопровода из высокопрочных чугунных труб с шаровидным графитом (ВЧШГ), разработка сухого грунта в отвал, без креплений (группа грунтов 4)</t>
  </si>
  <si>
    <t xml:space="preserve">Цена за единицу на 01.01.2022,               тыс. руб. </t>
  </si>
  <si>
    <t>Сети ливневой канализации</t>
  </si>
  <si>
    <t>Сети хоз бытовой канализации 200 м</t>
  </si>
  <si>
    <t>НЦС81-02-14-2022, табл.14-01-005-01</t>
  </si>
  <si>
    <t>Коэффициент перехода от цен базового  района (Московская область) к уровню цен субъектов Северо-Кавказский федеральный округ:  Кабардино-Балкарская Республика</t>
  </si>
  <si>
    <t xml:space="preserve">НЦС81-02-14-2022  ТЧ табл. 11 
(сети канализации)  </t>
  </si>
  <si>
    <t>4</t>
  </si>
  <si>
    <t>5</t>
  </si>
  <si>
    <t>До письменного разъяснения Федерального агенства биотуалеты следует рассматривать как передвижные здания контейнерного типа санитарно-бытового назначения. Согласно п. 1.6 ГСН 81-05-01-2001 приобретение подобного рода сооружений осуществляется за счет собственных средств заказчика или подрядчика.
Затраты подрядчика на износ (или арендную плату) зданий санитарно-бытового назначения контейнерного типа и на их перемещение компенсируются нормой накладных расходов (п.2.3 приложения 6 к МДС 81.33.2004), а затраты на подготовку и восстановление площадки - за счет титульных временных зданий и сооружений (п.4 приложения 2 к ГСН 81-05-01-2001). Затраты на обслуживание биотуалетов в сметной документации и при заключении договора следует учитывать дополнительно в составе прочих затрат.</t>
  </si>
  <si>
    <t xml:space="preserve"> блочно-модульные здания контейнерного типа являются результатами строительства и имеют прочную связь с землей. Следует учитывать, что если фундаментов нет, то это некапитальное строение (п. 10-2 ст. 1 ГрК РФ) и под требования ФЗ № 384 и ГОСТ 27751-2014 не попадает.</t>
  </si>
  <si>
    <t>Кроме того, с точки зрения ФЗ № 384 (который имеет приоритет перед ГОСТ 27751-2014 "Надежность строительных конструкций и оснований. Основные положения"), идентификационные признаки указываются в задании на проектирование (ч. 11 ст. 4 ФЗ № 383). К идентификационным признакам относится уровень ответственности объекта. К зданиям и сооружениям пониженного уровня ответственности относятся здания и сооружения временного (сезонного) назначения, а также здания и сооружения вспомогательного использования, связанные с осуществлением строительства или реконструкции либо расположенные на земельных участках, предоставленных для индивидуального жилищного строительства (ч. 10 ст. 4 ФЗ № 384).</t>
  </si>
  <si>
    <t>4.1</t>
  </si>
  <si>
    <t>6</t>
  </si>
  <si>
    <t>Характеристика предприятия, здания, сооружения или виды работ</t>
  </si>
  <si>
    <t>3.1</t>
  </si>
  <si>
    <t>6.1.9.</t>
  </si>
  <si>
    <t>пм</t>
  </si>
  <si>
    <t>6.1.10</t>
  </si>
  <si>
    <t xml:space="preserve">объект </t>
  </si>
  <si>
    <t>площадь</t>
  </si>
  <si>
    <t>площадь, вид</t>
  </si>
  <si>
    <t>вид</t>
  </si>
  <si>
    <t>Улановская Е.А.</t>
  </si>
  <si>
    <t>6.2.5.1</t>
  </si>
  <si>
    <t>Навигационный указатель</t>
  </si>
  <si>
    <t>6.2.5.2</t>
  </si>
  <si>
    <t>Навигационная стела для размещения карт, схем, городской информации</t>
  </si>
  <si>
    <t>6.2.5.3</t>
  </si>
  <si>
    <t>Навигационная карта</t>
  </si>
  <si>
    <t>6.2.5.4</t>
  </si>
  <si>
    <t>Информационный стенд</t>
  </si>
  <si>
    <t>кол-во</t>
  </si>
  <si>
    <t>шт/кабинка</t>
  </si>
  <si>
    <t>Шевелев О.Ю.</t>
  </si>
  <si>
    <t>протяженность, вид</t>
  </si>
  <si>
    <t>Какая протяженность? 
2 км родельбана, 10 шт тележек, 2 шт. посадочных платформы (одна на старте, одна на финише), 1 шт. операторская, 1 шт. техническое помещение, сети электроснабжения 2 км.</t>
  </si>
  <si>
    <t>протяженность</t>
  </si>
  <si>
    <t>6.1.4.1</t>
  </si>
  <si>
    <t>6.1.4.2</t>
  </si>
  <si>
    <t>6.1.4.3</t>
  </si>
  <si>
    <t>6.1.4.4</t>
  </si>
  <si>
    <t>площадь площадки+площадь павильона+сколько павильонов</t>
  </si>
  <si>
    <t>3/12</t>
  </si>
  <si>
    <t>шт</t>
  </si>
  <si>
    <t xml:space="preserve"> Какая протяженность подпорной стены и её высота ?  Стена из габионов ? 
Подпорная стена - 30 п.м. . Высота 3 м.
Габионы - 20 п.м. Высота 2 м</t>
  </si>
  <si>
    <t>Бородулин А.А., Сермавбрин Н.В.</t>
  </si>
  <si>
    <t>Бородулин А.А.</t>
  </si>
  <si>
    <t>п.м.</t>
  </si>
  <si>
    <t>Сухомлинов М.Н.</t>
  </si>
  <si>
    <t>обсудить</t>
  </si>
  <si>
    <t>5.5.1</t>
  </si>
  <si>
    <t>5.5.2</t>
  </si>
  <si>
    <t>5.5.3</t>
  </si>
  <si>
    <t>5.5.4</t>
  </si>
  <si>
    <t>ко-во</t>
  </si>
  <si>
    <t>шт/кабинка/м2</t>
  </si>
  <si>
    <t>4/4/20</t>
  </si>
  <si>
    <t>протяженность, виды</t>
  </si>
  <si>
    <t>Сухомлинов  М.Н.</t>
  </si>
  <si>
    <t>виды</t>
  </si>
  <si>
    <t>4.6.1</t>
  </si>
  <si>
    <t>4.6.3</t>
  </si>
  <si>
    <t>кол</t>
  </si>
  <si>
    <t xml:space="preserve"> Какая протяженность подпорной стены и её высота ?  Стена из габионов ? 
Подпорная стена - 25 п.м. . Высота 3 м.
Габионы - 25 п.м. Высота 2 м</t>
  </si>
  <si>
    <t>4.10</t>
  </si>
  <si>
    <t>Сети связи</t>
  </si>
  <si>
    <t>4.10.1</t>
  </si>
  <si>
    <t>Канализация связи 2-х отверстная</t>
  </si>
  <si>
    <t>4.10.2</t>
  </si>
  <si>
    <t>Кабель ВОЛС 16 ОВ</t>
  </si>
  <si>
    <t>4.10.3</t>
  </si>
  <si>
    <t>Кабель электропитания</t>
  </si>
  <si>
    <t>4.10.4</t>
  </si>
  <si>
    <t>кабель звуковой</t>
  </si>
  <si>
    <t>4.11</t>
  </si>
  <si>
    <t>КСБ</t>
  </si>
  <si>
    <t>4.11.1</t>
  </si>
  <si>
    <t>СОТ:
видеокамеры
сервер - от 1 этапа
АРМ - от 1 этапа</t>
  </si>
  <si>
    <t>шт.
шт.
шт.</t>
  </si>
  <si>
    <t>10
0
0</t>
  </si>
  <si>
    <t>4.11.2</t>
  </si>
  <si>
    <t>СПД-СБ</t>
  </si>
  <si>
    <t>каналы</t>
  </si>
  <si>
    <t>4.11.3</t>
  </si>
  <si>
    <t>СЭС (сервер в составе МФЦ)</t>
  </si>
  <si>
    <t>4.11.4</t>
  </si>
  <si>
    <t>Система речевого оповещения (подклбючается к ССОИ МФЦ)</t>
  </si>
  <si>
    <t>динамки</t>
  </si>
  <si>
    <t>4.12</t>
  </si>
  <si>
    <t>Информационны LCD-табло (на остановках)</t>
  </si>
  <si>
    <t>шт.</t>
  </si>
  <si>
    <t>мп</t>
  </si>
  <si>
    <t>площадь обогрева</t>
  </si>
  <si>
    <t>м.п.</t>
  </si>
  <si>
    <t>3.6.1</t>
  </si>
  <si>
    <t>3.6.2</t>
  </si>
  <si>
    <t>3.6.3</t>
  </si>
  <si>
    <t>3.6.4</t>
  </si>
  <si>
    <t>объект/м2</t>
  </si>
  <si>
    <t>5/30.</t>
  </si>
  <si>
    <t>3.10</t>
  </si>
  <si>
    <t>3.10.1</t>
  </si>
  <si>
    <t>3.10.2</t>
  </si>
  <si>
    <t>3.11</t>
  </si>
  <si>
    <t>3.11.1</t>
  </si>
  <si>
    <t>6
0
0</t>
  </si>
  <si>
    <t>3.11.2</t>
  </si>
  <si>
    <t>Система передачи данных-система безпасности</t>
  </si>
  <si>
    <t>3.11.3</t>
  </si>
  <si>
    <t>3.11.4</t>
  </si>
  <si>
    <t>3.12</t>
  </si>
  <si>
    <t>1000*2,5=2500 м2</t>
  </si>
  <si>
    <t>элемент благоустройства?</t>
  </si>
  <si>
    <t>Пункт проката - павильон (в зимнее время)</t>
  </si>
  <si>
    <t>модульное здание не капстр-во</t>
  </si>
  <si>
    <t>???</t>
  </si>
  <si>
    <t>2.8.1</t>
  </si>
  <si>
    <t>2.8.2</t>
  </si>
  <si>
    <t>вид, МАФ?</t>
  </si>
  <si>
    <t>1/4/20</t>
  </si>
  <si>
    <t>2.14</t>
  </si>
  <si>
    <t>2.14.1</t>
  </si>
  <si>
    <t>2.14.2</t>
  </si>
  <si>
    <t>2.15</t>
  </si>
  <si>
    <t>2.15.1</t>
  </si>
  <si>
    <t>8
0
0</t>
  </si>
  <si>
    <t>2.15.2</t>
  </si>
  <si>
    <t>2.15.3</t>
  </si>
  <si>
    <t>2.15.4</t>
  </si>
  <si>
    <t>Какой объект проектирование? Это Архитектурно-скульптурный ансабль или кап. сооружение? 
Высота арки 20 м. Ширина арки 10 м. Въездная акрка. Основа арки – 4 колонны. Фундамент- монолитная плита 2000х2000х1000 мм - 4 шт. Подсветка стелы - светодиодные модули.  Полезная площадь для вывески – 250 м2.</t>
  </si>
  <si>
    <t>Бородулин А. - рассмотреть расценку</t>
  </si>
  <si>
    <r>
      <t xml:space="preserve">рабочие места?
</t>
    </r>
    <r>
      <rPr>
        <sz val="12"/>
        <color rgb="FFFF0000"/>
        <rFont val="Times New Roman"/>
        <family val="1"/>
        <charset val="204"/>
      </rPr>
      <t>Автоматизированный</t>
    </r>
  </si>
  <si>
    <t>Крупенич С.А., Улановская Е.А.</t>
  </si>
  <si>
    <t>Какие виды навигации?  Указатели или современные  мультимедийные системы.</t>
  </si>
  <si>
    <t>1.4.1</t>
  </si>
  <si>
    <t>1.4.2</t>
  </si>
  <si>
    <t>Какая протяженность освещения?</t>
  </si>
  <si>
    <t xml:space="preserve"> Какая площадь? 
13м2 х 5м/м=65м2 </t>
  </si>
  <si>
    <t>Евдокимов И.В.</t>
  </si>
  <si>
    <t>Атоматический для контроля въезда и выезда</t>
  </si>
  <si>
    <t>1.10</t>
  </si>
  <si>
    <t>1.10.1</t>
  </si>
  <si>
    <t>Канализация связи 4-х отверстная</t>
  </si>
  <si>
    <t>1.10.2</t>
  </si>
  <si>
    <t>1.10.3</t>
  </si>
  <si>
    <t>СПД</t>
  </si>
  <si>
    <t>1.11</t>
  </si>
  <si>
    <t>1.11.1</t>
  </si>
  <si>
    <t>СОТ:
видеокамеры
сервер
АРМ</t>
  </si>
  <si>
    <t>2
1
1</t>
  </si>
  <si>
    <t>1.11.2</t>
  </si>
  <si>
    <t>1.11.3</t>
  </si>
  <si>
    <t>2.8.3</t>
  </si>
  <si>
    <t>2.8.4</t>
  </si>
  <si>
    <t>6.3.3.1</t>
  </si>
  <si>
    <t>6.3.3.2</t>
  </si>
  <si>
    <t>6.3.3.3</t>
  </si>
  <si>
    <t>6.3.3.4</t>
  </si>
  <si>
    <t>Сухомлинов М.Н., Улановская Е.А.</t>
  </si>
  <si>
    <t>1/4-20 м2</t>
  </si>
  <si>
    <t>6.3.7</t>
  </si>
  <si>
    <t>площаль</t>
  </si>
  <si>
    <t xml:space="preserve"> Какая протяженность подпорной стены и её высота ?  Стена из габионов ? 
Подпорная стена - 10 п.м. . Высота 3 м.
Габионы - 10 п.м. Высота 2 м</t>
  </si>
  <si>
    <t>6.4.13</t>
  </si>
  <si>
    <t xml:space="preserve">Навигация </t>
  </si>
  <si>
    <t>6.4.13.1</t>
  </si>
  <si>
    <t>6.4.13.2</t>
  </si>
  <si>
    <t>6.4.13.3</t>
  </si>
  <si>
    <t>6.4.13.4</t>
  </si>
  <si>
    <t>6.4.14</t>
  </si>
  <si>
    <t>6.4.14.1</t>
  </si>
  <si>
    <t>6.4.14.2</t>
  </si>
  <si>
    <t>6.4.14.3</t>
  </si>
  <si>
    <t>6.4.14.4</t>
  </si>
  <si>
    <t>6.4.15</t>
  </si>
  <si>
    <t>6.4.15.1</t>
  </si>
  <si>
    <t>30
1
1</t>
  </si>
  <si>
    <t>6.4.15.2</t>
  </si>
  <si>
    <t>6.4.15.3</t>
  </si>
  <si>
    <t>6.4.15.4</t>
  </si>
  <si>
    <t>6.4.16</t>
  </si>
  <si>
    <t>7.1.5.1</t>
  </si>
  <si>
    <t>7.1.5.2</t>
  </si>
  <si>
    <t>7.1.5.3</t>
  </si>
  <si>
    <t>7.1.5.4</t>
  </si>
  <si>
    <t>5/4/20</t>
  </si>
  <si>
    <t>Ответсвенный исполнитель Ао "КАВКАЗ.РФ"</t>
  </si>
  <si>
    <t>1.4.3</t>
  </si>
  <si>
    <t>1.4.4</t>
  </si>
  <si>
    <t>4.6.2</t>
  </si>
  <si>
    <t>4.6.4</t>
  </si>
  <si>
    <t>8/4/20</t>
  </si>
  <si>
    <t xml:space="preserve">СВОДНАЯ  СМЕТА </t>
  </si>
  <si>
    <t>на проектные (изыскательские) работы</t>
  </si>
  <si>
    <t>Наименование строительства
и стадии проектирования</t>
  </si>
  <si>
    <t>Наименование проектной организации - генерального проектировщика</t>
  </si>
  <si>
    <t>Наименование организации-заказчика</t>
  </si>
  <si>
    <t>АО "Курорты Северного Кавказа"</t>
  </si>
  <si>
    <t>Руб.</t>
  </si>
  <si>
    <t>Перечень выполняемых работ</t>
  </si>
  <si>
    <t>Характеристика проектируемого объекта п. ЗП</t>
  </si>
  <si>
    <t>Ссылка на №№ смет по формам 2п и 3п</t>
  </si>
  <si>
    <t xml:space="preserve">          Стоимость работ, руб без НДС</t>
  </si>
  <si>
    <t>Изыскательские работы</t>
  </si>
  <si>
    <t>Проектные работы</t>
  </si>
  <si>
    <t>1. ИЗЫСКАТЕЛЬСКИЕ РАБОТЫ</t>
  </si>
  <si>
    <t>комплекс</t>
  </si>
  <si>
    <t>Смета № 1-из</t>
  </si>
  <si>
    <t>Смета № 2-из</t>
  </si>
  <si>
    <t>1.3</t>
  </si>
  <si>
    <t>Смета № 3-из</t>
  </si>
  <si>
    <t>1.4</t>
  </si>
  <si>
    <t>Инженерно-гидрометеорологические изыскания</t>
  </si>
  <si>
    <t>Смета № 4-из</t>
  </si>
  <si>
    <t>1.5</t>
  </si>
  <si>
    <t>ИТОГО по разделу 1:</t>
  </si>
  <si>
    <t>2. ПРОЕКТНЫЕ РАБОТЫ СТАДИИ ПД</t>
  </si>
  <si>
    <t>ИТОГО по разделу 2:</t>
  </si>
  <si>
    <t>Расчет затрат на проведение экспертизы проектных решений и материалов инженерных изысканий</t>
  </si>
  <si>
    <t>ВСЕГО:</t>
  </si>
  <si>
    <t xml:space="preserve">Начало работ - </t>
  </si>
  <si>
    <t xml:space="preserve">Окончание работ - </t>
  </si>
  <si>
    <t>Наименование предприятия, здания, сооружения</t>
  </si>
  <si>
    <t>Стадия проектирования</t>
  </si>
  <si>
    <t>Вид проектных или
изыскательских работ</t>
  </si>
  <si>
    <t>Экспертиза проектно-изыскательских работ</t>
  </si>
  <si>
    <t>Наименование проектной (изыскательской) организации</t>
  </si>
  <si>
    <t>Наименование организации
заказчика</t>
  </si>
  <si>
    <t>Номер частей, глав, таблиц, процентов, параграфов и пунктов указаний к разделу Справочника базовых цен на проектные и изыскательские работы для строительства</t>
  </si>
  <si>
    <t>Единица измерения</t>
  </si>
  <si>
    <t>Расчет стоимости: (a+bx)*Kj или (объём строительно-монтажных работ)*проц./ 100 или количество * цена</t>
  </si>
  <si>
    <t>Стоимость работ, Руб.</t>
  </si>
  <si>
    <t>рублей</t>
  </si>
  <si>
    <t>Стоимость инж.изыск. в уровне цен 01.01.2001 г. без НДС</t>
  </si>
  <si>
    <t>Стоимость проектных работ в уровне цен 01.01.2001 г. без НДС</t>
  </si>
  <si>
    <t xml:space="preserve">  </t>
  </si>
  <si>
    <t>Итого: ИЗ+ПД</t>
  </si>
  <si>
    <t>Постановление Правительства РФ от 05.03.2007 № 145</t>
  </si>
  <si>
    <t>% от суммы Спд и Сиж</t>
  </si>
  <si>
    <t>Коэф.1 кв.2023</t>
  </si>
  <si>
    <t>Стоимость проектных работ в ценах 1 кв.2023</t>
  </si>
  <si>
    <t>Стоимость инж.изыск.в ценах 1 кв.2023</t>
  </si>
  <si>
    <t>Индекс пересчета в текущие цены 2023 г</t>
  </si>
  <si>
    <t>месяцев</t>
  </si>
  <si>
    <t>   Приложение</t>
  </si>
  <si>
    <t>к Положению об организации</t>
  </si>
  <si>
    <t>и проведении государственной экспертизы</t>
  </si>
  <si>
    <t>проектной документации и результатов</t>
  </si>
  <si>
    <t>инженерных изысканий</t>
  </si>
  <si>
    <t>Таблица процентного соотношения, используемого при расчете размера платы за проведение государственной экспертизы</t>
  </si>
  <si>
    <t>Сумма Спд и Сиж (млн.рублей,</t>
  </si>
  <si>
    <t>в ценах 2001 года)</t>
  </si>
  <si>
    <t>Процент от суммы Спд и Сиж</t>
  </si>
  <si>
    <t>(П)</t>
  </si>
  <si>
    <t>0-0,15</t>
  </si>
  <si>
    <t>более 0,15</t>
  </si>
  <si>
    <t>более 0,25</t>
  </si>
  <si>
    <t>более 0,5</t>
  </si>
  <si>
    <t>более 0,75</t>
  </si>
  <si>
    <t>более 1</t>
  </si>
  <si>
    <t>более 1,5</t>
  </si>
  <si>
    <t>более 3</t>
  </si>
  <si>
    <t>более 4</t>
  </si>
  <si>
    <t>более 6</t>
  </si>
  <si>
    <t>более 8</t>
  </si>
  <si>
    <t>более 12</t>
  </si>
  <si>
    <t>более 18</t>
  </si>
  <si>
    <t>более 24</t>
  </si>
  <si>
    <t>более 30</t>
  </si>
  <si>
    <t>более 36</t>
  </si>
  <si>
    <t>более 45</t>
  </si>
  <si>
    <t>более 52,5</t>
  </si>
  <si>
    <t>более 60</t>
  </si>
  <si>
    <t>более 70</t>
  </si>
  <si>
    <t>более 80</t>
  </si>
  <si>
    <t>более 100</t>
  </si>
  <si>
    <t>более 120</t>
  </si>
  <si>
    <t>более 140</t>
  </si>
  <si>
    <t>более 160</t>
  </si>
  <si>
    <t>более 180</t>
  </si>
  <si>
    <t>более 200</t>
  </si>
  <si>
    <t>более 220</t>
  </si>
  <si>
    <t>3.2</t>
  </si>
  <si>
    <t>3.3</t>
  </si>
  <si>
    <t>3.4</t>
  </si>
  <si>
    <t>4.2</t>
  </si>
  <si>
    <t>№ пп</t>
  </si>
  <si>
    <t>Смета № 5-из</t>
  </si>
  <si>
    <t>Продолжительность работ в соответствие с Графиком</t>
  </si>
  <si>
    <t>№ п.п.</t>
  </si>
  <si>
    <t>Перечень видов работ</t>
  </si>
  <si>
    <t>без НДС</t>
  </si>
  <si>
    <t>НДС-20 %</t>
  </si>
  <si>
    <t>с учетом НДС</t>
  </si>
  <si>
    <t>Инженерные изыскания</t>
  </si>
  <si>
    <t>Итого:</t>
  </si>
  <si>
    <t xml:space="preserve"> </t>
  </si>
  <si>
    <t>объект:</t>
  </si>
  <si>
    <t>по адресу:</t>
  </si>
  <si>
    <t>Основания для расчета:</t>
  </si>
  <si>
    <t>1. Задание на проектирование.</t>
  </si>
  <si>
    <t>Наименование работ и затрат</t>
  </si>
  <si>
    <t xml:space="preserve">Индекс фактической инфляции* </t>
  </si>
  <si>
    <t>Индекс прогнозной инфляции на период выполнения работ</t>
  </si>
  <si>
    <t>Начальная (максимальная) цена контракта с учетом индекса прогнозной инфляции на период выполнения работ</t>
  </si>
  <si>
    <t>Стоимость без учета НДС</t>
  </si>
  <si>
    <t>НДС-20%</t>
  </si>
  <si>
    <t>Стоимость с учетом НДС</t>
  </si>
  <si>
    <t>Начало работ</t>
  </si>
  <si>
    <t>Окончание работ</t>
  </si>
  <si>
    <t>3. Продолжительность проектирования:</t>
  </si>
  <si>
    <t>Стоимость работ в ценах на дату формирования начальной (максимальной) цены контракта</t>
  </si>
  <si>
    <t>^(1/12)</t>
  </si>
  <si>
    <t>Индекс прогнозной инфляции</t>
  </si>
  <si>
    <t>ежемесячный прогнозный индекс на 2024 год</t>
  </si>
  <si>
    <t>Сроки выполнения работ</t>
  </si>
  <si>
    <t>Дата начала</t>
  </si>
  <si>
    <t>Дата окончания</t>
  </si>
  <si>
    <t>Длительность (кал. дней)</t>
  </si>
  <si>
    <t>ноябрь</t>
  </si>
  <si>
    <t>декабрь</t>
  </si>
  <si>
    <t>январь</t>
  </si>
  <si>
    <t>февраль</t>
  </si>
  <si>
    <t>март</t>
  </si>
  <si>
    <t>апрель</t>
  </si>
  <si>
    <t>май</t>
  </si>
  <si>
    <t>июнь</t>
  </si>
  <si>
    <t>июль</t>
  </si>
  <si>
    <t>август</t>
  </si>
  <si>
    <t>сентябрь</t>
  </si>
  <si>
    <t>октябрь</t>
  </si>
  <si>
    <t>Х</t>
  </si>
  <si>
    <t>Экологическая экспертиза, в том числе общественные слушания</t>
  </si>
  <si>
    <t>Государственная экспертиза</t>
  </si>
  <si>
    <t>К РАСЧЕТУ НАЧАЛЬНОЙ МАКСИМАЛЬНОЙ ЦЕНЫ ДОГОВОРА</t>
  </si>
  <si>
    <t>Метод расчета - проектно-сметный</t>
  </si>
  <si>
    <t>Описание метода расчета стоимости проектных работ</t>
  </si>
  <si>
    <t>В расчете приняты предполагаемые виды и объемы проектных работ в соответствие с заданием на проектирование , предполагаемые технические характеристики объектов проектирования.</t>
  </si>
  <si>
    <t>Налог на добавленную стоимость - 20 %</t>
  </si>
  <si>
    <t>Итоговая начальная максимальная цена проектно-изыскательских работ  составляет:</t>
  </si>
  <si>
    <t>рублей с учетом НДС</t>
  </si>
  <si>
    <t>Е.А. Татаринова</t>
  </si>
  <si>
    <t>начальной (максимальной) цены контракта</t>
  </si>
  <si>
    <t>Объект закупки</t>
  </si>
  <si>
    <t xml:space="preserve">Начальная (максимальная ) цена контракта составляет </t>
  </si>
  <si>
    <t>Начальная (максимальная ) цена контракта включает в себя расходы:</t>
  </si>
  <si>
    <t>Приложение:</t>
  </si>
  <si>
    <t>Расчет начальной (максимальной) цены контракта.</t>
  </si>
  <si>
    <t>КАЛЕНДАРНЫЙ ПЛАН</t>
  </si>
  <si>
    <t>на разработку концепции и проектной документации по объекту по объекту:</t>
  </si>
  <si>
    <t>«Благоустройство туристической деревни Поляна Азау и прилегающей территории»</t>
  </si>
  <si>
    <t>Разработка концепции «Благоустройство туристической деревни Поляна Азау и прилегающей территории»</t>
  </si>
  <si>
    <t xml:space="preserve">Инженерные изыскания </t>
  </si>
  <si>
    <t>инженерно-геодезические изыскания</t>
  </si>
  <si>
    <t>инженерно-гидрометеорологические изыскания</t>
  </si>
  <si>
    <t>инженерно-экологические изыскания</t>
  </si>
  <si>
    <t>инженерно-геологические изыскания</t>
  </si>
  <si>
    <t>Проектные работы, в том числе:</t>
  </si>
  <si>
    <t>- разработка основных технических решений</t>
  </si>
  <si>
    <t>- разработка проектной и сметной документации</t>
  </si>
  <si>
    <r>
      <t>Подготовка эскизных вариантов</t>
    </r>
    <r>
      <rPr>
        <sz val="10"/>
        <color theme="1"/>
        <rFont val="Times New Roman"/>
        <family val="1"/>
        <charset val="204"/>
      </rPr>
      <t xml:space="preserve"> </t>
    </r>
    <r>
      <rPr>
        <sz val="10"/>
        <color rgb="FF000000"/>
        <rFont val="Times New Roman"/>
        <family val="1"/>
        <charset val="204"/>
      </rPr>
      <t>общих композиционных, планировочных, архитектурных решений</t>
    </r>
  </si>
  <si>
    <t>Календарный план 
на разработку концепции и проектной документации по объекту по объекту:
'«Благоустройство туристической деревни поляна Азау и прилегающей территории»</t>
  </si>
  <si>
    <t/>
  </si>
  <si>
    <t xml:space="preserve">более 8 млн </t>
  </si>
  <si>
    <t>Форма 2п</t>
  </si>
  <si>
    <t>Раздел 1. Полевые работы</t>
  </si>
  <si>
    <t xml:space="preserve">   Итого по разделу 1 Полевые работы</t>
  </si>
  <si>
    <t xml:space="preserve">   ВСЕГО по смете</t>
  </si>
  <si>
    <t>Х+43</t>
  </si>
  <si>
    <t>Х+10</t>
  </si>
  <si>
    <t>Х+131</t>
  </si>
  <si>
    <t>Х+62</t>
  </si>
  <si>
    <t>Х+120</t>
  </si>
  <si>
    <t>Х+110</t>
  </si>
  <si>
    <t>Х+166</t>
  </si>
  <si>
    <t>Х+14</t>
  </si>
  <si>
    <t>Берегоукрепление р. Баксан</t>
  </si>
  <si>
    <t>песчано-гравийная или каменная наброска</t>
  </si>
  <si>
    <t>благоустройство территории</t>
  </si>
  <si>
    <t>с возможностью подъезда к гостиницам пожарной техники.</t>
  </si>
  <si>
    <t>3.2.1</t>
  </si>
  <si>
    <t xml:space="preserve"> в т.ч. Пешеходные тропы с обогревом</t>
  </si>
  <si>
    <t>АО "КАВКАЗ.РФ"</t>
  </si>
  <si>
    <t>Раздел 4. Прочие затраты</t>
  </si>
  <si>
    <t>Итого по разделу 4 Прочие затраты</t>
  </si>
  <si>
    <t xml:space="preserve">   Итого по разделу 4 Прочие затраты</t>
  </si>
  <si>
    <t>ВСЕГО по смете</t>
  </si>
  <si>
    <t>Приложение к</t>
  </si>
  <si>
    <t>(договору, дополнительному соглашению)</t>
  </si>
  <si>
    <t>на проектные (изыскательские)  работы</t>
  </si>
  <si>
    <t>Наименование предприятия, здания, сооружения, стадии проектирования, этапа, вида проектных</t>
  </si>
  <si>
    <t>Характеристика предприятия,
здания, сооружения или вид работ</t>
  </si>
  <si>
    <t>Номер частей, глав, таблиц, параграфов и пунктов указаний к разделу справочника базовых цен на проектные и изыскательские работы для строителей</t>
  </si>
  <si>
    <t>Расчет стоимости: (a+bx)*Kj или (стоимость строительно-монтажных работ)*проц./ 100 или количество * цена, руб.</t>
  </si>
  <si>
    <t>Итого по разделу 1 Полевые работы</t>
  </si>
  <si>
    <t xml:space="preserve">Инженерно-геодезические изыскания </t>
  </si>
  <si>
    <t xml:space="preserve">Инженерно-геологические изыскания </t>
  </si>
  <si>
    <t xml:space="preserve">Инженерно-экологические изыскания </t>
  </si>
  <si>
    <t>С учетом НДС</t>
  </si>
  <si>
    <t>Процент от суммы Спд и Сиж</t>
  </si>
  <si>
    <t>Наименование проектной (изыскательской) организации:</t>
  </si>
  <si>
    <t>Наименование организации заказчика:</t>
  </si>
  <si>
    <t>Заместитель руководителя управления направления сметного регулирования Управления проектов Департамента развития инфраструктуры</t>
  </si>
  <si>
    <t>Татаринова Е.А.</t>
  </si>
  <si>
    <t>Основание</t>
  </si>
  <si>
    <t>Всего</t>
  </si>
  <si>
    <t xml:space="preserve">Проектная документация </t>
  </si>
  <si>
    <t xml:space="preserve">Смета № 1-пд. </t>
  </si>
  <si>
    <t>1 077,22</t>
  </si>
  <si>
    <t>1 956,00</t>
  </si>
  <si>
    <t>%</t>
  </si>
  <si>
    <t>ОП</t>
  </si>
  <si>
    <t>Стоимость</t>
  </si>
  <si>
    <t>2</t>
  </si>
  <si>
    <t>3</t>
  </si>
  <si>
    <t>7</t>
  </si>
  <si>
    <t>Расчет начальной максимальной цены договора</t>
  </si>
  <si>
    <t>Дата формирования НМЦК</t>
  </si>
  <si>
    <t xml:space="preserve">   Всего c учетом "Индекс изменения сметной стоимости изыскательских работ на IV квартал 2023 года к уровню цен по состоянию на 01.01.1991 по Письму Минстроя России от 28.11.2023 №73528-ИФ/09 64,8900"</t>
  </si>
  <si>
    <t>ПОЯСНИТЕЛЬНАЯ ЗАПИСКА</t>
  </si>
  <si>
    <t>Протокол</t>
  </si>
  <si>
    <t xml:space="preserve">Расчет начальной (максимальной) цены контракта при осуществлении закупок работ по инженерным изысканиям и по подготовке проектной документации </t>
  </si>
  <si>
    <t>Реконструкция снегоудерживающих сооружений ВТРК «Эльбрус». Этап 1.</t>
  </si>
  <si>
    <t>Стоимость работ, 
руб.</t>
  </si>
  <si>
    <t>8</t>
  </si>
  <si>
    <t>9</t>
  </si>
  <si>
    <t>10</t>
  </si>
  <si>
    <t>11</t>
  </si>
  <si>
    <t>12</t>
  </si>
  <si>
    <t>13</t>
  </si>
  <si>
    <t>14</t>
  </si>
  <si>
    <t>15</t>
  </si>
  <si>
    <t>16</t>
  </si>
  <si>
    <t>17</t>
  </si>
  <si>
    <t>18</t>
  </si>
  <si>
    <t xml:space="preserve">Главный инженер проекта ______________ </t>
  </si>
  <si>
    <t xml:space="preserve">Начальник отдела ____________________ </t>
  </si>
  <si>
    <t xml:space="preserve">Составил ___________________________ </t>
  </si>
  <si>
    <t xml:space="preserve">Проверил ___________________________ </t>
  </si>
  <si>
    <t>Обоснование</t>
  </si>
  <si>
    <t>Приложение № 6</t>
  </si>
  <si>
    <t>Утверждено приказом № 421 от 4 августа 2020 г. Минстроя РФ</t>
  </si>
  <si>
    <t>Заказчик</t>
  </si>
  <si>
    <t xml:space="preserve">Акционерное общество «КАВКАЗ.РФ» </t>
  </si>
  <si>
    <t>"Утвержден" "___"______________________2023г</t>
  </si>
  <si>
    <t xml:space="preserve">Сводный сметный расчет сметной стоимостью </t>
  </si>
  <si>
    <t>тыс. руб.</t>
  </si>
  <si>
    <t>(ссылка на документ об утверждении)</t>
  </si>
  <si>
    <t>СВОДНЫЙ СМЕТНЫЙ РАСЧЕТ СТОИМОСТИ СТРОИТЕЛЬСТВА № 1</t>
  </si>
  <si>
    <t>(наименование стройки)</t>
  </si>
  <si>
    <t xml:space="preserve">Составлен(а) в текущем уровне цен IV квартал 2023 года </t>
  </si>
  <si>
    <t>Наименование глав, объектов капитального строительства, работ и затрат</t>
  </si>
  <si>
    <t>Сметная стоимость, тыс. руб.</t>
  </si>
  <si>
    <t>Строительных
(ремонтно- строительных, ремонтно- реставрационных) работ</t>
  </si>
  <si>
    <t>монтажных работ</t>
  </si>
  <si>
    <t>оборудования</t>
  </si>
  <si>
    <t>прочих затрат</t>
  </si>
  <si>
    <t>всего</t>
  </si>
  <si>
    <t>Глава 1. Подготовка территории строительства, реконструкции, капитального ремонта</t>
  </si>
  <si>
    <t>В базовых ценах 2000 г.</t>
  </si>
  <si>
    <t>Смета №1</t>
  </si>
  <si>
    <t>Затраты по разбивке основных осей зданий и сооружений, переносу их в натуру и закреплению пунктами и знаками</t>
  </si>
  <si>
    <t>Итого по Главе 1. "Подготовка территории строительства, реконструкции, капитального ремонта"</t>
  </si>
  <si>
    <t>Нормативные трудозатраты, чел-час</t>
  </si>
  <si>
    <t>Элементы прямых затрат</t>
  </si>
  <si>
    <t>Индекс к элементам прямых затрат (Письмо Минстрой РФ от 21.12.2023 № 80432-ИФ/09 (Прочие объекты, КБР)</t>
  </si>
  <si>
    <t>Базовая стоимость 2000 г.</t>
  </si>
  <si>
    <t>Глава 2. Основные объекты строительства, реконструкции, капитального ремонта</t>
  </si>
  <si>
    <t>рабочих</t>
  </si>
  <si>
    <t>машинистов</t>
  </si>
  <si>
    <t>ОЗП, НР, СП</t>
  </si>
  <si>
    <t>ЭМ</t>
  </si>
  <si>
    <t>МАТ</t>
  </si>
  <si>
    <t>ОЗП</t>
  </si>
  <si>
    <t>Реконструкция сооружений снегоудерживающих лавинных очагов № 2а, 2б, 4, 5</t>
  </si>
  <si>
    <t>Аналог -"Всесезонный туристско-рекреационный комплекс "Ведучи", Чеченская Республика. Горнолыжная трасса VP-3", ЛСР№ 02-04-01, снегоудерживающие сооружения  протяженностью 4112 п.м.</t>
  </si>
  <si>
    <t>Строительство снегоудерживающих сооружений лавинного очага №4 - 5638,5 п.м.</t>
  </si>
  <si>
    <t>Строительство снегоудерживающих сооружений лавинного очага №5 - 3594,5 п.м.</t>
  </si>
  <si>
    <t>Строительство снегоудерживающих сооружений лавинных очагов №2а, 2б - 1984,5 п.м.</t>
  </si>
  <si>
    <t>Итого по Главе 2. "Основные объекты строительства, реконструкции, капитального ремонта"</t>
  </si>
  <si>
    <t>Глава 4. Объекты энергетического хозяйства</t>
  </si>
  <si>
    <t>Итого по Главе 4. "Объекты энергетического хозяйства"</t>
  </si>
  <si>
    <t>Глава 5. Объекты транспортного хозяйства и связи</t>
  </si>
  <si>
    <t>Итого по Главе 5. "Объекты транспортного хозяйства и связи"</t>
  </si>
  <si>
    <t>Глава 6. Наружные сети и сооружения водоснабжения, водоотведения, теплоснабжения и газоснабжения</t>
  </si>
  <si>
    <t>Итого по Главе 6. "Наружные сети и сооружения водоснабжения, водоотведения, теплоснабжения и газоснабжения"</t>
  </si>
  <si>
    <t>Глава 7. Благоустройство и озеленение территории</t>
  </si>
  <si>
    <t>Итого по Главе 7. "Благоустройство и озеленение территории"</t>
  </si>
  <si>
    <t>Итого по Главам 1-7</t>
  </si>
  <si>
    <t>Глава 8. Временные здания и сооружения</t>
  </si>
  <si>
    <t>Приказ от 19.06.2020 № 332/пр прил.1 п.55</t>
  </si>
  <si>
    <t>Временные здания и сооружения - Объекты жилищного, социально-культурного, коммунально-бытового назначения в сельской местности - 3,1%*0,8 (реконструкция)</t>
  </si>
  <si>
    <t>Временные здания и сооружения - Объекты жилищного, социально-культурного, коммунально-бытового назначения в сельской местности - 3,1%(новое строительство)</t>
  </si>
  <si>
    <t>Итого по Главе 8. "Временные здания и сооружения"</t>
  </si>
  <si>
    <t>Итого по Главам 1-8</t>
  </si>
  <si>
    <t>Глава 9. Прочие работы и затраты</t>
  </si>
  <si>
    <t>Приказ от 25.05.2021 № 325/пр прил.1 п.85</t>
  </si>
  <si>
    <t>Производство работ в зимнее время - Объекты общественного, социально-культурного и коммунально-бытового назначения - 0,5%</t>
  </si>
  <si>
    <t>Расчет СР-1</t>
  </si>
  <si>
    <t>Командировочные затраты</t>
  </si>
  <si>
    <t>Расчет СР-2</t>
  </si>
  <si>
    <t>Затраты на изготовление технического плана</t>
  </si>
  <si>
    <t>Итого по Главе 9. "Прочие работы и затраты"</t>
  </si>
  <si>
    <t>Итого по Главам 1-9</t>
  </si>
  <si>
    <t>Глава 10. Содержание службы заказчика. Строительный контроль</t>
  </si>
  <si>
    <t>Постановление Правительства РФ № 468 от 21 июня 2010 г., п.п.162,167 Приказ от 04.08.2020 № 421/пр</t>
  </si>
  <si>
    <t>Итого по Главе 10. "Содержание службы заказчика. Строительный контроль"</t>
  </si>
  <si>
    <t>Глава 12. Публичный технологический и ценовой аудит, подготовка обоснования инвестиций, осуществляемых в инвестиционный проект по созданию объекта капитального строительства, в отношении которого планируется заключение контракта, предметом которого является одновременно выполнение работ по проектированию, строительству и вводу в эксплуатацию объекта капитального строительства, технологический и ценовой аудит такого обоснования инвестиций, аудит проектной документации, проектные и изыскательские работы</t>
  </si>
  <si>
    <t>Сводная смета на ПИР</t>
  </si>
  <si>
    <t>Рабочая документация</t>
  </si>
  <si>
    <t>Постановление Правительства №145 от 05.03.2007г.</t>
  </si>
  <si>
    <t>Экспертиза проектной документации, включая проверку достоверности определения сметной стоимости объекта капитального строительства и результатов инженерных изысканий</t>
  </si>
  <si>
    <t>Приказ от 4.08.2020 № 421/пр п.173</t>
  </si>
  <si>
    <t xml:space="preserve">Авторский надзор - 0,2% </t>
  </si>
  <si>
    <t>Расчет СР-3</t>
  </si>
  <si>
    <t>Проезд специалистов авторского надзора</t>
  </si>
  <si>
    <t>Итого по Главе 12. "Публичный технологический и ценовой аудит, подготовка обоснования инвестиций, осуществляемых в инвестиционный проект по созданию объекта капитального строительства, в отношении которого планируется заключение контракта, предметом которого является одновременно выполнение работ по проектированию, строительству и вводу в эксплуатацию объекта капитального строительства, технологический и ценовой аудит такого обоснования инвестиций, аудит проектной документации, проектные и изыскательские работы"</t>
  </si>
  <si>
    <t>Итого по Главам 1-12</t>
  </si>
  <si>
    <t>Непредвиденные затраты</t>
  </si>
  <si>
    <t>Приказ от 4.08.2020 № 421/пр п.179</t>
  </si>
  <si>
    <t>Непредвиденные затраты для объектов капитального строительства непроизводственного назначения - 3%</t>
  </si>
  <si>
    <t>Итого "Непредвиденные затраты"</t>
  </si>
  <si>
    <t>Итого с учетом "Непредвиденные затраты"</t>
  </si>
  <si>
    <t>Налоги и обязательные платежи</t>
  </si>
  <si>
    <t>№ 303-ФЗ от 3.08.2018</t>
  </si>
  <si>
    <t>НДС - 20%</t>
  </si>
  <si>
    <t>Итого "Налоги и обязательные платежи"</t>
  </si>
  <si>
    <t>Итого по сводному расчету</t>
  </si>
  <si>
    <t>В уровне цен 2024 г.</t>
  </si>
  <si>
    <t>В уровне цен 2025 г.</t>
  </si>
  <si>
    <t>Пересчет в уровень цен 2025 года по письму Министерства экономического развития РФ от 28 сентября 2023 г. N 35312-ПК/Д03и “О применении показателей прогноза социально-экономического развития Российской Федерации в целях ценообразования на продукцию, поставляемую по государственному оборонному заказу”</t>
  </si>
  <si>
    <t>Приложение № 3</t>
  </si>
  <si>
    <t>Утверждено приказом № 421 от 4 августа 2020 г. Минстроя РФ в редакции приказа № 557 от 7 июля 2022 г.</t>
  </si>
  <si>
    <t>Наименование программного продукта</t>
  </si>
  <si>
    <t>ГРАНД-Смета, версия 2023.3</t>
  </si>
  <si>
    <t xml:space="preserve">Наименование редакции сметных нормативов  </t>
  </si>
  <si>
    <t>Приказ Минстроя России от 30.12.2021 № 1046/пр; Приказ Минстроя России от 04.08.2020 № 421/пр; Приказ Минстроя России от 21.12.2020 № 812/пр; Приказ Минстроя России от 11.12.2020 № 774/пр; Приказ Минстроя России от 02.08.2023 № 551/пр; Приказ Минстроя России от 14.11.2023 № 817/пр</t>
  </si>
  <si>
    <t xml:space="preserve">Реквизиты приказа  Минстроя России  об утверждении дополнений и изменений к сметным нормативам </t>
  </si>
  <si>
    <t>Приказ Минстроя России от 18 мая 2022 г. № 378/пр, Приказ Минстроя России от 26 августа 2022 г. № 703/пр, Приказ Минстроя России от 26 октября 2022 г. № 905/пр, Приказ Минстроя России от 27 декабря 2022 г. № 1133/пр, Приказ Минстроя России от 10 февраля 2023 г. № 84/пр, Приказ Минстроя России от 11.05.2023 №335/пр; Приказ Минстроя России от 07.07.2022 № 557/пр; Приказ Минстроя России от 02.09.2021 № 636/пр, Приказ Минстроя России от 26.07.2022 № 611/пр; Приказ Минстроя России от 22.04.2022 № 317/пр; Приказ Минстроя России от 02.08.2023 № 551/пр; Приказ Минстроя России от 14.11.2023 № 817/пр</t>
  </si>
  <si>
    <t>Реквизиты письма Минстроя России об индексах изменения сметной стоимости строительства,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 подготовленного  в соответствии  пунктом 85 Методики  расчета индексов изменения  сметной стоимости строительства, утвержденной  приказом Министерства строительства и жилищно-коммунального хозяйства Российской Федерации от 5 июня 2019 г. № 326/пр¹</t>
  </si>
  <si>
    <t>Письмо Минстроя России от 23.11.2023 г. № 72412-ИФ/09</t>
  </si>
  <si>
    <t xml:space="preserve">Реквизиты нормативного  правового  акта  об утверждении оплаты труда, утверждаемый  в соответствии с пунктом 22(1) Правилами мониторинга цен, утвержденными постановлением Правительства Российской Федерации от 23 декабря 2016 г. № 1452 </t>
  </si>
  <si>
    <t xml:space="preserve">Обоснование принятых текущих цен на строительные ресурсы </t>
  </si>
  <si>
    <t xml:space="preserve">Наименование субъекта Российской Федерации </t>
  </si>
  <si>
    <t>7. Кабардино-Балкарская Республика</t>
  </si>
  <si>
    <t xml:space="preserve">Наименование зоны субъекта Российской Федерации </t>
  </si>
  <si>
    <t>(наименование объекта капитального строительства)</t>
  </si>
  <si>
    <t xml:space="preserve"> (наименование работ и затрат)</t>
  </si>
  <si>
    <t xml:space="preserve">Составлен </t>
  </si>
  <si>
    <t>ресурсно-индексным</t>
  </si>
  <si>
    <t>методом</t>
  </si>
  <si>
    <t>Техническое задание от 28.02.2024</t>
  </si>
  <si>
    <t>(проектная и (или) иная техническая документация)</t>
  </si>
  <si>
    <t xml:space="preserve">Составлен(а) в текущем уровне цен </t>
  </si>
  <si>
    <t>IV квартал 2023 года</t>
  </si>
  <si>
    <t xml:space="preserve">Сметная стоимость </t>
  </si>
  <si>
    <t>тыс.руб.</t>
  </si>
  <si>
    <t>в том числе:</t>
  </si>
  <si>
    <t>строительных работ</t>
  </si>
  <si>
    <t>Средства на оплату труда рабочих</t>
  </si>
  <si>
    <t>Средства на оплату труда машинистов</t>
  </si>
  <si>
    <t>Нормативные затраты труда рабочих</t>
  </si>
  <si>
    <t>чел.-ч.</t>
  </si>
  <si>
    <t>Нормативные затраты труда машинистов</t>
  </si>
  <si>
    <t>Количество</t>
  </si>
  <si>
    <t>Сметная стоимость, руб.</t>
  </si>
  <si>
    <t>на единицу измерения</t>
  </si>
  <si>
    <t>коэффициенты</t>
  </si>
  <si>
    <t>всего с учетом коэффициентов</t>
  </si>
  <si>
    <t>на единицу измерения в базисном уровне цен</t>
  </si>
  <si>
    <t>индекс</t>
  </si>
  <si>
    <t>на единицу измерения в текущем уровне цен</t>
  </si>
  <si>
    <t>всего в текущем уровне цен</t>
  </si>
  <si>
    <t>ГЭСН09-03-030-01</t>
  </si>
  <si>
    <t>Монтаж площадок с настилом и ограждением из листовой, рифленой, просечной и круглой стали - демонтаж</t>
  </si>
  <si>
    <t>т</t>
  </si>
  <si>
    <t>Приказ от 08.08.2022 № 648/пр п.144 табл.2</t>
  </si>
  <si>
    <t>Демонтаж (разборка) металлических, металлокомпозитных, композитных конструкций ОЗП=0,7; ЭМ=0,7 к расх.; ЗПМ=0,7; МАТ=0 к расх.; ТЗ=0,7; ТЗМ=0,7</t>
  </si>
  <si>
    <t>Приказ от 07.07.2022 № 557/пр прил.8 табл.3 п.11.2</t>
  </si>
  <si>
    <t>Производство ремонтно-строительных работ осуществляется в горной местности: на высоте свыше 2500 до 3000 м над уровнем моря ОЗП=1,35; ЭМ=1,35 к расх.; ЗПМ=1,35; ТЗ=1,35; ТЗМ=1,35</t>
  </si>
  <si>
    <t>ОТ(ЗТ)</t>
  </si>
  <si>
    <t>чел.-ч</t>
  </si>
  <si>
    <t>1-100-36</t>
  </si>
  <si>
    <t>Средний разряд работы 3,6</t>
  </si>
  <si>
    <t>0,945
(0,7*1,35)</t>
  </si>
  <si>
    <t>ОТм(ЗТм)</t>
  </si>
  <si>
    <t>91.05.02-005</t>
  </si>
  <si>
    <t>Краны козловые, грузоподъемность 32 т</t>
  </si>
  <si>
    <t>маш.час</t>
  </si>
  <si>
    <t>4-100-060</t>
  </si>
  <si>
    <t xml:space="preserve">ОТм(Зтм) Средний разряд машинистов 6 </t>
  </si>
  <si>
    <t>91.05.05-015</t>
  </si>
  <si>
    <t>Краны на автомобильном ходу, грузоподъемность 16 т</t>
  </si>
  <si>
    <t>91.06.01-003</t>
  </si>
  <si>
    <t>Домкраты гидравлические, грузоподъемность 63-100 т</t>
  </si>
  <si>
    <t>91.14.02-001</t>
  </si>
  <si>
    <t>Автомобили бортовые, грузоподъемность до 5 т</t>
  </si>
  <si>
    <t>4-100-040</t>
  </si>
  <si>
    <t xml:space="preserve">ОТм(Зтм) Средний разряд машинистов 4 </t>
  </si>
  <si>
    <t>91.17.04-042</t>
  </si>
  <si>
    <t>Аппараты для газовой сварки и резки</t>
  </si>
  <si>
    <t>91.17.04-171</t>
  </si>
  <si>
    <t>Аппараты сварочные для ручной дуговой сварки, сварочный ток до 500 А</t>
  </si>
  <si>
    <t>М</t>
  </si>
  <si>
    <t>01.3.02.08-0001</t>
  </si>
  <si>
    <t>Кислород газообразный технический</t>
  </si>
  <si>
    <t>м3</t>
  </si>
  <si>
    <t>01.3.02.09-0022</t>
  </si>
  <si>
    <t>Пропан-бутан смесь техническая</t>
  </si>
  <si>
    <t>кг</t>
  </si>
  <si>
    <t>01.7.03.04-0001</t>
  </si>
  <si>
    <t>Электроэнергия</t>
  </si>
  <si>
    <t>кВт-ч</t>
  </si>
  <si>
    <t>01.7.11.07-0036</t>
  </si>
  <si>
    <t>Электроды сварочные для сварки низколегированных и углеродистых сталей Э46, диаметр 4 мм</t>
  </si>
  <si>
    <t>01.7.15.06-0111</t>
  </si>
  <si>
    <t>Гвозди строительные</t>
  </si>
  <si>
    <t>01.7.20.08-0071</t>
  </si>
  <si>
    <t>Канат пеньковый тросовой свивки, пропитанный, диаметр 26 мм</t>
  </si>
  <si>
    <t>07.2.07.12-0011</t>
  </si>
  <si>
    <t>Металлоконструкции зданий и сооружений с преобладанием гнутых профилей и круглых труб</t>
  </si>
  <si>
    <t>08.2.02.11-0007</t>
  </si>
  <si>
    <t>Канат двойной свивки ТК, конструкции 6х19(1+6+12)+1 о.с., марка В, из оцинкованной по группе Ж проволоки, маркировочная группа 1570-1770 Н/мм2, диаметр 5,5 мм</t>
  </si>
  <si>
    <t>10 м</t>
  </si>
  <si>
    <t>08.3.03.06-0002</t>
  </si>
  <si>
    <t>Проволока горячекатаная в мотках, диаметр 6,3-6,5 мм</t>
  </si>
  <si>
    <t>08.3.11.01-1106</t>
  </si>
  <si>
    <t>Швеллеры стальные горячекатаные, марки стали Ст3пс, Ст3сп, № 40У, № 40П</t>
  </si>
  <si>
    <t>11.1.03.01-0061</t>
  </si>
  <si>
    <t>Бруски обрезные хвойных пород (ель, сосна), естественной влажности, длина 2-6,5 м, ширина 20-90 мм, толщина 20-90 мм, сорт I</t>
  </si>
  <si>
    <t>14.4.01.01-0003</t>
  </si>
  <si>
    <t>Грунтовка ГФ-021</t>
  </si>
  <si>
    <t>14.5.09.07-0030</t>
  </si>
  <si>
    <t>Растворитель Р-4</t>
  </si>
  <si>
    <t>П,Н</t>
  </si>
  <si>
    <t>01.7.15.03-0042</t>
  </si>
  <si>
    <t>Болты с гайками и шайбами строительные</t>
  </si>
  <si>
    <t>Н</t>
  </si>
  <si>
    <t>07.2.05.01</t>
  </si>
  <si>
    <t>Площадки металлические</t>
  </si>
  <si>
    <t>Итого прямые затраты</t>
  </si>
  <si>
    <t>ФОТ</t>
  </si>
  <si>
    <t>Пр/812-009.0-1</t>
  </si>
  <si>
    <t>НР Строительные металлические конструкции</t>
  </si>
  <si>
    <t>Пр/774-009.0, Приказ № 774/пр от 11.12.2020 п.16</t>
  </si>
  <si>
    <t>СП Строительные металлические конструкции</t>
  </si>
  <si>
    <t>Всего по позиции</t>
  </si>
  <si>
    <t>02-15-1-01-0142</t>
  </si>
  <si>
    <t>Перевозка грузов I класса автомобилями-самосвалами грузоподъемностью до 15 т по дорогам с усовершенствованным (асфальтобетонным, цементобетонным, железобетонным, обработанным органическим вяжущим) дорожным покрытием на расстояние 142 км</t>
  </si>
  <si>
    <t>(Перевозка грузов автотранспортом (Автомобили-самосвалы))</t>
  </si>
  <si>
    <t>Монтаж площадок с настилом и ограждением из листовой, рифленой, просечной и круглой стали</t>
  </si>
  <si>
    <t>Приказ от 04.08.2020 № 421/пр п.58б</t>
  </si>
  <si>
    <t>При применении сметных норм, включенных в сборники ГЭСН (ФЕР, ТЕР), аналогичных технологическим процессам в новом строительстве, в том числе по возведению новых конструктивных элементов ОЗП=1,15; ЭМ=1,25 к расх.; ЗПМ=1,25; ТЗ=1,15; ТЗМ=1,25</t>
  </si>
  <si>
    <t>1,5525
(1,15*1,35)</t>
  </si>
  <si>
    <t>1,6875
(1,25*1,35)</t>
  </si>
  <si>
    <t>ФСБЦ-07.2.07.12-0011</t>
  </si>
  <si>
    <t>(Строительные металлические конструкции)</t>
  </si>
  <si>
    <t xml:space="preserve">Металлоконструкции зданий и сооружений с преобладанием гнутых профилей и круглых труб </t>
  </si>
  <si>
    <t>ФСБЦ-07.2.07.12-0011_01-20-1-01-0030</t>
  </si>
  <si>
    <t xml:space="preserve">Перевозка грузов I класса автомобилями бортовыми грузоподъемностью до 20 т по дорогам с усовершенствованным (асфальтобетонным, цементобетонным, железобетонным, обработанным органическим вяжущим) дорожным покрытием на расстояние 30 км </t>
  </si>
  <si>
    <t>ФСБЦ-07.2.07.12-0011_01-20-1-01-0132</t>
  </si>
  <si>
    <t xml:space="preserve">Перевозка грузов I класса автомобилями бортовыми грузоподъемностью до 20 т по дорогам с усовершенствованным (асфальтобетонным, цементобетонным, железобетонным, обработанным органическим вяжущим) дорожным покрытием на расстояние 132 км </t>
  </si>
  <si>
    <t>8.1</t>
  </si>
  <si>
    <t>8.2</t>
  </si>
  <si>
    <t xml:space="preserve">     Итого прямые затраты (справочно)</t>
  </si>
  <si>
    <t xml:space="preserve">          в том числе:</t>
  </si>
  <si>
    <t xml:space="preserve">               Оплата труда рабочих</t>
  </si>
  <si>
    <t xml:space="preserve">               Эксплуатация машин</t>
  </si>
  <si>
    <t xml:space="preserve">               Оплата труда машинистов (Отм)</t>
  </si>
  <si>
    <t xml:space="preserve">               Материалы</t>
  </si>
  <si>
    <t xml:space="preserve">               Перевозка</t>
  </si>
  <si>
    <t xml:space="preserve">     Строительные работы</t>
  </si>
  <si>
    <t xml:space="preserve">          Строительные работы</t>
  </si>
  <si>
    <t xml:space="preserve">               в том числе:</t>
  </si>
  <si>
    <t xml:space="preserve">                    оплата труда</t>
  </si>
  <si>
    <t xml:space="preserve">                    эксплуатация машин и механизмов</t>
  </si>
  <si>
    <t xml:space="preserve">                    оплата труда машинистов (Отм)</t>
  </si>
  <si>
    <t xml:space="preserve">                    материалы</t>
  </si>
  <si>
    <t xml:space="preserve">                    накладные расходы</t>
  </si>
  <si>
    <t xml:space="preserve">                    сметная прибыль</t>
  </si>
  <si>
    <t xml:space="preserve">          Перевозка</t>
  </si>
  <si>
    <t xml:space="preserve">     Итого ФОТ (справочно)</t>
  </si>
  <si>
    <t xml:space="preserve">     Итого накладные расходы (справочно)</t>
  </si>
  <si>
    <t xml:space="preserve">     Итого сметная прибыль (справочно)</t>
  </si>
  <si>
    <t xml:space="preserve">  Справочно</t>
  </si>
  <si>
    <t xml:space="preserve">       затраты труда рабочих</t>
  </si>
  <si>
    <t xml:space="preserve">       затраты труда машинистов</t>
  </si>
  <si>
    <t>12.1</t>
  </si>
  <si>
    <t>12.2</t>
  </si>
  <si>
    <t>19</t>
  </si>
  <si>
    <t>20</t>
  </si>
  <si>
    <t>21</t>
  </si>
  <si>
    <t>22</t>
  </si>
  <si>
    <t>23</t>
  </si>
  <si>
    <t>24</t>
  </si>
  <si>
    <t>Итоги по смете:</t>
  </si>
  <si>
    <t xml:space="preserve">     Всего прямые затраты (справочно)</t>
  </si>
  <si>
    <t xml:space="preserve">     Всего ФОТ (справочно)</t>
  </si>
  <si>
    <t xml:space="preserve">     Всего накладные расходы (справочно)</t>
  </si>
  <si>
    <t xml:space="preserve">     Всего сметная прибыль (справочно)</t>
  </si>
  <si>
    <t>Составил:</t>
  </si>
  <si>
    <t>Эксперт направления сметного регулирования Управления проектов Департамента развития инфраструктуры</t>
  </si>
  <si>
    <t>(Татаринов А.Ю.)</t>
  </si>
  <si>
    <t>[должность, подпись (инициалы, фамилия)]</t>
  </si>
  <si>
    <t>Проверил:</t>
  </si>
  <si>
    <t>(Татаринова Е.А.)</t>
  </si>
  <si>
    <t>1. Зарегистрирован Министерством юстиции Российской Федерации 10 сентября 2019 г., регистрационный № 55869), с изменениями, внесенными приказом Министерства строительства и жилищно-коммунального хозяйства Российской Федерации от 20 февраля 2021 г. № 79/пр (зарегистрирован Министерством юстиции Российской Федерации 9 августа 2021 г., регистрационный № 64577)</t>
  </si>
  <si>
    <t>² Под прочими затратами понимаются затраты, учитываемые в соответствии с пунктом 184 Методики.</t>
  </si>
  <si>
    <t>³ Под прочими работами понимаются затраты, учитываемые в соответствии с пунктами 122-128 Методики.</t>
  </si>
  <si>
    <t>ЛСР 02-01-01</t>
  </si>
  <si>
    <t xml:space="preserve">СМЕТА № 2-из   </t>
  </si>
  <si>
    <t xml:space="preserve">, Реконструкция снегоудерживающих сооружений ВТРК «Эльбрус». Этап 1., Инженерно-геологические изыскания, </t>
  </si>
  <si>
    <t>Итого по расчету: 12 262 666,27 руб.</t>
  </si>
  <si>
    <t xml:space="preserve">Инженерно-геологическая, гидрогеологическая рекогносцировка при проходимости плохой: 3 категория сложности, полевые работы, 3(1 км маршрута) </t>
  </si>
  <si>
    <t xml:space="preserve">СБЦ "Инженерно-геологические и инженерно-экологические изыскания для строительства (1999)" табл.9 п.3-3-1
(СБЦ103-9-3-3-1) </t>
  </si>
  <si>
    <t>(47,2*3)*1,2,
где количество 3=3</t>
  </si>
  <si>
    <t>169,92</t>
  </si>
  <si>
    <t>ОУ п.8а При выполнении изысканий в горных и высокогорных районах с абсолютными высотами поверхности участка над уровнем моря: св. 2000 до 3000 м К=1,2</t>
  </si>
  <si>
    <t xml:space="preserve">Наблюдения при передвижении по маршруту при составлении инженерно-геологической, гидрогеологической,почвенной,инженерно-экологической карты в масштабе 1:10000-1:5000: проходимость плохая, полевые работы, 2(1 км маршрута) </t>
  </si>
  <si>
    <t xml:space="preserve">СБЦ "Инженерно-геологические и инженерно-экологические изыскания для строительства (1999)" табл.10 п.3-3-1
(СБЦ103-10-3-3-1) </t>
  </si>
  <si>
    <t>(30*2)*1,2,
где количество 2=2</t>
  </si>
  <si>
    <t>72,00</t>
  </si>
  <si>
    <t xml:space="preserve">Описание точек наблюдений при составлении инженерно-геологических (гидрогеологических) карт: категория сложности 3, полевые работы, 72(1 точка) </t>
  </si>
  <si>
    <t xml:space="preserve">СБЦ "Инженерно-геологические и инженерно-экологические изыскания для строительства (1999)" табл.11 п.1-3-1
(СБЦ103-11-1-3-1) </t>
  </si>
  <si>
    <t>(16,4*72)*1,2,
где количество 72=72</t>
  </si>
  <si>
    <t>1 416,96</t>
  </si>
  <si>
    <t xml:space="preserve">Колонковое бурение скважины диаметром до 160мм, глубиной до 15м: категория породы 9, 300(м) </t>
  </si>
  <si>
    <t xml:space="preserve">СБЦ "Инженерно-геологические и инженерно-экологические изыскания для строительства (1999)" табл.17 п.1-9
(СБЦ103-17-1-9) </t>
  </si>
  <si>
    <t>(99,7*300)*1,2*1,1,
где количество 300=300</t>
  </si>
  <si>
    <t>39 481,20</t>
  </si>
  <si>
    <t>ОУ п.8а При выполнении изысканий в горных и высокогорных районах с абсолютными высотами поверхности участка над уровнем моря: св. 2000 до 3000 м К=1,2;</t>
  </si>
  <si>
    <t>Ч.II,ОП п.7 при уклонах от 10° до 30° К=1,1</t>
  </si>
  <si>
    <t xml:space="preserve">Колонковое бурение скважины диаметром до 160мм, глубиной до 15м: категория породы 10, 300(м) </t>
  </si>
  <si>
    <t xml:space="preserve">СБЦ "Инженерно-геологические и инженерно-экологические изыскания для строительства (1999)" табл.17 п.1-10
(СБЦ103-17-1-10) </t>
  </si>
  <si>
    <t>(145,8*300)*1,2*1,1,
где количество 300=300</t>
  </si>
  <si>
    <t>57 736,80</t>
  </si>
  <si>
    <t xml:space="preserve">Определение объемного веса в естественном залегании и коэффициента разрыхления несвязного грунта (взвешивание и замер извлекаемого грунта мерными ящиками, замер объема опытного шурфа засыпкой сортированным песком), 6(опыт) </t>
  </si>
  <si>
    <t xml:space="preserve">СБЦ "Инженерно-геологические и инженерно-экологические изыскания для строительства (1999)" табл.59 п.8
(СБЦ103-59-8) </t>
  </si>
  <si>
    <t>(60,2*6)*1,2,
где количество 6=6</t>
  </si>
  <si>
    <t>433,44</t>
  </si>
  <si>
    <t xml:space="preserve">Плановая и высотная привязка при расстоянии между геологическими выработками или точками до 50м: категория сложности 3 (Предварительная разбивка), 200(1 выработка (точка)) </t>
  </si>
  <si>
    <t xml:space="preserve">СБЦ "Инженерно-геологические и инженерно-экологические изыскания для строительства (1999)" табл.93 п.1-3
(СБЦ103-93-1-3) </t>
  </si>
  <si>
    <t>(10,8*200)*1,2*0,5,
где количество 200=200</t>
  </si>
  <si>
    <t>1 296,00</t>
  </si>
  <si>
    <t>прим.1 предварительная разбивка местоположения выработок (точек) К=0,5</t>
  </si>
  <si>
    <t xml:space="preserve">Плановая и высотная привязка при расстоянии между геологическими выработками или точками до 50м: категория сложности 3, 200(1 выработка (точка)) </t>
  </si>
  <si>
    <t>(10,8*200)*1,2,
где количество 200=200</t>
  </si>
  <si>
    <t>2 592,00</t>
  </si>
  <si>
    <t xml:space="preserve">Отбор монолитов из буровых скважин (связные грунты) с глубины до 10м (Скальные грунты), 40(1 монолит) </t>
  </si>
  <si>
    <t xml:space="preserve">СБЦ "Инженерно-геологические и инженерно-экологические изыскания для строительства (1999)" табл.57 п.1-1
(СБЦ103-57-1-1) </t>
  </si>
  <si>
    <t>(22,9*40)*0,7*1,2,
где количество 40=40</t>
  </si>
  <si>
    <t>769,44</t>
  </si>
  <si>
    <t>прим. отбор монолита скальных пород при колонковом бурении определяется по ценам отбора монолита из буровой скважины К=0,7;</t>
  </si>
  <si>
    <t xml:space="preserve">   Итого Поз. 1-9</t>
  </si>
  <si>
    <t>103 967,76</t>
  </si>
  <si>
    <t>6 746 467,95</t>
  </si>
  <si>
    <t>Раздел 2. Лабораторные работы</t>
  </si>
  <si>
    <t xml:space="preserve">Сокращенный комплекс определений физических свойств скальных и полускальных грунтов, 40(1 образец) </t>
  </si>
  <si>
    <t xml:space="preserve">СБЦ "Инженерно-геологические и инженерно-экологические изыскания для строительства (1999)" табл.68 п.1
(СБЦ103-68-1) </t>
  </si>
  <si>
    <t>48,9*40,
где количество 40=40</t>
  </si>
  <si>
    <t xml:space="preserve">Определение предела прочности при сжатии в естественном, или воздушно-сухом, или водонасыщенном состоянии скального и полускального грунта, 80(1 образец) </t>
  </si>
  <si>
    <t xml:space="preserve">СБЦ "Инженерно-геологические и инженерно-экологические изыскания для строительства (1999)" табл.67 п.9
(СБЦ103-67-9) </t>
  </si>
  <si>
    <t>1,8*80,
где количество 80=80</t>
  </si>
  <si>
    <t>144,00</t>
  </si>
  <si>
    <t xml:space="preserve">Определение влажности песчаных грунтов, 60(1 образец) </t>
  </si>
  <si>
    <t xml:space="preserve">СБЦ "Инженерно-геологические и инженерно-экологические изыскания для строительства (1999)" табл.64 п.1
(СБЦ103-64-1) </t>
  </si>
  <si>
    <t>1,9*60,
где количество 60=60</t>
  </si>
  <si>
    <t>114,00</t>
  </si>
  <si>
    <t xml:space="preserve">Определение плотности песчаных грунтов, 60(1 образец) </t>
  </si>
  <si>
    <t xml:space="preserve">СБЦ "Инженерно-геологические и инженерно-экологические изыскания для строительства (1999)" табл.64 п.3
(СБЦ103-64-3) </t>
  </si>
  <si>
    <t>2,9*60,
где количество 60=60</t>
  </si>
  <si>
    <t>174,00</t>
  </si>
  <si>
    <t xml:space="preserve">Гранулометрический анализ песчаных грунтов ситовым методом с разделением на фракции от 10 до 0.1мм без кипячения и промывки, (навеска свыше 1кг), 60(1 образец) </t>
  </si>
  <si>
    <t xml:space="preserve">СБЦ "Инженерно-геологические и инженерно-экологические изыскания для строительства (1999)" табл.64 п.11
(СБЦ103-64-11) </t>
  </si>
  <si>
    <t>13,7*60,
где количество 60=60</t>
  </si>
  <si>
    <t>822,00</t>
  </si>
  <si>
    <t xml:space="preserve">Определение истираемости щебня (гравия) в полочном барабане, 20(1 проба) </t>
  </si>
  <si>
    <t xml:space="preserve">СБЦ "Инженерно-геологические и инженерно-экологические изыскания для строительства (1999)" табл.76 п.30
(СБЦ103-76-30) </t>
  </si>
  <si>
    <t>11,3*20,
где количество 20=20</t>
  </si>
  <si>
    <t>226,00</t>
  </si>
  <si>
    <t xml:space="preserve">Подготовка проб щебня к испытаниям в полочном барабане, 20(1 проба) </t>
  </si>
  <si>
    <t xml:space="preserve">СБЦ "Инженерно-геологические и инженерно-экологические изыскания для строительства (1999)" табл.76 п.43
(СБЦ103-76-43) </t>
  </si>
  <si>
    <t>13,3*20,
где количество 20=20</t>
  </si>
  <si>
    <t>266,00</t>
  </si>
  <si>
    <t xml:space="preserve">Единичные определения химического состава грунтов (почв): приготовление водной вытяжки, 10(1 образец) </t>
  </si>
  <si>
    <t xml:space="preserve">СБЦ "Инженерно-геологические и инженерно-экологические изыскания для строительства (1999)" табл.70 п.83
(СБЦ103-70-83) </t>
  </si>
  <si>
    <t>3,8*10,
где количество 10=10</t>
  </si>
  <si>
    <t>38,00</t>
  </si>
  <si>
    <t xml:space="preserve">Анализ водной вытяжки с определением по разности суммы натрия и калия, 10(1 образец) </t>
  </si>
  <si>
    <t xml:space="preserve">СБЦ "Инженерно-геологические и инженерно-экологические изыскания для строительства (1999)" табл.71 п.1
(СБЦ103-71-1) </t>
  </si>
  <si>
    <t>48,8*10,
где количество 10=10</t>
  </si>
  <si>
    <t>488,00</t>
  </si>
  <si>
    <t xml:space="preserve">Определение коррозионной активности грунтов по отношению к стали, 10(1 проба) </t>
  </si>
  <si>
    <t xml:space="preserve">СБЦ "Инженерно-геологические и инженерно-экологические изыскания для строительства (1999)" табл.75 п.4
(СБЦ103-75-4) </t>
  </si>
  <si>
    <t>18,2*10,
где количество 10=10</t>
  </si>
  <si>
    <t>182,00</t>
  </si>
  <si>
    <t>Итого по разделу 2 Лабораторные работы</t>
  </si>
  <si>
    <t xml:space="preserve">   Итого Поз. 10-19</t>
  </si>
  <si>
    <t>4 410,00</t>
  </si>
  <si>
    <t>286 164,90</t>
  </si>
  <si>
    <t xml:space="preserve">   Итого по разделу 2 Лабораторные работы</t>
  </si>
  <si>
    <t>Раздел 3. Камеральные работы</t>
  </si>
  <si>
    <t xml:space="preserve">Инженерно-геологическая, гидрогеологическая рекогносцировка при проходимости плохой: 3 категория сложности, камеральные работы, 3(1 км маршрута) </t>
  </si>
  <si>
    <t xml:space="preserve">СБЦ "Инженерно-геологические и инженерно-экологические изыскания для строительства (1999)" табл.9 п.3-3-2
(СБЦ103-9-3-3-2) </t>
  </si>
  <si>
    <t>23,4*3,
где количество 3=3</t>
  </si>
  <si>
    <t>70,20</t>
  </si>
  <si>
    <t xml:space="preserve">Наблюдения при передвижении по маршруту при составлении инженерно-геологической, гидрогеологической,почвенной,инженерно-экологической карты в масштабе 1:10000-1:5000: проходимость плохая, камеральные работы, 2(1 км маршрута) </t>
  </si>
  <si>
    <t xml:space="preserve">СБЦ "Инженерно-геологические и инженерно-экологические изыскания для строительства (1999)" табл.10 п.3-3-2
(СБЦ103-10-3-3-2) </t>
  </si>
  <si>
    <t>3*2,
где количество 2=2</t>
  </si>
  <si>
    <t>6,00</t>
  </si>
  <si>
    <t xml:space="preserve">Описание точек наблюдений при составлении инженерно-геологических (гидрогеологических) карт: категория сложности 3, камеральные работы, 72(1 точка) </t>
  </si>
  <si>
    <t xml:space="preserve">СБЦ "Инженерно-геологические и инженерно-экологические изыскания для строительства (1999)" табл.11 п.1-3-2
(СБЦ103-11-1-3-2) </t>
  </si>
  <si>
    <t>10,2*72,
где количество 72=72</t>
  </si>
  <si>
    <t>734,40</t>
  </si>
  <si>
    <t xml:space="preserve">Сбор, изучение и систематизация материалов изысканий прошлых лет по горным выработкам: 3 категория сложности инженерно-геологических условий, 40(1м выработки) </t>
  </si>
  <si>
    <t xml:space="preserve">СБЦ "Инженерно-геологические и инженерно-экологические изыскания для строительства (1999)" табл.78 п.1-3
(СБЦ103-78-1-3) </t>
  </si>
  <si>
    <t>10,8*40,
где количество 40=40</t>
  </si>
  <si>
    <t>432,00</t>
  </si>
  <si>
    <t xml:space="preserve">Сбор, изучение и систематизация материалов изысканий прошлых лет по цифровым показателям: 3 категория сложности инженерно-геологических условий, 50(10 цифровых значений) </t>
  </si>
  <si>
    <t xml:space="preserve">СБЦ "Инженерно-геологические и инженерно-экологические изыскания для строительства (1999)" табл.78 п.2-3
(СБЦ103-78-2-3) </t>
  </si>
  <si>
    <t>4,3*50,
где количество 50=50</t>
  </si>
  <si>
    <t>215,00</t>
  </si>
  <si>
    <t>25</t>
  </si>
  <si>
    <t xml:space="preserve">Камеральная обработка материалов буровых и горнопроходческих работ: категория сложности инженерно-геологических условий 3, 600(1м выработки) </t>
  </si>
  <si>
    <t xml:space="preserve">СБЦ "Инженерно-геологические и инженерно-экологические изыскания для строительства (1999)" табл.82 п.1-3
(СБЦ103-82-1-3) </t>
  </si>
  <si>
    <t>9,4*600,
где количество 600=600</t>
  </si>
  <si>
    <t>5 640,00</t>
  </si>
  <si>
    <t>26</t>
  </si>
  <si>
    <t xml:space="preserve">Камеральная обработка комплексных исследований и отдельных определений физико-механических свойств грунтов (пород): скальных и полускальных - 10%, 10%=0,1(значение) </t>
  </si>
  <si>
    <t xml:space="preserve">СБЦ "Инженерно-геологические и инженерно-экологические изыскания для строительства (1999)" табл.86 п.3
(СБЦ103-86-3) </t>
  </si>
  <si>
    <t>2326*0,1,
где количество 0,1=10%</t>
  </si>
  <si>
    <t>232,60</t>
  </si>
  <si>
    <t>27</t>
  </si>
  <si>
    <t xml:space="preserve">Камеральная обработка определения коррозионной активности грунтов и воды - 15% от стоимости лабораторных работ, 15%=0,15(значение) </t>
  </si>
  <si>
    <t xml:space="preserve">СБЦ "Инженерно-геологические и инженерно-экологические изыскания для строительства (1999)" табл.86 п.8
(СБЦ103-86-8) </t>
  </si>
  <si>
    <t>182*0,15,
где количество 0,15=15%</t>
  </si>
  <si>
    <t>27,30</t>
  </si>
  <si>
    <t>28</t>
  </si>
  <si>
    <t xml:space="preserve">Камеральная обработка комплексных исследований и отдельных определений физико-механических свойств грунтов (пород): песчаных- 15% от стоимости лабораторных работ, 15%=0,15(значение) </t>
  </si>
  <si>
    <t xml:space="preserve">СБЦ "Инженерно-геологические и инженерно-экологические изыскания для строительства (1999)" табл.86 п.2
(СБЦ103-86-2) </t>
  </si>
  <si>
    <t>1110*0,15,
где количество 0,15=15%</t>
  </si>
  <si>
    <t>166,50</t>
  </si>
  <si>
    <t>29</t>
  </si>
  <si>
    <t xml:space="preserve">Камеральная обработка комплексных исследований и отдельных определений: химического состава грунтов и почв - 12% от стоимости лабораторных работ, 12%=0,12(значение) </t>
  </si>
  <si>
    <t xml:space="preserve">СБЦ "Инженерно-геологические и инженерно-экологические изыскания для строительства (1999)" табл.86 п.4
(СБЦ103-86-4) </t>
  </si>
  <si>
    <t>488*0,12,
где количество 0,12=12%</t>
  </si>
  <si>
    <t>58,56</t>
  </si>
  <si>
    <t>30</t>
  </si>
  <si>
    <t xml:space="preserve">Составление программы производства работ, средняя глубина исследования: до 5м, исследуемая площадь до 1км2, 1(1 программа) </t>
  </si>
  <si>
    <t xml:space="preserve">СБЦ "Инженерно-геологические и инженерно-экологические изыскания для строительства (1999)" табл.81 п.1-1
(СБЦ103-81-1-1) </t>
  </si>
  <si>
    <t>200*1,
где количество 1=1</t>
  </si>
  <si>
    <t>200,00</t>
  </si>
  <si>
    <t>31</t>
  </si>
  <si>
    <t xml:space="preserve">Составление технического отчета (заключения) о результатах выполненных работ,  категория сложности инженерно-геологических условий 3, при стоимости камеральных работ: св. 5 до 20 тыс. руб. - 22%, 22%=0,22(1 отчет) </t>
  </si>
  <si>
    <t xml:space="preserve">СБЦ "Инженерно-геологические и инженерно-экологические изыскания для строительства (1999)" табл.87 п.2-3
(СБЦ103-87-2-3) </t>
  </si>
  <si>
    <t>7582,56*0,22,
где количество 0,22=22%</t>
  </si>
  <si>
    <t>1 668,16</t>
  </si>
  <si>
    <t>Итого по разделу 3 Камеральные работы</t>
  </si>
  <si>
    <t xml:space="preserve">   Итого Поз. 20-31</t>
  </si>
  <si>
    <t>9 450,72</t>
  </si>
  <si>
    <t>613 257,22</t>
  </si>
  <si>
    <t xml:space="preserve">   Итого по разделу 3 Камеральные работы</t>
  </si>
  <si>
    <t>32</t>
  </si>
  <si>
    <t xml:space="preserve">Расходы по внутреннему транспорту при расстоянии от базы до участка изысканий 15-20 км, при сметной стоимости полевых изыскательских работ св. 50 тыс. руб., 11,25%=0,1125(значение) </t>
  </si>
  <si>
    <t xml:space="preserve">СБЦ "Инженерно-геологические и инженерно-экологические изыскания для строительства (1999)" табл.4
(СБЦ 103 Табл. 4) </t>
  </si>
  <si>
    <t>103967,76*0,1125,
где количество 0,1125=11,25%</t>
  </si>
  <si>
    <t>11 696,37</t>
  </si>
  <si>
    <t>33</t>
  </si>
  <si>
    <t xml:space="preserve">Расходы по внешнему транспорту при расстоянии проезда в одном направлении 1000-2000 км, при экспедиционных условиях продолжительностью до 1 мес., 36,4%=0,364(значение) </t>
  </si>
  <si>
    <t xml:space="preserve">СБЦ "Инженерно-геологические и инженерно-экологические изыскания для строительства (1999)" табл.5
(СБЦ 103 Табл. 5) </t>
  </si>
  <si>
    <t>115664,13*0,364,
где количество 0,364=36,4%</t>
  </si>
  <si>
    <t>42 101,74</t>
  </si>
  <si>
    <t>34</t>
  </si>
  <si>
    <t xml:space="preserve">Расходы по организации и ликвидации работ, 6%=0,06(значение) </t>
  </si>
  <si>
    <t xml:space="preserve">СБЦ "Инженерно-геологические и инженерно-экологические изыскания для строительства (1999)" п. 13 ОУ
(СБЦ 103 ОУ п. 13) </t>
  </si>
  <si>
    <t>(115664,13*0,06)*2,5,
где количество 0,06=6%</t>
  </si>
  <si>
    <t>17 349,62</t>
  </si>
  <si>
    <t>П 13. ОУ Примечание 1 При сметной стоимости до 2 тыс. руб. или при  изысканиях, выполняемых в районах Крайнего Севера и приравненных к ним местностях, а также в малонаселенных (необжитых) районах (высокогорных, пустынных, таежных и тундровых) К=2,5</t>
  </si>
  <si>
    <t xml:space="preserve">   Итого Поз. 32-34</t>
  </si>
  <si>
    <t>71 147,73</t>
  </si>
  <si>
    <t>4 616 776,20</t>
  </si>
  <si>
    <t xml:space="preserve">   Итого Поз. 1-34</t>
  </si>
  <si>
    <t>188 976,21</t>
  </si>
  <si>
    <t>12 262 666,27</t>
  </si>
  <si>
    <t>Итого по расчету: 16 807 964,83 руб.</t>
  </si>
  <si>
    <t>(47,2*3)*1,4*1,2,
где количество 3=3</t>
  </si>
  <si>
    <t>237,89</t>
  </si>
  <si>
    <t>ОУ п.8г При выполнении полевых изыскательских работ в неблагоприятный период года: при продолжительности неблагоприятного периода 8-9,5 мес. К=1,4;</t>
  </si>
  <si>
    <t>(30*2)*1,4*1,2,
где количество 2=2</t>
  </si>
  <si>
    <t>100,80</t>
  </si>
  <si>
    <t>(16,4*72)*1,4*1,2,
где количество 72=72</t>
  </si>
  <si>
    <t>1 983,74</t>
  </si>
  <si>
    <t>(99,7*300)*1,4*1,2*1,1,
где количество 300=300</t>
  </si>
  <si>
    <t>55 273,68</t>
  </si>
  <si>
    <t>(145,8*300)*1,4*1,2*1,1,
где количество 300=300</t>
  </si>
  <si>
    <t>80 831,52</t>
  </si>
  <si>
    <t>(60,2*6)*1,2*1,4,
где количество 6=6</t>
  </si>
  <si>
    <t>606,82</t>
  </si>
  <si>
    <t>ОУ п.8г При выполнении полевых изыскательских работ в неблагоприятный период года: при продолжительности неблагоприятного периода 8-9,5 мес. К=1,4</t>
  </si>
  <si>
    <t>(10,8*200)*1,4*1,2*0,5,
где количество 200=200</t>
  </si>
  <si>
    <t>1 814,40</t>
  </si>
  <si>
    <t>(10,8*200)*1,4*1,2,
где количество 200=200</t>
  </si>
  <si>
    <t>3 628,80</t>
  </si>
  <si>
    <t>(22,9*40)*0,7*1,4*1,2,
где количество 40=40</t>
  </si>
  <si>
    <t>145 554,87</t>
  </si>
  <si>
    <t>9 445 055,51</t>
  </si>
  <si>
    <t>145554,87*0,1125,
где количество 0,1125=11,25%</t>
  </si>
  <si>
    <t>16 374,92</t>
  </si>
  <si>
    <t>161929,79*0,364,
где количество 0,364=36,4%</t>
  </si>
  <si>
    <t>58 942,44</t>
  </si>
  <si>
    <t>(161929,79*0,06)*2,5,
где количество 0,06=6%</t>
  </si>
  <si>
    <t>24 289,47</t>
  </si>
  <si>
    <t>99 606,83</t>
  </si>
  <si>
    <t>6 463 487,20</t>
  </si>
  <si>
    <t>259 022,42</t>
  </si>
  <si>
    <t>16 807 964,83</t>
  </si>
  <si>
    <t>Строительный контроль 1,47%</t>
  </si>
  <si>
    <t>КВЛ</t>
  </si>
  <si>
    <t>в том числе ПИР</t>
  </si>
  <si>
    <t>СОГЛАСОВАНО:</t>
  </si>
  <si>
    <t>УТВЕРЖДАЮ:</t>
  </si>
  <si>
    <t>______________</t>
  </si>
  <si>
    <t>____________</t>
  </si>
  <si>
    <t>" _____ " ________________ 2018 г.</t>
  </si>
  <si>
    <t>"______ " _______________2018 г.</t>
  </si>
  <si>
    <t>"Всесезонный туристско-рекреационный комплекс "Эльбрус", Кабардино-Балкарская Республика. Пассажирская подвесная канатная дорога EL6"</t>
  </si>
  <si>
    <r>
      <t xml:space="preserve">ЛОКАЛЬНЫЙ СМЕТНЫЙ РАСЧЕТ № </t>
    </r>
    <r>
      <rPr>
        <sz val="12"/>
        <rFont val="Arial"/>
        <family val="2"/>
        <charset val="204"/>
      </rPr>
      <t>02-01-08</t>
    </r>
  </si>
  <si>
    <t>(локальная смета)</t>
  </si>
  <si>
    <t xml:space="preserve">на </t>
  </si>
  <si>
    <t>Инженерная защита территории</t>
  </si>
  <si>
    <t>Основание: Раздел ПД №10. Подраздел ПД №6. ЭЛ2-2-ПИР-ВОР_Изм.6, Раздел ПД №10. Подраздел ПД №10. Часть 1. ЭЛ2-2-ПИР-СС1_Изм3</t>
  </si>
  <si>
    <t>Сметная стоимость _______________________________________________________________________________________________</t>
  </si>
  <si>
    <t>___________________________15312,627</t>
  </si>
  <si>
    <t xml:space="preserve">      строительных работ _______________________________________________________________________________________________</t>
  </si>
  <si>
    <t>_______________________________________________________________________________________________15304,508</t>
  </si>
  <si>
    <t xml:space="preserve">      монтажных работ _______________________________________________________________________________________________</t>
  </si>
  <si>
    <t>_______________________________________________________________________________________________8,119</t>
  </si>
  <si>
    <t>Средства на оплату труда _______________________________________________________________________________________________</t>
  </si>
  <si>
    <t>___________________________1140,034</t>
  </si>
  <si>
    <t>Сметная трудоемкость _______________________________________________________________________________________________</t>
  </si>
  <si>
    <t>_______________________________________________________________________________________________86562,2</t>
  </si>
  <si>
    <t>чел.час</t>
  </si>
  <si>
    <t>Составлен(а) в текущих (прогнозных) ценах по состоянию на 01.01.2000г.</t>
  </si>
  <si>
    <t>Шифр и номер позиции норматива</t>
  </si>
  <si>
    <t>Наименование работ и затрат, единица измерения</t>
  </si>
  <si>
    <t>Стоимость единицы, руб.</t>
  </si>
  <si>
    <t>Общая стоимость, руб.</t>
  </si>
  <si>
    <t>Затраты труда рабочих, чел.-ч, не занятых обслуживанием машин</t>
  </si>
  <si>
    <t>эксплуата-
ции машин</t>
  </si>
  <si>
    <t>оплаты труда</t>
  </si>
  <si>
    <t>эксплуата-
ция машин</t>
  </si>
  <si>
    <t>в т.ч. оплаты труда</t>
  </si>
  <si>
    <t>на единицу</t>
  </si>
  <si>
    <t>Раздел 1. Зона защиты опоры Т04</t>
  </si>
  <si>
    <t>Устройство гибких снегоудерживающих барьеров DK3.5 N3.2 L=29,5+33+33+33</t>
  </si>
  <si>
    <t>Устройство ж.б. фундаментов</t>
  </si>
  <si>
    <r>
      <t>ФЕР01-02-065-03</t>
    </r>
    <r>
      <rPr>
        <i/>
        <sz val="7"/>
        <rFont val="Arial"/>
        <family val="2"/>
        <charset val="204"/>
      </rPr>
      <t xml:space="preserve">
Приказ Минстроя России от 30.12.2016 №1039/пр</t>
    </r>
  </si>
  <si>
    <r>
      <t>Разработка скального грунта отбойными молотками, группа грунтов: 5 - под фундаменты
(100 м3)</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</si>
  <si>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0,0595</t>
    </r>
    <r>
      <rPr>
        <i/>
        <sz val="7"/>
        <rFont val="Arial"/>
        <family val="2"/>
        <charset val="204"/>
      </rPr>
      <t xml:space="preserve">
5,95 / 100</t>
    </r>
  </si>
  <si>
    <t>25629,84
8486,84</t>
  </si>
  <si>
    <t>17143
1794,2</t>
  </si>
  <si>
    <t>1020
107</t>
  </si>
  <si>
    <r>
      <t>ФЕР06-01-001-05</t>
    </r>
    <r>
      <rPr>
        <i/>
        <sz val="7"/>
        <rFont val="Arial"/>
        <family val="2"/>
        <charset val="204"/>
      </rPr>
      <t xml:space="preserve">
Приказ Минстроя России от 30.12.2016 №1039/пр</t>
    </r>
  </si>
  <si>
    <r>
      <t>Устройство железобетонных фундаментов общего назначения под колонны объемом: до 3 м3 - фундаменты под шарнирную опору
(100 м3)</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</si>
  <si>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0,04375</t>
    </r>
    <r>
      <rPr>
        <i/>
        <sz val="7"/>
        <rFont val="Arial"/>
        <family val="2"/>
        <charset val="204"/>
      </rPr>
      <t xml:space="preserve">
(0,5*0,5*0,5*35) / 100</t>
    </r>
  </si>
  <si>
    <t>18492,51
10055,34</t>
  </si>
  <si>
    <t>4289,12
649,67</t>
  </si>
  <si>
    <t>188
28</t>
  </si>
  <si>
    <r>
      <t>ФССЦ-04.1.02.05-0009</t>
    </r>
    <r>
      <rPr>
        <i/>
        <sz val="7"/>
        <rFont val="Arial"/>
        <family val="2"/>
        <charset val="204"/>
      </rPr>
      <t xml:space="preserve">
Приказ Минстроя России от 30.12.2016 №1039/пр</t>
    </r>
  </si>
  <si>
    <t>Бетон тяжелый, класс: В25 (М350)
(м3)</t>
  </si>
  <si>
    <r>
      <t>4,441</t>
    </r>
    <r>
      <rPr>
        <i/>
        <sz val="7"/>
        <rFont val="Arial"/>
        <family val="2"/>
        <charset val="204"/>
      </rPr>
      <t xml:space="preserve">
4,375*1,015</t>
    </r>
  </si>
  <si>
    <t>Тех.часть ФССЦ. Приложение 15 табл.2</t>
  </si>
  <si>
    <t>Надбавка на морозостойкость F300 (1% до F200 + 2%*2 до F300)
(м3)</t>
  </si>
  <si>
    <r>
      <t>32,29</t>
    </r>
    <r>
      <rPr>
        <i/>
        <sz val="6"/>
        <rFont val="Arial"/>
        <family val="2"/>
        <charset val="204"/>
      </rPr>
      <t xml:space="preserve">
645,75*1% от 1 +645,75*4% от 1 </t>
    </r>
  </si>
  <si>
    <r>
      <t>ФССЦ-08.4.03.03-0004</t>
    </r>
    <r>
      <rPr>
        <i/>
        <sz val="7"/>
        <rFont val="Arial"/>
        <family val="2"/>
        <charset val="204"/>
      </rPr>
      <t xml:space="preserve">
Приказ Минстроя России от 30.12.2016 №1039/пр</t>
    </r>
  </si>
  <si>
    <t>Горячекатанная арматурная сталь класса А500 С, диаметром: 12 мм
(т)</t>
  </si>
  <si>
    <t>Монтаж барьеров</t>
  </si>
  <si>
    <r>
      <t>ФЕР09-01-005-04</t>
    </r>
    <r>
      <rPr>
        <i/>
        <sz val="7"/>
        <rFont val="Arial"/>
        <family val="2"/>
        <charset val="204"/>
      </rPr>
      <t xml:space="preserve">
Приказ Минстроя России от 30.12.2016 №1039/пр</t>
    </r>
  </si>
  <si>
    <r>
      <t>Колонны со связями (Шарнирные опоры для крайних секций)
(т)</t>
    </r>
    <r>
      <rPr>
        <i/>
        <sz val="7"/>
        <rFont val="Arial"/>
        <family val="2"/>
        <charset val="204"/>
      </rPr>
      <t xml:space="preserve">
(Прил.9.3 п.2 Монтаж конструктивных элементов по железобетонным и каменным опорам ОЗП=1,1; ТЗ=1,1;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</si>
  <si>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1,376</t>
    </r>
    <r>
      <rPr>
        <i/>
        <sz val="7"/>
        <rFont val="Arial"/>
        <family val="2"/>
        <charset val="204"/>
      </rPr>
      <t xml:space="preserve">
8*172/1000</t>
    </r>
  </si>
  <si>
    <t>822,8
322,25</t>
  </si>
  <si>
    <t>392,73
43,13</t>
  </si>
  <si>
    <t>540
59</t>
  </si>
  <si>
    <r>
      <t>Колонны со связями (Шарнирные опоры внутренних секций)
(т)</t>
    </r>
    <r>
      <rPr>
        <i/>
        <sz val="7"/>
        <rFont val="Arial"/>
        <family val="2"/>
        <charset val="204"/>
      </rPr>
      <t xml:space="preserve">
(Прил.9.3 п.2 Монтаж конструктивных элементов по железобетонным и каменным опорам ОЗП=1,1; ТЗ=1,1;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</si>
  <si>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3,24</t>
    </r>
    <r>
      <rPr>
        <i/>
        <sz val="7"/>
        <rFont val="Arial"/>
        <family val="2"/>
        <charset val="204"/>
      </rPr>
      <t xml:space="preserve">
27*120/1000</t>
    </r>
  </si>
  <si>
    <t>1272
140</t>
  </si>
  <si>
    <r>
      <t>ФЕР09-03-001-01</t>
    </r>
    <r>
      <rPr>
        <i/>
        <sz val="7"/>
        <rFont val="Arial"/>
        <family val="2"/>
        <charset val="204"/>
      </rPr>
      <t xml:space="preserve">
Приказ Минстроя России от 30.12.2016 №1039/пр</t>
    </r>
  </si>
  <si>
    <r>
      <t>Монтаж опорных плит с обработанной поверхностью массой: до 0,1 т
(т)</t>
    </r>
    <r>
      <rPr>
        <i/>
        <sz val="7"/>
        <rFont val="Arial"/>
        <family val="2"/>
        <charset val="204"/>
      </rPr>
      <t xml:space="preserve">
(Прил.9.3 п.2 Монтаж конструктивных элементов по железобетонным и каменным опорам ОЗП=1,1; ТЗ=1,1;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</si>
  <si>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0,4725</t>
    </r>
    <r>
      <rPr>
        <i/>
        <sz val="7"/>
        <rFont val="Arial"/>
        <family val="2"/>
        <charset val="204"/>
      </rPr>
      <t xml:space="preserve">
35*13,5/1000</t>
    </r>
  </si>
  <si>
    <t>2223,43
364,45</t>
  </si>
  <si>
    <t>1528,74
170,4</t>
  </si>
  <si>
    <t>722
81</t>
  </si>
  <si>
    <r>
      <t>ФЕРм37-02-040-07</t>
    </r>
    <r>
      <rPr>
        <i/>
        <sz val="7"/>
        <rFont val="Arial"/>
        <family val="2"/>
        <charset val="204"/>
      </rPr>
      <t xml:space="preserve">
Приказ Минстроя России от 30.12.2016 №1039/пр</t>
    </r>
  </si>
  <si>
    <r>
      <t>Закрепление расчалок (оттяжек) длиной до 50 м внизу, диаметр каната свыше 18 до 20 мм (Устройство оттяжек крайних стоек)
(шт)</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</si>
  <si>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16</t>
    </r>
    <r>
      <rPr>
        <i/>
        <sz val="7"/>
        <rFont val="Arial"/>
        <family val="2"/>
        <charset val="204"/>
      </rPr>
      <t xml:space="preserve">
2*8</t>
    </r>
  </si>
  <si>
    <t>60,59
13,37</t>
  </si>
  <si>
    <t>47,04
5,67</t>
  </si>
  <si>
    <t>753
91</t>
  </si>
  <si>
    <r>
      <t>ФЕРм37-02-040-06</t>
    </r>
    <r>
      <rPr>
        <i/>
        <sz val="7"/>
        <rFont val="Arial"/>
        <family val="2"/>
        <charset val="204"/>
      </rPr>
      <t xml:space="preserve">
Приказ Минстроя России от 30.12.2016 №1039/пр</t>
    </r>
  </si>
  <si>
    <r>
      <t>Закрепление расчалок (оттяжек) длиной до 50 м внизу, диаметр каната свыше 16 до 18 мм (Устройство оттяжек внутренних стоек)
(шт)</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</si>
  <si>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54</t>
    </r>
    <r>
      <rPr>
        <i/>
        <sz val="7"/>
        <rFont val="Arial"/>
        <family val="2"/>
        <charset val="204"/>
      </rPr>
      <t xml:space="preserve">
2*27</t>
    </r>
  </si>
  <si>
    <t>11,55
11,4</t>
  </si>
  <si>
    <r>
      <t>Закрепление расчалок (оттяжек) длиной до 50 м внизу, диаметр каната свыше 18 до 20 мм (Устройство фиксирующих канатов крайних стоек)
(шт)</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</si>
  <si>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t>376
45</t>
  </si>
  <si>
    <r>
      <t>Закрепление расчалок (оттяжек) длиной до 50 м внизу, диаметр каната свыше 18 до 20 мм (Устройство фиксирующих канатов внутренних стоек)
(шт)</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</si>
  <si>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t>1270
153</t>
  </si>
  <si>
    <r>
      <t>ФЕР01-02-098-02</t>
    </r>
    <r>
      <rPr>
        <i/>
        <sz val="7"/>
        <rFont val="Arial"/>
        <family val="2"/>
        <charset val="204"/>
      </rPr>
      <t xml:space="preserve">
Приказ Минстроя России от 30.12.2016 №1039/пр</t>
    </r>
  </si>
  <si>
    <r>
      <t>Устройство тросово-сетчатого ограждения, тип склона: средней крутизны
(м2)</t>
    </r>
    <r>
      <rPr>
        <i/>
        <sz val="7"/>
        <rFont val="Arial"/>
        <family val="2"/>
        <charset val="204"/>
      </rPr>
      <t xml:space="preserve">
17,92 = 70,46 - 2,023 x 25,97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</si>
  <si>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474</t>
    </r>
    <r>
      <rPr>
        <i/>
        <sz val="7"/>
        <rFont val="Arial"/>
        <family val="2"/>
        <charset val="204"/>
      </rPr>
      <t xml:space="preserve">
27*14+8*12</t>
    </r>
  </si>
  <si>
    <t>26,29
25,11</t>
  </si>
  <si>
    <t>Том 9.3 стр.675, п.1 КА №29</t>
  </si>
  <si>
    <t>Система SPIDER Avalanche Dk 3.5 N 3.2
(м)</t>
  </si>
  <si>
    <r>
      <t>21389,84</t>
    </r>
    <r>
      <rPr>
        <i/>
        <sz val="6"/>
        <rFont val="Arial"/>
        <family val="2"/>
        <charset val="204"/>
      </rPr>
      <t xml:space="preserve">
175900,00/1,2/6,99*1,02</t>
    </r>
  </si>
  <si>
    <t>Изменить цену на Геобарьер с доставкой 3% !!!! 45000/1,2/6,99*1,02*1,03=5636,27; 5636,27*128,5=724 260,70</t>
  </si>
  <si>
    <t>Устройство микросвай 40/16 L=21м, 27 шт.</t>
  </si>
  <si>
    <r>
      <t>ФЕР04-01-001-07</t>
    </r>
    <r>
      <rPr>
        <i/>
        <sz val="7"/>
        <rFont val="Arial"/>
        <family val="2"/>
        <charset val="204"/>
      </rPr>
      <t xml:space="preserve">
Приказ Минстроя России от 30.12.2016 №1039/пр</t>
    </r>
  </si>
  <si>
    <r>
      <t>Роторное бурение скважин с прямой промывкой станками с дизельным двигателем глубиной бурения до 50 м в грунтах группы: 7
(100 м)</t>
    </r>
    <r>
      <rPr>
        <i/>
        <sz val="7"/>
        <rFont val="Arial"/>
        <family val="2"/>
        <charset val="204"/>
      </rPr>
      <t xml:space="preserve">
(Прил.4.3 п.3.1 При роторном и ударно-канатном бурении и применении долот диаметром: до 125 мм ОЗП=0,8; ЭМ=0,8 к расх.; ЗПМ=0,8; МАТ=0,8 к расх.; ТЗ=0,8; ТЗМ=0,8;
Прил.4.3 п.3.4 При вращательном бурении с углом наклона к горизонту, в градусах: до 45 ОЗП=1,22; ЭМ=1,22 к расх.; ЗПМ=1,22; ТЗ=1,22; ТЗМ=1,22;
Прил.4.3 п.3.5 Бурение с подвесных лесов, подмостей, а также на склонах ОЗП=1,25; ЭМ=1,25 к расх.; ЗПМ=1,25; ТЗ=1,25; ТЗМ=1,25;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</si>
  <si>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5,2731</t>
    </r>
    <r>
      <rPr>
        <i/>
        <sz val="7"/>
        <rFont val="Arial"/>
        <family val="2"/>
        <charset val="204"/>
      </rPr>
      <t xml:space="preserve">
527,31 / 100</t>
    </r>
  </si>
  <si>
    <t>127898,37
10002,23</t>
  </si>
  <si>
    <t>117515,55
5608,33</t>
  </si>
  <si>
    <t>619671
29573</t>
  </si>
  <si>
    <r>
      <t>ФЕР04-01-001-10</t>
    </r>
    <r>
      <rPr>
        <i/>
        <sz val="7"/>
        <rFont val="Arial"/>
        <family val="2"/>
        <charset val="204"/>
      </rPr>
      <t xml:space="preserve">
Приказ Минстроя России от 30.12.2016 №1039/пр</t>
    </r>
  </si>
  <si>
    <r>
      <t>Роторное бурение скважин с прямой промывкой станками с дизельным двигателем глубиной бурения до 50 м в грунтах группы: 10
(100 м)</t>
    </r>
    <r>
      <rPr>
        <i/>
        <sz val="7"/>
        <rFont val="Arial"/>
        <family val="2"/>
        <charset val="204"/>
      </rPr>
      <t xml:space="preserve">
(Прил.4.3 п.3.1 При роторном и ударно-канатном бурении и применении долот диаметром: до 125 мм ОЗП=0,8; ЭМ=0,8 к расх.; ЗПМ=0,8; МАТ=0,8 к расх.; ТЗ=0,8; ТЗМ=0,8;
Прил.4.3 п.3.4 При вращательном бурении с углом наклона к горизонту, в градусах: до 45 ОЗП=1,22; ЭМ=1,22 к расх.; ЗПМ=1,22; ТЗ=1,22; ТЗМ=1,22;
Прил.4.3 п.3.5 Бурение с подвесных лесов, подмостей, а также на склонах ОЗП=1,25; ЭМ=1,25 к расх.; ЗПМ=1,25; ТЗ=1,25; ТЗМ=1,25;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</si>
  <si>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0,3969</t>
    </r>
    <r>
      <rPr>
        <i/>
        <sz val="7"/>
        <rFont val="Arial"/>
        <family val="2"/>
        <charset val="204"/>
      </rPr>
      <t xml:space="preserve">
39,69 / 100</t>
    </r>
  </si>
  <si>
    <t>388181,26
29641,92</t>
  </si>
  <si>
    <t>357349,1
15147,13</t>
  </si>
  <si>
    <t>141832
6012</t>
  </si>
  <si>
    <r>
      <t>ФССЦ-03.2.01.01-0003</t>
    </r>
    <r>
      <rPr>
        <i/>
        <sz val="7"/>
        <rFont val="Arial"/>
        <family val="2"/>
        <charset val="204"/>
      </rPr>
      <t xml:space="preserve">
Приказ Минстроя России от 30.12.2016 №1039/пр</t>
    </r>
  </si>
  <si>
    <t>Портландцемент общестроительного назначения бездобавочный, марки: 500
(т)</t>
  </si>
  <si>
    <r>
      <t>17,01</t>
    </r>
    <r>
      <rPr>
        <i/>
        <sz val="7"/>
        <rFont val="Arial"/>
        <family val="2"/>
        <charset val="204"/>
      </rPr>
      <t xml:space="preserve">
21*27*30/1000</t>
    </r>
  </si>
  <si>
    <r>
      <t>ФССЦ-01.7.03.01-0001</t>
    </r>
    <r>
      <rPr>
        <i/>
        <sz val="7"/>
        <rFont val="Arial"/>
        <family val="2"/>
        <charset val="204"/>
      </rPr>
      <t xml:space="preserve">
Приказ Минстроя России от 30.12.2016 №1039/пр</t>
    </r>
  </si>
  <si>
    <t>Вода
(м3)</t>
  </si>
  <si>
    <r>
      <t>11,9</t>
    </r>
    <r>
      <rPr>
        <i/>
        <sz val="7"/>
        <rFont val="Arial"/>
        <family val="2"/>
        <charset val="204"/>
      </rPr>
      <t xml:space="preserve">
округл(17,01*0,7;1)</t>
    </r>
  </si>
  <si>
    <r>
      <t>ФЕР05-03-001-07</t>
    </r>
    <r>
      <rPr>
        <i/>
        <sz val="7"/>
        <rFont val="Arial"/>
        <family val="2"/>
        <charset val="204"/>
      </rPr>
      <t xml:space="preserve">
Приказ Минстроя России от 30.12.2016 №1039/пр</t>
    </r>
  </si>
  <si>
    <r>
      <t>Цементация грунтов восходящим способом при поглощении цемента и песка: до 200 кг
(100 м)</t>
    </r>
    <r>
      <rPr>
        <i/>
        <sz val="7"/>
        <rFont val="Arial"/>
        <family val="2"/>
        <charset val="204"/>
      </rPr>
      <t xml:space="preserve">
8 518,51 = 26 688,61 + (1,3 - 13) x 1 553,00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</si>
  <si>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5,67</t>
    </r>
    <r>
      <rPr>
        <i/>
        <sz val="7"/>
        <rFont val="Arial"/>
        <family val="2"/>
        <charset val="204"/>
      </rPr>
      <t xml:space="preserve">
(21*27) / 100</t>
    </r>
  </si>
  <si>
    <t>11193,54
1501,16</t>
  </si>
  <si>
    <t>6523,94
908,39</t>
  </si>
  <si>
    <t>36991
5151</t>
  </si>
  <si>
    <r>
      <t>28,35</t>
    </r>
    <r>
      <rPr>
        <i/>
        <sz val="7"/>
        <rFont val="Arial"/>
        <family val="2"/>
        <charset val="204"/>
      </rPr>
      <t xml:space="preserve">
21*27*50/1000</t>
    </r>
  </si>
  <si>
    <r>
      <t>11,3</t>
    </r>
    <r>
      <rPr>
        <i/>
        <sz val="7"/>
        <rFont val="Arial"/>
        <family val="2"/>
        <charset val="204"/>
      </rPr>
      <t xml:space="preserve">
округл(28,35*0,4;1)</t>
    </r>
  </si>
  <si>
    <t>Том 9.3 стр.682, п.2 КА №30</t>
  </si>
  <si>
    <t>Трубчатая винтовая штанга (ТВШ) "ГЕОКРЕП" 40/16, 3 м, оцинк.
(шт.)</t>
  </si>
  <si>
    <r>
      <t>27</t>
    </r>
    <r>
      <rPr>
        <i/>
        <sz val="7"/>
        <rFont val="Arial"/>
        <family val="2"/>
        <charset val="204"/>
      </rPr>
      <t xml:space="preserve">
1*27</t>
    </r>
  </si>
  <si>
    <r>
      <t>2392,89</t>
    </r>
    <r>
      <rPr>
        <i/>
        <sz val="6"/>
        <rFont val="Arial"/>
        <family val="2"/>
        <charset val="204"/>
      </rPr>
      <t xml:space="preserve">
19678,04/1,2/6,99*1,02</t>
    </r>
  </si>
  <si>
    <t>Заменить на Геоизол</t>
  </si>
  <si>
    <t>Том 9.3 стр.682, п.1 КА №30</t>
  </si>
  <si>
    <t>Трубчатая винтовая штанга (ТВШ) "ГЕОКРЕП" 40/16, 3 м, необр.
(шт.)</t>
  </si>
  <si>
    <r>
      <t>162</t>
    </r>
    <r>
      <rPr>
        <i/>
        <sz val="7"/>
        <rFont val="Arial"/>
        <family val="2"/>
        <charset val="204"/>
      </rPr>
      <t xml:space="preserve">
6*27</t>
    </r>
  </si>
  <si>
    <r>
      <t>1721,76</t>
    </r>
    <r>
      <rPr>
        <i/>
        <sz val="6"/>
        <rFont val="Arial"/>
        <family val="2"/>
        <charset val="204"/>
      </rPr>
      <t xml:space="preserve">
14158,98/1,2/6,99*1,02</t>
    </r>
  </si>
  <si>
    <t>Том 9.3 стр.682, п.3 КА №30</t>
  </si>
  <si>
    <t>Соединительная муфта Ø57х140мм, "ГЕОКРЕП" 40, необр.
(шт.)</t>
  </si>
  <si>
    <r>
      <t>351</t>
    </r>
    <r>
      <rPr>
        <i/>
        <sz val="7"/>
        <rFont val="Arial"/>
        <family val="2"/>
        <charset val="204"/>
      </rPr>
      <t xml:space="preserve">
13*27</t>
    </r>
  </si>
  <si>
    <r>
      <t>460,95</t>
    </r>
    <r>
      <rPr>
        <i/>
        <sz val="6"/>
        <rFont val="Arial"/>
        <family val="2"/>
        <charset val="204"/>
      </rPr>
      <t xml:space="preserve">
3790,61/1,2/6,99*1,02</t>
    </r>
  </si>
  <si>
    <t>Том 9.3 стр.682, п.4 КА №30</t>
  </si>
  <si>
    <t>Центратор Ø88мм, "ГЕОКРЕП" 40, необр.
(шт.)</t>
  </si>
  <si>
    <r>
      <t>141,91</t>
    </r>
    <r>
      <rPr>
        <i/>
        <sz val="6"/>
        <rFont val="Arial"/>
        <family val="2"/>
        <charset val="204"/>
      </rPr>
      <t xml:space="preserve">
1167,04/1,2/6,99*1,02</t>
    </r>
  </si>
  <si>
    <t>Том 9.3 стр.682, п.5 КА №30</t>
  </si>
  <si>
    <t>ТС-Ошипованная буровая коронка Ø90, "ГЕОКРЕП" 40
(шт.)</t>
  </si>
  <si>
    <r>
      <t>1739,24</t>
    </r>
    <r>
      <rPr>
        <i/>
        <sz val="6"/>
        <rFont val="Arial"/>
        <family val="2"/>
        <charset val="204"/>
      </rPr>
      <t xml:space="preserve">
14302,66/1,2/6,99*1,02</t>
    </r>
  </si>
  <si>
    <r>
      <t>ФЕР04-02-007-01</t>
    </r>
    <r>
      <rPr>
        <i/>
        <sz val="7"/>
        <rFont val="Arial"/>
        <family val="2"/>
        <charset val="204"/>
      </rPr>
      <t xml:space="preserve">
Приказ Минстроя России от 30.12.2016 №1039/пр</t>
    </r>
  </si>
  <si>
    <r>
      <t>Резка обсадных труб наружным диаметром: до 168 мм (резка штанг по 1,5м)
(рез)</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</si>
  <si>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t>5,66
2,31</t>
  </si>
  <si>
    <t>2,24
0,35</t>
  </si>
  <si>
    <t>423
66</t>
  </si>
  <si>
    <t>Устройство микросвай 40/16 L=24 м, 8 шт.</t>
  </si>
  <si>
    <r>
      <t>0,1344</t>
    </r>
    <r>
      <rPr>
        <i/>
        <sz val="7"/>
        <rFont val="Arial"/>
        <family val="2"/>
        <charset val="204"/>
      </rPr>
      <t xml:space="preserve">
13.44 / 100</t>
    </r>
  </si>
  <si>
    <t>15794
754</t>
  </si>
  <si>
    <r>
      <t>1,7856</t>
    </r>
    <r>
      <rPr>
        <i/>
        <sz val="7"/>
        <rFont val="Arial"/>
        <family val="2"/>
        <charset val="204"/>
      </rPr>
      <t xml:space="preserve">
178.56 / 100</t>
    </r>
  </si>
  <si>
    <t>638083
27047</t>
  </si>
  <si>
    <r>
      <t>5,76</t>
    </r>
    <r>
      <rPr>
        <i/>
        <sz val="7"/>
        <rFont val="Arial"/>
        <family val="2"/>
        <charset val="204"/>
      </rPr>
      <t xml:space="preserve">
24*8*30/1000</t>
    </r>
  </si>
  <si>
    <r>
      <t>4</t>
    </r>
    <r>
      <rPr>
        <i/>
        <sz val="7"/>
        <rFont val="Arial"/>
        <family val="2"/>
        <charset val="204"/>
      </rPr>
      <t xml:space="preserve">
округл(5.76*0,7;1)</t>
    </r>
  </si>
  <si>
    <r>
      <t>1,92</t>
    </r>
    <r>
      <rPr>
        <i/>
        <sz val="7"/>
        <rFont val="Arial"/>
        <family val="2"/>
        <charset val="204"/>
      </rPr>
      <t xml:space="preserve">
(24*8) / 100</t>
    </r>
  </si>
  <si>
    <t>12526
1744</t>
  </si>
  <si>
    <r>
      <t>9,6</t>
    </r>
    <r>
      <rPr>
        <i/>
        <sz val="7"/>
        <rFont val="Arial"/>
        <family val="2"/>
        <charset val="204"/>
      </rPr>
      <t xml:space="preserve">
24*8*50/1000</t>
    </r>
  </si>
  <si>
    <r>
      <t>3,8</t>
    </r>
    <r>
      <rPr>
        <i/>
        <sz val="7"/>
        <rFont val="Arial"/>
        <family val="2"/>
        <charset val="204"/>
      </rPr>
      <t xml:space="preserve">
округл(9.6*0,4;1)</t>
    </r>
  </si>
  <si>
    <t>35</t>
  </si>
  <si>
    <t>Том 9.3 стр.682, п.7 КА №30</t>
  </si>
  <si>
    <r>
      <t>8</t>
    </r>
    <r>
      <rPr>
        <i/>
        <sz val="7"/>
        <rFont val="Arial"/>
        <family val="2"/>
        <charset val="204"/>
      </rPr>
      <t xml:space="preserve">
1*8</t>
    </r>
  </si>
  <si>
    <t>Заменить на геоизол</t>
  </si>
  <si>
    <t>36</t>
  </si>
  <si>
    <t>Том 9.3 стр.682, п.6 КА №30</t>
  </si>
  <si>
    <r>
      <t>56</t>
    </r>
    <r>
      <rPr>
        <i/>
        <sz val="7"/>
        <rFont val="Arial"/>
        <family val="2"/>
        <charset val="204"/>
      </rPr>
      <t xml:space="preserve">
7*8</t>
    </r>
  </si>
  <si>
    <t>37</t>
  </si>
  <si>
    <t>Том 9.3 стр.682, п.8 КА №30</t>
  </si>
  <si>
    <r>
      <t>120</t>
    </r>
    <r>
      <rPr>
        <i/>
        <sz val="7"/>
        <rFont val="Arial"/>
        <family val="2"/>
        <charset val="204"/>
      </rPr>
      <t xml:space="preserve">
15*8</t>
    </r>
  </si>
  <si>
    <t>38</t>
  </si>
  <si>
    <t>Том 9.3 стр.682, п.9 КА №30</t>
  </si>
  <si>
    <t>39</t>
  </si>
  <si>
    <t>Том 9.3 стр.682, п.10 КА №30</t>
  </si>
  <si>
    <t>40</t>
  </si>
  <si>
    <t>143
22</t>
  </si>
  <si>
    <t>Устройство микросвай 40/16 L=27м, 31 шт.</t>
  </si>
  <si>
    <t>41</t>
  </si>
  <si>
    <r>
      <t>0,5859</t>
    </r>
    <r>
      <rPr>
        <i/>
        <sz val="7"/>
        <rFont val="Arial"/>
        <family val="2"/>
        <charset val="204"/>
      </rPr>
      <t xml:space="preserve">
58,59 / 100</t>
    </r>
  </si>
  <si>
    <t>68852
3286</t>
  </si>
  <si>
    <t>42</t>
  </si>
  <si>
    <r>
      <t>7,7841</t>
    </r>
    <r>
      <rPr>
        <i/>
        <sz val="7"/>
        <rFont val="Arial"/>
        <family val="2"/>
        <charset val="204"/>
      </rPr>
      <t xml:space="preserve">
778,41 / 100</t>
    </r>
  </si>
  <si>
    <t>2781641
117907</t>
  </si>
  <si>
    <t>43</t>
  </si>
  <si>
    <r>
      <t>25,11</t>
    </r>
    <r>
      <rPr>
        <i/>
        <sz val="7"/>
        <rFont val="Arial"/>
        <family val="2"/>
        <charset val="204"/>
      </rPr>
      <t xml:space="preserve">
27*31*30/1000</t>
    </r>
  </si>
  <si>
    <t>44</t>
  </si>
  <si>
    <r>
      <t>17,6</t>
    </r>
    <r>
      <rPr>
        <i/>
        <sz val="7"/>
        <rFont val="Arial"/>
        <family val="2"/>
        <charset val="204"/>
      </rPr>
      <t xml:space="preserve">
округл(25,11*0,7;1)</t>
    </r>
  </si>
  <si>
    <t>45</t>
  </si>
  <si>
    <r>
      <t>8,37</t>
    </r>
    <r>
      <rPr>
        <i/>
        <sz val="7"/>
        <rFont val="Arial"/>
        <family val="2"/>
        <charset val="204"/>
      </rPr>
      <t xml:space="preserve">
(27*31) / 100</t>
    </r>
  </si>
  <si>
    <t>54605
7603</t>
  </si>
  <si>
    <t>46</t>
  </si>
  <si>
    <r>
      <t>41,85</t>
    </r>
    <r>
      <rPr>
        <i/>
        <sz val="7"/>
        <rFont val="Arial"/>
        <family val="2"/>
        <charset val="204"/>
      </rPr>
      <t xml:space="preserve">
27*31*50/1000</t>
    </r>
  </si>
  <si>
    <t>47</t>
  </si>
  <si>
    <r>
      <t>16,7</t>
    </r>
    <r>
      <rPr>
        <i/>
        <sz val="7"/>
        <rFont val="Arial"/>
        <family val="2"/>
        <charset val="204"/>
      </rPr>
      <t xml:space="preserve">
округл(41,85*0,4;1)</t>
    </r>
  </si>
  <si>
    <t>48</t>
  </si>
  <si>
    <t>Том 9.3 стр.682, п.12 КА №30</t>
  </si>
  <si>
    <r>
      <t>31</t>
    </r>
    <r>
      <rPr>
        <i/>
        <sz val="7"/>
        <rFont val="Arial"/>
        <family val="2"/>
        <charset val="204"/>
      </rPr>
      <t xml:space="preserve">
1*31</t>
    </r>
  </si>
  <si>
    <t>49</t>
  </si>
  <si>
    <t>Том 9.3 стр.682, п.11 КА №30</t>
  </si>
  <si>
    <r>
      <t>248</t>
    </r>
    <r>
      <rPr>
        <i/>
        <sz val="7"/>
        <rFont val="Arial"/>
        <family val="2"/>
        <charset val="204"/>
      </rPr>
      <t xml:space="preserve">
8*31</t>
    </r>
  </si>
  <si>
    <t>50</t>
  </si>
  <si>
    <t>Том 9.3 стр.682, п.13 КА №30</t>
  </si>
  <si>
    <r>
      <t>527</t>
    </r>
    <r>
      <rPr>
        <i/>
        <sz val="7"/>
        <rFont val="Arial"/>
        <family val="2"/>
        <charset val="204"/>
      </rPr>
      <t xml:space="preserve">
17*31</t>
    </r>
  </si>
  <si>
    <t>51</t>
  </si>
  <si>
    <t>Том 9.3 стр.682, п.14 КА №30</t>
  </si>
  <si>
    <t>52</t>
  </si>
  <si>
    <t>Том 9.3 стр.682, п.15 КА №30</t>
  </si>
  <si>
    <t>53</t>
  </si>
  <si>
    <t>625
98</t>
  </si>
  <si>
    <t>Устройство микросвай 40/16 L=30м, 8 шт.</t>
  </si>
  <si>
    <t>54</t>
  </si>
  <si>
    <r>
      <t>0,168</t>
    </r>
    <r>
      <rPr>
        <i/>
        <sz val="7"/>
        <rFont val="Arial"/>
        <family val="2"/>
        <charset val="204"/>
      </rPr>
      <t xml:space="preserve">
16,8 / 100</t>
    </r>
  </si>
  <si>
    <t>19743
942</t>
  </si>
  <si>
    <t>55</t>
  </si>
  <si>
    <r>
      <t>2,232</t>
    </r>
    <r>
      <rPr>
        <i/>
        <sz val="7"/>
        <rFont val="Arial"/>
        <family val="2"/>
        <charset val="204"/>
      </rPr>
      <t xml:space="preserve">
223,2 / 100</t>
    </r>
  </si>
  <si>
    <t>797603
33808</t>
  </si>
  <si>
    <t>56</t>
  </si>
  <si>
    <r>
      <t>7,2</t>
    </r>
    <r>
      <rPr>
        <i/>
        <sz val="7"/>
        <rFont val="Arial"/>
        <family val="2"/>
        <charset val="204"/>
      </rPr>
      <t xml:space="preserve">
30*8*30/1000</t>
    </r>
  </si>
  <si>
    <t>57</t>
  </si>
  <si>
    <r>
      <t>5</t>
    </r>
    <r>
      <rPr>
        <i/>
        <sz val="7"/>
        <rFont val="Arial"/>
        <family val="2"/>
        <charset val="204"/>
      </rPr>
      <t xml:space="preserve">
округл(7,2*0,7;1)</t>
    </r>
  </si>
  <si>
    <t>58</t>
  </si>
  <si>
    <r>
      <t>2,4</t>
    </r>
    <r>
      <rPr>
        <i/>
        <sz val="7"/>
        <rFont val="Arial"/>
        <family val="2"/>
        <charset val="204"/>
      </rPr>
      <t xml:space="preserve">
(30*8) / 100</t>
    </r>
  </si>
  <si>
    <t>15657
2180</t>
  </si>
  <si>
    <t>59</t>
  </si>
  <si>
    <r>
      <t>12</t>
    </r>
    <r>
      <rPr>
        <i/>
        <sz val="7"/>
        <rFont val="Arial"/>
        <family val="2"/>
        <charset val="204"/>
      </rPr>
      <t xml:space="preserve">
30*8*50/1000</t>
    </r>
  </si>
  <si>
    <t>60</t>
  </si>
  <si>
    <r>
      <t>4,8</t>
    </r>
    <r>
      <rPr>
        <i/>
        <sz val="7"/>
        <rFont val="Arial"/>
        <family val="2"/>
        <charset val="204"/>
      </rPr>
      <t xml:space="preserve">
округл(12*0,4;1)</t>
    </r>
  </si>
  <si>
    <t>61</t>
  </si>
  <si>
    <t>Том 9.3 стр.682, п.17 КА №30</t>
  </si>
  <si>
    <t>62</t>
  </si>
  <si>
    <t>Том 9.3 стр.682, п.16 КА №30</t>
  </si>
  <si>
    <r>
      <t>72</t>
    </r>
    <r>
      <rPr>
        <i/>
        <sz val="7"/>
        <rFont val="Arial"/>
        <family val="2"/>
        <charset val="204"/>
      </rPr>
      <t xml:space="preserve">
9*8</t>
    </r>
  </si>
  <si>
    <t>63</t>
  </si>
  <si>
    <t>Том 9.3 стр.682, п.18 КА №30</t>
  </si>
  <si>
    <r>
      <t>152</t>
    </r>
    <r>
      <rPr>
        <i/>
        <sz val="7"/>
        <rFont val="Arial"/>
        <family val="2"/>
        <charset val="204"/>
      </rPr>
      <t xml:space="preserve">
19*8</t>
    </r>
  </si>
  <si>
    <t>64</t>
  </si>
  <si>
    <t>Том 9.3 стр.682, п.19 КА №30</t>
  </si>
  <si>
    <t>65</t>
  </si>
  <si>
    <t>Том 9.3 стр.682, п.20 КА №30</t>
  </si>
  <si>
    <t>66</t>
  </si>
  <si>
    <t>179
28</t>
  </si>
  <si>
    <t>Устройство водоотводной канавы</t>
  </si>
  <si>
    <t>67</t>
  </si>
  <si>
    <r>
      <t>ФЕР30-08-048-01</t>
    </r>
    <r>
      <rPr>
        <i/>
        <sz val="7"/>
        <rFont val="Arial"/>
        <family val="2"/>
        <charset val="204"/>
      </rPr>
      <t xml:space="preserve">
Приказ Минстроя России от 30.12.2016 №1039/пр</t>
    </r>
  </si>
  <si>
    <r>
      <t>Укрепление поверхности матрасно-габионными конструкциями типа "Рено"
(10 м2)</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</si>
  <si>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20</t>
    </r>
    <r>
      <rPr>
        <i/>
        <sz val="7"/>
        <rFont val="Arial"/>
        <family val="2"/>
        <charset val="204"/>
      </rPr>
      <t xml:space="preserve">
(4*2*25) / 10</t>
    </r>
  </si>
  <si>
    <t>1717,07
979,32</t>
  </si>
  <si>
    <t>266,85
30,9</t>
  </si>
  <si>
    <t>5337
618</t>
  </si>
  <si>
    <t>68</t>
  </si>
  <si>
    <t>Том 9.3 стр.852, п.1 КА №16</t>
  </si>
  <si>
    <t>ГСИ-М-4,0х2,0х0,3-С80-2,7-ЦАММП ГОСТ Р 52132-2003
(шт.)</t>
  </si>
  <si>
    <r>
      <t>1368,58</t>
    </r>
    <r>
      <rPr>
        <i/>
        <sz val="6"/>
        <rFont val="Arial"/>
        <family val="2"/>
        <charset val="204"/>
      </rPr>
      <t xml:space="preserve">
11254,52/1,2/6,99*1,02</t>
    </r>
  </si>
  <si>
    <t>69</t>
  </si>
  <si>
    <r>
      <t>ФЕР30-08-047-01</t>
    </r>
    <r>
      <rPr>
        <i/>
        <sz val="7"/>
        <rFont val="Arial"/>
        <family val="2"/>
        <charset val="204"/>
      </rPr>
      <t xml:space="preserve">
Приказ Минстроя России от 30.12.2016 №1039/пр</t>
    </r>
  </si>
  <si>
    <r>
      <t>Устройство подпорных стенок из коробчатых габионов
(10 м3)</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</si>
  <si>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2,1</t>
    </r>
    <r>
      <rPr>
        <i/>
        <sz val="7"/>
        <rFont val="Arial"/>
        <family val="2"/>
        <charset val="204"/>
      </rPr>
      <t xml:space="preserve">
(2*1*0,5*21) / 10</t>
    </r>
  </si>
  <si>
    <t>3620,81
2515,79</t>
  </si>
  <si>
    <t>395,33
49,88</t>
  </si>
  <si>
    <t>830
105</t>
  </si>
  <si>
    <t>70</t>
  </si>
  <si>
    <t>Том 9.3 стр.852, п.2 КА №16</t>
  </si>
  <si>
    <t>ГСИ-К-2,0х1,0х0,5-С80-2,7-ЦАММП ГОСТ Р 52132-2003
(шт.)</t>
  </si>
  <si>
    <r>
      <t>505,39</t>
    </r>
    <r>
      <rPr>
        <i/>
        <sz val="6"/>
        <rFont val="Arial"/>
        <family val="2"/>
        <charset val="204"/>
      </rPr>
      <t xml:space="preserve">
4156,08/1,2/6,99*1,02</t>
    </r>
  </si>
  <si>
    <t>71</t>
  </si>
  <si>
    <r>
      <t>ФССЦ-02.2.03.01-0011</t>
    </r>
    <r>
      <rPr>
        <i/>
        <sz val="7"/>
        <rFont val="Arial"/>
        <family val="2"/>
        <charset val="204"/>
      </rPr>
      <t xml:space="preserve">
Приказ Минстроя России от 30.12.2016 №1039/пр</t>
    </r>
  </si>
  <si>
    <t>Камень бутовый марка: 800, размер от 70 до 1000 мм
(м3)</t>
  </si>
  <si>
    <r>
      <t>85,05</t>
    </r>
    <r>
      <rPr>
        <i/>
        <sz val="7"/>
        <rFont val="Arial"/>
        <family val="2"/>
        <charset val="204"/>
      </rPr>
      <t xml:space="preserve">
(4*2*0,3*25+2*1*0,5*21)*1,05</t>
    </r>
  </si>
  <si>
    <t>73</t>
  </si>
  <si>
    <r>
      <t>ФЕР01-02-096-02</t>
    </r>
    <r>
      <rPr>
        <i/>
        <sz val="7"/>
        <rFont val="Arial"/>
        <family val="2"/>
        <charset val="204"/>
      </rPr>
      <t xml:space="preserve">
Приказ Минстроя России от 30.12.2016 №1039/пр</t>
    </r>
  </si>
  <si>
    <r>
      <t>Оборка горных склонов, тип склона: средней крутизны
(м2)</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</si>
  <si>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t>20,28
20,28</t>
  </si>
  <si>
    <t>Итого прямые затраты по разделу в базисных ценах</t>
  </si>
  <si>
    <t>5216676
237648</t>
  </si>
  <si>
    <t>Накладные расходы</t>
  </si>
  <si>
    <t>Сметная прибыль</t>
  </si>
  <si>
    <t>Итого по разделу 1 Зона защиты опоры Т04</t>
  </si>
  <si>
    <t>Раздел 2. Зона защиты опоры Т03</t>
  </si>
  <si>
    <t>Устройство гибких снегоудерживающих барьеров DK3.5 N3.2 L=22,5 + 19 = 41,5 м</t>
  </si>
  <si>
    <t>74</t>
  </si>
  <si>
    <r>
      <t>0,0204</t>
    </r>
    <r>
      <rPr>
        <i/>
        <sz val="7"/>
        <rFont val="Arial"/>
        <family val="2"/>
        <charset val="204"/>
      </rPr>
      <t xml:space="preserve">
2,04 / 100</t>
    </r>
  </si>
  <si>
    <t>350
37</t>
  </si>
  <si>
    <t>75</t>
  </si>
  <si>
    <r>
      <t>0,021</t>
    </r>
    <r>
      <rPr>
        <i/>
        <sz val="7"/>
        <rFont val="Arial"/>
        <family val="2"/>
        <charset val="204"/>
      </rPr>
      <t xml:space="preserve">
(0,5*0,5*0,7*12) / 100</t>
    </r>
  </si>
  <si>
    <t>90
14</t>
  </si>
  <si>
    <t>76</t>
  </si>
  <si>
    <r>
      <t>2,132</t>
    </r>
    <r>
      <rPr>
        <i/>
        <sz val="7"/>
        <rFont val="Arial"/>
        <family val="2"/>
        <charset val="204"/>
      </rPr>
      <t xml:space="preserve">
2,1*1,015</t>
    </r>
  </si>
  <si>
    <t>77</t>
  </si>
  <si>
    <t>78</t>
  </si>
  <si>
    <t>79</t>
  </si>
  <si>
    <r>
      <t>0,688</t>
    </r>
    <r>
      <rPr>
        <i/>
        <sz val="7"/>
        <rFont val="Arial"/>
        <family val="2"/>
        <charset val="204"/>
      </rPr>
      <t xml:space="preserve">
4*172/1000</t>
    </r>
  </si>
  <si>
    <t>270
30</t>
  </si>
  <si>
    <t>80</t>
  </si>
  <si>
    <r>
      <t>0,96</t>
    </r>
    <r>
      <rPr>
        <i/>
        <sz val="7"/>
        <rFont val="Arial"/>
        <family val="2"/>
        <charset val="204"/>
      </rPr>
      <t xml:space="preserve">
8*120/1000</t>
    </r>
  </si>
  <si>
    <t>377
41</t>
  </si>
  <si>
    <t>81</t>
  </si>
  <si>
    <r>
      <t>0,162</t>
    </r>
    <r>
      <rPr>
        <i/>
        <sz val="7"/>
        <rFont val="Arial"/>
        <family val="2"/>
        <charset val="204"/>
      </rPr>
      <t xml:space="preserve">
12*13,5/1000</t>
    </r>
  </si>
  <si>
    <t>248
28</t>
  </si>
  <si>
    <t>82</t>
  </si>
  <si>
    <r>
      <t>8</t>
    </r>
    <r>
      <rPr>
        <i/>
        <sz val="7"/>
        <rFont val="Arial"/>
        <family val="2"/>
        <charset val="204"/>
      </rPr>
      <t xml:space="preserve">
2*4</t>
    </r>
  </si>
  <si>
    <t>83</t>
  </si>
  <si>
    <t>84</t>
  </si>
  <si>
    <t>188
23</t>
  </si>
  <si>
    <t>85</t>
  </si>
  <si>
    <t>86</t>
  </si>
  <si>
    <r>
      <t>160</t>
    </r>
    <r>
      <rPr>
        <i/>
        <sz val="7"/>
        <rFont val="Arial"/>
        <family val="2"/>
        <charset val="204"/>
      </rPr>
      <t xml:space="preserve">
8*14+4*12</t>
    </r>
  </si>
  <si>
    <t>87</t>
  </si>
  <si>
    <t>Том 9.3 стр.675, п.2 КА №29</t>
  </si>
  <si>
    <t>Устройство микросвай 40/16 L=21м, 8 шт.</t>
  </si>
  <si>
    <t>88</t>
  </si>
  <si>
    <r>
      <t>1,428</t>
    </r>
    <r>
      <rPr>
        <i/>
        <sz val="7"/>
        <rFont val="Arial"/>
        <family val="2"/>
        <charset val="204"/>
      </rPr>
      <t xml:space="preserve">
142,8 / 100</t>
    </r>
  </si>
  <si>
    <t>167812
8009</t>
  </si>
  <si>
    <t>89</t>
  </si>
  <si>
    <r>
      <t>0,252</t>
    </r>
    <r>
      <rPr>
        <i/>
        <sz val="7"/>
        <rFont val="Arial"/>
        <family val="2"/>
        <charset val="204"/>
      </rPr>
      <t xml:space="preserve">
25,2 / 100</t>
    </r>
  </si>
  <si>
    <t>90052
3817</t>
  </si>
  <si>
    <t>90</t>
  </si>
  <si>
    <r>
      <t>5,04</t>
    </r>
    <r>
      <rPr>
        <i/>
        <sz val="7"/>
        <rFont val="Arial"/>
        <family val="2"/>
        <charset val="204"/>
      </rPr>
      <t xml:space="preserve">
21*8*30/1000</t>
    </r>
  </si>
  <si>
    <t>91</t>
  </si>
  <si>
    <r>
      <t>3,5</t>
    </r>
    <r>
      <rPr>
        <i/>
        <sz val="7"/>
        <rFont val="Arial"/>
        <family val="2"/>
        <charset val="204"/>
      </rPr>
      <t xml:space="preserve">
округл(5,04*0,7;1)</t>
    </r>
  </si>
  <si>
    <t>92</t>
  </si>
  <si>
    <r>
      <t>1,68</t>
    </r>
    <r>
      <rPr>
        <i/>
        <sz val="7"/>
        <rFont val="Arial"/>
        <family val="2"/>
        <charset val="204"/>
      </rPr>
      <t xml:space="preserve">
(21*8) / 100</t>
    </r>
  </si>
  <si>
    <t>10960
1526</t>
  </si>
  <si>
    <t>93</t>
  </si>
  <si>
    <r>
      <t>8,4</t>
    </r>
    <r>
      <rPr>
        <i/>
        <sz val="7"/>
        <rFont val="Arial"/>
        <family val="2"/>
        <charset val="204"/>
      </rPr>
      <t xml:space="preserve">
21*8*50/1000</t>
    </r>
  </si>
  <si>
    <t>94</t>
  </si>
  <si>
    <r>
      <t>3,4</t>
    </r>
    <r>
      <rPr>
        <i/>
        <sz val="7"/>
        <rFont val="Arial"/>
        <family val="2"/>
        <charset val="204"/>
      </rPr>
      <t xml:space="preserve">
округл(8,4*0,4;1)</t>
    </r>
  </si>
  <si>
    <t>95</t>
  </si>
  <si>
    <t>96</t>
  </si>
  <si>
    <r>
      <t>48</t>
    </r>
    <r>
      <rPr>
        <i/>
        <sz val="7"/>
        <rFont val="Arial"/>
        <family val="2"/>
        <charset val="204"/>
      </rPr>
      <t xml:space="preserve">
6*8</t>
    </r>
  </si>
  <si>
    <t>97</t>
  </si>
  <si>
    <r>
      <t>104</t>
    </r>
    <r>
      <rPr>
        <i/>
        <sz val="7"/>
        <rFont val="Arial"/>
        <family val="2"/>
        <charset val="204"/>
      </rPr>
      <t xml:space="preserve">
13*8</t>
    </r>
  </si>
  <si>
    <t>98</t>
  </si>
  <si>
    <t>99</t>
  </si>
  <si>
    <t>100</t>
  </si>
  <si>
    <t>125
20</t>
  </si>
  <si>
    <t>Устройство микросвай 40/16 L=24 м, 4 шт.</t>
  </si>
  <si>
    <t>101</t>
  </si>
  <si>
    <r>
      <t>0,816</t>
    </r>
    <r>
      <rPr>
        <i/>
        <sz val="7"/>
        <rFont val="Arial"/>
        <family val="2"/>
        <charset val="204"/>
      </rPr>
      <t xml:space="preserve">
81,6 / 100</t>
    </r>
  </si>
  <si>
    <t>95893
4576</t>
  </si>
  <si>
    <t>102</t>
  </si>
  <si>
    <r>
      <t>0,144</t>
    </r>
    <r>
      <rPr>
        <i/>
        <sz val="7"/>
        <rFont val="Arial"/>
        <family val="2"/>
        <charset val="204"/>
      </rPr>
      <t xml:space="preserve">
14,4 / 100</t>
    </r>
  </si>
  <si>
    <t>51458
2181</t>
  </si>
  <si>
    <t>103</t>
  </si>
  <si>
    <r>
      <t>2,88</t>
    </r>
    <r>
      <rPr>
        <i/>
        <sz val="7"/>
        <rFont val="Arial"/>
        <family val="2"/>
        <charset val="204"/>
      </rPr>
      <t xml:space="preserve">
24*4*30/1000</t>
    </r>
  </si>
  <si>
    <t>104</t>
  </si>
  <si>
    <r>
      <t>2</t>
    </r>
    <r>
      <rPr>
        <i/>
        <sz val="7"/>
        <rFont val="Arial"/>
        <family val="2"/>
        <charset val="204"/>
      </rPr>
      <t xml:space="preserve">
округл(2,88*0,7;1)</t>
    </r>
  </si>
  <si>
    <t>105</t>
  </si>
  <si>
    <r>
      <t>0,96</t>
    </r>
    <r>
      <rPr>
        <i/>
        <sz val="7"/>
        <rFont val="Arial"/>
        <family val="2"/>
        <charset val="204"/>
      </rPr>
      <t xml:space="preserve">
(24*4) / 100</t>
    </r>
  </si>
  <si>
    <t>6263
872</t>
  </si>
  <si>
    <t>106</t>
  </si>
  <si>
    <r>
      <t>4,8</t>
    </r>
    <r>
      <rPr>
        <i/>
        <sz val="7"/>
        <rFont val="Arial"/>
        <family val="2"/>
        <charset val="204"/>
      </rPr>
      <t xml:space="preserve">
24*4*50/1000</t>
    </r>
  </si>
  <si>
    <t>107</t>
  </si>
  <si>
    <r>
      <t>1,9</t>
    </r>
    <r>
      <rPr>
        <i/>
        <sz val="7"/>
        <rFont val="Arial"/>
        <family val="2"/>
        <charset val="204"/>
      </rPr>
      <t xml:space="preserve">
округл(4,8*0,4;1)</t>
    </r>
  </si>
  <si>
    <t>108</t>
  </si>
  <si>
    <r>
      <t>4</t>
    </r>
    <r>
      <rPr>
        <i/>
        <sz val="7"/>
        <rFont val="Arial"/>
        <family val="2"/>
        <charset val="204"/>
      </rPr>
      <t xml:space="preserve">
1*4</t>
    </r>
  </si>
  <si>
    <t>109</t>
  </si>
  <si>
    <r>
      <t>28</t>
    </r>
    <r>
      <rPr>
        <i/>
        <sz val="7"/>
        <rFont val="Arial"/>
        <family val="2"/>
        <charset val="204"/>
      </rPr>
      <t xml:space="preserve">
7*4</t>
    </r>
  </si>
  <si>
    <t>110</t>
  </si>
  <si>
    <r>
      <t>60</t>
    </r>
    <r>
      <rPr>
        <i/>
        <sz val="7"/>
        <rFont val="Arial"/>
        <family val="2"/>
        <charset val="204"/>
      </rPr>
      <t xml:space="preserve">
15*4</t>
    </r>
  </si>
  <si>
    <t>111</t>
  </si>
  <si>
    <t>112</t>
  </si>
  <si>
    <t>113</t>
  </si>
  <si>
    <t>72
11</t>
  </si>
  <si>
    <t>Устройство микросвай 40/16 L=27м, 10 шт.</t>
  </si>
  <si>
    <t>114</t>
  </si>
  <si>
    <r>
      <t>2,295</t>
    </r>
    <r>
      <rPr>
        <i/>
        <sz val="7"/>
        <rFont val="Arial"/>
        <family val="2"/>
        <charset val="204"/>
      </rPr>
      <t xml:space="preserve">
229,5 / 100</t>
    </r>
  </si>
  <si>
    <t>269698
12871</t>
  </si>
  <si>
    <t>115</t>
  </si>
  <si>
    <r>
      <t>0,405</t>
    </r>
    <r>
      <rPr>
        <i/>
        <sz val="7"/>
        <rFont val="Arial"/>
        <family val="2"/>
        <charset val="204"/>
      </rPr>
      <t xml:space="preserve">
40,5 / 100</t>
    </r>
  </si>
  <si>
    <t>144726
6135</t>
  </si>
  <si>
    <t>116</t>
  </si>
  <si>
    <r>
      <t>8,1</t>
    </r>
    <r>
      <rPr>
        <i/>
        <sz val="7"/>
        <rFont val="Arial"/>
        <family val="2"/>
        <charset val="204"/>
      </rPr>
      <t xml:space="preserve">
27*10*30/1000</t>
    </r>
  </si>
  <si>
    <t>117</t>
  </si>
  <si>
    <r>
      <t>5,7</t>
    </r>
    <r>
      <rPr>
        <i/>
        <sz val="7"/>
        <rFont val="Arial"/>
        <family val="2"/>
        <charset val="204"/>
      </rPr>
      <t xml:space="preserve">
округл(8,1*0,7;1)</t>
    </r>
  </si>
  <si>
    <t>118</t>
  </si>
  <si>
    <r>
      <t>2,7</t>
    </r>
    <r>
      <rPr>
        <i/>
        <sz val="7"/>
        <rFont val="Arial"/>
        <family val="2"/>
        <charset val="204"/>
      </rPr>
      <t xml:space="preserve">
(27*10) / 100</t>
    </r>
  </si>
  <si>
    <t>17615
2453</t>
  </si>
  <si>
    <t>119</t>
  </si>
  <si>
    <r>
      <t>13,5</t>
    </r>
    <r>
      <rPr>
        <i/>
        <sz val="7"/>
        <rFont val="Arial"/>
        <family val="2"/>
        <charset val="204"/>
      </rPr>
      <t xml:space="preserve">
27*10*50/1000</t>
    </r>
  </si>
  <si>
    <t>120</t>
  </si>
  <si>
    <r>
      <t>5,4</t>
    </r>
    <r>
      <rPr>
        <i/>
        <sz val="7"/>
        <rFont val="Arial"/>
        <family val="2"/>
        <charset val="204"/>
      </rPr>
      <t xml:space="preserve">
округл(13,5*0,4;1)</t>
    </r>
  </si>
  <si>
    <t>121</t>
  </si>
  <si>
    <r>
      <t>10</t>
    </r>
    <r>
      <rPr>
        <i/>
        <sz val="7"/>
        <rFont val="Arial"/>
        <family val="2"/>
        <charset val="204"/>
      </rPr>
      <t xml:space="preserve">
1*10</t>
    </r>
  </si>
  <si>
    <t>122</t>
  </si>
  <si>
    <r>
      <t>80</t>
    </r>
    <r>
      <rPr>
        <i/>
        <sz val="7"/>
        <rFont val="Arial"/>
        <family val="2"/>
        <charset val="204"/>
      </rPr>
      <t xml:space="preserve">
8*10</t>
    </r>
  </si>
  <si>
    <t>123</t>
  </si>
  <si>
    <r>
      <t>170</t>
    </r>
    <r>
      <rPr>
        <i/>
        <sz val="7"/>
        <rFont val="Arial"/>
        <family val="2"/>
        <charset val="204"/>
      </rPr>
      <t xml:space="preserve">
17*10</t>
    </r>
  </si>
  <si>
    <t>124</t>
  </si>
  <si>
    <t>125</t>
  </si>
  <si>
    <t>126</t>
  </si>
  <si>
    <t>202
32</t>
  </si>
  <si>
    <t>Устройство микросвай 40/16 L=30м, 4 шт.</t>
  </si>
  <si>
    <t>127</t>
  </si>
  <si>
    <r>
      <t>1,02</t>
    </r>
    <r>
      <rPr>
        <i/>
        <sz val="7"/>
        <rFont val="Arial"/>
        <family val="2"/>
        <charset val="204"/>
      </rPr>
      <t xml:space="preserve">
102 / 100</t>
    </r>
  </si>
  <si>
    <t>119866
5720</t>
  </si>
  <si>
    <t>128</t>
  </si>
  <si>
    <r>
      <t>0,18</t>
    </r>
    <r>
      <rPr>
        <i/>
        <sz val="7"/>
        <rFont val="Arial"/>
        <family val="2"/>
        <charset val="204"/>
      </rPr>
      <t xml:space="preserve">
18 / 100</t>
    </r>
  </si>
  <si>
    <t>64323
2726</t>
  </si>
  <si>
    <t>129</t>
  </si>
  <si>
    <r>
      <t>3,6</t>
    </r>
    <r>
      <rPr>
        <i/>
        <sz val="7"/>
        <rFont val="Arial"/>
        <family val="2"/>
        <charset val="204"/>
      </rPr>
      <t xml:space="preserve">
30*4*30/1000</t>
    </r>
  </si>
  <si>
    <t>130</t>
  </si>
  <si>
    <r>
      <t>2,5</t>
    </r>
    <r>
      <rPr>
        <i/>
        <sz val="7"/>
        <rFont val="Arial"/>
        <family val="2"/>
        <charset val="204"/>
      </rPr>
      <t xml:space="preserve">
округл(3,6*0,7;1)</t>
    </r>
  </si>
  <si>
    <t>131</t>
  </si>
  <si>
    <r>
      <t>1,2</t>
    </r>
    <r>
      <rPr>
        <i/>
        <sz val="7"/>
        <rFont val="Arial"/>
        <family val="2"/>
        <charset val="204"/>
      </rPr>
      <t xml:space="preserve">
(30*4) / 100</t>
    </r>
  </si>
  <si>
    <t>7829
1090</t>
  </si>
  <si>
    <t>132</t>
  </si>
  <si>
    <r>
      <t>6</t>
    </r>
    <r>
      <rPr>
        <i/>
        <sz val="7"/>
        <rFont val="Arial"/>
        <family val="2"/>
        <charset val="204"/>
      </rPr>
      <t xml:space="preserve">
30*4*50/1000</t>
    </r>
  </si>
  <si>
    <t>133</t>
  </si>
  <si>
    <r>
      <t>2,4</t>
    </r>
    <r>
      <rPr>
        <i/>
        <sz val="7"/>
        <rFont val="Arial"/>
        <family val="2"/>
        <charset val="204"/>
      </rPr>
      <t xml:space="preserve">
округл(6*0,4;1)</t>
    </r>
  </si>
  <si>
    <t>134</t>
  </si>
  <si>
    <t>135</t>
  </si>
  <si>
    <r>
      <t>36</t>
    </r>
    <r>
      <rPr>
        <i/>
        <sz val="7"/>
        <rFont val="Arial"/>
        <family val="2"/>
        <charset val="204"/>
      </rPr>
      <t xml:space="preserve">
9*4</t>
    </r>
  </si>
  <si>
    <t>136</t>
  </si>
  <si>
    <r>
      <t>76</t>
    </r>
    <r>
      <rPr>
        <i/>
        <sz val="7"/>
        <rFont val="Arial"/>
        <family val="2"/>
        <charset val="204"/>
      </rPr>
      <t xml:space="preserve">
19*4</t>
    </r>
  </si>
  <si>
    <t>137</t>
  </si>
  <si>
    <t>138</t>
  </si>
  <si>
    <t>139</t>
  </si>
  <si>
    <t>140</t>
  </si>
  <si>
    <t>1049259
52316</t>
  </si>
  <si>
    <t>Итого по разделу 2 Зона защиты опоры Т03</t>
  </si>
  <si>
    <t>Раздел 3. Работы по берегоукреплению ручья. Зона защиты опоры Т02</t>
  </si>
  <si>
    <t>Из местного камня</t>
  </si>
  <si>
    <t>141</t>
  </si>
  <si>
    <r>
      <t>ФЕР27-10-008-02</t>
    </r>
    <r>
      <rPr>
        <i/>
        <sz val="7"/>
        <rFont val="Arial"/>
        <family val="2"/>
        <charset val="204"/>
      </rPr>
      <t xml:space="preserve">
Приказ Минстроя России от 30.12.2016 №1039/пр</t>
    </r>
  </si>
  <si>
    <r>
      <t>Приготовление камня 6 группы: для укрепительных работ - Сбор вручную, сортировка, колка камня (при необходимости), поднос камня к месту устройства упора
(100 м3)</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</si>
  <si>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11,15</t>
    </r>
    <r>
      <rPr>
        <i/>
        <sz val="7"/>
        <rFont val="Arial"/>
        <family val="2"/>
        <charset val="204"/>
      </rPr>
      <t xml:space="preserve">
1115 / 100</t>
    </r>
  </si>
  <si>
    <t>1998,63
1998,63</t>
  </si>
  <si>
    <t>142</t>
  </si>
  <si>
    <r>
      <t>ФЕР01-02-044-01</t>
    </r>
    <r>
      <rPr>
        <i/>
        <sz val="7"/>
        <rFont val="Arial"/>
        <family val="2"/>
        <charset val="204"/>
      </rPr>
      <t xml:space="preserve">
Приказ Минстроя России от 30.12.2016 №1039/пр</t>
    </r>
  </si>
  <si>
    <r>
      <t>Устройство каменной наброски или призмы
(100 м3)</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</si>
  <si>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t>3516,09
3502,67</t>
  </si>
  <si>
    <t>13,42
1,74</t>
  </si>
  <si>
    <t>149
19</t>
  </si>
  <si>
    <t>Обратный фильтр</t>
  </si>
  <si>
    <t>143</t>
  </si>
  <si>
    <r>
      <t>ФЕР27-04-001-04</t>
    </r>
    <r>
      <rPr>
        <i/>
        <sz val="7"/>
        <rFont val="Arial"/>
        <family val="2"/>
        <charset val="204"/>
      </rPr>
      <t xml:space="preserve">
Приказ Минстроя России от 30.12.2016 №1039/пр</t>
    </r>
  </si>
  <si>
    <r>
      <t>Устройство подстилающих и выравнивающих слоев оснований: из щебня
(100 м3)</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</si>
  <si>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1,85</t>
    </r>
    <r>
      <rPr>
        <i/>
        <sz val="7"/>
        <rFont val="Arial"/>
        <family val="2"/>
        <charset val="204"/>
      </rPr>
      <t xml:space="preserve">
185 / 100</t>
    </r>
  </si>
  <si>
    <t>5318,91
293,55</t>
  </si>
  <si>
    <t>5008,28
417,98</t>
  </si>
  <si>
    <t>9265
773</t>
  </si>
  <si>
    <t>144</t>
  </si>
  <si>
    <r>
      <t>ФССЦ-02.2.05.04-0094</t>
    </r>
    <r>
      <rPr>
        <i/>
        <sz val="7"/>
        <rFont val="Arial"/>
        <family val="2"/>
        <charset val="204"/>
      </rPr>
      <t xml:space="preserve">
Приказ Минстроя России от 30.12.2016 №1039/пр</t>
    </r>
  </si>
  <si>
    <t>Щебень из природного камня для строительных работ марка: 800, фракция 20-80 (70) мм
(м3)</t>
  </si>
  <si>
    <r>
      <t>240,5</t>
    </r>
    <r>
      <rPr>
        <i/>
        <sz val="7"/>
        <rFont val="Arial"/>
        <family val="2"/>
        <charset val="204"/>
      </rPr>
      <t xml:space="preserve">
185*1,3</t>
    </r>
  </si>
  <si>
    <t>Земляные работы</t>
  </si>
  <si>
    <t>145</t>
  </si>
  <si>
    <r>
      <t>ФЕР01-01-019-02</t>
    </r>
    <r>
      <rPr>
        <i/>
        <sz val="7"/>
        <rFont val="Arial"/>
        <family val="2"/>
        <charset val="204"/>
      </rPr>
      <t xml:space="preserve">
Приказ Минстроя России от 30.12.2016 №1039/пр</t>
    </r>
  </si>
  <si>
    <r>
      <t>Разработка грунта с погрузкой на автомобили-самосвалы в котлованах объемом до 1000 м3 экскаваторами с ковшом вместимостью 0,5 м3, группа грунтов: 2
(1000 м3)</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</si>
  <si>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0,86815</t>
    </r>
    <r>
      <rPr>
        <i/>
        <sz val="7"/>
        <rFont val="Arial"/>
        <family val="2"/>
        <charset val="204"/>
      </rPr>
      <t xml:space="preserve">
(895*0,97) / 1000</t>
    </r>
  </si>
  <si>
    <t>6106,5
824,39</t>
  </si>
  <si>
    <t>5301
716</t>
  </si>
  <si>
    <t>146</t>
  </si>
  <si>
    <r>
      <t>ФЕР01-02-057-02</t>
    </r>
    <r>
      <rPr>
        <i/>
        <sz val="7"/>
        <rFont val="Arial"/>
        <family val="2"/>
        <charset val="204"/>
      </rPr>
      <t xml:space="preserve">
Приказ Минстроя России от 30.12.2016 №1039/пр</t>
    </r>
  </si>
  <si>
    <r>
      <t>Разработка грунта вручную в траншеях глубиной до 2 м без креплений с откосами, группа грунтов: 2
(100 м3)</t>
    </r>
    <r>
      <rPr>
        <i/>
        <sz val="7"/>
        <rFont val="Arial"/>
        <family val="2"/>
        <charset val="204"/>
      </rPr>
      <t xml:space="preserve">
(Прил.1.12 п.3.187 Доработка вручную, зачистка дна и стенок с выкидкой грунта в котлованах и траншеях, разработанных механизированным способом ОЗП=1,2; ТЗ=1,2;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</si>
  <si>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0,2685</t>
    </r>
    <r>
      <rPr>
        <i/>
        <sz val="7"/>
        <rFont val="Arial"/>
        <family val="2"/>
        <charset val="204"/>
      </rPr>
      <t xml:space="preserve">
(895*0,03) / 100</t>
    </r>
  </si>
  <si>
    <t>2162,16
2162,16</t>
  </si>
  <si>
    <t>147</t>
  </si>
  <si>
    <r>
      <t>ФЕР01-01-019-01</t>
    </r>
    <r>
      <rPr>
        <i/>
        <sz val="7"/>
        <rFont val="Arial"/>
        <family val="2"/>
        <charset val="204"/>
      </rPr>
      <t xml:space="preserve">
Приказ Минстроя России от 30.12.2016 №1039/пр</t>
    </r>
  </si>
  <si>
    <r>
      <t>Разработка грунта с погрузкой на автомобили-самосвалы в котлованах объемом до 1000 м3 экскаваторами с ковшом вместимостью 0,5 м3, группа грунтов: 1 - погрузка грунта разработанного вручную
(1000 м3)</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</si>
  <si>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0,02685</t>
    </r>
    <r>
      <rPr>
        <i/>
        <sz val="7"/>
        <rFont val="Arial"/>
        <family val="2"/>
        <charset val="204"/>
      </rPr>
      <t xml:space="preserve">
(895*0,03) / 1000</t>
    </r>
  </si>
  <si>
    <t>5044,5
681,02</t>
  </si>
  <si>
    <t>135
18</t>
  </si>
  <si>
    <t>148</t>
  </si>
  <si>
    <r>
      <t>ФССЦпг-03-21-01-006</t>
    </r>
    <r>
      <rPr>
        <i/>
        <sz val="7"/>
        <rFont val="Arial"/>
        <family val="2"/>
        <charset val="204"/>
      </rPr>
      <t xml:space="preserve">
Приказ Минстроя России от 30.12.2016 №1039/пр</t>
    </r>
  </si>
  <si>
    <r>
      <t>Перевозка грузов автомобилями-самосвалами грузоподъемностью 10 т работающих вне карьера на расстояние: I класс груза до 6 км
(1 т груза)</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</si>
  <si>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115,9162</t>
    </r>
    <r>
      <rPr>
        <i/>
        <sz val="7"/>
        <rFont val="Arial"/>
        <family val="2"/>
        <charset val="204"/>
      </rPr>
      <t xml:space="preserve">
56,27*2,06</t>
    </r>
  </si>
  <si>
    <t>149</t>
  </si>
  <si>
    <r>
      <t>ФЕР01-01-016-02</t>
    </r>
    <r>
      <rPr>
        <i/>
        <sz val="7"/>
        <rFont val="Arial"/>
        <family val="2"/>
        <charset val="204"/>
      </rPr>
      <t xml:space="preserve">
Приказ Минстроя России от 30.12.2016 №1039/пр</t>
    </r>
  </si>
  <si>
    <r>
      <t>Работа на отвале, группа грунтов: 2-3
(1000 м3)</t>
    </r>
    <r>
      <rPr>
        <i/>
        <sz val="7"/>
        <rFont val="Arial"/>
        <family val="2"/>
        <charset val="204"/>
      </rPr>
      <t xml:space="preserve">
(Приказ от 9.02.2017 № 81/пр Прил.2, Табл.1, п.8.3 Производство работ осуществляется в горной местности: на высоте от 3000 до 3500 м над уровнем моря. ОЗП=1,5; ЭМ=1,5; ЗПМ=1,5; ТЗ=1,5; ТЗМ=1,5)</t>
    </r>
  </si>
  <si>
    <r>
      <t>0,895</t>
    </r>
    <r>
      <rPr>
        <i/>
        <sz val="7"/>
        <rFont val="Arial"/>
        <family val="2"/>
        <charset val="204"/>
      </rPr>
      <t xml:space="preserve">
895 / 1000</t>
    </r>
  </si>
  <si>
    <t>528,65
42,71</t>
  </si>
  <si>
    <t>481,61
81,8</t>
  </si>
  <si>
    <t>431
73</t>
  </si>
  <si>
    <t>16609
1599</t>
  </si>
  <si>
    <t>Итого по разделу 3 Работы по берегоукреплению ручья. Зона защиты опоры Т02</t>
  </si>
  <si>
    <t>ИТОГИ ПО СМЕТЕ:</t>
  </si>
  <si>
    <t>Итого прямые затраты по смете в базисных ценах</t>
  </si>
  <si>
    <t>6282544
291563</t>
  </si>
  <si>
    <t xml:space="preserve">  Итого Строительные работы</t>
  </si>
  <si>
    <t xml:space="preserve">  Итого Монтажные работы</t>
  </si>
  <si>
    <t xml:space="preserve">  Итого</t>
  </si>
  <si>
    <t xml:space="preserve">    В том числе:</t>
  </si>
  <si>
    <t xml:space="preserve">      Материалы</t>
  </si>
  <si>
    <t xml:space="preserve">      Машины и механизмы</t>
  </si>
  <si>
    <t xml:space="preserve">      ФОТ</t>
  </si>
  <si>
    <t xml:space="preserve">      Накладные расходы</t>
  </si>
  <si>
    <t xml:space="preserve">      Сметная прибыль</t>
  </si>
  <si>
    <t xml:space="preserve">  ВСЕГО по смете</t>
  </si>
  <si>
    <t>Составил: ___________________________</t>
  </si>
  <si>
    <t>(должность, подпись, расшифровка)</t>
  </si>
  <si>
    <t>"____" ________________ 2024 года</t>
  </si>
  <si>
    <t>ЛОКАЛЬНАЯ СМЕТА № 02-01-08-И</t>
  </si>
  <si>
    <t xml:space="preserve">на Инженерная защита территории, </t>
  </si>
  <si>
    <t>Основание:</t>
  </si>
  <si>
    <t>Раздел №10. Подраздел ПД №7. ЭЛ2-2-ПИР-ИЗ, 02-01-08-6 ИЗ СВОР</t>
  </si>
  <si>
    <t>Сметная стоимость</t>
  </si>
  <si>
    <t xml:space="preserve">   строительных работ</t>
  </si>
  <si>
    <t xml:space="preserve">   монтажных работ</t>
  </si>
  <si>
    <t>Средства на оплату труда</t>
  </si>
  <si>
    <t>Сметная трудоемкость</t>
  </si>
  <si>
    <t xml:space="preserve">Составлен(а) в текущих (прогнозных) ценах по состоянию на </t>
  </si>
  <si>
    <t>01.01.2000 г.</t>
  </si>
  <si>
    <t xml:space="preserve">Затраты труда рабочих, чел.-ч, не занятых обслуживанием машин </t>
  </si>
  <si>
    <t>эксплуатации машин</t>
  </si>
  <si>
    <t>ФССЦ-04.1.02.05-0009
Приказ Минстроя России от 30.12.2016 №1039/пр</t>
  </si>
  <si>
    <t>Объем=(4,375*1,015) * -1</t>
  </si>
  <si>
    <t>32,29
645,75*1%+645,75*4%</t>
  </si>
  <si>
    <t>Цена МАТ=645,75*1%+645,75*4%</t>
  </si>
  <si>
    <t>ФССЦ-08.4.03.03-0004
Приказ Минстроя России от 30.12.2016 №1039/пр</t>
  </si>
  <si>
    <t>ФЕРм37-02-040-07
Приказ Минстроя России от 30.12.2016 №1039/пр</t>
  </si>
  <si>
    <t>Закрепление расчалок (оттяжек) длиной до 50 м внизу, диаметр каната свыше 18 до 20 мм (Устройство оттяжек крайних стоек)
(шт)</t>
  </si>
  <si>
    <t>-376
-45</t>
  </si>
  <si>
    <t>Приказ от 9.02.2017 № 81/пр Прил.2, Табл.1, п.8.3</t>
  </si>
  <si>
    <t>Производство работ осуществляется в горной местности: на высоте от 3000 до 3500 м над уровнем моря. ОЗП=1,5; ЭМ=1,5; ЗПМ=1,5; ТЗ=1,5; ТЗМ=1,5</t>
  </si>
  <si>
    <t>1-2-5</t>
  </si>
  <si>
    <t>Затраты труда рабочих (ср 2,5)
(чел.час)</t>
  </si>
  <si>
    <t>1,635
-13,08</t>
  </si>
  <si>
    <t>8,17
8,17</t>
  </si>
  <si>
    <t>Затраты труда машинистов
(чел.час)</t>
  </si>
  <si>
    <t>0,42
-3,36</t>
  </si>
  <si>
    <t>91.05.05-014</t>
  </si>
  <si>
    <t>Краны на автомобильном ходу, грузоподъемность 10 т
(маш.час)</t>
  </si>
  <si>
    <t>0,28
-2,24</t>
  </si>
  <si>
    <t>111,99
13,50</t>
  </si>
  <si>
    <t>-250,86
-30,24</t>
  </si>
  <si>
    <t>999-9950</t>
  </si>
  <si>
    <t>Вспомогательные ненормируемые ресурсы (2% от Оплаты труда рабочих)
(руб.)</t>
  </si>
  <si>
    <t>0,18
-1,44</t>
  </si>
  <si>
    <t>ФЕРм37-02-040-06
Приказ Минстроя России от 30.12.2016 №1039/пр</t>
  </si>
  <si>
    <t>Закрепление расчалок (оттяжек) длиной до 50 м внизу, диаметр каната свыше 16 до 18 мм (Устройство оттяжек внутренних стоек)
(шт)</t>
  </si>
  <si>
    <t>11,55
11,40</t>
  </si>
  <si>
    <t>1,395
-37,67</t>
  </si>
  <si>
    <t>0,15
-4,05</t>
  </si>
  <si>
    <t>ФССЦ-02.2.03.01-0011
Приказ Минстроя России от 30.12.2016 №1039/пр</t>
  </si>
  <si>
    <t>Объем=-(4*2*0,3*25+2*1*0,5*21)*1,05</t>
  </si>
  <si>
    <t>ФССЦ-01.7.12.05-0161
Приказ Минстроя России от 30.12.2016 №1039/пр</t>
  </si>
  <si>
    <t>Полотно иглопробивное для дорожного строительства: «Дорнит-2»
(10 м2)</t>
  </si>
  <si>
    <t>Объем=-75 / 10</t>
  </si>
  <si>
    <t xml:space="preserve">     В том числе, справочно:</t>
  </si>
  <si>
    <t xml:space="preserve">      80% ФОТ (от -460) (Поз. 4-5)</t>
  </si>
  <si>
    <t xml:space="preserve">      60% ФОТ (от -460) (Поз. 4-5)</t>
  </si>
  <si>
    <t>Итоги по разделу 1 Зона защиты опоры Т04 :</t>
  </si>
  <si>
    <t xml:space="preserve">     Итоги по Строительным работам</t>
  </si>
  <si>
    <t xml:space="preserve">          Материалы:</t>
  </si>
  <si>
    <t xml:space="preserve">               Итого Поз. 1-3, 6-7</t>
  </si>
  <si>
    <t xml:space="preserve">          Итого</t>
  </si>
  <si>
    <t xml:space="preserve">     Итоги по Монтажным работам</t>
  </si>
  <si>
    <t xml:space="preserve">          Монтаж оборудования:</t>
  </si>
  <si>
    <t xml:space="preserve">               Итого Поз. 4-5</t>
  </si>
  <si>
    <t xml:space="preserve">               Накладные расходы 80% ФОТ (от -460)</t>
  </si>
  <si>
    <t xml:space="preserve">               Сметная прибыль 60% ФОТ (от -460)</t>
  </si>
  <si>
    <t xml:space="preserve">               Итого c накладными и см. прибылью</t>
  </si>
  <si>
    <t xml:space="preserve">     Итого</t>
  </si>
  <si>
    <t xml:space="preserve">          В том числе:</t>
  </si>
  <si>
    <t xml:space="preserve">            Материалы</t>
  </si>
  <si>
    <t xml:space="preserve">            Машины и механизмы</t>
  </si>
  <si>
    <t xml:space="preserve">            ФОТ</t>
  </si>
  <si>
    <t xml:space="preserve">            Накладные расходы</t>
  </si>
  <si>
    <t xml:space="preserve">            Сметная прибыль</t>
  </si>
  <si>
    <t xml:space="preserve">  Итого по разделу 1 Зона защиты опоры Т04</t>
  </si>
  <si>
    <t>ФЕР01-02-065-03
Приказ Минстроя России от 30.12.2016 №1039/пр</t>
  </si>
  <si>
    <t>Разработка скального грунта отбойными молотками, группа грунтов: 5 - под фундаменты
(100 м3)</t>
  </si>
  <si>
    <t>25 629,84
8 486,84</t>
  </si>
  <si>
    <t>17 143,00
1 794,20</t>
  </si>
  <si>
    <t>-350
-37</t>
  </si>
  <si>
    <t>Объем=-2,04 / 100</t>
  </si>
  <si>
    <t>Затраты труда рабочих (ср 2,5)
(чел.-ч)</t>
  </si>
  <si>
    <t>1038,78
-21,19</t>
  </si>
  <si>
    <t>Затраты труда машинистов
(чел.-ч)</t>
  </si>
  <si>
    <t>178,35
-3,64</t>
  </si>
  <si>
    <t>91.18.01-007</t>
  </si>
  <si>
    <t>Компрессоры передвижные с двигателем внутреннего сгорания, давлением до 686 кПа (7 ат), производительность до 5 м3/мин
(маш.час)</t>
  </si>
  <si>
    <t>118,9
-2,43</t>
  </si>
  <si>
    <t>90,00
10,06</t>
  </si>
  <si>
    <t>-218,70
-24,45</t>
  </si>
  <si>
    <t>91.21.10-003</t>
  </si>
  <si>
    <t>Молотки при работе от передвижных компрессорных станций: отбойные пневматические
(маш.час)</t>
  </si>
  <si>
    <t>475,6
-9,7</t>
  </si>
  <si>
    <t>1,53
0,00</t>
  </si>
  <si>
    <t>-14,84
0,00</t>
  </si>
  <si>
    <t>ФЕР06-01-001-05
Приказ Минстроя России от 30.12.2016 №1039/пр</t>
  </si>
  <si>
    <t>Устройство железобетонных фундаментов общего назначения под колонны объемом: до 3 м3 - фундаменты под шарнирную опору
(100 м3)</t>
  </si>
  <si>
    <t>18 492,51
10 055,34</t>
  </si>
  <si>
    <t>4 289,12
649,67</t>
  </si>
  <si>
    <t>-90
-14</t>
  </si>
  <si>
    <t>Объем=(-(0,5*0,5*0,7*12)) / 100</t>
  </si>
  <si>
    <t>1-3-0</t>
  </si>
  <si>
    <t>Затраты труда рабочих (ср 3)
(чел.-ч)</t>
  </si>
  <si>
    <t>1178,82
-24,76</t>
  </si>
  <si>
    <t>8,53
8,53</t>
  </si>
  <si>
    <t>48,435
-1,02</t>
  </si>
  <si>
    <t>91.05.01-017</t>
  </si>
  <si>
    <t>Краны башенные, грузоподъемность 8 т
(маш.час)</t>
  </si>
  <si>
    <t>30,35
-0,64</t>
  </si>
  <si>
    <t>86,40
13,50</t>
  </si>
  <si>
    <t>-55,30
-8,64</t>
  </si>
  <si>
    <t>0,68
-0,01</t>
  </si>
  <si>
    <t>-1,12
-0,14</t>
  </si>
  <si>
    <t>91.06.05-011</t>
  </si>
  <si>
    <t>Погрузчик, грузоподъемность 5 т
(маш.час)</t>
  </si>
  <si>
    <t>0,27
-0,01</t>
  </si>
  <si>
    <t>89,99
10,06</t>
  </si>
  <si>
    <t>-0,90
-0,10</t>
  </si>
  <si>
    <t>91.07.04-001</t>
  </si>
  <si>
    <t>Вибратор глубинный
(маш.час)</t>
  </si>
  <si>
    <t>37,72
-0,79</t>
  </si>
  <si>
    <t>1,90
0,00</t>
  </si>
  <si>
    <t>-1,50
0,00</t>
  </si>
  <si>
    <t>Автомобили бортовые, грузоподъемность: до 5 т
(маш.час)</t>
  </si>
  <si>
    <t>0,99
-0,02</t>
  </si>
  <si>
    <t>65,71
11,60</t>
  </si>
  <si>
    <t>-1,31
-0,23</t>
  </si>
  <si>
    <t>01.7.03.01-0001</t>
  </si>
  <si>
    <t>0,441
-0,0093</t>
  </si>
  <si>
    <t>01.7.07.12-0024</t>
  </si>
  <si>
    <t>Пленка полиэтиленовая толщиной: 0,15 мм
(м2)</t>
  </si>
  <si>
    <t>153
-3,213</t>
  </si>
  <si>
    <t>Гвозди строительные
(т)</t>
  </si>
  <si>
    <t>0,0238
-0,0005</t>
  </si>
  <si>
    <t>03.1.02.03-0011</t>
  </si>
  <si>
    <t>Известь строительная: негашеная комовая, сорт I
(т)</t>
  </si>
  <si>
    <t>0,027
-0,0006</t>
  </si>
  <si>
    <t>04.1.02.06</t>
  </si>
  <si>
    <t>Бетон
(м3)</t>
  </si>
  <si>
    <t>101,5
-2,132</t>
  </si>
  <si>
    <t>08.3.03.04-0012</t>
  </si>
  <si>
    <t>Проволока светлая диаметром: 1,1 мм
(т)</t>
  </si>
  <si>
    <t>0,0061
-0,0001</t>
  </si>
  <si>
    <t>Проволока горячекатаная в мотках, диаметром 6,3-6,5 мм
(т)</t>
  </si>
  <si>
    <t>0,0375
-0,0008</t>
  </si>
  <si>
    <t>08.4.03.04</t>
  </si>
  <si>
    <t>Арматура
(т)</t>
  </si>
  <si>
    <t>4,5
-0,0945</t>
  </si>
  <si>
    <t>11.1.03.06-0095</t>
  </si>
  <si>
    <t>Доски обрезные хвойных пород длиной: 4-6,5 м, шириной 75-150 мм, толщиной 44 мм и более, III сорта
(м3)</t>
  </si>
  <si>
    <t>0,74
-0,0155</t>
  </si>
  <si>
    <t>11.2.13.04-0011</t>
  </si>
  <si>
    <t>Щиты: из досок толщиной 25 мм
(м2)</t>
  </si>
  <si>
    <t>64,1
-1,346</t>
  </si>
  <si>
    <t>Объем=-2,1*1,015</t>
  </si>
  <si>
    <t>ФЕР09-01-005-04
Приказ Минстроя России от 30.12.2016 №1039/пр</t>
  </si>
  <si>
    <t>Колонны со связями (Шарнирные опоры для крайних секций)
(т)</t>
  </si>
  <si>
    <t>822,80
322,25</t>
  </si>
  <si>
    <t>-270
-30</t>
  </si>
  <si>
    <t>Объем=-4*172/1000</t>
  </si>
  <si>
    <t>Прил.9.3 п.2</t>
  </si>
  <si>
    <t>Монтаж конструктивных элементов по железобетонным и каменным опорам ОЗП=1,1; ТЗ=1,1</t>
  </si>
  <si>
    <t>1-4-5</t>
  </si>
  <si>
    <t>Затраты труда рабочих (ср 4,5)
(чел.час)</t>
  </si>
  <si>
    <t>31,1355
-21,42</t>
  </si>
  <si>
    <t>10,35
10,35</t>
  </si>
  <si>
    <t>3,255
-2,24</t>
  </si>
  <si>
    <t>0,21
-0,14</t>
  </si>
  <si>
    <t>-15,68
-1,89</t>
  </si>
  <si>
    <t>91.05.06-007</t>
  </si>
  <si>
    <t>Краны на гусеничном ходу, грузоподъемность 25 т
(маш.час)</t>
  </si>
  <si>
    <t>1,67
-1,15</t>
  </si>
  <si>
    <t>120,04
13,50</t>
  </si>
  <si>
    <t>-138,05
-15,53</t>
  </si>
  <si>
    <t>Домкраты гидравлические, грузоподъемность 63-100 т
(маш.час)</t>
  </si>
  <si>
    <t>0,09
-0,06</t>
  </si>
  <si>
    <t>0,90
0,00</t>
  </si>
  <si>
    <t>-0,05
0,00</t>
  </si>
  <si>
    <t>0,29
-0,2</t>
  </si>
  <si>
    <t>-13,14
-2,32</t>
  </si>
  <si>
    <t>Аппарат для газовой сварки и резки
(маш.час)</t>
  </si>
  <si>
    <t>2,24
-1,54</t>
  </si>
  <si>
    <t>1,20
0,00</t>
  </si>
  <si>
    <t>-1,85
0,00</t>
  </si>
  <si>
    <t>Преобразователи сварочные номинальным сварочным током 315-500 А
(маш.час)</t>
  </si>
  <si>
    <t>1,3
-0,89</t>
  </si>
  <si>
    <t>12,31
0,00</t>
  </si>
  <si>
    <t>-10,96
0,00</t>
  </si>
  <si>
    <t>Кислород технический: газообразный
(м3)</t>
  </si>
  <si>
    <t>1,95
-1,342</t>
  </si>
  <si>
    <t>Пропан-бутан, смесь техническая
(кг)</t>
  </si>
  <si>
    <t>0,59
-0,4059</t>
  </si>
  <si>
    <t>01.7.11.07-0035</t>
  </si>
  <si>
    <t>Электроды диаметром: 4 мм Э46
(т)</t>
  </si>
  <si>
    <t>0,001
-0,0007</t>
  </si>
  <si>
    <t>01.7.15.03-0041</t>
  </si>
  <si>
    <t>Болты с гайками и шайбами строительные
(т)</t>
  </si>
  <si>
    <t>0,0022
-0,0015</t>
  </si>
  <si>
    <t>0,00001
0</t>
  </si>
  <si>
    <t>Канаты пеньковые пропитанные
(т)</t>
  </si>
  <si>
    <t>0,0001
-0,0001</t>
  </si>
  <si>
    <t>07.2.07.12-0020</t>
  </si>
  <si>
    <t>Отдельные конструктивные элементы зданий и сооружений с преобладанием: горячекатаных профилей, средняя масса сборочной единицы от 0,1 до 0,5 т
(т)</t>
  </si>
  <si>
    <t>0,0045
-0,0031</t>
  </si>
  <si>
    <t>07.2.07.13</t>
  </si>
  <si>
    <t>Конструкции стальные
(т)</t>
  </si>
  <si>
    <t>1
-0,688</t>
  </si>
  <si>
    <t>Канат двойной свивки типа ТК, конструкции 6х19(1+6+12)+1 о.с., оцинкованный из проволок марки В, маркировочная группа: 1770 н/мм2, диаметром 5,5 мм
(10 м)</t>
  </si>
  <si>
    <t>0,0187
-0,0129</t>
  </si>
  <si>
    <t>0,00003
0</t>
  </si>
  <si>
    <t>08.3.11.01-0091</t>
  </si>
  <si>
    <t>Швеллеры № 40 из стали марки: Ст0
(т)</t>
  </si>
  <si>
    <t>0,00194
-0,0013</t>
  </si>
  <si>
    <t>11.1.03.01-0077</t>
  </si>
  <si>
    <t>Бруски обрезные хвойных пород длиной: 4-6,5 м, шириной 75-150 мм, толщиной 40-75 мм, I сорта
(м3)</t>
  </si>
  <si>
    <t>0,00103
-0,0007</t>
  </si>
  <si>
    <t>Грунтовка: ГФ-021 красно-коричневая
(т)</t>
  </si>
  <si>
    <t>0,00031
-0,0002</t>
  </si>
  <si>
    <t>14.5.09.07-0029</t>
  </si>
  <si>
    <t>Растворитель марки: Р-4
(т)</t>
  </si>
  <si>
    <t>0,0006
-0,0004</t>
  </si>
  <si>
    <t>Колонны со связями (Шарнирные опоры внутренних секций)
(т)</t>
  </si>
  <si>
    <t>-377
-41</t>
  </si>
  <si>
    <t>Объем=-8*120/1000</t>
  </si>
  <si>
    <t>31,1355
-29,89</t>
  </si>
  <si>
    <t>3,255
-3,12</t>
  </si>
  <si>
    <t>0,21
-0,2</t>
  </si>
  <si>
    <t>-22,40
-2,70</t>
  </si>
  <si>
    <t>1,67
-1,6</t>
  </si>
  <si>
    <t>-192,06
-21,60</t>
  </si>
  <si>
    <t>0,09
-0,09</t>
  </si>
  <si>
    <t>-0,08
0,00</t>
  </si>
  <si>
    <t>0,29
-0,28</t>
  </si>
  <si>
    <t>-18,40
-3,25</t>
  </si>
  <si>
    <t>2,24
-2,15</t>
  </si>
  <si>
    <t>-2,58
0,00</t>
  </si>
  <si>
    <t>1,3
-1,25</t>
  </si>
  <si>
    <t>-15,39
0,00</t>
  </si>
  <si>
    <t>1,95
-1,872</t>
  </si>
  <si>
    <t>0,59
-0,5664</t>
  </si>
  <si>
    <t>0,001
-0,001</t>
  </si>
  <si>
    <t>0,0022
-0,0021</t>
  </si>
  <si>
    <t>0,0045
-0,0043</t>
  </si>
  <si>
    <t>1
-0,96</t>
  </si>
  <si>
    <t>0,0187
-0,018</t>
  </si>
  <si>
    <t>0,00194
-0,0019</t>
  </si>
  <si>
    <t>0,00103
-0,001</t>
  </si>
  <si>
    <t>0,00031
-0,0003</t>
  </si>
  <si>
    <t>0,0006
-0,0006</t>
  </si>
  <si>
    <t>ФЕР09-03-001-01
Приказ Минстроя России от 30.12.2016 №1039/пр</t>
  </si>
  <si>
    <t>Монтаж опорных плит с обработанной поверхностью массой: до 0,1 т
(т)</t>
  </si>
  <si>
    <t>2 223,43
364,45</t>
  </si>
  <si>
    <t>1 528,74
170,40</t>
  </si>
  <si>
    <t>-248
-28</t>
  </si>
  <si>
    <t>Объем=-12*13,5/1000</t>
  </si>
  <si>
    <t>1-4-0</t>
  </si>
  <si>
    <t>Затраты труда рабочих (ср 4)
(чел.час)</t>
  </si>
  <si>
    <t>37,884
-6,14</t>
  </si>
  <si>
    <t>9,62
9,62</t>
  </si>
  <si>
    <t>12,66
-2,05</t>
  </si>
  <si>
    <t>Краны козловые, грузоподъемность 32 т
(маш.час)</t>
  </si>
  <si>
    <t>0,11
-0,02</t>
  </si>
  <si>
    <t>120,24
15,42</t>
  </si>
  <si>
    <t>-2,40
-0,31</t>
  </si>
  <si>
    <t>0,2
-0,03</t>
  </si>
  <si>
    <t>-3,36
-0,41</t>
  </si>
  <si>
    <t>7,84
-1,27</t>
  </si>
  <si>
    <t>-152,45
-17,15</t>
  </si>
  <si>
    <t>0,29
-0,05</t>
  </si>
  <si>
    <t>-3,29
-0,58</t>
  </si>
  <si>
    <t>3,36
-0,54</t>
  </si>
  <si>
    <t>-0,65
0,00</t>
  </si>
  <si>
    <t>1,57
-0,25</t>
  </si>
  <si>
    <t>-3,08
0,00</t>
  </si>
  <si>
    <t>3
-0,486</t>
  </si>
  <si>
    <t>0,9
-0,1458</t>
  </si>
  <si>
    <t>01.7.11.07-0032</t>
  </si>
  <si>
    <t>Электроды диаметром: 4 мм Э42
(т)</t>
  </si>
  <si>
    <t>0,007
-0,0011</t>
  </si>
  <si>
    <t>0,009
-0,0015</t>
  </si>
  <si>
    <t>0,0001
0</t>
  </si>
  <si>
    <t>1
-0,162</t>
  </si>
  <si>
    <t>08.1.02.11-0001</t>
  </si>
  <si>
    <t>Поковки из квадратных заготовок, масса: 1,8 кг
(т)</t>
  </si>
  <si>
    <t>0,021
-0,0034</t>
  </si>
  <si>
    <t>0,0187
-0,003</t>
  </si>
  <si>
    <t>0,00194
-0,0003</t>
  </si>
  <si>
    <t>0,00103
-0,0002</t>
  </si>
  <si>
    <t>0,00031
-0,0001</t>
  </si>
  <si>
    <t>0,0006
-0,0001</t>
  </si>
  <si>
    <t>1,395
-22,32</t>
  </si>
  <si>
    <t>0,15
-2,4</t>
  </si>
  <si>
    <t>Закрепление расчалок (оттяжек) длиной до 50 м внизу, диаметр каната свыше 18 до 20 мм (Устройство фиксирующих канатов крайних стоек)
(шт)</t>
  </si>
  <si>
    <t>-188
-23</t>
  </si>
  <si>
    <t>1,635
-6,54</t>
  </si>
  <si>
    <t>0,42
-1,68</t>
  </si>
  <si>
    <t>0,28
-1,12</t>
  </si>
  <si>
    <t>-125,43
-15,12</t>
  </si>
  <si>
    <t>0,18
-0,72</t>
  </si>
  <si>
    <t>Закрепление расчалок (оттяжек) длиной до 50 м внизу, диаметр каната свыше 18 до 20 мм (Устройство фиксирующих канатов внутренних стоек)
(шт)</t>
  </si>
  <si>
    <t>ФЕР01-02-098-02
Приказ Минстроя России от 30.12.2016 №1039/пр</t>
  </si>
  <si>
    <t>Устройство тросово-сетчатого ограждения, тип склона: средней крутизны
(м2)</t>
  </si>
  <si>
    <t>Объем=-(8*14+4*12)</t>
  </si>
  <si>
    <t>17,92 = 70,46 - 2,023 x 25,97</t>
  </si>
  <si>
    <t>2,61
-417,6</t>
  </si>
  <si>
    <t>04.3.01.09</t>
  </si>
  <si>
    <t>Раствор цементный
(м3)</t>
  </si>
  <si>
    <t>0
0</t>
  </si>
  <si>
    <t>Уд</t>
  </si>
  <si>
    <t>08.1.02.17-0001</t>
  </si>
  <si>
    <t>Сетка «Рабица» из проволоки диаметром 1,6 без покрытия, 45х45 мм
(м2)</t>
  </si>
  <si>
    <t>2,023
-323,7</t>
  </si>
  <si>
    <t>08.3.03.06-0001</t>
  </si>
  <si>
    <t>Проволока вязальная
(кг)</t>
  </si>
  <si>
    <t>0,124
-19,84</t>
  </si>
  <si>
    <t>08.4.01.01</t>
  </si>
  <si>
    <t>Анкеры
(шт)</t>
  </si>
  <si>
    <t>0,36
-57,6</t>
  </si>
  <si>
    <t>20.1.01.14</t>
  </si>
  <si>
    <t>Зажимы тросовые
(шт)</t>
  </si>
  <si>
    <t>0,72
-115,2</t>
  </si>
  <si>
    <t>20.1.02.19</t>
  </si>
  <si>
    <t>Трос стальной
(м)</t>
  </si>
  <si>
    <t>1,32
-211,2</t>
  </si>
  <si>
    <t>21 389,84
175900,00/1,2/6,99*1,02</t>
  </si>
  <si>
    <t>Цена МАТ=175900,00/1,2/6,99*1,02</t>
  </si>
  <si>
    <t>ФЕР04-01-001-07
Приказ Минстроя России от 30.12.2016 №1039/пр</t>
  </si>
  <si>
    <t>Роторное бурение скважин с прямой промывкой станками с дизельным двигателем глубиной бурения до 50 м в грунтах группы: 7
(100 м)</t>
  </si>
  <si>
    <t>127 898,37
10 002,23</t>
  </si>
  <si>
    <t>117 515,55
5 608,33</t>
  </si>
  <si>
    <t>-167 812
-8 009</t>
  </si>
  <si>
    <t>Объем=-142,8 / 100</t>
  </si>
  <si>
    <t>Прил.4.3 п.3.1</t>
  </si>
  <si>
    <t>При роторном и ударно-канатном бурении и применении долот диаметром: до 125 мм ОЗП=0,8; ЭМ=0,8 к расх.; ЗПМ=0,8; МАТ=0,8 к расх.; ТЗ=0,8; ТЗМ=0,8</t>
  </si>
  <si>
    <t>Прил.4.3 п.3.4</t>
  </si>
  <si>
    <t>При вращательном бурении с углом наклона к горизонту, в градусах: до 45 ОЗП=1,22; ЭМ=1,22 к расх.; ЗПМ=1,22; ТЗ=1,22; ТЗМ=1,22</t>
  </si>
  <si>
    <t>Прил.4.3 п.3.5</t>
  </si>
  <si>
    <t>Бурение с подвесных лесов, подмостей, а также на склонах ОЗП=1,25; ЭМ=1,25 к расх.; ЗПМ=1,25; ТЗ=1,25; ТЗМ=1,25</t>
  </si>
  <si>
    <t>1039,7328
-1484,74</t>
  </si>
  <si>
    <t>437,6811
-625,01</t>
  </si>
  <si>
    <t>91.01.01-035</t>
  </si>
  <si>
    <t>Бульдозеры, мощность 79 кВт (108 л.с.)
(маш.час)</t>
  </si>
  <si>
    <t>2,928
-4,18</t>
  </si>
  <si>
    <t>79,07
13,50</t>
  </si>
  <si>
    <t>-330,51
-56,43</t>
  </si>
  <si>
    <t>91.01.05-106</t>
  </si>
  <si>
    <t>Экскаваторы одноковшовые дизельные на пневмоколесном ходу, емкость ковша 0,25 м3
(маш.час)</t>
  </si>
  <si>
    <t>3,9406
-5,63</t>
  </si>
  <si>
    <t>70,01
11,60</t>
  </si>
  <si>
    <t>-394,16
-65,31</t>
  </si>
  <si>
    <t>91.04.01-078</t>
  </si>
  <si>
    <t>Установки и агрегаты буровые на базе автомобилей для роторного бурения скважин на воду глубина бурения: до 500 м, грузоподъемность 12,5 т
(маш.час)</t>
  </si>
  <si>
    <t>222,4182
-317,61</t>
  </si>
  <si>
    <t>340,00
13,50</t>
  </si>
  <si>
    <t>-107 987,40
-4 287,74</t>
  </si>
  <si>
    <t>3,8674
-5,52</t>
  </si>
  <si>
    <t>-618,18
-74,52</t>
  </si>
  <si>
    <t>91.07.08-011</t>
  </si>
  <si>
    <t>Глиномешалки, 4 м3
(маш.час)</t>
  </si>
  <si>
    <t>52,8382
-75,45</t>
  </si>
  <si>
    <t>26,50
10,06</t>
  </si>
  <si>
    <t>-1 999,43
-759,03</t>
  </si>
  <si>
    <t>5,795
-8,28</t>
  </si>
  <si>
    <t>-544,08
-96,05</t>
  </si>
  <si>
    <t>01.4.01.03</t>
  </si>
  <si>
    <t>Долота трехшарошечные
(шт)</t>
  </si>
  <si>
    <t>3,576
-5,107</t>
  </si>
  <si>
    <t>23.3.01.06-0004</t>
  </si>
  <si>
    <t>Трубы бурильные из стали группы Д с высаженными внутрь концами и муфты к ним наружный диаметр: 89 мм, толщина стенки 7 мм
(м)</t>
  </si>
  <si>
    <t>2,072
-2,959</t>
  </si>
  <si>
    <t>23.3.01.07</t>
  </si>
  <si>
    <t>Трубы бурильные утяжеленные
(м)</t>
  </si>
  <si>
    <t>0,288
-0,4113</t>
  </si>
  <si>
    <t>999-9901</t>
  </si>
  <si>
    <t>МАТЕРИАЛЫ (см. техническую часть)</t>
  </si>
  <si>
    <t>ФЕР04-01-001-10
Приказ Минстроя России от 30.12.2016 №1039/пр</t>
  </si>
  <si>
    <t>Роторное бурение скважин с прямой промывкой станками с дизельным двигателем глубиной бурения до 50 м в грунтах группы: 10
(100 м)</t>
  </si>
  <si>
    <t>388 181,26
29 641,92</t>
  </si>
  <si>
    <t>357 349,10
15 147,13</t>
  </si>
  <si>
    <t>-90 052
-3 817</t>
  </si>
  <si>
    <t>Объем=-25,2 / 100</t>
  </si>
  <si>
    <t>3081,2808
-776,48</t>
  </si>
  <si>
    <t>1144,4088
-288,39</t>
  </si>
  <si>
    <t>2,928
-0,74</t>
  </si>
  <si>
    <t>-58,51
-9,99</t>
  </si>
  <si>
    <t>3,9406
-0,99</t>
  </si>
  <si>
    <t>-69,31
-11,48</t>
  </si>
  <si>
    <t>692,3866
-174,48</t>
  </si>
  <si>
    <t>-59 323,20
-2 355,48</t>
  </si>
  <si>
    <t>4,3432
-1,09</t>
  </si>
  <si>
    <t>-122,07
-14,72</t>
  </si>
  <si>
    <t>52,8382
-13,32</t>
  </si>
  <si>
    <t>-352,98
-134,00</t>
  </si>
  <si>
    <t>6,5026
-1,64</t>
  </si>
  <si>
    <t>-107,76
-19,02</t>
  </si>
  <si>
    <t>12,48
-3,145</t>
  </si>
  <si>
    <t>6,48
-1,633</t>
  </si>
  <si>
    <t>0,648
-0,1633</t>
  </si>
  <si>
    <t>ФССЦ-03.2.01.01-0003
Приказ Минстроя России от 30.12.2016 №1039/пр</t>
  </si>
  <si>
    <t>Объем=-21*8*30/1000</t>
  </si>
  <si>
    <t>ФССЦ-01.7.03.01-0001
Приказ Минстроя России от 30.12.2016 №1039/пр</t>
  </si>
  <si>
    <t>Объем=-округл(5,04*0,7;1)</t>
  </si>
  <si>
    <t>ФЕР05-03-001-07
Приказ Минстроя России от 30.12.2016 №1039/пр</t>
  </si>
  <si>
    <t>Цементация грунтов восходящим способом при поглощении цемента и песка: до 200 кг
(100 м)</t>
  </si>
  <si>
    <t>11 193,54
1 501,16</t>
  </si>
  <si>
    <t>6 523,94
908,39</t>
  </si>
  <si>
    <t>-10 960
-1 526</t>
  </si>
  <si>
    <t>Объем=(-21*8) / 100</t>
  </si>
  <si>
    <t>8 518,51 = 26 688,61 + (1,3 - 13) x 1 553,00</t>
  </si>
  <si>
    <t>156,045
-262,16</t>
  </si>
  <si>
    <t>67,38
-113,2</t>
  </si>
  <si>
    <t>91.04.01-076</t>
  </si>
  <si>
    <t>Установки и агрегаты буровые на базе автомобилей глубина бурения: до 200 м, грузоподъемность 2,5 т
(маш.час)</t>
  </si>
  <si>
    <t>7,21
-12,11</t>
  </si>
  <si>
    <t>179,46
13,50</t>
  </si>
  <si>
    <t>-2 173,26
-163,49</t>
  </si>
  <si>
    <t>0,19
-0,32</t>
  </si>
  <si>
    <t>-35,84
-4,32</t>
  </si>
  <si>
    <t>91.06.03-062</t>
  </si>
  <si>
    <t>Лебедки электрические тяговым усилием: до 31,39 кН (3,2 т)
(маш.час)</t>
  </si>
  <si>
    <t>3,74
-6,28</t>
  </si>
  <si>
    <t>6,90
0,00</t>
  </si>
  <si>
    <t>-43,33
0,00</t>
  </si>
  <si>
    <t>91.07.09-002</t>
  </si>
  <si>
    <t>Установки цементационные: автоматизированные 15 м3/ч
(маш.час)</t>
  </si>
  <si>
    <t>37,08
-62,29</t>
  </si>
  <si>
    <t>80,35
13,50</t>
  </si>
  <si>
    <t>-5 005,00
-840,92</t>
  </si>
  <si>
    <t>0,44
-0,74</t>
  </si>
  <si>
    <t>-48,63
-8,58</t>
  </si>
  <si>
    <t>01.7.07.29-0031</t>
  </si>
  <si>
    <t>Каболка
(т)</t>
  </si>
  <si>
    <t>0,00008
-0,0001</t>
  </si>
  <si>
    <t>0,002
-0,0034</t>
  </si>
  <si>
    <t>01.7.19.09-0024</t>
  </si>
  <si>
    <t>Рукава резинотканевые напорно-всасывающие для воды давлением 1 МПа (10 кгс/см2), диаметром: 32 мм
(м)</t>
  </si>
  <si>
    <t>1
-1,68</t>
  </si>
  <si>
    <t>02.3.01.02</t>
  </si>
  <si>
    <t>Песок
(м3)</t>
  </si>
  <si>
    <t>03.2.01.01-0001</t>
  </si>
  <si>
    <t>Портландцемент общестроительного назначения бездобавочный, марки: 400
(т)</t>
  </si>
  <si>
    <t>З</t>
  </si>
  <si>
    <t>11.1.03.01-0083</t>
  </si>
  <si>
    <t>Бруски обрезные хвойных пород длиной: 4-6,5 м, шириной 75-150 мм, толщиной 100, 125 мм, III сорта
(м3)</t>
  </si>
  <si>
    <t>1,3
-2,184</t>
  </si>
  <si>
    <t>13
-21,84</t>
  </si>
  <si>
    <t>18.3.01.01</t>
  </si>
  <si>
    <t>Головка нагнетателя
(кг)</t>
  </si>
  <si>
    <t>0,0222
-0,0373</t>
  </si>
  <si>
    <t>20.1.02.08-0001</t>
  </si>
  <si>
    <t>Ниппель диаметром 42 мм
(кг)</t>
  </si>
  <si>
    <t>0,8
-1,344</t>
  </si>
  <si>
    <t>20.1.02.08-0002</t>
  </si>
  <si>
    <t>Ниппель диаметром 57 мм
(кг)</t>
  </si>
  <si>
    <t>0,78
-1,31</t>
  </si>
  <si>
    <t>20.2.02.01-0021</t>
  </si>
  <si>
    <t>Втулки изолирующие текстолитовые
(1000 шт)</t>
  </si>
  <si>
    <t>0,2
-0,336</t>
  </si>
  <si>
    <t>23.1.01.07</t>
  </si>
  <si>
    <t>Компенсаторы давления
(кг)</t>
  </si>
  <si>
    <t>0,044
-0,0739</t>
  </si>
  <si>
    <t>23.1.02.07-0002</t>
  </si>
  <si>
    <t>Крепления для трубопроводов: кронштейны, планки, хомуты
(кг)</t>
  </si>
  <si>
    <t>3
-5,04</t>
  </si>
  <si>
    <t>23.3.01.02-0001</t>
  </si>
  <si>
    <t>Трубы бесшовные обсадные под сварку (бурильные) утяжеленные, наружный диаметр: 73 мм, толщина стенки 16 мм
(м)</t>
  </si>
  <si>
    <t>0,05
-0,084</t>
  </si>
  <si>
    <t>23.3.01.06-0001</t>
  </si>
  <si>
    <t>Трубы бурильные из стали группы Д с высаженными внутрь концами и муфты к ним наружный диаметр: 73 мм, толщина стенки 7 мм
(м)</t>
  </si>
  <si>
    <t>0,1
-0,168</t>
  </si>
  <si>
    <t>24.3.05.18</t>
  </si>
  <si>
    <t>Штуцер длиной 200 мм
(шт)</t>
  </si>
  <si>
    <t>0,95
-1,596</t>
  </si>
  <si>
    <t>Объем=-21*8*50/1000</t>
  </si>
  <si>
    <t>Объем=-округл(8,4*0,4;1)</t>
  </si>
  <si>
    <t>2 392,89
19678,04/1,2/6,99*1,02</t>
  </si>
  <si>
    <t>Объем=-1*8</t>
  </si>
  <si>
    <t>Цена МАТ=19678,04/1,2/6,99*1,02</t>
  </si>
  <si>
    <t>1 721,76
14158,98/1,2/6,99*1,02</t>
  </si>
  <si>
    <t>Объем=-6*8</t>
  </si>
  <si>
    <t>Цена МАТ=14158,98/1,2/6,99*1,02</t>
  </si>
  <si>
    <t>460,95
3790,61/1,2/6,99*1,02</t>
  </si>
  <si>
    <t>Объем=-13*8</t>
  </si>
  <si>
    <t>Цена МАТ=3790,61/1,2/6,99*1,02</t>
  </si>
  <si>
    <t>141,91
1167,04/1,2/6,99*1,02</t>
  </si>
  <si>
    <t>Цена МАТ=1167,04/1,2/6,99*1,02</t>
  </si>
  <si>
    <t>1 739,24
14302,66/1,2/6,99*1,02</t>
  </si>
  <si>
    <t>Цена МАТ=14302,66/1,2/6,99*1,02</t>
  </si>
  <si>
    <t>ФЕР04-02-007-01
Приказ Минстроя России от 30.12.2016 №1039/пр</t>
  </si>
  <si>
    <t>Резка обсадных труб наружным диаметром: до 168 мм (резка штанг по 1,5м)
(рез)</t>
  </si>
  <si>
    <t>-125
-20</t>
  </si>
  <si>
    <t>1-3-5</t>
  </si>
  <si>
    <t>Затраты труда рабочих (ср 3,5)
(чел.час)</t>
  </si>
  <si>
    <t>0,255
-14,28</t>
  </si>
  <si>
    <t>9,07
9,07</t>
  </si>
  <si>
    <t>0,03
-1,68</t>
  </si>
  <si>
    <t>0,02
-1,12</t>
  </si>
  <si>
    <t>-73,60
-12,99</t>
  </si>
  <si>
    <t>0,15
-8,4</t>
  </si>
  <si>
    <t>-10,08
0,00</t>
  </si>
  <si>
    <t>-95 893
-4 576</t>
  </si>
  <si>
    <t>Объем=-81,6 / 100</t>
  </si>
  <si>
    <t>1039,7328
-848,42</t>
  </si>
  <si>
    <t>437,6811
-357,15</t>
  </si>
  <si>
    <t>2,928
-2,39</t>
  </si>
  <si>
    <t>-188,98
-32,27</t>
  </si>
  <si>
    <t>3,9406
-3,22</t>
  </si>
  <si>
    <t>-225,43
-37,35</t>
  </si>
  <si>
    <t>222,4182
-181,49</t>
  </si>
  <si>
    <t>-61 706,60
-2 450,12</t>
  </si>
  <si>
    <t>3,8674
-3,16</t>
  </si>
  <si>
    <t>-353,89
-42,66</t>
  </si>
  <si>
    <t>52,8382
-43,12</t>
  </si>
  <si>
    <t>-1 142,68
-433,79</t>
  </si>
  <si>
    <t>5,795
-4,73</t>
  </si>
  <si>
    <t>-310,81
-54,87</t>
  </si>
  <si>
    <t>3,576
-2,918</t>
  </si>
  <si>
    <t>2,072
-1,691</t>
  </si>
  <si>
    <t>0,288
-0,235</t>
  </si>
  <si>
    <t>-51 458
-2 181</t>
  </si>
  <si>
    <t>Объем=-14,4 / 100</t>
  </si>
  <si>
    <t>3081,2808
-443,7</t>
  </si>
  <si>
    <t>1144,4088
-164,79</t>
  </si>
  <si>
    <t>2,928
-0,42</t>
  </si>
  <si>
    <t>-33,21
-5,67</t>
  </si>
  <si>
    <t>3,9406
-0,57</t>
  </si>
  <si>
    <t>-39,91
-6,61</t>
  </si>
  <si>
    <t>692,3866
-99,7</t>
  </si>
  <si>
    <t>-33 898,00
-1 345,95</t>
  </si>
  <si>
    <t>4,3432
-0,63</t>
  </si>
  <si>
    <t>-70,55
-8,51</t>
  </si>
  <si>
    <t>52,8382
-7,61</t>
  </si>
  <si>
    <t>-201,67
-76,56</t>
  </si>
  <si>
    <t>6,5026
-0,94</t>
  </si>
  <si>
    <t>-61,77
-10,90</t>
  </si>
  <si>
    <t>12,48
-1,797</t>
  </si>
  <si>
    <t>6,48
-0,9331</t>
  </si>
  <si>
    <t>0,648
-0,0933</t>
  </si>
  <si>
    <t>Объем=-24*4*30/1000</t>
  </si>
  <si>
    <t>Объем=-округл(2,88*0,7;1)</t>
  </si>
  <si>
    <t>-6 263
-872</t>
  </si>
  <si>
    <t>Объем=(-24*4) / 100</t>
  </si>
  <si>
    <t>156,045
-149,8</t>
  </si>
  <si>
    <t>67,38
-64,68</t>
  </si>
  <si>
    <t>7,21
-6,92</t>
  </si>
  <si>
    <t>-1 241,86
-93,42</t>
  </si>
  <si>
    <t>0,19
-0,18</t>
  </si>
  <si>
    <t>-20,16
-2,43</t>
  </si>
  <si>
    <t>3,74
-3,59</t>
  </si>
  <si>
    <t>-24,77
0,00</t>
  </si>
  <si>
    <t>37,08
-35,6</t>
  </si>
  <si>
    <t>-2 860,46
-480,60</t>
  </si>
  <si>
    <t>0,44
-0,42</t>
  </si>
  <si>
    <t>-27,60
-4,87</t>
  </si>
  <si>
    <t>0,002
-0,0019</t>
  </si>
  <si>
    <t>1,3
-1,248</t>
  </si>
  <si>
    <t>13
-12,48</t>
  </si>
  <si>
    <t>0,0222
-0,0213</t>
  </si>
  <si>
    <t>0,8
-0,768</t>
  </si>
  <si>
    <t>0,78
-0,7488</t>
  </si>
  <si>
    <t>0,2
-0,192</t>
  </si>
  <si>
    <t>0,044
-0,0422</t>
  </si>
  <si>
    <t>3
-2,88</t>
  </si>
  <si>
    <t>0,05
-0,048</t>
  </si>
  <si>
    <t>0,1
-0,096</t>
  </si>
  <si>
    <t>0,95
-0,912</t>
  </si>
  <si>
    <t>Объем=-24*4*50/1000</t>
  </si>
  <si>
    <t>Объем=-округл(4,8*0,4;1)</t>
  </si>
  <si>
    <t>Объем=-1*4</t>
  </si>
  <si>
    <t>Объем=-7*4</t>
  </si>
  <si>
    <t>Объем=-15*4</t>
  </si>
  <si>
    <t>-72
-11</t>
  </si>
  <si>
    <t>0,255
-8,16</t>
  </si>
  <si>
    <t>0,03
-0,96</t>
  </si>
  <si>
    <t>0,02
-0,64</t>
  </si>
  <si>
    <t>-42,05
-7,42</t>
  </si>
  <si>
    <t>0,15
-4,8</t>
  </si>
  <si>
    <t>-5,76
0,00</t>
  </si>
  <si>
    <t>-269 698
-12 871</t>
  </si>
  <si>
    <t>Объем=-229,5 / 100</t>
  </si>
  <si>
    <t>1039,7328
-2386,19</t>
  </si>
  <si>
    <t>437,6811
-1004,48</t>
  </si>
  <si>
    <t>2,928
-6,72</t>
  </si>
  <si>
    <t>-531,35
-90,72</t>
  </si>
  <si>
    <t>3,9406
-9,04</t>
  </si>
  <si>
    <t>-632,89
-104,86</t>
  </si>
  <si>
    <t>222,4182
-510,45</t>
  </si>
  <si>
    <t>-173 553,00
-6 891,08</t>
  </si>
  <si>
    <t>3,8674
-8,88</t>
  </si>
  <si>
    <t>-994,47
-119,88</t>
  </si>
  <si>
    <t>52,8382
-121,26</t>
  </si>
  <si>
    <t>-3 213,39
-1 219,88</t>
  </si>
  <si>
    <t>5,795
-13,3</t>
  </si>
  <si>
    <t>-873,94
-154,28</t>
  </si>
  <si>
    <t>3,576
-8,207</t>
  </si>
  <si>
    <t>2,072
-4,755</t>
  </si>
  <si>
    <t>0,288
-0,661</t>
  </si>
  <si>
    <t>-144 726
-6 135</t>
  </si>
  <si>
    <t>Объем=-40,5 / 100</t>
  </si>
  <si>
    <t>3081,2808
-1247,92</t>
  </si>
  <si>
    <t>1144,4088
-463,49</t>
  </si>
  <si>
    <t>2,928
-1,19</t>
  </si>
  <si>
    <t>-94,09
-16,07</t>
  </si>
  <si>
    <t>3,9406
-1,6</t>
  </si>
  <si>
    <t>-112,02
-18,56</t>
  </si>
  <si>
    <t>692,3866
-280,42</t>
  </si>
  <si>
    <t>-95 342,80
-3 785,67</t>
  </si>
  <si>
    <t>4,3432
-1,76</t>
  </si>
  <si>
    <t>-197,10
-23,76</t>
  </si>
  <si>
    <t>52,8382
-21,4</t>
  </si>
  <si>
    <t>-567,10
-215,28</t>
  </si>
  <si>
    <t>6,5026
-2,63</t>
  </si>
  <si>
    <t>-172,82
-30,51</t>
  </si>
  <si>
    <t>12,48
-5,054</t>
  </si>
  <si>
    <t>6,48
-2,624</t>
  </si>
  <si>
    <t>0,648
-0,2624</t>
  </si>
  <si>
    <t>Объем=-27*10*30/1000</t>
  </si>
  <si>
    <t>Объем=-округл(8,1*0,7;1)</t>
  </si>
  <si>
    <t>-17 615
-2 453</t>
  </si>
  <si>
    <t>Объем=(-27*10) / 100</t>
  </si>
  <si>
    <t>156,045
-421,32</t>
  </si>
  <si>
    <t>67,38
-181,93</t>
  </si>
  <si>
    <t>7,21
-19,47</t>
  </si>
  <si>
    <t>-3 494,09
-262,85</t>
  </si>
  <si>
    <t>0,19
-0,51</t>
  </si>
  <si>
    <t>-57,11
-6,89</t>
  </si>
  <si>
    <t>3,74
-10,1</t>
  </si>
  <si>
    <t>-69,69
0,00</t>
  </si>
  <si>
    <t>37,08
-100,12</t>
  </si>
  <si>
    <t>-8 044,64
-1 351,62</t>
  </si>
  <si>
    <t>0,44
-1,19</t>
  </si>
  <si>
    <t>-78,19
-13,80</t>
  </si>
  <si>
    <t>0,00008
-0,0002</t>
  </si>
  <si>
    <t>0,002
-0,0054</t>
  </si>
  <si>
    <t>1
-2,7</t>
  </si>
  <si>
    <t>1,3
-3,51</t>
  </si>
  <si>
    <t>13
-35,1</t>
  </si>
  <si>
    <t>0,0222
-0,0599</t>
  </si>
  <si>
    <t>0,8
-2,16</t>
  </si>
  <si>
    <t>0,78
-2,106</t>
  </si>
  <si>
    <t>0,2
-0,54</t>
  </si>
  <si>
    <t>0,044
-0,1188</t>
  </si>
  <si>
    <t>3
-8,1</t>
  </si>
  <si>
    <t>0,05
-0,135</t>
  </si>
  <si>
    <t>0,1
-0,27</t>
  </si>
  <si>
    <t>0,95
-2,565</t>
  </si>
  <si>
    <t>Объем=-27*10*50/1000</t>
  </si>
  <si>
    <t>Объем=-округл(13,5*0,4;1)</t>
  </si>
  <si>
    <t>Объем=-1*10</t>
  </si>
  <si>
    <t>Объем=-8*10</t>
  </si>
  <si>
    <t>Объем=-17*10</t>
  </si>
  <si>
    <t>-202
-32</t>
  </si>
  <si>
    <t>0,255
-22,95</t>
  </si>
  <si>
    <t>0,03
-2,7</t>
  </si>
  <si>
    <t>0,02
-1,8</t>
  </si>
  <si>
    <t>-118,28
-20,88</t>
  </si>
  <si>
    <t>0,15
-13,5</t>
  </si>
  <si>
    <t>-16,20
0,00</t>
  </si>
  <si>
    <t>-119 866
-5 720</t>
  </si>
  <si>
    <t>Объем=-102 / 100</t>
  </si>
  <si>
    <t>1039,7328
-1060,53</t>
  </si>
  <si>
    <t>437,6811
-446,43</t>
  </si>
  <si>
    <t>2,928
-2,99</t>
  </si>
  <si>
    <t>-236,42
-40,37</t>
  </si>
  <si>
    <t>3,9406
-4,02</t>
  </si>
  <si>
    <t>-281,44
-46,63</t>
  </si>
  <si>
    <t>222,4182
-226,87</t>
  </si>
  <si>
    <t>-77 135,80
-3 062,75</t>
  </si>
  <si>
    <t>3,8674
-3,94</t>
  </si>
  <si>
    <t>-441,24
-53,19</t>
  </si>
  <si>
    <t>52,8382
-53,89</t>
  </si>
  <si>
    <t>-1 428,09
-542,13</t>
  </si>
  <si>
    <t>5,795
-5,91</t>
  </si>
  <si>
    <t>-388,35
-68,56</t>
  </si>
  <si>
    <t>3,576
-3,648</t>
  </si>
  <si>
    <t>2,072
-2,113</t>
  </si>
  <si>
    <t>0,288
-0,2938</t>
  </si>
  <si>
    <t>-64 323
-2 726</t>
  </si>
  <si>
    <t>Объем=-18 / 100</t>
  </si>
  <si>
    <t>3081,2808
-554,63</t>
  </si>
  <si>
    <t>1144,4088
-205,99</t>
  </si>
  <si>
    <t>2,928
-0,53</t>
  </si>
  <si>
    <t>-41,91
-7,16</t>
  </si>
  <si>
    <t>3,9406
-0,71</t>
  </si>
  <si>
    <t>-49,71
-8,24</t>
  </si>
  <si>
    <t>692,3866
-124,63</t>
  </si>
  <si>
    <t>-42 374,20
-1 682,51</t>
  </si>
  <si>
    <t>4,3432
-0,78</t>
  </si>
  <si>
    <t>-87,35
-10,53</t>
  </si>
  <si>
    <t>52,8382
-9,51</t>
  </si>
  <si>
    <t>-252,02
-95,67</t>
  </si>
  <si>
    <t>6,5026
-1,17</t>
  </si>
  <si>
    <t>-76,88
-13,57</t>
  </si>
  <si>
    <t>12,48
-2,246</t>
  </si>
  <si>
    <t>6,48
-1,166</t>
  </si>
  <si>
    <t>0,648
-0,1166</t>
  </si>
  <si>
    <t>Объем=-30*4*30/1000</t>
  </si>
  <si>
    <t>Объем=-округл(3,6*0,7;1)</t>
  </si>
  <si>
    <t>-7 829
-1 090</t>
  </si>
  <si>
    <t>Объем=(-30*4) / 100</t>
  </si>
  <si>
    <t>156,045
-187,25</t>
  </si>
  <si>
    <t>67,38
-80,86</t>
  </si>
  <si>
    <t>7,21
-8,65</t>
  </si>
  <si>
    <t>-1 552,33
-116,78</t>
  </si>
  <si>
    <t>0,19
-0,23</t>
  </si>
  <si>
    <t>-25,76
-3,11</t>
  </si>
  <si>
    <t>3,74
-4,49</t>
  </si>
  <si>
    <t>-30,98
0,00</t>
  </si>
  <si>
    <t>37,08
-44,5</t>
  </si>
  <si>
    <t>-3 575,58
-600,75</t>
  </si>
  <si>
    <t>0,44
-0,53</t>
  </si>
  <si>
    <t>-34,83
-6,15</t>
  </si>
  <si>
    <t>0,002
-0,0024</t>
  </si>
  <si>
    <t>1
-1,2</t>
  </si>
  <si>
    <t>1,3
-1,56</t>
  </si>
  <si>
    <t>13
-15,6</t>
  </si>
  <si>
    <t>0,0222
-0,0266</t>
  </si>
  <si>
    <t>0,8
-0,96</t>
  </si>
  <si>
    <t>0,78
-0,936</t>
  </si>
  <si>
    <t>0,2
-0,24</t>
  </si>
  <si>
    <t>0,044
-0,0528</t>
  </si>
  <si>
    <t>3
-3,6</t>
  </si>
  <si>
    <t>0,05
-0,06</t>
  </si>
  <si>
    <t>0,1
-0,12</t>
  </si>
  <si>
    <t>0,95
-1,14</t>
  </si>
  <si>
    <t>Объем=-30*4*50/1000</t>
  </si>
  <si>
    <t>Объем=-округл(6*0,4;1)</t>
  </si>
  <si>
    <t>Объем=-9*4</t>
  </si>
  <si>
    <t>Объем=-19*4</t>
  </si>
  <si>
    <t>72</t>
  </si>
  <si>
    <t>0,255
-10,2</t>
  </si>
  <si>
    <t>0,03
-1,2</t>
  </si>
  <si>
    <t>0,02
-0,8</t>
  </si>
  <si>
    <t>-52,57
-9,28</t>
  </si>
  <si>
    <t>0,15
-6</t>
  </si>
  <si>
    <t>-7,20
0,00</t>
  </si>
  <si>
    <t>ФЕР01-02-096-02
Приказ Минстроя России от 30.12.2016 №1039/пр</t>
  </si>
  <si>
    <t>Оборка горных склонов, тип склона: средней крутизны
(м2)</t>
  </si>
  <si>
    <t>1-5-1</t>
  </si>
  <si>
    <t>Затраты труда рабочих (ср 5,1)
(чел.час)</t>
  </si>
  <si>
    <t>1,8
-6768</t>
  </si>
  <si>
    <t>11,27
11,27</t>
  </si>
  <si>
    <t>-1 049 259
-52 316</t>
  </si>
  <si>
    <t xml:space="preserve">      80% ФОТ (от -81043) (Поз. 8, 20, 74, 16-19)</t>
  </si>
  <si>
    <t xml:space="preserve">      87% ФОТ (от -15758) (Поз. 26, 39, 52, 65)</t>
  </si>
  <si>
    <t xml:space="preserve">      90% ФОТ (от -689) (Поз. 13-15)</t>
  </si>
  <si>
    <t xml:space="preserve">      105% ФОТ (от -225) (Поз. 9)</t>
  </si>
  <si>
    <t xml:space="preserve">      112% ФОТ (от -131296) (Поз. 22-23, 34-36, 47-49, 60-62, 73)</t>
  </si>
  <si>
    <t xml:space="preserve">      45% ФОТ (от -80481) (Поз. 8, 20, 74)</t>
  </si>
  <si>
    <t xml:space="preserve">      51% ФОТ (от -131296) (Поз. 22-23, 34-36, 47-49, 60-62, 73)</t>
  </si>
  <si>
    <t xml:space="preserve">      60% ФОТ (от -16320) (Поз. 26, 39, 52, 65, 16-19)</t>
  </si>
  <si>
    <t xml:space="preserve">      65% ФОТ (от -225) (Поз. 9)</t>
  </si>
  <si>
    <t xml:space="preserve">      85% ФОТ (от -689) (Поз. 13-15)</t>
  </si>
  <si>
    <t>Итоги по разделу 2 Зона защиты опоры Т03 :</t>
  </si>
  <si>
    <t xml:space="preserve">          Земляные работы, выполняемые по другим видам работ (подготовительным, сопутствующим, укрепительным):</t>
  </si>
  <si>
    <t xml:space="preserve">               Итого Поз. 8, 20, 74</t>
  </si>
  <si>
    <t xml:space="preserve">               Накладные расходы 80% ФОТ (от -80 481)</t>
  </si>
  <si>
    <t xml:space="preserve">               Сметная прибыль 45% ФОТ (от -80 481)</t>
  </si>
  <si>
    <t xml:space="preserve">          Бетонные и железобетонные монолитные конструкции в промышленном строительстве:</t>
  </si>
  <si>
    <t xml:space="preserve">               Итого Поз. 9</t>
  </si>
  <si>
    <t xml:space="preserve">               Накладные расходы 105% ФОТ (от -225)</t>
  </si>
  <si>
    <t xml:space="preserve">               Сметная прибыль 65% ФОТ (от -225)</t>
  </si>
  <si>
    <t xml:space="preserve">               Итого Поз. 10-12, 24-25, 27-28, 37-38, 40-41, 50-51, 53-54, 63-64, 66-67</t>
  </si>
  <si>
    <t xml:space="preserve">          Строительные металлические конструкции:</t>
  </si>
  <si>
    <t xml:space="preserve">               Итого Поз. 13-15</t>
  </si>
  <si>
    <t>-895
-99</t>
  </si>
  <si>
    <t xml:space="preserve">               Накладные расходы 90% ФОТ (от -689)</t>
  </si>
  <si>
    <t xml:space="preserve">               Сметная прибыль 85% ФОТ (от -689)</t>
  </si>
  <si>
    <t xml:space="preserve">          Материалы для строительных работ:</t>
  </si>
  <si>
    <t xml:space="preserve">               Итого Поз. 21, 29-33, 42-46, 55-59, 68-72</t>
  </si>
  <si>
    <t xml:space="preserve">          Скважины:</t>
  </si>
  <si>
    <t xml:space="preserve">               Итого Поз. 22-23, 34-36, 47-49, 60-62, 73</t>
  </si>
  <si>
    <t>-1 004 317
-46 112</t>
  </si>
  <si>
    <t xml:space="preserve">               Накладные расходы 112% ФОТ (от -131 296)</t>
  </si>
  <si>
    <t xml:space="preserve">               Сметная прибыль 51% ФОТ (от -131 296)</t>
  </si>
  <si>
    <t xml:space="preserve">          Закрепление грунтов:</t>
  </si>
  <si>
    <t xml:space="preserve">               Итого Поз. 26, 39, 52, 65</t>
  </si>
  <si>
    <t>-42 667
-5 941</t>
  </si>
  <si>
    <t xml:space="preserve">               Накладные расходы 87% ФОТ (от -15 758)</t>
  </si>
  <si>
    <t xml:space="preserve">               Сметная прибыль 60% ФОТ (от -15 758)</t>
  </si>
  <si>
    <t xml:space="preserve">               Итого Поз. 16-19</t>
  </si>
  <si>
    <t>-940
-113</t>
  </si>
  <si>
    <t xml:space="preserve">               Накладные расходы 80% ФОТ (от -562)</t>
  </si>
  <si>
    <t xml:space="preserve">               Сметная прибыль 60% ФОТ (от -562)</t>
  </si>
  <si>
    <t xml:space="preserve">  Итого по разделу 2 Зона защиты опоры Т03</t>
  </si>
  <si>
    <t>ФССЦ-02.2.05.04-0094
Приказ Минстроя России от 30.12.2016 №1039/пр</t>
  </si>
  <si>
    <t>Объем=-185*1,3</t>
  </si>
  <si>
    <t>ФЕР01-02-057-02
Приказ Минстроя России от 30.12.2016 №1039/пр</t>
  </si>
  <si>
    <t>Разработка грунта вручную в траншеях глубиной до 2 м без креплений с откосами, группа грунтов: 2
(100 м3)</t>
  </si>
  <si>
    <t>2 162,16
2 162,16</t>
  </si>
  <si>
    <t>Объем=(-895*0,03) / 100</t>
  </si>
  <si>
    <t>Прил.1.12 п.3.187</t>
  </si>
  <si>
    <t>Доработка вручную, зачистка дна и стенок с выкидкой грунта в котлованах и траншеях, разработанных механизированным способом ОЗП=1,2; ТЗ=1,2</t>
  </si>
  <si>
    <t>1-2-0</t>
  </si>
  <si>
    <t>Затраты труда рабочих (ср 2)
(чел.час)</t>
  </si>
  <si>
    <t>277,2
-74,43</t>
  </si>
  <si>
    <t>7,80
7,80</t>
  </si>
  <si>
    <t>ФЕР01-01-019-01
Приказ Минстроя России от 30.12.2016 №1039/пр</t>
  </si>
  <si>
    <t>Разработка грунта с погрузкой на автомобили-самосвалы в котлованах объемом до 1000 м3 экскаваторами с ковшом вместимостью 0,5 м3, группа грунтов: 1 - погрузка грунта разработанного вручную
(1000 м3)</t>
  </si>
  <si>
    <t>5 044,50
681,02</t>
  </si>
  <si>
    <t>-135
-18</t>
  </si>
  <si>
    <t>Объем=(-895*0,03) / 1000</t>
  </si>
  <si>
    <t>50,445
-1,35</t>
  </si>
  <si>
    <t>91.01.05-085</t>
  </si>
  <si>
    <t>Экскаваторы одноковшовые дизельные на гусеничном ходу, емкость ковша 0,5 м3
(маш.час)</t>
  </si>
  <si>
    <t>33,63
-0,9</t>
  </si>
  <si>
    <t>100,00
13,50</t>
  </si>
  <si>
    <t>-90,00
-12,15</t>
  </si>
  <si>
    <t>ФССЦпг-03-21-01-006
Приказ Минстроя России от 30.12.2016 №1039/пр</t>
  </si>
  <si>
    <t>Перевозка грузов автомобилями-самосвалами грузоподъемностью 10 т работающих вне карьера на расстояние: I класс груза до 6 км
(1 т груза)</t>
  </si>
  <si>
    <t>Объем=-56,27*2,06</t>
  </si>
  <si>
    <t>-1 463
-18</t>
  </si>
  <si>
    <t xml:space="preserve">      80% ФОТ (от -581) (Поз. 76)</t>
  </si>
  <si>
    <t xml:space="preserve">      95% ФОТ (от -18) (Поз. 77)</t>
  </si>
  <si>
    <t xml:space="preserve">      45% ФОТ (от -581) (Поз. 76)</t>
  </si>
  <si>
    <t xml:space="preserve">      50% ФОТ (от -18) (Поз. 77)</t>
  </si>
  <si>
    <t>Итоги по разделу 3 Работы по берегоукреплению ручья. Зона защиты опоры Т02 :</t>
  </si>
  <si>
    <t xml:space="preserve">     Материалы:</t>
  </si>
  <si>
    <t xml:space="preserve">          Итого Поз. 75</t>
  </si>
  <si>
    <t xml:space="preserve">     Земляные работы, выполняемые ручным способом:</t>
  </si>
  <si>
    <t xml:space="preserve">          Итого Поз. 76</t>
  </si>
  <si>
    <t xml:space="preserve">          Накладные расходы 80% ФОТ (от -581)</t>
  </si>
  <si>
    <t xml:space="preserve">          Сметная прибыль 45% ФОТ (от -581)</t>
  </si>
  <si>
    <t xml:space="preserve">          Итого c накладными и см. прибылью</t>
  </si>
  <si>
    <t xml:space="preserve">     Земляные работы, выполняемые механизированным способом:</t>
  </si>
  <si>
    <t xml:space="preserve">          Итого Поз. 77</t>
  </si>
  <si>
    <t xml:space="preserve">          Накладные расходы 95% ФОТ (от -18)</t>
  </si>
  <si>
    <t xml:space="preserve">          Сметная прибыль 50% ФОТ (от -18)</t>
  </si>
  <si>
    <t xml:space="preserve">     Перевозка грузов автотранспортом:</t>
  </si>
  <si>
    <t xml:space="preserve">          Итого Поз. 78</t>
  </si>
  <si>
    <t xml:space="preserve">  Итого по разделу 3 Работы по берегоукреплению ручья. Зона защиты опоры Т02</t>
  </si>
  <si>
    <t>-1 051 098
-52 379</t>
  </si>
  <si>
    <t xml:space="preserve">      80% ФОТ (от -82084) (Поз. 8, 20, 74, 76, 4-5, 16-19)</t>
  </si>
  <si>
    <t xml:space="preserve">      45% ФОТ (от -81062) (Поз. 8, 20, 74, 76)</t>
  </si>
  <si>
    <t xml:space="preserve">      60% ФОТ (от -16780) (Поз. 26, 39, 52, 65, 4-5, 16-19)</t>
  </si>
  <si>
    <t xml:space="preserve">               Итого Поз. 1-3, 6-7, 10-12, 24-25, 27-28, 37-38, 40-41, 50-51, 53-54, 63-64, 66-67, 75</t>
  </si>
  <si>
    <t xml:space="preserve">          Земляные работы, выполняемые ручным способом:</t>
  </si>
  <si>
    <t xml:space="preserve">               Итого Поз. 76</t>
  </si>
  <si>
    <t xml:space="preserve">               Накладные расходы 80% ФОТ (от -581)</t>
  </si>
  <si>
    <t xml:space="preserve">               Сметная прибыль 45% ФОТ (от -581)</t>
  </si>
  <si>
    <t xml:space="preserve">          Земляные работы, выполняемые механизированным способом:</t>
  </si>
  <si>
    <t xml:space="preserve">               Итого Поз. 77</t>
  </si>
  <si>
    <t xml:space="preserve">               Накладные расходы 95% ФОТ (от -18)</t>
  </si>
  <si>
    <t xml:space="preserve">               Сметная прибыль 50% ФОТ (от -18)</t>
  </si>
  <si>
    <t xml:space="preserve">          Перевозка грузов автотранспортом:</t>
  </si>
  <si>
    <t xml:space="preserve">               Итого Поз. 78</t>
  </si>
  <si>
    <t xml:space="preserve">               Итого Поз. 4-5, 16-19</t>
  </si>
  <si>
    <t>-1 316
-158</t>
  </si>
  <si>
    <t xml:space="preserve">               Накладные расходы 80% ФОТ (от -1 022)</t>
  </si>
  <si>
    <t xml:space="preserve">               Сметная прибыль 60% ФОТ (от -1 022)</t>
  </si>
  <si>
    <t>Составил:  ____________________________ Дубкова Л.В.</t>
  </si>
  <si>
    <t>Проверил:  ____________________________ Ярулина В.К.</t>
  </si>
  <si>
    <t>Приложение № 2</t>
  </si>
  <si>
    <t>Изменения в сметные нормы, федеральные единичные расценки и отдельные составляющие к ним, включенные в федеральный реестр сметных нормативов приказами Минстроя России от 26 декабря 2019 г. № 871/пр, 872/пр, 873/пр, 874/пр, 875/пр, 876/пр (в ред. приказов от 30.03.2020 № 171/пр, 172/пр, от 01.06.2020 № 294/пр, 295/пр, от 30.06.2020 № 352/пр, 353/пр, от 20.10.2020  № 635/пр, 636/пр, от 09.02.2021 № 50/пр, 51/пр, от 24.05.2021 № 320/пр, 321/пр, от 24.06.2021 № 407/пр, 408/пр, от 14.10.2021 № 745/пр, 746/пр), от 20.12.2021 № 961/пр, 962/пр)</t>
  </si>
  <si>
    <t xml:space="preserve">Реквизиты приказа Минстроя России об утверждении дополнений и изменений к сметным нормативам </t>
  </si>
  <si>
    <t>Реквизиты письма Минстроя России об индексах изменения сметной стоимости строительства,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 подготовленного  в соответствии  пунктом 85 Методики расчета индексов изменения сметной стоимости строительства, утвержденной  приказом Министерства строительства и жилищно-коммунального хозяйства Российской Федерации от 5 июня 2019 г. № 326/пр¹</t>
  </si>
  <si>
    <t>Реквизиты нормативного правового акта об утверждении оплаты труда, утверждаемый в соответствии с пунктом 22(1) Правилами мониторинга цен, утвержденными постановлением Правительства Российской Федерации от 23 декабря 2016 г. № 1452</t>
  </si>
  <si>
    <t>ЛОКАЛЬНЫЙ СМЕТНЫЙ РАСЧЕТ (СМЕТА) № 02-01-08-Д</t>
  </si>
  <si>
    <t>базисно-индексным</t>
  </si>
  <si>
    <t>Раздел №10. Подраздел ПД №7. ЭЛ2-2-ПИР-ИЗ, 02-01-08-6 ИЗ,  СВОР</t>
  </si>
  <si>
    <t xml:space="preserve">Составлен(а) в текущем (базисном) уровне цен </t>
  </si>
  <si>
    <t>01.01.2000г. с пересчетом в текущий уровень цен по состоянию на 2 квартал 2023 года (01.01.2000)</t>
  </si>
  <si>
    <t>(6482,87)</t>
  </si>
  <si>
    <t>(290,73)</t>
  </si>
  <si>
    <t>(0)</t>
  </si>
  <si>
    <t>чел.час.</t>
  </si>
  <si>
    <t>Сметная стоимость в базисном уровне цен (в текущем уровне цен (гр. 8) для ресурсов, отсутствующих в ФРСН), руб.</t>
  </si>
  <si>
    <t>Индексы</t>
  </si>
  <si>
    <t>Сметная стоимость в текущем уровне цен, руб.</t>
  </si>
  <si>
    <t>ФЕР01-02-094-01</t>
  </si>
  <si>
    <t>Рыхление гидромолотом на базе экскаватора скального грунта 6 группы</t>
  </si>
  <si>
    <t>100 м3</t>
  </si>
  <si>
    <t>в т.ч. ОТм</t>
  </si>
  <si>
    <t>ЗТм</t>
  </si>
  <si>
    <t>Итого по расценке</t>
  </si>
  <si>
    <t>Пр/812-001.4-1</t>
  </si>
  <si>
    <t>НР Земляные работы, выполняемые по другим видам работ (подготовительным, сопутствующим, укрепительным)</t>
  </si>
  <si>
    <t>Пр/774-001.4</t>
  </si>
  <si>
    <t>СП Земляные работы, выполняемые по другим видам работ (подготовительным, сопутствующим, укрепительным)</t>
  </si>
  <si>
    <t>ФЕР01-01-019-05</t>
  </si>
  <si>
    <t>Разработка грунта с погрузкой на автомобили-самосвалы в котлованах объемом до 1000 м3 экскаваторами с ковшом вместимостью 0,5 м3, группа грунтов: 5</t>
  </si>
  <si>
    <t>1000 м3</t>
  </si>
  <si>
    <t>Пр/812-001.1-1</t>
  </si>
  <si>
    <t>НР Земляные работы, выполняемые механизированным способом</t>
  </si>
  <si>
    <t>Пр/774-001.1</t>
  </si>
  <si>
    <t>СП Земляные работы, выполняемые механизированным способом</t>
  </si>
  <si>
    <t>ФССЦпг-03-21-01-001</t>
  </si>
  <si>
    <t>Перевозка грузов автомобилями-самосвалами грузоподъемностью 10 т работающих вне карьера на расстояние: I класс груза до 1 км (в отвал)</t>
  </si>
  <si>
    <t>1 т груза</t>
  </si>
  <si>
    <t>ФЕР01-01-016-04</t>
  </si>
  <si>
    <t>Работа на отвале, группа грунтов: 5-6</t>
  </si>
  <si>
    <t>ФЕР01-01-007-05</t>
  </si>
  <si>
    <t>Разработка грунта в отвал в котлованах объемом до 1000 м3 экскаваторами с ковшом вместимостью 0,5 (0,5-0,63) м3, группа грунтов: 5</t>
  </si>
  <si>
    <t>ФЕР06-01-001-01</t>
  </si>
  <si>
    <t>Устройство бетонной подготовки</t>
  </si>
  <si>
    <t>ОТ</t>
  </si>
  <si>
    <t>ЗТ</t>
  </si>
  <si>
    <t>Пр/812-006.0-1</t>
  </si>
  <si>
    <t>НР Бетонные и железобетонные монолитные конструкции и работы в строительстве</t>
  </si>
  <si>
    <t>Пр/774-006.0</t>
  </si>
  <si>
    <t>СП Бетонные и железобетонные монолитные конструкции и работы в строительстве</t>
  </si>
  <si>
    <t>ФССЦ-04.1.02.05-0003</t>
  </si>
  <si>
    <t>Смеси бетонные тяжелого бетона (БСТ), класс В7,5 (М100)</t>
  </si>
  <si>
    <t>ФЕР06-15-001-08</t>
  </si>
  <si>
    <t>Приготовление тяжелого бетона: на щебне класса В 7,5 (ЭЛ2-1-ПИП-ПОС стр.133)</t>
  </si>
  <si>
    <t>Пр/812-108.0-1</t>
  </si>
  <si>
    <t>НР Изготовление в построечных условиях материалов, полуфабрикатов, металлических и трубопроводных заготовок</t>
  </si>
  <si>
    <t>Пр/774-108.0</t>
  </si>
  <si>
    <t>СП Изготовление в построечных условиях материалов, полуфабрикатов, металлических и трубопроводных заготовок</t>
  </si>
  <si>
    <t>ФССЦ-02.3.01.02-1012</t>
  </si>
  <si>
    <t>Песок природный II класс, средний, круглые сита</t>
  </si>
  <si>
    <t>ФССЦ-02.2.05.04-1697</t>
  </si>
  <si>
    <t>Щебень М 800, фракция 10-20 мм, группа 2</t>
  </si>
  <si>
    <t>ФССЦ-03.2.01.05-0001</t>
  </si>
  <si>
    <t>Шлакопортландцемент общестроительного и специального назначения М300 ШПЦ (ЦЕМ III 22,5)</t>
  </si>
  <si>
    <t>ФЕР06-01-001-05</t>
  </si>
  <si>
    <t>Устройство железобетонных фундаментов общего назначения под колонны объемом: до 3 м3</t>
  </si>
  <si>
    <t>ФССЦ-04.1.02.05-0009</t>
  </si>
  <si>
    <t>Смеси бетонные тяжелого бетона (БСТ), класс В25 (М350)</t>
  </si>
  <si>
    <t>ФССЦ-08.4.03.02-0002</t>
  </si>
  <si>
    <t>Сталь арматурная, горячекатаная, гладкая, класс А-I, диаметр 8 мм</t>
  </si>
  <si>
    <t>ФССЦ-08.4.03.03-0006</t>
  </si>
  <si>
    <t>Сталь арматурная рифленая свариваемая, класс А500С, диаметр 16 мм</t>
  </si>
  <si>
    <t>ФЕР06-15-001-12</t>
  </si>
  <si>
    <t>Приготовление тяжелого бетона: на щебне класса В 25 (ЭЛ2-1-ПИП-ПОС стр.133)</t>
  </si>
  <si>
    <t>ФЕР08-01-003-07</t>
  </si>
  <si>
    <t>Гидроизоляция боковая обмазочная битумная в 2 слоя по выровненной поверхности бутовой кладки, кирпичу, бетону</t>
  </si>
  <si>
    <t>100 м2</t>
  </si>
  <si>
    <t>Пр/812-008.0-1</t>
  </si>
  <si>
    <t>НР Конструкции из кирпича и блоков</t>
  </si>
  <si>
    <t>Пр/774-008.0</t>
  </si>
  <si>
    <t>СП Конструкции из кирпича и блоков</t>
  </si>
  <si>
    <t>ФССЦ-01.2.03.03-0019</t>
  </si>
  <si>
    <t>Мастика битумная МБРГ-90 горячего применения</t>
  </si>
  <si>
    <t>ФССЦ-01.2.01.02-0051</t>
  </si>
  <si>
    <t>Битумы нефтяные строительные БН-50/50</t>
  </si>
  <si>
    <t>ФЕР01-01-037-02</t>
  </si>
  <si>
    <t>Засыпка траншей и котлованов предварительно разрыхленным скальным грунтом с перемещением до 10 м бульдозерами мощностью: 132 кВт (180 л.с.)</t>
  </si>
  <si>
    <t>ФЕР01-02-098-02</t>
  </si>
  <si>
    <t>Устройство тросово-сетчатого ограждения, тип склона: средней крутизны</t>
  </si>
  <si>
    <t>Сетка стальная плетеная из проволоки одинарная, диаметр проволоки 1,6 мм без покрытия, размер ячейки 45х45 мм</t>
  </si>
  <si>
    <t>ФЕР08-01-002-02</t>
  </si>
  <si>
    <t>Устройство основания под фундаменты: щебеночного</t>
  </si>
  <si>
    <t>ФССЦ-02.2.05.04-1822</t>
  </si>
  <si>
    <t>Щебень М 1000, фракция 40-80(70) мм, группа 2</t>
  </si>
  <si>
    <t>ФССЦ-02.2.05.04-1902</t>
  </si>
  <si>
    <t>Щебень М 1000, фракция 120-150 мм, группа 2</t>
  </si>
  <si>
    <t>Засыпка траншей и котлованов предварительно разрыхленным скальным грунтом с перемещением до 10 м бульдозерами мощностью: 132 кВт (180 л.с.) (прим.щебнем)</t>
  </si>
  <si>
    <t>Объем=23 / 1000</t>
  </si>
  <si>
    <t>Объем=23*1,1</t>
  </si>
  <si>
    <t xml:space="preserve">                    в том числе оплата труда машинистов (Отм)</t>
  </si>
  <si>
    <t xml:space="preserve">                         в том числе оплата труда машинистов (ОТм)</t>
  </si>
  <si>
    <t xml:space="preserve">          Отдельные виды работ и затрат, относимые на стоимость строительных работ</t>
  </si>
  <si>
    <t>ФЕР01-01-019-03</t>
  </si>
  <si>
    <t>Разработка грунта с погрузкой на автомобили-самосвалы в котлованах объемом до 1000 м3 экскаваторами с ковшом вместимостью 0,5 м3, группа грунтов: 3</t>
  </si>
  <si>
    <t>Перевозка грузов автомобилями-самосвалами грузоподъемностью 10 т работающих вне карьера на расстояние: I класс груза до 1 км (ПИР-ИГЭ1. доп. лист 38)</t>
  </si>
  <si>
    <t>Раздел 4. Устройство анкерного поля АП1</t>
  </si>
  <si>
    <t>Устройство грунтовых анкеров ГЕОКРЕП 40/16 L=18 м (28 шт.)</t>
  </si>
  <si>
    <t>ФЕР04-01-001-07</t>
  </si>
  <si>
    <t>Роторное бурение скважин с прямой промывкой станками с дизельным двигателем глубиной бурения до 50 м в грунтах группы: 7</t>
  </si>
  <si>
    <t>100 м</t>
  </si>
  <si>
    <t>Пр/812-004.0-1</t>
  </si>
  <si>
    <t>НР Скважины</t>
  </si>
  <si>
    <t>Пр/774-004.0</t>
  </si>
  <si>
    <t>СП Скважины</t>
  </si>
  <si>
    <t>ФЕР04-01-001-10</t>
  </si>
  <si>
    <t>Роторное бурение скважин с прямой промывкой станками с дизельным двигателем глубиной бурения до 50 м в грунтах группы: 10</t>
  </si>
  <si>
    <t>ФССЦ-01.4.03.06-0062</t>
  </si>
  <si>
    <t>Гайка стальная оцинкованная сферическая для винтовой штанги диаметром 40 мм, размер "под ключ" 65 мм, высота 50 мм</t>
  </si>
  <si>
    <t>ФССЦ-01.4.01.06-0011</t>
  </si>
  <si>
    <t>Коронки твердосплавные для колонкового бурения</t>
  </si>
  <si>
    <t>ТЦ_01.4.03.00_78_7811713686_29.04.2023_01</t>
  </si>
  <si>
    <t>Трубчатая Винтовая Штанга (ТВШ) «ГЕОКРЕП» 40/16, 3 м, оцинк.</t>
  </si>
  <si>
    <t>Цена=19701,55*1,02</t>
  </si>
  <si>
    <t>Трубчатая Винтовая Штанга (ТВШ) «ГЕОКРЕП» 40/16, 3 м, необр</t>
  </si>
  <si>
    <t>Цена=13721,29*1,02</t>
  </si>
  <si>
    <t>Центратор Ø88 мм, «ГЕОКРЕП» 40, необр.</t>
  </si>
  <si>
    <t>Цена=1251,18*1,02</t>
  </si>
  <si>
    <t>Шар стальной компенсационный ∅90мм</t>
  </si>
  <si>
    <t>Цена=2443,29*1,02</t>
  </si>
  <si>
    <t>Пластина стальная наклонная (220х220х40 мм , для шара Ø90 мм</t>
  </si>
  <si>
    <t>Цена=1800,4*1,02</t>
  </si>
  <si>
    <t>ЭЛ2-2-ПИР-ИЗ.ГЧ, лист 14 графич.части п.3 коментария</t>
  </si>
  <si>
    <t>ФЕР13-03-002-04</t>
  </si>
  <si>
    <t>Огрунтовка металлических поверхностей за один раз: грунтовкой ГФ-021</t>
  </si>
  <si>
    <t>Пр/812-013.0-1</t>
  </si>
  <si>
    <t>НР Защита строительных конструкций и оборудования от коррозии</t>
  </si>
  <si>
    <t>Пр/774-013.0</t>
  </si>
  <si>
    <t>СП Защита строительных конструкций и оборудования от коррозии</t>
  </si>
  <si>
    <t>ФЕР13-03-004-02</t>
  </si>
  <si>
    <t>Окраска металлических огрунтованных поверхностей: эмалью ХС-759</t>
  </si>
  <si>
    <t>ФССЦ-14.4.04.11-0011</t>
  </si>
  <si>
    <t>Эмаль ХС-759, белая</t>
  </si>
  <si>
    <t>ФССЦ-14.4.04.07-0010</t>
  </si>
  <si>
    <t>Эмаль нитроцеллюлозная НЦ-132, цветная</t>
  </si>
  <si>
    <t>ФЕР05-03-001-07</t>
  </si>
  <si>
    <t>Цементация грунтов восходящим способом при поглощении цемента и песка: до 200 кг</t>
  </si>
  <si>
    <t>Пр/812-005.3-1</t>
  </si>
  <si>
    <t>НР Закрепление грунтов</t>
  </si>
  <si>
    <t>Пр/774-005.3</t>
  </si>
  <si>
    <t>СП Закрепление грунтов</t>
  </si>
  <si>
    <t>ФССЦ-03.2.01.01-0003</t>
  </si>
  <si>
    <t>Портландцемент общестроительного назначения бездобавочный М500 Д0 (ЦЕМ I 42,5Н)</t>
  </si>
  <si>
    <t>ФССЦ-01.7.08.05-0005</t>
  </si>
  <si>
    <t>Добавка пластифицирующая к цементу</t>
  </si>
  <si>
    <t>ФССЦ-01.7.03.01-0001</t>
  </si>
  <si>
    <t>Вода</t>
  </si>
  <si>
    <t>ФЕР04-02-007-01</t>
  </si>
  <si>
    <t>Резка обсадных труб наружным диаметром: до 168 мм (резка штанг по 1,5м)</t>
  </si>
  <si>
    <t>рез</t>
  </si>
  <si>
    <t>Устройство анкерной плиты Пм-1 (28 шт.)</t>
  </si>
  <si>
    <t>ФССЦ-02.2.05.04-0094</t>
  </si>
  <si>
    <t>Щебень из природного камня для строительных работ марка: 800, фракция 20-80 (70) мм</t>
  </si>
  <si>
    <t>ФССЦ-08.4.03.03-0005</t>
  </si>
  <si>
    <t>Сталь арматурная рифленая свариваемая, класс А500С, диаметр 14 мм</t>
  </si>
  <si>
    <t>ФССЦ-08.4.03.03-0004</t>
  </si>
  <si>
    <t>Сталь арматурная рифленая свариваемая, класс А500С, диаметр 12 мм</t>
  </si>
  <si>
    <t>ФССЦ-23.3.03.02-0077</t>
  </si>
  <si>
    <t>Трубы стальные бесшовные горячедеформированные со снятой фаской из стали марок 15, 20, 35, наружный диаметр 108 мм, толщина стенки 5 мм</t>
  </si>
  <si>
    <t>м</t>
  </si>
  <si>
    <t>Итоги по разделу 4 Устройство анкерного поля АП1 :</t>
  </si>
  <si>
    <t xml:space="preserve">  Итого по разделу 4 Устройство анкерного поля АП1</t>
  </si>
  <si>
    <t xml:space="preserve">               материальные ресурсы, отсутствующие в ФРСН</t>
  </si>
  <si>
    <t>Раздел 5. Устройство анкерного поля АП2</t>
  </si>
  <si>
    <t>Устройство грунтовых анкеров ГЕОКРЕП 40/16 L=18 м (36 шт.)</t>
  </si>
  <si>
    <t>ФССЦ-01.4.03.06-0001</t>
  </si>
  <si>
    <t>Верхняки металлические шарниро-подвесные из взаимозаменяемых спецпрофилей (прим.Центратор необработанный Ø88 мм, «ГЕОКРЕП» 40, Шар стальной компенсационный ∅90мм,Пластина стальная наклонная (220х220х40 мм, для шара Ø90 мм, ɣ= 14,2 кг/шт.) без покрытия )</t>
  </si>
  <si>
    <t>Объем=(14,2*36+0,42*180+1,72*36)/1000</t>
  </si>
  <si>
    <t>Устройство анкерной плиты Пм-1 (36 шт.)</t>
  </si>
  <si>
    <t>Итоги по разделу 5 Устройство анкерного поля АП2 :</t>
  </si>
  <si>
    <t xml:space="preserve">  Итого по разделу 5 Устройство анкерного поля АП2</t>
  </si>
  <si>
    <t>Раздел 6. Траспортные расходы</t>
  </si>
  <si>
    <t>Перевозка инертных материалов автомобилями-самосвалами автомобилем г/п 15 т на расстояние L=26,4+5 км от села Верхний Баксан до стройплощадки, за исключением 30 км, учтенных в СНБ ,  I класс груза</t>
  </si>
  <si>
    <t>ФССЦпг-03-21-01-032</t>
  </si>
  <si>
    <t>Перевозка грузов автомобилями-самосвалами грузоподъемностью 10 т работающих вне карьера на расстояние: I класс груза до 32 км</t>
  </si>
  <si>
    <t>ФССЦпг-03-21-01-030</t>
  </si>
  <si>
    <t>Перевозка грузов автомобилями-самосвалами грузоподъемностью 10 т работающих вне карьера на расстояние: I класс груза до 30 км</t>
  </si>
  <si>
    <t>Перевозка материалов автомобилями-самосвалами автомобилем г/п 15 т на расстояние 145 км , за исключением 30 км, учтенных в СНБ</t>
  </si>
  <si>
    <t>ФССЦпг-03-01-01-145</t>
  </si>
  <si>
    <t>Перевозка грузов I класса автомобилями бортовыми грузоподъемностью до 15 т на расстояние до 145 км</t>
  </si>
  <si>
    <t>ФССЦпг-03-01-01-030</t>
  </si>
  <si>
    <t>Перевозка грузов автомобилями бортовыми грузоподъемностью до 15 т на расстояние: I класс груза до 30 км</t>
  </si>
  <si>
    <t>Перевозка материалов (арматура, трубы, металлопрокат) автомобилями-самосвалами автомобилем г/п 15 т на расстояние 145 км , за исключением 30 км, учтенных в СНБ</t>
  </si>
  <si>
    <t>Итоги по разделу 6 Траспортные расходы :</t>
  </si>
  <si>
    <t xml:space="preserve">  Итого по разделу 6 Траспортные расходы</t>
  </si>
  <si>
    <t>(Соболева Г.В.)</t>
  </si>
  <si>
    <t>ГИП</t>
  </si>
  <si>
    <t>(Орлов А.Л.)</t>
  </si>
  <si>
    <t>¹ Зарегистрирован Министерством юстиции Российской Федерации 10 сентября 2019 г., регистрационный № 55869), с изменениями, внесенными приказом Министерства строительства и жилищно-коммунального хозяйства Российской Федерации от 20 февраля 2021 г. № 79/пр (зарегистрирован Министерством юстиции Российской Федерации 9 августа 2021 г., регистрационный № 64577)</t>
  </si>
  <si>
    <t>Аналог -"Всесезонный туристско-рекреационный комплекс "Эльбрус", Кабардино-Балкарская Республика. Пассажирская подвесная канатная дорога EL6" (по повторной экспертизе), ЛСР № 02-01-08 + 02-01-08-И (в ценах 4 кв. 2019) + 02-01-08-Д (в ценах 2 кв.2023), раздел 1 снегоудерживающие барьеры SPIDER Avalanche Dk 3.5 N 3.2  протяженностью 128,5 п.м.</t>
  </si>
  <si>
    <t>1. Письмо Министерства экономического развития РФ от 20 июня 2016 г. N Д28и-1655 "О разъяснениях, связанных с применением постановления Правительства Российской Федерации от 14 марта 2016 г. N 191"</t>
  </si>
  <si>
    <t>2. Письмо Минэкономразвития России (Министерства экономического развития РФ) от 03 октября 2018 г. №28438-АТ/Д03и</t>
  </si>
  <si>
    <t>3. Письмо Министерства экономического развития РФ от 1 октября 2019 г. N 33198-ПБ/Д03и “О применении показателей прогноза социально-экономического развития Российской Федерации в целях ценообразования на продукцию, поставляемую по государственному оборонному заказу”</t>
  </si>
  <si>
    <t>4. Письмо Министерства экономического развития РФ от 30 сентября 2020 г. N 32028-ПК/Д03и “О применении показателей прогноза социально-экономического развития Российской Федерации в целях ценообразования на продукцию, поставляемую по государственному оборонному заказу”</t>
  </si>
  <si>
    <t>5. Письмо Министерства экономического развития РФ от 5 октября 2021 г. N 33918-ПК/Д03и “О применении показателей прогноза социально-экономического развития Российской Федерации в целях ценообразования на продукцию, поставляемую по государственному оборонному заказу”</t>
  </si>
  <si>
    <t>6. Письмо Министерства экономического развития РФ от 28 сентября 2022 г. N 36804-ПК/Д03и “О применении показателей прогноза социально-экономического развития Российской Федерации в целях ценообразования на продукцию, поставляемую по государственному оборонному заказу”</t>
  </si>
  <si>
    <t>7. Письмо Министерства экономического развития РФ от 28 сентября 2023 г. N 35312-ПК/Д03и “О применении показателей прогноза социально-экономического развития Российской Федерации в целях ценообразования на продукцию, поставляемую по государственному оборонному заказу”</t>
  </si>
  <si>
    <t>ЛОКАЛЬНАЯ СМЕТА № 02-01-08</t>
  </si>
  <si>
    <t>Раздел ПД №10. Подраздел ПД №6. ЭЛ2-2-ПИР-ВОР_Изм6, Раздел ПД №10. Подраздел ПД №10. Часть 1. ЭЛ2-2-ПИР-СС1_Изм3</t>
  </si>
  <si>
    <t>01.01.2000г.</t>
  </si>
  <si>
    <t>1 020
107</t>
  </si>
  <si>
    <t>Объем=5,95 / 100</t>
  </si>
  <si>
    <t>Накладные расходы 80% ФОТ (от 612)</t>
  </si>
  <si>
    <t>Сметная прибыль 45% ФОТ (от 612)</t>
  </si>
  <si>
    <t>Итого c накладными и см. прибылью</t>
  </si>
  <si>
    <t>1038,78
61,81</t>
  </si>
  <si>
    <t>178,35
10,61</t>
  </si>
  <si>
    <t>118,9
7,07</t>
  </si>
  <si>
    <t>636,30
71,12</t>
  </si>
  <si>
    <t>475,6
28,3</t>
  </si>
  <si>
    <t>43,30
0,00</t>
  </si>
  <si>
    <t>Объем=(0,5*0,5*0,5*35) / 100</t>
  </si>
  <si>
    <t>Накладные расходы 105% ФОТ (от 468)</t>
  </si>
  <si>
    <t>Сметная прибыль 65% ФОТ (от 468)</t>
  </si>
  <si>
    <t>1178,82
51,57</t>
  </si>
  <si>
    <t>48,435
2,12</t>
  </si>
  <si>
    <t>30,35
1,33</t>
  </si>
  <si>
    <t>114,91
17,96</t>
  </si>
  <si>
    <t>0,68
0,03</t>
  </si>
  <si>
    <t>3,36
0,41</t>
  </si>
  <si>
    <t>0,27
0,01</t>
  </si>
  <si>
    <t>0,90
0,10</t>
  </si>
  <si>
    <t>37,72
1,65</t>
  </si>
  <si>
    <t>3,14
0,00</t>
  </si>
  <si>
    <t>0,99
0,04</t>
  </si>
  <si>
    <t>2,63
0,46</t>
  </si>
  <si>
    <t>0,441
0,0193</t>
  </si>
  <si>
    <t>153
6,694</t>
  </si>
  <si>
    <t>0,0238
0,001</t>
  </si>
  <si>
    <t>0,027
0,0012</t>
  </si>
  <si>
    <t>101,5
4,441</t>
  </si>
  <si>
    <t>0,0061
0,0003</t>
  </si>
  <si>
    <t>0,0375
0,0016</t>
  </si>
  <si>
    <t>4,5
0,1969</t>
  </si>
  <si>
    <t>0,74
0,0324</t>
  </si>
  <si>
    <t>64,1
2,804</t>
  </si>
  <si>
    <t>Объем=4,375*1,015</t>
  </si>
  <si>
    <t>Объем=8*172/1000</t>
  </si>
  <si>
    <t>Накладные расходы 90% ФОТ (от 502)</t>
  </si>
  <si>
    <t>Сметная прибыль 85% ФОТ (от 502)</t>
  </si>
  <si>
    <t>31,1355
42,84</t>
  </si>
  <si>
    <t>3,255
4,48</t>
  </si>
  <si>
    <t>0,21
0,29</t>
  </si>
  <si>
    <t>32,48
3,92</t>
  </si>
  <si>
    <t>1,67
2,3</t>
  </si>
  <si>
    <t>276,09
31,05</t>
  </si>
  <si>
    <t>0,09
0,12</t>
  </si>
  <si>
    <t>0,11
0,00</t>
  </si>
  <si>
    <t>0,29
0,4</t>
  </si>
  <si>
    <t>26,28
4,64</t>
  </si>
  <si>
    <t>2,24
3,08</t>
  </si>
  <si>
    <t>3,70
0,00</t>
  </si>
  <si>
    <t>1,3
1,79</t>
  </si>
  <si>
    <t>22,03
0,00</t>
  </si>
  <si>
    <t>1,95
2,683</t>
  </si>
  <si>
    <t>0,59
0,8118</t>
  </si>
  <si>
    <t>0,001
0,0014</t>
  </si>
  <si>
    <t>0,0022
0,003</t>
  </si>
  <si>
    <t>0,0001
0,0001</t>
  </si>
  <si>
    <t>0,0045
0,0062</t>
  </si>
  <si>
    <t>1
1,376</t>
  </si>
  <si>
    <t>0,0187
0,0257</t>
  </si>
  <si>
    <t>0,00194
0,0027</t>
  </si>
  <si>
    <t>0,00103
0,0014</t>
  </si>
  <si>
    <t>0,00031
0,0004</t>
  </si>
  <si>
    <t>0,0006
0,0008</t>
  </si>
  <si>
    <t>1 272
140</t>
  </si>
  <si>
    <t>Объем=27*120/1000</t>
  </si>
  <si>
    <t>Накладные расходы 90% ФОТ (от 1 184)</t>
  </si>
  <si>
    <t>Сметная прибыль 85% ФОТ (от 1 184)</t>
  </si>
  <si>
    <t>31,1355
100,88</t>
  </si>
  <si>
    <t>3,255
10,55</t>
  </si>
  <si>
    <t>0,21
0,68</t>
  </si>
  <si>
    <t>76,15
9,18</t>
  </si>
  <si>
    <t>1,67
5,41</t>
  </si>
  <si>
    <t>649,42
73,04</t>
  </si>
  <si>
    <t>0,09
0,29</t>
  </si>
  <si>
    <t>0,26
0,00</t>
  </si>
  <si>
    <t>0,29
0,94</t>
  </si>
  <si>
    <t>61,77
10,90</t>
  </si>
  <si>
    <t>2,24
7,26</t>
  </si>
  <si>
    <t>8,71
0,00</t>
  </si>
  <si>
    <t>1,3
4,21</t>
  </si>
  <si>
    <t>51,83
0,00</t>
  </si>
  <si>
    <t>1,95
6,318</t>
  </si>
  <si>
    <t>0,59
1,912</t>
  </si>
  <si>
    <t>0,001
0,0032</t>
  </si>
  <si>
    <t>0,0022
0,0071</t>
  </si>
  <si>
    <t>0,0001
0,0003</t>
  </si>
  <si>
    <t>0,0045
0,0146</t>
  </si>
  <si>
    <t>1
3,24</t>
  </si>
  <si>
    <t>0,0187
0,0606</t>
  </si>
  <si>
    <t>0,00003
0,0001</t>
  </si>
  <si>
    <t>0,00194
0,0063</t>
  </si>
  <si>
    <t>0,00103
0,0033</t>
  </si>
  <si>
    <t>0,00031
0,001</t>
  </si>
  <si>
    <t>0,0006
0,0019</t>
  </si>
  <si>
    <t>Объем=35*13,5/1000</t>
  </si>
  <si>
    <t>Накладные расходы 90% ФОТ (от 253)</t>
  </si>
  <si>
    <t>Сметная прибыль 85% ФОТ (от 253)</t>
  </si>
  <si>
    <t>37,884
17,9</t>
  </si>
  <si>
    <t>12,66
5,98</t>
  </si>
  <si>
    <t>0,11
0,05</t>
  </si>
  <si>
    <t>6,01
0,77</t>
  </si>
  <si>
    <t>0,2
0,09</t>
  </si>
  <si>
    <t>10,08
1,22</t>
  </si>
  <si>
    <t>7,84
3,7</t>
  </si>
  <si>
    <t>444,15
49,95</t>
  </si>
  <si>
    <t>0,29
0,14</t>
  </si>
  <si>
    <t>9,20
1,62</t>
  </si>
  <si>
    <t>3,36
1,59</t>
  </si>
  <si>
    <t>1,91
0,00</t>
  </si>
  <si>
    <t>1,57
0,74</t>
  </si>
  <si>
    <t>9,11
0,00</t>
  </si>
  <si>
    <t>3
1,418</t>
  </si>
  <si>
    <t>0,9
0,4253</t>
  </si>
  <si>
    <t>0,007
0,0033</t>
  </si>
  <si>
    <t>0,009
0,0043</t>
  </si>
  <si>
    <t>1
0,4725</t>
  </si>
  <si>
    <t>0,021
0,0099</t>
  </si>
  <si>
    <t>0,0187
0,0088</t>
  </si>
  <si>
    <t>0,00194
0,0009</t>
  </si>
  <si>
    <t>0,00103
0,0005</t>
  </si>
  <si>
    <t>0,00031
0,0001</t>
  </si>
  <si>
    <t>0,0006
0,0003</t>
  </si>
  <si>
    <t>Объем=2*8</t>
  </si>
  <si>
    <t>Накладные расходы 80% ФОТ (от 305)</t>
  </si>
  <si>
    <t>Сметная прибыль 60% ФОТ (от 305)</t>
  </si>
  <si>
    <t>1,635
26,16</t>
  </si>
  <si>
    <t>0,42
6,72</t>
  </si>
  <si>
    <t>0,28
4,48</t>
  </si>
  <si>
    <t>501,72
60,48</t>
  </si>
  <si>
    <t>0,18
2,88</t>
  </si>
  <si>
    <t>Объем=2*27</t>
  </si>
  <si>
    <t>Накладные расходы 80% ФОТ (от 616)</t>
  </si>
  <si>
    <t>Сметная прибыль 60% ФОТ (от 616)</t>
  </si>
  <si>
    <t>1,395
75,33</t>
  </si>
  <si>
    <t>0,15
8,1</t>
  </si>
  <si>
    <t>Накладные расходы 80% ФОТ (от 152)</t>
  </si>
  <si>
    <t>Сметная прибыль 60% ФОТ (от 152)</t>
  </si>
  <si>
    <t>1,635
13,08</t>
  </si>
  <si>
    <t>0,42
3,36</t>
  </si>
  <si>
    <t>0,28
2,24</t>
  </si>
  <si>
    <t>250,86
30,24</t>
  </si>
  <si>
    <t>0,18
1,44</t>
  </si>
  <si>
    <t>1 270
153</t>
  </si>
  <si>
    <t>Накладные расходы 80% ФОТ (от 514)</t>
  </si>
  <si>
    <t>Сметная прибыль 60% ФОТ (от 514)</t>
  </si>
  <si>
    <t>1,635
44,15</t>
  </si>
  <si>
    <t>0,42
11,34</t>
  </si>
  <si>
    <t>0,28
7,56</t>
  </si>
  <si>
    <t>846,64
102,06</t>
  </si>
  <si>
    <t>0,18
4,86</t>
  </si>
  <si>
    <t>Объем=27*14+8*12</t>
  </si>
  <si>
    <t>Накладные расходы 80% ФОТ (от 11 902)</t>
  </si>
  <si>
    <t>Сметная прибыль 45% ФОТ (от 11 902)</t>
  </si>
  <si>
    <t>2,61
1237,14</t>
  </si>
  <si>
    <t>2,023
958,9</t>
  </si>
  <si>
    <t>0,124
58,78</t>
  </si>
  <si>
    <t>0,36
170,6</t>
  </si>
  <si>
    <t>0,72
341,3</t>
  </si>
  <si>
    <t>1,32
625,7</t>
  </si>
  <si>
    <t>619 671
29 573</t>
  </si>
  <si>
    <t>Объем=527,31 / 100</t>
  </si>
  <si>
    <t>Накладные расходы 112% ФОТ (от 82 316)</t>
  </si>
  <si>
    <t>Сметная прибыль 51% ФОТ (от 82 316)</t>
  </si>
  <si>
    <t>1039,7328
5482,62</t>
  </si>
  <si>
    <t>437,6811
2307,94</t>
  </si>
  <si>
    <t>2,928
15,44</t>
  </si>
  <si>
    <t>1 220,84
208,44</t>
  </si>
  <si>
    <t>3,9406
20,78</t>
  </si>
  <si>
    <t>1 454,81
241,05</t>
  </si>
  <si>
    <t>222,4182
1172,83</t>
  </si>
  <si>
    <t>398 762,20
15 833,21</t>
  </si>
  <si>
    <t>3,8674
20,39</t>
  </si>
  <si>
    <t>2 283,48
275,27</t>
  </si>
  <si>
    <t>52,8382
278,62</t>
  </si>
  <si>
    <t>7 383,43
2 802,92</t>
  </si>
  <si>
    <t>5,795
30,56</t>
  </si>
  <si>
    <t>2 008,10
354,50</t>
  </si>
  <si>
    <t>3,576
18,86</t>
  </si>
  <si>
    <t>2,072
10,93</t>
  </si>
  <si>
    <t>0,288
1,519</t>
  </si>
  <si>
    <t>141 832
6 012</t>
  </si>
  <si>
    <t>Объем=39,69 / 100</t>
  </si>
  <si>
    <t>Накладные расходы 112% ФОТ (от 17 777)</t>
  </si>
  <si>
    <t>Сметная прибыль 51% ФОТ (от 17 777)</t>
  </si>
  <si>
    <t>3081,2808
1222,96</t>
  </si>
  <si>
    <t>1144,4088
454,22</t>
  </si>
  <si>
    <t>2,928
1,16</t>
  </si>
  <si>
    <t>91,72
15,66</t>
  </si>
  <si>
    <t>3,9406
1,56</t>
  </si>
  <si>
    <t>109,22
18,10</t>
  </si>
  <si>
    <t>692,3866
274,81</t>
  </si>
  <si>
    <t>93 435,40
3 709,94</t>
  </si>
  <si>
    <t>4,3432
1,72</t>
  </si>
  <si>
    <t>192,62
23,22</t>
  </si>
  <si>
    <t>52,8382
20,97</t>
  </si>
  <si>
    <t>555,71
210,96</t>
  </si>
  <si>
    <t>6,5026
2,58</t>
  </si>
  <si>
    <t>169,53
29,93</t>
  </si>
  <si>
    <t>12,48
4,953</t>
  </si>
  <si>
    <t>6,48
2,572</t>
  </si>
  <si>
    <t>0,648
0,2572</t>
  </si>
  <si>
    <t>Объем=21*27*30/1000</t>
  </si>
  <si>
    <t>Объем=округл(17,01*0,7;1)</t>
  </si>
  <si>
    <t>36 991
5 151</t>
  </si>
  <si>
    <t>Объем=(21*27) / 100</t>
  </si>
  <si>
    <t>Накладные расходы 87% ФОТ (от 13 663)</t>
  </si>
  <si>
    <t>Сметная прибыль 60% ФОТ (от 13 663)</t>
  </si>
  <si>
    <t>156,045
884,78</t>
  </si>
  <si>
    <t>67,38
382,04</t>
  </si>
  <si>
    <t>7,21
40,88</t>
  </si>
  <si>
    <t>7 336,32
551,88</t>
  </si>
  <si>
    <t>0,19
1,08</t>
  </si>
  <si>
    <t>120,95
14,58</t>
  </si>
  <si>
    <t>3,74
21,21</t>
  </si>
  <si>
    <t>146,35
0,00</t>
  </si>
  <si>
    <t>37,08
210,24</t>
  </si>
  <si>
    <t>16 892,78
2 838,24</t>
  </si>
  <si>
    <t>0,44
2,49</t>
  </si>
  <si>
    <t>163,62
28,88</t>
  </si>
  <si>
    <t>0,00008
0,0005</t>
  </si>
  <si>
    <t>0,002
0,0113</t>
  </si>
  <si>
    <t>1
5,67</t>
  </si>
  <si>
    <t>1,3
7,371</t>
  </si>
  <si>
    <t>13
73,71</t>
  </si>
  <si>
    <t>0,0222
0,1259</t>
  </si>
  <si>
    <t>0,8
4,536</t>
  </si>
  <si>
    <t>0,78
4,423</t>
  </si>
  <si>
    <t>0,2
1,134</t>
  </si>
  <si>
    <t>0,044
0,2495</t>
  </si>
  <si>
    <t>3
17,01</t>
  </si>
  <si>
    <t>0,05
0,2835</t>
  </si>
  <si>
    <t>0,1
0,567</t>
  </si>
  <si>
    <t>0,95
5,387</t>
  </si>
  <si>
    <t>Объем=21*27*50/1000</t>
  </si>
  <si>
    <t>Объем=округл(28,35*0,4;1)</t>
  </si>
  <si>
    <t>Объем=1*27</t>
  </si>
  <si>
    <t>Объем=6*27</t>
  </si>
  <si>
    <t>Объем=13*27</t>
  </si>
  <si>
    <t>Накладные расходы 112% ФОТ (от 503)</t>
  </si>
  <si>
    <t>Сметная прибыль 51% ФОТ (от 503)</t>
  </si>
  <si>
    <t>0,255
48,2</t>
  </si>
  <si>
    <t>0,03
5,67</t>
  </si>
  <si>
    <t>0,02
3,78</t>
  </si>
  <si>
    <t>248,38
43,85</t>
  </si>
  <si>
    <t>0,15
28,35</t>
  </si>
  <si>
    <t>34,02
0,00</t>
  </si>
  <si>
    <t>15 794
754</t>
  </si>
  <si>
    <t>Объем=13.44 / 100</t>
  </si>
  <si>
    <t>Накладные расходы 112% ФОТ (от 2 098)</t>
  </si>
  <si>
    <t>Сметная прибыль 51% ФОТ (от 2 098)</t>
  </si>
  <si>
    <t>1039,7328
139,74</t>
  </si>
  <si>
    <t>437,6811
58,82</t>
  </si>
  <si>
    <t>2,928
0,39</t>
  </si>
  <si>
    <t>30,84
5,27</t>
  </si>
  <si>
    <t>3,9406
0,53</t>
  </si>
  <si>
    <t>37,11
6,15</t>
  </si>
  <si>
    <t>222,4182
29,89</t>
  </si>
  <si>
    <t>10 162,60
403,52</t>
  </si>
  <si>
    <t>3,8674
0,52</t>
  </si>
  <si>
    <t>58,23
7,02</t>
  </si>
  <si>
    <t>52,8382
7,1</t>
  </si>
  <si>
    <t>188,15
71,43</t>
  </si>
  <si>
    <t>5,795
0,78</t>
  </si>
  <si>
    <t>51,25
9,05</t>
  </si>
  <si>
    <t>3,576
0,4806</t>
  </si>
  <si>
    <t>2,072
0,2785</t>
  </si>
  <si>
    <t>0,288
0,0387</t>
  </si>
  <si>
    <t>638 083
27 047</t>
  </si>
  <si>
    <t>Объем=178.56 / 100</t>
  </si>
  <si>
    <t>Накладные расходы 112% ФОТ (от 79 976)</t>
  </si>
  <si>
    <t>Сметная прибыль 51% ФОТ (от 79 976)</t>
  </si>
  <si>
    <t>3081,2808
5501,93</t>
  </si>
  <si>
    <t>1144,4088
2043,46</t>
  </si>
  <si>
    <t>2,928
5,23</t>
  </si>
  <si>
    <t>413,54
70,61</t>
  </si>
  <si>
    <t>3,9406
7,04</t>
  </si>
  <si>
    <t>492,87
81,66</t>
  </si>
  <si>
    <t>692,3866
1236,33</t>
  </si>
  <si>
    <t>420 352,20
16 690,46</t>
  </si>
  <si>
    <t>4,3432
7,76</t>
  </si>
  <si>
    <t>869,04
104,76</t>
  </si>
  <si>
    <t>52,8382
94,35</t>
  </si>
  <si>
    <t>2 500,28
949,16</t>
  </si>
  <si>
    <t>6,5026
11,61</t>
  </si>
  <si>
    <t>762,89
134,68</t>
  </si>
  <si>
    <t>12,48
22,28</t>
  </si>
  <si>
    <t>6,48
11,57</t>
  </si>
  <si>
    <t>0,648
1,157</t>
  </si>
  <si>
    <t>Объем=24*8*30/1000</t>
  </si>
  <si>
    <t>Объем=округл(5.76*0,7;1)</t>
  </si>
  <si>
    <t>12 526
1 744</t>
  </si>
  <si>
    <t>Объем=(24*8) / 100</t>
  </si>
  <si>
    <t>Накладные расходы 87% ФОТ (от 4 626)</t>
  </si>
  <si>
    <t>Сметная прибыль 60% ФОТ (от 4 626)</t>
  </si>
  <si>
    <t>156,045
299,61</t>
  </si>
  <si>
    <t>67,38
129,37</t>
  </si>
  <si>
    <t>7,21
13,84</t>
  </si>
  <si>
    <t>2 483,73
186,84</t>
  </si>
  <si>
    <t>0,19
0,36</t>
  </si>
  <si>
    <t>40,32
4,86</t>
  </si>
  <si>
    <t>3,74
7,18</t>
  </si>
  <si>
    <t>49,54
0,00</t>
  </si>
  <si>
    <t>37,08
71,19</t>
  </si>
  <si>
    <t>5 720,12
961,07</t>
  </si>
  <si>
    <t>0,44
0,84</t>
  </si>
  <si>
    <t>55,20
9,74</t>
  </si>
  <si>
    <t>0,00008
0,0002</t>
  </si>
  <si>
    <t>0,002
0,0038</t>
  </si>
  <si>
    <t>1
1,92</t>
  </si>
  <si>
    <t>1,3
2,496</t>
  </si>
  <si>
    <t>13
24,96</t>
  </si>
  <si>
    <t>0,0222
0,0426</t>
  </si>
  <si>
    <t>0,8
1,536</t>
  </si>
  <si>
    <t>0,78
1,498</t>
  </si>
  <si>
    <t>0,2
0,384</t>
  </si>
  <si>
    <t>0,044
0,0845</t>
  </si>
  <si>
    <t>3
5,76</t>
  </si>
  <si>
    <t>0,05
0,096</t>
  </si>
  <si>
    <t>0,1
0,192</t>
  </si>
  <si>
    <t>0,95
1,824</t>
  </si>
  <si>
    <t>Объем=24*8*50/1000</t>
  </si>
  <si>
    <t>Объем=округл(9.6*0,4;1)</t>
  </si>
  <si>
    <t>Объем=1*8</t>
  </si>
  <si>
    <t>Объем=7*8</t>
  </si>
  <si>
    <t>Объем=15*8</t>
  </si>
  <si>
    <t>Накладные расходы 112% ФОТ (от 170)</t>
  </si>
  <si>
    <t>Сметная прибыль 51% ФОТ (от 170)</t>
  </si>
  <si>
    <t>0,255
16,32</t>
  </si>
  <si>
    <t>0,03
1,92</t>
  </si>
  <si>
    <t>0,02
1,28</t>
  </si>
  <si>
    <t>84,11
14,85</t>
  </si>
  <si>
    <t>0,15
9,6</t>
  </si>
  <si>
    <t>11,52
0,00</t>
  </si>
  <si>
    <t>68 852
3 286</t>
  </si>
  <si>
    <t>Объем=58,59 / 100</t>
  </si>
  <si>
    <t>Накладные расходы 112% ФОТ (от 9 146)</t>
  </si>
  <si>
    <t>Сметная прибыль 51% ФОТ (от 9 146)</t>
  </si>
  <si>
    <t>1039,7328
609,18</t>
  </si>
  <si>
    <t>437,6811
256,44</t>
  </si>
  <si>
    <t>2,928
1,72</t>
  </si>
  <si>
    <t>136,00
23,22</t>
  </si>
  <si>
    <t>3,9406
2,31</t>
  </si>
  <si>
    <t>161,72
26,80</t>
  </si>
  <si>
    <t>222,4182
130,31</t>
  </si>
  <si>
    <t>44 305,40
1 759,19</t>
  </si>
  <si>
    <t>3,8674
2,27</t>
  </si>
  <si>
    <t>254,22
30,65</t>
  </si>
  <si>
    <t>52,8382
30,96</t>
  </si>
  <si>
    <t>820,44
311,46</t>
  </si>
  <si>
    <t>5,795
3,4</t>
  </si>
  <si>
    <t>223,41
39,44</t>
  </si>
  <si>
    <t>3,576
2,095</t>
  </si>
  <si>
    <t>2,072
1,214</t>
  </si>
  <si>
    <t>0,288
0,1687</t>
  </si>
  <si>
    <t>2 781 641
117 907</t>
  </si>
  <si>
    <t>Объем=778,41 / 100</t>
  </si>
  <si>
    <t>Накладные расходы 112% ФОТ (от 348 643)</t>
  </si>
  <si>
    <t>Сметная прибыль 51% ФОТ (от 348 643)</t>
  </si>
  <si>
    <t>3081,2808
23985</t>
  </si>
  <si>
    <t>1144,4088
8908,19</t>
  </si>
  <si>
    <t>2,928
22,79</t>
  </si>
  <si>
    <t>1 802,01
307,67</t>
  </si>
  <si>
    <t>3,9406
30,67</t>
  </si>
  <si>
    <t>2 147,21
355,77</t>
  </si>
  <si>
    <t>692,3866
5389,61</t>
  </si>
  <si>
    <t>1 832 467,40
72 759,74</t>
  </si>
  <si>
    <t>4,3432
33,81</t>
  </si>
  <si>
    <t>3 786,38
456,44</t>
  </si>
  <si>
    <t>52,8382
411,3</t>
  </si>
  <si>
    <t>10 899,45
4 137,68</t>
  </si>
  <si>
    <t>6,5026
50,62</t>
  </si>
  <si>
    <t>3 326,24
587,19</t>
  </si>
  <si>
    <t>12,48
97,15</t>
  </si>
  <si>
    <t>6,48
50,44</t>
  </si>
  <si>
    <t>0,648
5,044</t>
  </si>
  <si>
    <t>Объем=27*31*30/1000</t>
  </si>
  <si>
    <t>Объем=округл(25,11*0,7;1)</t>
  </si>
  <si>
    <t>54 605
7 603</t>
  </si>
  <si>
    <t>Объем=(27*31) / 100</t>
  </si>
  <si>
    <t>Накладные расходы 87% ФОТ (от 20 168)</t>
  </si>
  <si>
    <t>Сметная прибыль 60% ФОТ (от 20 168)</t>
  </si>
  <si>
    <t>156,045
1306,1</t>
  </si>
  <si>
    <t>67,38
563,97</t>
  </si>
  <si>
    <t>7,21
60,35</t>
  </si>
  <si>
    <t>10 830,41
814,73</t>
  </si>
  <si>
    <t>0,19
1,59</t>
  </si>
  <si>
    <t>178,06
21,47</t>
  </si>
  <si>
    <t>3,74
31,3</t>
  </si>
  <si>
    <t>215,97
0,00</t>
  </si>
  <si>
    <t>37,08
310,36</t>
  </si>
  <si>
    <t>24 937,43
4 189,86</t>
  </si>
  <si>
    <t>0,44
3,68</t>
  </si>
  <si>
    <t>241,81
42,69</t>
  </si>
  <si>
    <t>0,00008
0,0007</t>
  </si>
  <si>
    <t>0,002
0,0167</t>
  </si>
  <si>
    <t>1
8,37</t>
  </si>
  <si>
    <t>1,3
10,88</t>
  </si>
  <si>
    <t>13
108,8</t>
  </si>
  <si>
    <t>0,0222
0,1858</t>
  </si>
  <si>
    <t>0,8
6,696</t>
  </si>
  <si>
    <t>0,78
6,529</t>
  </si>
  <si>
    <t>0,2
1,674</t>
  </si>
  <si>
    <t>0,044
0,3683</t>
  </si>
  <si>
    <t>3
25,11</t>
  </si>
  <si>
    <t>0,05
0,4185</t>
  </si>
  <si>
    <t>0,1
0,837</t>
  </si>
  <si>
    <t>0,95
7,952</t>
  </si>
  <si>
    <t>Объем=27*31*50/1000</t>
  </si>
  <si>
    <t>Объем=округл(41,85*0,4;1)</t>
  </si>
  <si>
    <t>Объем=1*31</t>
  </si>
  <si>
    <t>Объем=8*31</t>
  </si>
  <si>
    <t>Объем=17*31</t>
  </si>
  <si>
    <t>Накладные расходы 112% ФОТ (от 742)</t>
  </si>
  <si>
    <t>Сметная прибыль 51% ФОТ (от 742)</t>
  </si>
  <si>
    <t>0,255
71,15</t>
  </si>
  <si>
    <t>0,03
8,37</t>
  </si>
  <si>
    <t>0,02
5,58</t>
  </si>
  <si>
    <t>366,66
64,73</t>
  </si>
  <si>
    <t>0,15
41,85</t>
  </si>
  <si>
    <t>50,22
0,00</t>
  </si>
  <si>
    <t>19 743
942</t>
  </si>
  <si>
    <t>Объем=16,8 / 100</t>
  </si>
  <si>
    <t>Накладные расходы 112% ФОТ (от 2 622)</t>
  </si>
  <si>
    <t>Сметная прибыль 51% ФОТ (от 2 622)</t>
  </si>
  <si>
    <t>1039,7328
174,68</t>
  </si>
  <si>
    <t>437,6811
73,53</t>
  </si>
  <si>
    <t>2,928
0,49</t>
  </si>
  <si>
    <t>38,74
6,62</t>
  </si>
  <si>
    <t>3,9406
0,66</t>
  </si>
  <si>
    <t>46,21
7,66</t>
  </si>
  <si>
    <t>222,4182
37,37</t>
  </si>
  <si>
    <t>12 705,80
504,50</t>
  </si>
  <si>
    <t>3,8674
0,65</t>
  </si>
  <si>
    <t>72,79
8,78</t>
  </si>
  <si>
    <t>52,8382
8,88</t>
  </si>
  <si>
    <t>235,32
89,33</t>
  </si>
  <si>
    <t>5,795
0,97</t>
  </si>
  <si>
    <t>63,74
11,25</t>
  </si>
  <si>
    <t>3,576
0,6008</t>
  </si>
  <si>
    <t>2,072
0,3481</t>
  </si>
  <si>
    <t>0,288
0,0484</t>
  </si>
  <si>
    <t>797 603
33 808</t>
  </si>
  <si>
    <t>Объем=223,2 / 100</t>
  </si>
  <si>
    <t>Накладные расходы 112% ФОТ (от 99 969)</t>
  </si>
  <si>
    <t>Сметная прибыль 51% ФОТ (от 99 969)</t>
  </si>
  <si>
    <t>3081,2808
6877,42</t>
  </si>
  <si>
    <t>1144,4088
2554,32</t>
  </si>
  <si>
    <t>2,928
6,54</t>
  </si>
  <si>
    <t>517,12
88,29</t>
  </si>
  <si>
    <t>3,9406
8,8</t>
  </si>
  <si>
    <t>616,09
102,08</t>
  </si>
  <si>
    <t>692,3866
1545,41</t>
  </si>
  <si>
    <t>525 439,40
20 863,04</t>
  </si>
  <si>
    <t>4,3432
9,69</t>
  </si>
  <si>
    <t>1 085,18
130,82</t>
  </si>
  <si>
    <t>52,8382
117,93</t>
  </si>
  <si>
    <t>3 125,15
1 186,38</t>
  </si>
  <si>
    <t>6,5026
14,51</t>
  </si>
  <si>
    <t>953,45
168,32</t>
  </si>
  <si>
    <t>12,48
27,86</t>
  </si>
  <si>
    <t>6,48
14,46</t>
  </si>
  <si>
    <t>0,648
1,446</t>
  </si>
  <si>
    <t>Объем=30*8*30/1000</t>
  </si>
  <si>
    <t>Объем=округл(7,2*0,7;1)</t>
  </si>
  <si>
    <t>15 657
2 180</t>
  </si>
  <si>
    <t>Объем=(30*8) / 100</t>
  </si>
  <si>
    <t>Накладные расходы 87% ФОТ (от 5 783)</t>
  </si>
  <si>
    <t>Сметная прибыль 60% ФОТ (от 5 783)</t>
  </si>
  <si>
    <t>156,045
374,51</t>
  </si>
  <si>
    <t>67,38
161,71</t>
  </si>
  <si>
    <t>7,21
17,3</t>
  </si>
  <si>
    <t>3 104,66
233,55</t>
  </si>
  <si>
    <t>0,19
0,46</t>
  </si>
  <si>
    <t>51,52
6,21</t>
  </si>
  <si>
    <t>3,74
8,98</t>
  </si>
  <si>
    <t>61,96
0,00</t>
  </si>
  <si>
    <t>37,08
88,99</t>
  </si>
  <si>
    <t>7 150,35
1 201,37</t>
  </si>
  <si>
    <t>0,44
1,06</t>
  </si>
  <si>
    <t>69,65
12,30</t>
  </si>
  <si>
    <t>0,002
0,0048</t>
  </si>
  <si>
    <t>1
2,4</t>
  </si>
  <si>
    <t>1,3
3,12</t>
  </si>
  <si>
    <t>13
31,2</t>
  </si>
  <si>
    <t>0,0222
0,0533</t>
  </si>
  <si>
    <t>0,8
1,92</t>
  </si>
  <si>
    <t>0,78
1,872</t>
  </si>
  <si>
    <t>0,2
0,48</t>
  </si>
  <si>
    <t>0,044
0,1056</t>
  </si>
  <si>
    <t>3
7,2</t>
  </si>
  <si>
    <t>0,05
0,12</t>
  </si>
  <si>
    <t>0,1
0,24</t>
  </si>
  <si>
    <t>0,95
2,28</t>
  </si>
  <si>
    <t>Объем=30*8*50/1000</t>
  </si>
  <si>
    <t>Объем=округл(12*0,4;1)</t>
  </si>
  <si>
    <t>Объем=9*8</t>
  </si>
  <si>
    <t>Объем=19*8</t>
  </si>
  <si>
    <t>Накладные расходы 112% ФОТ (от 213)</t>
  </si>
  <si>
    <t>Сметная прибыль 51% ФОТ (от 213)</t>
  </si>
  <si>
    <t>0,255
20,4</t>
  </si>
  <si>
    <t>0,03
2,4</t>
  </si>
  <si>
    <t>0,02
1,6</t>
  </si>
  <si>
    <t>105,14
18,56</t>
  </si>
  <si>
    <t>0,15
12</t>
  </si>
  <si>
    <t>14,40
0,00</t>
  </si>
  <si>
    <t>ФЕР30-08-048-01
Приказ Минстроя России от 30.12.2016 №1039/пр</t>
  </si>
  <si>
    <t>Укрепление поверхности матрасно-габионными конструкциями типа "Рено"
(10 м2)</t>
  </si>
  <si>
    <t>1 717,07
979,32</t>
  </si>
  <si>
    <t>266,85
30,90</t>
  </si>
  <si>
    <t>5 337
618</t>
  </si>
  <si>
    <t>Объем=(4*2*25) / 10</t>
  </si>
  <si>
    <t>Накладные расходы 110% ФОТ (от 20 204)</t>
  </si>
  <si>
    <t>Сметная прибыль 80% ФОТ (от 20 204)</t>
  </si>
  <si>
    <t>1-3-2</t>
  </si>
  <si>
    <t>Затраты труда рабочих (ср 3,2)
(чел.час)</t>
  </si>
  <si>
    <t>112,05
2241</t>
  </si>
  <si>
    <t>8,74
8,74</t>
  </si>
  <si>
    <t>2,895
57,9</t>
  </si>
  <si>
    <t>0,12
2,4</t>
  </si>
  <si>
    <t>240,00
32,40</t>
  </si>
  <si>
    <t>0,04
0,8</t>
  </si>
  <si>
    <t>89,59
10,80</t>
  </si>
  <si>
    <t>0,22
4,4</t>
  </si>
  <si>
    <t>395,96
44,26</t>
  </si>
  <si>
    <t>91.08.09-023</t>
  </si>
  <si>
    <t>Трамбовки пневматические при работе от: передвижных компрессорных станций
(маш.час)</t>
  </si>
  <si>
    <t>2,56
51,2</t>
  </si>
  <si>
    <t>0,55
0,00</t>
  </si>
  <si>
    <t>28,16
0,00</t>
  </si>
  <si>
    <t>91.13.01-038</t>
  </si>
  <si>
    <t>Машины поливомоечные 6000 л
(маш.час)</t>
  </si>
  <si>
    <t>0,11
2,2</t>
  </si>
  <si>
    <t>110,00
11,60</t>
  </si>
  <si>
    <t>242,00
25,52</t>
  </si>
  <si>
    <t>0,05
1</t>
  </si>
  <si>
    <t>91.14.03-002</t>
  </si>
  <si>
    <t>Автомобиль-самосвал, грузоподъемность: до 10 т
(маш.час)</t>
  </si>
  <si>
    <t>87,49
13,50</t>
  </si>
  <si>
    <t>192,48
29,70</t>
  </si>
  <si>
    <t>1,28
25,6</t>
  </si>
  <si>
    <t>2 304,00
257,54</t>
  </si>
  <si>
    <t>0,035
0,7</t>
  </si>
  <si>
    <t>01.7.12.05-0161</t>
  </si>
  <si>
    <t>1,39
27,8</t>
  </si>
  <si>
    <t>0,0004
0,008</t>
  </si>
  <si>
    <t>02.2.04.03-0003</t>
  </si>
  <si>
    <t>Смесь песчано-гравийная природная
(м3)</t>
  </si>
  <si>
    <t>02.2.05.04</t>
  </si>
  <si>
    <t>Щебень, фракция 70-120 мм
(м3)</t>
  </si>
  <si>
    <t>08.1.01.02-0001</t>
  </si>
  <si>
    <t>Габионные конструкции матрацов «Рено» из оцинкованной сетки из проволоки диаметром 2,7 мм двойного кручения
(т)</t>
  </si>
  <si>
    <t>08.3.03.05-0015</t>
  </si>
  <si>
    <t>Проволока стальная низкоуглеродистая разного назначения оцинкованная диаметром: 2,2 мм
(т)</t>
  </si>
  <si>
    <t>0,00513
0,1026</t>
  </si>
  <si>
    <t>08.4.03.03-0022</t>
  </si>
  <si>
    <t>Горячекатаная арматурная сталь периодического профиля класса: А-II, диаметром 12 мм
(т)</t>
  </si>
  <si>
    <t>0,0164
0,328</t>
  </si>
  <si>
    <t>11.1.03.03-0011</t>
  </si>
  <si>
    <t>Брусья необрезные хвойных пород длиной: 4-6,5 м, все ширины, толщиной 100, 125 мм, III сорта
(м3)</t>
  </si>
  <si>
    <t>0,034
0,68</t>
  </si>
  <si>
    <t>0,091
1,82</t>
  </si>
  <si>
    <t>1 368,58
11254,52/1,2/6,99*1,02</t>
  </si>
  <si>
    <t>Цена МАТ=11254,52/1,2/6,99*1,02</t>
  </si>
  <si>
    <t>ФЕР30-08-047-01
Приказ Минстроя России от 30.12.2016 №1039/пр</t>
  </si>
  <si>
    <t>Устройство подпорных стенок из коробчатых габионов
(10 м3)</t>
  </si>
  <si>
    <t>3 620,81
2 515,79</t>
  </si>
  <si>
    <t>Объем=(2*1*0,5*21) / 10</t>
  </si>
  <si>
    <t>Накладные расходы 110% ФОТ (от 5 388)</t>
  </si>
  <si>
    <t>Сметная прибыль 80% ФОТ (от 5 388)</t>
  </si>
  <si>
    <t>1-3-6</t>
  </si>
  <si>
    <t>Затраты труда рабочих (ср 3,6)
(чел.час)</t>
  </si>
  <si>
    <t>274,05
575,51</t>
  </si>
  <si>
    <t>9,18
9,18</t>
  </si>
  <si>
    <t>4,35
9,14</t>
  </si>
  <si>
    <t>0,31
0,65</t>
  </si>
  <si>
    <t>65,00
8,78</t>
  </si>
  <si>
    <t>0,22
0,46</t>
  </si>
  <si>
    <t>0,55
1,16</t>
  </si>
  <si>
    <t>104,39
11,67</t>
  </si>
  <si>
    <t>2,08
4,37</t>
  </si>
  <si>
    <t>2,40
0,00</t>
  </si>
  <si>
    <t>0,01
0,02</t>
  </si>
  <si>
    <t>2,20
0,23</t>
  </si>
  <si>
    <t>30,23
5,34</t>
  </si>
  <si>
    <t>101,49
15,66</t>
  </si>
  <si>
    <t>1,04
2,18</t>
  </si>
  <si>
    <t>196,20
21,93</t>
  </si>
  <si>
    <t>0,023
0,0483</t>
  </si>
  <si>
    <t>1,33
2,793</t>
  </si>
  <si>
    <t>0,002
0,0042</t>
  </si>
  <si>
    <t>Щебень, фракция 120-150 мм
(м3)</t>
  </si>
  <si>
    <t>02.2.05.04-0100</t>
  </si>
  <si>
    <t>Щебень из природного камня для строительных работ марка: 1000, фракция 5(3)-10 мм
(м3)</t>
  </si>
  <si>
    <t>0,605
1,271</t>
  </si>
  <si>
    <t>08.1.01.02-0011</t>
  </si>
  <si>
    <t>Конструкции габионные из оцинкованной сетки из проволоки диаметром 2,7 мм двойного кручения с шестигранными ячейками, размером 8х10 мм
(т)</t>
  </si>
  <si>
    <t>0,0115
0,0242</t>
  </si>
  <si>
    <t>08.4.03.02-0004</t>
  </si>
  <si>
    <t>Горячекатаная арматурная сталь гладкая класса А-I, диаметром: 12 мм
(т)</t>
  </si>
  <si>
    <t>0,001
0,0021</t>
  </si>
  <si>
    <t>11.1.03.01-0080</t>
  </si>
  <si>
    <t>Бруски обрезные хвойных пород длиной: 4-6,5 м, шириной 75-150 мм, толщиной 40-75 мм, IV сорта
(м3)</t>
  </si>
  <si>
    <t>0,007
0,0147</t>
  </si>
  <si>
    <t>0,052
0,1092</t>
  </si>
  <si>
    <t>0,214
0,4494</t>
  </si>
  <si>
    <t>505,39
4156,08/1,2/6,99*1,02</t>
  </si>
  <si>
    <t>Цена МАТ=4156,08/1,2/6,99*1,02</t>
  </si>
  <si>
    <t>Объем=(4*2*0,3*25+2*1*0,5*21)*1,05</t>
  </si>
  <si>
    <t>78,83
25,11</t>
  </si>
  <si>
    <t>Накладные расходы 80% ФОТ (от 0)</t>
  </si>
  <si>
    <t>Сметная прибыль 45% ФОТ (от 0)</t>
  </si>
  <si>
    <t>2,61
0</t>
  </si>
  <si>
    <t>2,023
0</t>
  </si>
  <si>
    <t>0,124
0</t>
  </si>
  <si>
    <t>0,36
0</t>
  </si>
  <si>
    <t>0,72
0</t>
  </si>
  <si>
    <t>1,32
0</t>
  </si>
  <si>
    <t>Накладные расходы 80% ФОТ (от 116 407)</t>
  </si>
  <si>
    <t>Сметная прибыль 45% ФОТ (от 116 407)</t>
  </si>
  <si>
    <t>1,8
10332</t>
  </si>
  <si>
    <t>5 216 676
237 648</t>
  </si>
  <si>
    <t xml:space="preserve">      80% ФОТ (от 130508) (Поз. 1, 13, 72-73, 9-12)</t>
  </si>
  <si>
    <t xml:space="preserve">      87% ФОТ (от 44240) (Поз. 19, 32, 45, 58)</t>
  </si>
  <si>
    <t xml:space="preserve">      90% ФОТ (от 1939) (Поз. 6-8)</t>
  </si>
  <si>
    <t xml:space="preserve">      105% ФОТ (от 468) (Поз. 2)</t>
  </si>
  <si>
    <t xml:space="preserve">      110% ФОТ (от 25592) (Поз. 67, 69)</t>
  </si>
  <si>
    <t xml:space="preserve">      112% ФОТ (от 644175) (Поз. 15-16, 27-29, 40-42, 53-55, 66)</t>
  </si>
  <si>
    <t xml:space="preserve">      45% ФОТ (от 128921) (Поз. 1, 13, 72-73)</t>
  </si>
  <si>
    <t xml:space="preserve">      51% ФОТ (от 644175) (Поз. 15-16, 27-29, 40-42, 53-55, 66)</t>
  </si>
  <si>
    <t xml:space="preserve">      60% ФОТ (от 45827) (Поз. 19, 32, 45, 58, 9-12)</t>
  </si>
  <si>
    <t xml:space="preserve">      65% ФОТ (от 468) (Поз. 2)</t>
  </si>
  <si>
    <t xml:space="preserve">      80% ФОТ (от 25592) (Поз. 67, 69)</t>
  </si>
  <si>
    <t xml:space="preserve">      85% ФОТ (от 1939) (Поз. 6-8)</t>
  </si>
  <si>
    <t xml:space="preserve">               Итого Поз. 1, 13, 72-73</t>
  </si>
  <si>
    <t xml:space="preserve">               Накладные расходы 80% ФОТ (от 128 921)</t>
  </si>
  <si>
    <t xml:space="preserve">               Сметная прибыль 45% ФОТ (от 128 921)</t>
  </si>
  <si>
    <t xml:space="preserve">               Итого Поз. 2</t>
  </si>
  <si>
    <t xml:space="preserve">               Накладные расходы 105% ФОТ (от 468)</t>
  </si>
  <si>
    <t xml:space="preserve">               Сметная прибыль 65% ФОТ (от 468)</t>
  </si>
  <si>
    <t xml:space="preserve">               Итого Поз. 3-5, 17-18, 20-21, 30-31, 33-34, 43-44, 46-47, 56-57, 59-60, 71</t>
  </si>
  <si>
    <t xml:space="preserve">               Итого Поз. 6-8</t>
  </si>
  <si>
    <t>2 534
280</t>
  </si>
  <si>
    <t xml:space="preserve">               Накладные расходы 90% ФОТ (от 1 939)</t>
  </si>
  <si>
    <t xml:space="preserve">               Сметная прибыль 85% ФОТ (от 1 939)</t>
  </si>
  <si>
    <t xml:space="preserve">               Итого Поз. 14, 22-26, 35-39, 48-52, 61-65, 68, 70</t>
  </si>
  <si>
    <t xml:space="preserve">               Итого Поз. 15-16, 27-29, 40-42, 53-55, 66</t>
  </si>
  <si>
    <t>5 084 589
219 543</t>
  </si>
  <si>
    <t xml:space="preserve">               Накладные расходы 112% ФОТ (от 644 175)</t>
  </si>
  <si>
    <t xml:space="preserve">               Сметная прибыль 51% ФОТ (от 644 175)</t>
  </si>
  <si>
    <t xml:space="preserve">               Итого Поз. 19, 32, 45, 58</t>
  </si>
  <si>
    <t>119 779
16 678</t>
  </si>
  <si>
    <t xml:space="preserve">               Накладные расходы 87% ФОТ (от 44 240)</t>
  </si>
  <si>
    <t xml:space="preserve">               Сметная прибыль 60% ФОТ (от 44 240)</t>
  </si>
  <si>
    <t xml:space="preserve">          Мосты и трубы:</t>
  </si>
  <si>
    <t xml:space="preserve">               Итого Поз. 67, 69</t>
  </si>
  <si>
    <t>6 167
723</t>
  </si>
  <si>
    <t xml:space="preserve">               Накладные расходы 110% ФОТ (от 25 592)</t>
  </si>
  <si>
    <t xml:space="preserve">               Сметная прибыль 80% ФОТ (от 25 592)</t>
  </si>
  <si>
    <t xml:space="preserve">               Итого Поз. 9-12</t>
  </si>
  <si>
    <t>2 399
289</t>
  </si>
  <si>
    <t xml:space="preserve">               Накладные расходы 80% ФОТ (от 1 587)</t>
  </si>
  <si>
    <t xml:space="preserve">               Сметная прибыль 60% ФОТ (от 1 587)</t>
  </si>
  <si>
    <t>Объем=2,04 / 100</t>
  </si>
  <si>
    <t>Накладные расходы 80% ФОТ (от 210)</t>
  </si>
  <si>
    <t>Сметная прибыль 45% ФОТ (от 210)</t>
  </si>
  <si>
    <t>1038,78
21,19</t>
  </si>
  <si>
    <t>178,35
3,64</t>
  </si>
  <si>
    <t>118,9
2,43</t>
  </si>
  <si>
    <t>218,70
24,45</t>
  </si>
  <si>
    <t>475,6
9,7</t>
  </si>
  <si>
    <t>14,84
0,00</t>
  </si>
  <si>
    <t>Объем=(0,5*0,5*0,7*12) / 100</t>
  </si>
  <si>
    <t>Накладные расходы 105% ФОТ (от 225)</t>
  </si>
  <si>
    <t>Сметная прибыль 65% ФОТ (от 225)</t>
  </si>
  <si>
    <t>1178,82
24,76</t>
  </si>
  <si>
    <t>48,435
1,02</t>
  </si>
  <si>
    <t>30,35
0,64</t>
  </si>
  <si>
    <t>55,30
8,64</t>
  </si>
  <si>
    <t>0,68
0,01</t>
  </si>
  <si>
    <t>1,12
0,14</t>
  </si>
  <si>
    <t>37,72
0,79</t>
  </si>
  <si>
    <t>1,50
0,00</t>
  </si>
  <si>
    <t>0,99
0,02</t>
  </si>
  <si>
    <t>1,31
0,23</t>
  </si>
  <si>
    <t>0,441
0,0093</t>
  </si>
  <si>
    <t>153
3,213</t>
  </si>
  <si>
    <t>0,0238
0,0005</t>
  </si>
  <si>
    <t>0,027
0,0006</t>
  </si>
  <si>
    <t>101,5
2,132</t>
  </si>
  <si>
    <t>0,0061
0,0001</t>
  </si>
  <si>
    <t>0,0375
0,0008</t>
  </si>
  <si>
    <t>4,5
0,0945</t>
  </si>
  <si>
    <t>0,74
0,0155</t>
  </si>
  <si>
    <t>64,1
1,346</t>
  </si>
  <si>
    <t>Объем=2,1*1,015</t>
  </si>
  <si>
    <t>Объем=4*172/1000</t>
  </si>
  <si>
    <t>Накладные расходы 90% ФОТ (от 252)</t>
  </si>
  <si>
    <t>Сметная прибыль 85% ФОТ (от 252)</t>
  </si>
  <si>
    <t>31,1355
21,42</t>
  </si>
  <si>
    <t>3,255
2,24</t>
  </si>
  <si>
    <t>0,21
0,14</t>
  </si>
  <si>
    <t>15,68
1,89</t>
  </si>
  <si>
    <t>1,67
1,15</t>
  </si>
  <si>
    <t>138,05
15,53</t>
  </si>
  <si>
    <t>0,09
0,06</t>
  </si>
  <si>
    <t>0,05
0,00</t>
  </si>
  <si>
    <t>0,29
0,2</t>
  </si>
  <si>
    <t>13,14
2,32</t>
  </si>
  <si>
    <t>2,24
1,54</t>
  </si>
  <si>
    <t>1,85
0,00</t>
  </si>
  <si>
    <t>1,3
0,89</t>
  </si>
  <si>
    <t>10,96
0,00</t>
  </si>
  <si>
    <t>1,95
1,342</t>
  </si>
  <si>
    <t>0,59
0,4059</t>
  </si>
  <si>
    <t>0,001
0,0007</t>
  </si>
  <si>
    <t>0,0022
0,0015</t>
  </si>
  <si>
    <t>0,0045
0,0031</t>
  </si>
  <si>
    <t>1
0,688</t>
  </si>
  <si>
    <t>0,0187
0,0129</t>
  </si>
  <si>
    <t>0,00194
0,0013</t>
  </si>
  <si>
    <t>0,00103
0,0007</t>
  </si>
  <si>
    <t>0,00031
0,0002</t>
  </si>
  <si>
    <t>0,0006
0,0004</t>
  </si>
  <si>
    <t>Объем=8*120/1000</t>
  </si>
  <si>
    <t>Накладные расходы 90% ФОТ (от 350)</t>
  </si>
  <si>
    <t>Сметная прибыль 85% ФОТ (от 350)</t>
  </si>
  <si>
    <t>31,1355
29,89</t>
  </si>
  <si>
    <t>3,255
3,12</t>
  </si>
  <si>
    <t>0,21
0,2</t>
  </si>
  <si>
    <t>22,40
2,70</t>
  </si>
  <si>
    <t>1,67
1,6</t>
  </si>
  <si>
    <t>192,06
21,60</t>
  </si>
  <si>
    <t>0,09
0,09</t>
  </si>
  <si>
    <t>0,08
0,00</t>
  </si>
  <si>
    <t>0,29
0,28</t>
  </si>
  <si>
    <t>18,40
3,25</t>
  </si>
  <si>
    <t>2,24
2,15</t>
  </si>
  <si>
    <t>2,58
0,00</t>
  </si>
  <si>
    <t>1,3
1,25</t>
  </si>
  <si>
    <t>15,39
0,00</t>
  </si>
  <si>
    <t>1,95
1,872</t>
  </si>
  <si>
    <t>0,59
0,5664</t>
  </si>
  <si>
    <t>0,001
0,001</t>
  </si>
  <si>
    <t>0,0022
0,0021</t>
  </si>
  <si>
    <t>0,0045
0,0043</t>
  </si>
  <si>
    <t>1
0,96</t>
  </si>
  <si>
    <t>0,0187
0,018</t>
  </si>
  <si>
    <t>0,00194
0,0019</t>
  </si>
  <si>
    <t>0,00103
0,001</t>
  </si>
  <si>
    <t>0,00031
0,0003</t>
  </si>
  <si>
    <t>0,0006
0,0006</t>
  </si>
  <si>
    <t>Объем=12*13,5/1000</t>
  </si>
  <si>
    <t>Накладные расходы 90% ФОТ (от 87)</t>
  </si>
  <si>
    <t>Сметная прибыль 85% ФОТ (от 87)</t>
  </si>
  <si>
    <t>37,884
6,14</t>
  </si>
  <si>
    <t>12,66
2,05</t>
  </si>
  <si>
    <t>0,11
0,02</t>
  </si>
  <si>
    <t>2,40
0,31</t>
  </si>
  <si>
    <t>0,2
0,03</t>
  </si>
  <si>
    <t>7,84
1,27</t>
  </si>
  <si>
    <t>152,45
17,15</t>
  </si>
  <si>
    <t>0,29
0,05</t>
  </si>
  <si>
    <t>3,29
0,58</t>
  </si>
  <si>
    <t>3,36
0,54</t>
  </si>
  <si>
    <t>0,65
0,00</t>
  </si>
  <si>
    <t>1,57
0,25</t>
  </si>
  <si>
    <t>3,08
0,00</t>
  </si>
  <si>
    <t>3
0,486</t>
  </si>
  <si>
    <t>0,9
0,1458</t>
  </si>
  <si>
    <t>0,007
0,0011</t>
  </si>
  <si>
    <t>0,009
0,0015</t>
  </si>
  <si>
    <t>1
0,162</t>
  </si>
  <si>
    <t>0,021
0,0034</t>
  </si>
  <si>
    <t>0,0187
0,003</t>
  </si>
  <si>
    <t>0,00194
0,0003</t>
  </si>
  <si>
    <t>0,00103
0,0002</t>
  </si>
  <si>
    <t>0,0006
0,0001</t>
  </si>
  <si>
    <t>Объем=2*4</t>
  </si>
  <si>
    <t>Накладные расходы 80% ФОТ (от 182)</t>
  </si>
  <si>
    <t>Сметная прибыль 60% ФОТ (от 182)</t>
  </si>
  <si>
    <t>1,395
22,32</t>
  </si>
  <si>
    <t>0,15
2,4</t>
  </si>
  <si>
    <t>Накладные расходы 80% ФОТ (от 76)</t>
  </si>
  <si>
    <t>Сметная прибыль 60% ФОТ (от 76)</t>
  </si>
  <si>
    <t>1,635
6,54</t>
  </si>
  <si>
    <t>0,42
1,68</t>
  </si>
  <si>
    <t>0,28
1,12</t>
  </si>
  <si>
    <t>125,43
15,12</t>
  </si>
  <si>
    <t>0,18
0,72</t>
  </si>
  <si>
    <t>Объем=8*14+4*12</t>
  </si>
  <si>
    <t>Накладные расходы 80% ФОТ (от 4 018)</t>
  </si>
  <si>
    <t>Сметная прибыль 45% ФОТ (от 4 018)</t>
  </si>
  <si>
    <t>2,61
417,6</t>
  </si>
  <si>
    <t>2,023
323,7</t>
  </si>
  <si>
    <t>0,124
19,84</t>
  </si>
  <si>
    <t>0,36
57,6</t>
  </si>
  <si>
    <t>0,72
115,2</t>
  </si>
  <si>
    <t>1,32
211,2</t>
  </si>
  <si>
    <t>167 812
8 009</t>
  </si>
  <si>
    <t>Объем=142,8 / 100</t>
  </si>
  <si>
    <t>Накладные расходы 112% ФОТ (от 22 292)</t>
  </si>
  <si>
    <t>Сметная прибыль 51% ФОТ (от 22 292)</t>
  </si>
  <si>
    <t>1039,7328
1484,74</t>
  </si>
  <si>
    <t>437,6811
625,01</t>
  </si>
  <si>
    <t>2,928
4,18</t>
  </si>
  <si>
    <t>330,51
56,43</t>
  </si>
  <si>
    <t>3,9406
5,63</t>
  </si>
  <si>
    <t>394,16
65,31</t>
  </si>
  <si>
    <t>222,4182
317,61</t>
  </si>
  <si>
    <t>107 987,40
4 287,74</t>
  </si>
  <si>
    <t>3,8674
5,52</t>
  </si>
  <si>
    <t>618,18
74,52</t>
  </si>
  <si>
    <t>52,8382
75,45</t>
  </si>
  <si>
    <t>1 999,43
759,03</t>
  </si>
  <si>
    <t>5,795
8,28</t>
  </si>
  <si>
    <t>544,08
96,05</t>
  </si>
  <si>
    <t>3,576
5,107</t>
  </si>
  <si>
    <t>2,072
2,959</t>
  </si>
  <si>
    <t>0,288
0,4113</t>
  </si>
  <si>
    <t>90 052
3 817</t>
  </si>
  <si>
    <t>Объем=25,2 / 100</t>
  </si>
  <si>
    <t>Накладные расходы 112% ФОТ (от 11 287)</t>
  </si>
  <si>
    <t>Сметная прибыль 51% ФОТ (от 11 287)</t>
  </si>
  <si>
    <t>3081,2808
776,48</t>
  </si>
  <si>
    <t>1144,4088
288,39</t>
  </si>
  <si>
    <t>2,928
0,74</t>
  </si>
  <si>
    <t>58,51
9,99</t>
  </si>
  <si>
    <t>3,9406
0,99</t>
  </si>
  <si>
    <t>69,31
11,48</t>
  </si>
  <si>
    <t>692,3866
174,48</t>
  </si>
  <si>
    <t>59 323,20
2 355,48</t>
  </si>
  <si>
    <t>4,3432
1,09</t>
  </si>
  <si>
    <t>122,07
14,72</t>
  </si>
  <si>
    <t>52,8382
13,32</t>
  </si>
  <si>
    <t>352,98
134,00</t>
  </si>
  <si>
    <t>6,5026
1,64</t>
  </si>
  <si>
    <t>107,76
19,02</t>
  </si>
  <si>
    <t>12,48
3,145</t>
  </si>
  <si>
    <t>6,48
1,633</t>
  </si>
  <si>
    <t>0,648
0,1633</t>
  </si>
  <si>
    <t>Объем=21*8*30/1000</t>
  </si>
  <si>
    <t>Объем=округл(5,04*0,7;1)</t>
  </si>
  <si>
    <t>10 960
1 526</t>
  </si>
  <si>
    <t>Объем=(21*8) / 100</t>
  </si>
  <si>
    <t>Накладные расходы 87% ФОТ (от 4 048)</t>
  </si>
  <si>
    <t>Сметная прибыль 60% ФОТ (от 4 048)</t>
  </si>
  <si>
    <t>156,045
262,16</t>
  </si>
  <si>
    <t>67,38
113,2</t>
  </si>
  <si>
    <t>7,21
12,11</t>
  </si>
  <si>
    <t>2 173,26
163,49</t>
  </si>
  <si>
    <t>0,19
0,32</t>
  </si>
  <si>
    <t>35,84
4,32</t>
  </si>
  <si>
    <t>3,74
6,28</t>
  </si>
  <si>
    <t>43,33
0,00</t>
  </si>
  <si>
    <t>37,08
62,29</t>
  </si>
  <si>
    <t>5 005,00
840,92</t>
  </si>
  <si>
    <t>0,44
0,74</t>
  </si>
  <si>
    <t>48,63
8,58</t>
  </si>
  <si>
    <t>0,00008
0,0001</t>
  </si>
  <si>
    <t>0,002
0,0034</t>
  </si>
  <si>
    <t>1
1,68</t>
  </si>
  <si>
    <t>1,3
2,184</t>
  </si>
  <si>
    <t>13
21,84</t>
  </si>
  <si>
    <t>0,0222
0,0373</t>
  </si>
  <si>
    <t>0,8
1,344</t>
  </si>
  <si>
    <t>0,78
1,31</t>
  </si>
  <si>
    <t>0,2
0,336</t>
  </si>
  <si>
    <t>0,044
0,0739</t>
  </si>
  <si>
    <t>3
5,04</t>
  </si>
  <si>
    <t>0,05
0,084</t>
  </si>
  <si>
    <t>0,1
0,168</t>
  </si>
  <si>
    <t>0,95
1,596</t>
  </si>
  <si>
    <t>Объем=21*8*50/1000</t>
  </si>
  <si>
    <t>Объем=округл(8,4*0,4;1)</t>
  </si>
  <si>
    <t>Объем=6*8</t>
  </si>
  <si>
    <t>Объем=13*8</t>
  </si>
  <si>
    <t>Накладные расходы 112% ФОТ (от 149)</t>
  </si>
  <si>
    <t>Сметная прибыль 51% ФОТ (от 149)</t>
  </si>
  <si>
    <t>0,255
14,28</t>
  </si>
  <si>
    <t>0,03
1,68</t>
  </si>
  <si>
    <t>0,02
1,12</t>
  </si>
  <si>
    <t>73,60
12,99</t>
  </si>
  <si>
    <t>0,15
8,4</t>
  </si>
  <si>
    <t>10,08
0,00</t>
  </si>
  <si>
    <t>95 893
4 576</t>
  </si>
  <si>
    <t>Объем=81,6 / 100</t>
  </si>
  <si>
    <t>Накладные расходы 112% ФОТ (от 12 738)</t>
  </si>
  <si>
    <t>Сметная прибыль 51% ФОТ (от 12 738)</t>
  </si>
  <si>
    <t>1039,7328
848,42</t>
  </si>
  <si>
    <t>437,6811
357,15</t>
  </si>
  <si>
    <t>2,928
2,39</t>
  </si>
  <si>
    <t>188,98
32,27</t>
  </si>
  <si>
    <t>3,9406
3,22</t>
  </si>
  <si>
    <t>225,43
37,35</t>
  </si>
  <si>
    <t>222,4182
181,49</t>
  </si>
  <si>
    <t>61 706,60
2 450,12</t>
  </si>
  <si>
    <t>3,8674
3,16</t>
  </si>
  <si>
    <t>353,89
42,66</t>
  </si>
  <si>
    <t>52,8382
43,12</t>
  </si>
  <si>
    <t>1 142,68
433,79</t>
  </si>
  <si>
    <t>5,795
4,73</t>
  </si>
  <si>
    <t>310,81
54,87</t>
  </si>
  <si>
    <t>3,576
2,918</t>
  </si>
  <si>
    <t>2,072
1,691</t>
  </si>
  <si>
    <t>0,288
0,235</t>
  </si>
  <si>
    <t>51 458
2 181</t>
  </si>
  <si>
    <t>Объем=14,4 / 100</t>
  </si>
  <si>
    <t>Накладные расходы 112% ФОТ (от 6 449)</t>
  </si>
  <si>
    <t>Сметная прибыль 51% ФОТ (от 6 449)</t>
  </si>
  <si>
    <t>3081,2808
443,7</t>
  </si>
  <si>
    <t>1144,4088
164,79</t>
  </si>
  <si>
    <t>2,928
0,42</t>
  </si>
  <si>
    <t>33,21
5,67</t>
  </si>
  <si>
    <t>3,9406
0,57</t>
  </si>
  <si>
    <t>39,91
6,61</t>
  </si>
  <si>
    <t>692,3866
99,7</t>
  </si>
  <si>
    <t>33 898,00
1 345,95</t>
  </si>
  <si>
    <t>4,3432
0,63</t>
  </si>
  <si>
    <t>70,55
8,51</t>
  </si>
  <si>
    <t>52,8382
7,61</t>
  </si>
  <si>
    <t>201,67
76,56</t>
  </si>
  <si>
    <t>6,5026
0,94</t>
  </si>
  <si>
    <t>12,48
1,797</t>
  </si>
  <si>
    <t>6,48
0,9331</t>
  </si>
  <si>
    <t>0,648
0,0933</t>
  </si>
  <si>
    <t>Объем=24*4*30/1000</t>
  </si>
  <si>
    <t>Объем=округл(2,88*0,7;1)</t>
  </si>
  <si>
    <t>6 263
872</t>
  </si>
  <si>
    <t>Объем=(24*4) / 100</t>
  </si>
  <si>
    <t>Накладные расходы 87% ФОТ (от 2 313)</t>
  </si>
  <si>
    <t>Сметная прибыль 60% ФОТ (от 2 313)</t>
  </si>
  <si>
    <t>156,045
149,8</t>
  </si>
  <si>
    <t>67,38
64,68</t>
  </si>
  <si>
    <t>7,21
6,92</t>
  </si>
  <si>
    <t>1 241,86
93,42</t>
  </si>
  <si>
    <t>0,19
0,18</t>
  </si>
  <si>
    <t>20,16
2,43</t>
  </si>
  <si>
    <t>3,74
3,59</t>
  </si>
  <si>
    <t>24,77
0,00</t>
  </si>
  <si>
    <t>37,08
35,6</t>
  </si>
  <si>
    <t>2 860,46
480,60</t>
  </si>
  <si>
    <t>0,44
0,42</t>
  </si>
  <si>
    <t>27,60
4,87</t>
  </si>
  <si>
    <t>0,002
0,0019</t>
  </si>
  <si>
    <t>1,3
1,248</t>
  </si>
  <si>
    <t>13
12,48</t>
  </si>
  <si>
    <t>0,0222
0,0213</t>
  </si>
  <si>
    <t>0,8
0,768</t>
  </si>
  <si>
    <t>0,78
0,7488</t>
  </si>
  <si>
    <t>0,2
0,192</t>
  </si>
  <si>
    <t>0,044
0,0422</t>
  </si>
  <si>
    <t>3
2,88</t>
  </si>
  <si>
    <t>0,05
0,048</t>
  </si>
  <si>
    <t>0,1
0,096</t>
  </si>
  <si>
    <t>0,95
0,912</t>
  </si>
  <si>
    <t>Объем=24*4*50/1000</t>
  </si>
  <si>
    <t>Объем=округл(4,8*0,4;1)</t>
  </si>
  <si>
    <t>Объем=1*4</t>
  </si>
  <si>
    <t>Объем=7*4</t>
  </si>
  <si>
    <t>Объем=15*4</t>
  </si>
  <si>
    <t>Накладные расходы 112% ФОТ (от 85)</t>
  </si>
  <si>
    <t>Сметная прибыль 51% ФОТ (от 85)</t>
  </si>
  <si>
    <t>0,255
8,16</t>
  </si>
  <si>
    <t>0,03
0,96</t>
  </si>
  <si>
    <t>0,02
0,64</t>
  </si>
  <si>
    <t>42,05
7,42</t>
  </si>
  <si>
    <t>0,15
4,8</t>
  </si>
  <si>
    <t>5,76
0,00</t>
  </si>
  <si>
    <t>269 698
12 871</t>
  </si>
  <si>
    <t>Объем=229,5 / 100</t>
  </si>
  <si>
    <t>Накладные расходы 112% ФОТ (от 35 826)</t>
  </si>
  <si>
    <t>Сметная прибыль 51% ФОТ (от 35 826)</t>
  </si>
  <si>
    <t>1039,7328
2386,19</t>
  </si>
  <si>
    <t>437,6811
1004,48</t>
  </si>
  <si>
    <t>2,928
6,72</t>
  </si>
  <si>
    <t>531,35
90,72</t>
  </si>
  <si>
    <t>3,9406
9,04</t>
  </si>
  <si>
    <t>632,89
104,86</t>
  </si>
  <si>
    <t>222,4182
510,45</t>
  </si>
  <si>
    <t>173 553,00
6 891,08</t>
  </si>
  <si>
    <t>3,8674
8,88</t>
  </si>
  <si>
    <t>994,47
119,88</t>
  </si>
  <si>
    <t>52,8382
121,26</t>
  </si>
  <si>
    <t>3 213,39
1 219,88</t>
  </si>
  <si>
    <t>5,795
13,3</t>
  </si>
  <si>
    <t>873,94
154,28</t>
  </si>
  <si>
    <t>3,576
8,207</t>
  </si>
  <si>
    <t>2,072
4,755</t>
  </si>
  <si>
    <t>0,288
0,661</t>
  </si>
  <si>
    <t>144 726
6 135</t>
  </si>
  <si>
    <t>Объем=40,5 / 100</t>
  </si>
  <si>
    <t>Накладные расходы 112% ФОТ (от 18 140)</t>
  </si>
  <si>
    <t>Сметная прибыль 51% ФОТ (от 18 140)</t>
  </si>
  <si>
    <t>3081,2808
1247,92</t>
  </si>
  <si>
    <t>1144,4088
463,49</t>
  </si>
  <si>
    <t>2,928
1,19</t>
  </si>
  <si>
    <t>94,09
16,07</t>
  </si>
  <si>
    <t>3,9406
1,6</t>
  </si>
  <si>
    <t>112,02
18,56</t>
  </si>
  <si>
    <t>692,3866
280,42</t>
  </si>
  <si>
    <t>95 342,80
3 785,67</t>
  </si>
  <si>
    <t>4,3432
1,76</t>
  </si>
  <si>
    <t>197,10
23,76</t>
  </si>
  <si>
    <t>52,8382
21,4</t>
  </si>
  <si>
    <t>567,10
215,28</t>
  </si>
  <si>
    <t>6,5026
2,63</t>
  </si>
  <si>
    <t>172,82
30,51</t>
  </si>
  <si>
    <t>12,48
5,054</t>
  </si>
  <si>
    <t>6,48
2,624</t>
  </si>
  <si>
    <t>0,648
0,2624</t>
  </si>
  <si>
    <t>Объем=27*10*30/1000</t>
  </si>
  <si>
    <t>Объем=округл(8,1*0,7;1)</t>
  </si>
  <si>
    <t>17 615
2 453</t>
  </si>
  <si>
    <t>Объем=(27*10) / 100</t>
  </si>
  <si>
    <t>Накладные расходы 87% ФОТ (от 6 506)</t>
  </si>
  <si>
    <t>Сметная прибыль 60% ФОТ (от 6 506)</t>
  </si>
  <si>
    <t>156,045
421,32</t>
  </si>
  <si>
    <t>67,38
181,93</t>
  </si>
  <si>
    <t>7,21
19,47</t>
  </si>
  <si>
    <t>3 494,09
262,85</t>
  </si>
  <si>
    <t>0,19
0,51</t>
  </si>
  <si>
    <t>57,11
6,89</t>
  </si>
  <si>
    <t>3,74
10,1</t>
  </si>
  <si>
    <t>69,69
0,00</t>
  </si>
  <si>
    <t>37,08
100,12</t>
  </si>
  <si>
    <t>8 044,64
1 351,62</t>
  </si>
  <si>
    <t>0,44
1,19</t>
  </si>
  <si>
    <t>78,19
13,80</t>
  </si>
  <si>
    <t>0,002
0,0054</t>
  </si>
  <si>
    <t>1
2,7</t>
  </si>
  <si>
    <t>1,3
3,51</t>
  </si>
  <si>
    <t>13
35,1</t>
  </si>
  <si>
    <t>0,0222
0,0599</t>
  </si>
  <si>
    <t>0,8
2,16</t>
  </si>
  <si>
    <t>0,78
2,106</t>
  </si>
  <si>
    <t>0,2
0,54</t>
  </si>
  <si>
    <t>0,044
0,1188</t>
  </si>
  <si>
    <t>3
8,1</t>
  </si>
  <si>
    <t>0,05
0,135</t>
  </si>
  <si>
    <t>0,1
0,27</t>
  </si>
  <si>
    <t>0,95
2,565</t>
  </si>
  <si>
    <t>Объем=27*10*50/1000</t>
  </si>
  <si>
    <t>Объем=округл(13,5*0,4;1)</t>
  </si>
  <si>
    <t>Объем=1*10</t>
  </si>
  <si>
    <t>Объем=8*10</t>
  </si>
  <si>
    <t>Объем=17*10</t>
  </si>
  <si>
    <t>Накладные расходы 112% ФОТ (от 240)</t>
  </si>
  <si>
    <t>Сметная прибыль 51% ФОТ (от 240)</t>
  </si>
  <si>
    <t>0,255
22,95</t>
  </si>
  <si>
    <t>0,03
2,7</t>
  </si>
  <si>
    <t>0,02
1,8</t>
  </si>
  <si>
    <t>118,28
20,88</t>
  </si>
  <si>
    <t>0,15
13,5</t>
  </si>
  <si>
    <t>16,20
0,00</t>
  </si>
  <si>
    <t>119 866
5 720</t>
  </si>
  <si>
    <t>Объем=102 / 100</t>
  </si>
  <si>
    <t>Накладные расходы 112% ФОТ (от 15 922)</t>
  </si>
  <si>
    <t>Сметная прибыль 51% ФОТ (от 15 922)</t>
  </si>
  <si>
    <t>1039,7328
1060,53</t>
  </si>
  <si>
    <t>437,6811
446,43</t>
  </si>
  <si>
    <t>2,928
2,99</t>
  </si>
  <si>
    <t>236,42
40,37</t>
  </si>
  <si>
    <t>3,9406
4,02</t>
  </si>
  <si>
    <t>281,44
46,63</t>
  </si>
  <si>
    <t>222,4182
226,87</t>
  </si>
  <si>
    <t>77 135,80
3 062,75</t>
  </si>
  <si>
    <t>3,8674
3,94</t>
  </si>
  <si>
    <t>441,24
53,19</t>
  </si>
  <si>
    <t>52,8382
53,89</t>
  </si>
  <si>
    <t>1 428,09
542,13</t>
  </si>
  <si>
    <t>5,795
5,91</t>
  </si>
  <si>
    <t>388,35
68,56</t>
  </si>
  <si>
    <t>3,576
3,648</t>
  </si>
  <si>
    <t>2,072
2,113</t>
  </si>
  <si>
    <t>0,288
0,2938</t>
  </si>
  <si>
    <t>64 323
2 726</t>
  </si>
  <si>
    <t>Объем=18 / 100</t>
  </si>
  <si>
    <t>Накладные расходы 112% ФОТ (от 8 062)</t>
  </si>
  <si>
    <t>Сметная прибыль 51% ФОТ (от 8 062)</t>
  </si>
  <si>
    <t>3081,2808
554,63</t>
  </si>
  <si>
    <t>1144,4088
205,99</t>
  </si>
  <si>
    <t>2,928
0,53</t>
  </si>
  <si>
    <t>41,91
7,16</t>
  </si>
  <si>
    <t>3,9406
0,71</t>
  </si>
  <si>
    <t>49,71
8,24</t>
  </si>
  <si>
    <t>692,3866
124,63</t>
  </si>
  <si>
    <t>42 374,20
1 682,51</t>
  </si>
  <si>
    <t>4,3432
0,78</t>
  </si>
  <si>
    <t>87,35
10,53</t>
  </si>
  <si>
    <t>52,8382
9,51</t>
  </si>
  <si>
    <t>252,02
95,67</t>
  </si>
  <si>
    <t>6,5026
1,17</t>
  </si>
  <si>
    <t>76,88
13,57</t>
  </si>
  <si>
    <t>12,48
2,246</t>
  </si>
  <si>
    <t>6,48
1,166</t>
  </si>
  <si>
    <t>0,648
0,1166</t>
  </si>
  <si>
    <t>Объем=30*4*30/1000</t>
  </si>
  <si>
    <t>Объем=округл(3,6*0,7;1)</t>
  </si>
  <si>
    <t>7 829
1 090</t>
  </si>
  <si>
    <t>Объем=(30*4) / 100</t>
  </si>
  <si>
    <t>Накладные расходы 87% ФОТ (от 2 891)</t>
  </si>
  <si>
    <t>Сметная прибыль 60% ФОТ (от 2 891)</t>
  </si>
  <si>
    <t>156,045
187,25</t>
  </si>
  <si>
    <t>67,38
80,86</t>
  </si>
  <si>
    <t>7,21
8,65</t>
  </si>
  <si>
    <t>1 552,33
116,78</t>
  </si>
  <si>
    <t>0,19
0,23</t>
  </si>
  <si>
    <t>25,76
3,11</t>
  </si>
  <si>
    <t>3,74
4,49</t>
  </si>
  <si>
    <t>30,98
0,00</t>
  </si>
  <si>
    <t>37,08
44,5</t>
  </si>
  <si>
    <t>3 575,58
600,75</t>
  </si>
  <si>
    <t>0,44
0,53</t>
  </si>
  <si>
    <t>34,83
6,15</t>
  </si>
  <si>
    <t>0,002
0,0024</t>
  </si>
  <si>
    <t>1
1,2</t>
  </si>
  <si>
    <t>1,3
1,56</t>
  </si>
  <si>
    <t>13
15,6</t>
  </si>
  <si>
    <t>0,0222
0,0266</t>
  </si>
  <si>
    <t>0,8
0,96</t>
  </si>
  <si>
    <t>0,78
0,936</t>
  </si>
  <si>
    <t>0,2
0,24</t>
  </si>
  <si>
    <t>0,044
0,0528</t>
  </si>
  <si>
    <t>3
3,6</t>
  </si>
  <si>
    <t>0,05
0,06</t>
  </si>
  <si>
    <t>0,1
0,12</t>
  </si>
  <si>
    <t>0,95
1,14</t>
  </si>
  <si>
    <t>Объем=30*4*50/1000</t>
  </si>
  <si>
    <t>Объем=округл(6*0,4;1)</t>
  </si>
  <si>
    <t>Объем=9*4</t>
  </si>
  <si>
    <t>Объем=19*4</t>
  </si>
  <si>
    <t>Накладные расходы 112% ФОТ (от 106)</t>
  </si>
  <si>
    <t>Сметная прибыль 51% ФОТ (от 106)</t>
  </si>
  <si>
    <t>0,255
10,2</t>
  </si>
  <si>
    <t>0,03
1,2</t>
  </si>
  <si>
    <t>0,02
0,8</t>
  </si>
  <si>
    <t>52,57
9,28</t>
  </si>
  <si>
    <t>0,15
6</t>
  </si>
  <si>
    <t>7,20
0,00</t>
  </si>
  <si>
    <t>Накладные расходы 80% ФОТ (от 76 253)</t>
  </si>
  <si>
    <t>Сметная прибыль 45% ФОТ (от 76 253)</t>
  </si>
  <si>
    <t>1,8
6768</t>
  </si>
  <si>
    <t>1 049 259
52 316</t>
  </si>
  <si>
    <t xml:space="preserve">      80% ФОТ (от 81043) (Поз. 74, 86, 140, 82-85)</t>
  </si>
  <si>
    <t xml:space="preserve">      87% ФОТ (от 15758) (Поз. 92, 105, 118, 131)</t>
  </si>
  <si>
    <t xml:space="preserve">      90% ФОТ (от 689) (Поз. 79-81)</t>
  </si>
  <si>
    <t xml:space="preserve">      105% ФОТ (от 225) (Поз. 75)</t>
  </si>
  <si>
    <t xml:space="preserve">      112% ФОТ (от 131296) (Поз. 88-89, 100-102, 113-115, 126-128, 139)</t>
  </si>
  <si>
    <t xml:space="preserve">      45% ФОТ (от 80481) (Поз. 74, 86, 140)</t>
  </si>
  <si>
    <t xml:space="preserve">      51% ФОТ (от 131296) (Поз. 88-89, 100-102, 113-115, 126-128, 139)</t>
  </si>
  <si>
    <t xml:space="preserve">      60% ФОТ (от 16320) (Поз. 92, 105, 118, 131, 82-85)</t>
  </si>
  <si>
    <t xml:space="preserve">      65% ФОТ (от 225) (Поз. 75)</t>
  </si>
  <si>
    <t xml:space="preserve">      85% ФОТ (от 689) (Поз. 79-81)</t>
  </si>
  <si>
    <t xml:space="preserve">               Итого Поз. 74, 86, 140</t>
  </si>
  <si>
    <t xml:space="preserve">               Накладные расходы 80% ФОТ (от 80 481)</t>
  </si>
  <si>
    <t xml:space="preserve">               Сметная прибыль 45% ФОТ (от 80 481)</t>
  </si>
  <si>
    <t xml:space="preserve">               Итого Поз. 75</t>
  </si>
  <si>
    <t xml:space="preserve">               Накладные расходы 105% ФОТ (от 225)</t>
  </si>
  <si>
    <t xml:space="preserve">               Сметная прибыль 65% ФОТ (от 225)</t>
  </si>
  <si>
    <t xml:space="preserve">               Итого Поз. 76-78, 90-91, 93-94, 103-104, 106-107, 116-117, 119-120, 129-130, 132-133</t>
  </si>
  <si>
    <t xml:space="preserve">               Итого Поз. 79-81</t>
  </si>
  <si>
    <t>895
99</t>
  </si>
  <si>
    <t xml:space="preserve">               Накладные расходы 90% ФОТ (от 689)</t>
  </si>
  <si>
    <t xml:space="preserve">               Сметная прибыль 85% ФОТ (от 689)</t>
  </si>
  <si>
    <t xml:space="preserve">               Итого Поз. 87, 95-99, 108-112, 121-125, 134-138</t>
  </si>
  <si>
    <t xml:space="preserve">               Итого Поз. 88-89, 100-102, 113-115, 126-128, 139</t>
  </si>
  <si>
    <t>1 004 317
46 112</t>
  </si>
  <si>
    <t xml:space="preserve">               Накладные расходы 112% ФОТ (от 131 296)</t>
  </si>
  <si>
    <t xml:space="preserve">               Сметная прибыль 51% ФОТ (от 131 296)</t>
  </si>
  <si>
    <t xml:space="preserve">               Итого Поз. 92, 105, 118, 131</t>
  </si>
  <si>
    <t>42 667
5 941</t>
  </si>
  <si>
    <t xml:space="preserve">               Накладные расходы 87% ФОТ (от 15 758)</t>
  </si>
  <si>
    <t xml:space="preserve">               Сметная прибыль 60% ФОТ (от 15 758)</t>
  </si>
  <si>
    <t xml:space="preserve">               Итого Поз. 82-85</t>
  </si>
  <si>
    <t>940
113</t>
  </si>
  <si>
    <t xml:space="preserve">               Накладные расходы 80% ФОТ (от 562)</t>
  </si>
  <si>
    <t xml:space="preserve">               Сметная прибыль 60% ФОТ (от 562)</t>
  </si>
  <si>
    <t>ФЕР27-10-008-02
Приказ Минстроя России от 30.12.2016 №1039/пр</t>
  </si>
  <si>
    <t>Приготовление камня 6 группы: для укрепительных работ - Сбор вручную, сортировка, колка камня (при необходимости), поднос камня к месту устройства упора
(100 м3)</t>
  </si>
  <si>
    <t>1 998,63
1 998,63</t>
  </si>
  <si>
    <t>Объем=1115 / 100</t>
  </si>
  <si>
    <t>Накладные расходы 66% ФОТ (от 22 285)</t>
  </si>
  <si>
    <t>Сметная прибыль 40% ФОТ (от 22 285)</t>
  </si>
  <si>
    <t>1-2-8</t>
  </si>
  <si>
    <t>Затраты труда рабочих (ср 2,8)
(чел.час)</t>
  </si>
  <si>
    <t>238,5
2659,28</t>
  </si>
  <si>
    <t>8,38
8,38</t>
  </si>
  <si>
    <t>02.2.03.01</t>
  </si>
  <si>
    <t>Камень бутовый
(м3)</t>
  </si>
  <si>
    <t>114
1271</t>
  </si>
  <si>
    <t>13.2.02.01</t>
  </si>
  <si>
    <t>Окол камня
(м3)</t>
  </si>
  <si>
    <t>11
122,7</t>
  </si>
  <si>
    <t>ФЕР01-02-044-01
Приказ Минстроя России от 30.12.2016 №1039/пр</t>
  </si>
  <si>
    <t>Устройство каменной наброски или призмы
(100 м3)</t>
  </si>
  <si>
    <t>3 516,09
3 502,67</t>
  </si>
  <si>
    <t>Накладные расходы 80% ФОТ (от 39 074)</t>
  </si>
  <si>
    <t>Сметная прибыль 45% ФОТ (от 39 074)</t>
  </si>
  <si>
    <t>1-2-7</t>
  </si>
  <si>
    <t>Затраты труда рабочих (ср 2,7)
(чел.час)</t>
  </si>
  <si>
    <t>421,5
4699,73</t>
  </si>
  <si>
    <t>8,31
8,31</t>
  </si>
  <si>
    <t>0,15
1,67</t>
  </si>
  <si>
    <t>91.14.03-001</t>
  </si>
  <si>
    <t>Автомобиль-самосвал, грузоподъемность: до 7 т
(маш.час)</t>
  </si>
  <si>
    <t>0,1
1,12</t>
  </si>
  <si>
    <t>89,54
11,60</t>
  </si>
  <si>
    <t>100,28
12,99</t>
  </si>
  <si>
    <t>13.2.04.01</t>
  </si>
  <si>
    <t>Камень
(м3)</t>
  </si>
  <si>
    <t>101
1126</t>
  </si>
  <si>
    <t>ФЕР27-04-001-04
Приказ Минстроя России от 30.12.2016 №1039/пр</t>
  </si>
  <si>
    <t>Устройство подстилающих и выравнивающих слоев оснований: из щебня
(100 м3)</t>
  </si>
  <si>
    <t>5 318,91
293,55</t>
  </si>
  <si>
    <t>5 008,28
417,98</t>
  </si>
  <si>
    <t>9 265
773</t>
  </si>
  <si>
    <t>Объем=185 / 100</t>
  </si>
  <si>
    <t>Накладные расходы 142% ФОТ (от 1 316)</t>
  </si>
  <si>
    <t>Сметная прибыль 95% ФОТ (от 1 316)</t>
  </si>
  <si>
    <t>1-2-4</t>
  </si>
  <si>
    <t>Затраты труда рабочих (ср 2,4)
(чел.час)</t>
  </si>
  <si>
    <t>36,285
67,13</t>
  </si>
  <si>
    <t>8,09
8,09</t>
  </si>
  <si>
    <t>30,9
57,17</t>
  </si>
  <si>
    <t>2,59
4,79</t>
  </si>
  <si>
    <t>378,75
64,67</t>
  </si>
  <si>
    <t>91.01.02-004</t>
  </si>
  <si>
    <t>Автогрейдеры: среднего типа, мощность 99 кВт (135 л.с.)
(маш.час)</t>
  </si>
  <si>
    <t>2,3
4,26</t>
  </si>
  <si>
    <t>123,00
13,50</t>
  </si>
  <si>
    <t>523,98
57,51</t>
  </si>
  <si>
    <t>2,46
4,55</t>
  </si>
  <si>
    <t>409,45
45,77</t>
  </si>
  <si>
    <t>91.08.03-030</t>
  </si>
  <si>
    <t>Катки на пневмоколесном ходу, масса 30 т
(маш.час)</t>
  </si>
  <si>
    <t>12,21
22,59</t>
  </si>
  <si>
    <t>206,01
14,40</t>
  </si>
  <si>
    <t>4 653,77
325,30</t>
  </si>
  <si>
    <t>1,04
1,92</t>
  </si>
  <si>
    <t>211,20
22,27</t>
  </si>
  <si>
    <t>7
12,95</t>
  </si>
  <si>
    <t>Щебень
(м3)</t>
  </si>
  <si>
    <t>Объем=185*1,3</t>
  </si>
  <si>
    <t>ФЕР01-01-019-02
Приказ Минстроя России от 30.12.2016 №1039/пр</t>
  </si>
  <si>
    <t>Разработка грунта с погрузкой на автомобили-самосвалы в котлованах объемом до 1000 м3 экскаваторами с ковшом вместимостью 0,5 м3, группа грунтов: 2
(1000 м3)</t>
  </si>
  <si>
    <t>6 106,50
824,39</t>
  </si>
  <si>
    <t>5 301
716</t>
  </si>
  <si>
    <t>Объем=(895*0,97) / 1000</t>
  </si>
  <si>
    <t>Накладные расходы 95% ФОТ (от 716)</t>
  </si>
  <si>
    <t>Сметная прибыль 50% ФОТ (от 716)</t>
  </si>
  <si>
    <t>61,065
53,01</t>
  </si>
  <si>
    <t>40,71
35,34</t>
  </si>
  <si>
    <t>3 534,00
477,09</t>
  </si>
  <si>
    <t>Объем=(895*0,03) / 100</t>
  </si>
  <si>
    <t>Накладные расходы 80% ФОТ (от 581)</t>
  </si>
  <si>
    <t>Сметная прибыль 45% ФОТ (от 581)</t>
  </si>
  <si>
    <t>277,2
74,43</t>
  </si>
  <si>
    <t>Объем=(895*0,03) / 1000</t>
  </si>
  <si>
    <t>Накладные расходы 95% ФОТ (от 18)</t>
  </si>
  <si>
    <t>Сметная прибыль 50% ФОТ (от 18)</t>
  </si>
  <si>
    <t>50,445
1,35</t>
  </si>
  <si>
    <t>33,63
0,9</t>
  </si>
  <si>
    <t>90,00
12,15</t>
  </si>
  <si>
    <t>Объем=56,27*2,06</t>
  </si>
  <si>
    <t>ФЕР01-01-016-02
Приказ Минстроя России от 30.12.2016 №1039/пр</t>
  </si>
  <si>
    <t>Работа на отвале, группа грунтов: 2-3
(1000 м3)</t>
  </si>
  <si>
    <t>481,61
81,80</t>
  </si>
  <si>
    <t>Объем=895 / 1000</t>
  </si>
  <si>
    <t>Накладные расходы 95% ФОТ (от 111)</t>
  </si>
  <si>
    <t>Сметная прибыль 50% ФОТ (от 111)</t>
  </si>
  <si>
    <t>5,475
4,9</t>
  </si>
  <si>
    <t>6,075
5,44</t>
  </si>
  <si>
    <t>3,97
3,55</t>
  </si>
  <si>
    <t>280,70
47,93</t>
  </si>
  <si>
    <t>0,08
0,07</t>
  </si>
  <si>
    <t>6,27
0,81</t>
  </si>
  <si>
    <t>02.2.05.04-0093</t>
  </si>
  <si>
    <t>Щебень из природного камня для строительных работ марка: 800, фракция 20-40 мм
(м3)</t>
  </si>
  <si>
    <t>0,04
0,0358</t>
  </si>
  <si>
    <t>16 609
1 599</t>
  </si>
  <si>
    <t xml:space="preserve">      66% ФОТ (от 22285) (Поз. 141)</t>
  </si>
  <si>
    <t xml:space="preserve">      80% ФОТ (от 39655) (Поз. 142, 146)</t>
  </si>
  <si>
    <t xml:space="preserve">      95% ФОТ (от 845) (Поз. 145, 147, 149)</t>
  </si>
  <si>
    <t xml:space="preserve">      142% ФОТ (от 1316) (Поз. 143)</t>
  </si>
  <si>
    <t xml:space="preserve">      40% ФОТ (от 22285) (Поз. 141)</t>
  </si>
  <si>
    <t xml:space="preserve">      45% ФОТ (от 39655) (Поз. 142, 146)</t>
  </si>
  <si>
    <t xml:space="preserve">      50% ФОТ (от 845) (Поз. 145, 147, 149)</t>
  </si>
  <si>
    <t xml:space="preserve">      95% ФОТ (от 1316) (Поз. 143)</t>
  </si>
  <si>
    <t xml:space="preserve">     Изготовление в построечных условиях материалов и полуфабрикатов, металлических и трубопроводных заготовок (Норматив СП необходимо указать при составлении сметы):</t>
  </si>
  <si>
    <t xml:space="preserve">          Итого Поз. 141</t>
  </si>
  <si>
    <t xml:space="preserve">          Накладные расходы 66% ФОТ (от 22 285)</t>
  </si>
  <si>
    <t xml:space="preserve">          Сметная прибыль 40% ФОТ (от 22 285)</t>
  </si>
  <si>
    <t xml:space="preserve">     Земляные работы, выполняемые по другим видам работ (подготовительным, сопутствующим, укрепительным):</t>
  </si>
  <si>
    <t xml:space="preserve">          Итого Поз. 142</t>
  </si>
  <si>
    <t xml:space="preserve">          Накладные расходы 80% ФОТ (от 39 074)</t>
  </si>
  <si>
    <t xml:space="preserve">          Сметная прибыль 45% ФОТ (от 39 074)</t>
  </si>
  <si>
    <t xml:space="preserve">     Автомобильные дороги:</t>
  </si>
  <si>
    <t xml:space="preserve">          Итого Поз. 143</t>
  </si>
  <si>
    <t xml:space="preserve">          Накладные расходы 142% ФОТ (от 1 316)</t>
  </si>
  <si>
    <t xml:space="preserve">          Сметная прибыль 95% ФОТ (от 1 316)</t>
  </si>
  <si>
    <t xml:space="preserve">          Итого Поз. 144</t>
  </si>
  <si>
    <t xml:space="preserve">          Итого Поз. 145, 147, 149</t>
  </si>
  <si>
    <t>5 867
807</t>
  </si>
  <si>
    <t xml:space="preserve">          Накладные расходы 95% ФОТ (от 845)</t>
  </si>
  <si>
    <t xml:space="preserve">          Сметная прибыль 50% ФОТ (от 845)</t>
  </si>
  <si>
    <t xml:space="preserve">          Итого Поз. 146</t>
  </si>
  <si>
    <t xml:space="preserve">          Накладные расходы 80% ФОТ (от 581)</t>
  </si>
  <si>
    <t xml:space="preserve">          Сметная прибыль 45% ФОТ (от 581)</t>
  </si>
  <si>
    <t xml:space="preserve">          Итого Поз. 148</t>
  </si>
  <si>
    <t>6 282 544
291 563</t>
  </si>
  <si>
    <t xml:space="preserve">      80% ФОТ (от 251206) (Поз. 1, 13, 72-74, 86, 140, 142, 146, 9-12, 82-85)</t>
  </si>
  <si>
    <t xml:space="preserve">      87% ФОТ (от 59998) (Поз. 19, 32, 45, 58, 92, 105, 118, 131)</t>
  </si>
  <si>
    <t xml:space="preserve">      90% ФОТ (от 2628) (Поз. 6-8, 79-81)</t>
  </si>
  <si>
    <t xml:space="preserve">      105% ФОТ (от 693) (Поз. 2, 75)</t>
  </si>
  <si>
    <t xml:space="preserve">      112% ФОТ (от 775471) (Поз. 15-16, 27-29, 40-42, 53-55, 66, 88-89, 100-102, 113-115, 126-128, 139)</t>
  </si>
  <si>
    <t xml:space="preserve">      45% ФОТ (от 249057) (Поз. 1, 13, 72-74, 86, 140, 142, 146)</t>
  </si>
  <si>
    <t xml:space="preserve">      51% ФОТ (от 775471) (Поз. 15-16, 27-29, 40-42, 53-55, 66, 88-89, 100-102, 113-115, 126-128, 139)</t>
  </si>
  <si>
    <t xml:space="preserve">      60% ФОТ (от 62147) (Поз. 19, 32, 45, 58, 92, 105, 118, 131, 9-12, 82-85)</t>
  </si>
  <si>
    <t xml:space="preserve">      65% ФОТ (от 693) (Поз. 2, 75)</t>
  </si>
  <si>
    <t xml:space="preserve">      85% ФОТ (от 2628) (Поз. 6-8, 79-81)</t>
  </si>
  <si>
    <t xml:space="preserve">               Итого Поз. 1, 13, 72-74, 86, 140, 142</t>
  </si>
  <si>
    <t>1 519
163</t>
  </si>
  <si>
    <t xml:space="preserve">               Накладные расходы 80% ФОТ (от 248 476)</t>
  </si>
  <si>
    <t xml:space="preserve">               Сметная прибыль 45% ФОТ (от 248 476)</t>
  </si>
  <si>
    <t xml:space="preserve">               Итого Поз. 2, 75</t>
  </si>
  <si>
    <t>278
42</t>
  </si>
  <si>
    <t xml:space="preserve">               Накладные расходы 105% ФОТ (от 693)</t>
  </si>
  <si>
    <t xml:space="preserve">               Сметная прибыль 65% ФОТ (от 693)</t>
  </si>
  <si>
    <t xml:space="preserve">               Итого Поз. 3-5, 17-18, 20-21, 30-31, 33-34, 43-44, 46-47, 56-57, 59-60, 71, 76-78, 90-91, 93-94, 103-104, 106-107, 116-117, 119-120, 129-130, 132-133, 144</t>
  </si>
  <si>
    <t xml:space="preserve">               Итого Поз. 6-8, 79-81</t>
  </si>
  <si>
    <t>3 429
379</t>
  </si>
  <si>
    <t xml:space="preserve">               Накладные расходы 90% ФОТ (от 2 628)</t>
  </si>
  <si>
    <t xml:space="preserve">               Сметная прибыль 85% ФОТ (от 2 628)</t>
  </si>
  <si>
    <t xml:space="preserve">               Итого Поз. 14, 22-26, 35-39, 48-52, 61-65, 68, 70, 87, 95-99, 108-112, 121-125, 134-138</t>
  </si>
  <si>
    <t xml:space="preserve">               Итого Поз. 15-16, 27-29, 40-42, 53-55, 66, 88-89, 100-102, 113-115, 126-128, 139</t>
  </si>
  <si>
    <t>6 088 906
265 655</t>
  </si>
  <si>
    <t xml:space="preserve">               Накладные расходы 112% ФОТ (от 775 471)</t>
  </si>
  <si>
    <t xml:space="preserve">               Сметная прибыль 51% ФОТ (от 775 471)</t>
  </si>
  <si>
    <t xml:space="preserve">               Итого Поз. 19, 32, 45, 58, 92, 105, 118, 131</t>
  </si>
  <si>
    <t>162 446
22 619</t>
  </si>
  <si>
    <t xml:space="preserve">               Накладные расходы 87% ФОТ (от 59 998)</t>
  </si>
  <si>
    <t xml:space="preserve">               Сметная прибыль 60% ФОТ (от 59 998)</t>
  </si>
  <si>
    <t xml:space="preserve">          Изготовление в построечных условиях материалов и полуфабрикатов, металлических и трубопроводных заготовок (Норматив СП необходимо указать при составлении сметы):</t>
  </si>
  <si>
    <t xml:space="preserve">               Итого Поз. 141</t>
  </si>
  <si>
    <t xml:space="preserve">               Накладные расходы 66% ФОТ (от 22 285)</t>
  </si>
  <si>
    <t xml:space="preserve">               Сметная прибыль 40% ФОТ (от 22 285)</t>
  </si>
  <si>
    <t xml:space="preserve">          Автомобильные дороги:</t>
  </si>
  <si>
    <t xml:space="preserve">               Итого Поз. 143</t>
  </si>
  <si>
    <t xml:space="preserve">               Накладные расходы 142% ФОТ (от 1 316)</t>
  </si>
  <si>
    <t xml:space="preserve">               Сметная прибыль 95% ФОТ (от 1 316)</t>
  </si>
  <si>
    <t xml:space="preserve">               Итого Поз. 145, 147, 149</t>
  </si>
  <si>
    <t xml:space="preserve">               Накладные расходы 95% ФОТ (от 845)</t>
  </si>
  <si>
    <t xml:space="preserve">               Сметная прибыль 50% ФОТ (от 845)</t>
  </si>
  <si>
    <t xml:space="preserve">               Итого Поз. 146</t>
  </si>
  <si>
    <t xml:space="preserve">               Накладные расходы 80% ФОТ (от 581)</t>
  </si>
  <si>
    <t xml:space="preserve">               Сметная прибыль 45% ФОТ (от 581)</t>
  </si>
  <si>
    <t xml:space="preserve">               Итого Поз. 148</t>
  </si>
  <si>
    <t xml:space="preserve">               Итого Поз. 9-12, 82-85</t>
  </si>
  <si>
    <t>3 339
402</t>
  </si>
  <si>
    <t xml:space="preserve">               Накладные расходы 80% ФОТ (от 2 149)</t>
  </si>
  <si>
    <t xml:space="preserve">               Сметная прибыль 60% ФОТ (от 2 149)</t>
  </si>
  <si>
    <t xml:space="preserve">Составил:  ____________________________ </t>
  </si>
  <si>
    <t>ед.изм.</t>
  </si>
  <si>
    <t>Цена за ед.</t>
  </si>
  <si>
    <t>в т.ч. Устройство гибких снегоудерживающих барьеров SPIDER Avalanche Dk 3.5 N 3.2</t>
  </si>
  <si>
    <t>Реконструкция сооружений снегоудерживающих лавинных очагов № 1, 2, 3</t>
  </si>
  <si>
    <t>Реконструкция снегоудерживающих сооружений ВТРК «Эльбрус». Этап 2.</t>
  </si>
  <si>
    <t>ЛОКАЛЬНЫЙ СМЕТНЫЙ РАСЧЕТ (СМЕТА) № 02-02-01</t>
  </si>
  <si>
    <t>Раздел 1. Существующие снегоудерживающие сооружения лавинных очагов № 2, №3</t>
  </si>
  <si>
    <t>Сооружения снегоудерживающие лавинного очага №2</t>
  </si>
  <si>
    <t>Сооружения снегоудерживающие лавинного очага №3</t>
  </si>
  <si>
    <t>Итоги по разделу 1 Существующие снегоудерживающие сооружения лавинных очагов № 2, №3 :</t>
  </si>
  <si>
    <t xml:space="preserve">  Итого по разделу 1 Существующие снегоудерживающие сооружения лавинных очагов № 2, №3</t>
  </si>
  <si>
    <t>Раздел 2. Существующие снегоудерживающие сооружения лавинного очага № 1</t>
  </si>
  <si>
    <t>Итоги по разделу 2 Существующие снегоудерживающие сооружения лавинного очага № 1 :</t>
  </si>
  <si>
    <t xml:space="preserve">  Итого по разделу 2 Существующие снегоудерживающие сооружения лавинного очага № 1</t>
  </si>
  <si>
    <t>*Индекс фактической инфляции по данным Росстата от цен  сметной документации до даты формирования НМЦК:</t>
  </si>
  <si>
    <t>Стоимость работ,
руб.</t>
  </si>
  <si>
    <t>Сейсмичность 9 баллов;</t>
  </si>
  <si>
    <t>Стадийность проектирования;</t>
  </si>
  <si>
    <t>Индекс изменения сметной стоимости проектных работ на I квартал 2024 года к уровню цен по состоянию на 01.01.2021 по Письму Минстроя России от 07.03.2024 №13023-ИФ/09;</t>
  </si>
  <si>
    <t>Кинф=1,37;</t>
  </si>
  <si>
    <t>КР;</t>
  </si>
  <si>
    <t xml:space="preserve"> 12%;</t>
  </si>
  <si>
    <t>Итого "Коэфф. относительной стоимости"</t>
  </si>
  <si>
    <t>ПЗ;</t>
  </si>
  <si>
    <t xml:space="preserve"> 0,5%;</t>
  </si>
  <si>
    <t>ПОС;</t>
  </si>
  <si>
    <t xml:space="preserve"> 3%;</t>
  </si>
  <si>
    <t>ООС;</t>
  </si>
  <si>
    <t xml:space="preserve"> 6%;</t>
  </si>
  <si>
    <t>ПБ;</t>
  </si>
  <si>
    <t xml:space="preserve"> 1%;</t>
  </si>
  <si>
    <t>СМ;</t>
  </si>
  <si>
    <t xml:space="preserve"> 7%;</t>
  </si>
  <si>
    <t>Индекс изменения сметной стоимости проектных работ на I квартал 2024 года к уровню цен по состоянию на 01.01.2022 по Письму Минстроя России от 07.03.2024 №13023-ИФ/09;</t>
  </si>
  <si>
    <t>Кинф=1,26;</t>
  </si>
  <si>
    <t xml:space="preserve"> 10%;</t>
  </si>
  <si>
    <t xml:space="preserve"> 20%;</t>
  </si>
  <si>
    <t xml:space="preserve"> 5%;</t>
  </si>
  <si>
    <t xml:space="preserve"> 2%;</t>
  </si>
  <si>
    <t>Индекс изменения сметной стоимости проектных работ на I квартал 2024 года к уровню цен по состоянию на 01.01.2001 по Письму Минстроя России от 07.03.2024 №13023-ИФ/09;</t>
  </si>
  <si>
    <t>Кинф=5,81;</t>
  </si>
  <si>
    <t>Проект организации строительства;</t>
  </si>
  <si>
    <t>ППО;</t>
  </si>
  <si>
    <t>ТКР;</t>
  </si>
  <si>
    <t xml:space="preserve"> 4%;</t>
  </si>
  <si>
    <t xml:space="preserve"> 18%;</t>
  </si>
  <si>
    <t>РАСЧЕТ ЗАТРАТ НА ГОСУДАРСТВЕННУЮ ЭКСПЕРТИЗУ</t>
  </si>
  <si>
    <t xml:space="preserve"> 8%;</t>
  </si>
  <si>
    <t xml:space="preserve"> 9%;</t>
  </si>
  <si>
    <t xml:space="preserve"> 13%;</t>
  </si>
  <si>
    <t>К1=1,3 СБЦП МУ(2009) п.3.7;</t>
  </si>
  <si>
    <t xml:space="preserve"> 25%;</t>
  </si>
  <si>
    <t xml:space="preserve">СМЕТА № 1-РД   </t>
  </si>
  <si>
    <t>Ки1=0,6 ;</t>
  </si>
  <si>
    <t>Котн=87%</t>
  </si>
  <si>
    <t>Котн=13%</t>
  </si>
  <si>
    <t xml:space="preserve"> 57%;</t>
  </si>
  <si>
    <t xml:space="preserve"> 89,5%;</t>
  </si>
  <si>
    <t>Котн=91,5%</t>
  </si>
  <si>
    <t>Котн=8,5%</t>
  </si>
  <si>
    <t>Расчет стоимости разработки ОВОС</t>
  </si>
  <si>
    <t>Стоимость проектных работ, руб</t>
  </si>
  <si>
    <t>% стоимости разработки ОВОС от общей стоимости проектирования (П+Р)</t>
  </si>
  <si>
    <t>Стоимость разработки ОВОС, руб</t>
  </si>
  <si>
    <t>ПД</t>
  </si>
  <si>
    <t>РД</t>
  </si>
  <si>
    <t>Методика, 707/пр. Приложение 4, табл.4.1, п.10</t>
  </si>
  <si>
    <t>Оценка воздействия на окружающую среду</t>
  </si>
  <si>
    <t>Расчет ОВОС</t>
  </si>
  <si>
    <t>Ур. (для нумерации позиций)</t>
  </si>
  <si>
    <t>№ п\п</t>
  </si>
  <si>
    <t>Наименование объектов, видов работ</t>
  </si>
  <si>
    <t>Ценовой период объекта-аналога</t>
  </si>
  <si>
    <t>Итого общий усложняющий коэффициент</t>
  </si>
  <si>
    <t>Итого общий ценообразующий коэффициент</t>
  </si>
  <si>
    <t>Коэффициенты, учитывающие изменение стоимости строительства
на территориях субъектов Российской Федерации, связанные
с климатическими условиями (Kpег.1 )</t>
  </si>
  <si>
    <t>Коэффициент, характеризующий удорожание стоимости строительства в сейсмических районах (Кс)</t>
  </si>
  <si>
    <t>Примечание</t>
  </si>
  <si>
    <t>1 км</t>
  </si>
  <si>
    <t>100 пог.м</t>
  </si>
  <si>
    <t>1 м3</t>
  </si>
  <si>
    <t>НДС 20%</t>
  </si>
  <si>
    <t>Заместитель руководителя управления направления сметного регулирования Управления проектов Департамента развития инфраструктуры  АО "КАВКАЗ.РФ"</t>
  </si>
  <si>
    <t>2017</t>
  </si>
  <si>
    <t>2018</t>
  </si>
  <si>
    <t>2019</t>
  </si>
  <si>
    <t>2020</t>
  </si>
  <si>
    <t>2021</t>
  </si>
  <si>
    <t>2022</t>
  </si>
  <si>
    <t>2023</t>
  </si>
  <si>
    <t>2024</t>
  </si>
  <si>
    <t>Российская Федерация</t>
  </si>
  <si>
    <t>Для опредления цены проектных работ принят  проектно-сметный метод с  использованием в расчетах нормативных документов, включенных в Федеральный реестр сметных нормативов, подлежащих применению при определении сметной стоимости объектов капитального строительства,  строительство которых финансируется с привлечением средств федерального бюджета: нормативов затрат на работы по подготовке проектной документации,  справочников базовых цен  на проектные работы в строительстве, Методики определения стоимости работ по подготовке проектной документации, утвержденной приказом Минстрой РФ от 01.10.2021 № 707/пр, Методических указаний по применению справочников базовых цен на проектные работы в строительстве, утвержденных приказом Минрегионразвития РФ от 29.12. 2009 № 620.</t>
  </si>
  <si>
    <t>Уточняется проектом</t>
  </si>
  <si>
    <t>м3/час</t>
  </si>
  <si>
    <t>НЦС 81-02-21-2024
21-01-003-09
КТП 10(6) кВ блочного типа (бетонные здания), количество Т(АТ) шт. и мощность кВА: 2х1000</t>
  </si>
  <si>
    <t>10 м трубопровода</t>
  </si>
  <si>
    <t>НЦС 81-02-16-2024
16-05-005-01
Ограждения по металлическим столбам из готовых металлических панелей решетчатых высотой 2,5 м, при массе 1 пог. м ограждения: 45 кг</t>
  </si>
  <si>
    <t>на изыскательские работы</t>
  </si>
  <si>
    <t>Геофизические исследования</t>
  </si>
  <si>
    <t>Наименование объекта изысканий:</t>
  </si>
  <si>
    <t>Наименование организации заказчика</t>
  </si>
  <si>
    <t xml:space="preserve"> АО "КАВКАЗ.РФ"</t>
  </si>
  <si>
    <t>Сметный расчет составлен по следующим документам: Сборник цен на изыскательские работы для капитального строительства. 1981г. (Глава 16, Глава 20)</t>
  </si>
  <si>
    <t>Ед.
Изм</t>
  </si>
  <si>
    <t>Кол-
во.</t>
  </si>
  <si>
    <t>Обоснование стоимости</t>
  </si>
  <si>
    <t>Расчет стоимости</t>
  </si>
  <si>
    <t>Стоимость, руб.</t>
  </si>
  <si>
    <t>цена за ед.</t>
  </si>
  <si>
    <t>к1</t>
  </si>
  <si>
    <t>к2</t>
  </si>
  <si>
    <t>к3</t>
  </si>
  <si>
    <t>Полевые работы</t>
  </si>
  <si>
    <t>1 ф.н.</t>
  </si>
  <si>
    <t>Коэффициенты</t>
  </si>
  <si>
    <t xml:space="preserve">Наблюдения с двумя компонентами вектора смещений (регистрация поочередная)
</t>
  </si>
  <si>
    <t>К1=1,1 Часть IV, Глава 16 таблица 257 §14</t>
  </si>
  <si>
    <t>При переноске оборудования с профиля на профиль, от скважины или горной выработки к скважине или горной выработке на расстояние свыше 200 м к=1,2</t>
  </si>
  <si>
    <t xml:space="preserve">K2 = 1.2
Часть IV, Глава 16, Общие Положения, п.6 </t>
  </si>
  <si>
    <t>Поправочный коэффициент к ценам на изыскательские работы для строительства</t>
  </si>
  <si>
    <t>K2 = 1.21
Письмо Госстроя СССР от 25 декабря 1990 года № 21-Д</t>
  </si>
  <si>
    <t>СЦИР-82, г. Часть IV. Глава 16. таблица 267 Вертикальное электрическое зондирование с поверхности земли, §2</t>
  </si>
  <si>
    <t>При переноске оборудования с профиля на профиль, от скважины или горной выработки к скважине или горной выработке на расстояние до 200 м</t>
  </si>
  <si>
    <t xml:space="preserve">K1 = 1.1
Часть IV, Глава 16, Общие Положения, п.6 </t>
  </si>
  <si>
    <t>K1 = 1.21
Письмо Госстроя СССР от 25 декабря 1990 года № 21-Д</t>
  </si>
  <si>
    <t>Итого Полевые работы:</t>
  </si>
  <si>
    <t>Выполнение работ высокогорном районе, св. 2000 до 3000 м</t>
  </si>
  <si>
    <t>СБЦ 1982  Таб. 1, §3</t>
  </si>
  <si>
    <t>Надбавки за выполнение полевых работ и выполняемых в условиях полевого лагеря камеральных работ в неблагоприятный период года. Продолжительность неблагоприятного периода года 8-9.5 мес</t>
  </si>
  <si>
    <t>СБЦ 1982  Таб. 2, §4</t>
  </si>
  <si>
    <t>1.6</t>
  </si>
  <si>
    <t>Всего Полевые работы:</t>
  </si>
  <si>
    <t>Камеральные работы</t>
  </si>
  <si>
    <t>Камеральная обработка сейсморазведки МПВ при двух типах волн при выполнении спецрасчетов и расчетов на ЭВМ</t>
  </si>
  <si>
    <t>СЦИР-82, г. Часть IV. Глава 16. Таблица 291. Обработка материалов сейсморазведки и сейсмоакустики, §2</t>
  </si>
  <si>
    <t>При выполнении расчетов на ЭВМ</t>
  </si>
  <si>
    <t>К1=1,15
СЦИР-82, г. Часть IV. Глава 16. примечания к таблице 291, п.2</t>
  </si>
  <si>
    <t xml:space="preserve">K2 = 1.21
Письмо Госстроя СССР от 25 декабря 1990 года № 21-Д </t>
  </si>
  <si>
    <t>1 запись</t>
  </si>
  <si>
    <t>СЦИР-82, г. Часть IV. Глава 16. таблица 293 Обработка материалов по определению коррозионной активности грунтов и интенсивности блуждающих токов, сейсмическому микрорайонированию, §8</t>
  </si>
  <si>
    <t xml:space="preserve">K1 = 1.21
Письмо Госстроя СССР от 25 декабря 1990 года № 21-Д </t>
  </si>
  <si>
    <t>Составление программы при стоимости изысканий, тыс. руб.: до 5</t>
  </si>
  <si>
    <t>1 программа</t>
  </si>
  <si>
    <t>СЦИР-82, г. Часть IV. Глава 16. таблица 294 §1</t>
  </si>
  <si>
    <t>стоимость изысканий</t>
  </si>
  <si>
    <t>2.4</t>
  </si>
  <si>
    <t>Составление технического отчета по сейсморазведке, электроразведке… и сейсмическому микрорайонированию по комплексу методов, примененных на одном объекте</t>
  </si>
  <si>
    <t xml:space="preserve">1 отчет </t>
  </si>
  <si>
    <t>СЦИР-82, г. Часть IV. Глава 16. таблица 294 §10</t>
  </si>
  <si>
    <t>2.5</t>
  </si>
  <si>
    <t>Итого Камеральные работы:</t>
  </si>
  <si>
    <t>2.6</t>
  </si>
  <si>
    <t>Всего Камеральные работы:</t>
  </si>
  <si>
    <t>Прочие расходы</t>
  </si>
  <si>
    <t>Расходы по внешнему транспорту. Расстояние проезда и перевозки св. 1000 до 2000 км. Продолжительность экспедиции до 1 мес</t>
  </si>
  <si>
    <t xml:space="preserve">СБЦИР-82.Таб 5, §5
</t>
  </si>
  <si>
    <t>Расходы по организации изысканий при стоимости геофизических изысканий: до 100 тыс. руб.</t>
  </si>
  <si>
    <t>СБЦИР-82. Таб 6, §3</t>
  </si>
  <si>
    <t>Расходы по ликвидации изысканий при стоимости геофизических изысканий: до 100 тыс. руб.</t>
  </si>
  <si>
    <t>3.5</t>
  </si>
  <si>
    <t>Затраты по метрологическому обеспечению единства и точности средств измерений и дополнительным амортизационным отчислениям по производственному оборудованию и транспорту</t>
  </si>
  <si>
    <t>СБЦИР-82 п.14 (дополнение)</t>
  </si>
  <si>
    <t>3.6</t>
  </si>
  <si>
    <t>Всего Прочие расходы:</t>
  </si>
  <si>
    <t>Итого по смете:</t>
  </si>
  <si>
    <t>НДС</t>
  </si>
  <si>
    <t xml:space="preserve">ВСЕГО по смете с учетом непредвиденных расходов </t>
  </si>
  <si>
    <t>Запись микроколебаний. Промежуточная магнитная запись микросейсм при воспроизведении с разверсткой, см/с св. 2, число регистрируемых компонент 3</t>
  </si>
  <si>
    <t>СЦИР-82, г. Часть IV. Глава 16. Таблица 290. Запись микроколебаний (микросейсм) сейсмологическими станциями, §4</t>
  </si>
  <si>
    <t>При переноске оборудования с профиля на профиль, от скважины или горной выработки к скважине или горной выработке на расстояние св. 200 м</t>
  </si>
  <si>
    <t xml:space="preserve">K1 = 1.2
Часть IV, Глава 16, Общие Положения, п.6 </t>
  </si>
  <si>
    <t>Сейсморазведка МПВ при возбуждении колебаний ударами кувалды, наблюдения с двумя сейсмограммами, категория сложности IV, шаг до 2 м, число пикетов взрыва 7</t>
  </si>
  <si>
    <t>Вертикальное электрическое зондирование с поверхности земли. Симметричная установка АВ, длина установки св. 50 до 100 м, категория сложности IV</t>
  </si>
  <si>
    <t>СЦИР-82, г. Часть IV. Глава 16. Таблица 258. Сейсморазведка МПВ на дневной поверхности, §89 п.7</t>
  </si>
  <si>
    <t>Разность потенциалов до 0,3 мВ, неустойчивые токи ПС</t>
  </si>
  <si>
    <t>K2 = 1.1
Часть IV, Глава 16 таблица 265 §4</t>
  </si>
  <si>
    <t>Расчет спектральных характеристик грунтовых толщ. Обработка материалов сейсмологических наблюдений за колебаниями грунтов при землетрясениях, взрывах и микроколебаниях, машинная обработка при выполнении расчетов ЭВМ</t>
  </si>
  <si>
    <t>Расходы по внутреннему транспорту при расстоянии от базы св.20 до 25 км.  При стоимости полевых работ до 5 тыс. руб.</t>
  </si>
  <si>
    <t>СБЦИР-82. Таб 4 §5</t>
  </si>
  <si>
    <t>ИТОГО в ценах 1 квартала 2024 г. (письмо Минстроя России т 07.03.2024 №13023-ИФ/09)</t>
  </si>
  <si>
    <t>НЦС 81-02-12-2024
12-03-004-01
Прокладка линий наружного освещения на металлических опорах с подземной подводкой питания в трубе напряжением 1 кВ кабелями с медными жилами, 
с изоляцией из ПВХ, с броней из стальных оцинкованных лент, без подушки 
под броней, в защитном шланге из ПВХ:
с числом жил - 4 и сечением 16 мм2</t>
  </si>
  <si>
    <t>1 точка</t>
  </si>
  <si>
    <t>1 образец</t>
  </si>
  <si>
    <t>Стадия проектирования;</t>
  </si>
  <si>
    <t>К2=1,3 СБЦП МУ(2009) п.3.7;</t>
  </si>
  <si>
    <t>Схема планировочной организации земельного участка;</t>
  </si>
  <si>
    <t>Архитектурные решения;</t>
  </si>
  <si>
    <t>Конструктивные и объемнопланировочные решения;</t>
  </si>
  <si>
    <t>Инженерное оборудование, сети, инженерно-технические мероприятия, технологические решения: Система электроснабжения;</t>
  </si>
  <si>
    <t>Инженерное оборудование, сети, инженерно-технические мероприятия, технологические решения: Система водоснабжения;</t>
  </si>
  <si>
    <t>Инженерное оборудование, сети, инженерно-технические мероприятия, технологические решения: Система водоотведения;</t>
  </si>
  <si>
    <t>Инженерное оборудование, сети, инженерно-технические мероприятия, технологические решения: Отопление, вентиляция;</t>
  </si>
  <si>
    <t>Инженерное оборудование, сети, инженерно-технические мероприятия, технологические решения: Основные общеинженерные системы связи и оповещения;</t>
  </si>
  <si>
    <t>Инженерное оборудование, сети, инженерно-технические мероприятия, технологические решения: Технологические решения;</t>
  </si>
  <si>
    <t>Пояснительная записка;</t>
  </si>
  <si>
    <t>Перечень мероприятий по охране окружающей среды;</t>
  </si>
  <si>
    <t>Мероприятия по обеспечению пожарной безопасности;</t>
  </si>
  <si>
    <t>Требования к обеспечению безопасной эксплуатации объекта капитального строительства;</t>
  </si>
  <si>
    <t>Мероприятия по обеспечению соблюдения требований энергетической эффективности и требований оснащенности зданий, строений и сооружений приборами учета используемых энергетических ресурсов;</t>
  </si>
  <si>
    <t>Смета на строительство;</t>
  </si>
  <si>
    <t>Проектирование линейных сооружений сети  водоснабжения из полимерных труб, требующих проверки на статическую устойчивость в период длительной эксплуатации;</t>
  </si>
  <si>
    <t>К1=1,1 Таб.3.4.1 п.6;</t>
  </si>
  <si>
    <t xml:space="preserve">
(НЗ_СИТО_ИО-3.12-1-1) </t>
  </si>
  <si>
    <t>Котн=78%</t>
  </si>
  <si>
    <t>Котн=22%</t>
  </si>
  <si>
    <t xml:space="preserve">СБЦП "Объекты водоснабжения и канализации (2015)" табл.5 п.10
(СБЦП17-5-10) </t>
  </si>
  <si>
    <t>Привязка типовой или повторно применяемой проектной документации с внесением в нее изменений в подземную и надземную часть - до 0,8;</t>
  </si>
  <si>
    <t>К3=0,8 СБЦП МУ(2009) п.3.2;</t>
  </si>
  <si>
    <t>ПЗУ;</t>
  </si>
  <si>
    <t>АР;</t>
  </si>
  <si>
    <t>ИОС - ОВ;</t>
  </si>
  <si>
    <t>ИОС - ВК;</t>
  </si>
  <si>
    <t>ИОС - ЭО;</t>
  </si>
  <si>
    <t xml:space="preserve">
(НЗ_СИТО_ИО-3.4-2-3) </t>
  </si>
  <si>
    <t xml:space="preserve">
(НЗ_СИТО_ИО-3.4-8.1) </t>
  </si>
  <si>
    <t>Проектирование узлов управления линейного сооружения сети водоснабжения, разрабатываемых с использованием проектной документации повторного применения;</t>
  </si>
  <si>
    <t>К1=0,2 Таб.3.4.1 п.7;</t>
  </si>
  <si>
    <t xml:space="preserve">
(НЗ_СИТО_ИО-3.5-1-1) </t>
  </si>
  <si>
    <t>Проектирование линейных сооружений сети водоотведения из полимерных труб, требующих	проверки на статическую устойчивость в период длительной эксплуатации;</t>
  </si>
  <si>
    <t>К1=1,1 Таб.3.5.1 п.5;</t>
  </si>
  <si>
    <t>К3=0,2 СБЦП МУ(2009) п.3.2;</t>
  </si>
  <si>
    <t xml:space="preserve">Комплектная двухтрансформаторная подстанция класса напряжения 6-10 кВ на номинальное напряжение на стороне низкого напряжения 0,23-0,69 кВ с количеством ячеек до 8, оборудованная распределительными устройствами высокого и низкого напряжения, автоматического включения резерва, полной мощностью: 2 х 1000 кВА
(разделы: ПЗУ, АР, КР, ИОС), 1(1 подстанция) </t>
  </si>
  <si>
    <t xml:space="preserve">
(НЗ_СИТО_ИО-3.13-3.2) </t>
  </si>
  <si>
    <t xml:space="preserve"> 5,5%;</t>
  </si>
  <si>
    <t xml:space="preserve">Комплектная двухтрансформаторная подстанция класса напряжения 6-10 кВ на номинальное напряжение на стороне низкого напряжения 0,23-0,69 кВ с количеством ячеек до 8, оборудованная распределительными устройствами высокого и низкого напряжения, автоматического включения резерва, полной мощностью: 2 х 1000 кВА
(разделы: ПЗ, ПОС, ООС, ПБ, СМ), 1(1 подстанция) </t>
  </si>
  <si>
    <t>Проектирование нескольких параллельных кабелей сооружений кабельной электрической линии, прокладываемых одинаковым способом: с 2 по 6 кабель, к стоимости проектирования каждого последующего после первого кабеля;</t>
  </si>
  <si>
    <t>К2=0,3 Таб.3.11.1 п.2.1;</t>
  </si>
  <si>
    <t>К1=0,3 Таб.3.11.1 п.2.1;</t>
  </si>
  <si>
    <t xml:space="preserve">
(НЗ_СИТО_ИО-3.11-1-4) </t>
  </si>
  <si>
    <t>Проектирование сооружений кабельной электрической линии напряжением до 1 кВ;</t>
  </si>
  <si>
    <t>К2=0,8 Таб.3.11.1 п.3;</t>
  </si>
  <si>
    <t>К1=0,8 Таб.3.11.1 п.3;</t>
  </si>
  <si>
    <t xml:space="preserve">
(НЗ_СИТО_ИО-3.11-1-1) </t>
  </si>
  <si>
    <t>Проектирование подземного перехода, прокладываемого методом ГНБ (бурошнековыми установками или установками ГНБ), методом прессошнекового бурения, диаметром до 250 мм;</t>
  </si>
  <si>
    <t>К1=0,9 Таб.3.12.1 п.2;</t>
  </si>
  <si>
    <t xml:space="preserve">НЗ_ИТСО. Нормативные затраты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 Таб.3.1 п.1-1
(НЗ_ИТСО-3.1-1-1) </t>
  </si>
  <si>
    <t>ТХ;</t>
  </si>
  <si>
    <t>ИОС: ЭО;</t>
  </si>
  <si>
    <t>ИОС: АВТ;</t>
  </si>
  <si>
    <t xml:space="preserve"> 15%;</t>
  </si>
  <si>
    <t>Стоимость проектных работ по демонтажу сетей инженерно-технического обеспечения;</t>
  </si>
  <si>
    <t>К1=0,05 ОП п.28;</t>
  </si>
  <si>
    <t>К2=0,05 ОП п.28;</t>
  </si>
  <si>
    <t>К1=0,4 ОП п.1.7;</t>
  </si>
  <si>
    <t xml:space="preserve"> 33%;</t>
  </si>
  <si>
    <t>Котн=93%</t>
  </si>
  <si>
    <t>Котн=7%</t>
  </si>
  <si>
    <t xml:space="preserve"> 87,5%;</t>
  </si>
  <si>
    <t>Котн=89,5%</t>
  </si>
  <si>
    <t>Котн=10,5%</t>
  </si>
  <si>
    <t xml:space="preserve"> 2,5%;</t>
  </si>
  <si>
    <t xml:space="preserve"> 86,5%;</t>
  </si>
  <si>
    <t>Котн=89%</t>
  </si>
  <si>
    <t>Котн=11%</t>
  </si>
  <si>
    <t xml:space="preserve">13 428,46 </t>
  </si>
  <si>
    <t>426 833,04</t>
  </si>
  <si>
    <t xml:space="preserve">14 551,13 </t>
  </si>
  <si>
    <t xml:space="preserve">38 803,00 </t>
  </si>
  <si>
    <t xml:space="preserve">121 259,39 </t>
  </si>
  <si>
    <t xml:space="preserve"> 50%;</t>
  </si>
  <si>
    <t xml:space="preserve">242 518,77 </t>
  </si>
  <si>
    <t xml:space="preserve">4 850,38 </t>
  </si>
  <si>
    <t>Котн=88%</t>
  </si>
  <si>
    <t>(453900*1)*0,6*1,37*0,12
(A*X)*Ки1*Кинф*Котн</t>
  </si>
  <si>
    <t>44 772,70</t>
  </si>
  <si>
    <t xml:space="preserve">1 865,53 </t>
  </si>
  <si>
    <t xml:space="preserve"> 6,5%;</t>
  </si>
  <si>
    <t xml:space="preserve">24 251,88 </t>
  </si>
  <si>
    <t xml:space="preserve">18 655,29 </t>
  </si>
  <si>
    <t>Котн=12%</t>
  </si>
  <si>
    <t>Описание метода расчета стоимости изыскательских работ</t>
  </si>
  <si>
    <t xml:space="preserve">Для определения цены изыскательских работ принят  проектно-сметный метод с  использованием в расчетах нормативных документов, включенных в Федеральный реестр сметных нормативов, подлежащих применению при определении сметной стоимости объектов капитального строительства,  строительство которых финансируется с привлечением средств федерального бюджета:  справочников базовых цен  на инженерные изыскания в строительстве и Методического пособия по определению стоимости инженерных изысканий для строительства. </t>
  </si>
  <si>
    <t>на инженерно-геодезические изыскания</t>
  </si>
  <si>
    <t>Цена, руб.</t>
  </si>
  <si>
    <t>на выполнение инженерно-экологических изысканий</t>
  </si>
  <si>
    <t>Наименование объекта:</t>
  </si>
  <si>
    <t>Проект</t>
  </si>
  <si>
    <t xml:space="preserve">СПРАВОЧНИК БАЗОВЫХ ЦЕН
на инженерно-геологические и инженерно-экологические
изыскания для строительства  СБЦ-99
</t>
  </si>
  <si>
    <t>Вид работ</t>
  </si>
  <si>
    <t>Таблица и параграф СБЦ</t>
  </si>
  <si>
    <t>Цена</t>
  </si>
  <si>
    <t>1.  Полевые работы</t>
  </si>
  <si>
    <t>1.7</t>
  </si>
  <si>
    <t>1.8</t>
  </si>
  <si>
    <t>1.9</t>
  </si>
  <si>
    <t>ИТОГО</t>
  </si>
  <si>
    <t>1.12</t>
  </si>
  <si>
    <t>1.13</t>
  </si>
  <si>
    <t>Расходы на организацию и ликвидацию работ</t>
  </si>
  <si>
    <t>Приготовление солянокислой вытяжки</t>
  </si>
  <si>
    <t xml:space="preserve"> Табл.70, § 84</t>
  </si>
  <si>
    <t xml:space="preserve">Водородный показатель pH солевой вытяжки </t>
  </si>
  <si>
    <t xml:space="preserve"> Табл.70, § 14</t>
  </si>
  <si>
    <t>Табл.70, § 57</t>
  </si>
  <si>
    <t>Определение нефтепродуктов</t>
  </si>
  <si>
    <t>Табл.70, § 63</t>
  </si>
  <si>
    <t>2.7</t>
  </si>
  <si>
    <t>Определение 3,4-бенз(а)пирена</t>
  </si>
  <si>
    <t>Табл.70, § 66</t>
  </si>
  <si>
    <t>2.8</t>
  </si>
  <si>
    <t>2.9</t>
  </si>
  <si>
    <t>2.10</t>
  </si>
  <si>
    <t>Приготовление водной вытяжки</t>
  </si>
  <si>
    <t>2.11</t>
  </si>
  <si>
    <t>3. Камеральные работы</t>
  </si>
  <si>
    <t>программа</t>
  </si>
  <si>
    <t>точка</t>
  </si>
  <si>
    <t>Табл.86, § 6</t>
  </si>
  <si>
    <t>Итого стоимость камеральных работ</t>
  </si>
  <si>
    <t>отчет</t>
  </si>
  <si>
    <t xml:space="preserve"> Табл.87, § 1</t>
  </si>
  <si>
    <t xml:space="preserve">4. Дополнительные работы с оплатой услуг сторонних организаций, необходимых для производства изысканий </t>
  </si>
  <si>
    <t>4.3</t>
  </si>
  <si>
    <t>4.4</t>
  </si>
  <si>
    <t>4.5</t>
  </si>
  <si>
    <t>4.6</t>
  </si>
  <si>
    <t>Археологические исследования</t>
  </si>
  <si>
    <t>Общая площадь участка проектирования, в том числе:</t>
  </si>
  <si>
    <t>Уточняется проектом.</t>
  </si>
  <si>
    <t>Площадь участка инженерных изысканий</t>
  </si>
  <si>
    <t>В том числе, использовать результаты инженерных изысканий прошлых лет с обновлением. Уточняется проектом.</t>
  </si>
  <si>
    <t>подстанции</t>
  </si>
  <si>
    <t xml:space="preserve">Сеть электроснабжения 0,4 кВ горнолыжной инфраструктуры магистральная кабельная </t>
  </si>
  <si>
    <t>В 2 кабельные линии (2х420 м), в 1 кабельную линию (350). Уточняется проектом.</t>
  </si>
  <si>
    <t>Трубопровод водоснабжения с пожарными гидрантами</t>
  </si>
  <si>
    <t>Сеть объединенного хозяйственно-питьевого и противопожарного водоснабжения. Диаметр трубопровода до 160 мм, 3200 м в один трубопровод и до 225 мм, 3050 м  в два трубопровода  материал полиэтилен, гидранты, размещенные в колодцах – 30 шт. Уточняется проектом.</t>
  </si>
  <si>
    <t>Переключение существующего водопровода к проектируемым сетям водоснабжения</t>
  </si>
  <si>
    <t>камера переклю-чений</t>
  </si>
  <si>
    <t>В железобетонном подземном исполнении. Уточняется проектом.</t>
  </si>
  <si>
    <t>Сеть водоотведения поверхностных стоков.</t>
  </si>
  <si>
    <t>л/сек</t>
  </si>
  <si>
    <t>Демонтаж существующего распределительного водовода – 3990 м.</t>
  </si>
  <si>
    <t>Вынос участка 2КЛ 10 кВ – 140 м.</t>
  </si>
  <si>
    <t>Вынос сетей водоотведения Д200 – 400 м.</t>
  </si>
  <si>
    <t>808 л/с
2035 м3/сут</t>
  </si>
  <si>
    <t>Раздел 1. Электроснабжение</t>
  </si>
  <si>
    <t>Общая площадь участка проектирования 68,66 га</t>
  </si>
  <si>
    <t>Площадь участка инженерных изысканий 69 га: В том числе, использовать результаты инженерных изысканий прошлых лет с обновлением. Уточняется проектом.</t>
  </si>
  <si>
    <t>Сеть электроснабжения 10 кВ объектов ВТРК «Армхи» магистральная кабельная 
(5,85 МВт):</t>
  </si>
  <si>
    <t>В 2 кабельные линии (2х5420 м). Уточняется проектом.</t>
  </si>
  <si>
    <t xml:space="preserve">Сооружений кабельной электрической линии напряжением до 20 кВ:от 3000 до 6000 включительно
(разделы: ППО, ТКР), 5420(п.м) </t>
  </si>
  <si>
    <t>Сейсмичность 9 баллов и более;</t>
  </si>
  <si>
    <t>К2=1,3 Приказ от 01.10.2021 № 707/пр, № 409/пр от 08.06.2023 г. Прил.5 табл.5.1 п.2.3;</t>
  </si>
  <si>
    <t xml:space="preserve">21 917,84 </t>
  </si>
  <si>
    <t xml:space="preserve">Сооружений кабельной электрической линии напряжением до 20 кВ:от 3000 до 6000 включительно
(разделы: ПЗ, ПОС, ООС, ПБ, СМ), 5420(п.м) </t>
  </si>
  <si>
    <t xml:space="preserve">42 149,69 </t>
  </si>
  <si>
    <t>К3=1,3 Приказ от 01.10.2021 № 707/пр, № 409/пр от 08.06.2023 г. Прил.5 табл.5.1 п.2.3;</t>
  </si>
  <si>
    <t xml:space="preserve">6 575,35 </t>
  </si>
  <si>
    <t xml:space="preserve">12 644,91 </t>
  </si>
  <si>
    <t>Переходы кабелем электроснабжения 10 кВ под автодорогой IV категории и рекой Армхи: методом горизонтально-направленного бурения. Протяженность участка ГНБ до 30 м. Уточняется проектом.</t>
  </si>
  <si>
    <t xml:space="preserve">Закрытый подземный переход сетей инженерно-технического обеспечения, прокладываемый методом горизонтального направленного бурения (ГНБ) (бурошнековыми установками или установками ГНБ), методом прессошнекового бурения, протяженностью: от 100 до 500 включительно
(разделы: ППО, ТКР), 30(п.м) </t>
  </si>
  <si>
    <t>Понижающий коэффициент (30/(0.5*100));</t>
  </si>
  <si>
    <t>Кпониж=0,6;</t>
  </si>
  <si>
    <t xml:space="preserve">Закрытый подземный переход сетей инженерно-технического обеспечения, прокладываемый методом горизонтального направленного бурения (ГНБ) (бурошнековыми установками или установками ГНБ), методом прессошнекового бурения, протяженностью: от 100 до 500 включительно
(разделы: ПЗ, ПОС, ООС, ПБ, СМ), 30(п.м) </t>
  </si>
  <si>
    <t xml:space="preserve">10 164,85 </t>
  </si>
  <si>
    <t xml:space="preserve">2 710,63 </t>
  </si>
  <si>
    <t>Проектирование в составе одного подземного перехода нескольких параллельно расположенных ниток сети инженерно-технического обеспечения, прокладываемых бестраншейным способом, за каждую последующую после первой нитки сети инженерно-технического обеспечения;</t>
  </si>
  <si>
    <t>К3=0,3 Таб.3.12.1 п.1;</t>
  </si>
  <si>
    <t>К4=1,3 Приказ от 01.10.2021 № 707/пр, № 409/пр от 08.06.2023 г. Прил.5 табл.5.1 п.2.3;</t>
  </si>
  <si>
    <t>К2=0,3 Таб.3.12.1 п.1;</t>
  </si>
  <si>
    <t>Распределительные трансформаторные подстанции 10/0,4 кВ: комплектной поставки с учетом возможности размещения двух силовых трансформаторов мощностью до 1000 кВА каждый. Предусмотреть по 3 резервных линейных ячейки на каждой из двух секций РУ-10 кВ. Уточняется проектом.</t>
  </si>
  <si>
    <t>5.1</t>
  </si>
  <si>
    <t>Сеть электроснабжения 0,4 кВ горнолыжной инфраструктуры магистральная кабельная 1190 п.м.:</t>
  </si>
  <si>
    <t>В 2 кабельные линии (2х420 м).Уточняется проектом.</t>
  </si>
  <si>
    <t xml:space="preserve">Сооружений кабельной электрической линии напряжением до 20 кВ:от 100 до 500 включительно
(разделы: ППО, ТКР), 420(п.м) </t>
  </si>
  <si>
    <t xml:space="preserve">1 982,98 </t>
  </si>
  <si>
    <t>6.1</t>
  </si>
  <si>
    <t xml:space="preserve">Сооружений кабельной электрической линии напряжением до 20 кВ: от 100 до 500 включительно
(разделы: ПЗ, ПОС, ООС, ПБ, СМ), 420(п.м) </t>
  </si>
  <si>
    <t xml:space="preserve">3 813,42 </t>
  </si>
  <si>
    <t>К3=0,3 Таб.3.11.1 п.2.1;</t>
  </si>
  <si>
    <t xml:space="preserve">594,89 </t>
  </si>
  <si>
    <t>7.1</t>
  </si>
  <si>
    <t xml:space="preserve">1 144,03 </t>
  </si>
  <si>
    <t>в 1 кабельную линию (350). Уточняется проектом.</t>
  </si>
  <si>
    <t xml:space="preserve">Сооружений кабельной электрической линии напряжением до 20 кВ:от 100 до 500 включительно
(разделы: ППО, ТКР), 350(п.м) </t>
  </si>
  <si>
    <t xml:space="preserve">1 702,92 </t>
  </si>
  <si>
    <t xml:space="preserve">Сооружений кабельной электрической линии напряжением до 20 кВ: от 100 до 500 включительно
(разделы: ПЗ, ПОС, ООС, ПБ, СМ), 350(п.м) </t>
  </si>
  <si>
    <t xml:space="preserve">3 274,85 </t>
  </si>
  <si>
    <t>Трансформаторные подстанции (4 шт): Комплектной поставки с учетом возможности размещения двух силовых трансформаторов мощностью до 1000 кВА каждый. Предусмотреть по 1 резервных линейных ячеек на каждой из двух секций РУ-10 кВ Уточнить проектом.</t>
  </si>
  <si>
    <t xml:space="preserve">Комплектная двухтрансформаторная подстанция класса напряжения 6-10 кВ на номинальное напряжение на стороне низкого напряжения 0,23-0,69 кВ с количеством ячеек до 8, оборудованная распределительными устройствами высокого и низкого напряжения, автоматического включения резерва, полной мощностью: 2 х 1000 кВА
(разделы: ПЗУ, АР, КР, ИОС), 4(1 подстанция) </t>
  </si>
  <si>
    <t>При привязке экономически эффективной повторно используемой и применяемой проектной документации с внесением изменений в подземную и надземную часть, либо только надземную часть здания (сооружения), К свыше 0,35 до 0,8 в зависимости от трудоемкости работ;</t>
  </si>
  <si>
    <t>К1=0,35 Приказ от 01.10.2021 № 707/пр, № 409/пр от 08.06.2023 г. ОП п.152.в;</t>
  </si>
  <si>
    <t>9.1</t>
  </si>
  <si>
    <t xml:space="preserve">Комплектная двухтрансформаторная подстанция класса напряжения 6-10 кВ на номинальное напряжение на стороне низкого напряжения 0,23-0,69 кВ с количеством ячеек до 8, оборудованная распределительными устройствами высокого и низкого напряжения, автоматического включения резерва, полной мощностью: 2 х 1000 кВА
(разделы: ПЗ, ПОС, ООС, ПБ, СМ), 4(1 подстанция) </t>
  </si>
  <si>
    <t>Итого по разделу 1 Электроснабжение</t>
  </si>
  <si>
    <t xml:space="preserve">   Проектные работы</t>
  </si>
  <si>
    <t xml:space="preserve">   Итого по разделу 1 Электроснабжение</t>
  </si>
  <si>
    <t>Раздел 2. Водоснабжение</t>
  </si>
  <si>
    <t>Сети объединенного хозяйственно-питьевого и противопожарного водоснабжения 980 м3/сут, 9300 п.м.</t>
  </si>
  <si>
    <t>сети водоснабжения: диаметром до 160 мм, 3200 м в один трубопровод, материал - полиэтилен</t>
  </si>
  <si>
    <t xml:space="preserve">Линейные сооружения сети водоснабжения диаметром до 150 мм включительно, открытым способом, протяженностью:от 1000 до 5000 включительно
(разделы ППО, ТКР), 3200(п.м) </t>
  </si>
  <si>
    <t xml:space="preserve">
(НЗ_СИТО_ИО-3.4-1-3) </t>
  </si>
  <si>
    <t xml:space="preserve">27 616,26 </t>
  </si>
  <si>
    <t>10.1</t>
  </si>
  <si>
    <t xml:space="preserve">Линейные сооружения сети водоснабжения диаметром до 150 мм включительно, открытым способом, протяженностью: от 1000 до 5000 включительно
(разделы: ПЗ, ПОС, ООС, ПБ, СМ), 3200(п.м) </t>
  </si>
  <si>
    <t xml:space="preserve">53 108,19 </t>
  </si>
  <si>
    <t>сети водоснабжения: диаметром до 225 мм, 3050 м  в два трубопровода, материал - полиэтилен</t>
  </si>
  <si>
    <t xml:space="preserve">Линейные сооружения сети водоснабжения диаметром от 150 до 300 мм включительно, открытым способом, протяженностью: от 1000 до 5000 включительно
(разделы ППО, ТКР), 3050(п.м) </t>
  </si>
  <si>
    <t xml:space="preserve">26 591,26 </t>
  </si>
  <si>
    <t>11.1</t>
  </si>
  <si>
    <t xml:space="preserve">Линейные сооружения сети водоснабжения диаметром от 150 до 300 мм включительно, открытым способом, протяженностью: от 1000 до 5000 включительно
(разделы: ПЗ, ПОС, ООС, ПБ, СМ), 3050(п.м) </t>
  </si>
  <si>
    <t xml:space="preserve">51 137,03 </t>
  </si>
  <si>
    <t>Проектирование линейных сооружений сети водоснабжения параллельной прокладки;</t>
  </si>
  <si>
    <t>К3=0,15 Таб.3.4.1 п.3;</t>
  </si>
  <si>
    <t xml:space="preserve">3 988,69 </t>
  </si>
  <si>
    <t>К2=0,15 Таб.3.4.1 п.3;</t>
  </si>
  <si>
    <t xml:space="preserve">5 113,70 </t>
  </si>
  <si>
    <t xml:space="preserve">7 670,55 </t>
  </si>
  <si>
    <t>гидранты, размещенные в колодцах – 30 шт. Уточняется проектом.</t>
  </si>
  <si>
    <t xml:space="preserve">Узел управления для обслуживания задвижек, гидрантов, воздушников, спускников линейного сооружения сети водоснабжения диаметром: до 250 мм включительно
(разделы: ППО, ТКР), 30(узел) </t>
  </si>
  <si>
    <t>13.1</t>
  </si>
  <si>
    <t xml:space="preserve">Узел управления для обслуживания задвижек, гидрантов, воздушников, спускников линейного сооружения сети водоснабжения диаметром: до 250 мм включительно
(разделы: ПЗ, ПОС, ООС, ПБ, СМ), 30(узел) </t>
  </si>
  <si>
    <t>Переключение существующего водопровода к проектируемым сетям водоснабжения (4 камеры переключений): В железобетонном подземном исполнении. Уточняется проектом.</t>
  </si>
  <si>
    <t xml:space="preserve">Узел врезки и распределительные сети на линейном сооружении сети водоснабжения
(разделы: ППО, ТКР), 4(узел) </t>
  </si>
  <si>
    <t xml:space="preserve">
(НЗ_СИТО_ИО-3.4-7) </t>
  </si>
  <si>
    <t>К1=1,3 Приказ от 01.10.2021 № 707/пр, № 409/пр от 08.06.2023 г. Прил.5 табл.5.1 п.2.3;</t>
  </si>
  <si>
    <t>14.1</t>
  </si>
  <si>
    <t xml:space="preserve">Узел врезки и распределительные сети на линейном сооружении сети водоснабжения
(разделы: ПЗ, ПОС, ООС, ПБ, СМ), 4(узел) </t>
  </si>
  <si>
    <t>Итого по разделу 2 Водоснабжение</t>
  </si>
  <si>
    <t xml:space="preserve">   Итого по разделу 2 Водоснабжение</t>
  </si>
  <si>
    <t>Раздел 3. Водоотведение</t>
  </si>
  <si>
    <t>Сеть водоотведения хозяйственно-бытовых стоков. 980 м3/сут</t>
  </si>
  <si>
    <t>Канализация хозяйственно-бытовая 4100 п.м., в том числе 400 п.м. в защитном футляре: Диаметр трубопровода до 200 мм, материал полиэтилен. Уточняется проектом.</t>
  </si>
  <si>
    <t xml:space="preserve">Линейное сооружение сети водоотведения диаметром до 300 мм, открытым способом, протяженностью:от 3000 до 6000 включительно
(разделы: ППО, ТКР), 4100(п.м) </t>
  </si>
  <si>
    <t xml:space="preserve">
(НЗ_СИТО_ИО-3.5-1-4) </t>
  </si>
  <si>
    <t>При проектировании стального футляра К=1,1 к участку сети протяженностью 400 п.м. (10% от общей протяженности 4100 п.м.) Кобщ=0,9+0,1*1,1=1,01;</t>
  </si>
  <si>
    <t>К2=1,01 ОП п.25;</t>
  </si>
  <si>
    <t>15.1</t>
  </si>
  <si>
    <t xml:space="preserve">Линейное сооружение сети водоотведения диаметром до 300 мм, открытым способом, протяженностью: от 3000 до 6000 включительно
(разделы: ПЗ, ПОС, ООС, ПБ, СМ), 4100(п.м) </t>
  </si>
  <si>
    <t>К3=1,01 ОП п.25;</t>
  </si>
  <si>
    <t>Сеть водоотведения поверхностных стоков. 808 л/с</t>
  </si>
  <si>
    <t>Канализация ливневая 6000 п.м.: диаметр трубопровода до 800 мм, материал полиэтилен. Уточняется проектом.</t>
  </si>
  <si>
    <t xml:space="preserve">Линейное сооружение сети водоотведения диаметром от 500 мм включительно до 800 мм, открытым способом, протяженностью: от 3000 до 6000 включительно
(разделы: ППО, ТКР), 6000(п.м) </t>
  </si>
  <si>
    <t xml:space="preserve">
(НЗ_СИТО_ИО-3.5-3-4) </t>
  </si>
  <si>
    <t>16.1</t>
  </si>
  <si>
    <t xml:space="preserve">Линейное сооружение сети водоотведения диаметром от 500 мм включительно до 800 мм, открытым способом, протяженностью: от 3000 до 6000 включительно
(разделы: ПЗ, ПОС, ООС, ПБ, СМ), 6000(п.м) </t>
  </si>
  <si>
    <t>ЛОС ливневой канализации 10 л/с: модульной конструкции подземного исполнения с усреднительным резервуаром 1500 м3, с ограждением территории 310 м с воротами, с трубопроводом очищенного стока до 30м.</t>
  </si>
  <si>
    <t>ЛОС 10 л/с</t>
  </si>
  <si>
    <t xml:space="preserve">Сооружения для очистки ливневых (дождевых) и талых вод с территории промпредприятий и населенных мест производительностью:свыше 0,5 до 1 тыс.м3/сут
(разделы: СПОЗУ, АР, КР, ИОС), 0,864(1 тыс.м3/сут) </t>
  </si>
  <si>
    <t xml:space="preserve">СБЦП "Объекты водоснабжения и канализации (2015)" табл.10 п.15
(СБЦП17-10-15) </t>
  </si>
  <si>
    <t xml:space="preserve">8 057,08 </t>
  </si>
  <si>
    <t>17.1</t>
  </si>
  <si>
    <t xml:space="preserve">Сооружения для очистки ливневых (дождевых) и талых вод с территории промпредприятий и населенных мест производительностью: свыше 0,5 до 1 тыс.м3/сут
(разделы: ПЗ, ПОС, ООС, МПБ, БЭО, ЭЭ, СМ), 0,864(1 тыс.м3/сут) </t>
  </si>
  <si>
    <t>Резервуар хранения очищенной воды (технической) 1000 м3: подземный железобетонный.</t>
  </si>
  <si>
    <t xml:space="preserve">Резервуары для воды емкостью: до 1 тыс.м3
(разделы: СПОЗУ, АР, КР, ИОС), 1(1 тыс.м3) </t>
  </si>
  <si>
    <t xml:space="preserve">7 384,30 </t>
  </si>
  <si>
    <t>18.1</t>
  </si>
  <si>
    <t xml:space="preserve">Резервуары для воды емкостью: до 1 тыс.м3
(разделы: ПЗ, ПОС, ООС, МПБ, БЭО, ЭЭ, СМ), 1(1 тыс.м3) </t>
  </si>
  <si>
    <t>Переходы трубопроводами водоотведения канализации под автодорогой IV категории (5 переходов): методом горизонтально-направленного бурения. Протяженность участка ГНБ до 30 м. Уточняется проектом.</t>
  </si>
  <si>
    <t>При привязке экономически эффективной повторно используемой и применяемой при проектировании проектной документации с внесением изменений в подземную часть здания (сооружения) К свыше 0,2 до 0,35.
;</t>
  </si>
  <si>
    <t>К2=2,4 Приказ от 01.10.2021 № 707/пр, № 409/пр от 08.06.2023 г. ОП п.152.б;</t>
  </si>
  <si>
    <t>Количество переходов 5 шт
;</t>
  </si>
  <si>
    <t>Кобщ=1+4*0,35=2,4;</t>
  </si>
  <si>
    <t>19.1</t>
  </si>
  <si>
    <t xml:space="preserve">27 106,27 </t>
  </si>
  <si>
    <t>Итого по разделу 3 Водоотведение</t>
  </si>
  <si>
    <t xml:space="preserve">   Проектные работы: Объекты водоснабжения и канализации (2015)</t>
  </si>
  <si>
    <t xml:space="preserve">   Итого</t>
  </si>
  <si>
    <t xml:space="preserve">   Итого по разделу 3 Водоотведение</t>
  </si>
  <si>
    <t>Раздел 4. Газоснабжение</t>
  </si>
  <si>
    <t>Сети газоснабжения 800 м3/ч</t>
  </si>
  <si>
    <t>Шкафной газорегуляторный пункт 0,6/0,3 МПа, 800 м3/ч</t>
  </si>
  <si>
    <t xml:space="preserve">Газорегуляторный пункт шкафного типа (ШРП) привязка
(разделы: СПЗУ, ИОС), 1(1 ШРП) </t>
  </si>
  <si>
    <t xml:space="preserve">СБЦП "Газооборудование и газоснабжение промышленных предприятий, зданий и сооружений (2015)" табл.1 п.13
(СБЦП14-1-13) </t>
  </si>
  <si>
    <t>При проектировании ШРП с узлом учета (до);</t>
  </si>
  <si>
    <t>К1=1,2 ТЧ п.2.1.15;</t>
  </si>
  <si>
    <t>Схема планировочной  организации земельного участка;</t>
  </si>
  <si>
    <t>Инженерное оборудование, сети инженерно-технические мероприятия, технологические решения: Газоснабжение;</t>
  </si>
  <si>
    <t>20.1</t>
  </si>
  <si>
    <t xml:space="preserve">Газорегуляторный пункт шкафного типа (ШРП) привязка
(разделы: ПЗ, ПОС, СМ), 1(1 ШРП) </t>
  </si>
  <si>
    <t>Проект организация строительства;</t>
  </si>
  <si>
    <t>Газопровод среднего давления 0,3 МПа 2300 п.м.: подземный, диаметр трубопровода до 110 мм, материал полиэтилен. Уточняется проектом.</t>
  </si>
  <si>
    <t xml:space="preserve">Линейная часть магистральных газопроводов и ответвлений от них диаметром до 500 мм протяженностью: от1 до 5 км включительно
(разделы: ППО, ТХ, ТКР), 2,3(1 км) </t>
  </si>
  <si>
    <t xml:space="preserve">НЗ "Объекты газовой промышленности" таблица 3.1 п.1-2
(НЗ_ОГП-3.1-1-2) </t>
  </si>
  <si>
    <t>ТКР КР;</t>
  </si>
  <si>
    <t>ТКР ЭХЗ;</t>
  </si>
  <si>
    <t>21.1</t>
  </si>
  <si>
    <t xml:space="preserve">Линейная часть магистральных газопроводов и ответвлений от них диаметром до 500 мм протяженностью: от1 до 5 км включительно
(разделы: ПЗ, ПОС, ООС, ПБ, СМ), 2,3(1 км) </t>
  </si>
  <si>
    <t xml:space="preserve">11 004,08 </t>
  </si>
  <si>
    <t>Итого по разделу 4 Газоснабжение</t>
  </si>
  <si>
    <t xml:space="preserve">   Проектные работы: Газооборудование и газоснабжение промышленных предприятий, зданий и сооружений (2015)</t>
  </si>
  <si>
    <t xml:space="preserve">   Итого по разделу 4 Газоснабжение</t>
  </si>
  <si>
    <t>Раздел 5. Сети связи</t>
  </si>
  <si>
    <t>22.1</t>
  </si>
  <si>
    <t xml:space="preserve">
(НЗ_СИТО_ИО-3.1-2.1-4) </t>
  </si>
  <si>
    <t>23.1</t>
  </si>
  <si>
    <t>24.1</t>
  </si>
  <si>
    <t xml:space="preserve">СОТС внутри здания с защищаемой площадью: до 300 м2 включительно
(разделы: КР, ТХ, ИОС), 1(объект) </t>
  </si>
  <si>
    <t>С одним рубежом защиты;</t>
  </si>
  <si>
    <t>К1=0,8 Таб.3.1.1 п.1.1;</t>
  </si>
  <si>
    <t xml:space="preserve">12 130,75 </t>
  </si>
  <si>
    <t>25.1</t>
  </si>
  <si>
    <t xml:space="preserve">СОТС внутри здания с защищаемой площадью: до 300 м2 включительно
(разделы: ПЗ, ПОС, СМ), 1(объект) </t>
  </si>
  <si>
    <t>Проектирование в комплексе зданий и сооружений ИТСО аналогичных зданий и сооружений (для последующих аналогичных зданий и сооружений);</t>
  </si>
  <si>
    <t>К3=0,5 Таб.2 п.1;</t>
  </si>
  <si>
    <t>26.1</t>
  </si>
  <si>
    <t>К2=0,5 Таб.2 п.1;</t>
  </si>
  <si>
    <t>Итого по разделу 5 Сети связи</t>
  </si>
  <si>
    <t xml:space="preserve">   Итого по разделу 5 Сети связи</t>
  </si>
  <si>
    <t xml:space="preserve">Линейные сооружения сети водоснабжения диаметром от 150 до 300 мм включительно, открытым способом, протяженностью: от 1000 до 5000 включительно
(разделы ППО, ТКР), 3990(п.м) </t>
  </si>
  <si>
    <t xml:space="preserve">1 393,52 </t>
  </si>
  <si>
    <t>27.1</t>
  </si>
  <si>
    <t xml:space="preserve">Линейные сооружения сети водоснабжения диаметром от 150 до 300 мм включительно, открытым способом, протяженностью: от 1000 до 5000 включительно
(разделы: ПЗ, ПОС, ООС, ПБ, СМ), 3990(п.м) </t>
  </si>
  <si>
    <t xml:space="preserve">2 679,84 </t>
  </si>
  <si>
    <t>Демонтаж 2КЛ 10 кВ - 140 п.м.</t>
  </si>
  <si>
    <t xml:space="preserve">Сооружений кабельной электрической линии напряжением до 20 кВ:от 100 до 500 включительно
(разделы: ППО, ТКР), 140(п.м) </t>
  </si>
  <si>
    <t xml:space="preserve">53,92 </t>
  </si>
  <si>
    <t>28.1</t>
  </si>
  <si>
    <t xml:space="preserve">Сооружений кабельной электрической линии напряжением до 20 кВ: от 100 до 500 включительно
(разделы: ПЗ, ПОС, ООС, ПБ, СМ), 140(п.м) </t>
  </si>
  <si>
    <t>К3=0,05 ОП п.28;</t>
  </si>
  <si>
    <t xml:space="preserve">16,18 </t>
  </si>
  <si>
    <t>29.1</t>
  </si>
  <si>
    <t xml:space="preserve">31,11 </t>
  </si>
  <si>
    <t>Устройство 2КЛ 10 кВ - 140 п.м.</t>
  </si>
  <si>
    <t xml:space="preserve">1 078,43 </t>
  </si>
  <si>
    <t>30.1</t>
  </si>
  <si>
    <t xml:space="preserve">2 073,91 </t>
  </si>
  <si>
    <t xml:space="preserve">323,53 </t>
  </si>
  <si>
    <t>31.1</t>
  </si>
  <si>
    <t xml:space="preserve">622,17 </t>
  </si>
  <si>
    <t>Демонтаж сетей водоотведения диам.200 мм 400 п.м.</t>
  </si>
  <si>
    <t xml:space="preserve">Линейное сооружение сети водоотведения диаметром до 300 мм, открытым способом, протяженностью:от 100 до 500 включительно
(разделы: ППО, ТКР), 400(п.м) </t>
  </si>
  <si>
    <t>32.1</t>
  </si>
  <si>
    <t xml:space="preserve">Линейное сооружение сети водоотведения диаметром до 300 мм, открытым способом, протяженностью: от 100 до 500 включительно
(разделы: ПЗ, ПОС, ООС, ПБ, СМ), 400(п.м) </t>
  </si>
  <si>
    <t>Устройство сетей водоотведения диам.200 мм 400 п.м.</t>
  </si>
  <si>
    <t>33.1</t>
  </si>
  <si>
    <t>Демонтаж сетей газоснабжения диам. 108 мм 150 п.м.</t>
  </si>
  <si>
    <t xml:space="preserve">Подземные газопроводы протяжённостью, км:свыше 0,1 до 0,5
(разделы: ТКР), 0,15(км) </t>
  </si>
  <si>
    <t xml:space="preserve">СБЦП "Газооборудование и газоснабжение промышленных предприятий, зданий и сооружений (2015)" табл.7 п.2
(СБЦП14-7-2) </t>
  </si>
  <si>
    <t>Разработка документации на демонтаж объектов и сооружений: для линейной части;</t>
  </si>
  <si>
    <t>К2=0,35 ОП п.1.12;</t>
  </si>
  <si>
    <t>Технологические и конструктивные решения линейного объекта. Искусственные сооружения (инженерное обустройство, сети): Технологические решения;</t>
  </si>
  <si>
    <t>34.1</t>
  </si>
  <si>
    <t xml:space="preserve">Подземные газопроводы протяжённостью, км: свыше 0,1 до 0,5
(разделы: ПЗ, ПОС, СМ, МПБ), 0,15(км) </t>
  </si>
  <si>
    <t>К1=0,35 ОП п.1.12;</t>
  </si>
  <si>
    <t>Устройство сетей газоснабжения диам. 108 мм 150 п.м.</t>
  </si>
  <si>
    <t>35.1</t>
  </si>
  <si>
    <t xml:space="preserve">   Итоги по разделу 1 Электроснабжение</t>
  </si>
  <si>
    <t xml:space="preserve">   Итоги по разделу 2 Водоснабжение</t>
  </si>
  <si>
    <t xml:space="preserve">   Итоги по разделу 3 Водоотведение</t>
  </si>
  <si>
    <t xml:space="preserve">   Итоги по разделу 4 Газоснабжение</t>
  </si>
  <si>
    <t xml:space="preserve">   Итоги по разделу 5 Сети связи</t>
  </si>
  <si>
    <t xml:space="preserve">, Всесезонный туристско-рекреационный комплекс «Армхи», Республика Ингушетия. Инженерные сети., Проектные работы стадии "Рабочая документация", </t>
  </si>
  <si>
    <t>(93300+172*5420)*1,3*0,6*1,37*0,915
(A+B*X)*К2*Ки1*Кинф*Котн</t>
  </si>
  <si>
    <t>1 002 741,22</t>
  </si>
  <si>
    <t xml:space="preserve">980 823,38 </t>
  </si>
  <si>
    <t>(93300+172*5420)*0,6*1,37*0,085
(A+B*X)*Ки1*Кинф*Котн</t>
  </si>
  <si>
    <t>71 654,48</t>
  </si>
  <si>
    <t xml:space="preserve">4 214,97 </t>
  </si>
  <si>
    <t xml:space="preserve">25 289,82 </t>
  </si>
  <si>
    <t>(93300+172*5420)*0,3*1,3*0,6*1,37*0,915
(A+B*X)*К2*К3*Ки1*Кинф*Котн</t>
  </si>
  <si>
    <t>300 822,37</t>
  </si>
  <si>
    <t xml:space="preserve">294 247,02 </t>
  </si>
  <si>
    <t>(93300+172*5420)*0,3*0,6*1,37*0,085
(A+B*X)*К1*Ки1*Кинф*Котн</t>
  </si>
  <si>
    <t>21 496,34</t>
  </si>
  <si>
    <t xml:space="preserve">1 264,49 </t>
  </si>
  <si>
    <t xml:space="preserve">7 586,94 </t>
  </si>
  <si>
    <t>((297700+2290*(0.4*100+0.6*0.5*100))*0,6)*0,9*1,3*0,6*1,37*0,89
((A+B*(0.4*X1+0.6*0.5*X1))*Кпониж)*К1*К3*Ки1*Кинф*Котн</t>
  </si>
  <si>
    <t>235 214,68</t>
  </si>
  <si>
    <t xml:space="preserve">6 607,15 </t>
  </si>
  <si>
    <t xml:space="preserve">228 607,53 </t>
  </si>
  <si>
    <t>((297700+2290*(0.4*100+0.6*0.5*100))*0,6)*0,9*0,6*1,37*0,11
((A+B*(0.4*X1+0.6*0.5*X1))*Кпониж)*К1*Ки1*Кинф*Котн</t>
  </si>
  <si>
    <t>22 362,67</t>
  </si>
  <si>
    <t xml:space="preserve">1 016,49 </t>
  </si>
  <si>
    <t xml:space="preserve">11 181,34 </t>
  </si>
  <si>
    <t>((297700+2290*(0.4*100+0.6*0.5*100))*0,6)*0,9*0,3*1,3*0,6*1,37*0,89
((A+B*(0.4*X1+0.6*0.5*X1))*Кпониж)*К1*К3*К4*Ки1*Кинф*Котн</t>
  </si>
  <si>
    <t>70 564,40</t>
  </si>
  <si>
    <t xml:space="preserve">1 982,15 </t>
  </si>
  <si>
    <t xml:space="preserve">68 582,25 </t>
  </si>
  <si>
    <t>((297700+2290*(0.4*100+0.6*0.5*100))*0,6)*0,9*0,3*0,6*1,37*0,11
((A+B*(0.4*X1+0.6*0.5*X1))*Кпониж)*К1*К2*Ки1*Кинф*Котн</t>
  </si>
  <si>
    <t>6 708,80</t>
  </si>
  <si>
    <t xml:space="preserve">304,95 </t>
  </si>
  <si>
    <t xml:space="preserve">3 354,40 </t>
  </si>
  <si>
    <t xml:space="preserve">3 049,45 </t>
  </si>
  <si>
    <t>(453900*1)*1,3*0,6*1,37*0,88
(A*X)*К2*Ки1*Кинф*Котн</t>
  </si>
  <si>
    <t>(17700+234*420)*0,8*1,3*0,6*1,37*0,915
(A+B*X)*К2*К3*Ки1*Кинф*Котн</t>
  </si>
  <si>
    <t>90 721,32</t>
  </si>
  <si>
    <t xml:space="preserve">88 738,34 </t>
  </si>
  <si>
    <t>(17700+234*420)*0,8*0,6*1,37*0,085
(A+B*X)*К1*Ки1*Кинф*Котн</t>
  </si>
  <si>
    <t>6 482,82</t>
  </si>
  <si>
    <t xml:space="preserve">381,34 </t>
  </si>
  <si>
    <t xml:space="preserve">2 288,05 </t>
  </si>
  <si>
    <t>(17700+234*420)*0,8*0,3*1,3*0,6*1,37*0,915
(A+B*X)*К2*К3*К4*Ки1*Кинф*Котн</t>
  </si>
  <si>
    <t>27 216,40</t>
  </si>
  <si>
    <t xml:space="preserve">26 621,51 </t>
  </si>
  <si>
    <t>(17700+234*420)*0,8*0,3*0,6*1,37*0,085
(A+B*X)*К1*К2*Ки1*Кинф*Котн</t>
  </si>
  <si>
    <t>1 944,85</t>
  </si>
  <si>
    <t xml:space="preserve">114,40 </t>
  </si>
  <si>
    <t xml:space="preserve">686,42 </t>
  </si>
  <si>
    <t>(17700+234*350)*0,8*1,3*0,6*1,37*0,915
(A+B*X)*К2*К3*Ки1*Кинф*Котн</t>
  </si>
  <si>
    <t>77 908,63</t>
  </si>
  <si>
    <t xml:space="preserve">76 205,71 </t>
  </si>
  <si>
    <t>(17700+234*350)*0,8*0,6*1,37*0,085
(A+B*X)*К1*Ки1*Кинф*Котн</t>
  </si>
  <si>
    <t>5 567,24</t>
  </si>
  <si>
    <t xml:space="preserve">327,48 </t>
  </si>
  <si>
    <t xml:space="preserve">1 964,91 </t>
  </si>
  <si>
    <t>(453900*4)*1,3*0,35*0,6*1,37*0,88
(A*X)*К2*К1*Ки1*Кинф*Котн</t>
  </si>
  <si>
    <t>597 566,25</t>
  </si>
  <si>
    <t xml:space="preserve">20 371,58 </t>
  </si>
  <si>
    <t xml:space="preserve">54 324,20 </t>
  </si>
  <si>
    <t xml:space="preserve">169 763,14 </t>
  </si>
  <si>
    <t xml:space="preserve">339 526,28 </t>
  </si>
  <si>
    <t xml:space="preserve">6 790,53 </t>
  </si>
  <si>
    <t>(453900*4)*0,35*0,6*1,37*0,12
(A*X)*К1*Ки1*Кинф*Котн</t>
  </si>
  <si>
    <t>62 681,77</t>
  </si>
  <si>
    <t xml:space="preserve">2 611,74 </t>
  </si>
  <si>
    <t xml:space="preserve">33 952,63 </t>
  </si>
  <si>
    <t xml:space="preserve">26 117,40 </t>
  </si>
  <si>
    <t>3 073 259,98</t>
  </si>
  <si>
    <t>(313900+269*3200)*1,1*1,3*0,6*1,37*0,895
(A+B*X)*К1*К3*Ки1*Кинф*Котн</t>
  </si>
  <si>
    <t>1 235 827,51</t>
  </si>
  <si>
    <t xml:space="preserve">1 208 211,25 </t>
  </si>
  <si>
    <t>(313900+269*3200)*1,1*0,6*1,37*0,105
(A+B*X)*К1*Ки1*Кинф*Котн</t>
  </si>
  <si>
    <t>111 527,19</t>
  </si>
  <si>
    <t xml:space="preserve">5 310,82 </t>
  </si>
  <si>
    <t>(569900+184*3050)*1,1*1,3*0,6*1,37*0,895
(A+B*X)*К1*К3*Ки1*Кинф*Котн</t>
  </si>
  <si>
    <t>1 189 958,71</t>
  </si>
  <si>
    <t xml:space="preserve">1 163 367,45 </t>
  </si>
  <si>
    <t>(569900+184*3050)*1,1*0,6*1,37*0,105
(A+B*X)*К1*Ки1*Кинф*Котн</t>
  </si>
  <si>
    <t>107 387,77</t>
  </si>
  <si>
    <t>(569900+184*3050)*1,1*0,15*1,3*0,6*1,37*0,895
(A+B*X)*К1*К3*К4*Ки1*Кинф*Котн</t>
  </si>
  <si>
    <t>178 493,81</t>
  </si>
  <si>
    <t xml:space="preserve">174 505,12 </t>
  </si>
  <si>
    <t>(569900+184*3050)*1,1*0,15*0,6*1,37*0,105
(A+B*X)*К1*К2*Ки1*Кинф*Котн</t>
  </si>
  <si>
    <t>16 108,16</t>
  </si>
  <si>
    <t xml:space="preserve">767,06 </t>
  </si>
  <si>
    <t>(95200*30)*0,2*1,3*0,6*1,37*0,895
(A*X)*К1*К3*Ки1*Кинф*Котн</t>
  </si>
  <si>
    <t>546 293,97</t>
  </si>
  <si>
    <t xml:space="preserve">12 207,69 </t>
  </si>
  <si>
    <t xml:space="preserve">534 086,28 </t>
  </si>
  <si>
    <t>(95200*30)*0,2*0,6*1,37*0,105
(A*X)*К1*Ки1*Кинф*Котн</t>
  </si>
  <si>
    <t>49 300,27</t>
  </si>
  <si>
    <t xml:space="preserve">2 347,63 </t>
  </si>
  <si>
    <t xml:space="preserve">23 476,32 </t>
  </si>
  <si>
    <t>(52800*4)*1,3*0,6*1,37*0,895
(A*X)*К1*Ки1*Кинф*Котн</t>
  </si>
  <si>
    <t>201 991,05</t>
  </si>
  <si>
    <t xml:space="preserve">4 513,77 </t>
  </si>
  <si>
    <t xml:space="preserve">197 477,28 </t>
  </si>
  <si>
    <t>(52800*4)*0,6*1,37*0,105
(A*X)*Ки1*Кинф*Котн</t>
  </si>
  <si>
    <t>18 228,67</t>
  </si>
  <si>
    <t xml:space="preserve">868,03 </t>
  </si>
  <si>
    <t xml:space="preserve">8 680,32 </t>
  </si>
  <si>
    <t>3 655 117,11</t>
  </si>
  <si>
    <t>(588100+370*4100)*1,1*1,3*1,01*0,6*1,37*0,89
(A+B*X)*К1*К3*К2*Ки1*Кинф*Котн</t>
  </si>
  <si>
    <t>2 224 292,85</t>
  </si>
  <si>
    <t xml:space="preserve">62 480,14 </t>
  </si>
  <si>
    <t xml:space="preserve">2 161 812,71 </t>
  </si>
  <si>
    <t>(588100+370*4100)*1,1*1,01*0,6*1,37*0,11
(A+B*X)*К1*К3*Ки1*Кинф*Котн</t>
  </si>
  <si>
    <t>211 471,23</t>
  </si>
  <si>
    <t xml:space="preserve">9 612,33 </t>
  </si>
  <si>
    <t xml:space="preserve">105 735,62 </t>
  </si>
  <si>
    <t xml:space="preserve">96 123,29 </t>
  </si>
  <si>
    <t>(1103000+823*6000)*1,1*1,3*0,6*1,37*0,89
(A+B*X)*К1*К3*Ки1*Кинф*Котн</t>
  </si>
  <si>
    <t>6 319 848,94</t>
  </si>
  <si>
    <t xml:space="preserve">177 523,85 </t>
  </si>
  <si>
    <t xml:space="preserve">6 142 325,09 </t>
  </si>
  <si>
    <t>(1103000+823*6000)*1,1*0,6*1,37*0,11
(A+B*X)*К1*Ки1*Кинф*Котн</t>
  </si>
  <si>
    <t>600 849,94</t>
  </si>
  <si>
    <t xml:space="preserve">27 311,36 </t>
  </si>
  <si>
    <t xml:space="preserve">300 424,97 </t>
  </si>
  <si>
    <t xml:space="preserve">273 113,61 </t>
  </si>
  <si>
    <t>(415660+33350*0,864)*0,4*1,3*0,2*5,81*0,93
(A+B*X)*К1*К2*К3*Кинф*Котн</t>
  </si>
  <si>
    <t>249 769,37</t>
  </si>
  <si>
    <t xml:space="preserve">26 856,92 </t>
  </si>
  <si>
    <t xml:space="preserve">88 627,84 </t>
  </si>
  <si>
    <t xml:space="preserve">18 799,85 </t>
  </si>
  <si>
    <t xml:space="preserve">5 371,38 </t>
  </si>
  <si>
    <t xml:space="preserve">53 713,84 </t>
  </si>
  <si>
    <t>(415660+33350*0,864)*0,4*0,2*5,81*0,07
(A+B*X)*К1*К3*Кинф*Котн</t>
  </si>
  <si>
    <t>14 461,42</t>
  </si>
  <si>
    <t xml:space="preserve">14 461,42 </t>
  </si>
  <si>
    <t>(21960+79880*1)*0,4*1,3*0,8*5,81*0,93
(A+B*X)*К1*К2*К3*Кинф*Котн</t>
  </si>
  <si>
    <t>228 913,18</t>
  </si>
  <si>
    <t xml:space="preserve">12 307,16 </t>
  </si>
  <si>
    <t xml:space="preserve">24 614,32 </t>
  </si>
  <si>
    <t xml:space="preserve">81 227,26 </t>
  </si>
  <si>
    <t xml:space="preserve">17 230,02 </t>
  </si>
  <si>
    <t xml:space="preserve">4 922,86 </t>
  </si>
  <si>
    <t xml:space="preserve">49 228,64 </t>
  </si>
  <si>
    <t>(21960+79880*1)*0,4*0,8*5,81*0,07
(A+B*X)*К1*К3*Кинф*Котн</t>
  </si>
  <si>
    <t>13 253,87</t>
  </si>
  <si>
    <t xml:space="preserve">13 253,87 </t>
  </si>
  <si>
    <t>((297700+2290*(0.4*100+0.6*0.5*100))*0,6)*1,3*2,4*0,6*1,37*0,89
((A+B*(0.4*X1+0.6*0.5*X1))*Кпониж)*К3*К2*Ки1*Кинф*Котн</t>
  </si>
  <si>
    <t>627 239,13</t>
  </si>
  <si>
    <t xml:space="preserve">17 619,08 </t>
  </si>
  <si>
    <t xml:space="preserve">609 620,05 </t>
  </si>
  <si>
    <t>((297700+2290*(0.4*100+0.6*0.5*100))*0,6)*2,4*0,6*1,37*0,11
((A+B*(0.4*X1+0.6*0.5*X1))*Кпониж)*К2*Ки1*Кинф*Котн</t>
  </si>
  <si>
    <t>59 633,80</t>
  </si>
  <si>
    <t xml:space="preserve">29 816,90 </t>
  </si>
  <si>
    <t>(11768*1)*1,2*1,3*0,6*5,81*0,84
(A*X)*К1*К2*Ки1*Кинф*Котн</t>
  </si>
  <si>
    <t>53 756,86</t>
  </si>
  <si>
    <t xml:space="preserve">2 559,85 </t>
  </si>
  <si>
    <t xml:space="preserve"> 80%;</t>
  </si>
  <si>
    <t xml:space="preserve">51 197,01 </t>
  </si>
  <si>
    <t>Котн=84%</t>
  </si>
  <si>
    <t>(11768*1)*1,2*0,6*5,81*0,16
(A*X)*К1*Ки1*Кинф*Котн</t>
  </si>
  <si>
    <t>7 876,46</t>
  </si>
  <si>
    <t xml:space="preserve">2 953,67 </t>
  </si>
  <si>
    <t xml:space="preserve">4 922,79 </t>
  </si>
  <si>
    <t>Котн=16%</t>
  </si>
  <si>
    <t>(106600+32759*2,3)*0,4*1,3*1,26*0,88
(A+B*X)*К2*К1*Кинф*Котн</t>
  </si>
  <si>
    <t>104 905,52</t>
  </si>
  <si>
    <t>К2=0,4 ТЧ п.25;</t>
  </si>
  <si>
    <t xml:space="preserve"> 72%;</t>
  </si>
  <si>
    <t xml:space="preserve">85 831,79 </t>
  </si>
  <si>
    <t xml:space="preserve">10 728,97 </t>
  </si>
  <si>
    <t xml:space="preserve">8 344,76 </t>
  </si>
  <si>
    <t>(106600+32759*2,3)*0,4*1,26*0,12
(A+B*X)*К2*Кинф*Котн</t>
  </si>
  <si>
    <t>11 004,08</t>
  </si>
  <si>
    <t>115 909,60</t>
  </si>
  <si>
    <t>61 633,32</t>
  </si>
  <si>
    <t>177 542,92</t>
  </si>
  <si>
    <t xml:space="preserve"> 92,5%;</t>
  </si>
  <si>
    <t>Котн=94,5%</t>
  </si>
  <si>
    <t>Котн=5,5%</t>
  </si>
  <si>
    <t>(47300*1)*0,8*1,3*0,6*1,37*0,87
(A*X)*К1*К2*Ки1*Кинф*Котн</t>
  </si>
  <si>
    <t>35 179,17</t>
  </si>
  <si>
    <t xml:space="preserve">4 852,30 </t>
  </si>
  <si>
    <t xml:space="preserve">23 048,42 </t>
  </si>
  <si>
    <t xml:space="preserve">3 639,22 </t>
  </si>
  <si>
    <t>(47300*1)*0,8*0,6*1,37*0,13
(A*X)*К1*Ки1*Кинф*Котн</t>
  </si>
  <si>
    <t>4 043,58</t>
  </si>
  <si>
    <t xml:space="preserve">4 043,58 </t>
  </si>
  <si>
    <t>(569900+184*3990)*1,3*0,05*0,6*1,37*0,895
(A+B*X)*К3*К1*Ки1*Кинф*Котн</t>
  </si>
  <si>
    <t>62 359,95</t>
  </si>
  <si>
    <t xml:space="preserve">60 966,43 </t>
  </si>
  <si>
    <t>(569900+184*3990)*0,05*0,6*1,37*0,105
(A+B*X)*К1*Ки1*Кинф*Котн</t>
  </si>
  <si>
    <t>5 627,67</t>
  </si>
  <si>
    <t xml:space="preserve">267,98 </t>
  </si>
  <si>
    <t>(17700+234*140)*1,3*0,05*0,6*1,37*0,915
(A+B*X)*К2*К1*Ки1*Кинф*Котн</t>
  </si>
  <si>
    <t>2 466,91</t>
  </si>
  <si>
    <t xml:space="preserve">2 412,99 </t>
  </si>
  <si>
    <t>(17700+234*140)*0,05*0,6*1,37*0,085
(A+B*X)*К1*Ки1*Кинф*Котн</t>
  </si>
  <si>
    <t>176,28</t>
  </si>
  <si>
    <t xml:space="preserve">10,37 </t>
  </si>
  <si>
    <t xml:space="preserve">62,22 </t>
  </si>
  <si>
    <t xml:space="preserve">103,69 </t>
  </si>
  <si>
    <t>(17700+234*140)*1,3*0,3*0,05*0,6*1,37*0,915
(A+B*X)*К2*К1*К3*Ки1*Кинф*Котн</t>
  </si>
  <si>
    <t>740,07</t>
  </si>
  <si>
    <t xml:space="preserve">723,89 </t>
  </si>
  <si>
    <t>(17700+234*140)*0,3*0,05*0,6*1,37*0,085
(A+B*X)*К1*К2*Ки1*Кинф*Котн</t>
  </si>
  <si>
    <t>52,88</t>
  </si>
  <si>
    <t xml:space="preserve">3,11 </t>
  </si>
  <si>
    <t xml:space="preserve">18,66 </t>
  </si>
  <si>
    <t>(17700+234*140)*1,3*0,6*1,37*0,915
(A+B*X)*К2*Ки1*Кинф*Котн</t>
  </si>
  <si>
    <t>49 338,22</t>
  </si>
  <si>
    <t xml:space="preserve">48 259,79 </t>
  </si>
  <si>
    <t>(17700+234*140)*0,6*1,37*0,085
(A+B*X)*Ки1*Кинф*Котн</t>
  </si>
  <si>
    <t>3 525,64</t>
  </si>
  <si>
    <t xml:space="preserve">207,39 </t>
  </si>
  <si>
    <t xml:space="preserve">1 244,34 </t>
  </si>
  <si>
    <t>(17700+234*140)*1,3*0,3*0,6*1,37*0,915
(A+B*X)*К2*К1*Ки1*Кинф*Котн</t>
  </si>
  <si>
    <t>14 801,47</t>
  </si>
  <si>
    <t xml:space="preserve">14 477,94 </t>
  </si>
  <si>
    <t>(17700+234*140)*0,3*0,6*1,37*0,085
(A+B*X)*К1*Ки1*Кинф*Котн</t>
  </si>
  <si>
    <t>1 057,69</t>
  </si>
  <si>
    <t xml:space="preserve">373,30 </t>
  </si>
  <si>
    <t>(122600+641*400)*1,3*0,05*0,6*1,37*0,89
(A+B*X)*К3*К1*Ки1*Кинф*Котн</t>
  </si>
  <si>
    <t>18 022,47</t>
  </si>
  <si>
    <t xml:space="preserve">506,25 </t>
  </si>
  <si>
    <t xml:space="preserve">17 516,22 </t>
  </si>
  <si>
    <t>(122600+641*400)*0,05*0,6*1,37*0,11
(A+B*X)*К1*Ки1*Кинф*Котн</t>
  </si>
  <si>
    <t>1 713,46</t>
  </si>
  <si>
    <t xml:space="preserve">77,88 </t>
  </si>
  <si>
    <t xml:space="preserve">856,73 </t>
  </si>
  <si>
    <t xml:space="preserve">778,85 </t>
  </si>
  <si>
    <t>(122600+641*400)*1,3*0,6*1,37*0,89
(A+B*X)*К3*Ки1*Кинф*Котн</t>
  </si>
  <si>
    <t>360 449,47</t>
  </si>
  <si>
    <t xml:space="preserve">10 124,99 </t>
  </si>
  <si>
    <t xml:space="preserve">350 324,48 </t>
  </si>
  <si>
    <t>(122600+641*400)*0,6*1,37*0,11
(A+B*X)*Ки1*Кинф*Котн</t>
  </si>
  <si>
    <t>34 269,18</t>
  </si>
  <si>
    <t xml:space="preserve">1 557,69 </t>
  </si>
  <si>
    <t xml:space="preserve">17 134,59 </t>
  </si>
  <si>
    <t xml:space="preserve">15 576,90 </t>
  </si>
  <si>
    <t xml:space="preserve"> 78%;</t>
  </si>
  <si>
    <t>554 601,36</t>
  </si>
  <si>
    <t>Оценка воздействия проектируемого объекта на водные биологические ресурсы и среду их обитания (1 водный объект I-й рыбохозяйственной категории)</t>
  </si>
  <si>
    <t>Приложение №1 Прейскурант ФГБУ "Главрыбвод" к приказу от 29.12.2023 № 188, п. 1.2.2 (https://glavrybvod.ru/vnebjudzhetnaja-dejatelnost/prejskurant-cen-na-vnebjudzhetnuju-dejatelnost/)</t>
  </si>
  <si>
    <t>1. Всесезонный туристско-рекреационный комплекс «Армхи», Республика Ингушетия. Инженерные сети.
2. Всесезонный туристско-рекреационный комплекс «Армхи», Республика Ингушетия. Автомобильные дороги.</t>
  </si>
  <si>
    <t>Оценка селевой и лавинной опасности</t>
  </si>
  <si>
    <t>Составление карты лавинной опасности территории района изысканий</t>
  </si>
  <si>
    <t>Смета № 6-из</t>
  </si>
  <si>
    <t>Смета №6-из</t>
  </si>
  <si>
    <t>СМЕТА № 5-из</t>
  </si>
  <si>
    <r>
      <t xml:space="preserve">НЦС 81-02-12-2024
12-01-013-06
Подземная прокладка в траншее 2-х кабелей с алюминиевыми жилами на напряжение 10 кВ, с бумажной изоляцией в алюминиевой оболочке, с броней из двух стальных лент:
с числом жил - </t>
    </r>
    <r>
      <rPr>
        <sz val="12"/>
        <color rgb="FFFF0000"/>
        <rFont val="Times New Roman"/>
        <family val="1"/>
        <charset val="204"/>
      </rPr>
      <t>3 и сечением 150 мм2</t>
    </r>
  </si>
  <si>
    <r>
      <t xml:space="preserve">Подземная прокладка в траншее 2-х кабелей с </t>
    </r>
    <r>
      <rPr>
        <sz val="12"/>
        <color rgb="FFFF0000"/>
        <rFont val="Times New Roman"/>
        <family val="1"/>
        <charset val="204"/>
      </rPr>
      <t>алюминиевыми</t>
    </r>
    <r>
      <rPr>
        <sz val="12"/>
        <color rgb="FF000000"/>
        <rFont val="Times New Roman"/>
        <family val="1"/>
        <charset val="204"/>
      </rPr>
      <t xml:space="preserve"> жилами (2х5420 м): кабель </t>
    </r>
    <r>
      <rPr>
        <sz val="12"/>
        <color rgb="FFFF0000"/>
        <rFont val="Times New Roman"/>
        <family val="1"/>
        <charset val="204"/>
      </rPr>
      <t>ААБл-10 с числом жил 3 и сечением 150 мм2</t>
    </r>
  </si>
  <si>
    <t>Сеть электроснабжения 10 кВ объектов ВТРК «Армхи» магистральная кабельная
(5,85 МВт): В 2 кабельные линии (2х5420 м) с устройством перехода кабелем электроснабжения под автодорогой и рекой Армхи методом ГНБ.</t>
  </si>
  <si>
    <t>Сеть водоснабжения 980 м3/сут</t>
  </si>
  <si>
    <t>НЦС 81-02-14-2024
14-06-005-14 (применительно)
Наружные инженерные сети водоснабжения из полиэтиленовых труб, разработка сухого грунта в отвал, без креплений (группа грунтов 4): диаметром 250 мм глубиной 2 м
К1=1,79 (Таблица 3: Коэффициент при одновременной прокладке в траншее труб в 2 ряда (нити), при глубине заложения трубопровода диаметром от 200 до 250 мм в траншее: 2 м)</t>
  </si>
  <si>
    <t>НЦС 81-02-14-2024
14-06-005-08
Наружные инженерные сети водоснабжения из полиэтиленовых труб, разработка сухого грунта в отвал, без креплений (группа грунтов 4): диаметром 160 мм глубиной 2 м</t>
  </si>
  <si>
    <t>с учетом гидрантов в кол-ве 8 шт на 1 км трубопровода</t>
  </si>
  <si>
    <r>
      <t xml:space="preserve">трубопровод водоснабжения ПЭ d160 мм
</t>
    </r>
    <r>
      <rPr>
        <i/>
        <sz val="12"/>
        <color rgb="FF000000"/>
        <rFont val="Times New Roman"/>
        <family val="1"/>
        <charset val="204"/>
      </rPr>
      <t>с учетом 25 гидрантов (8 шт/1 км трубопровода)</t>
    </r>
  </si>
  <si>
    <r>
      <t xml:space="preserve">трубопровод водоснабжения ПЭ 2d225 мм
</t>
    </r>
    <r>
      <rPr>
        <i/>
        <sz val="12"/>
        <color rgb="FF000000"/>
        <rFont val="Times New Roman"/>
        <family val="1"/>
        <charset val="204"/>
      </rPr>
      <t>с учетом 49 шт гидрантов (8 шт/1 км трубопровода)</t>
    </r>
  </si>
  <si>
    <t>Сеть водоотведения хозяйственно-бытовых стоков 980 м3/сут.</t>
  </si>
  <si>
    <t xml:space="preserve">Канализация хозяйственно-бытовая: диаметр трубопровода до 200 мм, материал полиэтилен. </t>
  </si>
  <si>
    <t>НЦС 81-02-14-2024
14-07-005-05
Наружные инженерные сети канализации из полиэтиленовых труб, разработка сухого грунта в отвал, без креплений (группа грунтов 4): диаметром 200 мм глубиной 2 м</t>
  </si>
  <si>
    <t xml:space="preserve">Канализация ливневая: диаметр трубопровода 800 мм, материал полиэтилен. </t>
  </si>
  <si>
    <t>НЦС 81-02-14-2024
14-07-005-14
Наружные инженерные сети канализации из полиэтиленовых труб, разработка сухого грунта в отвал, без креплений (группа грунтов 4): диаметром 800 мм глубиной 3 м</t>
  </si>
  <si>
    <t>НЦС 81-02-19-2024
19-03-006-08
Железобетонные резервуары для воды в сухих грунтах, емкостью: 1000 м3</t>
  </si>
  <si>
    <t xml:space="preserve">Резервуар хранения очищенной воды (технической): подземный железобетонный. </t>
  </si>
  <si>
    <t>Шкафной газорегуляторный пункт 0,6/0,3 МПа 800 м3/ч</t>
  </si>
  <si>
    <t>НЦС 81-02-19-2024
19-01-002
Газорегуляторные пункты шкафные, давлением до 0,6 МПа, с одной линией редуцирования, пропускной способностью: в=800 м3/час
19-01-002-03
а=750 м3/час, Па=296,14 тыс.руб.
19-01-002-04
с=2800 м3/час, Пс=345,34 тыс. руб.
Интерполяция:
Пв=Пс-(с-в)*(Пс-Па)/(с-а)
Пв=345,34-(2800-800)*(345,34-296,14)/(2800-750)=297,34 тыс. руб.</t>
  </si>
  <si>
    <t>1 объект</t>
  </si>
  <si>
    <t>НЦС 81-02-15-2024
15-02-001-07
Наружные инженерные сети газоснабжения из полиэтиленовых труб, при укладке одиночных труб в траншею, разработка сухого грунта в отвал, без креплений: диаметром 110 мм и глубиной 1,5 м</t>
  </si>
  <si>
    <t xml:space="preserve">Газопровод среднего давления 0,3 Мпа: подземный, диаметр трубопровода до 110 мм, материал полиэтилен. </t>
  </si>
  <si>
    <t xml:space="preserve">Сеть связи кабельная в грунте: кабель оптический одномодовый бронированный (G652), 16 волокон </t>
  </si>
  <si>
    <t>НЦС 81-02-11-2024
11-01-008-04
Прокладка в траншее магистральных сетей связи кабелями волоконно-оптическими 
с центральным оптическим модулем, с броней из стальных оцинкованных проволок 
в оболочке из полиэтилена:
количество волокон - 16</t>
  </si>
  <si>
    <t>Вынос участка 2КЛ 10 кВ</t>
  </si>
  <si>
    <t xml:space="preserve">
Вынос сетей водоотведения Д200</t>
  </si>
  <si>
    <t>ФСБЦ-18.2.09.04-0010
Сооружение локальное очистное из полимерных композитных материалов в одном корпусе (пескоотделитель, бензомаслоотделитель, сорбционный фильтр, три крышки горловины обслуживания), производительность (расход) 10 л/с, диаметр корпуса 2000 мм, длина 5400 мм
(в ценах 1 квартала 2024 года: с учетом индекса 1,13 по письму Минстроя России от 22.02.2024 № 10096-ИФ/09, республика Ингушетия)
с учетом 50% на СМР и прочие затраты</t>
  </si>
  <si>
    <t>100 шт</t>
  </si>
  <si>
    <t>01.2.01.02-0031</t>
  </si>
  <si>
    <t>01.2.01.02-0054</t>
  </si>
  <si>
    <t>л</t>
  </si>
  <si>
    <t>01.3.01.01-0001</t>
  </si>
  <si>
    <t>Бензин авиационный Б-70</t>
  </si>
  <si>
    <t>01.3.01.01-0002</t>
  </si>
  <si>
    <t>Бензин автомобильный АИ-98, АИ-95</t>
  </si>
  <si>
    <t>01.3.01.01-0010</t>
  </si>
  <si>
    <t>Бензин-растворитель</t>
  </si>
  <si>
    <t>01.3.01.03-0002</t>
  </si>
  <si>
    <t>Керосин для технических целей</t>
  </si>
  <si>
    <t>01.3.02.03-0012</t>
  </si>
  <si>
    <t>Ацетилен растворенный технический, марка Б</t>
  </si>
  <si>
    <t>01.3.03.06-0003</t>
  </si>
  <si>
    <t>Кислота соляная техническая</t>
  </si>
  <si>
    <t>01.3.05.30-0001</t>
  </si>
  <si>
    <t>Сополимер (смола) метакриловой кислоты и ее эфира</t>
  </si>
  <si>
    <t>компл</t>
  </si>
  <si>
    <t>1000 м2</t>
  </si>
  <si>
    <t>01.6.01.10-0031</t>
  </si>
  <si>
    <t>10 м2</t>
  </si>
  <si>
    <t>01.6.04.02-0011</t>
  </si>
  <si>
    <t>01.7.02.10-0005</t>
  </si>
  <si>
    <t>Бумага ролевая</t>
  </si>
  <si>
    <t>01.7.06.02-0001</t>
  </si>
  <si>
    <t>01.7.06.03-0022</t>
  </si>
  <si>
    <t>01.7.06.11-0001</t>
  </si>
  <si>
    <t>01.7.07.08-0003</t>
  </si>
  <si>
    <t>01.7.07.12-0022</t>
  </si>
  <si>
    <t>Пленка полиэтиленовая, толщина 0,2-0,5 мм</t>
  </si>
  <si>
    <t>01.7.07.13-0001</t>
  </si>
  <si>
    <t>10 шт</t>
  </si>
  <si>
    <t>01.7.12.05-0171</t>
  </si>
  <si>
    <t>01.7.12.05-1018</t>
  </si>
  <si>
    <t>Геополотно нетканое полипропиленовое, иглопробивное, термоскрепленное, поверхностная плотность 550 г/м2</t>
  </si>
  <si>
    <t>01.7.15.02-0051</t>
  </si>
  <si>
    <t>Болты анкерные</t>
  </si>
  <si>
    <t>01.7.15.02-0053</t>
  </si>
  <si>
    <t>Болты строительные анкерные с гайками</t>
  </si>
  <si>
    <t>01.7.15.06-0121</t>
  </si>
  <si>
    <t>01.7.15.07-0005</t>
  </si>
  <si>
    <t>01.7.15.07-0083</t>
  </si>
  <si>
    <t>01.7.15.08-0031</t>
  </si>
  <si>
    <t>01.7.15.14-0001</t>
  </si>
  <si>
    <t>01.7.15.14-0062</t>
  </si>
  <si>
    <t>01.7.15.14-0185</t>
  </si>
  <si>
    <t>01.7.17.05-0021</t>
  </si>
  <si>
    <t>Карборунд</t>
  </si>
  <si>
    <t>01.7.17.08-0032</t>
  </si>
  <si>
    <t>Порошок полирующий</t>
  </si>
  <si>
    <t>01.7.17.11-0011</t>
  </si>
  <si>
    <t>Шкурка шлифовальная двухслойная с зернистостью 40-25</t>
  </si>
  <si>
    <t>01.7.19.07-0003</t>
  </si>
  <si>
    <t>Резина прессованная</t>
  </si>
  <si>
    <t>01.7.19.13-0021</t>
  </si>
  <si>
    <t>Резина уплотнительная к профилю НЧП</t>
  </si>
  <si>
    <t>01.7.20.08-0051</t>
  </si>
  <si>
    <t>Глина</t>
  </si>
  <si>
    <t>Гравий керамзитовый М 600, фракция 10-20 мм</t>
  </si>
  <si>
    <t>Камень бутовый М 800, размер от 70 до 1000 мм</t>
  </si>
  <si>
    <t>Смесь песчано-гравийная природная</t>
  </si>
  <si>
    <t>02.2.05.04-2090</t>
  </si>
  <si>
    <t>Щебень из плотных горных пород для строительных работ М 800, фракция 20-40 мм</t>
  </si>
  <si>
    <t>Щебень из плотных горных пород для строительных работ М 1200, фракция 40-80(70) мм</t>
  </si>
  <si>
    <t>Песок природный для строительных работ I класс, средний</t>
  </si>
  <si>
    <t>03.1.01.01-0002</t>
  </si>
  <si>
    <t>Гипс строительный Г-3</t>
  </si>
  <si>
    <t>04.3.01.09-0014</t>
  </si>
  <si>
    <t>Раствор готовый кладочный, цементный, М100</t>
  </si>
  <si>
    <t>Раствор готовый кладочный, цементный, М150</t>
  </si>
  <si>
    <t>04.3.01.09-0016</t>
  </si>
  <si>
    <t>Раствор готовый кладочный, цементный, М200</t>
  </si>
  <si>
    <t>04.3.02.02-0102</t>
  </si>
  <si>
    <t>Состав двухкомпонентный полиуретановый для устройства монолитных покрытий пола</t>
  </si>
  <si>
    <t>04.3.02.09-0102</t>
  </si>
  <si>
    <t>Смеси сухие водостойкие для затирки межплиточных швов шириной 1-6 мм (различная цветовая гамма)</t>
  </si>
  <si>
    <t>Плитка бетонная тротуарная фигурная, толщина 60 мм</t>
  </si>
  <si>
    <t>07.2.06.03-0116</t>
  </si>
  <si>
    <t>07.2.06.06-0023</t>
  </si>
  <si>
    <t>07.2.06.06-0031</t>
  </si>
  <si>
    <t>07.2.06.06-0061</t>
  </si>
  <si>
    <t>07.2.06.06-0081</t>
  </si>
  <si>
    <t>Конструкции габионные сетчатые, тип ГСИ-М, из оцинкованной проволоки диаметром 2,7 мм двойного кручения, с шестигранными ячейками размером 80х100 мм</t>
  </si>
  <si>
    <t>08.1.02.03-0041</t>
  </si>
  <si>
    <t>08.1.02.03-0061</t>
  </si>
  <si>
    <t>08.1.02.03-0071</t>
  </si>
  <si>
    <t>08.1.02.03-0091</t>
  </si>
  <si>
    <t>08.1.02.17-0161</t>
  </si>
  <si>
    <t>Проволока светлая, диаметр 1,1 мм</t>
  </si>
  <si>
    <t>Проволока стальная низкоуглеродистая оцинкованная разного назначения, диаметр 2,2 мм</t>
  </si>
  <si>
    <t>08.3.05.01-0041</t>
  </si>
  <si>
    <t>Сталь арматурная горячекатаная периодического профиля, класс A-II, диаметр 12 мм</t>
  </si>
  <si>
    <t>08.4.03.03-0031</t>
  </si>
  <si>
    <t>09.3.04.03-0001</t>
  </si>
  <si>
    <t>11.1.01.12-0007</t>
  </si>
  <si>
    <t>11.1.03.01-0067</t>
  </si>
  <si>
    <t>Брус обрезной хвойных пород (ель, сосна), естественной влажности, длина 2-6,5 м, ширина 100 и более мм, толщина 100 и более мм, сорт III</t>
  </si>
  <si>
    <t>11.1.03.05-0064</t>
  </si>
  <si>
    <t>11.1.03.06-0079</t>
  </si>
  <si>
    <t>Доска обрезная хвойных пород, естественной влажности, длина 2-6,5 м, ширина 100-250 мм, толщина 44-50 мм, сорт III</t>
  </si>
  <si>
    <t>11.3.03.11-0001</t>
  </si>
  <si>
    <t>11.3.03.15-0021</t>
  </si>
  <si>
    <t>Клинья пластиковые монтажные</t>
  </si>
  <si>
    <t>Панель из поликарбоната, монолитная, бесцветная, толщина 8,0 мм</t>
  </si>
  <si>
    <t>14.1.02.03-0002</t>
  </si>
  <si>
    <t>Клей для укладки ПВХ-покрытий</t>
  </si>
  <si>
    <t>14.1.06.02-1002</t>
  </si>
  <si>
    <t>14.1.06.04-0001</t>
  </si>
  <si>
    <t>Клей для приклеивания минеральной ваты</t>
  </si>
  <si>
    <t>Грунтовка глубокопроникающая для внутренних и наружных работ на основе водной дисперсии высококачественных латексов с добавлением пигментов и специальных добавок</t>
  </si>
  <si>
    <t>14.3.01.02-0001</t>
  </si>
  <si>
    <t>Состав грунтовочный глубокого проникновения</t>
  </si>
  <si>
    <t>Грунтовка укрепляющая, глубокого проникновения, быстросохнущая, паропроницаемая</t>
  </si>
  <si>
    <t>14.4.01.21-0001</t>
  </si>
  <si>
    <t>Грунт-эмаль антикоррозионная быстросохнущая, трехслойное покрытие по ржавчине, цвет серый</t>
  </si>
  <si>
    <t>14.5.01.07-0111</t>
  </si>
  <si>
    <t>14.5.01.07-0138</t>
  </si>
  <si>
    <t>14.5.06.03-0002</t>
  </si>
  <si>
    <t>Паста антисептическая</t>
  </si>
  <si>
    <t>14.5.07.04-0201</t>
  </si>
  <si>
    <t>Краситель кислотный желтый</t>
  </si>
  <si>
    <t>14.5.09.04-0111</t>
  </si>
  <si>
    <t>Отвердитель № 1</t>
  </si>
  <si>
    <t>14.5.11.01-0001</t>
  </si>
  <si>
    <t>Шпатлевка клеевая</t>
  </si>
  <si>
    <t>14.5.11.02-0101</t>
  </si>
  <si>
    <t>Шпатлевка водно-дисперсионная</t>
  </si>
  <si>
    <t>23.3.08.02-0001</t>
  </si>
  <si>
    <t>маш.-ч</t>
  </si>
  <si>
    <t>Бульдозеры, мощность 79 кВт (108 л.с.)</t>
  </si>
  <si>
    <t>Автогрейдеры среднего типа, мощность 99 кВт (135 л.с.)</t>
  </si>
  <si>
    <t>Экскаваторы одноковшовые дизельные на гусеничном ходу, объем ковша 0,5 м3</t>
  </si>
  <si>
    <t>91.01.05-086</t>
  </si>
  <si>
    <t>Экскаваторы одноковшовые дизельные на гусеничном ходу, объем ковша 0,65 м3</t>
  </si>
  <si>
    <t>91.05.01-016</t>
  </si>
  <si>
    <t>Краны башенные, грузоподъемность 5 т</t>
  </si>
  <si>
    <t>Краны башенные, грузоподъемность 8 т</t>
  </si>
  <si>
    <t>91.06.03-061</t>
  </si>
  <si>
    <t>Лебедки электрические тяговым усилием до 12,26 кН (1,25 т)</t>
  </si>
  <si>
    <t>Лебедки электрические тяговым усилием до 31,39 кН (3,2 т)</t>
  </si>
  <si>
    <t>Погрузчики одноковшовые универсальные фронтальные пневмоколесные, номинальная вместимость основного ковша 2,6 м3, грузоподъемность 5 т</t>
  </si>
  <si>
    <t>91.06.05-013</t>
  </si>
  <si>
    <t>91.06.06-046</t>
  </si>
  <si>
    <t>Подъемники одномачтовые, грузоподъемность до 500 кг, высота подъема 25 м</t>
  </si>
  <si>
    <t>91.06.06-048</t>
  </si>
  <si>
    <t>Подъемники одномачтовые, грузоподъемность до 500 кг, высота подъема 45 м</t>
  </si>
  <si>
    <t>91.07.04-002</t>
  </si>
  <si>
    <t>Вибраторы поверхностные</t>
  </si>
  <si>
    <t>91.07.07-041</t>
  </si>
  <si>
    <t>Растворонасосы, производительность 1 м3/ч</t>
  </si>
  <si>
    <t>91.07.08-024</t>
  </si>
  <si>
    <t>Растворосмесители передвижные, объем барабана 65 л</t>
  </si>
  <si>
    <t>Катки самоходные пневмоколесные статические, масса 30 т</t>
  </si>
  <si>
    <t>91.08.04-021</t>
  </si>
  <si>
    <t>91.08.09-001</t>
  </si>
  <si>
    <t>Виброплиты с двигателем внутреннего сгорания</t>
  </si>
  <si>
    <t>Трамбовки пневматические при работе от передвижных компрессорных установок</t>
  </si>
  <si>
    <t>Машины поливомоечные, вместимость цистерны 6 м3</t>
  </si>
  <si>
    <t>Автомобили-самосвалы, грузоподъемность до 7 т</t>
  </si>
  <si>
    <t>Автомобили-самосвалы, грузоподъемность до 10 т</t>
  </si>
  <si>
    <t>91.17.04-233</t>
  </si>
  <si>
    <t>Компрессоры винтовые передвижные с двигателем внутреннего сгорания, давление до 0,7 МПа (7 атм), производительность до 5,4 м3/мин</t>
  </si>
  <si>
    <t>91.18.01-508</t>
  </si>
  <si>
    <t>91.21.01-012</t>
  </si>
  <si>
    <t>Агрегаты окрасочные высокого давления для окраски поверхностей конструкций, мощность 1 кВт</t>
  </si>
  <si>
    <t>91.21.03-502</t>
  </si>
  <si>
    <t>91.21.18-021</t>
  </si>
  <si>
    <t>91.21.22-421</t>
  </si>
  <si>
    <t>Термосы 100 л</t>
  </si>
  <si>
    <t>91.21.22-638</t>
  </si>
  <si>
    <t>Пылесосы промышленные, мощность до 2000 Вт</t>
  </si>
  <si>
    <t>1-100-20</t>
  </si>
  <si>
    <t>Средний разряд работы 2,0</t>
  </si>
  <si>
    <t>1-100-23</t>
  </si>
  <si>
    <t>Средний разряд работы 2,3</t>
  </si>
  <si>
    <t>1-100-32</t>
  </si>
  <si>
    <t>Средний разряд работы 3,2</t>
  </si>
  <si>
    <t>4-100-050</t>
  </si>
  <si>
    <t>1т груза</t>
  </si>
  <si>
    <t>Перевозка грузов I класса автомобилями-самосвалами грузоподъемностью до 15 т по дорогам с усовершенствованным (асфальтобетонным, цементобетонным, железобетонным, обработанным органическим вяжущим) дорожным покрытием на расстояние 5 км</t>
  </si>
  <si>
    <t>Усреднительный резервуар 1500 м3</t>
  </si>
  <si>
    <t>НЦС 81-02-19-2024
19-04-005-01
Аварийно-регулирующие резервуары, емкостью: 1500 м3</t>
  </si>
  <si>
    <t>НЦС 81-02-19-2024
Железобетонные резервуары для воды в сухих грунтах, емкостью в=1500 м3:
19-03-006-10
а=1400 м3, Па=18,96 тыс.руб.
19-03-006-11
с=1900 м3, Пс=18,69 тыс. руб.
Интерполяция:
Пв=Пс-(с-в)*(Пс-Па)/(с-а)
Пв=18,69-(1900-1500)*(18,69-18,96)/(1900-1400)=18,91 тыс. руб.</t>
  </si>
  <si>
    <t>Локальные очистные сооружения поверхностного стока 10 л/с (36 м3/час)</t>
  </si>
  <si>
    <t>НЦС 81-02-19-2024
Очистные сооружения очистки ливневых (дождевых) и талых вод, производительностью в=36 м3/час:
19-04-007-01
а=28,3 м3/час, Па=3716,90 тыс.руб.
19-04-007-02
с=500 м3/час, Пс=2339,56 тыс. руб.
Интерполяция:
Пв=Пс-(с-в)*(Пс-Па)/(с-а)
Пв=2339,56-(500-36)*(2339,56-3716,90)/(500-28,3)=3694,42 тыс. руб.</t>
  </si>
  <si>
    <t>Распашные ворота</t>
  </si>
  <si>
    <t>Ограждение территории</t>
  </si>
  <si>
    <t>НЦС 81-02-16-2024
ОУ п.18
Устройство распашных ворот</t>
  </si>
  <si>
    <t>Трубопровод очищенного стока ПЭ d630 мм</t>
  </si>
  <si>
    <t>НЦС 81-02-14-2024
14-07-005-13
Наружные инженерные сети канализации из полиэтиленовых труб, разработка сухого грунта в отвал, без креплений (группа грунтов 4): диаметром 630 мм глубиной 3 м</t>
  </si>
  <si>
    <t>100 м проходки</t>
  </si>
  <si>
    <t>Переходы трубопроводами водоотведения канализации под автодорогой IV категории: методом горизонтально-направленного бурения. Протяженность участка ГНБ до 30 м. (5 переходов)</t>
  </si>
  <si>
    <t>НЦС 81-02-14-2024
14-08-013-07
Устройство футляров методом горизонтального направленного бурения, с устройством рабочего и приемного котлованов в сухом грунте: диаметром 1000 мм глубиной 3 м
с учетом ОУ п.26 таблица 8: добавлять или исключать 159,47 тыс. руб. на каждый метр проходки протяженностью более или менее 100 м.</t>
  </si>
  <si>
    <t>Защитные футляры: диаметр футляра до 500 мм, материал полиэтилен</t>
  </si>
  <si>
    <t>НЦС 81-02-14-2024
ОУ п.27 таблица 10</t>
  </si>
  <si>
    <t>Стоимость ПЭ трубопровода канализации диам. 200 мм при прокладке в футляре</t>
  </si>
  <si>
    <t>НЦС 81-02-14-2024
14-09-001-11 (применительно)
Устройство стальных футляров открытым способом, разработка сухого грунта в отвал, без креплений (группа грунтов 1-3): для трубопроводов диаметром 200 мм глубиной 2 м</t>
  </si>
  <si>
    <t>Уточнить проектом.</t>
  </si>
  <si>
    <t xml:space="preserve">Распределительные трансформаторные подстанции 10/0,4 кВ: комплектной поставки с учетом возможности размещения двух силовых трансформаторов мощностью до 1000 кВА каждый. Предусмотреть по 3 резервных линейных ячейки на каждой из двух секций РУ-10 кВ. </t>
  </si>
  <si>
    <t>Распределительный пункт 10 кВ: количество ячеек 7</t>
  </si>
  <si>
    <t>НЦС 81-02-21-2024
21-04-001-01
РП 10(6) кВ: количество ячеек 7</t>
  </si>
  <si>
    <t>КТП 10/0,4 кВ 2х1000 кВА</t>
  </si>
  <si>
    <t xml:space="preserve">
Демонтаж сетей водоотведения Д200</t>
  </si>
  <si>
    <t xml:space="preserve">
Устройство сетей водоотведения Д200</t>
  </si>
  <si>
    <t>Демонтаж сетей газоснабжения Д108</t>
  </si>
  <si>
    <t>Демонтаж участка 2КЛ 10 кВ</t>
  </si>
  <si>
    <t>Устройство участка 2КЛ 10 кВ</t>
  </si>
  <si>
    <t>Канализационная насосная станция 10 л/с (36 м3/час)</t>
  </si>
  <si>
    <t xml:space="preserve">Здание насосной станции на линейном сооружении сети водоотведения поверхностных сточных вод, производительностью: от 100 до 200 включительно
(разделы: ПЗУ, КР, ИОС), 36(м3/час) </t>
  </si>
  <si>
    <t xml:space="preserve">
(НЗ_СИТО_ИО-3.7-2-1) </t>
  </si>
  <si>
    <t>Понижающий коэффициент (36/(0.5*100));</t>
  </si>
  <si>
    <t>Кпониж=0,72;</t>
  </si>
  <si>
    <t>ИОС - ТХ;</t>
  </si>
  <si>
    <t>ИОС - АВТ;</t>
  </si>
  <si>
    <t xml:space="preserve">13 783,81 </t>
  </si>
  <si>
    <t>ИОС - СС;</t>
  </si>
  <si>
    <t xml:space="preserve">Здание насосной станции на линейном сооружении сети водоотведения поверхностных сточных вод, производительностью: от 100 до 200 включительно
(разделы: ПЗ, ПОС, ООС, ПБ, ТБЭ, ЭЭ, СМ), 36(м3/час) </t>
  </si>
  <si>
    <t>ТБЭ;</t>
  </si>
  <si>
    <t>ЭЭ;</t>
  </si>
  <si>
    <t>Кабельная канализация связи:</t>
  </si>
  <si>
    <t>четырехотверстная 2700 п.м. Уточняется проектом.</t>
  </si>
  <si>
    <t xml:space="preserve">Сооружение канализации линейных сооружений слаботочной сети из труб диаметром до 125 мм, емкостью трубопровода до 6 отверстий включительно и протяженностью:от 1000 до 3000 включительно
(разделы: ППО, ТКР), 2700(п.м) </t>
  </si>
  <si>
    <t xml:space="preserve">
(НЗ_СИТО_ИО-3.1-1.2-3) </t>
  </si>
  <si>
    <t xml:space="preserve">21 057,83 </t>
  </si>
  <si>
    <t xml:space="preserve">Сооружение канализации линейных сооружений слаботочной сети из труб диаметром до 125 мм, емкостью трубопровода до 6 отверстий включительно и протяженностью: от 1000 до 3000 включительно
(разделы: ПЗ, ООС, ПБ, СМ), 2700(п.м) </t>
  </si>
  <si>
    <t xml:space="preserve">40 495,83 </t>
  </si>
  <si>
    <t>двухотверстная 180 п.м. Уточняется проектом.</t>
  </si>
  <si>
    <t xml:space="preserve">Сооружение канализации линейных сооружений слаботочной сети из труб диаметром до 125 мм, емкостью трубопровода до 2 отверстий включительно и протяженностью: от 100 до 500 включительно
(разделы: ППО, ТКР), 180(п.м) </t>
  </si>
  <si>
    <t xml:space="preserve">
(НЗ_СИТО_ИО-3.1-1.1-1) </t>
  </si>
  <si>
    <t xml:space="preserve">1 821,32 </t>
  </si>
  <si>
    <t xml:space="preserve">Сооружение канализации линейных сооружений слаботочной сети из труб диаметром до 125 мм, емкостью трубопровода до 2 отверстий включительно и протяженностью: от 100 до 500 включительно
(разделы: ПЗ, ПОС, ООС, ПБ, СМ), 180(п.м) </t>
  </si>
  <si>
    <t xml:space="preserve">3 502,54 </t>
  </si>
  <si>
    <t>Оптический кабель в кабельной канализации (ККС) 3060 п.м.: Волоконно-оптический одномодовый (G652) кабель на 8 оптических волокон в кабельной канализации. Уточняется проектом.</t>
  </si>
  <si>
    <t xml:space="preserve">Первый кабель линейного сооружения слаботочной сети в проектируемой канализации линейного сооружения слаботочной сети при длине участка прокладки:от 3000 до 5000 включительно
(разделы: ППО, ТКР), 3060(п.м) </t>
  </si>
  <si>
    <t xml:space="preserve">6 270,97 </t>
  </si>
  <si>
    <t xml:space="preserve">Первый кабель линейного сооружения слаботочной сети в проектируемой канализации линейного сооружения слаботочной сети при длине участка прокладки: от 3000 до 5000 включительно
(разделы: ПЗ, ООС, ПБ, СМ), 3060(п.м) </t>
  </si>
  <si>
    <t xml:space="preserve">12 059,56 </t>
  </si>
  <si>
    <t>Оптический кабель по сооружениям и конструкциям 380 п.м.: волоконно-оптический одномодовый (G652) кабель на 8 оптических волокон. Уточняется проектом</t>
  </si>
  <si>
    <t>Система охранно-тревожной сигнализации (Охраняемые сооружения: РТП 1 шт, ТП – 4 шт., КНС - 1 шт, ЛОС ЛС - 1 шт.)</t>
  </si>
  <si>
    <t xml:space="preserve">СОТС внутри здания с защищаемой площадью: до 300 м2 включительно
(разделы: КР, ТХ, ИОС), 6(объект) </t>
  </si>
  <si>
    <t xml:space="preserve">СОТС внутри здания с защищаемой площадью: до 300 м2 включительно
(разделы: ПЗ, ПОС, СМ), 6(объект) </t>
  </si>
  <si>
    <t>Система охранного телевидения (СОТН)</t>
  </si>
  <si>
    <t xml:space="preserve">Система охранная телевизионная наружная (СОТН) с количеством видеокамер:от 10 до 50 включительно
(разделы: ПЗУ, КР, ТХ, ИОС), 16(шт.) </t>
  </si>
  <si>
    <t xml:space="preserve">НЗ_ИТСО. Нормативные затраты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 Таб.3.3 п.2-2
(НЗ_ИТСО-3.3-2-2) </t>
  </si>
  <si>
    <t xml:space="preserve">Система охранная телевизионная наружная (СОТН) с количеством видеокамер: от 10 до 50 включительно
(разделы: ПЗ, ПОС, СМ), 16(шт.) </t>
  </si>
  <si>
    <t xml:space="preserve">Интегрируемый комплекс приема, обработки и хранения информации со средств защиты ИТСО (сервер ИТСО), объектовые оконечные устройства СОТС, 1 сервер (устройство)
(разделы: КР, ТХ, ИОС), 1(объект) </t>
  </si>
  <si>
    <t xml:space="preserve">НЗ_ИТСО. Нормативные затраты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 Таб.3.7 п.2
(НЗ_ИТСО-3.7-2) </t>
  </si>
  <si>
    <t xml:space="preserve">Интегрируемый комплекс приема, обработки и хранения информации со средств защиты ИТСО (сервер ИТСО), объектовые оконечные устройства СОТС, 1 сервер (устройство)
(разделы: ПЗ, ПОС, СМ), 1(объект) </t>
  </si>
  <si>
    <t xml:space="preserve">Автоматизированное рабочее место оператора ИТСО (АРМ ИТСО), 1 место
(разделы: КР, ТХ, ИОС), 1(объект) </t>
  </si>
  <si>
    <t xml:space="preserve">НЗ_ИТСО. Нормативные затраты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 Таб.3.7 п.1
(НЗ_ИТСО-3.7-1) </t>
  </si>
  <si>
    <t xml:space="preserve">Автоматизированное рабочее место оператора ИТСО (АРМ ИТСО), 1 место
(разделы: ПЗ, ПОС, СМ), 1(объект) </t>
  </si>
  <si>
    <t>Система охранного освещения 240 п.м.</t>
  </si>
  <si>
    <t xml:space="preserve">Линия наружного освещения кабельная протяженностью: от 100 до 500 включительно
(разделы: ППО, ТКР), 240(п.м) </t>
  </si>
  <si>
    <t xml:space="preserve">
(НЗ_СИТО_ИО-3.2-2-1) </t>
  </si>
  <si>
    <t>Проектирование линий наружного освещения световой иллюминации улиц, проездов, магистралей и других объектов, устанавливаемой на существующих опорах линий наружного освещения;</t>
  </si>
  <si>
    <t>К1=0,5 Таб.3.2.1 п.8;</t>
  </si>
  <si>
    <t xml:space="preserve">1 442,82 </t>
  </si>
  <si>
    <t xml:space="preserve">Линия наружного освещения кабельная протяженностью: от 100 до 500 включительно
(разделы: ПЗ, ПОС, ООС, ПБ, СМ), 240(п.м) </t>
  </si>
  <si>
    <t xml:space="preserve">2 774,66 </t>
  </si>
  <si>
    <t>36.1</t>
  </si>
  <si>
    <t>37.1</t>
  </si>
  <si>
    <t>38.1</t>
  </si>
  <si>
    <t>Вынос сетей газоснабжения Д108 – 150 м: надземного исполнения, на опорах до 1,5 м</t>
  </si>
  <si>
    <t>При проектировании газопроводов при надземной прокладке;</t>
  </si>
  <si>
    <t>К3=0,6 ТЧ п.2.2.11;</t>
  </si>
  <si>
    <t>39.1</t>
  </si>
  <si>
    <t>К2=0,6 ТЧ п.2.2.11;</t>
  </si>
  <si>
    <t>40.1</t>
  </si>
  <si>
    <t>К1=0,6 ТЧ п.2.2.11;</t>
  </si>
  <si>
    <t>((331400+1664*(0.4*100+0.6*0.5*100))*0,72)*1,3*0,6*1,37*0,905
((A+B*(0.4*X1+0.6*0.5*X1))*Кпониж)*К1*Ки1*Кинф*Котн</t>
  </si>
  <si>
    <t>311 858,74</t>
  </si>
  <si>
    <t xml:space="preserve">3 445,95 </t>
  </si>
  <si>
    <t xml:space="preserve"> 29,5%;</t>
  </si>
  <si>
    <t xml:space="preserve">101 655,61 </t>
  </si>
  <si>
    <t xml:space="preserve"> 17%;</t>
  </si>
  <si>
    <t xml:space="preserve">58 581,20 </t>
  </si>
  <si>
    <t xml:space="preserve">31 013,58 </t>
  </si>
  <si>
    <t xml:space="preserve">34 459,53 </t>
  </si>
  <si>
    <t xml:space="preserve">10 337,86 </t>
  </si>
  <si>
    <t>Котн=90,5%</t>
  </si>
  <si>
    <t>((331400+1664*(0.4*100+0.6*0.5*100))*0,72)*0,6*1,37*0,095
((A+B*(0.4*X1+0.6*0.5*X1))*Кпониж)*Ки1*Кинф*Котн</t>
  </si>
  <si>
    <t>25 181,96</t>
  </si>
  <si>
    <t xml:space="preserve">1 325,37 </t>
  </si>
  <si>
    <t xml:space="preserve">10 602,93 </t>
  </si>
  <si>
    <t xml:space="preserve">13 253,66 </t>
  </si>
  <si>
    <t>Котн=9,5%</t>
  </si>
  <si>
    <t>(175300+300*2700)*1,3*0,6*1,37*0,915
(A+B*X)*К2*Ки1*Кинф*Котн</t>
  </si>
  <si>
    <t>963 395,80</t>
  </si>
  <si>
    <t xml:space="preserve">942 337,97 </t>
  </si>
  <si>
    <t>(175300+300*2700)*0,6*1,37*0,085
(A+B*X)*Ки1*Кинф*Котн</t>
  </si>
  <si>
    <t>68 842,91</t>
  </si>
  <si>
    <t xml:space="preserve">4 049,58 </t>
  </si>
  <si>
    <t xml:space="preserve">24 297,50 </t>
  </si>
  <si>
    <t>(13400+399*180)*1,3*0,6*1,37*0,915
(A+B*X)*К2*Ки1*Кинф*Котн</t>
  </si>
  <si>
    <t>83 325,47</t>
  </si>
  <si>
    <t xml:space="preserve">81 504,15 </t>
  </si>
  <si>
    <t>(13400+399*180)*0,6*1,37*0,085
(A+B*X)*Ки1*Кинф*Котн</t>
  </si>
  <si>
    <t>5 954,32</t>
  </si>
  <si>
    <t xml:space="preserve">350,25 </t>
  </si>
  <si>
    <t xml:space="preserve">2 101,52 </t>
  </si>
  <si>
    <t>(103700+62*3060)*1,3*0,6*1,37*0,945
(A+B*X)*К2*Ки1*Кинф*Котн</t>
  </si>
  <si>
    <t>296 303,44</t>
  </si>
  <si>
    <t xml:space="preserve">290 032,47 </t>
  </si>
  <si>
    <t>(103700+62*3060)*0,6*1,37*0,055
(A+B*X)*Ки1*Кинф*Котн</t>
  </si>
  <si>
    <t>13 265,52</t>
  </si>
  <si>
    <t xml:space="preserve">1 205,96 </t>
  </si>
  <si>
    <t>(47300*6)*0,8*1,3*0,5*0,6*1,37*0,87
(A*X)*К1*К2*К3*Ки1*Кинф*Котн</t>
  </si>
  <si>
    <t>105 537,50</t>
  </si>
  <si>
    <t xml:space="preserve">14 556,90 </t>
  </si>
  <si>
    <t xml:space="preserve">69 145,26 </t>
  </si>
  <si>
    <t xml:space="preserve">10 917,67 </t>
  </si>
  <si>
    <t>(47300*6)*0,8*0,5*0,6*1,37*0,13
(A*X)*К1*К2*Ки1*Кинф*Котн</t>
  </si>
  <si>
    <t>12 130,75</t>
  </si>
  <si>
    <t>(110100+7105*16)*1,3*0,6*1,37*0,91
(A+B*X)*К1*Ки1*Кинф*Котн</t>
  </si>
  <si>
    <t>217 609,49</t>
  </si>
  <si>
    <t xml:space="preserve">43 043,64 </t>
  </si>
  <si>
    <t xml:space="preserve"> 55%;</t>
  </si>
  <si>
    <t xml:space="preserve">131 522,22 </t>
  </si>
  <si>
    <t xml:space="preserve">21 521,82 </t>
  </si>
  <si>
    <t>Котн=91%</t>
  </si>
  <si>
    <t>(110100+7105*16)*0,6*1,37*0,09
(A+B*X)*Ки1*Кинф*Котн</t>
  </si>
  <si>
    <t>16 555,24</t>
  </si>
  <si>
    <t xml:space="preserve">16 555,24 </t>
  </si>
  <si>
    <t>Котн=9%</t>
  </si>
  <si>
    <t>(140400*1)*1,3*0,6*1,37*0,86
(A*X)*К1*Ки1*Кинф*Котн</t>
  </si>
  <si>
    <t>129 027,04</t>
  </si>
  <si>
    <t xml:space="preserve"> 28%;</t>
  </si>
  <si>
    <t xml:space="preserve">42 008,80 </t>
  </si>
  <si>
    <t xml:space="preserve"> 46%;</t>
  </si>
  <si>
    <t xml:space="preserve">69 014,46 </t>
  </si>
  <si>
    <t xml:space="preserve">18 003,77 </t>
  </si>
  <si>
    <t>Котн=86%</t>
  </si>
  <si>
    <t>(140400*1)*0,6*1,37*0,14
(A*X)*Ки1*Кинф*Котн</t>
  </si>
  <si>
    <t>16 157,23</t>
  </si>
  <si>
    <t xml:space="preserve"> 14%;</t>
  </si>
  <si>
    <t xml:space="preserve">16 157,23 </t>
  </si>
  <si>
    <t>Котн=14%</t>
  </si>
  <si>
    <t>(21100*1)*1,3*0,6*1,37*0,87
(A*X)*К1*Ки1*Кинф*Котн</t>
  </si>
  <si>
    <t>19 616,29</t>
  </si>
  <si>
    <t xml:space="preserve">4 058,54 </t>
  </si>
  <si>
    <t xml:space="preserve">12 852,05 </t>
  </si>
  <si>
    <t xml:space="preserve">2 705,70 </t>
  </si>
  <si>
    <t>(21100*1)*0,6*1,37*0,13
(A*X)*Ки1*Кинф*Котн</t>
  </si>
  <si>
    <t>2 254,75</t>
  </si>
  <si>
    <t xml:space="preserve">2 254,75 </t>
  </si>
  <si>
    <t>(32300+428*240)*0,5*1,3*0,6*1,37*0,915
(A+B*X)*К1*К2*Ки1*Кинф*Котн</t>
  </si>
  <si>
    <t>66 009,19</t>
  </si>
  <si>
    <t xml:space="preserve">64 566,37 </t>
  </si>
  <si>
    <t>(32300+428*240)*0,5*0,6*1,37*0,085
(A+B*X)*К1*Ки1*Кинф*Котн</t>
  </si>
  <si>
    <t>4 716,92</t>
  </si>
  <si>
    <t xml:space="preserve">277,47 </t>
  </si>
  <si>
    <t xml:space="preserve">1 664,80 </t>
  </si>
  <si>
    <t>2 059 924,61</t>
  </si>
  <si>
    <t>(5221+137561*0,15)*1,3*0,35*0,6*0,6*5,81*0,78
(A+B*X)*К1*К2*К3*Ки1*Кинф*Котн</t>
  </si>
  <si>
    <t>19 192,51</t>
  </si>
  <si>
    <t xml:space="preserve">19 192,51 </t>
  </si>
  <si>
    <t>(5221+137561*0,15)*0,35*0,6*0,6*5,81*0,22
(A+B*X)*К1*К2*Ки1*Кинф*Котн</t>
  </si>
  <si>
    <t>4 164,05</t>
  </si>
  <si>
    <t xml:space="preserve">1 892,75 </t>
  </si>
  <si>
    <t xml:space="preserve">378,55 </t>
  </si>
  <si>
    <t>(5221+137561*0,15)*1,3*0,6*0,6*5,81*0,78
(A+B*X)*К1*К2*Ки1*Кинф*Котн</t>
  </si>
  <si>
    <t>54 835,73</t>
  </si>
  <si>
    <t xml:space="preserve">54 835,73 </t>
  </si>
  <si>
    <t>(5221+137561*0,15)*0,6*0,6*5,81*0,22
(A+B*X)*К1*Ки1*Кинф*Котн</t>
  </si>
  <si>
    <t>11 897,30</t>
  </si>
  <si>
    <t xml:space="preserve">5 407,86 </t>
  </si>
  <si>
    <t xml:space="preserve">1 081,57 </t>
  </si>
  <si>
    <t>90 089,59</t>
  </si>
  <si>
    <t>644 690,95</t>
  </si>
  <si>
    <t>НЦС 81-02-11-2024
11-01-010-01
Прокладка в траншее сетей связи с устройством 4-х трубной кабельной канализации кабелями волоконно-оптическими с центральной модульной трубкой, с броней 
из стальных оцинкованных проволок, в полиэтиленовой оболочке:
с количеством волокон в кабеле - 8, оптических волокон в модуле - 4, количество модулей - 2</t>
  </si>
  <si>
    <t xml:space="preserve">Сети связи: волоконно-оптический одномодовый (G652) кабель на 8 оптических волокон в кабельной четырехотверстной канализации. </t>
  </si>
  <si>
    <t>НЦС 81-02-11-2024
11-01-009-01
Прокладка в траншее сетей связи с устройством 2-х трубной кабельной канализации кабелями волоконно-оптическими с центральной модульной трубкой, с броней 
из стальных оцинкованных проволок, в полиэтиленовой оболочке:
с количеством волокон в кабеле - 8, оптических волокон в модуле - 4, количество модулей - 2</t>
  </si>
  <si>
    <t>НЦС 81-02-11-2024
11-01-011-01
Прокладка сетей связи в существующей кабельной канализации или коллекторе 
по свободному каналу кабелями волоконно-оптическими с центральной модульной трубкой, с броней из стальных оцинкованных проволок, в полиэтиленовой оболочке:
с количеством волокон в кабеле - 8, оптических волокон в модуле - 4, количество модулей - 2</t>
  </si>
  <si>
    <t xml:space="preserve">Сеть связи кабельная в существующей (проектируемой) кабельной канализации: кабель оптический одномодовый бронированный (G652), 8 волокон </t>
  </si>
  <si>
    <t xml:space="preserve">Оптический кабель по сооружениям и конструкциям: волоконно-оптический одномодовый (G652) кабель на 8 оптических волокон. </t>
  </si>
  <si>
    <r>
      <t xml:space="preserve">Система охранно-тревожной сигнализации (СОТС):
</t>
    </r>
    <r>
      <rPr>
        <i/>
        <sz val="12"/>
        <rFont val="Times New Roman"/>
        <family val="1"/>
        <charset val="204"/>
      </rPr>
      <t xml:space="preserve">(Охраняемые сооружения: РТП – 1 шт; ТП – 4 шт; КНС – 1 шт; ЛОС ЛС – 1 шт)
</t>
    </r>
  </si>
  <si>
    <t>Для РТП и РП возможно в комплекте поставки. Уточняется проектом.</t>
  </si>
  <si>
    <t>АРМ</t>
  </si>
  <si>
    <t>Сервер</t>
  </si>
  <si>
    <t>Видеокамеры</t>
  </si>
  <si>
    <t>Система охранного освещения</t>
  </si>
  <si>
    <t xml:space="preserve">
Вынос сетей газоснабжения Д108: газопровод металлический, Д108, надземного исполнения, на опорах до 1,5 м</t>
  </si>
  <si>
    <t>Устройство сетей газоснабжения Д108: газопровод металлический, Д108, надземного исполнения, на опорах до 1,5 м</t>
  </si>
  <si>
    <t>НЦС 81-02-15-2024
15-01-005-13
Наружные инженерные сети газоснабжения, надземная прокладка стальных труб: диаметром 100 мм на опорах высотой 1,0 м</t>
  </si>
  <si>
    <t>ЗАТРАТЫ ПОДРЯДЧИКА ПО ОБЪЕКТУ</t>
  </si>
  <si>
    <t>Всесезонный туристско-рекреационный комплекс "Архыз", Карачаево-Черкесская Республика. Комплексная система безопасности. Техническая подсистема.</t>
  </si>
  <si>
    <t>В текущих ценах</t>
  </si>
  <si>
    <t>Номера сметных расчетов и смет</t>
  </si>
  <si>
    <t>Наименование глав, объектов, работ и затрат</t>
  </si>
  <si>
    <t>Общая сметная стоимость, тыс. руб.</t>
  </si>
  <si>
    <t>СМР</t>
  </si>
  <si>
    <t>Оборудование</t>
  </si>
  <si>
    <t>ВЗИС</t>
  </si>
  <si>
    <t>ЗУ</t>
  </si>
  <si>
    <t>Рекультивация земель</t>
  </si>
  <si>
    <t>Разбивка осей</t>
  </si>
  <si>
    <t xml:space="preserve">Платежи за загрязнение </t>
  </si>
  <si>
    <t>ПНР</t>
  </si>
  <si>
    <t>ИТОГО по главам 1-9</t>
  </si>
  <si>
    <t>Экспертиза ПСД</t>
  </si>
  <si>
    <t>Итого по главе 12</t>
  </si>
  <si>
    <t>Строительный контроль 2,14% (от полной стоимости по итогам глав 1-9 и 12 ССР)</t>
  </si>
  <si>
    <t>Непредвиденные расходы</t>
  </si>
  <si>
    <t>Итого с непредвиденными</t>
  </si>
  <si>
    <t>ВСЕГО с НДС</t>
  </si>
  <si>
    <t>Возврат от разборки ВЗИС с НДС</t>
  </si>
  <si>
    <t>Итого без непредвиденных</t>
  </si>
  <si>
    <t>С учетом дефлятора  без непредвиденных в рублях</t>
  </si>
  <si>
    <t>С учетом дефлятора  с непредвиденными в рублях</t>
  </si>
  <si>
    <t>Основной показатель объекта</t>
  </si>
  <si>
    <t>Единичная стоимость, тыс. руб с НДС</t>
  </si>
  <si>
    <t>строитель-
ных работ</t>
  </si>
  <si>
    <t>оборудования, мебели, инвентаря</t>
  </si>
  <si>
    <t>прочих</t>
  </si>
  <si>
    <t>Глава 1. Подготовка территории строительства</t>
  </si>
  <si>
    <t>01-01</t>
  </si>
  <si>
    <t>Разбивка основных осей зданий и сооружений, перенос их в натуру и закрепление пунктами и знаками.</t>
  </si>
  <si>
    <t>01-02</t>
  </si>
  <si>
    <t>Рекультивация земель.</t>
  </si>
  <si>
    <t>Итого по Главе 1. "Подготовка территории строительства"</t>
  </si>
  <si>
    <t>Глава 2. Основные объекты строительства</t>
  </si>
  <si>
    <t>02-01</t>
  </si>
  <si>
    <t>КСБ ТП ВТРК "Архыз" - Строительно монтажные работы</t>
  </si>
  <si>
    <t>02-01-01</t>
  </si>
  <si>
    <t>Технологические и конструктивные решения линейного объекта. Искусственные сооружения. (ТКР)</t>
  </si>
  <si>
    <t>02-01-02</t>
  </si>
  <si>
    <t>Конструктивные и объемно-планировочные решения (КР)</t>
  </si>
  <si>
    <t>02-01-03</t>
  </si>
  <si>
    <t>Строительно монтажные работы. Система электроснабжения (СЭ)</t>
  </si>
  <si>
    <t>02-01-04</t>
  </si>
  <si>
    <t>Строительно монтажные работы. Подсистема сбора и обработки информации (ССОИ)</t>
  </si>
  <si>
    <t>02-01-05</t>
  </si>
  <si>
    <t>Строительно монтажные работы. Подсистема охранной и тревожной сигнализации (СОТС)</t>
  </si>
  <si>
    <t>определить площадь защищаемых объектов.</t>
  </si>
  <si>
    <t>02-01-06</t>
  </si>
  <si>
    <t>Строительно монтажные работы. Система охранного телевидения (СОТ)</t>
  </si>
  <si>
    <t>видеокамера</t>
  </si>
  <si>
    <t>02-01-07</t>
  </si>
  <si>
    <t>Строительно монтажные работы. Подсистема контроля и управления доступом транспортных средств (СКУД ТС)</t>
  </si>
  <si>
    <t>шлагбаум</t>
  </si>
  <si>
    <t>другие показатели: 10 каналов, 2 шлагбаума, 10 видеокамер</t>
  </si>
  <si>
    <t>02-01-08</t>
  </si>
  <si>
    <t>Строительно монтажные работы. Подсистема контроля и управления доступом обслуживающего персонала (СКУД ОП)</t>
  </si>
  <si>
    <t>канал</t>
  </si>
  <si>
    <t>канал=узел?, другие показатели: 10 видеодомофонов</t>
  </si>
  <si>
    <t>02-01-09</t>
  </si>
  <si>
    <t>Строительно монтажные работы. Подсистема информирования и оповещения (СИО)</t>
  </si>
  <si>
    <t>динамик</t>
  </si>
  <si>
    <t>02-01-10</t>
  </si>
  <si>
    <t>Строительно монтажные работы. Подсистема оперативной диспетчерской связи (СОДС)</t>
  </si>
  <si>
    <t>телефон</t>
  </si>
  <si>
    <t>02-01-11</t>
  </si>
  <si>
    <t>Строительно монтажные работы. Подсистема экстренной связи (СЭС)</t>
  </si>
  <si>
    <t>абонентское устройство*</t>
  </si>
  <si>
    <t>* количество колонн экстренного вызова.</t>
  </si>
  <si>
    <t>02-01-12</t>
  </si>
  <si>
    <t>Строительно монтажные работы. Подсистема передачи данных (СПД)</t>
  </si>
  <si>
    <t>канал*</t>
  </si>
  <si>
    <t>*кол-во каналов взято из сметы на проектные работы стадии ПД (проверить кол-во каналов в проекте)</t>
  </si>
  <si>
    <t>02-01-13</t>
  </si>
  <si>
    <t>Строительно монтажные работы. Структурированная кабельная система (СКС)</t>
  </si>
  <si>
    <t>узел</t>
  </si>
  <si>
    <t>02-01-14</t>
  </si>
  <si>
    <t>Строительно монтажные работы. Подсистема охранного освещения (СОО)</t>
  </si>
  <si>
    <t>светильник</t>
  </si>
  <si>
    <t>02-01-15</t>
  </si>
  <si>
    <t>Строительно монтажные работы. Подсистема обеспечения информационной безопасности (СОИБ)</t>
  </si>
  <si>
    <t>сервер</t>
  </si>
  <si>
    <t>02-01-16</t>
  </si>
  <si>
    <t>Строительно монтажные работы. Подсистема взаимодействия с силовыми структурами России (СВСС)</t>
  </si>
  <si>
    <t>02-01-17</t>
  </si>
  <si>
    <t>Строительно-монтажные работы. Система досмотра и поиска (СДрП)</t>
  </si>
  <si>
    <t>Итого по Главе 2. "Основные объекты строительства"</t>
  </si>
  <si>
    <t>ГСН-81-05-01-2001, п. 4.9</t>
  </si>
  <si>
    <t>Временные здания и сооружения - 2,3%</t>
  </si>
  <si>
    <t>ГСН-81-05-02-2007 п.8</t>
  </si>
  <si>
    <t>Производство работ в зимнее время, строительство зданий и сооружений связи I температурная зона (прил.1 п.9) - 0,6%*1,1</t>
  </si>
  <si>
    <t>09-01</t>
  </si>
  <si>
    <t>Пусконаладочные работы. Вхолостую 80%.</t>
  </si>
  <si>
    <t>09-01-01</t>
  </si>
  <si>
    <t>Пуско-наладочные работы. Система электроснабжения (СЭ)</t>
  </si>
  <si>
    <t>09-01-02</t>
  </si>
  <si>
    <t>Пусконаладочные работы. Подсистема сбора и обработки информации (ССОИ)</t>
  </si>
  <si>
    <t>09-01-03</t>
  </si>
  <si>
    <t>Пусконаладочные работы. Подсистема экстренной связи (СЭС)</t>
  </si>
  <si>
    <t>09-01-04</t>
  </si>
  <si>
    <t>Пусконаладочные работы. Подсистема обеспечения информационной безопасности (СОИБ)</t>
  </si>
  <si>
    <t>09-02</t>
  </si>
  <si>
    <t>Расчет платежей за загрязнение атмосферного воздуха</t>
  </si>
  <si>
    <t>Постановление Правительства РФ № 468 от 21.06.2010</t>
  </si>
  <si>
    <t>Глава 12. Публичный технологический и ценовой аудит, проектные и изыскательские работы</t>
  </si>
  <si>
    <t>12-01</t>
  </si>
  <si>
    <t>Проетные работы. Стадия Проект.</t>
  </si>
  <si>
    <t>12-02</t>
  </si>
  <si>
    <t>Проектные работы. Стадия Рабочая документация</t>
  </si>
  <si>
    <t>ПП РФ № 145 от 05.03.2007</t>
  </si>
  <si>
    <t>Затраты на проведение экспертизы проектно-сметной документации и результатов инженерных изысканий</t>
  </si>
  <si>
    <t>Итого по Главе 12. "Публичный технологический и ценовой аудит, проектные и изыскательские работы"</t>
  </si>
  <si>
    <t>МДС 81-35.2004 п.4.96</t>
  </si>
  <si>
    <t>Непредвиденные затраты - 2%</t>
  </si>
  <si>
    <t>Итого по сводному расчету в ценах 2000 года</t>
  </si>
  <si>
    <t xml:space="preserve">  Пересчет в текущие цены 2 квартала 2019г. : (Письмо Минстроя РФ № 12661-ДВ/09 от 10.04.2019г. по строке "Прочие объекты",  Письмо Минстроя РФ №  17798-ДВ/09 от 04.06.2019г.",  Письмо Минстроя РФ №20003-ДВ/09 от 04.06.2019г. ) СМР=7,00, Оборудование = 3,98,  Проектные работы = 4,15;   Изыскательские работы = 4,23,  Прочие затраты =10,51 </t>
  </si>
  <si>
    <t>Минстрой России Письмо № 12661-ДВ/09 от 10 апреля 2019 г.</t>
  </si>
  <si>
    <t>Строительные работы к=7</t>
  </si>
  <si>
    <t>Монтажные работы к=7</t>
  </si>
  <si>
    <t>Минстрой России Письмо № 20003-ДВ/09 от 04.06.2019г.</t>
  </si>
  <si>
    <t>оборудование к=3,98</t>
  </si>
  <si>
    <t>Расчет платежей за размещение отходов к=10,51. 0,03*10,51*1,02</t>
  </si>
  <si>
    <t>Строительный контроль к=10,51 458,69*10,51*1,02</t>
  </si>
  <si>
    <t>Минстрой РФ №17798-ДВ/09 от 17.05.2019г</t>
  </si>
  <si>
    <t>Проектная документация, К=1,19х 4,15  602,67*1,19*4,15*1,02</t>
  </si>
  <si>
    <r>
      <t xml:space="preserve">Рабочая документация </t>
    </r>
    <r>
      <rPr>
        <sz val="10"/>
        <rFont val="Arial"/>
        <family val="2"/>
        <charset val="204"/>
      </rPr>
      <t>К=1,19х 4,15             865,77*1,19*4,15*1,02</t>
    </r>
  </si>
  <si>
    <t>Изыскательские работы. , К=1,266х 4,23 318,68*1,266*4,23*1,02</t>
  </si>
  <si>
    <t>Затраты на проведение экспертизы проектной документации и результатов инженерных изысканий К=5,29 142,21*5,29*1,02</t>
  </si>
  <si>
    <t>Пусконаладочные работы "вхолостую", К=15,15 30,43*15,15*1,02</t>
  </si>
  <si>
    <t>Итого в ценах  II квартала 2019 г.</t>
  </si>
  <si>
    <t>Часть вторая Налогового кодекса Российской Федерации подпунктом «в» пункта 3 статьи 1 Федерального закона от 03.08.2018 № 303-ФЗ, в части изменения налоговой ставки.</t>
  </si>
  <si>
    <t>Справочно</t>
  </si>
  <si>
    <t>п. 29</t>
  </si>
  <si>
    <t xml:space="preserve">Возврат от разборки временных зданий и сооружений (15% от ВЗиС) К=7,00 </t>
  </si>
  <si>
    <t>Расчет стоимости работ с учетом индекса-дефлятора</t>
  </si>
  <si>
    <t xml:space="preserve">Продолжительность работ в соответствие с Графиком - </t>
  </si>
  <si>
    <t>4,1 месяца</t>
  </si>
  <si>
    <t>15 октября 2019 г.</t>
  </si>
  <si>
    <t>12 февраля 2020 г.</t>
  </si>
  <si>
    <t>РАСЧЕТ ИНДЕКСА-ДЕФЛЯТОРА для разработки рабочей документации</t>
  </si>
  <si>
    <t>2019  год</t>
  </si>
  <si>
    <t xml:space="preserve">ИД1- индекс -дефлятор Минэкономразвития РФ на капвложения </t>
  </si>
  <si>
    <t>Т1 - Продолжительность периода  от момента формирования текущих цен до начала выполнения работ , мес</t>
  </si>
  <si>
    <t>Рост цен                               Р1= (ИД1-100)/100*Т1/12</t>
  </si>
  <si>
    <t>Индекс роста цен                                     ИРт1=(1+Р1)</t>
  </si>
  <si>
    <t xml:space="preserve">ИД2- индекс -дефлятор Минэкономразвития РФ на капвложения </t>
  </si>
  <si>
    <t>Т2 - Продолжительность периода  от начала выполнения работ  до конца года, мес</t>
  </si>
  <si>
    <t>Рост цен                               Р2= (ИД2-100)/100*Т2/12</t>
  </si>
  <si>
    <t>Индекс роста цен                                     ИРт3=(1+Р3)</t>
  </si>
  <si>
    <t>2020  год</t>
  </si>
  <si>
    <t>Т3 - Продолжительность периода  от начала года до окончания выполнения работ , мес</t>
  </si>
  <si>
    <t>Рост цен                               Р3= (ИД3-100)/100*Т3/12</t>
  </si>
  <si>
    <t>Индекс роста цен                                     ИРт3=(1+0,5*Р3)</t>
  </si>
  <si>
    <t>Итого индекс роста цен за период выполнения работ</t>
  </si>
  <si>
    <t>Р4=(Р2+Р3)</t>
  </si>
  <si>
    <t>ИРт4=(1+0,5*Р4)</t>
  </si>
  <si>
    <t>Итого индекс роста цен</t>
  </si>
  <si>
    <t>ИРТ1*ИРТ4</t>
  </si>
  <si>
    <t>РАСЧЕТ СТОИМОСТИ РАБОТ</t>
  </si>
  <si>
    <t xml:space="preserve">Стоимость работ </t>
  </si>
  <si>
    <t>Дефлятор</t>
  </si>
  <si>
    <t>Стоимость работ  с учетом дефлятора</t>
  </si>
  <si>
    <t>С учетом авансирования- 30%</t>
  </si>
  <si>
    <t xml:space="preserve"> Н(м)ЦД(1-1)А=СС1+(Н(м)ЦД1-1-СС1)*(1-А/100)                     </t>
  </si>
  <si>
    <t>Инфляционная составляющая</t>
  </si>
  <si>
    <t>месяца</t>
  </si>
  <si>
    <t>14 марта 2020 г.</t>
  </si>
  <si>
    <t>28 июня 2020 г.</t>
  </si>
  <si>
    <t>РАСЧЕТ ИНДЕКСА-ДЕФЛЯТОРА для строительства</t>
  </si>
  <si>
    <t>Т1 - Продолжительность периода  от момента формирования текущих цен до конца года , мес</t>
  </si>
  <si>
    <t>Т2 - Продолжительность периода  от начала года до начала выполнения работ, мес</t>
  </si>
  <si>
    <t>Т3 - Продолжительность периода  от начала выполнения работ до окончания выполнения работ , мес</t>
  </si>
  <si>
    <t>ИРТ1*ИРТ2*ИРТ3</t>
  </si>
  <si>
    <t>Стоимость работ</t>
  </si>
  <si>
    <t>ССР
Всесезонный туристско-рекреационный комплекс "Архыз", Карачаево-Черкесская Республика. "Комплексная система безопасности. Техническая подсистема."
ЛСР 02-01-06 "Строительно монтажные работы. Система охранного телевидения (СОТ)"
(в ценах 2 квартала 2019 года)</t>
  </si>
  <si>
    <t>Канализационная насосная станция 10 л/с (36 м3/ч)</t>
  </si>
  <si>
    <t>1 м3/час</t>
  </si>
  <si>
    <t>НЦС 81-02-19-2024
Канализационные насосные станции
в=36 м3/час
19-04-001-07
а=25 м3/час, Па=350 тыс.руб.
19-04-001-08
с=750 м3/час, Пс=326,91 тыс. руб.
Интерполяция:
Пв=Пс-(с-в)*(Пс-Па)/(с-а)
Пв=326,91-(750-36)*(326,91-350)/(750-25)=349,65 тыс. руб.</t>
  </si>
  <si>
    <t>Система охранного телевидения наружная (СОТН)</t>
  </si>
  <si>
    <t xml:space="preserve">ЛСР №01-01-01 "Демонтаж существующих инженерных сетей", раздел 1
с учетом 15% на прочие и 3% на непредвиденные затраты
</t>
  </si>
  <si>
    <t xml:space="preserve">ЛСР №01-01-01 "Демонтаж существующих инженерных сетей", раздел 2
с учетом 15% на прочие и 3% на непредвиденные затраты
</t>
  </si>
  <si>
    <t xml:space="preserve">ЛСР №01-01-01 "Демонтаж существующих инженерных сетей", раздел 3
с учетом 15% на прочие и 3% на непредвиденные затраты
</t>
  </si>
  <si>
    <t xml:space="preserve">ЛСР №01-01-01 "Демонтаж существующих инженерных сетей", раздел 4
с учетом 15% на прочие и 3% на непредвиденные затраты
</t>
  </si>
  <si>
    <t>НЦС 81-02-12-2024
12-01-013-05
Подземная прокладка в траншее 2-х кабелей с алюминиевыми жилами на напряжение 10 кВ, с бумажной изоляцией в алюминиевой оболочке, с броней из двух стальных лент:
с числом жил - 3 и сечением 120 мм2</t>
  </si>
  <si>
    <t xml:space="preserve">Переходы кабелем электроснабжения 10 кВ под автодорогой IV категории: методом горизонтально-направленного бурения. Протяженность участка ГНБ до 30 м. </t>
  </si>
  <si>
    <t>НЦС 81-02-12-2024
12-04-003-08 (применительно)
Устройство переходов кабельных линий под автомобильными дорогами, железнодорожными путями методом прокола, плетью из 2 труб с затягиванием 
в нее 1-го кабеля с алюминиевыми жилами на напряжение 10 кВ, с бумажной изоляцией, в алюминиевой оболочке, с броней из двух стальных лент:
с числом жил - 3 и сечением 150 мм2</t>
  </si>
  <si>
    <t>учтено в НЦС на строительство зданий и сооружений</t>
  </si>
  <si>
    <t xml:space="preserve">Резервуары для воды емкостью:cвыше 1 до 2 тыс.м3
(разделы: СПОЗУ, АР, КР, ИОС), 1,5(1 тыс.м3) </t>
  </si>
  <si>
    <t xml:space="preserve">СБЦП "Объекты водоснабжения и канализации (2015)" табл.5 п.11
(СБЦП17-5-11) </t>
  </si>
  <si>
    <t xml:space="preserve">8 433,86 </t>
  </si>
  <si>
    <t xml:space="preserve">Резервуары для воды емкостью: cвыше 1 до 2 тыс.м3
(разделы: ПЗ, ПОС, ООС, МПБ, БЭО, ЭЭ, СМ), 1,5(1 тыс.м3) </t>
  </si>
  <si>
    <t xml:space="preserve">Охранное ограждение территории, протяженностью:   от 200 до 500 м
(разделы: ПЗУ, КР, ТХ), 310(м) </t>
  </si>
  <si>
    <t xml:space="preserve">НЗ_ИТСО. Нормативные затраты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 Таб.3.6 п.1-2
(НЗ_ИТСО-3.6-1-2) </t>
  </si>
  <si>
    <t>Проектирование охранного ограждения без: верхнего дополнительного ограждения;</t>
  </si>
  <si>
    <t>К1=0,82 Таб.3.6.1 п.1.1;</t>
  </si>
  <si>
    <t>Проектирование охранного ограждения без: нижнего дополнительного ограждения (противоподкопного устройства);</t>
  </si>
  <si>
    <t>К2=0,74 Таб.3.6.1 п.1.2;</t>
  </si>
  <si>
    <t xml:space="preserve">Охранное ограждение территории, протяженностью:   от 200 до 500 м
(разделы: ПЗ, ПОС, СМ), 310(м) </t>
  </si>
  <si>
    <t xml:space="preserve">Металлические ворота без устройств автоматизации
(разделы ПЗУ, КР, ТХ), 1(объект) </t>
  </si>
  <si>
    <t xml:space="preserve">НЗ_ИТСО. Нормативные затраты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 Таб.3.6 п.3
(НЗ_ИТСО-3.6-3) </t>
  </si>
  <si>
    <t xml:space="preserve">Металлические ворота без устройств автоматизации
(разделы: ПЗ, ПОС, СМ), 1(объект) </t>
  </si>
  <si>
    <t>Трубопровод очищенного стока</t>
  </si>
  <si>
    <t xml:space="preserve">Рассеивающий выпуск очищенных сточных вод диаметром до 800 мм, длиной: до 500 м
(разделы: ТКР), 30(1 м) </t>
  </si>
  <si>
    <t xml:space="preserve">СБЦП "Объекты водоснабжения и канализации (2015)" табл.14 п.1
(СБЦП17-14-1) </t>
  </si>
  <si>
    <t>Понижающий коэффициент (30/(0.5*500));</t>
  </si>
  <si>
    <t>Кпониж=0,12;</t>
  </si>
  <si>
    <t>Технологические и конструктивные решения линейного объекта. Искусственные сооружения (инженерное обустройство, сети): Конструктивные решения;</t>
  </si>
  <si>
    <t xml:space="preserve">Рассеивающий выпуск очищенных сточных вод диаметром до 800 мм, длиной: до 500 м
(разделы: ПЗ, ППО, ПОС, ООС, МПБ, СМ), 30(1 м) </t>
  </si>
  <si>
    <t>Проект полосы отвода;</t>
  </si>
  <si>
    <t>Мероприятия по охране окружающей среды;</t>
  </si>
  <si>
    <t>Раздел 6. Демонтаж и вынос существующих сооружений</t>
  </si>
  <si>
    <t>41.1</t>
  </si>
  <si>
    <t>42.1</t>
  </si>
  <si>
    <t>43.1</t>
  </si>
  <si>
    <t>44.1</t>
  </si>
  <si>
    <t>Итого по разделу 6 Демонтаж и вынос существующих сооружений</t>
  </si>
  <si>
    <t xml:space="preserve">   Итого по разделу 6 Демонтаж и вынос существующих сооружений</t>
  </si>
  <si>
    <t xml:space="preserve">   Итоги по разделу 6 Демонтаж и вынос существующих сооружений</t>
  </si>
  <si>
    <t>Итого по расчету: 21 115 937,72 руб.</t>
  </si>
  <si>
    <t>(72890+28950*1,5)*0,4*1,3*0,8*5,81*0,93
(A+B*X)*К1*К2*К3*Кинф*Котн</t>
  </si>
  <si>
    <t>261 449,69</t>
  </si>
  <si>
    <t xml:space="preserve">14 056,43 </t>
  </si>
  <si>
    <t xml:space="preserve">28 112,87 </t>
  </si>
  <si>
    <t xml:space="preserve">92 772,47 </t>
  </si>
  <si>
    <t xml:space="preserve">19 679,01 </t>
  </si>
  <si>
    <t xml:space="preserve">5 622,57 </t>
  </si>
  <si>
    <t xml:space="preserve">56 225,74 </t>
  </si>
  <si>
    <t>(72890+28950*1,5)*0,4*0,8*5,81*0,07
(A+B*X)*К1*К3*Кинф*Котн</t>
  </si>
  <si>
    <t>15 137,70</t>
  </si>
  <si>
    <t xml:space="preserve">15 137,70 </t>
  </si>
  <si>
    <t>(75900+600*310)*0,82*0,74*1,3*0,6*1,37*0,85
(A+B*X)*К1*К2*К3*Ки1*Кинф*Котн</t>
  </si>
  <si>
    <t>144 349,46</t>
  </si>
  <si>
    <t xml:space="preserve"> 65%;</t>
  </si>
  <si>
    <t xml:space="preserve">110 384,88 </t>
  </si>
  <si>
    <t xml:space="preserve">33 964,58 </t>
  </si>
  <si>
    <t>Котн=85%</t>
  </si>
  <si>
    <t>(75900+600*310)*0,82*0,74*0,6*1,37*0,15
(A+B*X)*К1*К2*Ки1*Кинф*Котн</t>
  </si>
  <si>
    <t>19 594,95</t>
  </si>
  <si>
    <t xml:space="preserve">19 594,95 </t>
  </si>
  <si>
    <t>Котн=15%</t>
  </si>
  <si>
    <t>(25100*1)*1,3*0,6*1,37*0,85
(A*X)*К1*Ки1*Кинф*Котн</t>
  </si>
  <si>
    <t>22 798,58</t>
  </si>
  <si>
    <t xml:space="preserve">17 434,21 </t>
  </si>
  <si>
    <t xml:space="preserve">5 364,37 </t>
  </si>
  <si>
    <t>(25100*1)*0,6*1,37*0,15
(A*X)*Ки1*Кинф*Котн</t>
  </si>
  <si>
    <t>3 094,83</t>
  </si>
  <si>
    <t xml:space="preserve">3 094,83 </t>
  </si>
  <si>
    <t>((202490+240*(0.4*500+0.6*0.5*500))*0,12)*1,3*0,6*5,81*0,9
((A+B*(0.4*X1+0.6*0.5*X1))*Кпониж)*К1*Ки1*Кинф*Котн</t>
  </si>
  <si>
    <t>140 218,06</t>
  </si>
  <si>
    <t xml:space="preserve">71 667,01 </t>
  </si>
  <si>
    <t xml:space="preserve"> 44%;</t>
  </si>
  <si>
    <t xml:space="preserve">68 551,05 </t>
  </si>
  <si>
    <t>Котн=90%</t>
  </si>
  <si>
    <t>((202490+240*(0.4*500+0.6*0.5*500))*0,12)*0,6*5,81*0,1
((A+B*(0.4*X1+0.6*0.5*X1))*Кпониж)*Ки1*Кинф*Котн</t>
  </si>
  <si>
    <t>11 984,45</t>
  </si>
  <si>
    <t xml:space="preserve">11 984,45 </t>
  </si>
  <si>
    <t>Котн=10%</t>
  </si>
  <si>
    <t>10 570 214,41</t>
  </si>
  <si>
    <t>935 187,74</t>
  </si>
  <si>
    <t>11 505 402,15</t>
  </si>
  <si>
    <t>21 115 937,72</t>
  </si>
  <si>
    <t>Подземная прокладка в траншее 2-х кабелей с алюминиевыми жилами (2х5420 м): кабель АПвКП2г Armolight 3х240/35-10</t>
  </si>
  <si>
    <t>НЦС 81-02-12-2024
12-01-013-08
Подземная прокладка в траншее 2-х кабелей с алюминиевыми жилами на напряжение 10 кВ, с бумажной изоляцией в алюминиевой оболочке, с броней из двух стальных лент:
с числом жил - 3 и сечением 240 мм2</t>
  </si>
  <si>
    <t xml:space="preserve">КЛ 0,4 кВ: АПвКШп- 4х120 мм2 в 2 нити </t>
  </si>
  <si>
    <t>НЦС 81-02-12-2024
12-01-011-07 (применительно)
Подземная прокладка в траншее 2-х кабелей с алюминиевыми жилами на напряжение 1 кВ, с бумажной изоляцией в алюминиевой оболочке, с броней из двух стальных лент:
с числом жил - 3 и сечением 185 мм2</t>
  </si>
  <si>
    <t>КЛ 0,4 кВ: АПвКШп - 4х35 мм2</t>
  </si>
  <si>
    <t>НЦС 81-02-12-2024
12-01-001-03 (применительно)
Подземная прокладка в траншее кабелей с алюминиевыми жилами на напряжение 
1 кВ, с бумажной изоляцией в алюминиевой оболочке, с броней из двух стальных лент, с защитой кабеля кирпичом керамическим:
с числом жил - 3 и сечением 50 мм2</t>
  </si>
  <si>
    <t xml:space="preserve">Сети связи: волоконно-оптический одномодовый (G652) кабель на 8 оптических волокон в кабельной двухотверстной канализации. </t>
  </si>
  <si>
    <t>Разработал:</t>
  </si>
  <si>
    <t>Главный эксперт направления сметного регулирования Управления проектов Департамента развития инфраструктуры</t>
  </si>
  <si>
    <t>Татаринов А.Ю.</t>
  </si>
  <si>
    <t>Согласовал:</t>
  </si>
  <si>
    <t>Директор Департамента развития инфраструктуры</t>
  </si>
  <si>
    <t>Богуш Б.Б.</t>
  </si>
  <si>
    <t xml:space="preserve">В расчете приняты предполагаемые виды и объемы изыскательских работ  в соответствии с заданием на проектирование. </t>
  </si>
  <si>
    <t>Непредвиденные для изысканий  учтены в расчетах в размере 10% на основании п. 3.7.6 в) Методического пособия по определению стоимости инженерных изысканий для строительства, утвержденных  письмом Госстроя России от 31.03.2004 № НЗ-2078/10.</t>
  </si>
  <si>
    <t>Демонтаж существующего распределительного водовода</t>
  </si>
  <si>
    <t>Демонтаж и вынос существующих инженерных сетей</t>
  </si>
  <si>
    <t>ССР
Всесезонный туристско-рекреационный комплекс "Архыз", Карачаево-Черкесская Республика. "Комплексная система безопасности. Техническая подсистема."
ЛСР 02-01-04 "Строительно монтажные работы. Подсистема сбора и обработки информации (ССОИ)"
(в ценах 2 квартала 2019 года)</t>
  </si>
  <si>
    <t xml:space="preserve">Трансформаторные подстанции: комплектной поставки с учетом возможности размещения двух силовых трансформаторов мощностью до 1000 кВА каждый. Предусмотреть по 1 резервных линейных ячеек на каждой из двух секций РУ-10 кВ </t>
  </si>
  <si>
    <t>ЛОС ливневой канализации: модульной конструкции подземного исполнения с усреднительным резервуаром 1500 м3, с ограждением территории 310 м с воротами, с трубопроводом очищенного стока до 30м.
Колодец Д2000 с узлом учета стоков.
Колодец Д2000 для отбора проб.
Колодец Д2000 с установкой УФО.</t>
  </si>
  <si>
    <t>датчик</t>
  </si>
  <si>
    <t>ССР
Всесезонный туристско-рекреационный комплекс "Архыз", Карачаево-Черкесская Республика. "Комплексная система безопасности. Техническая подсистема."
ЛСР 02-01-05 "Строительно монтажные работы. Подсистема охранной и тревожной сигнализации (СОТС)"
(в ценах 2 квартала 2019 года)</t>
  </si>
  <si>
    <t>кол-во датчиков</t>
  </si>
  <si>
    <t>Индекс пересчета в текущие цены на 2 квартал 2024 г. принят согласно Письму Минстроя России от 27.04.2024г. №24796-АЛ/09.</t>
  </si>
  <si>
    <t>Индекс пересчета в текущие цены на 2 квартал 2024 г. принят согласно Письму Минстроя России от 27.04.2024г. №24796-АЛ/09;</t>
  </si>
  <si>
    <t>Разработка проекта освоения лесов</t>
  </si>
  <si>
    <t>КП № ______ от __.__.2024</t>
  </si>
  <si>
    <t>нет в ТЭП</t>
  </si>
  <si>
    <t xml:space="preserve">Наружные сети инженерного обеспечения: </t>
  </si>
  <si>
    <t xml:space="preserve">шт </t>
  </si>
  <si>
    <t xml:space="preserve">шт. </t>
  </si>
  <si>
    <t xml:space="preserve">Колодец-гаситель напора </t>
  </si>
  <si>
    <t xml:space="preserve">Кабельная канализация связи  </t>
  </si>
  <si>
    <t xml:space="preserve">Двухотверстная  </t>
  </si>
  <si>
    <t xml:space="preserve">Одноотверстная </t>
  </si>
  <si>
    <t xml:space="preserve">Сеть наружного электроосвещения  </t>
  </si>
  <si>
    <t xml:space="preserve">Щит ВРУ 0,4 кВ </t>
  </si>
  <si>
    <t>Структурированная кабельная система</t>
  </si>
  <si>
    <t>Уточнить проектом</t>
  </si>
  <si>
    <t>Система передачи данных КСБ</t>
  </si>
  <si>
    <t>Система передачи данных СС</t>
  </si>
  <si>
    <t>Система телефонной связи</t>
  </si>
  <si>
    <t>Система телевидения</t>
  </si>
  <si>
    <t>Телевизор 32”</t>
  </si>
  <si>
    <t>Телевизор 50”</t>
  </si>
  <si>
    <t>Шт.</t>
  </si>
  <si>
    <t>Система вызова персонала</t>
  </si>
  <si>
    <t>Локальное речевое оповещение</t>
  </si>
  <si>
    <t>Громкоговорители  5 Вт</t>
  </si>
  <si>
    <t>Усилитель</t>
  </si>
  <si>
    <t>Предусилитель</t>
  </si>
  <si>
    <t>Микрофон</t>
  </si>
  <si>
    <t>Ethernet-модуль</t>
  </si>
  <si>
    <t>Система охранно-тревожной сигнализации</t>
  </si>
  <si>
    <t>М2</t>
  </si>
  <si>
    <t>Система пожарной сигнализации</t>
  </si>
  <si>
    <t>Система охранного теленаблюдения</t>
  </si>
  <si>
    <t>Видеокамеры уличные</t>
  </si>
  <si>
    <t>Видеокамеры внутренние</t>
  </si>
  <si>
    <t>Система экстренной связи</t>
  </si>
  <si>
    <t>Стойка уличная</t>
  </si>
  <si>
    <t>Вызывное устройство внутреннее</t>
  </si>
  <si>
    <t>Узел</t>
  </si>
  <si>
    <t>Система бесперебойного питания</t>
  </si>
  <si>
    <t>ИБП 3000 кВА</t>
  </si>
  <si>
    <t>ИБП 1 кВА</t>
  </si>
  <si>
    <t xml:space="preserve"> Уточнить проектом </t>
  </si>
  <si>
    <t xml:space="preserve">Водоснабжение наружное: диаметром 100 мм, глубина 2,1 м, материал полиэтилен </t>
  </si>
  <si>
    <t xml:space="preserve">Водоснабжение внутриплощадочное: диаметр 100 мм, материал полиэтилен. </t>
  </si>
  <si>
    <t>Узел учета (в колодце): диаметр 2000 мм, высота до 3 метров</t>
  </si>
  <si>
    <t xml:space="preserve">Узел учета (в колодце) хозбыт: диаметр 2000 мм, высота до 3 метров </t>
  </si>
  <si>
    <t xml:space="preserve">Канализационная напорная станция КНС  хозбыт: Q=5м3/ч, Н=45 м </t>
  </si>
  <si>
    <t>Напорная наружная сеть водоотведения  ливневая: диаметром 100 мм, глубина 2,1 м, материал полиэтилен</t>
  </si>
  <si>
    <t>Внутриплощадочная самотечная сеть водоотведения ливневая: диаметром 200 мм, глубина 3,0 м, материал полиэтилен</t>
  </si>
  <si>
    <t>Внутриплощадочная сеть водоотводящих ливневых лотков: Dn 200 мм, материал полиэтилен/бетон, с чугунными решетками</t>
  </si>
  <si>
    <t xml:space="preserve">Узел учета (в колодце) ливневая: диаметр 2000 мм, высота до 3,5 метров </t>
  </si>
  <si>
    <t xml:space="preserve">Канализационная напорная станция КНС  ливневая: Q=5м3/ч, Н=45 м </t>
  </si>
  <si>
    <t xml:space="preserve">Сеть электроснабжения 0,4 кВ: кабельная линия в грунте 2хAПВбБШв 5х240 мм2 </t>
  </si>
  <si>
    <t>100 пог.м. лотка</t>
  </si>
  <si>
    <t>НЦС 81-02-12-2024
12-01-011-09 (применительно)
Подземная прокладка в траншее 2-х кабелей с алюминиевыми жилами на напряжение 1 кВ, с бумажной изоляцией в алюминиевой оболочке, с броней из двух стальных лент: с числом жил - 3 и сечением 240 мм2</t>
  </si>
  <si>
    <t>100 м2 территории</t>
  </si>
  <si>
    <t>НЦС 81-02-16-2024
16-07-004-01
Светильники на декоративных кованых опорах с лампами накаливания осветительными общего назначения</t>
  </si>
  <si>
    <t>НЦС 81-02-16-2024
16-07-001-01
Светильники на стальных опорах с ртутными лампами</t>
  </si>
  <si>
    <t>НЦС 81-02-16-2024
16-07-001-02
Светильники на стальных опорах с люминесцентными лампами</t>
  </si>
  <si>
    <t>НЦС 81-02-16-2024
16-07-003-01
Прожекторы для спортивных площадок с металлогалогенными лампами</t>
  </si>
  <si>
    <t>Ресторан: ориентировочные размеры 20х20 м, до 130 посадочных мест</t>
  </si>
  <si>
    <t>НЦС 81-02-01-2024
01-01-001-01 (применительно)
Жилые здания усадебного типа площадью: 95 м2</t>
  </si>
  <si>
    <t>НЦС 81-02-02-2024
02-05-001-01 (применительно)
Бани на 140 мест с локальными очистными сооружениями</t>
  </si>
  <si>
    <t>Модули термальных СПА (5 шт): Ориентировочные размеры 7*7 метров. Высота 4 м. Вместимость до 6 человек</t>
  </si>
  <si>
    <t>1 место</t>
  </si>
  <si>
    <t>Форма № 1</t>
  </si>
  <si>
    <t>Акционерное общество "Курорты Северного Кавказа"</t>
  </si>
  <si>
    <t>"Утвержден" «    »________________2020 г.</t>
  </si>
  <si>
    <t xml:space="preserve">Сводный сметный расчет в сумме  </t>
  </si>
  <si>
    <t xml:space="preserve">В том числе возвратных сумм  </t>
  </si>
  <si>
    <t>«    »________________2020 г.</t>
  </si>
  <si>
    <t>СВОДНЫЙ СМЕТНЫЙ РАСЧЕТ СТОИМОСТИ СТРОИТЕЛЬСТВА</t>
  </si>
  <si>
    <t>Коттеджный комплекс в туристической деревне Дукка ВТРК "Архыз"</t>
  </si>
  <si>
    <t>Составлен в ценах на 01.01.2000 г. с пересчетом  на II квартал 2020 г.</t>
  </si>
  <si>
    <t>Аренда земельного участка 1, 2 этапы</t>
  </si>
  <si>
    <t>Создание опорной геодезической сети, геодезические разбивочные работы и вынос в натуру 1, 2 этапы</t>
  </si>
  <si>
    <t>01-03-01</t>
  </si>
  <si>
    <t>Подготовка строительства - 1 этап</t>
  </si>
  <si>
    <t>Раздел 8 _Часть 1_РС-19-1065.100000.2.4-ООС1</t>
  </si>
  <si>
    <t>Затраты по зарыблению (164227,50/11,1/1000=14,8)- 1 этап</t>
  </si>
  <si>
    <t>СМР 1 Главы</t>
  </si>
  <si>
    <t>Прочие 1 Главы</t>
  </si>
  <si>
    <t>ПНР коттеджей 1 этап</t>
  </si>
  <si>
    <t>ПНР Ресторана</t>
  </si>
  <si>
    <t>ПНР детского клуба</t>
  </si>
  <si>
    <t>ПНР коттеджей этап 2</t>
  </si>
  <si>
    <t>ПНР наружных инж. Сетей</t>
  </si>
  <si>
    <t xml:space="preserve">Прочие 9 Главы </t>
  </si>
  <si>
    <t>СМР 9 Главы</t>
  </si>
  <si>
    <t>CК</t>
  </si>
  <si>
    <t>12 Глава</t>
  </si>
  <si>
    <t>ИТОГО без НДС</t>
  </si>
  <si>
    <t>Итого без НДС с непредвиденными</t>
  </si>
  <si>
    <t xml:space="preserve">Показатель мощности </t>
  </si>
  <si>
    <t>Цена за единицу</t>
  </si>
  <si>
    <t>Коттедж на 12 мест (К6х2 тип1) поз.3.1 - 1 этап</t>
  </si>
  <si>
    <t>02-02</t>
  </si>
  <si>
    <t>Коттедж на 12 мест (К6х2 тип1) поз.3.2 - 1 этап</t>
  </si>
  <si>
    <t>02-03</t>
  </si>
  <si>
    <t>Коттедж на 12 мест (К6х2 тип1) поз.3.3 - 1 этап</t>
  </si>
  <si>
    <t>02-04</t>
  </si>
  <si>
    <t>Коттедж на 12 мест (К6х2 тип1) поз.3.4 - 1 этап</t>
  </si>
  <si>
    <t>02-05</t>
  </si>
  <si>
    <t>Коттедж на 12 мест (К6х2 тип1) поз.3.5 - 1 этап</t>
  </si>
  <si>
    <t>02-06</t>
  </si>
  <si>
    <t>Коттедж на 12 мест (К6х2 тип1) поз.3.6 - 1 этап</t>
  </si>
  <si>
    <t>02-07</t>
  </si>
  <si>
    <t>Коттедж на 12 мест (К6х2 тип1) поз.3.7 - 1 этап</t>
  </si>
  <si>
    <t>02-08</t>
  </si>
  <si>
    <t>Коттедж на 12 мест (К6х2 тип1) поз.3.8 - 1 этап</t>
  </si>
  <si>
    <t>02-09</t>
  </si>
  <si>
    <t>Коттедж на 8 мест (К8 тип 1) поз.4.1 - 1 этап</t>
  </si>
  <si>
    <t>02-10</t>
  </si>
  <si>
    <t>Коттедж на 8 мест (К8 тип 1) поз.4.2 - 1 этап</t>
  </si>
  <si>
    <t>02-11</t>
  </si>
  <si>
    <t>Коттедж на 8 мест (К8 тип 1) поз.4.3 - 1 этап</t>
  </si>
  <si>
    <t>02-12</t>
  </si>
  <si>
    <t>Коттедж на 8 мест (К8 тип 1) поз.4.4 - 1 этап</t>
  </si>
  <si>
    <t>02-13</t>
  </si>
  <si>
    <t>Коттедж на 8 мест (К8 тип 1) поз.4.5 - 1 этап</t>
  </si>
  <si>
    <t>02-14</t>
  </si>
  <si>
    <t>Коттедж на 12 мест (К12 МГН тип4) поз.8 - 1 этап</t>
  </si>
  <si>
    <t>02-15</t>
  </si>
  <si>
    <t>Коттедж на 16 мест (К8х2 тип5) поз.6.1 - 1 этап</t>
  </si>
  <si>
    <t>02-16</t>
  </si>
  <si>
    <t>Коттедж на 8 мест на рельефе (К8 тип 2) поз.5.1 - 1 этап</t>
  </si>
  <si>
    <t>02-17</t>
  </si>
  <si>
    <t>Коттедж на 8 мест на рельефе (К8 тип 2) поз.5.2 - 1 этап</t>
  </si>
  <si>
    <t>02-18</t>
  </si>
  <si>
    <t>Коттедж на 8 мест на рельефе (К8 тип 2) поз.5.3 - 1 этап</t>
  </si>
  <si>
    <t>02-19</t>
  </si>
  <si>
    <t>Ресторан - 1 этап</t>
  </si>
  <si>
    <t>02-20</t>
  </si>
  <si>
    <t>Детский клуб- 1 этап</t>
  </si>
  <si>
    <t>02-21</t>
  </si>
  <si>
    <t>Коттедж на 12 мест (К6х2 тип1) поз.3.9 - 2 этап</t>
  </si>
  <si>
    <t>02-22</t>
  </si>
  <si>
    <t>Коттедж на 8 мест (К8 тип 1) поз.4.6 - 2 этап</t>
  </si>
  <si>
    <t>02-23</t>
  </si>
  <si>
    <t>Коттедж на 8 мест (К8 тип 1) поз.4.7 - 2 этап</t>
  </si>
  <si>
    <t>02-24</t>
  </si>
  <si>
    <t>Коттедж на 8 мест (К8 тип 1) поз.4.8 - 2 этап</t>
  </si>
  <si>
    <t>02-25</t>
  </si>
  <si>
    <t>Коттедж на 8 мест (К8 тип 1) поз.4.9 - 2 этап</t>
  </si>
  <si>
    <t>02-26</t>
  </si>
  <si>
    <t>Коттедж на 10 мест (К10 тип3) поз.7.1 - 2 этап</t>
  </si>
  <si>
    <t>02-27</t>
  </si>
  <si>
    <t>Коттедж на 10 мест (К10 тип3) поз.7.2 - 2 этап</t>
  </si>
  <si>
    <t>02-28</t>
  </si>
  <si>
    <t>Коттедж на 10 мест (К10 тип3) поз.7.3 - 2 этап</t>
  </si>
  <si>
    <t>02-29</t>
  </si>
  <si>
    <t>Коттедж на 10 мест (К10 тип3) поз.7.4 - 2 этап</t>
  </si>
  <si>
    <t>02-30</t>
  </si>
  <si>
    <t>Коттедж на 16 мест (К8х2 тип5) поз.6.2 - 2 этап</t>
  </si>
  <si>
    <t>02-31</t>
  </si>
  <si>
    <t>Коттедж на 8 мест на рельефе (К8 тип 2) поз.5.4 - 2 этап</t>
  </si>
  <si>
    <t>02-32</t>
  </si>
  <si>
    <t>Коттедж на 10 мест (К10 МГН тип7) поз.9.1 - 2 этап</t>
  </si>
  <si>
    <t>02-33</t>
  </si>
  <si>
    <t>Коттедж на 10 мест (К10 МГН тип7) поз.9.2 - 2 этап</t>
  </si>
  <si>
    <t>04-01</t>
  </si>
  <si>
    <t>Наружные сети электроснабжения 10 кВ и 0,4 кВ - 1,2 этапы</t>
  </si>
  <si>
    <t>05-01</t>
  </si>
  <si>
    <t>Наружные сети связи 1,2 этапы</t>
  </si>
  <si>
    <t>05-02-01</t>
  </si>
  <si>
    <t>Система охранного телевидения территории 1 этап</t>
  </si>
  <si>
    <t>06-01</t>
  </si>
  <si>
    <t>Система водоснабжения В1- 1,2 этапы</t>
  </si>
  <si>
    <t>06-02</t>
  </si>
  <si>
    <t>Система водоотведения хозяйственно-бытовых стоков К1,Кд, К0 - 1,2 этапы</t>
  </si>
  <si>
    <t>06-03</t>
  </si>
  <si>
    <t>Наружные сети водоотведения К2 - 1 этап</t>
  </si>
  <si>
    <t>06-04</t>
  </si>
  <si>
    <t>Наружные сети газоснабжения- 1, 2 этапы</t>
  </si>
  <si>
    <t>07-01</t>
  </si>
  <si>
    <t>Благоустройство и озеленение - 1,2 этапы</t>
  </si>
  <si>
    <t>07-02</t>
  </si>
  <si>
    <t>Проезды, площадки, тротуары - 1,2 этапы</t>
  </si>
  <si>
    <t>07-03-01</t>
  </si>
  <si>
    <t>Подпорная стенка - 1 этап</t>
  </si>
  <si>
    <t>07-04-01</t>
  </si>
  <si>
    <t>Вертикальная планировка территории- 1 этап</t>
  </si>
  <si>
    <t>07-05-01</t>
  </si>
  <si>
    <t>Инженерная защита территории - 1 этап</t>
  </si>
  <si>
    <t>07-06-01</t>
  </si>
  <si>
    <t>Наружное электроосвещение - 1 этап</t>
  </si>
  <si>
    <t>ГСН-81-05-01-2001 п.4.9</t>
  </si>
  <si>
    <t>Временные здания и сооружения 2,3%</t>
  </si>
  <si>
    <r>
      <t>2048,19</t>
    </r>
    <r>
      <rPr>
        <i/>
        <sz val="10"/>
        <rFont val="Arial"/>
        <family val="2"/>
        <charset val="204"/>
      </rPr>
      <t xml:space="preserve">
2,3% от 89051920</t>
    </r>
  </si>
  <si>
    <r>
      <t>158,98</t>
    </r>
    <r>
      <rPr>
        <i/>
        <sz val="10"/>
        <rFont val="Arial"/>
        <family val="2"/>
        <charset val="204"/>
      </rPr>
      <t xml:space="preserve">
2,3% от 6912130</t>
    </r>
  </si>
  <si>
    <t>Конструктивные решения</t>
  </si>
  <si>
    <t>Архитектурные решения</t>
  </si>
  <si>
    <t>Электроснабжение</t>
  </si>
  <si>
    <t>Система водоснабжения</t>
  </si>
  <si>
    <t>ГСН-81-05-02-2007 п.11.4, т.з.1 Прил.1,табл.4, К=1,1</t>
  </si>
  <si>
    <t>Производство работ в зимнее время 0,5 х 1,1= 0,55 % от СМР от глав 1-8</t>
  </si>
  <si>
    <r>
      <t>501,05</t>
    </r>
    <r>
      <rPr>
        <i/>
        <sz val="10"/>
        <rFont val="Arial"/>
        <family val="2"/>
        <charset val="204"/>
      </rPr>
      <t xml:space="preserve">
0,55% от 91100110</t>
    </r>
  </si>
  <si>
    <r>
      <t>38,89</t>
    </r>
    <r>
      <rPr>
        <i/>
        <sz val="10"/>
        <rFont val="Arial"/>
        <family val="2"/>
        <charset val="204"/>
      </rPr>
      <t xml:space="preserve">
0,55% от 7071110</t>
    </r>
  </si>
  <si>
    <t>Система водоотведения</t>
  </si>
  <si>
    <t>Пусконаладочные работы "вхолостую" коттеджей - 1 этап</t>
  </si>
  <si>
    <t>Отопление</t>
  </si>
  <si>
    <t>Пусконаладочные работы "вхолостую" Ресторан - 1 этап</t>
  </si>
  <si>
    <t>Вентиляция</t>
  </si>
  <si>
    <t>09-03</t>
  </si>
  <si>
    <t>Пусконаладочные работы "вхолостую" Детский клуб" - 1 этап</t>
  </si>
  <si>
    <t>СКС, СПД,СТС, ТВ</t>
  </si>
  <si>
    <t>09-04</t>
  </si>
  <si>
    <t>Пусконаладочные работы "вхолостую" коттеджей - 2 этап</t>
  </si>
  <si>
    <t>09-05</t>
  </si>
  <si>
    <t>Пусконаладочные работы "вхолостую" наружных инженерных сетей - 1 этап</t>
  </si>
  <si>
    <t>Автоматическая установка пожарной сигнализации и система оповещения и управления эвакуацией</t>
  </si>
  <si>
    <t>09-06-01</t>
  </si>
  <si>
    <t>Затраты на командирование - 1 этап</t>
  </si>
  <si>
    <t>Оборудование, мебель, инвентарь</t>
  </si>
  <si>
    <t>09-07-01</t>
  </si>
  <si>
    <t>Затраты на командирование - 2 этап</t>
  </si>
  <si>
    <t>Автоматизация и диспетчеризация инженерных систем</t>
  </si>
  <si>
    <t>09-08-01</t>
  </si>
  <si>
    <t>Перебазировка строительно-монтажной организации - 1 этап</t>
  </si>
  <si>
    <t>09-09-01</t>
  </si>
  <si>
    <t>Перебазировка строительно-монтажной организации - 2 этап</t>
  </si>
  <si>
    <t>Плата за выбросы загрязняющих веществ в атмосферный воздух (1380,57/1000/11,1=0,13) - 1 этап</t>
  </si>
  <si>
    <t>Плата за выбросы загрязняющих веществ в атмосферный воздух  (743,38/1000/11,1=0,07)- 2 этап</t>
  </si>
  <si>
    <t>Плата за размещение загрязняющих веществ на полигоне твердых бытовых отходов (132416,42 -6,0567*663,2*1,08)/1000/11,1=11,54  -1 этап</t>
  </si>
  <si>
    <t>Плата за размещение загрязняющих веществ на полигоне твердых бытовых отходов (71301,15-3,2613*663,2*1,08)/1000/11,1=6,21   - 2 этап</t>
  </si>
  <si>
    <t>Затраты на проведение производственного экологического контроля (мониторинга) в период строительства (13247,20/8,98/1,2/1000=1,23) - 1 этап</t>
  </si>
  <si>
    <t>Затраты на проведение производственного экологического контроля (мониторинга) в период строительства (13247,20/8,98/1,2/1000=1,23) - 2 этап</t>
  </si>
  <si>
    <t>Расчет № 09-10-01</t>
  </si>
  <si>
    <t>Разница в стоимости электроэнергии, получаемой от передвижных источников снабжения, по сравнению со стоимостью электроэнергии, передаваемой от производителей единой энергетической системы России - 1 этап</t>
  </si>
  <si>
    <t>Постановление Правительства РФ № 468 _x000D_
от 21 июня 2010 г.</t>
  </si>
  <si>
    <t>Затраты на проведение строительного контроля_x000D_
 (1,56 % от глав 1-9 граф 4,5,6)</t>
  </si>
  <si>
    <r>
      <t>2297,24</t>
    </r>
    <r>
      <rPr>
        <i/>
        <sz val="10"/>
        <rFont val="Arial"/>
        <family val="2"/>
        <charset val="204"/>
      </rPr>
      <t xml:space="preserve">
1,56% от СУММ(92323750)+1,56% от СУММ(7166090)+1,56% от СУММ(47768930)</t>
    </r>
  </si>
  <si>
    <t>Расчет №10-01-01</t>
  </si>
  <si>
    <t>Затраты на осуществление функций технического заказчика - 1,2 этапы (13 947 406,20/1000/11,1=1256,52)</t>
  </si>
  <si>
    <t>Инженерные изыскания - 1 этап</t>
  </si>
  <si>
    <t>Проектная документация- 1, 2 этапы</t>
  </si>
  <si>
    <t>12-03</t>
  </si>
  <si>
    <t>Рабочая документация- 1, 2 этапы</t>
  </si>
  <si>
    <t>12-04-01</t>
  </si>
  <si>
    <t>Затраты на проведение экспертизы проектной документации и результатов инженерных изысканий, включая проверку достоверности определения сметной стоимости -1,2 этапы</t>
  </si>
  <si>
    <t>МДС 81-35.2004 п. 4.91</t>
  </si>
  <si>
    <t>Авторский надзор 0,2% от итога глав 1-9 - 1,2 этапы</t>
  </si>
  <si>
    <r>
      <t>307,04</t>
    </r>
    <r>
      <rPr>
        <i/>
        <sz val="10"/>
        <rFont val="Arial"/>
        <family val="2"/>
        <charset val="204"/>
      </rPr>
      <t xml:space="preserve">
0,2% от СУММ(92323750)+0,2% от СУММ(7166090)+0,2% от СУММ(47768930)+0,2% от СУММ(6263020)</t>
    </r>
  </si>
  <si>
    <t>Непредвиденные затраты для объектов социальной сферы - 2%</t>
  </si>
  <si>
    <r>
      <t>1846,48</t>
    </r>
    <r>
      <rPr>
        <i/>
        <sz val="10"/>
        <rFont val="Arial"/>
        <family val="2"/>
        <charset val="204"/>
      </rPr>
      <t xml:space="preserve">
2% от 92323750</t>
    </r>
  </si>
  <si>
    <r>
      <t>143,32</t>
    </r>
    <r>
      <rPr>
        <i/>
        <sz val="10"/>
        <rFont val="Arial"/>
        <family val="2"/>
        <charset val="204"/>
      </rPr>
      <t xml:space="preserve">
2% от 7166090</t>
    </r>
  </si>
  <si>
    <r>
      <t>955,38</t>
    </r>
    <r>
      <rPr>
        <i/>
        <sz val="10"/>
        <rFont val="Arial"/>
        <family val="2"/>
        <charset val="204"/>
      </rPr>
      <t xml:space="preserve">
2% от 47768930</t>
    </r>
  </si>
  <si>
    <r>
      <t>435,65</t>
    </r>
    <r>
      <rPr>
        <i/>
        <sz val="10"/>
        <rFont val="Arial"/>
        <family val="2"/>
        <charset val="204"/>
      </rPr>
      <t xml:space="preserve">
2% от 21782570</t>
    </r>
  </si>
  <si>
    <t>Пересчет в текущие цены по состоянию на 2 квартал 2020 г. (Письмо Минстроя России от 28.05.2020 №20259-ИФ/09 ; Письмо Минстроя России от 06.05.2020 N17207-ИФ/09)</t>
  </si>
  <si>
    <t>Письмо Минстроя РФ от 06.05.20 N 17207-ИФ/09; Письма Госстроя России №АШ-9/10 от 04.01.2001г. и №АШ-3412/10-ЛС/08 от 07.10.1999г.</t>
  </si>
  <si>
    <t>Создание опорной геодезической сети, геодезические разбивочные работы и вынос в натуру 1, 2 этапы  (К=4,45*1,27*1,02)</t>
  </si>
  <si>
    <r>
      <t>2087,22</t>
    </r>
    <r>
      <rPr>
        <i/>
        <sz val="10"/>
        <rFont val="Arial"/>
        <family val="2"/>
        <charset val="204"/>
      </rPr>
      <t xml:space="preserve">
362080*4,45*1,27*1,02</t>
    </r>
  </si>
  <si>
    <t>Письмо Минстроя РФ от 28.05.20 N 20259-ИФ/09</t>
  </si>
  <si>
    <t>Строительно-монтажные работы 1,2 этапы К=7,27</t>
  </si>
  <si>
    <r>
      <t>684617,57</t>
    </r>
    <r>
      <rPr>
        <i/>
        <sz val="10"/>
        <rFont val="Arial"/>
        <family val="2"/>
        <charset val="204"/>
      </rPr>
      <t xml:space="preserve">
94170230*7,27</t>
    </r>
  </si>
  <si>
    <r>
      <t>53139,41</t>
    </r>
    <r>
      <rPr>
        <i/>
        <sz val="10"/>
        <rFont val="Arial"/>
        <family val="2"/>
        <charset val="204"/>
      </rPr>
      <t xml:space="preserve">
7309410*7,27</t>
    </r>
  </si>
  <si>
    <t>Оборудование 1,2 этапы К=4,21</t>
  </si>
  <si>
    <r>
      <t>205129,35</t>
    </r>
    <r>
      <rPr>
        <i/>
        <sz val="10"/>
        <rFont val="Arial"/>
        <family val="2"/>
        <charset val="204"/>
      </rPr>
      <t xml:space="preserve">
48724310*4,21</t>
    </r>
  </si>
  <si>
    <t>Пусконаладочные работы 1,2 этапы К=15,75*1,02</t>
  </si>
  <si>
    <r>
      <t>2949,05</t>
    </r>
    <r>
      <rPr>
        <i/>
        <sz val="10"/>
        <rFont val="Arial"/>
        <family val="2"/>
        <charset val="204"/>
      </rPr>
      <t xml:space="preserve">
(59850+12850+8830+36940+65100)*15,75*1,02</t>
    </r>
  </si>
  <si>
    <t>Содержание службы заказчика, строительный контроль 1,2 этапы К=11,10*1,02</t>
  </si>
  <si>
    <r>
      <t>40235,67</t>
    </r>
    <r>
      <rPr>
        <i/>
        <sz val="10"/>
        <rFont val="Arial"/>
        <family val="2"/>
        <charset val="204"/>
      </rPr>
      <t xml:space="preserve">
3553760*11,1*1,02</t>
    </r>
  </si>
  <si>
    <t>Прочие работы и затраты 1,2 этапы К=11,10*1,02</t>
  </si>
  <si>
    <r>
      <t>68180,52</t>
    </r>
    <r>
      <rPr>
        <i/>
        <sz val="10"/>
        <rFont val="Arial"/>
        <family val="2"/>
        <charset val="204"/>
      </rPr>
      <t xml:space="preserve">
(530+14800+4385130+1271490+15830+9180+130+70+11540+6210+307040)*11,1*1,02</t>
    </r>
  </si>
  <si>
    <t>Производственный экологический мониторинг 1, 2 этапы К=4,45*1,27*1,02</t>
  </si>
  <si>
    <r>
      <t>14,18</t>
    </r>
    <r>
      <rPr>
        <i/>
        <sz val="10"/>
        <rFont val="Arial"/>
        <family val="2"/>
        <charset val="204"/>
      </rPr>
      <t xml:space="preserve">
(1230+1230)*4,45*1,27*1,02</t>
    </r>
  </si>
  <si>
    <t>Инженерные изыскания 1 этап К=4,45*1,27*1,02</t>
  </si>
  <si>
    <r>
      <t>9236,51</t>
    </r>
    <r>
      <rPr>
        <i/>
        <sz val="10"/>
        <rFont val="Arial"/>
        <family val="2"/>
        <charset val="204"/>
      </rPr>
      <t xml:space="preserve">
1602300*4,45*1,27*1,02</t>
    </r>
  </si>
  <si>
    <t>Проектная документация 1, 2 этапы К=4,37*1,19*1,02</t>
  </si>
  <si>
    <r>
      <t>20815,42</t>
    </r>
    <r>
      <rPr>
        <i/>
        <sz val="10"/>
        <rFont val="Arial"/>
        <family val="2"/>
        <charset val="204"/>
      </rPr>
      <t xml:space="preserve">
3924250*4,37*1,19*1,02</t>
    </r>
  </si>
  <si>
    <t>Рабочая документация 1,2 этапы К=4,37*1,19*1,02</t>
  </si>
  <si>
    <r>
      <t>30103,1</t>
    </r>
    <r>
      <rPr>
        <i/>
        <sz val="10"/>
        <rFont val="Arial"/>
        <family val="2"/>
        <charset val="204"/>
      </rPr>
      <t xml:space="preserve">
5675220*4,37*1,19*1,02</t>
    </r>
  </si>
  <si>
    <t>Приказ Министерства строительства и ЖКХ КЧР от 21.08.2020 г. №129</t>
  </si>
  <si>
    <t>Затраты на проведение экспертизы проектной документации и результатов инженерных изысканий, включая проверку достоверности определения сметной стоимости -1,2 этапы К=5,44*1,02</t>
  </si>
  <si>
    <r>
      <t>2535,69</t>
    </r>
    <r>
      <rPr>
        <i/>
        <sz val="10"/>
        <rFont val="Arial"/>
        <family val="2"/>
        <charset val="204"/>
      </rPr>
      <t xml:space="preserve">
456980*5,44*1,02</t>
    </r>
  </si>
  <si>
    <t>Итого "Пересчет в текущие цены по состоянию на 2 квартал 2020 г. (Письмо Минстроя России от 28.05.2020 №20259-ИФ/09 ; Письмо Минстроя России от 06.05.2020 N17207-ИФ/09)"</t>
  </si>
  <si>
    <r>
      <t>136923,51</t>
    </r>
    <r>
      <rPr>
        <i/>
        <sz val="10"/>
        <rFont val="Arial"/>
        <family val="2"/>
        <charset val="204"/>
      </rPr>
      <t xml:space="preserve">
684617570*0,2</t>
    </r>
  </si>
  <si>
    <r>
      <t>10627,88</t>
    </r>
    <r>
      <rPr>
        <i/>
        <sz val="10"/>
        <rFont val="Arial"/>
        <family val="2"/>
        <charset val="204"/>
      </rPr>
      <t xml:space="preserve">
53139410*0,2</t>
    </r>
  </si>
  <si>
    <r>
      <t>41025,87</t>
    </r>
    <r>
      <rPr>
        <i/>
        <sz val="10"/>
        <rFont val="Arial"/>
        <family val="2"/>
        <charset val="204"/>
      </rPr>
      <t xml:space="preserve">
205129350*0,2</t>
    </r>
  </si>
  <si>
    <r>
      <t>35231,47</t>
    </r>
    <r>
      <rPr>
        <i/>
        <sz val="10"/>
        <rFont val="Arial"/>
        <family val="2"/>
        <charset val="204"/>
      </rPr>
      <t xml:space="preserve">
176157360*0,2</t>
    </r>
  </si>
  <si>
    <t>Итого по сводному сметному расчету</t>
  </si>
  <si>
    <t>В том числе 1 этап</t>
  </si>
  <si>
    <t>В том числе 2 этап</t>
  </si>
  <si>
    <t>в т.ч ПИР в текущих ценах  (без непредвиденных затрат) с НДС</t>
  </si>
  <si>
    <r>
      <t>73753,79</t>
    </r>
    <r>
      <rPr>
        <i/>
        <sz val="10"/>
        <rFont val="Arial"/>
        <family val="2"/>
        <charset val="204"/>
      </rPr>
      <t xml:space="preserve">
(9236510+20815420+30103100+2535690)/1,02*1,2</t>
    </r>
  </si>
  <si>
    <t>Справочно возвратные суммы:</t>
  </si>
  <si>
    <t>возвратные суммы в текущих ценах (без непредвиденных затрат) с НДС</t>
  </si>
  <si>
    <r>
      <t>2680,26</t>
    </r>
    <r>
      <rPr>
        <i/>
        <sz val="10"/>
        <rFont val="Arial"/>
        <family val="2"/>
        <charset val="204"/>
      </rPr>
      <t xml:space="preserve">
2048190*0,15*7,27*1,2</t>
    </r>
  </si>
  <si>
    <r>
      <t>208,04</t>
    </r>
    <r>
      <rPr>
        <i/>
        <sz val="10"/>
        <rFont val="Arial"/>
        <family val="2"/>
        <charset val="204"/>
      </rPr>
      <t xml:space="preserve">
158980*0,15*7,27*1,2</t>
    </r>
  </si>
  <si>
    <t>Главный инженер проекта: ___________________________В.В. Пивень</t>
  </si>
  <si>
    <t>Составил: ___________________________И.В. Прокопенко</t>
  </si>
  <si>
    <t>Генеральный директор ООО "НКД": ___________________________А.В. Казак</t>
  </si>
  <si>
    <t>Генеральный директор АО "КСК": ___________________________Х.Х.Тимижев</t>
  </si>
  <si>
    <t>руб/м2 с НДС</t>
  </si>
  <si>
    <t xml:space="preserve">ССР
Коттеджный комплекс в туристической деревне Дукка ВТРК "Архыз"
ОС 02-19 Ресторан - 1 этап
(в ценах 2 квартала 2020 года)
</t>
  </si>
  <si>
    <t>Жилые модули: Вместимость жилых модулей (11 шт.) – до 44 человек (круглосуточно). Ориентировочные размеры модулей: 5,8х7,6 высотой от 2,05 до 3,8 м. Одноэтажные</t>
  </si>
  <si>
    <t>ССР
Всесезонный туристско-рекреационный комплекс "Архыз", Карачаево-Черкесская Республика. Комплексная система безопасности. Техническая подсистема.
ЛСР 02-01-06 Строительно монтажные работы. Система охранного телевидения (СОТ)
(в ценах 2 квартала 2019 года)</t>
  </si>
  <si>
    <t>в аналоге учтены сервер+видеокамеры</t>
  </si>
  <si>
    <t>ССР
Всесезонный туристско-рекреационный комплекс "Архыз", Карачаево-Черкесская Республика. Комплексная система безопасности. Техническая подсистема.
ЛСР 02-01-11 Строительно монтажные работы. Подсистема экстренной связи (СЭС)
(в ценах 2 квартала 2019 года)</t>
  </si>
  <si>
    <t>ССР
Всесезонный туристско-рекреационный комплекс "Архыз", Карачаево-Черкесская Республика. Комплексная система безопасности. Техническая подсистема.
ЛСР 02-01-09 Строительно монтажные работы. Подсистема информирования и оповещения (СИО)
(в ценах 2 квартала 2019 года)</t>
  </si>
  <si>
    <t>ССР
Всесезонный туристско-рекреационный комплекс "Архыз", Карачаево-Черкесская Республика. Комплексная система безопасности. Техническая подсистема.
ЛСР 02-01-04 Строительно монтажные работы. Подсистема сбора и обработки информации (ССОИ)
(в ценах 2 квартала 2019 года)</t>
  </si>
  <si>
    <t>ССР
Всесезонный туристско-рекреационный комплекс "Архыз", Карачаево-Черкесская Республика. Комплексная система безопасности. Техническая подсистема.
ЛСР 02-01-12 Строительно монтажные работы. Подсистема передачи данных (СПД)
(в ценах 2 квартала 2019 года)</t>
  </si>
  <si>
    <t xml:space="preserve"> в том числе:</t>
  </si>
  <si>
    <t>Авторский надзор</t>
  </si>
  <si>
    <t>средняя цена:</t>
  </si>
  <si>
    <t>Проектных и
изыскательских работ,
включая экспертизу
проектной документации (ПИР)</t>
  </si>
  <si>
    <r>
      <t xml:space="preserve">Строительный контроль - </t>
    </r>
    <r>
      <rPr>
        <b/>
        <i/>
        <sz val="10"/>
        <rFont val="Times New Roman"/>
        <family val="1"/>
        <charset val="204"/>
      </rPr>
      <t>2,14%</t>
    </r>
    <r>
      <rPr>
        <i/>
        <sz val="10"/>
        <rFont val="Times New Roman"/>
        <family val="1"/>
        <charset val="204"/>
      </rPr>
      <t xml:space="preserve">  согласно Постановлению Правительства РФ № 468</t>
    </r>
  </si>
  <si>
    <t>3. ПРОЕКТНЫЕ РАБОТЫ СТАДИИ РД</t>
  </si>
  <si>
    <t xml:space="preserve">Рабочая документация </t>
  </si>
  <si>
    <t xml:space="preserve">Смета № 1-РД. </t>
  </si>
  <si>
    <t>ИТОГО по разделу 3:</t>
  </si>
  <si>
    <t>Проектно-изыскательские работы</t>
  </si>
  <si>
    <t>Непредвиденные затраты по инженерным изысканиям - 10%</t>
  </si>
  <si>
    <t>Непредвиденные затраты по проектной документации - 2%</t>
  </si>
  <si>
    <t>Строительство (строительно-монтажные и пусконаладочные работы, оборудование, прочие затраты)</t>
  </si>
  <si>
    <t>Сводная смета ПИР</t>
  </si>
  <si>
    <t>п. 3.7.6 в) Методического пособия по определению стоимости инженерных изысканий для строительства, утвержденных  письмом Госстроя России 
от 31.03.2004 № НЗ-2078/10</t>
  </si>
  <si>
    <t>Методика по приказу Минстроя РФ № 421/пр от 04.08.2020</t>
  </si>
  <si>
    <t>Цена за ед., руб. без НДС</t>
  </si>
  <si>
    <t>Итого стоимость с учетом ценообразующих и усложняющих коэффициентов, руб. без НДС</t>
  </si>
  <si>
    <t>Стоимость работ в ценах на дату формирования расчета с учетом индекса фактической инфляции, руб. без учета НДС</t>
  </si>
  <si>
    <t xml:space="preserve">Цена за ед. без учета стоимости затрат на ПИР и затрат на строительный контроль, руб. без НДС
</t>
  </si>
  <si>
    <t>в том числе оборудование</t>
  </si>
  <si>
    <t>Итого, руб. без НДС в ценах соответствующих периодов</t>
  </si>
  <si>
    <r>
      <t xml:space="preserve">Всего  в ценах </t>
    </r>
    <r>
      <rPr>
        <b/>
        <sz val="12"/>
        <rFont val="Times New Roman"/>
        <family val="1"/>
        <charset val="204"/>
      </rPr>
      <t xml:space="preserve">соответствуюшего ценового периода, </t>
    </r>
    <r>
      <rPr>
        <b/>
        <sz val="12"/>
        <color theme="1"/>
        <rFont val="Times New Roman"/>
        <family val="1"/>
        <charset val="204"/>
      </rPr>
      <t>руб. без НДС</t>
    </r>
  </si>
  <si>
    <t>Расчет усредненного индекса-дефлятора на период выполнения работ</t>
  </si>
  <si>
    <t>для Инженерных изысканий</t>
  </si>
  <si>
    <t>Период от даты определения НМЦК до даты окончания работ, мес.</t>
  </si>
  <si>
    <t>для Проектных работ стадии "Проектная документация"</t>
  </si>
  <si>
    <t>для Проектных работ стадии "Рабочая документация"</t>
  </si>
  <si>
    <t>для Строительства (строительно-монтажные работы, оборудование, пусконаладочные работы)</t>
  </si>
  <si>
    <t>Расчет начальной (максимальной) цены контракта при осуществлении закупки на выполнение подрядных работ по проектированию и строительству объекта:</t>
  </si>
  <si>
    <t>Индекс Минэкономразвития РФ на 2024 г. (Письмо Минэкономразвития России от 28 сентября 2023 г. N 35312-ПК/Д03и)</t>
  </si>
  <si>
    <t>Пусконаладочные работы</t>
  </si>
  <si>
    <t>окончание первого года</t>
  </si>
  <si>
    <t>начало второго года</t>
  </si>
  <si>
    <t>НЦС 81-02-01-2024
19-07-022-01 (применительно)
Контрольно-пропускные пункты блочно-модульного исполнения площадью 32 м2</t>
  </si>
  <si>
    <t>Ведомость объемов конструктивных решений (элементов) и комплексов (видов) работ</t>
  </si>
  <si>
    <t>Е.А.Татаринова</t>
  </si>
  <si>
    <t>ПРОЕКТ СМЕТЫ КОНТРАКТА</t>
  </si>
  <si>
    <t>в том числе Оборудование</t>
  </si>
  <si>
    <t>На единицу измерения</t>
  </si>
  <si>
    <t>Итого без учета НДС</t>
  </si>
  <si>
    <t>Всего с учетом НДС</t>
  </si>
  <si>
    <t>по объекту</t>
  </si>
  <si>
    <t>инфляционная составляющая за период выполнения работ</t>
  </si>
  <si>
    <t>В том числе:</t>
  </si>
  <si>
    <t>непредвиденные затраты</t>
  </si>
  <si>
    <t>Разработка проектной документации стадии "Проектная документация"</t>
  </si>
  <si>
    <t>оборудование</t>
  </si>
  <si>
    <t xml:space="preserve"> Стоимость объекта в прогнозных ценах (руб.)</t>
  </si>
  <si>
    <t>1.</t>
  </si>
  <si>
    <t>Инженерные изыскания;</t>
  </si>
  <si>
    <t>2.</t>
  </si>
  <si>
    <t>Проектная документация;</t>
  </si>
  <si>
    <t>3.</t>
  </si>
  <si>
    <t>4.</t>
  </si>
  <si>
    <t>Создание геодезической разбивочной основы;</t>
  </si>
  <si>
    <t>5.</t>
  </si>
  <si>
    <t>Затраты на оплату труда рабочих-строителей и рабочих, обслуживающих строительные машины и механизмы;</t>
  </si>
  <si>
    <t>6.</t>
  </si>
  <si>
    <t>Затраты на эксплуатацию машин и механизмов;</t>
  </si>
  <si>
    <t>7.</t>
  </si>
  <si>
    <t>Затраты на приобретение материалов, изделий и конструкций;</t>
  </si>
  <si>
    <t>8.</t>
  </si>
  <si>
    <t>Затраты на приобретение оборудования;</t>
  </si>
  <si>
    <t>9.</t>
  </si>
  <si>
    <t>Накладные расходы;</t>
  </si>
  <si>
    <t>10.</t>
  </si>
  <si>
    <t>Сметную прибыль;</t>
  </si>
  <si>
    <t>11.</t>
  </si>
  <si>
    <t>Затраты на строительство временных зданий и сооружений (ВЗИС) с учетом возврата от разборки ВЗИС в размере 15 % от суммы затрат на их возведение;</t>
  </si>
  <si>
    <t>12.</t>
  </si>
  <si>
    <t>Затраты на удорожание работ в зимнее время;</t>
  </si>
  <si>
    <t>13.</t>
  </si>
  <si>
    <t>Пусконаладочные работы (вхолостую);</t>
  </si>
  <si>
    <t>14.</t>
  </si>
  <si>
    <t xml:space="preserve">Затраты на проезд рабочих; </t>
  </si>
  <si>
    <t>15.</t>
  </si>
  <si>
    <t>Прочие затраты подрядчика, необходимые для строительства объекта;</t>
  </si>
  <si>
    <t>16.</t>
  </si>
  <si>
    <t>Резерв средств на непредвиденные работы и затраты;</t>
  </si>
  <si>
    <t>17.</t>
  </si>
  <si>
    <t>Индексы фактической инфляции для пересчета сметной стоимости из уровня цен утверждения проектной документации в уровень цен на дату определения НМЦК;</t>
  </si>
  <si>
    <t>18.</t>
  </si>
  <si>
    <t>Индексы прогнозной инфляции для пересчета из уровня цен на дату определения НМЦК в уровень цен соответствующего периода реализации проекта;</t>
  </si>
  <si>
    <t>Описание метода расчета стоимости  строительства</t>
  </si>
  <si>
    <t>Индексы фактической инфляции для пересчета сметной стоимости из уровня цен утверждения проектной документации в уровень цен на дату определения НМЦК определены по данным Росстата;</t>
  </si>
  <si>
    <t>Индексы прогнозной инфляции для пересчета из уровня цен на дату определения НМЦК в уровень цен соответствующего периода реализации проекта определены с применением индексов-дефляторов Министерства экономического развития Российской Федерации по строке "Инвестиции в основной капитал (капитальные вложения).</t>
  </si>
  <si>
    <t>Расчет стоимости строительства выполнен проектно-сметным методом с использованием укрупненных нормативов цены строительства, включенных в Федеральный реестр сметных нормативов.</t>
  </si>
  <si>
    <t>руб.</t>
  </si>
  <si>
    <t>Прогнозные индексы инфляции для пересчета из уровня цен на дату определения НМЦК в уровень цен соответствующего периода реализации проекта определены  согласно Письма Минэкономразвития России от 28 сентября 2023 г. N 35312-ПК/Д03и “О применении показателей прогноза социально-экономического развития Российской Федерации в целях ценообразования на продукцию, поставляемую по государственному оборонному заказу”.</t>
  </si>
  <si>
    <t>Прогнозные индексы инфляции для пересчета из уровня цен на дату определения НМЦК в уровень цен соответствующего периода реализации проекта определены  согласно Письму Минэкономразвития России от 28 сентября 2023 г. N 35312-ПК/Д03и “О применении показателей прогноза социально-экономического развития Российской Федерации в целях ценообразования на продукцию, поставляемую по государственному оборонному заказу”</t>
  </si>
  <si>
    <t>Цена работ учитывает все затраты Подрядчика, включая стоимость приобретения материалов и оборудования поставки Подрядчика, стоимость строительно-монтажных и прочих затрат (разбивку осей сооружений, пусконаладку, затраты на проезд рабочих), накладных расходов, сметной прибыли, затрат по оплате налога на добавленную стоимость.</t>
  </si>
  <si>
    <t>Начальная максимальная цена договора (далее - НМЦД) определена в соответствии с требованием Федерального Закона от 18.07.2011 N 223-ФЗ  "О закупках товаров, работ, услуг отдельными видами юридических лиц" , Положением о закупке товаров, работ, услуг акционерного общества "КАВКАЗ.РФ", введенным в действие приказом АО "КАВКАЗ.РФ" №Пр-24-008 от 16.01.2024,  Порядком определения начальной (максимальной) цены контракта, предметом которого одновременно являются подготовка проектной документации и (или) выполнение инженерных изысканий, выполнение работ по строительству, реконструкции и (или) капитальному ремонту объекта капитального строительства, включенного в перечни объектов капитального строительства, утвержденным приказом Министерства строительства и жилищно-коммунального хозяйства Российской Федерации от 30 марта 2020 г. N 175/пр (далее- Порядок определения НМЦК № 175/пр).</t>
  </si>
  <si>
    <t>Итого с НДС</t>
  </si>
  <si>
    <t>Узел подключения в централизованную сеть ливневой канализации</t>
  </si>
  <si>
    <t>В расчете учтен резерв средств на непредвиденные затраты в размере 2%</t>
  </si>
  <si>
    <t xml:space="preserve">Узел врезки в централизованную сеть водопровода </t>
  </si>
  <si>
    <t>Напорная наружная сеть хозяйственно-бытового водоотведения: диаметром 100 мм, глубина 2,1 м, материал полиэтилен</t>
  </si>
  <si>
    <t>Внутриплощадочная самотечная сеть хозяйственно-бытового водоотведения: диаметром 160 мм, глубина 2,6 м, материал полиэтилен</t>
  </si>
  <si>
    <t>Узел подключения в централизованную сеть хозяйственно-бытовой канализации</t>
  </si>
  <si>
    <t>Колодец-гаситель напора ливневой</t>
  </si>
  <si>
    <t>ВОЛС 8 ОВ в двухотверстной кабельной канализации, с её устройством (с учетом колодцев ККС-2 1 шт на 100 м канализации связи)</t>
  </si>
  <si>
    <t>ВОЛС 8 ОВ в проложенной двухотверстной кабельной канализации</t>
  </si>
  <si>
    <t>ВОЛС 8 ОВ в одноотверстной кабельной канализации, с её устройством (с учетом колодцев ККС-2 1 шт на 100 м канализации связи)</t>
  </si>
  <si>
    <t>ВОЛС 8 ОВ в проложенной одноотверстной кабельной канализации</t>
  </si>
  <si>
    <t>Колодец связи бетонный ККС-2: 21 шт, за исключением 6 шт, учтенных в устройстве кабельной канализации связи</t>
  </si>
  <si>
    <t>ВОЛС в ККС на 8 ОВ</t>
  </si>
  <si>
    <t xml:space="preserve">ВОЛС в ККС на 4 ОВ </t>
  </si>
  <si>
    <t xml:space="preserve">Сеть электроснабжения 0,4 кВ: кабельная линия в грунте ВКбШв 5х240 мм2 </t>
  </si>
  <si>
    <t>Дорожно-транспортная инфраструктура</t>
  </si>
  <si>
    <t>Автодорога с подъездами к домам V категории с покрытием из щебня</t>
  </si>
  <si>
    <t>машиномест</t>
  </si>
  <si>
    <t>Парковка, гостевая автостоянка: размер 40*20м. Покрытие гравийное</t>
  </si>
  <si>
    <t>НЦС 81-02-08-2024
08-07-001-01
Площадки отдыха с устройством ограждения и искусственного освещения: до 20 машино-мест
К1=1,08 (ОУ п.22 табл.4) - коэффициент, учитывающий строительство в высокогорных условиях при высоте над уровнем моря 1300-2500 м</t>
  </si>
  <si>
    <t>100 м2 покрытия</t>
  </si>
  <si>
    <t>Малые архитектурные формы</t>
  </si>
  <si>
    <t>Жилые модули с деревянным силовым каркасом на винтовых сваях: Вместимость жилых модулей (11 шт.) – до 
88 человек (круглосуточно). Ориентировочные размеры модулей: 10х4 м., высотой до 3,6 м</t>
  </si>
  <si>
    <t>Пешеходная тропиночная сеть: покрытие гравийная крошка: протяженность 250 м, ширина 1 м</t>
  </si>
  <si>
    <t>Парковка, гостевая автостоянка на 35 машиномест: размер 40*25м. Покрытие гравийное</t>
  </si>
  <si>
    <t>Разработка выемки</t>
  </si>
  <si>
    <t>Устройство насыпи песок  (Расстояние 61 км)</t>
  </si>
  <si>
    <t>Устройство насыпи щебень  (Расстояние 61 км)</t>
  </si>
  <si>
    <t>Складирование грунта на временной площадке</t>
  </si>
  <si>
    <t>Инженерная защита</t>
  </si>
  <si>
    <t>Устройство водопропускной трубы диаметром 1,0 м</t>
  </si>
  <si>
    <t>п.м</t>
  </si>
  <si>
    <t>Устройство матрацов "Рено" толщиной 170 мм</t>
  </si>
  <si>
    <t>Дороги и Парковка</t>
  </si>
  <si>
    <t>Устройство примыкания к дороге 3 категории в 1 уровне</t>
  </si>
  <si>
    <t>Парковочное пространство</t>
  </si>
  <si>
    <t>Благоустройство</t>
  </si>
  <si>
    <t>Установка площадки ТБО</t>
  </si>
  <si>
    <t>Установка ограждений</t>
  </si>
  <si>
    <t>Устройство тротуаров из тротуарной плитки</t>
  </si>
  <si>
    <t>Электроснабжение БМЗ1;2 напряжением 0,4 кВ
БМЗ-1 (Ориентировочная потребляемая мощность 125 кВт)
БМЗ-2 (Ориентировочная потребляемая мощность  75 кВт)
Обогрев 200 кВт</t>
  </si>
  <si>
    <t xml:space="preserve">Для комплектации отсека РУ-0,4 кВ на подстанции (ТП-8)  1. Вводное оборудование (Ввод №1) Выключатель-разъединитель (Рубильник) Автоматический выключатель (Вводной) Автоматический выключатель (Вводной)
2. Узел учета и контроля, счетчик электроэнергии, измерительные приборы, Блок испытательный (КИПиА)
3. Линейные выключатели (Отходящие линии)
4. Защитное и вспомогательное оборудование
5. Секционный выключатель
6. Блок АВР
</t>
  </si>
  <si>
    <t>Кабельные линии 0,4 кВ для подключения. ( алюминиевый 240 мм2 или медный 150 мм2)</t>
  </si>
  <si>
    <t>Проходка под дорогой методом ГНБ</t>
  </si>
  <si>
    <t>Футляр. 2 шт.</t>
  </si>
  <si>
    <t>Слаботочные сети (волоконно-оптический кабель 16ОВ, 815 м - самонесущий, 385 - бронированный для канализации )</t>
  </si>
  <si>
    <t>Муфта соединительная проходная  оптическая 16 ОВ</t>
  </si>
  <si>
    <t>Водоснабжение</t>
  </si>
  <si>
    <t>Трубопровод ПЭ 100-RC SDR 13,6 Ду100, глубина прокладки 2,5 м</t>
  </si>
  <si>
    <t>Трубопровод ПЭ 100-RC SDR 13,6 Ду50,  глубина прокладки 2,5 м</t>
  </si>
  <si>
    <t>Проходка под дорогой методом ГНБ, Дн325</t>
  </si>
  <si>
    <t>Футляр Дн325</t>
  </si>
  <si>
    <t xml:space="preserve">Устройство водопроводных ж/б круглых колодцев Д1,5 м, Н=3,0 м </t>
  </si>
  <si>
    <t>Гидрант поожарный, в комплекте с подставкой Ду100</t>
  </si>
  <si>
    <t>Задвижка клиновая с обрезиненным клином Ду100</t>
  </si>
  <si>
    <t>Задвижка клиновая с обрезиненным клином Ду50</t>
  </si>
  <si>
    <t>Узел ввода в здание Ду50</t>
  </si>
  <si>
    <t>Разработка грунта в траншее</t>
  </si>
  <si>
    <t>Погрузка в самосвал и вывоз грунта</t>
  </si>
  <si>
    <t>Обратная засыпка пазух и трубопроводов песком, с уплотнением</t>
  </si>
  <si>
    <t>Обратная засыпка траншеи местным грунтом, с уплотнением</t>
  </si>
  <si>
    <t>Узел учета, Ду32</t>
  </si>
  <si>
    <t>Водоотведение</t>
  </si>
  <si>
    <t>Трубопровод КОРСИС DN160, глубина прокладки 2,0 м</t>
  </si>
  <si>
    <t xml:space="preserve">Устройство канализационных ж/б круглых колодцев Д1,0 м, Н=2,0 м </t>
  </si>
  <si>
    <t>Устройство оснований песчанных под колодцы и трубопроводы</t>
  </si>
  <si>
    <t>руб/м с НДС</t>
  </si>
  <si>
    <t>НЦС 81-02-08-2026
08-10-001-05
Водопропускные трубы: железобетонные, диаметром до 1,5 м
К1=1,08 (ОУ п.22 табл.4) - коэффициент, учитывающий строительство в высокогорных условиях на высотных отметках 1300-2500 м над уровнем моря</t>
  </si>
  <si>
    <r>
      <t xml:space="preserve">Коэффициент перехода от цен базового района (Московская область)
к уровню цен субъектов Российской Федерации: </t>
    </r>
    <r>
      <rPr>
        <b/>
        <sz val="12"/>
        <color theme="1"/>
        <rFont val="Times New Roman"/>
        <family val="1"/>
        <charset val="204"/>
      </rPr>
      <t>Республика Северная Осетия-Алания</t>
    </r>
    <r>
      <rPr>
        <sz val="12"/>
        <color theme="1"/>
        <rFont val="Times New Roman"/>
        <family val="1"/>
        <charset val="204"/>
      </rPr>
      <t xml:space="preserve"> (Kпер)</t>
    </r>
  </si>
  <si>
    <t>Кампус ВТРК «Мамисон»</t>
  </si>
  <si>
    <t>Индексы цен на продукцию (затраты, услуги) инвестиционного назначения с 2017 г. (процент)</t>
  </si>
  <si>
    <t>К предыдущему месяцу</t>
  </si>
  <si>
    <t>В виде К</t>
  </si>
  <si>
    <t xml:space="preserve">    СТРОИТЕЛЬСТВО</t>
  </si>
  <si>
    <t xml:space="preserve">    Российская Федерация без учета новых субъектов (с 01.01.2023)</t>
  </si>
  <si>
    <t>2025</t>
  </si>
  <si>
    <t>2026</t>
  </si>
  <si>
    <r>
      <t xml:space="preserve">Индекс фактической инфляции от ценового периода объекта-аналога к дате формирования расчета </t>
    </r>
    <r>
      <rPr>
        <b/>
        <sz val="12"/>
        <rFont val="Times New Roman"/>
        <family val="1"/>
        <charset val="204"/>
      </rPr>
      <t>01.04.2026</t>
    </r>
  </si>
  <si>
    <t>Внутриплощадочные проезды. Длина 180 п.м. Ширина 6 м. Площадь покрытия 1080 м2</t>
  </si>
  <si>
    <t>НЦС 81-02-08-2026
08-04-002-01
Обычные дороги категории IV, дорожная одежда облегченного типа с асфальтобетонным покрытием 2 полосные
К1=1,08 (ОУ п.22 табл.4) - коэффициент, учитывающий строительство в высокогорных условиях на высотных отметках 1300-2500 м над уровнем моря</t>
  </si>
  <si>
    <t>НЦС 81-02-08-2026
08-07-001-02
Площадки отдыха с устройством ограждения и искусственного освещения: свыше 20 до 50 машино-мест
К1=1,08 (ОУ п.22 табл.4) - коэффициент, учитывающий строительство в высокогорных условиях на высотных отметках 1300-2500 м над уровнем моря</t>
  </si>
  <si>
    <t>НЦС 81-02-16-2026
ОУ п.18
Устройство шлагбаума</t>
  </si>
  <si>
    <t>НЦС 81-02-17-2026
17-01-002-01
Озеленение придомовых территорий с площадью газонов: 30%</t>
  </si>
  <si>
    <t>НЦС 81-02-12-2026
12-01-001-09
Кабельные линии электропередачи напряжением 1 кВ, при прокладке в траншее
кабелем с алюминиевыми жилами, с бумажной изоляцией в алюминиевой оболочке, с
броней из двух стальных лент с защитой кабеля кирпичом керамическим: с числом жил - 3 и сечением 240 мм²
К=1,02 - ОУ п.20 при укладке плит ПЗК 24х48 см вместо кирпича</t>
  </si>
  <si>
    <t>Слаботочные сети (волоконно-оптический кабель 16ОВ, 815 м - самонесущий</t>
  </si>
  <si>
    <t>Слаботочные сети (волоконно-оптический кабель 16ОВ, 385 - бронированный для канализации)</t>
  </si>
  <si>
    <t>НЦС 81-02-11-2026
11-02-001-06
Воздушные линий сетей связи, при прокладке по существующим опорам воздушных
линии электропередачи напряжением 35-220 кВ кабелем волоконно-оптическим
одномодовым с центральным силовым диэлектрическим элементом из
стеклопластикового стержня, с защитным покровом из стеклонитей, с наружной
защитной оболочкой: допустимое растягивающее усилие - 8кН, количество
волокон - 16</t>
  </si>
  <si>
    <t>НЦС 81-02-11-2026
11-01-011-03
Кабельные линии сетей связи, при прокладке в существующей кабельной
канализации или в коллекторе по свободному каналу кабелем волоконно-оптическим
с центральной модульной трубкой, с броней из стальных оцинкованных проволок,
в полиэтиленовой оболочке: с количеством волокон в кабеле - 16, оптических волокон
в модуле - 4, количество модулей - 4</t>
  </si>
  <si>
    <t>Узел подключения к существующей сети</t>
  </si>
  <si>
    <t>НЦС 81-02-14-2026
14-06-001-03
Наружные инженерные сети водоснабжения из полиэтиленовых труб, разработка
сухого грунта в отвал, без креплений (группа грунтов 1-3): диаметром 110 мм и глубиной 3 м;
с надбавкой на применение полиэтиленовых труб с защитным покрытием ПЭ RC взамен полиэтиленовых труб ОУ п.22 таб.6: при диаметре трубопровода 110 мм</t>
  </si>
  <si>
    <t>НЦС 81-02-14-2026
14-08-013-01
Устройство футляров методом горизонтального направленного бурения, с
устройством рабочего и приемного котлованов в сухом грунте: диаметром 400 мм и глубиной 3 м
с учетом корректировки длины футляра согласно ОУ п.26 таб.8</t>
  </si>
  <si>
    <t>НЦС 81-02-14-2026
14-06-001-02 (применительно)
Наружные инженерные сети водоснабжения из полиэтиленовых труб, разработка
сухого грунта в отвал, без креплений (группа грунтов 1-3): диаметром 110 мм и глубиной 2 м;
с надбавкой на применение полиэтиленовых труб с защитным покрытием ПЭ RC взамен полиэтиленовых труб ОУ п.22 таб.6: при диаметре трубопровода 110 мм</t>
  </si>
  <si>
    <t>НЦС 81-02-14-2026
14-07-001-02
Наружные инженерные сети канализации из полиэтиленовых труб, разработка сухого
грунта в отвал, без креплений (группа грунтов 1-3): диаметром 160 мм и глубиной 2 м</t>
  </si>
  <si>
    <t>руб/шт с НДС</t>
  </si>
  <si>
    <t>руб/комплекс с НДС</t>
  </si>
  <si>
    <t>НЦС 81-02-16-2026
16-02-001-02
Малые архитектурные формы для жилых зданий: временного пребывания, общежитий</t>
  </si>
  <si>
    <t xml:space="preserve">НЦС 81-02-12-2026
12-08-002-10 (применительно)
Переходы через преграды кабельных линий электропередачи напряжением 6 кВ
методом прокола, с устройством двухтрубной кабельной канализации, кабелем с
алюминиевыми жилами, с бумажной изоляцией, в алюминиевой оболочке, с броней
из двух стальных лент: с числом жил - 3 и сечением 240 мм²
</t>
  </si>
  <si>
    <t>НЦС 81-02-16-2026
16-05-001-01
Ограждения по железобетонным столбам из металлических сетчатых панелей
высотой до 2 м: без цоколя</t>
  </si>
  <si>
    <t>НЦС 81-02-16-2026
16-06-001-04
Площадки, дорожки, тротуары шириной от 0,9 м до 2,5 м с покрытием: из мелкоразмерной плитки</t>
  </si>
  <si>
    <t>Вертикальная планировка. Высота 1500-2500 м</t>
  </si>
  <si>
    <t>ВСЕГО с НДС, руб.</t>
  </si>
  <si>
    <t>НДС 22%</t>
  </si>
  <si>
    <t>справочно (по НЦС) с НДС:</t>
  </si>
  <si>
    <t>ПИР</t>
  </si>
  <si>
    <t>Стройконтроль</t>
  </si>
  <si>
    <t>Площадка с покрытием из литой асфальтобетонной смеси однослойным</t>
  </si>
  <si>
    <t>НЦС 81-02-16-2026
16-06-001-01
Площадки, дорожки, тротуары шириной от 0,9 м до 2,5 м с покрытием: из литой асфальтобетонной смеси однослойные</t>
  </si>
  <si>
    <t>Евроконтейнер пластиковый 1100 л с крышкой</t>
  </si>
  <si>
    <t>Всесезонный туристско-рекреационный комплекс «Мамисон», Республика Северная Осетия-Алания. Инженерная инфраструктура поселка Калак. Этап 1. Многофункциональный центр
п.123 ЛСР 07-01-01 Благоустройство и МАФ (в ценах 1 кв 2022)</t>
  </si>
  <si>
    <t>Всесезонный туристско-рекреационный комплекс «Мамисон», Республика Северная Осетия-Алания. Инженерная инфраструктура поселка Калак. Этап 1. Многофункциональный центр
п.121-122 ЛСР 07-01-01 Благоустройство и МАФ (в ценах 1 кв 2022)</t>
  </si>
  <si>
    <t>с учетом К=1,05 к СМР (учет затрат по главам 1, 8, 9 ССР)</t>
  </si>
  <si>
    <t xml:space="preserve">Индекс пересчета в текущие цены 2026 г. </t>
  </si>
  <si>
    <t>Всесезонный туристско-рекреационный комплекс «Мамисон», Республика Северная Осетия-Алания. Инженерная инфраструктура поселка Калак. Этап 1. Многофункциональный центр
п.125-126 ЛСР 07-01-01 Благоустройство и МАФ (в ценах 1 кв 2022)</t>
  </si>
  <si>
    <t>Контейнерная площадка крытая на 4 контейнера: длина 6,7 м ширина 2,5 м, высота 2,5 м. Вес 1046 кг</t>
  </si>
  <si>
    <t>Шлагбаум автоматический с тумбой, 6 м</t>
  </si>
  <si>
    <t>НЦС 81-02-21-2026
21-02-001-01 (применительно)
РП 10(6) кВ блочного типа (бетонное здание),
количество и мощность количество ячеек, шт.: 7
(Стоимость технологического оборудования на 1 ячейку)</t>
  </si>
  <si>
    <t>с учетом К=1,15 к оборудованию на монтаж и затраты по главам 1, 8, 9 ССР)</t>
  </si>
  <si>
    <t>Утверждено приказом Минстроя РФ № 421/пр от 4 августа 2020 г. в редакции приказа № 557/пр от 7 июля 2022 г.</t>
  </si>
  <si>
    <t>ГРАНД-Смета, версия 2026.1</t>
  </si>
  <si>
    <t>15. Республика Северная Осетия - Алания</t>
  </si>
  <si>
    <t>Республика Северная Осетия - Алания</t>
  </si>
  <si>
    <t>ВТРК "Мамисон"</t>
  </si>
  <si>
    <t>Кампус</t>
  </si>
  <si>
    <t>ЛОКАЛЬНЫЙ СМЕТНЫЙ РАСЧЕТ (СМЕТА) № 1</t>
  </si>
  <si>
    <t>Строительные работы</t>
  </si>
  <si>
    <t>Раздел 1. Вертикальная планировка</t>
  </si>
  <si>
    <t>ГЭСН01-01-020-03</t>
  </si>
  <si>
    <t>Разработка грунта с погрузкой на автомобили-самосвалы в котлованах объемом от 1000 до 3000 м3 экскаваторами с ковшом вместимостью 0,65 м3, группа грунтов: 3</t>
  </si>
  <si>
    <t>421/пр_2020_прил.10_т.2_п.2.1_гр.3</t>
  </si>
  <si>
    <t>Производство работ осуществляется в горной местности: на высоте свыше 1500 до 2500 м над уровнем моря ОЗП=1,25; ЗПМ=1,25</t>
  </si>
  <si>
    <t>ГЭСН01-01-016-02</t>
  </si>
  <si>
    <t>Работа на отвале, группа грунтов: 2-3</t>
  </si>
  <si>
    <t>ГЭСН27-04-001-01</t>
  </si>
  <si>
    <t>Устройство подстилающих и выравнивающих слоев оснований: из песка</t>
  </si>
  <si>
    <t>Объем=2000 / 100</t>
  </si>
  <si>
    <t xml:space="preserve">ОТм(Зтм) Средний разряд машинистов 5 </t>
  </si>
  <si>
    <t>Песок для строительных работ природный</t>
  </si>
  <si>
    <t>Пр/812-021.0-1</t>
  </si>
  <si>
    <t>НР Автомобильные дороги</t>
  </si>
  <si>
    <t>Пр/774-021.0</t>
  </si>
  <si>
    <t>СП Автомобильные дороги</t>
  </si>
  <si>
    <t>(Материалы для строительных работ)</t>
  </si>
  <si>
    <t>Объем=20*110</t>
  </si>
  <si>
    <t>ФСБЦ-02.3.01.02-1104</t>
  </si>
  <si>
    <t xml:space="preserve">Песок природный для строительных работ I класс, средний </t>
  </si>
  <si>
    <t>ФСБЦ-02.3.01.02-1104_02-15-1-01-0030</t>
  </si>
  <si>
    <t xml:space="preserve">Перевозка грузов I класса автомобилями-самосвалами грузоподъемностью до 15 т по дорогам с усовершенствованным (асфальтобетонным, цементобетонным, железобетонным, обработанным органическим вяжущим) дорожным покрытием на расстояние 30 км </t>
  </si>
  <si>
    <t>7.2</t>
  </si>
  <si>
    <t>ФСБЦ-02.3.01.02-1104_02-15-1-01-0061</t>
  </si>
  <si>
    <t xml:space="preserve">Перевозка грузов I класса автомобилями-самосвалами грузоподъемностью до 15 т по дорогам с усовершенствованным (асфальтобетонным, цементобетонным, железобетонным, обработанным органическим вяжущим) дорожным покрытием на расстояние 61 км </t>
  </si>
  <si>
    <t>ГЭСН27-04-001-04</t>
  </si>
  <si>
    <t>Устройство подстилающих и выравнивающих слоев оснований: из щебня</t>
  </si>
  <si>
    <t>Щебень из плотных горных пород</t>
  </si>
  <si>
    <t>Объем=20*126</t>
  </si>
  <si>
    <t>ФСБЦ-02.2.05.04-2110</t>
  </si>
  <si>
    <t xml:space="preserve">Щебень из плотных горных пород для строительных работ М 1200, фракция 40-80(70) мм </t>
  </si>
  <si>
    <t>ФСБЦ-02.2.05.04-2110_02-15-1-01-0030</t>
  </si>
  <si>
    <t>ФСБЦ-02.2.05.04-2110_02-15-1-01-0061</t>
  </si>
  <si>
    <t>Итоги по разделу 1 Вертикальная планировка :</t>
  </si>
  <si>
    <t>Всего по разделу 1 Вертикальная планировка</t>
  </si>
  <si>
    <t xml:space="preserve">     справочно:</t>
  </si>
  <si>
    <t xml:space="preserve">          Затраты труда рабочих</t>
  </si>
  <si>
    <t xml:space="preserve">          Затраты труда машинистов</t>
  </si>
  <si>
    <t>Раздел 2. Инженерная защита</t>
  </si>
  <si>
    <t>ГЭСН30-08-048-01</t>
  </si>
  <si>
    <t>Укрепление поверхности матрасно-габионными конструкциями</t>
  </si>
  <si>
    <t>Объем=200 / 10</t>
  </si>
  <si>
    <t>Камни бутовые</t>
  </si>
  <si>
    <t>02.2.04.03</t>
  </si>
  <si>
    <t>Смесь песчано-гравийная</t>
  </si>
  <si>
    <t>Пр/812-024.0-1</t>
  </si>
  <si>
    <t>НР Мосты и трубы</t>
  </si>
  <si>
    <t>Пр/774-024.0</t>
  </si>
  <si>
    <t>СП Мосты и трубы</t>
  </si>
  <si>
    <t>Объем=20*10*0,17*1,1</t>
  </si>
  <si>
    <t>ФСБЦ-02.2.03.01-0011</t>
  </si>
  <si>
    <t xml:space="preserve">Камень бутовый М 800, размер от 70 до 1000 мм </t>
  </si>
  <si>
    <t>ФСБЦ-02.2.03.01-0011_02-15-1-01-0030</t>
  </si>
  <si>
    <t>10.2</t>
  </si>
  <si>
    <t>ФСБЦ-02.2.03.01-0011_02-15-1-01-0061</t>
  </si>
  <si>
    <t>Объем=20*10*0,1*1,22</t>
  </si>
  <si>
    <t>ФСБЦ-02.2.04.03-0003</t>
  </si>
  <si>
    <t xml:space="preserve">Смесь песчано-гравийная природная </t>
  </si>
  <si>
    <t>ФСБЦ-02.2.04.03-0003_02-15-1-01-0030</t>
  </si>
  <si>
    <t>ФСБЦ-02.2.04.03-0003_02-15-1-01-0061</t>
  </si>
  <si>
    <t>Объем=20*10/(3*2){шт}*0,024{т/шт}</t>
  </si>
  <si>
    <t>Итоги по разделу 2 Инженерная защита :</t>
  </si>
  <si>
    <t xml:space="preserve">               оплата труда</t>
  </si>
  <si>
    <t xml:space="preserve">               эксплуатация машин и механизмов</t>
  </si>
  <si>
    <t xml:space="preserve">               оплата труда машинистов (Отм)</t>
  </si>
  <si>
    <t xml:space="preserve">               материалы</t>
  </si>
  <si>
    <t xml:space="preserve">               накладные расходы</t>
  </si>
  <si>
    <t xml:space="preserve">               сметная прибыль</t>
  </si>
  <si>
    <t>Всего по разделу 2 Инженерная защита</t>
  </si>
  <si>
    <t>1494</t>
  </si>
  <si>
    <t>38,6</t>
  </si>
  <si>
    <t>ЛСР №1 Строительные работы, п.1</t>
  </si>
  <si>
    <t>ЛСР №1 Строительные работы, п.2-3</t>
  </si>
  <si>
    <t>5.2</t>
  </si>
  <si>
    <t>9.2</t>
  </si>
  <si>
    <t>ЛСР №1 Строительные работы, п.4-5</t>
  </si>
  <si>
    <t>ЛСР №1 Строительные работы, п.6-7</t>
  </si>
  <si>
    <t>ЛСР №1 Строительные работы, раздел 1</t>
  </si>
  <si>
    <t>руб/м3 с НДС</t>
  </si>
  <si>
    <t>ЛСР №1 Строительные работы, раздел 2</t>
  </si>
  <si>
    <t>руб/п.м. с НДС</t>
  </si>
  <si>
    <t>Устройство оснований песчаных под колодцы</t>
  </si>
  <si>
    <t>Кампус ВТРК "Мамисон"</t>
  </si>
  <si>
    <t>Стадия: Проектная документация</t>
  </si>
  <si>
    <t>Наименование объекта проектирования или вида проектных работ</t>
  </si>
  <si>
    <t>Наименование, номера глав, таблиц, параграфов и пунктов МНЗ на проектные работы</t>
  </si>
  <si>
    <t>Раздел</t>
  </si>
  <si>
    <t xml:space="preserve">Водопропускные трубы на автомобильных дорогах протяженностью, м. Круглые и прямоугольные железобетонные трубы отверстием до 2000 мм. </t>
  </si>
  <si>
    <t>Кст = 0.34</t>
  </si>
  <si>
    <t xml:space="preserve">Коэффициент, учитывающий сейсмичность: 9 баллов и более. Коэффициент применяется к стоимости проектирования следующих разделов П+Р: ПЗУ (ППО в части вертикальной планировки и организации рельефа, транспорта); в полном объеме АР и КР (ТКР, ИЛО); в части монтажных элементов ИОС; доля СМ на выполняемый объем </t>
  </si>
  <si>
    <t xml:space="preserve">K1 = 1.3 (РПД 1)
Методика, 707/пр. Приложение 5, табл.5.1, п.2.3 (Усложняющий) </t>
  </si>
  <si>
    <t xml:space="preserve">Разделы документации </t>
  </si>
  <si>
    <t>1. Осн кон</t>
  </si>
  <si>
    <t>2. Про орг стр</t>
  </si>
  <si>
    <t>3. Сме док</t>
  </si>
  <si>
    <t>Удерживающие сооружения на оползнеопасных и оползневых склонах и откосах массива недостаточно устойчивых или неустойчивых грунтов с применением габионных конструкций высотой до 10 м, протяженностью от 30 до 200 м включительно</t>
  </si>
  <si>
    <t>НЗ 11.10_0-3-3.1-3.1 НЗ №912/пр Инженерная защита территорий, зданий и сооружений от опасных геологических процессов. 2023 г. Таблица 3.1. Противооползневые сооружения и мероприятия, п.3.1
A = 317.9 тыс. руб.B = 26.279 тыс. руб.;
Хзад = 100 (м);
Количество = 1</t>
  </si>
  <si>
    <t>Кст = 0.4</t>
  </si>
  <si>
    <t xml:space="preserve">Цена привязки повторно применяемой проектной документации без внесения каких-либо изменений </t>
  </si>
  <si>
    <t>K1 = 0.2
Методика, 707/пр. Приложение 6, табл.6.1, п.1 (Составной)</t>
  </si>
  <si>
    <t xml:space="preserve">K2 = 1.3 (РПД 2,3.1-3.2)
Методика, 707/пр. Приложение 5, табл.5.1, п.2.3 (Усложняющий) </t>
  </si>
  <si>
    <t>1. Поя зап</t>
  </si>
  <si>
    <t>2. Про пол отв. Схе пла орг зем уча для пло объ</t>
  </si>
  <si>
    <t>3. Тех и кон реш</t>
  </si>
  <si>
    <t>3.1. Кон реш</t>
  </si>
  <si>
    <t>3.2. Тех реш</t>
  </si>
  <si>
    <t>4. Про орг стр</t>
  </si>
  <si>
    <t>5. Пер мер по охр окр сре</t>
  </si>
  <si>
    <t>6. Тре к обе без экс объ кап стр</t>
  </si>
  <si>
    <t>7. Сме на стр, рек, кап рем объ кап стр</t>
  </si>
  <si>
    <t>Итого Инженерная защита:</t>
  </si>
  <si>
    <t>Всего Инженерная защита:</t>
  </si>
  <si>
    <t>Дороги и парковка</t>
  </si>
  <si>
    <t xml:space="preserve">Примыкание автомобильных дорог в одном уровне с устройством переходно-скоростных полос движения, островков безопасности. Категория сложности проектирования: 3. </t>
  </si>
  <si>
    <t>НЗ 11.18_0-3-3.7-2.3 НЗ №51/пр Строительство, реконструкция и капитальный ремонт автомобильных дорог, их конструктивных элементов и сооружений на них. 2025 г. Таблица 3.7. Развязки, п.2.3
A = 1 622.6 тыс.руб; 
Количество = 1 (объект)</t>
  </si>
  <si>
    <t xml:space="preserve">Пересечение (примыкание) автомобильных дорог в одном уровне определяется с корректирующим коэффициентом для примыканий без устройства переходно-скоростных полос </t>
  </si>
  <si>
    <t>K1 = 0.47
Табл.4, п.9 (Ценообразующий)</t>
  </si>
  <si>
    <t xml:space="preserve">K2 = 1.3 (РПД 2,3.1-3.5)
Методика, 707/пр. Приложение 5, табл.5.1, п.2.3 (Усложняющий) </t>
  </si>
  <si>
    <t>2. Про пол отв</t>
  </si>
  <si>
    <t>3. Тех и кон реш лин объ</t>
  </si>
  <si>
    <t>3.1. Пла раз</t>
  </si>
  <si>
    <t>3.2. Зем пол</t>
  </si>
  <si>
    <t>3.3. Вод</t>
  </si>
  <si>
    <t>3.4. Дор оде</t>
  </si>
  <si>
    <t>3.5. Орг и без дви, обу дор</t>
  </si>
  <si>
    <t>5. Мер по охр окр сре</t>
  </si>
  <si>
    <t>6. Мер по обе пож без</t>
  </si>
  <si>
    <t>7. Сме на стр, рек, кап рем, сно объ кап стр</t>
  </si>
  <si>
    <t>Автомобильные дороги технической категории V. Категория сложности проектирования: 3. Протяженность до 0.2 километра включительно.</t>
  </si>
  <si>
    <t>НЗ 11.18_0-3-3.6-1.3 НЗ №51/пр Строительство, реконструкция и капитальный ремонт автомобильных дорог, их конструктивных элементов и сооружений на них. 2025 г. Таблица 3.6. Автомобильные дороги технической категории V, п.1.3
A = 520.3 тыс.руб;
Протяженность дороги L = 0.18 км;
Количество = 1(объект, до 0.2 километра включительно)</t>
  </si>
  <si>
    <t xml:space="preserve">Наличие тротуаров и (или) велосипедных дорожек, разрабатываемых в составе проектируемой автомобильной дороги определяется с корректирующим коэффициентом </t>
  </si>
  <si>
    <t>K1 = 1.08
Табл.4, п.4 (Ценообразующий)</t>
  </si>
  <si>
    <t>3.1. Тра</t>
  </si>
  <si>
    <t xml:space="preserve">Площадки для отдыха, парковки, досмотра пассажиров и грузов, размещения трансформаторных подстанций, локальных очистных сооружений, хранения снега и систем снеготаяния, смотровые площадки, как площадные сооружения без учета их функционального оснащения. Площадь от 1000 до 5000 квадратных метров включительно. </t>
  </si>
  <si>
    <t xml:space="preserve">K1 = 1.3 (РПД 2-3)
Методика, 707/пр. Приложение 5, табл.5.1, п.2.3 (Усложняющий) </t>
  </si>
  <si>
    <t>Итого Дороги и парковка:</t>
  </si>
  <si>
    <t>Всего Дороги и парковка:</t>
  </si>
  <si>
    <t xml:space="preserve">Открытые плоскостные площадки, детские игровые площадки, площадки для отдыха и занятий физкультурой (спортивные площадки), площадки для хозяйственных целей (контейнерные площадки для сбора ТКО и крупногабаритного мусора), площадки для выгула собак. Площадь до 100 кв.м включительно. </t>
  </si>
  <si>
    <t>НЗ 11.11_0-3-3.2-3-1 НЗ №911/пр Объекты городской среды. 2023 г. Таблица 3.2. Строительство отдельных элементов благоустройства и МАФ, п.3
A = 33.4 тыс.руб; 
Количество = 1 (объект, до 100 кв.м)</t>
  </si>
  <si>
    <t xml:space="preserve">K1 = 1.3 (РПД 2.1-2.3,3-4)
Методика, 707/пр. Приложение 5, табл.5.1, п.2.3 (Усложняющий) </t>
  </si>
  <si>
    <t>2. Схе пла орг зем уча</t>
  </si>
  <si>
    <t>2.1. Ген пла</t>
  </si>
  <si>
    <t>2.2. Орг рел вер пла</t>
  </si>
  <si>
    <t xml:space="preserve">2.3. Бла </t>
  </si>
  <si>
    <t>3. Объ и арх реш</t>
  </si>
  <si>
    <t>4. Кон реш</t>
  </si>
  <si>
    <t>5. Про орг стр</t>
  </si>
  <si>
    <t>6. Пер мер по охр окр сре</t>
  </si>
  <si>
    <t>7. Тре к обе без экс объ кап стр</t>
  </si>
  <si>
    <t>8. Сме на стр, рек, кап рем объ кап стр</t>
  </si>
  <si>
    <t xml:space="preserve">Охранное ограждение территории. Протяженность от 200 до 500 м. </t>
  </si>
  <si>
    <t xml:space="preserve">Проектирование охранного ограждения без верхнего дополнительного ограждения применяется с корректирующим коэффициентом </t>
  </si>
  <si>
    <t>K1 = 0.82
Табл.3.6.1, п.1.1 (Ценообразующий)</t>
  </si>
  <si>
    <t xml:space="preserve">Проектирование охранного ограждения без нижнего дополнительного ограждения (противоподкопного устройства) применяется с корректирующим коэффициентом </t>
  </si>
  <si>
    <t>K2 = 0.74
Табл.3.6.1, п.1.2 (Ценообразующий)</t>
  </si>
  <si>
    <t xml:space="preserve">K3 = 1.3 (РПД 2-4)
Методика, 707/пр. Приложение 5, табл.5.1, п.2.3 (Усложняющий) </t>
  </si>
  <si>
    <t>3. Кон и объ реш</t>
  </si>
  <si>
    <t>4. Тех реш</t>
  </si>
  <si>
    <t>6. Сме на стр</t>
  </si>
  <si>
    <t xml:space="preserve">Комплексное озеленение участка: устройство газонов, цветников (клумб), посадка кустарников и деревьев. Площадь от 1000 до 4000 кв.м включительно. </t>
  </si>
  <si>
    <t xml:space="preserve">Проектирование газонов, цветников (клумб) в составе комплексного озеленения участка определяется с применением корректирующего коэффициента </t>
  </si>
  <si>
    <t>K1 = 0.6
Табл.3.4.1, п.1 (Ценообразующий)</t>
  </si>
  <si>
    <t xml:space="preserve">K2 = 1.3 (РПД 2.1-2.3,3-4,5.1-5.2)
Методика, 707/пр. Приложение 5, табл.5.1, п.2.3 (Усложняющий) </t>
  </si>
  <si>
    <t>5. Све об инж обо, о сет и сис ИТО</t>
  </si>
  <si>
    <t>5.1. Сис вод</t>
  </si>
  <si>
    <t>5.2. Авт</t>
  </si>
  <si>
    <t>6. Про орг стр</t>
  </si>
  <si>
    <t>7. Пер мер по охр окр сре</t>
  </si>
  <si>
    <t>8. Тре к обе без экс объ кап стр</t>
  </si>
  <si>
    <t>9. Сме на стр, рек, кап рем объ кап стр</t>
  </si>
  <si>
    <t>Автоматический шлагбаум</t>
  </si>
  <si>
    <t>НЗ 11.04_0-3-3.6-4 НЗ №828/пр Инженерно-техническая система антитеррористической защищенности объектов жилищно-гражданского назначения. 2023 г. Таблица 3.6. Средства инженерно-технической укрепленности (СИТУ), п.4
A = 41.1 тыс. руб.
Количество = 1 (объект)</t>
  </si>
  <si>
    <t xml:space="preserve">K1 = 1.3 (РПД 2-4,5.1)
Методика, 707/пр. Приложение 5, табл.5.1, п.2.3 (Усложняющий) </t>
  </si>
  <si>
    <t>5. Све об инж обо, о сет инж обе, пер инж мер, сод тех реш</t>
  </si>
  <si>
    <t>5.1. Авт</t>
  </si>
  <si>
    <t>7. Сме на стр</t>
  </si>
  <si>
    <t>Итого Благоустройство:</t>
  </si>
  <si>
    <t>3.7</t>
  </si>
  <si>
    <t>Всего Благоустройство:</t>
  </si>
  <si>
    <t>Ячейка распределительного устройства 6-20 кВ, устанавливаемая дополнительно при расширении</t>
  </si>
  <si>
    <t>НЗ 11.03_0-3-3.13-9 НЗ №847/пр Строительство, реконструкция сетей инженерно-технического обеспечения и объектов инфраструктуры. 2023 г. Таблица 3.13. Сооружения электрических трансформаторных подстанций класса напряжения 6 - 10 кВ на номинальное напряжение на стороне низкого напряжения 0.23 - 0.69 кВ, распределительных и секционирующих пунктов напряжением 6-20 кВ, п.9
A = 70 тыс. руб.
Количество = 1 (1 ячейка)</t>
  </si>
  <si>
    <t xml:space="preserve">Проектирование ячеек распределительных устройств 6-20 кВ заводского изготовления определяется с корректирующим коэффициентом </t>
  </si>
  <si>
    <t>K1 = 0.35
Табл.3.13.1, п.5 (Ценообразующий)</t>
  </si>
  <si>
    <t xml:space="preserve">K2 = 1.3 (РПД 1)
Методика, 707/пр. Приложение 5, табл.5.1, п.2.3 (Усложняющий) </t>
  </si>
  <si>
    <t>(100% * (1 + 0.3)) = 130%</t>
  </si>
  <si>
    <t>1. Пол ком раб</t>
  </si>
  <si>
    <t xml:space="preserve">Сооружения кабельной электрической линии напряжением до 20 кВ. Протяженность от 500 до 1000 п.м включительно. </t>
  </si>
  <si>
    <t xml:space="preserve">Проектирование сооружений кабельной электрической линии напряжением до 1 кВ определяется с корректирующим коэффициентом </t>
  </si>
  <si>
    <t>K1 = 0.8
Табл.3.11.1, п.3 (Ценообразующий)</t>
  </si>
  <si>
    <t xml:space="preserve">K2 = 1.3 (РПД 2-3)
Методика, 707/пр. Приложение 5, табл.5.1, п.2.3 (Усложняющий) </t>
  </si>
  <si>
    <t>3. Тех и кон реш лин объ. Иск соо</t>
  </si>
  <si>
    <t xml:space="preserve">Закрытый подземный переход сетей инженерно-технического обеспечения, прокладываемый методом горизонтального направленного бурения (ГНБ) (бурошнековыми установками или установками ГНБ), методом прессошнекового бурения. Протяженность от 100 до 500 п.м включительно. </t>
  </si>
  <si>
    <t>К'пон = Xзад / (0.5 * Xмин)</t>
  </si>
  <si>
    <t>К'пон = 0.4
понижающий коэффициент, учитывающий разницу в трудоемкости работ по проектируемому объекту и объекту аналогу. (Методика 707/пр п.131(3)) (Ценообразующий)</t>
  </si>
  <si>
    <t xml:space="preserve">При проектировании стального футляра применяется корректирующий коэффициент </t>
  </si>
  <si>
    <t>K1 = 1.1
Глава 2, п.25 (Ценообразующий)</t>
  </si>
  <si>
    <t xml:space="preserve">Проектирование подземного перехода, прокладываемого методом ГНБ (бурошнековыми установками или установками ГНБ), методом прессошнекового бурения, диаметром до 250 мм определяется с корректирующим коэффициентом </t>
  </si>
  <si>
    <t>K2 = 0.9
Табл.3.12.1, п.2 (Ценообразующий)</t>
  </si>
  <si>
    <t xml:space="preserve">K3 = 1.3 (РПД 2-3)
Методика, 707/пр. Приложение 5, табл.5.1, п.2.3 (Усложняющий) </t>
  </si>
  <si>
    <t>Итого Электроснабжение:</t>
  </si>
  <si>
    <t>Всего Электроснабжение:</t>
  </si>
  <si>
    <t xml:space="preserve">Линейные сооружения слаботочной сети. Воздушное линейное сооружение слаботочной сети, в том числе радиосвязи. Протяженность от 500 до 1000 п.м включительно. </t>
  </si>
  <si>
    <t xml:space="preserve">Линейные сооружения слаботочной сети. Первый кабель линейного сооружения слаботочной сети в проектируемой канализации линейного сооружения слаботочной сети. Длина участка прокладки от 100 до 500 п.м включительно. </t>
  </si>
  <si>
    <t>4. Мер по охр окр сре</t>
  </si>
  <si>
    <t>5. Мер по обе пож без</t>
  </si>
  <si>
    <t>5.3</t>
  </si>
  <si>
    <t>Итого Сети связи:</t>
  </si>
  <si>
    <t>5.4</t>
  </si>
  <si>
    <t>Всего Сети связи:</t>
  </si>
  <si>
    <t xml:space="preserve">Линейные сооружения сети водоснабжения диаметром до 150 мм включительно, открытым способом. Протяженность от 100 до 500 п.м включительно. </t>
  </si>
  <si>
    <t xml:space="preserve">Проектирование линейных сооружений сети водоснабжения из полимерных труб, требующих проверки на статическую устойчивость в период длительной эксплуатации определяется с корректирующим коэффициентом </t>
  </si>
  <si>
    <t>6.2</t>
  </si>
  <si>
    <t>6.3</t>
  </si>
  <si>
    <t>6.4</t>
  </si>
  <si>
    <t>Узел врезки и распределительные сети на линейном сооружении сети водоснабжения</t>
  </si>
  <si>
    <t>НЗ 11.03_0-3-3.4-7 НЗ №847/пр Строительство, реконструкция сетей инженерно-технического обеспечения и объектов инфраструктуры. 2023 г. Таблица 3.4. Городские и внутриквартальные линейные сооружения сети водоснабжения, п.7
A = 52.8 тыс. руб.
Количество = 1 (узел)</t>
  </si>
  <si>
    <t>6.5</t>
  </si>
  <si>
    <t xml:space="preserve">Узел управления для обслуживания задвижек, гидрантов, воздушников, спускников линейного сооружения сети водоснабжения. Диаметр до 250 мм включительно. </t>
  </si>
  <si>
    <t>НЗ 11.03_0-3-3.4-8.1 НЗ №847/пр Строительство, реконструкция сетей инженерно-технического обеспечения и объектов инфраструктуры. 2023 г. Таблица 3.4. Городские и внутриквартальные линейные сооружения сети водоснабжения, п.8.1
A = 95.2 тыс.руб; 
Количество = 1 (узел)</t>
  </si>
  <si>
    <t>6.6</t>
  </si>
  <si>
    <t>6.7</t>
  </si>
  <si>
    <t>Водомерный узел линейного сооружения сети водоснабжения на вводе в здание или сооружение</t>
  </si>
  <si>
    <t>2. Тех и кон реш лин объ. Иск соо</t>
  </si>
  <si>
    <t>3. Про орг стр</t>
  </si>
  <si>
    <t>6.8</t>
  </si>
  <si>
    <t xml:space="preserve">Узлы учета потребляемой горячей и холодной воды. Диаметр условного прохода счетчика воды до 50 мм. </t>
  </si>
  <si>
    <t>4. Мер по обе пож без</t>
  </si>
  <si>
    <t>5. Сме на стр</t>
  </si>
  <si>
    <t>Итого Водоснабжение:</t>
  </si>
  <si>
    <t>Всего Водоснабжение:</t>
  </si>
  <si>
    <t xml:space="preserve">Линейное сооружение сети водоотведения диаметром до 300 мм, открытым способом. Протяженность от 100 до 500 п.м включительно. </t>
  </si>
  <si>
    <t xml:space="preserve">Проектирование линейных сооружений сети водоотведения из полимерных труб, требующих проверки на статическую устойчивость в период длительной эксплуатации определяется с корректирующим коэффициентом </t>
  </si>
  <si>
    <t xml:space="preserve">Камера индивидуальная (перепадная, поворотная, магистральная, распределительная и другие) на линейном сооружении сети водоотведения. Диаметр до 600 мм включительно. </t>
  </si>
  <si>
    <t>НЗ 11.03_0-3-3.5-6.1 НЗ №847/пр Строительство, реконструкция сетей инженерно-технического обеспечения и объектов инфраструктуры. 2023 г. Таблица 3.5. Городские и внутриквартальные линейные сооружения сети водоотведения, п.6.1
A = 20.3 тыс.руб; 
Количество = 1 (камера)</t>
  </si>
  <si>
    <t>7.3</t>
  </si>
  <si>
    <t>7.4</t>
  </si>
  <si>
    <t>Всего по смете:</t>
  </si>
  <si>
    <t>В ценах 01.01.2001</t>
  </si>
  <si>
    <t>Всего по смете (руб.):</t>
  </si>
  <si>
    <t>Руководитель проектной организации</t>
  </si>
  <si>
    <t>[подпись (инициалы, фамилия)]</t>
  </si>
  <si>
    <t>Главный инженер проекта</t>
  </si>
  <si>
    <t>Начальник</t>
  </si>
  <si>
    <t>отдела</t>
  </si>
  <si>
    <t>планируется к учету в стоимости поставки блочно-модульных зданий</t>
  </si>
  <si>
    <t>Адепт: Проект v 2026.3.0 © ООО"Адепт"</t>
  </si>
  <si>
    <t>форма №2П, МП 2004г.
от 14.05.2026г.</t>
  </si>
  <si>
    <t>на инженерно-гидрометеорологические изыскания</t>
  </si>
  <si>
    <t>По объекту:</t>
  </si>
  <si>
    <t>Заказчик:</t>
  </si>
  <si>
    <t>Подрядчик:</t>
  </si>
  <si>
    <t>Сметный расчет составлен по следующим документам: 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2000 г.</t>
  </si>
  <si>
    <t>Сметный расчет составлен в ценах II кв. 2026 г.</t>
  </si>
  <si>
    <t>Примечания</t>
  </si>
  <si>
    <t xml:space="preserve">Рекогносцировочное обследование бассейна реки. Категория сложности III. </t>
  </si>
  <si>
    <t>СБЦи5.3_0-8-43-2-3-1 Таблица 43 п.2
A = 24 руб.;
Количество = 0.2 (1 км маршрута);</t>
  </si>
  <si>
    <t>A * Количество
24 руб. * 0.2</t>
  </si>
  <si>
    <t xml:space="preserve">Фотоработы. Ширина реки, м: до 20. </t>
  </si>
  <si>
    <t>СБЦи5.3_0-10-48-15-1 Таблица 48 п.15
A = 7 руб.;
Количество = 5 (1 снимок);</t>
  </si>
  <si>
    <t>A * Количество
7 руб. * 5</t>
  </si>
  <si>
    <t>Итого Полевые работы</t>
  </si>
  <si>
    <t>Всего Полевые работы</t>
  </si>
  <si>
    <t>СБЦи5.3_0-8-43-2-3-2 Таблица 43 п.2
A = 8 руб.;
Количество = 0.2 (1 км маршрута);</t>
  </si>
  <si>
    <t>A * Количество
8 руб. * 0.2</t>
  </si>
  <si>
    <t xml:space="preserve">Составление таблицы гидрологической изученности бассейна реки при числе пунктов наблюдений: до 50. </t>
  </si>
  <si>
    <t>СБЦи5.3_0-11-51-1 Таблица 51 п.1
A = 105 руб.;
Количество = 1 (1 таблица);</t>
  </si>
  <si>
    <t>A * Количество
105 руб. * 1</t>
  </si>
  <si>
    <t xml:space="preserve">Составление схемы гидрометеорологической изученности бассейна реки при числе пунктов наблюдений: до 50. </t>
  </si>
  <si>
    <t>СБЦи5.3_0-11-51-3 Таблица 51 п.3
A = 61 руб.;
Количество = 1 (1 схема);</t>
  </si>
  <si>
    <t>A * Количество
61 руб. * 1</t>
  </si>
  <si>
    <t>Систематизация собранных материалов и данных метеорологических наблюдений. Подбор станций или постов с оценкой качества материалов наблюдений и степени их репрезентативности</t>
  </si>
  <si>
    <t>СБЦи5.3_0-12-67-1 Таблица 67 п.1
A = 90 руб.;
Количество = 2 (1 годостанция);</t>
  </si>
  <si>
    <t>A * Количество
90 руб. * 2</t>
  </si>
  <si>
    <t>Розы сильных ветров (15 м/с и более); 15 годостанций</t>
  </si>
  <si>
    <t>СБЦи5.3_0-12-68-11 Таблица 68 п.11
A = 116 руб.;
Количество = 2 (1 расчет);</t>
  </si>
  <si>
    <t>A * Количество
116 руб. * 2</t>
  </si>
  <si>
    <t>Глубина промерзания грунта; 20 годостанций</t>
  </si>
  <si>
    <t>СБЦи5.3_0-12-68-15 Таблица 68 п.15
A = 49 руб.;
Количество = 1 (1 расчет);</t>
  </si>
  <si>
    <t>A * Количество
49 руб. * 1</t>
  </si>
  <si>
    <t xml:space="preserve">Составление климатической характеристики района изысканий при числе метеорологических станций: 3. Число годостанций: до 50. </t>
  </si>
  <si>
    <t>СБЦи5.3_0-12-69-2-1 Таблица 69 п.2
A = 243 руб.;
Количество = 1 (1 записка);</t>
  </si>
  <si>
    <t>A * Количество
243 руб. * 1</t>
  </si>
  <si>
    <t xml:space="preserve">Составление технического отчета. Стоимость камеральных работ св. 500 до 1000 руб. Недостаточно изученная. </t>
  </si>
  <si>
    <t>СБЦи5.3_0-11-62-2-2 Таблица 62</t>
  </si>
  <si>
    <t>65% от п.3.1-3.7 * K1
871.6 руб. * 65 / 100 * 1.25</t>
  </si>
  <si>
    <t xml:space="preserve">При весьма сложных физико-географических условиях района (участка) изысканий применяется коэффициент </t>
  </si>
  <si>
    <t>K1 = 1.25
Прим. к табл.62, п.6 (Ценообразующий)</t>
  </si>
  <si>
    <t xml:space="preserve">Стоимость камеральных работ, тыс. руб.:. до 2. Обоснование проекта (ТЭО). </t>
  </si>
  <si>
    <t>СБЦи5.3_0-11-53-1-2 Таблица 53 п.
A = 450 руб.;
Количество = 1 (1 программа)</t>
  </si>
  <si>
    <t>A * Количество
450 руб. * 1</t>
  </si>
  <si>
    <t>Итого Камеральные работы</t>
  </si>
  <si>
    <t>Всего Камеральные работы</t>
  </si>
  <si>
    <t>Надбавки за выполнение изысканий в горных и высокогорных районах. Горный и высокогорный район с абсолютными высотами поверхности участка над уровнем моря св. 2000 до 3000 м</t>
  </si>
  <si>
    <t>СБЦ на инж.из. для стр-ва "Инженерно-гидрографические работы. Инженерно-гидрометеорологические изыскания на реках" (ОУ п.8а табл. 1)</t>
  </si>
  <si>
    <t>Коэф-т 0.2 от п.1.4</t>
  </si>
  <si>
    <t>Расходы по внутреннему транспорту. Расстояние от базы до участка изысканий до 5 км. Сметная стоимость полевых изыск.работ до 5 тыс.руб</t>
  </si>
  <si>
    <t>СБЦ на инж.из. для стр-ва "Инженерно-гидрографические работы. Инженерно-гидрометеорологические изыскания на реках" (ОУ п. 9 Таблица 4)</t>
  </si>
  <si>
    <t>8.75% от п.1.4, 4.1</t>
  </si>
  <si>
    <t>Расходы по внешнему транспорту. Расстояние проезда и перевозки в одном направлении св. 1000 до 2000 км. Продолжительность экспедиции до 1 мес</t>
  </si>
  <si>
    <t>СБЦ на инж.из. для стр-ва "Инженерно-гидрографические работы. Инженерно-гидрометеорологические изыскания на реках" (ОУ п. 10 Таблица 5)</t>
  </si>
  <si>
    <t>36.4% от п.1.4, 4.1-4.2</t>
  </si>
  <si>
    <t>Расходы по организации и ликвидации работ коэффициента для изысканий со сметной стоимостью до 2 тыс. руб</t>
  </si>
  <si>
    <t>СБЦ на инж.из. для стр-ва "Инженерно-гидрографические работы. Инженерно-гидрометеорологические изыскания на реках"(ОУ п. 13)</t>
  </si>
  <si>
    <t>Коэф-т 2.5 и 6% от п.1.4, 4.1-4.2</t>
  </si>
  <si>
    <t>Всего Прочие расходы</t>
  </si>
  <si>
    <t>Всего по смете в ценах на 01.01.1991 г.</t>
  </si>
  <si>
    <t>Сумма от п.5</t>
  </si>
  <si>
    <t>Индекс на II квартал 2026 года на изыскательские работы к уровню цен на 01.01.1991</t>
  </si>
  <si>
    <t>Письмо Минстроя России от 08.04.2026 №20212-ИФ/09</t>
  </si>
  <si>
    <t>Коэф-т 80.58 от п.6</t>
  </si>
  <si>
    <t>Инженерно-гидрометеорологические изыскания. Оценка селевой и лавинной опасностей</t>
  </si>
  <si>
    <t>СБЦи5.3_0-8-43-2-3-1 Таблица 43 п.2
A = 24 руб.;
Количество = 1 (1 км маршрута);</t>
  </si>
  <si>
    <t>A * Количество
24 руб. * 1</t>
  </si>
  <si>
    <t>рекогносцировочное обследование лавиносборов</t>
  </si>
  <si>
    <t>СБЦи5.3_0-10-48-15-1 Таблица 48 п.15
A = 7 руб.;
Количество = 19 (1 снимок);</t>
  </si>
  <si>
    <t>A * Количество
7 руб. * 19</t>
  </si>
  <si>
    <t>СБЦи5.3_0-8-43-2-3-2 Таблица 43 п.2
A = 8 руб.;
Количество = 1 (1 км маршрута);</t>
  </si>
  <si>
    <t>A * Количество
8 руб. * 1</t>
  </si>
  <si>
    <t>Определение максимальных расходов весеннего половодья или дождевых паводков по эмпирическим редукционным формулам</t>
  </si>
  <si>
    <t>СБЦи5.3_0-11-56-2 Таблица 56 п.2
A = 34 руб.;
Количество = 2 (1 расчет);</t>
  </si>
  <si>
    <t>A * Количество
34 руб. * 2</t>
  </si>
  <si>
    <t>установление высот границ действия снежных лавин</t>
  </si>
  <si>
    <t>Определение площади зон зарождения лавин</t>
  </si>
  <si>
    <t>Определение углов наклона зон зарождения и транзита снежных лавин</t>
  </si>
  <si>
    <t xml:space="preserve">Составление продольного профиля реки в масштабе: 1:10000. </t>
  </si>
  <si>
    <t>СБЦи5.3_0-7-40-1 Таблица 40 п.1
A = 7 руб.;
Количество = 2 (1 км реки);</t>
  </si>
  <si>
    <t>A * Количество
7 руб. * 2</t>
  </si>
  <si>
    <t>Построение профилей лавиносборов для расчета воздушной волны</t>
  </si>
  <si>
    <t>Определение дальности выброса лавин</t>
  </si>
  <si>
    <t xml:space="preserve">Составление вспомогательной таблицы характеристик гидрологического режима (по одному пункту и одному элементу) при неискаженном водном режиме и числе лет наблюдений: до 50. </t>
  </si>
  <si>
    <t>СБЦи5.3_0-11-52-1 Таблица 52 п.1
A = 108 руб.;
Количество = 1 (1 таблица);</t>
  </si>
  <si>
    <t>A * Количество
108 руб. * 1</t>
  </si>
  <si>
    <t xml:space="preserve">Составление технического отчета. Стоимость камеральных работ до 500 руб. Недостаточно изученная. </t>
  </si>
  <si>
    <t>СБЦи5.3_0-11-62-1-2 Таблица 62</t>
  </si>
  <si>
    <t>60% от п.3.1-3.7 * K1
402 руб. * 60 / 100 * 1.25</t>
  </si>
  <si>
    <t>Смета №3-из</t>
  </si>
  <si>
    <t>Смета №4-из</t>
  </si>
  <si>
    <t>Наименование предприятия, здания, сооружения, стадии проектирования, этапа, вида проектных или изыскательских работ</t>
  </si>
  <si>
    <t xml:space="preserve">инд.2кв.2026г.к 01.01.2001 на пр.раб. </t>
  </si>
  <si>
    <t>Ктек = 7.1
Письмо Минстроя России от 08.04.2026 №20212-ИФ/09</t>
  </si>
  <si>
    <t>63% * (1 + 0.3) = 30 071 руб.</t>
  </si>
  <si>
    <t>26% = 9 546 руб.</t>
  </si>
  <si>
    <t xml:space="preserve">инд.2кв.2026г.к 01.01.2022 на пр.раб. </t>
  </si>
  <si>
    <t>Ктек = 1.53
Письмо Минстроя России от 08.04.2026 №20212-ИФ/09</t>
  </si>
  <si>
    <t>3% = 10 817 руб.</t>
  </si>
  <si>
    <t>10% * (1 + 0.3) = 46 874 руб.</t>
  </si>
  <si>
    <t>79.3% = 285 929 руб.</t>
  </si>
  <si>
    <t>37% * (1 + 0.3) [из  79.3%] = 173 432 руб.</t>
  </si>
  <si>
    <t>24% * (1 + 0.3) [из  79.3%] = 112 497 руб.</t>
  </si>
  <si>
    <t>9% = 32 451 руб.</t>
  </si>
  <si>
    <t>5% = 18 028 руб.</t>
  </si>
  <si>
    <t>2% = 7 211 руб.</t>
  </si>
  <si>
    <t xml:space="preserve">инд.2кв.2026г.к 01.01.2023 на пр.раб. </t>
  </si>
  <si>
    <t>Ктек = 1.38
Письмо Минстроя России от 08.04.2026 №20212-ИФ/09</t>
  </si>
  <si>
    <t>2% = 8 419 руб.</t>
  </si>
  <si>
    <t>8% * (1 + 0.3) = 43 781 руб.</t>
  </si>
  <si>
    <t>72.8% = 306 464 руб.</t>
  </si>
  <si>
    <t>4% * (1 + 0.3) [из  72.8%] = 21 890 руб.</t>
  </si>
  <si>
    <t>26% * (1 + 0.3) [из  72.8%] = 142 287 руб.</t>
  </si>
  <si>
    <t>8% * (1 + 0.3) [из  72.8%] = 43 781 руб.</t>
  </si>
  <si>
    <t>14% * (1 + 0.3) [из  72.8%] = 76 616 руб.</t>
  </si>
  <si>
    <t>11% = 46 306 руб.</t>
  </si>
  <si>
    <t>9% = 37 887 руб.</t>
  </si>
  <si>
    <t>1% = 4 210 руб.</t>
  </si>
  <si>
    <t>2% = 6 204 руб.</t>
  </si>
  <si>
    <t>7% * (1 + 0.3) = 28 227 руб.</t>
  </si>
  <si>
    <t>84.5% = 262 104 руб.</t>
  </si>
  <si>
    <t>7% * (1 + 0.3) [из  84.5%] = 28 227 руб.</t>
  </si>
  <si>
    <t>29% * (1 + 0.3) [из  84.5%] = 116 939 руб.</t>
  </si>
  <si>
    <t>8% * (1 + 0.3) [из  84.5%] = 32 259 руб.</t>
  </si>
  <si>
    <t>13% * (1 + 0.3) [из  84.5%] = 52 421 руб.</t>
  </si>
  <si>
    <t>9% = 27 916 руб.</t>
  </si>
  <si>
    <t>5% = 15 509 руб.</t>
  </si>
  <si>
    <t>1% = 3 102 руб.</t>
  </si>
  <si>
    <t>2% = 3 445 руб.</t>
  </si>
  <si>
    <t>14% * (1 + 0.3) = 31 350 руб.</t>
  </si>
  <si>
    <t>58% * (1 + 0.3) = 129 878 руб.</t>
  </si>
  <si>
    <t>9% = 15 503 руб.</t>
  </si>
  <si>
    <t>5% = 8 613 руб.</t>
  </si>
  <si>
    <t>1% = 1 723 руб.</t>
  </si>
  <si>
    <t>1% = 204 руб.</t>
  </si>
  <si>
    <t>37.7% = 7 706 руб.</t>
  </si>
  <si>
    <t>9% * (1 + 0.3) [из  37.7%] = 2 392 руб.</t>
  </si>
  <si>
    <t>10% * (1 + 0.3) [из  37.7%] = 2 657 руб.</t>
  </si>
  <si>
    <t>23% * (1 + 0.3) = 6 112 руб.</t>
  </si>
  <si>
    <t>32% * (1 + 0.3) = 8 503 руб.</t>
  </si>
  <si>
    <t>5% = 1 022 руб.</t>
  </si>
  <si>
    <t>2% = 409 руб.</t>
  </si>
  <si>
    <t xml:space="preserve">инд.2кв.2026г.к 01.01.2021 на пр.раб. </t>
  </si>
  <si>
    <t>Ктек = 1.68
Письмо Минстроя России от 08.04.2026 №20212-ИФ/09</t>
  </si>
  <si>
    <t>10.9% = 3 010 руб.</t>
  </si>
  <si>
    <t>13% * (1 + 0.3) = 4 668 руб.</t>
  </si>
  <si>
    <t>26.1% * (1 + 0.3) = 9 371 руб.</t>
  </si>
  <si>
    <t>15.3% * (1 + 0.3) = 5 493 руб.</t>
  </si>
  <si>
    <t>16.9% = 4 668 руб.</t>
  </si>
  <si>
    <t>13% * (1 + 0.3) [из  16.9%] = 4 668 руб.</t>
  </si>
  <si>
    <t>8.7% = 2 403 руб.</t>
  </si>
  <si>
    <t>Полный комплекс работ
(100%):
A * Количество * Ктек * Кст * K1
70 000 руб. * 1 * 1.68 * 0.4 * 0.35 * 1.3</t>
  </si>
  <si>
    <t>100% * (1 + 0.3) = 21 403 руб.</t>
  </si>
  <si>
    <t>0.5% = 609 руб.</t>
  </si>
  <si>
    <t>3% * (1 + 0.3) = 4 753 руб.</t>
  </si>
  <si>
    <t>75% * (1 + 0.3) = 118 832 руб.</t>
  </si>
  <si>
    <t>7% = 8 532 руб.</t>
  </si>
  <si>
    <t>7.5% = 9 141 руб.</t>
  </si>
  <si>
    <t>2% = 2 438 руб.</t>
  </si>
  <si>
    <t>(наименование)</t>
  </si>
  <si>
    <t>Коэф. 2 кв.2026</t>
  </si>
  <si>
    <t>Стоимость инж.изыск.в ценах 2 кв.2026</t>
  </si>
  <si>
    <t>Стоимость проектных работ в ценах 2 кв.2026</t>
  </si>
  <si>
    <t>Смета №1-ПД</t>
  </si>
  <si>
    <t>форма №2П, 1/пр
от 12.05.2026г.</t>
  </si>
  <si>
    <t>СМЕТА №1-из</t>
  </si>
  <si>
    <t>Инженерно-геодезические изыскания</t>
  </si>
  <si>
    <t>(наименование вида инженерных изысканий)</t>
  </si>
  <si>
    <t>Сметный расчет составлен по следующим документам: НЗ №812/пр. Работы по инженерно-геодезическим изысканиям (ИГДИ). 2024 г.</t>
  </si>
  <si>
    <t>Сметная стоимость в уровне цен, сложившемся на день составления сметной документации, руб.</t>
  </si>
  <si>
    <t>I. Полевые работы</t>
  </si>
  <si>
    <t xml:space="preserve">Создание пунктов плановой опорной геодезической сети без закладки центров методом спутниковых геодезических определений: 2-го разряда в условиях выполнения полевых работ . Категория II. </t>
  </si>
  <si>
    <t>НЗ 11.16_0-3-7-8 Таблица 7 п.8
A = 35837 руб.;
Количество = 3 (1 пункт);</t>
  </si>
  <si>
    <t>A * Количество * Ктек * К3
35837 руб. * 3 * 1.25 * 0.5</t>
  </si>
  <si>
    <t xml:space="preserve">(К3) Стоимость полевых работ по созданию пунктов плановой опорной геодезической сети без закладки центров методом спутниковых геодезических определений, совмещенных с пунктами высотной опорной сети IV класса, созданных без закладки центров методом спутниковых геодезических определений, рассчитывается суммированием соответствующих показателей затрат на работы по созданию пунктов плановой опорной геодезической сети, приведенных в таблице 7 НЗ, и показателей затрат, умноженных на корректирующий коэффициент </t>
  </si>
  <si>
    <t>К3 = 0.5
Прим. к табл.7, п.1 (Ценообразующий)</t>
  </si>
  <si>
    <t xml:space="preserve">Закладка центров (реперов) пунктов опорной геодезической сети с применением буровых установок: глубиной до 2 метров включительно. Категория II. </t>
  </si>
  <si>
    <t>НЗ 11.16_0-3-12-4 Таблица 12 п.4
A = 26188 руб.;
Количество = 3 (1 пункт);</t>
  </si>
  <si>
    <t>A * Количество * Ктек
26188 руб. * 3 * 1.25</t>
  </si>
  <si>
    <t xml:space="preserve">Топографическая съемка тахеометрическим методом и сочетанием тахеометрического метода с методом спутниковых геодезических определений высотой сечения рельефа через 0.5 м метров. Незастроенная территория. в масштабе 1:500 в условиях выполнения полевых работ. Категория II. </t>
  </si>
  <si>
    <t>НЗ 11.16_0-4-18-2 Таблица 18 п.2
A = 17656 руб.;
Количество = 1 (1 гектар);</t>
  </si>
  <si>
    <t>A * Количество * Ктек
17656 руб. * 1 * 1.25</t>
  </si>
  <si>
    <t xml:space="preserve">Поиск и съемка подземных инженерных коммуникаций при помощи трубокабелеискателя при количестве точек подземных инженерных коммуникаций на 1 гектар снимаемого участка: от 7 до 14 включительно. </t>
  </si>
  <si>
    <t>НЗ 11.16_0-5-46-2 Таблица 46 п.2
A = 24772 руб.;
Количество = 1 (1 гектар);</t>
  </si>
  <si>
    <t>A * Количество * Ктек
24772 руб. * 1 * 1.25</t>
  </si>
  <si>
    <t xml:space="preserve">Поиск местоположения трассы подземной инженерной коммуникации. Съёмка оси трассы подземной инженерной коммуникации. Планово-высотная привязка выходов подземных инженерных коммуникаций на поверхность земли. Определение глубины залегания. Закрепление оси трасс в местах пересечения существующих инженерных сетей с проектируемой. </t>
  </si>
  <si>
    <t xml:space="preserve">Привязка инженерно-геологических выработок, геофизических гидрогеологических точек наблюдения: при расстоянии между точками от 50 (пятидесяти) до 100 (ста) метров включительно, в условиях выполнения полевых работ . Категория II. </t>
  </si>
  <si>
    <t>НЗ 11.16_0-7-55-5 Таблица 55 п.5
A = 4882 руб.;
Количество = 10 (1 точка);</t>
  </si>
  <si>
    <t>A * Количество * Ктек
4882 руб. * 10 * 1.25</t>
  </si>
  <si>
    <t>Итого по разделу I</t>
  </si>
  <si>
    <t>Всего по разделу I</t>
  </si>
  <si>
    <t>II. Камеральные работы</t>
  </si>
  <si>
    <t>Камеральная обработка результатов измерений, выполненных при создании пунктов плановой опорной геодезической сети 4-го класса, 1-го и 2-го разрядов</t>
  </si>
  <si>
    <t>НЗ 11.16_0-3-16-1 Таблица 16 п.1
A = 1714 руб.;
Количество = 3 (1 пункт);</t>
  </si>
  <si>
    <t>A * Количество * Ктек
1714 руб. * 3 * 1.25</t>
  </si>
  <si>
    <t xml:space="preserve">Создание инженерно-топографических планов в масштабе 1:500. Незастроенная территория. для условий выполнения полевых работ категории II. Площадь участка до 10 гектаров включительно. </t>
  </si>
  <si>
    <t>НЗ 11.16_0-6-47-5 Таблица 47 п.5
ПЗ1к = 1 392 руб.;
ПЗ2к = 2 331 руб.;
Sсъемки = 1 (1 гектар);
Количество = 1;</t>
  </si>
  <si>
    <t>(ПЗ1к + ПЗ2к * Sсъемки) * Количество * Ктек
(1 392 руб. + 2 331 руб. * 1) * 1 * 1.25</t>
  </si>
  <si>
    <t>Графическое изображение территории в виде карты, на которой указаны границы участков, объекты инфраструктуры, рельеф, коммуникации и другая информация: Рельеф местности; Границы участка и соседних земель; Естественные объекты; Инженерные коммуникации; Существующие здания, сооружения и инфраструктуру; Земельные участки; Планируемые объекты и строения</t>
  </si>
  <si>
    <t xml:space="preserve">Нанесение подземных инженерных коммуникаций с их техническими характеристиками на инженерно-топографический план в масштабе 1:500: при количестве подземных инженерных коммуникаций по назначению на участке, подлежащем топографической съемке от 3 (трех) до 8 восьми включительно. до 10 гектаров включительно. </t>
  </si>
  <si>
    <t>НЗ 11.16_0-6-51-7 Таблица 51 п.7
ПЗ1к = 643 руб.;
ПЗ2к = 1 018 руб.;
Sсъемки = 1 (1 гектар);
Количество = 1;</t>
  </si>
  <si>
    <t>(ПЗ1к + ПЗ2к * Sсъемки) * Количество * Ктек
(643 руб. + 1 018 руб. * 1) * 1 * 1.25</t>
  </si>
  <si>
    <t>Процесс поиска и обследования линейных сетей (трубопроводов, кабельных линий, коллекторов) с целью их отображения на плане</t>
  </si>
  <si>
    <t xml:space="preserve">Согласование нанесения на инженерно-топографический план подземных инженерных коммуникаций и их технических характеристик с собственниками (эксплуатирующими организациями): известными. </t>
  </si>
  <si>
    <t>НЗ 11.16_0-11-82-1 Таблица 82 п.1
A = 21451 руб.;
Количество = 4 (1 собственник (эксплуатирующая организация));</t>
  </si>
  <si>
    <t>A * Количество * Ктек
21451 руб. * 4 * 1.25</t>
  </si>
  <si>
    <t>Итого по разделу II</t>
  </si>
  <si>
    <t>Всего по разделу II</t>
  </si>
  <si>
    <t>III. Дополнительные и специальные работы</t>
  </si>
  <si>
    <t xml:space="preserve">Значения показателя дополнительных затрат на внешний транспорт (ПДЗвнеш), применяемые при использовании для ежедневного проезда работников и перевозки технических средств для полевых работ от места базирования до участка проведения полевых работ до начала рабочего времени и обратно на место базирования после завершения рабочего времени транспортных средств автомобильного транспорта при стоимости полевых работ, рассчитанной по показателям затрат НЗ (СПпз). Расстояние от места постоянной работы работников до участка проведения полевых работ до 200 километров включительно. </t>
  </si>
  <si>
    <t>НЗ 11.16_0-2-3(1) Таблица 3
A = 13.2%;
X = 223.5675 тыс. руб.;
Сп = 223567.5 руб. в базовом уровне цен</t>
  </si>
  <si>
    <t>А / 100 * Х * Количество * Ктек
13.2 / 100 * 223.5675 * 1 * 1.25</t>
  </si>
  <si>
    <t>Местоположение базы г. Владикавказ</t>
  </si>
  <si>
    <t xml:space="preserve">Показатель дополнительных затрат на организацию полевых работ (ПД3орг) при стоимости полевых работ, рассчитанной по показателям затрат НЗ (СПпз). Расстояние от места постоянной работы работников до участка проведения полевых работ до 200 километров включительно. </t>
  </si>
  <si>
    <t>НЗ 11.16_0-2-4(1) Таблица 4
A = 30.7%;
X = 223.5675 тыс. руб.;
Сп = 223567.5 руб. в базовом уровне цен</t>
  </si>
  <si>
    <t>А / 100 * Х * Количество * Ктек
30.7 / 100 * 223.5675 * 1 * 1.25</t>
  </si>
  <si>
    <t>Местоположение базы  г. Владикавказ</t>
  </si>
  <si>
    <t>Составление программы инженерно-геодезических изысканий при общей стоимости полевых и камеральных работ, определенной по показателям затрат, приведенным в НЗ, тысяч рублей:</t>
  </si>
  <si>
    <t>НЗ 11.16_0-10-80(1) Таблица 80 п.1
Aпред = 6 205 руб.; Aслед = 21 549 руб.;
Xпред = 100  тыс. руб.; Xслед = 500 тыс. руб.; 
X = 234.0935 тыс. руб.;
Количество = 1;</t>
  </si>
  <si>
    <t>(Апред + (Аслед - Апред) / (Xслед - Xпред) * (X - Xпред)) * Количество * Ктек
(6 205 руб. + (21 549 руб. - 6 205 руб.) / (500 000 руб. - 100 000 руб.) * (234 093.5 руб. - 100 000 руб.)) * 1 * 1.25</t>
  </si>
  <si>
    <t>Составление и оформление программы инженерно-геодезических изысканий в соответствии с требованиями документов по стандартизации.</t>
  </si>
  <si>
    <t>Составление технического отчета по результатам выполнения работ по ИГДИ при общей стоимости полевых и камеральных работ, определенной по показателям затрат, приведенным в НЗ, тысяч рублей:</t>
  </si>
  <si>
    <t>НЗ 11.16_0-10-81(1) Таблица 81 п. 1
Aпред = 19 000 руб.; Aслед = 50 000 руб.;
Xпред = 100 тыс. руб.; Xслед = 500 тыс. руб.; 
X = 234.0935 тыс. руб.;
Количество = 1;</t>
  </si>
  <si>
    <t>(Апред + (Аслед - Апред) / (Xслед - Xпред) * (X - Xпред)) * Количество * Ктек
(19 000 руб. + (50 000 руб. - 19 000 руб.) / (500 000 руб. - 100 000 руб.) * (234 093.5 руб. - 100 000 руб.)) * 1 * 1.25</t>
  </si>
  <si>
    <t xml:space="preserve">Результат работ </t>
  </si>
  <si>
    <t>Итого по разделу III</t>
  </si>
  <si>
    <t>Всего по разделу III</t>
  </si>
  <si>
    <t>Составил</t>
  </si>
  <si>
    <t>должность, подпись (инициалы, фамилия)</t>
  </si>
  <si>
    <t>Проверил</t>
  </si>
  <si>
    <t>Этап изыскательских работ:</t>
  </si>
  <si>
    <t>Объем</t>
  </si>
  <si>
    <t>Стоимость, руб</t>
  </si>
  <si>
    <t>Инженерно-экологическое рекогносцировочное обследование III категории сложности удовлетворительная  проходимость</t>
  </si>
  <si>
    <t>Описание точек наблюдения для составления комплекса инженерно-экологических карт с нанесением данных радиометрических наблюдений.</t>
  </si>
  <si>
    <t>Табл.11, § 2Гл.2 п.5 (к - 0.6) прим.1  (к -1.3)</t>
  </si>
  <si>
    <t>Отбор проб почво-грунтов на химическое загрязнение: 4 объединенных проб в 4 точках (метод конверта) на глубине 0,0-0,2 м</t>
  </si>
  <si>
    <t>проба</t>
  </si>
  <si>
    <t>Табл.60, § 7, прим. 1 (к-0.9)</t>
  </si>
  <si>
    <t>Отбор  простых проб почво-грунтов на химическое загрязнение на глубине 0,2-1,0 м</t>
  </si>
  <si>
    <r>
      <t xml:space="preserve"> Табл.60 </t>
    </r>
    <r>
      <rPr>
        <sz val="10"/>
        <rFont val="Calibri"/>
        <family val="2"/>
        <charset val="204"/>
      </rPr>
      <t>§</t>
    </r>
    <r>
      <rPr>
        <sz val="10"/>
        <rFont val="Arial"/>
        <family val="2"/>
        <charset val="204"/>
      </rPr>
      <t xml:space="preserve">.7                         </t>
    </r>
  </si>
  <si>
    <t>Отбор проб почво-грунтов на агрохимический  анализ (1 почв разреза)</t>
  </si>
  <si>
    <t>Табл.60, § 10</t>
  </si>
  <si>
    <t>Отбор почв на санитарно-паразитологические показатели  4 точечных  проб  - на глубине 0,0-0,2 м;</t>
  </si>
  <si>
    <t xml:space="preserve">Отбор почв на санитарно-бактериологические показатели 4 точечных проб - на глубине 0,0-0,2 м; </t>
  </si>
  <si>
    <t xml:space="preserve">Измерение потока радона на участке </t>
  </si>
  <si>
    <t>20 точек</t>
  </si>
  <si>
    <t>Табл.91, § 2</t>
  </si>
  <si>
    <t>Отбор почв для определения радионуклидного состава и удельной эффективной активности естественных радионуклидов (радий (226Ra), торий (232Th), калий (40K) и цезий (137Cs)).</t>
  </si>
  <si>
    <t>Табл.60, § 7</t>
  </si>
  <si>
    <t xml:space="preserve">Радиационное обследование участка площадью от 0,5 до  1 га (измерение гамма-съемка 0.7 га, МАД) </t>
  </si>
  <si>
    <t>0,1 Га</t>
  </si>
  <si>
    <t>Табл.92, § 2</t>
  </si>
  <si>
    <t>Расходы по внешнему транспорту при расстоянии от 100 до 300 км и продолжительности полевых работ до 1 месяца</t>
  </si>
  <si>
    <t xml:space="preserve"> Табл. 5, § 2</t>
  </si>
  <si>
    <t>2. Лабораторные работы</t>
  </si>
  <si>
    <t>Обследование проб почво-грунтов на агрохимические показатели:</t>
  </si>
  <si>
    <t>Целесообразность снятия плодородного и потенциально плодородного слоев почвы</t>
  </si>
  <si>
    <t xml:space="preserve"> Табл.70, § 83</t>
  </si>
  <si>
    <t>Водородный показатель pH водяной вытяжки</t>
  </si>
  <si>
    <t xml:space="preserve">Органические вещества (гумус) </t>
  </si>
  <si>
    <t xml:space="preserve"> Табл.70, § 11</t>
  </si>
  <si>
    <t>Гранулометрический анализ фракций с разделением от 10 мм до 0.1 мм</t>
  </si>
  <si>
    <t xml:space="preserve"> Табл.64, § 11</t>
  </si>
  <si>
    <t>Определение химического состава почв.</t>
  </si>
  <si>
    <t>Пробоподготовка для выполнения физико-химических исследований солей тяжелых металлов</t>
  </si>
  <si>
    <t xml:space="preserve"> Табл.70, § 85</t>
  </si>
  <si>
    <t>Определение солей тяжёлых металлов в почвах и грунтах  (медь, никель, цинк, кадмий, ртуть, свинец) и мышьяк- 7 элементов.</t>
  </si>
  <si>
    <t>Определение удельной эффиктивности естественных радионуклидов в почве, радиационно-экологические исследования</t>
  </si>
  <si>
    <t>Удельная активность природных радионуклидов (радий-226, торий-232, калий-40 и цезий-137).</t>
  </si>
  <si>
    <t xml:space="preserve"> Табл.70, § 69</t>
  </si>
  <si>
    <t xml:space="preserve">Табл.81, § 1, прим. 1 (к-1.4) </t>
  </si>
  <si>
    <t xml:space="preserve">20 точек </t>
  </si>
  <si>
    <t xml:space="preserve">Радиационное обследование участка площадью от 0,5 до  1 га (измерение гамма-съемка 0.9 га, МАД) </t>
  </si>
  <si>
    <t>Камеральная обработка химических и бактериологических анализов на загрязнен-ность  почво-грунтов при инженерно-экологических изысканиях</t>
  </si>
  <si>
    <t xml:space="preserve">Исследование почв на санитарно-паразитологические показатели и бактериологические показатели - на глубине 0,0-0,2 м:                       - Жизнеспособные цисты патогенных простейших;                             </t>
  </si>
  <si>
    <t>образец/услуга</t>
  </si>
  <si>
    <t>Прейскурант Аккредитованная в национальной системе аккредитации "Росаккредитация" Испытательная лаборатория Лаб24 адрес: 125371 г. Москва, Волоколамское шоссе, 89  
Телефон: +7 495 133-01-34
Mail:            zakaz@lab-24.ru
№ исследования по прейскуранту п.6.2.7</t>
  </si>
  <si>
    <t xml:space="preserve">Патогенные энтеробактерии рода Sahnonella;     </t>
  </si>
  <si>
    <t>п.6.2.5</t>
  </si>
  <si>
    <t xml:space="preserve">Энтерококки (Индекс\Фекальные) </t>
  </si>
  <si>
    <t>п.6.2.8</t>
  </si>
  <si>
    <t xml:space="preserve">  Яйца гельминтов, личинки гельминтов</t>
  </si>
  <si>
    <t>п.6.2.10</t>
  </si>
  <si>
    <t>БГПК</t>
  </si>
  <si>
    <t>п.6.2.1</t>
  </si>
  <si>
    <t>Справка</t>
  </si>
  <si>
    <t>Сборник цен на гидрометеорологическую продукцию и информацию о состоянии окружающей среды, её загрязнении 2026. Северо-Кавказский. УГМС. РСО-А ЦГМС</t>
  </si>
  <si>
    <t xml:space="preserve">Получение (приобретение) исходных данных и сведений о климате </t>
  </si>
  <si>
    <t>справка</t>
  </si>
  <si>
    <t>Определение эффективной удельной активности природных радионуклидов (ЕРН). Почва.</t>
  </si>
  <si>
    <t>образец</t>
  </si>
  <si>
    <t>Типовые нормы выработки и расценок на работы, выполняемые проектно-изыскательскими центрами и станциями агрохимической службы. Москва 1994 г.</t>
  </si>
  <si>
    <t>сборник отсутствует в фед.реестре сметных нормативов.</t>
  </si>
  <si>
    <t>Исследование на паразитарную чистоту: исследование на личинки гельминтов. Почва.</t>
  </si>
  <si>
    <t>Исследование на бактериологию. Почва.</t>
  </si>
  <si>
    <t>Исследование на паразитарную чистоту: исследование на яйца гельминтов. Вода.</t>
  </si>
  <si>
    <t>Исследование на паразитарную чистоту: исследование на цисты патогенных простейших. Вода.</t>
  </si>
  <si>
    <t>Измерение уровня шума</t>
  </si>
  <si>
    <t xml:space="preserve">Итого по смете с учетом НДС:   </t>
  </si>
  <si>
    <t xml:space="preserve">  </t>
  </si>
  <si>
    <r>
      <t xml:space="preserve"> Табл. 9, </t>
    </r>
    <r>
      <rPr>
        <sz val="10"/>
        <rFont val="Calibri"/>
        <family val="2"/>
        <charset val="204"/>
      </rPr>
      <t>§</t>
    </r>
    <r>
      <rPr>
        <sz val="10"/>
        <rFont val="Arial"/>
        <family val="2"/>
        <charset val="204"/>
      </rPr>
      <t xml:space="preserve">.2 
прим.1  (к-1.25)                  </t>
    </r>
  </si>
  <si>
    <r>
      <t xml:space="preserve"> Табл.60 </t>
    </r>
    <r>
      <rPr>
        <sz val="10"/>
        <rFont val="Calibri"/>
        <family val="2"/>
        <charset val="204"/>
      </rPr>
      <t>§</t>
    </r>
    <r>
      <rPr>
        <sz val="10"/>
        <rFont val="Arial"/>
        <family val="2"/>
        <charset val="204"/>
      </rPr>
      <t>.10</t>
    </r>
  </si>
  <si>
    <r>
      <t xml:space="preserve"> Табл.60 </t>
    </r>
    <r>
      <rPr>
        <sz val="10"/>
        <rFont val="Calibri"/>
        <family val="2"/>
        <charset val="204"/>
      </rPr>
      <t>§</t>
    </r>
    <r>
      <rPr>
        <sz val="10"/>
        <rFont val="Arial"/>
        <family val="2"/>
        <charset val="204"/>
      </rPr>
      <t>.10 прим.4 (К=0,9)</t>
    </r>
  </si>
  <si>
    <t>Табл.9, § 2  прим . 1 (к-1.25)</t>
  </si>
  <si>
    <t>Обработка результатов инженерно-экологического рекогносцировочного обследования III категории сложности удовлетворительная  проходимость</t>
  </si>
  <si>
    <t>Описание точек наблюдений при составлении комплекса инженерно-экологических карт узких полос вдоль трасс линейных сооружений. Категория сложности III</t>
  </si>
  <si>
    <t>Составление технического отчета (заключения) о результатах выполненных работ при стоимости камеральных работ: до 5 тыс. руб.</t>
  </si>
  <si>
    <t xml:space="preserve">Составление программы производства работ. Средняя глубина исследования до 5 м. Исследуемая площадь до 1 км2. </t>
  </si>
  <si>
    <t>4. Прочие расходы</t>
  </si>
  <si>
    <t>ВСЕГО КАМЕРАЛЬНЫХ РАБОТ</t>
  </si>
  <si>
    <t>ВСЕГО ПРОЧИХ РАСХОДОВ</t>
  </si>
  <si>
    <t>Расходы по внутреннему транспорту. Расстояние от базы до участка изысканий св. 5 до 10 км. Сметная стоимость полевых изыск.работ до 5 тыс.руб.</t>
  </si>
  <si>
    <t xml:space="preserve"> Табл. 4</t>
  </si>
  <si>
    <t>О.У. П 13 К=2,5</t>
  </si>
  <si>
    <t>ВСЕГО ПОЛЕВЫХ РАБОТ</t>
  </si>
  <si>
    <t>ВСЕГО ЛАБОРАТОРНЫХ РАБОТ</t>
  </si>
  <si>
    <t>ВСЕГО ПО СМЕТЕ в ценах II квартала 2026 года  К = 80,58 (Письмо Минстроя России от 08.04.2026 №20212-ИФ/09)</t>
  </si>
  <si>
    <t>Наименование стадии проектирования, этапа, вида проектных или изыскательских работ:</t>
  </si>
  <si>
    <t>Проведение научно-исследовательских археологических  работ (разведки)</t>
  </si>
  <si>
    <t>Объект</t>
  </si>
  <si>
    <t>№№               п.п</t>
  </si>
  <si>
    <t xml:space="preserve"> Обоснование стоимости</t>
  </si>
  <si>
    <t xml:space="preserve">Археологические исследования </t>
  </si>
  <si>
    <t>1.1. Обследование территории под  линейный объект</t>
  </si>
  <si>
    <t>СЦНПР-91, р. 6, т. 6-1, п. 2 3"в" прим1. п.10. 3)</t>
  </si>
  <si>
    <t>объект исследования земельный участок 0,6 Га</t>
  </si>
  <si>
    <t xml:space="preserve">1.2. Фотодокументирование археологических разведок </t>
  </si>
  <si>
    <t>СЦНПР-91. Раздел 8. Табл. 8-3</t>
  </si>
  <si>
    <t xml:space="preserve">Снимок </t>
  </si>
  <si>
    <t>1.3. Закладка разведочных шурфов размером (1х1) м. глубиной раскопа до 1,4 м. 1 шурф на 1 Га</t>
  </si>
  <si>
    <t>СЦНПР-91. Раздел 6. Гл. 2. Табл. 6-2. п.4 А</t>
  </si>
  <si>
    <t>1 квадрат</t>
  </si>
  <si>
    <t xml:space="preserve">Итого по п 1                                                                                                                                                                                                                      </t>
  </si>
  <si>
    <t>Отчет об археологических исследованиях.</t>
  </si>
  <si>
    <t xml:space="preserve">2.1. Составление сметы калькуляции по результатам археологической разведки на археологические работы </t>
  </si>
  <si>
    <t>СЦНПР-91. Раздел 1. Табл. 1-2. п.2</t>
  </si>
  <si>
    <t xml:space="preserve">памятник </t>
  </si>
  <si>
    <t>2.2. Написание текста отчета.</t>
  </si>
  <si>
    <t>СЦНПР-91. Раздел 6. Гл. 3. Табл. 6-3. п.а</t>
  </si>
  <si>
    <t xml:space="preserve">печатный лист </t>
  </si>
  <si>
    <t>2.3. Печать фотоснимков.</t>
  </si>
  <si>
    <t>СЦНПР-91. Раздел 8. Табл. 8-4</t>
  </si>
  <si>
    <t xml:space="preserve">негатив                              </t>
  </si>
  <si>
    <t>2.4. Альбом фотоиллюстраций с подбором, наклейкой, компоновкой и составлением кратких аннотаций, включающий в себя до 20 фотографий.</t>
  </si>
  <si>
    <t>СЦНПР-91. Раздел 1. Гл.3. Табл. 1-22. п.5</t>
  </si>
  <si>
    <t>20 фотографий</t>
  </si>
  <si>
    <t>альбом до 5-ти экземпляров</t>
  </si>
  <si>
    <t xml:space="preserve">78 руб. </t>
  </si>
  <si>
    <t xml:space="preserve">Итого по п 2                                                                                                                                                                                                                      </t>
  </si>
  <si>
    <t>Итого по пп. 1-2</t>
  </si>
  <si>
    <t>Коэффициент 14,6 по п.п. 1-2</t>
  </si>
  <si>
    <t xml:space="preserve">СЦНПР-91, Общая часть, Гл. 1. п.2, Письмо Министерства Культуры РФ от 13.10.98 г. № 01-211/14 для цен 1991 г. </t>
  </si>
  <si>
    <t>Коэффициент 4  по п.п. 1-2</t>
  </si>
  <si>
    <t>Письмо Министерства культуры РФ от 20.12.2011 Номер: 107-01-39/10-КЧ</t>
  </si>
  <si>
    <t>Всего без НДС</t>
  </si>
  <si>
    <t xml:space="preserve">Историко-культурная экспертиза земельного участка </t>
  </si>
  <si>
    <r>
      <rPr>
        <sz val="12"/>
        <rFont val="Arial"/>
        <family val="2"/>
        <charset val="204"/>
      </rPr>
      <t>Постановление правительства РФ от 15.07.2009г № 569
МИНИСТЕРСТВО КУЛЬТУРЫ РОССИЙСКОЙ ФЕДЕРАЦИИ
ПИСЬМО</t>
    </r>
    <r>
      <rPr>
        <b/>
        <sz val="12"/>
        <rFont val="Arial"/>
        <family val="2"/>
        <charset val="204"/>
      </rPr>
      <t xml:space="preserve">
</t>
    </r>
    <r>
      <rPr>
        <sz val="12"/>
        <rFont val="Arial"/>
        <family val="2"/>
        <charset val="204"/>
      </rPr>
      <t>от 18 июля 2017 г.  №210-01.1-39-ВА
Разъяснение о стоимости государственной историко-культурной экспертизы</t>
    </r>
  </si>
  <si>
    <t xml:space="preserve">Вспомогательные работы </t>
  </si>
  <si>
    <t>Всего  по смете пп.1,2.</t>
  </si>
  <si>
    <t>Заместитель директора департамента
по ценообразованию и сметному регулированию
Департамента развития инфраструктуры</t>
  </si>
  <si>
    <t>Сведения о климатических параметрах,
фоновых концентрациях загрязняющих веществ в
атмосферном воздухе (6 показателей).</t>
  </si>
  <si>
    <t>ВСЕГО с дополнительными работами гл.5</t>
  </si>
  <si>
    <t>Итого стоимость дополнительных работ гл. 5 без НДС</t>
  </si>
  <si>
    <t xml:space="preserve">5. Дополнительные работы с оплатой услуг сторонних организаций, необходимых для производства изысканий </t>
  </si>
  <si>
    <t>ВСЕГО ПО СМЕТЕ в ценах 01.01.1991 без доп. работ гл. 5</t>
  </si>
  <si>
    <t>Всего по разделу IV</t>
  </si>
  <si>
    <t>Итого по разделу IV</t>
  </si>
  <si>
    <t>Ктек = 1.25
Письмо Минстроя России от 08.04.2026 №20212-ИФ/09</t>
  </si>
  <si>
    <t xml:space="preserve">инд.2кв.2026г.к 01.01.2024 на инж.из. </t>
  </si>
  <si>
    <t>(Апред + (Аслед - Апред) / (Xслед - Xпред) * (X - Xпред)) * Количество * Ктек
(233 356 руб. + (317 143 руб. - 233 356 руб.) / (100 000 руб. - 50 000 руб.) * (77 305 руб. - 50 000 руб.)) * 1 * 1.25</t>
  </si>
  <si>
    <t>один отчет</t>
  </si>
  <si>
    <t>НЗ 11.20_0-9-65(3) Таблица 65 п. 17
Aпред = 233 356 руб.; Aслед = 317 143 руб.;
Xпред = 50.0 тыс. руб.; Xслед = 100.0 тыс. руб.; 
X = 77.305 тыс. руб.;
Количество = 1;</t>
  </si>
  <si>
    <t>Составление технического отчета по результатам выполнения работ по ИГИ при общей стоимости камеральных работ в уровне цен по состоянию на 1 января 2024 г. (без учета дополнительных затрат), определенной по показателям затрат, приведенным в НЗ, в условиях инженерно-геологических условий категории сложности III, тысяч рублей:</t>
  </si>
  <si>
    <t>К22 = 1.4
Прим. к табл.66, п.2 (Ценообразующий)</t>
  </si>
  <si>
    <t xml:space="preserve">(К22) Стоимость камеральных работ по составлению программы инженерно-геологических изысканий для инженерно-геологических условий категорий сложности III определяется по показателям затрат (ПЗдоп) с применением корректирующего коэффициента </t>
  </si>
  <si>
    <t>A * Количество * Ктек * К22
51681 руб. * 1 * 1.25 * 1.4</t>
  </si>
  <si>
    <t>одна программа</t>
  </si>
  <si>
    <t>НЗ 11.20_0-10-66-2 Таблица 66 п.2
A = 51681 руб.;
Количество = 1 (одна программа);</t>
  </si>
  <si>
    <t xml:space="preserve">Составление программы инженерно-геологических изысканий для II категории сложности инженерно-геологических условий: при площади земельного участка (участка для строительства) до 1 (одного) гектара. Максимальная глубина исследования от 5 до 10 метров включительно. </t>
  </si>
  <si>
    <t>Программа и отчет</t>
  </si>
  <si>
    <t>X * ((Aпред + (Aслед - Aпред) / (Xслед - Xпред) * (X – Xпред)) / 100) * Количество * Ктек
1079.109 * ((18.7 + (8.6 - 18.7) / (5000 - 1000) * (1079.109 - 1000)) / 100) * 1 * 1.25</t>
  </si>
  <si>
    <t>НЗ 11.20_0-2-4(3) Таблица 4
Aпред = 18.7%;
Aслед = 8.6%;
Xпред = 1000 тыс. руб.;
Xслед = 5000 тыс. руб.;
X = 1079.109 тыс. руб.;
СП = 1079109 руб. в базовом уровне цен без учета K2</t>
  </si>
  <si>
    <t xml:space="preserve">Значения показателя дополнительных затрат на проезд (ДЗпроезд1) при стоимости полевых работ, рассчитанной по показателям затрат НЗ в уровне цен по состоянию на 1 января 2024 г. (СПпз). Расстояние от места постоянной работы работников до участка проведения полевых работ от 500 до 1 000 километров включительно. </t>
  </si>
  <si>
    <t>X * ((Aпред + (Aслед - Aпред) / (Xслед - Xпред) * (X – Xпред)) / 100) * Количество * Ктек
1079.109 * ((22.2 + (8.9 - 22.2) / (2500 - 1000) * (1079.109 - 1000)) / 100) * 1 * 1.25</t>
  </si>
  <si>
    <t>НЗ 11.20_0-2-8(3) Таблица 8
Aпред = 22.2%;
Aслед = 8.9%;
Xпред = 1000 тыс. руб.;
Xслед = 2500 тыс. руб.;
X = 1079.109 тыс. руб.;
СП = 1079109 руб. в базовом уровне цен без учета K2</t>
  </si>
  <si>
    <t xml:space="preserve">Показатель дополнительных затрат на организацию полевых работ (ДЗорг) при стоимости полевых работ, рассчитанной по показателям затрат НЗ (СПпз). Расстояние от места постоянной работы работников до участка проведения полевых работ от 500 до 1000 километров включительно. </t>
  </si>
  <si>
    <t>IV. Дополнительные и специальные работы</t>
  </si>
  <si>
    <t>A * Количество * Ктек
352 руб. * 3 * 1.25</t>
  </si>
  <si>
    <t>один образец</t>
  </si>
  <si>
    <t>НЗ 11.20_0-8-64-2 Таблица 64 п.2
A = 352 руб.;
Количество = 3 (один образец);</t>
  </si>
  <si>
    <t>Камеральная обработка результатов лабораторных исследований физических свойств, химического состава и агрессивности водной вытяжки из грунтов и удельного электрического сопротивления и средней плотности катодного тока грунта</t>
  </si>
  <si>
    <t>A * Количество * Ктек
385 руб. * 3 * 1.25</t>
  </si>
  <si>
    <t>НЗ 11.20_0-8-64-1 Таблица 64 п.1
A = 385 руб.;
Количество = 3 (один образец);</t>
  </si>
  <si>
    <t>Камеральная обработка результатов лабораторных исследований физических свойств, химического состава и агрессивности подземных вод</t>
  </si>
  <si>
    <t>A * Количество * Ктек
316 руб. * 10 * 1.25</t>
  </si>
  <si>
    <t>НЗ 11.20_0-7-62-3 Таблица 62 п.3
A = 316 руб.;
Количество = 10 (один образец);</t>
  </si>
  <si>
    <t xml:space="preserve">Камеральная обработка результатов лабораторных определений физических свойств грунтов: скальных и полускальных. </t>
  </si>
  <si>
    <t>крупнообломочных</t>
  </si>
  <si>
    <t>A * Количество * Ктек
320 руб. * 20 * 1.25</t>
  </si>
  <si>
    <t>НЗ 11.20_0-7-62-1 Таблица 62 п.1
A = 320 руб.;
Количество = 20 (один образец);</t>
  </si>
  <si>
    <t xml:space="preserve">Камеральная обработка результатов лабораторных определений физических свойств грунтов: песчаных. </t>
  </si>
  <si>
    <t>A * Количество * Ктек
434 руб. * 151 * 1.25</t>
  </si>
  <si>
    <t>151</t>
  </si>
  <si>
    <t>погонный метр</t>
  </si>
  <si>
    <t>НЗ 11.20_0-4-33-3 Таблица 33 п.3
A = 434 руб.;
Количество = 151 (погонный метр);</t>
  </si>
  <si>
    <t xml:space="preserve">Камеральная обработка результатов полевых работ по проходке следующих инженерно-геологических выработок инженерно-геологических скважин в условиях категории сложности инженерно-геологических условий: III. </t>
  </si>
  <si>
    <t>III. Камеральные работы</t>
  </si>
  <si>
    <t>A * Количество * Ктек
2726 руб. * 3 * 1.25</t>
  </si>
  <si>
    <t>одно определение</t>
  </si>
  <si>
    <t>НЗ 11.20_0-8-63-5 Таблица 63 п.5
A = 2726 руб.;
Количество = 3 (одно определение);</t>
  </si>
  <si>
    <t>Определение удельного электрического сопротивления и средней плотности катодного тока грунта</t>
  </si>
  <si>
    <t>2.19</t>
  </si>
  <si>
    <t>A * Количество * Ктек
8825 руб. * 3 * 1.25</t>
  </si>
  <si>
    <t>НЗ 11.20_0-8-63-2 Таблица 63 п.2
A = 8825 руб.;
Количество = 3 (одно определение);</t>
  </si>
  <si>
    <t>Определение сокращенного перечня физических свойств, химического состава и агрессивности подземных вод</t>
  </si>
  <si>
    <t>2.18</t>
  </si>
  <si>
    <t>A * Количество * Ктек
3029 руб. * 10 * 1.25</t>
  </si>
  <si>
    <t>НЗ 11.20_0-7-61-1 Таблица 61 п.1
A = 3029 руб.;
Количество = 10 (одно определение);</t>
  </si>
  <si>
    <t>Определения предела прочности скального и полускального грунта при одноосном сжатии образца правильной формы плоскими плитами в природном состоянии</t>
  </si>
  <si>
    <t>2.17</t>
  </si>
  <si>
    <t>A * Количество * Ктек
3452 руб. * 10 * 1.25</t>
  </si>
  <si>
    <t>НЗ 11.20_0-7-57-25 Таблица 57 п.25
A = 3452 руб.;
Количество = 10 (одно определение);</t>
  </si>
  <si>
    <t>Лабораторные определения физических свойств глинистых грунтов. Растворимость скальных грунтов в воде</t>
  </si>
  <si>
    <t>2.16</t>
  </si>
  <si>
    <t>A * Количество * Ктек
600 руб. * 10 * 1.25</t>
  </si>
  <si>
    <t>НЗ 11.20_0-7-57-4 Таблица 57 п.4
A = 600 руб.;
Количество = 10 (одно определение);</t>
  </si>
  <si>
    <t>Лабораторные определения физических свойств песчаных, крупнообломочных, глинистых, органических, органо-минеральных, скальных и полускальных грунтов. Определение плотности частиц грунта пикнометрическим методом</t>
  </si>
  <si>
    <t>A * Количество * Ктек
653 руб. * 10 * 1.25</t>
  </si>
  <si>
    <t>НЗ 11.20_0-7-57-3 Таблица 57 п.3
A = 653 руб.;
Количество = 10 (одно определение);</t>
  </si>
  <si>
    <t>Лабораторные определения физических свойств песчаных, крупнообломочных, глинистых, органических, органо-минеральных, скальных и полускальных грунтов. Определение плотности грунта методом взвешивания в воде</t>
  </si>
  <si>
    <t>A * Количество * Ктек
229 руб. * 10 * 1.25</t>
  </si>
  <si>
    <t>НЗ 11.20_0-7-57-1 Таблица 57 п.1
A = 229 руб.;
Количество = 10 (одно определение);</t>
  </si>
  <si>
    <t>Лабораторные определения физических свойств песчаных, крупнообломочных, глинистых, органических, органо-минеральных, скальных и полускальных грунтов. Определение влажности грунта методом высушивания до постоянной массы</t>
  </si>
  <si>
    <t>2.13</t>
  </si>
  <si>
    <t>A * Количество * Ктек
141 руб. * 10 * 1.25</t>
  </si>
  <si>
    <t>один образец грунта</t>
  </si>
  <si>
    <t>НЗ 11.20_0-7-56-3 Таблица 56 п.3
A = 141 руб.;
Количество = 10 (один образец грунта);</t>
  </si>
  <si>
    <t>Описание образца грунта при проведении лабораторных определений физических свойств</t>
  </si>
  <si>
    <t>2.12</t>
  </si>
  <si>
    <t>A * Количество * Ктек
335 руб. * 10 * 1.25</t>
  </si>
  <si>
    <t>НЗ 11.20_0-7-56-2 Таблица 56 п.2
A = 335 руб.;
Количество = 10 (один образец грунта);</t>
  </si>
  <si>
    <t>Отбор проб из образца грунта для определения физических свойств</t>
  </si>
  <si>
    <t>A * Количество * Ктек
459 руб. * 10 * 1.25</t>
  </si>
  <si>
    <t>НЗ 11.20_0-7-56-1 Таблица 56 п.1
A = 459 руб.;
Количество = 10 (один образец грунта);</t>
  </si>
  <si>
    <t>Приемка, регистрация, консервация образца грунта с отбором части для хранения в архиве</t>
  </si>
  <si>
    <t>Скальные грунты</t>
  </si>
  <si>
    <t>A * Количество * Ктек
13689 руб. * 10 * 1.25</t>
  </si>
  <si>
    <t>НЗ 11.20_0-7-57-32 Таблица 57 п.32
A = 13689 руб.;
Количество = 10 (одно определение);</t>
  </si>
  <si>
    <t>Лабораторные определения физических свойств песчаных и крупнообломочных грунтов. Определение истираемости крупнообломочных грунтов (включений)</t>
  </si>
  <si>
    <t>A * Количество * Ктек
1852 руб. * 20 * 1.25</t>
  </si>
  <si>
    <t>НЗ 11.20_0-7-57-14 Таблица 57 п.14
A = 1852 руб.;
Количество = 20 (одно определение);</t>
  </si>
  <si>
    <t>Лабораторные определения физических свойств песчаных, крупнообломочных, глинистых, органических, органо-минеральных, скальных и полускальных грунтов. Определение гранулометрического (микроагрегатного) состава грунта ареометрическим методом с разделением грунта на фракции размерами: от 0,05 до 0,1 миллиметра, от 0,01 до 0,05 миллиметра, от 0,005 до 0,01 миллиметра, от 0,001 до 0,002 миллиметра и до 0,001 миллиметра</t>
  </si>
  <si>
    <t>A * Количество * Ктек
1835 руб. * 20 * 1.25</t>
  </si>
  <si>
    <t>НЗ 11.20_0-7-57-11 Таблица 57 п.11
A = 1835 руб.;
Количество = 20 (одно определение);</t>
  </si>
  <si>
    <t>Лабораторные определения физических свойств песчаных, крупнообломочных, глинистых, органических, органо-минеральных, скальных и полускальных грунтов. Определение гранулометрического (зернового) состава грунта ситовым методом с промывкой водой с разделением грунта на фракции размерами: свыше 10 миллиметров, от 5 до 10 миллиметров, от 2 до 5 миллиметров, от 1 до 2 миллиметров, от 0,5 до 1 миллиметра, от 0,25 до 0,5 миллиметра, от 0,1 до 0,25 миллиметра и до 0,1 миллиметра</t>
  </si>
  <si>
    <t>A * Количество * Ктек
600 руб. * 20 * 1.25</t>
  </si>
  <si>
    <t>НЗ 11.20_0-7-57-4 Таблица 57 п.4
A = 600 руб.;
Количество = 20 (одно определение);</t>
  </si>
  <si>
    <t>A * Количество * Ктек
512 руб. * 20 * 1.25</t>
  </si>
  <si>
    <t>НЗ 11.20_0-7-57-26 Таблица 57 п.26
A = 512 руб.;
Количество = 20 (одно определение);</t>
  </si>
  <si>
    <t>Лабораторные определения физических свойств песчаных и крупнообломочных грунтов. Определение плотности песчаного грунта методом режущего кольца</t>
  </si>
  <si>
    <t>A * Количество * Ктек
229 руб. * 20 * 1.25</t>
  </si>
  <si>
    <t>НЗ 11.20_0-7-57-1 Таблица 57 п.1
A = 229 руб.;
Количество = 20 (одно определение);</t>
  </si>
  <si>
    <t>A * Количество * Ктек
141 руб. * 20 * 1.25</t>
  </si>
  <si>
    <t>НЗ 11.20_0-7-56-3 Таблица 56 п.3
A = 141 руб.;
Количество = 20 (один образец грунта);</t>
  </si>
  <si>
    <t>A * Количество * Ктек
335 руб. * 20 * 1.25</t>
  </si>
  <si>
    <t>НЗ 11.20_0-7-56-2 Таблица 56 п.2
A = 335 руб.;
Количество = 20 (один образец грунта);</t>
  </si>
  <si>
    <t>A * Количество * Ктек
459 руб. * 20 * 1.25</t>
  </si>
  <si>
    <t>НЗ 11.20_0-7-56-1 Таблица 56 п.1
A = 459 руб.;
Количество = 20 (один образец грунта);</t>
  </si>
  <si>
    <t>Песчаные и крупнообломочные грунты</t>
  </si>
  <si>
    <t>II. Лабораторные работы</t>
  </si>
  <si>
    <t>A * Количество * Ктек
983 руб. * 15 * 1.25</t>
  </si>
  <si>
    <t>одно исследование
в одной скважине</t>
  </si>
  <si>
    <t>НЗ 11.20_0-4-26-1 Таблица 26 п.1
A = 983 руб.;
Количество = 15 (одно исследование
в одной скважине);</t>
  </si>
  <si>
    <t>Проведение гидрогеологических исследований первого от поверхности земли подземного водоносного горизонта в инженерно-геологических скважинах</t>
  </si>
  <si>
    <t>A * Количество * Ктек
1536 руб. * 115 * 1.25</t>
  </si>
  <si>
    <t>НЗ 11.20_0-4-25-1 Таблица 25 п.1
A = 1536 руб.;
Количество = 115 (погонный метр);</t>
  </si>
  <si>
    <t>Крепление инженерно-геологических скважин обсадными трубами</t>
  </si>
  <si>
    <t>A * Количество * Ктек
5764 руб. * 151 * 1.25</t>
  </si>
  <si>
    <t>НЗ 11.20_0-4-14-6 Таблица 14 п.6
A = 5764 руб.;
Количество = 151 (погонный метр);</t>
  </si>
  <si>
    <t xml:space="preserve">Проходка инженерно-геологических скважин колонковым способом бурения: диаметром до 160 (ста шестидесяти) миллиметров включительно при глубине скважины до 15 (пятнадцати) метров включительно. в грунтах категории VI. </t>
  </si>
  <si>
    <t>(ПЗ1п + ПЗ2п * Sреког) * Количество * Ктек
(10 127 руб. + 7 233 руб. * 1) * 1 * 1.25</t>
  </si>
  <si>
    <t>гектар</t>
  </si>
  <si>
    <t>НЗ 11.20_0-3-12-11 Таблица 12 п.11
ПЗ1п = 10 127 руб.;
ПЗ2п = 7 233 руб.;
Sреког = 1 (гектар);
Количество = 1;</t>
  </si>
  <si>
    <t xml:space="preserve">Рекогносцировочное обследование: в условиях производства полевых работ категории III. площадь участка до 5 гектаров включительно. </t>
  </si>
  <si>
    <t>Ед.изм.</t>
  </si>
  <si>
    <t>Сметный расчет составлен по следующим документам: НЗ №281/пр. Работы по инженерно-геологическим изысканиям (ИГИ). 2025 г.</t>
  </si>
  <si>
    <t>Инженерно-геологические изыскания</t>
  </si>
  <si>
    <t>на инженерно-геологические изыскания</t>
  </si>
  <si>
    <t>СМЕТА №2-из</t>
  </si>
  <si>
    <t xml:space="preserve">форма №2П, 1/пр
</t>
  </si>
  <si>
    <t>Адепт: Проект v 2026.4.1 © ООО"Адепт"</t>
  </si>
  <si>
    <t>Всего Комплексная система безопасности:</t>
  </si>
  <si>
    <t>10.10</t>
  </si>
  <si>
    <t>Итого Комплексная система безопасности:</t>
  </si>
  <si>
    <t>10.9</t>
  </si>
  <si>
    <t>100% * (1 + 0.3) = 120 852 руб.</t>
  </si>
  <si>
    <t>Полный комплекс работ
(100%):
(A + B * Xзад) * Количество * Ктек * Кст
(20 500 руб. + 3 650 руб. * 36) * 1 * 1.53 * 0.4 * 1.3</t>
  </si>
  <si>
    <t>НЗ 11.09_0-3-3.8-1-2 НЗ №907/пр Системы связи и технологические системы объектов капитального строительства непроизводственного назначения. 2023 г. Таблица 3.8. Система селекторной связи, система громкоговорящей связи, п.1
A = 20.5 тыс.руб; B = 3.65 тыс.руб;
Xзад = 36 (1 абонент);
Количество = 1</t>
  </si>
  <si>
    <t xml:space="preserve">Система селекторной связи, система громкоговорящей связи. от 30 до 50 абонентов включительно. </t>
  </si>
  <si>
    <t>10.8</t>
  </si>
  <si>
    <t>9.852% = 52 руб.</t>
  </si>
  <si>
    <t>10. Сме на стр</t>
  </si>
  <si>
    <t>1% = 5 руб.</t>
  </si>
  <si>
    <t>9. Мер по обе дос инв</t>
  </si>
  <si>
    <t>6% = 32 руб.</t>
  </si>
  <si>
    <t>8. Мер по обе пож без</t>
  </si>
  <si>
    <t>9% = 47 руб.</t>
  </si>
  <si>
    <t>7. Охр окр сре (ООС)</t>
  </si>
  <si>
    <t>3% = 16 руб.</t>
  </si>
  <si>
    <t>18% * (1 + 0.3) [из  66.3%] = 123 руб.</t>
  </si>
  <si>
    <t>5.7. Тех реш</t>
  </si>
  <si>
    <t>1% * (1 + 0.3) [из  66.3%] = 7 руб.</t>
  </si>
  <si>
    <t>5.6. Газ</t>
  </si>
  <si>
    <t>2% * (1 + 0.3) [из  66.3%] = 14 руб.</t>
  </si>
  <si>
    <t>5.5. Свя</t>
  </si>
  <si>
    <t>10% * (1 + 0.3) [из  66.3%] = 68 руб.</t>
  </si>
  <si>
    <t>5.4. Ото, вен, кон воз</t>
  </si>
  <si>
    <t>5.3. Вод</t>
  </si>
  <si>
    <t>5.2. Вод</t>
  </si>
  <si>
    <t>16% * (1 + 0.3) [из  66.3%] = 110 руб.</t>
  </si>
  <si>
    <t>5.1. Эле</t>
  </si>
  <si>
    <t>66.3% = 349 руб.</t>
  </si>
  <si>
    <t>5. Инж обо, сет, инж мер, тех реш</t>
  </si>
  <si>
    <t>12% * (1 + 0.3) = 82 руб.</t>
  </si>
  <si>
    <t>4. Кон и объ реш</t>
  </si>
  <si>
    <t>6% * (1 + 0.3) = 41 руб.</t>
  </si>
  <si>
    <t>3. Арх реш</t>
  </si>
  <si>
    <t>2% * (1 + 0.3) = 14 руб.</t>
  </si>
  <si>
    <t>2% = 11 руб.</t>
  </si>
  <si>
    <t>(2% + 2% * (1 + 0.3) + 6% * (1 + 0.3) + 12% * (1 + 0.3) + 16% * (1 + 0.3) + 2% * (1 + 0.3) + 2% * (1 + 0.3) + 10% * (1 + 0.3) + 2% * (1 + 0.3) + 1% * (1 + 0.3) + 18% * (1 + 0.3) + 3% + 9% + 6% + 1% + 9.852%) = 123.152%</t>
  </si>
  <si>
    <t xml:space="preserve">K1 = 1.3 (РПД 2-4,5.1-5.7)
Методика, 707/пр. Приложение 5, табл.5.1, п.2.3 (Усложняющий) </t>
  </si>
  <si>
    <t>К'пон = 0.1
понижающий коэффициент, учитывающий разницу в трудоемкости работ по проектируемому объекту и объекту аналогу. (Методика 707/пр п.131(3)) (Ценообразующий)</t>
  </si>
  <si>
    <t>Кст = 0.48</t>
  </si>
  <si>
    <t>(A + B * (0.4 * Xмин + 0.6 * (Xмин / 2))) * Количество * Кпон * Ктек * Кст
(1 020 руб. + 15 руб. * (0.4 * 50 + 0.6 * (50 / 2))) * 1 * 0.1 * 7.1 * 0.48 * 1.23152</t>
  </si>
  <si>
    <t>СБЦП 81-02-02-2001_0-4-9-1 Объекты связи. 2010 г. Раздел 4. Таблица 9. Отдельные установки и сооружения проводной связи, п.1
A = 1.02 тыс.руб; B = 0.015 тыс.руб;
Xмин = 50;
Xзад = 1 (1 номер);
Количество = 1</t>
  </si>
  <si>
    <t xml:space="preserve">Установка оперативно-диспетчерской связи. Емкость в номерах до 50. </t>
  </si>
  <si>
    <t>10.7</t>
  </si>
  <si>
    <t>9.852% = 113 570 руб.</t>
  </si>
  <si>
    <t>1% = 11 528 руб.</t>
  </si>
  <si>
    <t>6% = 69 166 руб.</t>
  </si>
  <si>
    <t>9% = 103 749 руб.</t>
  </si>
  <si>
    <t>3% = 34 583 руб.</t>
  </si>
  <si>
    <t>18% * (1 + 0.3) [из  66.3%] = 269 747 руб.</t>
  </si>
  <si>
    <t>1% * (1 + 0.3) [из  66.3%] = 14 986 руб.</t>
  </si>
  <si>
    <t>2% * (1 + 0.3) [из  66.3%] = 29 972 руб.</t>
  </si>
  <si>
    <t>10% * (1 + 0.3) [из  66.3%] = 149 859 руб.</t>
  </si>
  <si>
    <t>16% * (1 + 0.3) [из  66.3%] = 239 775 руб.</t>
  </si>
  <si>
    <t>66.3% = 764 282 руб.</t>
  </si>
  <si>
    <t>12% * (1 + 0.3) = 179 831 руб.</t>
  </si>
  <si>
    <t>6% * (1 + 0.3) = 89 916 руб.</t>
  </si>
  <si>
    <t>2% * (1 + 0.3) = 29 972 руб.</t>
  </si>
  <si>
    <t>2% = 23 055 руб.</t>
  </si>
  <si>
    <t>Кст = 0.42</t>
  </si>
  <si>
    <t>(A + B * Xзад) * Количество * Ктек * Кст
(25 980 руб. + 4 623 руб. * 78) * 1 * 7.1 * 0.42 * 1.23152</t>
  </si>
  <si>
    <t>СБЦП 81-02-02-2001_0-4-2-2 Объекты связи. 2010 г. Раздел 4. Таблица 2. Документальная электросвязь п.2
A = 25.98 тыс. руб.B = 4.623 тыс. руб.;
Хзад = 78 (1 канал);
Количество = 1</t>
  </si>
  <si>
    <t>Система передачи данных (СПД) выделенной связи в составе: служба передачи данных (ПД), служба сопряжения ЭВМ с каналами ПД, служба технического обслуживания (ТО) мощностью от 1 до 100 каналов</t>
  </si>
  <si>
    <t>10.6</t>
  </si>
  <si>
    <t>18.251% = 15 426 руб.</t>
  </si>
  <si>
    <t>14.1% = 11 917 руб.</t>
  </si>
  <si>
    <t>3.9% * (1 + 0.3) [из  10.4%] = 4 285 руб.</t>
  </si>
  <si>
    <t>4.2. Авт</t>
  </si>
  <si>
    <t>4.1% * (1 + 0.3) [из  10.4%] = 4 505 руб.</t>
  </si>
  <si>
    <t>4.1. Сис эле</t>
  </si>
  <si>
    <t>10.4% = 8 790 руб.</t>
  </si>
  <si>
    <t>4. Све об инж обо, о сет инж обе, пер инж мер, сод тех реш</t>
  </si>
  <si>
    <t>45% * (1 + 0.3) = 49 443 руб.</t>
  </si>
  <si>
    <t>3. Тех реш</t>
  </si>
  <si>
    <t>8.4% * (1 + 0.3) = 9 229 руб.</t>
  </si>
  <si>
    <t>2. Кон и объ реш</t>
  </si>
  <si>
    <t>9.5% = 8 029 руб.</t>
  </si>
  <si>
    <t>(9.5% + 8.4% * (1 + 0.3) + 45% * (1 + 0.3) + 4.1% * (1 + 0.3) + 3.9% * (1 + 0.3) + 14.1% + 18.251%) = 121.671%</t>
  </si>
  <si>
    <t xml:space="preserve">K1 = 1.3 (РПД 2-3,4.1-4.2)
Методика, 707/пр. Приложение 5, табл.5.1, п.2.3 (Усложняющий) </t>
  </si>
  <si>
    <t>(A + B * Xзад) * Количество * Ктек * Кст
(72 300 руб. + 24 руб. * 2228) * 1 * 1.68 * 0.4 * 1.21671</t>
  </si>
  <si>
    <t>НЗ 11.04_0-3-3.1-1-3 НЗ №828/пр Инженерно-техническая система антитеррористической защищенности объектов жилищно-гражданского назначения. 2023 г. Таблица 3.1. Система охранной и тревожной сигнализации (СОТС), п.1
A = 72.3 тыс.руб; B = 0.024 тыс.руб;
Xзад = 2228 (кв.м.);
Количество = 1</t>
  </si>
  <si>
    <t xml:space="preserve">СОТС внутри здания. Защищаемая площадь от 1000 до 10000 кв.м. включительно. </t>
  </si>
  <si>
    <t>10.5</t>
  </si>
  <si>
    <t>19.086% = 5 412 руб.</t>
  </si>
  <si>
    <t>18% = 5 105 руб.</t>
  </si>
  <si>
    <t>6% * (1 + 0.3) [из  7.8%] = 2 212 руб.</t>
  </si>
  <si>
    <t>7.8% = 2 212 руб.</t>
  </si>
  <si>
    <t>38% * (1 + 0.3) = 14 009 руб.</t>
  </si>
  <si>
    <t>10% * (1 + 0.3) = 3 687 руб.</t>
  </si>
  <si>
    <t>12% = 3 403 руб.</t>
  </si>
  <si>
    <t>(12% + 10% * (1 + 0.3) + 38% * (1 + 0.3) + 6% * (1 + 0.3) + 18% + 19.086%) = 119.286%</t>
  </si>
  <si>
    <t xml:space="preserve">K2 = 1.3 (РПД 2-3,4.1)
Методика, 707/пр. Приложение 5, табл.5.1, п.2.3 (Усложняющий) </t>
  </si>
  <si>
    <t>K1 = 2, N1=3(общее кол-во АРМ и(или) серверов ИТСО)
Табл.3.7.1, п.2 (Ценообразующий)</t>
  </si>
  <si>
    <t xml:space="preserve">Проектирование в составе зданий (сооружений) 2 и более аналогичных АРМ и (или) серверов ИТСО применяется с корректирующим коэффициентом для последующих АРМ и (или) серверов ИТСО </t>
  </si>
  <si>
    <t>A * Количество * Ктек * Кст * K1
21 100 руб. * 1 * 1.68 * 0.4 * 2 * 1.19286</t>
  </si>
  <si>
    <t>НЗ 11.04_0-3-3.7-1 НЗ №828/пр Инженерно-техническая система антитеррористической защищенности объектов жилищно-гражданского назначения. 2023 г.Таблица 3.7. Системы сбора и обработки информации, полученной от средств инженерно-технических систем антитеррористической защищенности (ССОИ), п.1
A = 21.1 тыс. руб.
Количество = 1 (объект)</t>
  </si>
  <si>
    <t>Автоматизированное рабочее место оператора ИТСО (далее - АРМ ИТСО), 1 место</t>
  </si>
  <si>
    <t>10.4</t>
  </si>
  <si>
    <t>14.698% = 27 073 руб.</t>
  </si>
  <si>
    <t>15% = 27 629 руб.</t>
  </si>
  <si>
    <t>6.3% * (1 + 0.3) [из  16.38%] = 15 085 руб.</t>
  </si>
  <si>
    <t>16.38% = 30 171 руб.</t>
  </si>
  <si>
    <t>41.5% * (1 + 0.3) = 99 372 руб.</t>
  </si>
  <si>
    <t>8.8% * (1 + 0.3) = 21 072 руб.</t>
  </si>
  <si>
    <t>10% = 18 419 руб.</t>
  </si>
  <si>
    <t>(10% + 8.8% * (1 + 0.3) + 41.5% * (1 + 0.3) + 6.3% * (1 + 0.3) + 6.3% * (1 + 0.3) + 15% + 14.698%) = 121.468%</t>
  </si>
  <si>
    <t>(A + B * Xзад) * Количество * Ктек * Кст
(109 200 руб. + 5 153 руб. * 32) * 1 * 1.68 * 0.4 * 1.21468</t>
  </si>
  <si>
    <t>НЗ 11.04_0-3-3.3-1-3 НЗ №828/пр Инженерно-техническая система антитеррористической защищенности объектов жилищно-гражданского назначения. 2023 г. Таблица 3.3. Система охранная телевизионная (СОТ), п.1
A = 109.2 тыс.руб; B = 5.153 тыс.руб;
Xзад = 32 (шт.);
Количество = 1</t>
  </si>
  <si>
    <t xml:space="preserve">Система охранная телевизионная внутренняя (далее - СОТВ). Количество видеокамер от 25 до 80 шт. включительно. </t>
  </si>
  <si>
    <t>10.3</t>
  </si>
  <si>
    <t>11.127% = 29 483 руб.</t>
  </si>
  <si>
    <t>5% = 13 248 руб.</t>
  </si>
  <si>
    <t>4.5% * (1 + 0.3) [из  11.96%] = 15 501 руб.</t>
  </si>
  <si>
    <t>4.7% * (1 + 0.3) [из  11.96%] = 16 190 руб.</t>
  </si>
  <si>
    <t>5.1. Сис эле</t>
  </si>
  <si>
    <t>11.96% = 31 690 руб.</t>
  </si>
  <si>
    <t>40.9% * (1 + 0.3) = 140 884 руб.</t>
  </si>
  <si>
    <t>6.6% * (1 + 0.3) = 22 734 руб.</t>
  </si>
  <si>
    <t>10.8% * (1 + 0.3) = 37 202 руб.</t>
  </si>
  <si>
    <t>18.4% = 48 754 руб.</t>
  </si>
  <si>
    <t>(18.4% + 10.8% * (1 + 0.3) + 6.6% * (1 + 0.3) + 40.9% * (1 + 0.3) + 4.7% * (1 + 0.3) + 4.5% * (1 + 0.3) + 5% + 11.127%) = 122.277%</t>
  </si>
  <si>
    <t xml:space="preserve">K1 = 1.3 (РПД 2-4,5.1-5.2)
Методика, 707/пр. Приложение 5, табл.5.1, п.2.3 (Усложняющий) </t>
  </si>
  <si>
    <t>(A + B * Xзад) * Количество * Ктек * Кст
(110 100 руб. + 7 105 руб. * 40) * 1 * 1.68 * 0.4 * 1.22277</t>
  </si>
  <si>
    <t>НЗ 11.04_0-3-3.3-2-2 НЗ №828/пр Инженерно-техническая система антитеррористической защищенности объектов жилищно-гражданского назначения. 2023 г. Таблица 3.3. Система охранная телевизионная (СОТ), п.2
A = 110.1 тыс.руб; B = 7.105 тыс.руб;
Xзад = 40 (шт.);
Количество = 1</t>
  </si>
  <si>
    <t xml:space="preserve">Система охранная телевизионная наружная (далее - СОТН). Количество видеокамер от 10 до 50 шт. включительно. </t>
  </si>
  <si>
    <t>17.421% = 28 544 руб.</t>
  </si>
  <si>
    <t>4.8% = 7 865 руб.</t>
  </si>
  <si>
    <t>15.3% = 25 069 руб.</t>
  </si>
  <si>
    <t>4.8% * (1 + 0.3) [из  12.48%] = 10 224 руб.</t>
  </si>
  <si>
    <t>12.48% = 20 448 руб.</t>
  </si>
  <si>
    <t>36.1% * (1 + 0.3) = 76 893 руб.</t>
  </si>
  <si>
    <t>9.3% * (1 + 0.3) = 19 809 руб.</t>
  </si>
  <si>
    <t>10.3% = 16 876 руб.</t>
  </si>
  <si>
    <t>(10.3% + 9.3% * (1 + 0.3) + 36.1% * (1 + 0.3) + 4.8% * (1 + 0.3) + 4.8% * (1 + 0.3) + 15.3% + 4.8% + 17.421%) = 119.321%</t>
  </si>
  <si>
    <t>(A + B * Xзад) * Количество * Ктек * Кст
(104 500 руб. + 15 480 руб. * 9) * 1 * 1.68 * 0.4 * 1.19321</t>
  </si>
  <si>
    <t>НЗ 11.04_0-3-3.2-1-2 НЗ №828/пр Инженерно-техническая система антитеррористической защищенности объектов жилищно-гражданского назначения. 2023 г. Таблица 3.2. Система контроля и управления доступом (СКУД), п.1
A = 104.5 тыс.руб; B = 15.48 тыс.руб;
Xзад = 9 (шт.);
Количество = 1</t>
  </si>
  <si>
    <t xml:space="preserve">Система контроля и управления доступом (СКУД). Количество мест, где непосредственно осуществляется контроль доступа: от 5 до 15 шт. включительно. </t>
  </si>
  <si>
    <t>Комплексная система безопасности</t>
  </si>
  <si>
    <t>Всего Водоотведение ливневых стоков:</t>
  </si>
  <si>
    <t>9.7</t>
  </si>
  <si>
    <t>Итого Водоотведение ливневых стоков:</t>
  </si>
  <si>
    <t>9.6</t>
  </si>
  <si>
    <t>6.168% = 1 379 руб.</t>
  </si>
  <si>
    <t>11. Сме на стр, рек, кап рем, сно объ кап стр</t>
  </si>
  <si>
    <t>1% = 224 руб.</t>
  </si>
  <si>
    <t>10. Тре к обе без экс объ кап стр, тре к обе без экс лин объ</t>
  </si>
  <si>
    <t>5% = 1 118 руб.</t>
  </si>
  <si>
    <t>9. Мер по обе пож без</t>
  </si>
  <si>
    <t>9% = 2 013 руб.</t>
  </si>
  <si>
    <t>8. Мер по охр окр сре</t>
  </si>
  <si>
    <t>7. Про орг стр</t>
  </si>
  <si>
    <t>20% * (1 + 0.3) = 5 814 руб.</t>
  </si>
  <si>
    <t>6. Тех реш</t>
  </si>
  <si>
    <t>7% * (1 + 0.3) [из  39%] = 2 035 руб.</t>
  </si>
  <si>
    <t>5.6. Кон при и авт</t>
  </si>
  <si>
    <t>3% * (1 + 0.3) [из  39%] = 872 руб.</t>
  </si>
  <si>
    <t>5.5. Сет свя</t>
  </si>
  <si>
    <t>5% * (1 + 0.3) [из  39%] = 1 454 руб.</t>
  </si>
  <si>
    <t>5.4. Ото, вен и кон воз, теп сет</t>
  </si>
  <si>
    <t>5.3. Сис вод</t>
  </si>
  <si>
    <t>5.2. Сис вод</t>
  </si>
  <si>
    <t>39% = 8 721 руб.</t>
  </si>
  <si>
    <t>5. Све об инж обо, о сет и сис инж обе</t>
  </si>
  <si>
    <t>13% * (1 + 0.3) = 3 779 руб.</t>
  </si>
  <si>
    <t>8% * (1 + 0.3) = 2 326 руб.</t>
  </si>
  <si>
    <t>3% * (1 + 0.3) = 872 руб.</t>
  </si>
  <si>
    <t>(1% + 3% * (1 + 0.3) + 8% * (1 + 0.3) + 13% * (1 + 0.3) + 5% * (1 + 0.3) + 5% * (1 + 0.3) + 5% * (1 + 0.3) + 5% * (1 + 0.3) + 3% * (1 + 0.3) + 7% * (1 + 0.3) + 20% * (1 + 0.3) + 5% + 9% + 5% + 1% + 6.168%) = 123.368%</t>
  </si>
  <si>
    <t xml:space="preserve">K2 = 1.3 (РПД 2-4,5.1-5.6,6)
Методика, 707/пр. Приложение 5, табл.5.1, п.2.3 (Усложняющий) </t>
  </si>
  <si>
    <t>K1 = 0.05
Методика, 707/пр. Приложение 6, табл.6.1, п.2.1 (Составной)</t>
  </si>
  <si>
    <t xml:space="preserve">Цена привязки повторно применяемой проектной документации с внесением изменений в подземную часть здания: фундаменты, кроме свайных, с изменением размеров </t>
  </si>
  <si>
    <t>Ктек = 1.27
Письмо Минстроя России от 08.04.2026 №20212-ИФ/09</t>
  </si>
  <si>
    <t xml:space="preserve">инд.2кв.2026г.к 01.01.2024 на пр.раб. </t>
  </si>
  <si>
    <t>(A + B * (0.4 * Xмин + 0.6 * Xзад)) * Количество * Ктек * Кст * (K1)
(824 900 руб. + 1 334 руб. * (0.4 * 50 + 0.6 * 36)) * 1 * 1.27 * 0.4 * (0.05) * 1.23368</t>
  </si>
  <si>
    <t>НЗ 11.17_0-3-3.12-18-1 НЗ №53/пр Строительство, реконструкция и капитальный ремонт объектов водоснабжения, водоотведения и водоочистки. 2025 г. Таблица 3.12. Сооружение очистки сточных вод, сооружение очистки воды для хозяйственно-бытовых целей, п.18
A = 824.9 тыс.руб; B = 1.334 тыс.руб;
Xмин = 50;
Xзад = 0.01*3600 = 36 (кубических метров/час);
Количество = 1</t>
  </si>
  <si>
    <t xml:space="preserve">Сооружение обеззараживания сточных вод. Производительность от 50 до 800 кубических метров/час включительно. </t>
  </si>
  <si>
    <t>9.5</t>
  </si>
  <si>
    <t>6.168% = 4 644 руб.</t>
  </si>
  <si>
    <t>1% = 753 руб.</t>
  </si>
  <si>
    <t>5% = 3 765 руб.</t>
  </si>
  <si>
    <t>9% = 6 776 руб.</t>
  </si>
  <si>
    <t>20% * (1 + 0.3) = 19 576 руб.</t>
  </si>
  <si>
    <t>7% * (1 + 0.3) [из  39%] = 6 852 руб.</t>
  </si>
  <si>
    <t>3% * (1 + 0.3) [из  39%] = 2 936 руб.</t>
  </si>
  <si>
    <t>5% * (1 + 0.3) [из  39%] = 4 894 руб.</t>
  </si>
  <si>
    <t>39% = 29 364 руб.</t>
  </si>
  <si>
    <t>13% * (1 + 0.3) = 12 724 руб.</t>
  </si>
  <si>
    <t>8% * (1 + 0.3) = 7 830 руб.</t>
  </si>
  <si>
    <t>3% * (1 + 0.3) = 2 936 руб.</t>
  </si>
  <si>
    <t>(A + B * Xзад) * Количество * Ктек * Кст * (K1)
(2 772 000 руб. + 222 492 руб. * 0.864) * 1 * 1.27 * 0.4 * (0.05) * 1.23368</t>
  </si>
  <si>
    <t>НЗ 11.17_0-3-3.12-4-1 НЗ №53/пр Строительство, реконструкция и капитальный ремонт объектов водоснабжения, водоотведения и водоочистки. 2025 г. Таблица 3.12. Сооружение очистки сточных вод, сооружение очистки воды для хозяйственно-бытовых целей, п.4
A = 2 772 тыс.руб; B = 222.492 тыс.руб;
Xзад = 0.01*3600*24/1000 = 0.864 (тысяч кубических метров/сутки);
Количество = 1</t>
  </si>
  <si>
    <t xml:space="preserve">Сооружение для очистки поверхностного стока селитебных территорий и площадок предприятий. Производительность от 0.1 до 1 тысяч кубических метров/сутки включительно. </t>
  </si>
  <si>
    <t>9.4</t>
  </si>
  <si>
    <t>5% = 488 руб.</t>
  </si>
  <si>
    <t>0.5% = 49 руб.</t>
  </si>
  <si>
    <t>9. Мер по обе соб тре эне эфф и тре осн зда, стр и соо при уче исп эне рес</t>
  </si>
  <si>
    <t>2% = 195 руб.</t>
  </si>
  <si>
    <t>7. Мер по обе пож без</t>
  </si>
  <si>
    <t>6. Мер по охр окр сре</t>
  </si>
  <si>
    <t>7% = 683 руб.</t>
  </si>
  <si>
    <t>2% [из  55%] = 195 руб.</t>
  </si>
  <si>
    <t>4.6. Сет свя</t>
  </si>
  <si>
    <t>6% [из  55%] = 585 руб.</t>
  </si>
  <si>
    <t>4.5. Авт</t>
  </si>
  <si>
    <t>8% [из  55%] = 780 руб.</t>
  </si>
  <si>
    <t>4.4. Сис эле</t>
  </si>
  <si>
    <t>18% [из  55%] = 1 755 руб.</t>
  </si>
  <si>
    <t>4.3. Сис вод и вод</t>
  </si>
  <si>
    <t>3% [из  55%] = 293 руб.</t>
  </si>
  <si>
    <t>4.2. Ото и вен</t>
  </si>
  <si>
    <t>4.1. Тех реш</t>
  </si>
  <si>
    <t>55% = 5 363 руб.</t>
  </si>
  <si>
    <t>22.5% = 2 194 руб.</t>
  </si>
  <si>
    <t>(0.5% + 2% + 22.5% + 18% + 3% + 18% + 8% + 6% + 2% + 7% + 5% + 2% + 0.5% + 0.5% + 5%) = 100%</t>
  </si>
  <si>
    <t>K2 = 0.05
Методика, 707/пр. Приложение 6, табл.6.1, п.2.1 (Составной)</t>
  </si>
  <si>
    <t>K1 = 0.9
Табл.2.2, п.1 (Ценообразующий)</t>
  </si>
  <si>
    <t xml:space="preserve">Проектирование на территории, свободной от существующих объектов капитального строительства, в том числе существующих подземных сетей инженерно-технического обеспечения определяется с корректирующим коэффициентом </t>
  </si>
  <si>
    <t>К'пон = 0.72
понижающий коэффициент, учитывающий разницу в трудоемкости работ по проектируемому объекту и объекту аналогу. (Методика 707/пр п.131(3)) (Ценообразующий)</t>
  </si>
  <si>
    <t>(A + B * (0.4 * Xмин + 0.6 * (Xмин / 2))) * Количество * Кпон * Ктек * Кст * K1 * (K2)
(331 400 руб. + 1 664 руб. * (0.4 * 100 + 0.6 * (100 / 2))) * 1 * 0.72 * 1.68 * 0.4 * 0.9 * (0.05)</t>
  </si>
  <si>
    <t>НЗ 11.03_0-3-3.7-2-1 НЗ №847/пр Строительство, реконструкция сетей инженерно-технического обеспечения и объектов инфраструктуры. 2023 г. Таблица 3.7. Насосные станции, п.2
A = 331.4 тыс.руб; B = 1.664 тыс.руб;
Xмин = 100;
Xзад = 0.01*3600 = 36 (куб.м./час);
Количество = 1</t>
  </si>
  <si>
    <t xml:space="preserve">Здание насосной станции на линейном сооружении сети водоотведения поверхностных сточных вод. Производительность от 100 до 200 куб.м./час включительно. </t>
  </si>
  <si>
    <t>9.3</t>
  </si>
  <si>
    <t>5.3. Кон при и авт</t>
  </si>
  <si>
    <t>5.2. Ото, вен и кон воз, теп сет</t>
  </si>
  <si>
    <t>(1% + 4% * (1 + 0.3) + 8% * (1 + 0.3) + 20% * (1 + 0.3) + 3% * (1 + 0.3) + 2% * (1 + 0.3) + 5% * (1 + 0.3) + 34% * (1 + 0.3) + 6% + 9% + 2% + 1% + 6.2%) = 124%</t>
  </si>
  <si>
    <t>K1 = 1.2
Табл.3.14.1, п.1.3 (Ценообразующий)</t>
  </si>
  <si>
    <t xml:space="preserve">Проектирование сооружений хвостохранилища, резервуара, иловой площадки, накопителя, пруда с учетом категорий сложности инженерно-геологических условий района строительства определяется с корректирующим коэффициентом: III  категория сложности </t>
  </si>
  <si>
    <t>НЗ 11.17_0-3-3.14-1 НЗ №53/пр Строительство, реконструкция и капитальный ремонт объектов водоснабжения, водоотведения и водоочистки. 2025 г. Таблица 3.14. Сооружения хвостохранилища, резервуара, иловой площадки, накопителя, пруда сооружения очистки сточных вод, сооружения очистки воды для хозяйственно-бытовых целей, п.1
A = 137.2 тыс. руб.B = 0.323 тыс. руб.;
Хзад = 1000 (кубический метр);
Количество = 1</t>
  </si>
  <si>
    <t>Сооружения резервуара-усреднителя, сооружения резервуара-накопители, аккумулирующего сооружения сточных вод, емкостью от 30 до 2000 кубических метров включительно</t>
  </si>
  <si>
    <t>2% = 4 616 руб.</t>
  </si>
  <si>
    <t>9.5% = 21 928 руб.</t>
  </si>
  <si>
    <t>7% = 16 157 руб.</t>
  </si>
  <si>
    <t>73% * (1 + 0.3) = 219 047 руб.</t>
  </si>
  <si>
    <t>3% * (1 + 0.3) = 9 002 руб.</t>
  </si>
  <si>
    <t>0.5% = 1 154 руб.</t>
  </si>
  <si>
    <t>K2 = 1.1
Табл.3.5.1, п.5 (Ценообразующий)</t>
  </si>
  <si>
    <t>НЗ 11.03_0-3-3.5-1-1 НЗ №847/пр Строительство, реконструкция сетей инженерно-технического обеспечения и объектов инфраструктуры. 2023 г. Таблица 3.5. Городские и внутриквартальные линейные сооружения сети водоотведения, п.1
A = 122.6 тыс.руб; B = 0.641 тыс.руб;
Xзад = 350 (п.м);
Количество = 1</t>
  </si>
  <si>
    <t>Водоотведение ливневых стоков</t>
  </si>
  <si>
    <t>Всего Водоотведение хозяйственно-бытовых стоков:</t>
  </si>
  <si>
    <t>8.4</t>
  </si>
  <si>
    <t>Итого Водоотведение хозяйственно-бытовых стоков:</t>
  </si>
  <si>
    <t>8.3</t>
  </si>
  <si>
    <t>2% = 442 руб.</t>
  </si>
  <si>
    <t>9.5% = 2 099 руб.</t>
  </si>
  <si>
    <t>7% = 1 547 руб.</t>
  </si>
  <si>
    <t>73% * (1 + 0.3) = 20 972 руб.</t>
  </si>
  <si>
    <t>3% * (1 + 0.3) = 862 руб.</t>
  </si>
  <si>
    <t>0.5% = 110 руб.</t>
  </si>
  <si>
    <t>K2 = 1.8, N1=2(кол-во камер)
Табл.3.5.1, п.10.2 (Ценообразующий)</t>
  </si>
  <si>
    <t xml:space="preserve">Проектирование нескольких повторяющихся камер на линейных сооружениях сети водоотведения с внесением изменений определяется с корректирующим коэффициентом к стоимости проектирования каждой последующей после первой камеры </t>
  </si>
  <si>
    <t>2% = 3 337 руб.</t>
  </si>
  <si>
    <t>9.5% = 15 851 руб.</t>
  </si>
  <si>
    <t>7% = 11 680 руб.</t>
  </si>
  <si>
    <t>73% * (1 + 0.3) = 158 343 руб.</t>
  </si>
  <si>
    <t>3% * (1 + 0.3) = 6 507 руб.</t>
  </si>
  <si>
    <t>0.5% = 834 руб.</t>
  </si>
  <si>
    <t>НЗ 11.03_0-3-3.5-1-1 НЗ №847/пр Строительство, реконструкция сетей инженерно-технического обеспечения и объектов инфраструктуры. 2023 г. Таблица 3.5. Городские и внутриквартальные линейные сооружения сети водоотведения, п.1
A = 122.6 тыс.руб; B = 0.641 тыс.руб;
Xзад = 200 (п.м);
Количество = 1</t>
  </si>
  <si>
    <t>Водоотведение хозяйственно-бытовых стоков</t>
  </si>
  <si>
    <t>7.9</t>
  </si>
  <si>
    <t>7.8</t>
  </si>
  <si>
    <t>5% = 581 руб.</t>
  </si>
  <si>
    <t>4.5% = 523 руб.</t>
  </si>
  <si>
    <t>85% * (1 + 0.3) = 12 831 руб.</t>
  </si>
  <si>
    <t>0.5% = 58 руб.</t>
  </si>
  <si>
    <t xml:space="preserve">K3 = 1.3 (РПД 2)
Методика, 707/пр. Приложение 5, табл.5.1, п.2.3 (Усложняющий) </t>
  </si>
  <si>
    <t>K2 = 1.6, N1=4(шт.)
Методика, 707/пр. Глава IX, п.152 (Ценообразующий)</t>
  </si>
  <si>
    <t xml:space="preserve">Для нескольких объектов цена привязки типовой или повторно применяемой проектной документации определяется по ценам Справочников с применением коэффициента К=1+(N1-1)*N2, где N1 - количество объектов (второй и последующие объекты проектируются повторно), N2-коэффициент привязки </t>
  </si>
  <si>
    <t>НЗ 11.03_0-3-3.4-5.1 НЗ №847/пр Строительство, реконструкция сетей инженерно-технического обеспечения и объектов инфраструктуры. 2023 г. Таблица 3.4. Городские и внутриквартальные линейные сооружения сети водоснабжения, п.5.1
A = 12 тыс.руб; 
Количество = 1 (узел)</t>
  </si>
  <si>
    <t>7.7</t>
  </si>
  <si>
    <t>2% = 1 362 руб.</t>
  </si>
  <si>
    <t>4.5% = 3 066 руб.</t>
  </si>
  <si>
    <t>86% * (1 + 0.3) = 76 163 руб.</t>
  </si>
  <si>
    <t>0.5% = 341 руб.</t>
  </si>
  <si>
    <t>НЗ 11.03_0-3-3.4-6 НЗ №847/пр Строительство, реконструкция сетей инженерно-технического обеспечения и объектов инфраструктуры. 2023 г. Таблица 3.4. Городские и внутриквартальные линейные сооружения сети водоснабжения, п.6
A = 70.4 тыс. руб.
Количество = 1 (узел)</t>
  </si>
  <si>
    <t>7.6</t>
  </si>
  <si>
    <t>5% = 5 182 руб.</t>
  </si>
  <si>
    <t>6% = 6 218 руб.</t>
  </si>
  <si>
    <t>4.5% = 4 664 руб.</t>
  </si>
  <si>
    <t>77% * (1 + 0.3) = 103 742 руб.</t>
  </si>
  <si>
    <t>2% * (1 + 0.3) = 2 695 руб.</t>
  </si>
  <si>
    <t>0.5% = 518 руб.</t>
  </si>
  <si>
    <t>K2 = 1.8, N1=5(шт.)
Методика, 707/пр. Глава IX, п.152 (Ценообразующий)</t>
  </si>
  <si>
    <t>7.5</t>
  </si>
  <si>
    <t>5% = 1 597 руб.</t>
  </si>
  <si>
    <t>6% = 1 916 руб.</t>
  </si>
  <si>
    <t>4.5% = 1 437 руб.</t>
  </si>
  <si>
    <t>77% * (1 + 0.3) = 31 965 руб.</t>
  </si>
  <si>
    <t>2% * (1 + 0.3) = 830 руб.</t>
  </si>
  <si>
    <t>0.5% = 160 руб.</t>
  </si>
  <si>
    <t>K2 = 0.9
Табл.2.2, п.1 (Ценообразующий)</t>
  </si>
  <si>
    <t>НЗ 11.03_0-3-3.12-1-1 НЗ №847/пр Строительство, реконструкция сетей инженерно-технического обеспечения и объектов инфраструктуры. 2023 г. Таблица 3.12. Сети инженерно-технического обеспечения способом закрытой прокладки, п.1
A = 297.7 тыс.руб; B = 2.29 тыс.руб;
Xмин = 100;
Xзад = 20 (п.м);
Количество = 1</t>
  </si>
  <si>
    <t>5% = 4 867 руб.</t>
  </si>
  <si>
    <t>7.5% = 7 301 руб.</t>
  </si>
  <si>
    <t>74% * (1 + 0.3) = 93 645 руб.</t>
  </si>
  <si>
    <t>3% * (1 + 0.3) = 3 796 руб.</t>
  </si>
  <si>
    <t>0.5% = 487 руб.</t>
  </si>
  <si>
    <t>K2 = 1.1
Табл.3.4.1, п.6 (Ценообразующий)</t>
  </si>
  <si>
    <t>НЗ 11.03_0-3-3.4-1-1 НЗ №847/пр Строительство, реконструкция сетей инженерно-технического обеспечения и объектов инфраструктуры. 2023 г. Таблица 3.4. Городские и внутриквартальные линейные сооружения сети водоснабжения, п.1
A = 30.8 тыс.руб; B = 0.608 тыс.руб;
Xзад = 190 (п.м);
Количество = 1</t>
  </si>
  <si>
    <t>5% = 2 562 руб.</t>
  </si>
  <si>
    <t>7.5% = 3 842 руб.</t>
  </si>
  <si>
    <t>74% * (1 + 0.3) = 49 285 руб.</t>
  </si>
  <si>
    <t>3% * (1 + 0.3) = 1 998 руб.</t>
  </si>
  <si>
    <t>0.5% = 256 руб.</t>
  </si>
  <si>
    <t>НЗ 11.03_0-3-3.4-1-1 НЗ №847/пр Строительство, реконструкция сетей инженерно-технического обеспечения и объектов инфраструктуры. 2023 г. Таблица 3.4. Городские и внутриквартальные линейные сооружения сети водоснабжения, п.1
A = 30.8 тыс.руб; B = 0.608 тыс.руб;
Xмин = 100;
Xзад = 60 (п.м);
Количество = 1</t>
  </si>
  <si>
    <t>9.852% = 63 318 руб.</t>
  </si>
  <si>
    <t>1% = 6 427 руб.</t>
  </si>
  <si>
    <t>6% = 38 561 руб.</t>
  </si>
  <si>
    <t>9% = 57 842 руб.</t>
  </si>
  <si>
    <t>3% = 19 281 руб.</t>
  </si>
  <si>
    <t>18% * (1 + 0.3) [из  66.3%] = 150 389 руб.</t>
  </si>
  <si>
    <t>1% * (1 + 0.3) [из  66.3%] = 8 355 руб.</t>
  </si>
  <si>
    <t>2% * (1 + 0.3) [из  66.3%] = 16 710 руб.</t>
  </si>
  <si>
    <t>10% * (1 + 0.3) [из  66.3%] = 83 550 руб.</t>
  </si>
  <si>
    <t>16% * (1 + 0.3) [из  66.3%] = 133 679 руб.</t>
  </si>
  <si>
    <t>66.3% = 426 103 руб.</t>
  </si>
  <si>
    <t>12% * (1 + 0.3) = 100 260 руб.</t>
  </si>
  <si>
    <t>6% * (1 + 0.3) = 50 130 руб.</t>
  </si>
  <si>
    <t>2% * (1 + 0.3) = 16 710 руб.</t>
  </si>
  <si>
    <t>2% = 12 854 руб.</t>
  </si>
  <si>
    <t>(A + B * Xзад) * Количество * Ктек * Кст
(25 980 руб. + 4 623 руб. * 41) * 1 * 7.1 * 0.42 * 1.23152</t>
  </si>
  <si>
    <t>СБЦП 81-02-02-2001_0-4-2-2 Объекты связи. 2010 г. Раздел 4. Таблица 2. Документальная электросвязь п.2
A = 25.98 тыс. руб.B = 4.623 тыс. руб.;
Хзад = 41 (1 канал);
Количество = 1</t>
  </si>
  <si>
    <t>6.247% = 4 275 руб.</t>
  </si>
  <si>
    <t>2% = 1 369 руб.</t>
  </si>
  <si>
    <t>7.5% = 5 132 руб.</t>
  </si>
  <si>
    <t>6% = 4 106 руб.</t>
  </si>
  <si>
    <t>76% * (1 + 0.3) = 67 612 руб.</t>
  </si>
  <si>
    <t>3% * (1 + 0.3) = 2 669 руб.</t>
  </si>
  <si>
    <t>0.5% = 342 руб.</t>
  </si>
  <si>
    <t>(0.5% + 3% * (1 + 0.3) + 76% * (1 + 0.3) + 6% + 7.5% + 2% + 6.247%) = 124.947%</t>
  </si>
  <si>
    <t>(A + B * Xзад) * Количество * Ктек * Кст * K1
(13 400 руб. + 399 руб. * 250) * 1 * 1.68 * 0.4 * 0.9 * 1.24947</t>
  </si>
  <si>
    <t>НЗ 11.03_0-3-3.1-1.1-1 НЗ №847/пр Строительство, реконструкция сетей инженерно-технического обеспечения и объектов инфраструктуры. 2023 г. Таблица 3.1. Линейные сооружения слаботочной сети, п.1.1
A = 13.4 тыс.руб; B = 0.399 тыс.руб;
Xзад = 250 (п.м);
Количество = 1</t>
  </si>
  <si>
    <t xml:space="preserve">Сооружение канализации линейных сооружений слаботочной сети. Сооружение канализации линейных сооружений слаботочной сети из труб диаметром до 125 мм, емкостью трубопровода до 2 отверстий включительно. Протяженность от 100 до 500 п.м включительно. </t>
  </si>
  <si>
    <t>6.232% = 13 858 руб.</t>
  </si>
  <si>
    <t>9. Сме на стр</t>
  </si>
  <si>
    <t>3% = 6 671 руб.</t>
  </si>
  <si>
    <t>9% = 20 013 руб.</t>
  </si>
  <si>
    <t>1% = 2 224 руб.</t>
  </si>
  <si>
    <t>6. Про орг раб по сно (дем)</t>
  </si>
  <si>
    <t>2% = 4 447 руб.</t>
  </si>
  <si>
    <t>6% * (1 + 0.3) = 17 345 руб.</t>
  </si>
  <si>
    <t>4. Зда и соо, вхо в инф объ</t>
  </si>
  <si>
    <t>1% * (1 + 0.3) [из  91%] = 2 891 руб.</t>
  </si>
  <si>
    <t>3.7. Свя, сиг, АСУ</t>
  </si>
  <si>
    <t>2% * (1 + 0.3) [из  91%] = 5 782 руб.</t>
  </si>
  <si>
    <t>3.6. Вод и вод</t>
  </si>
  <si>
    <t>15% * (1 + 0.3) [из  91%] = 43 363 руб.</t>
  </si>
  <si>
    <t>3.5. Эле</t>
  </si>
  <si>
    <t>3.4. Обу</t>
  </si>
  <si>
    <t>3.3. Иск соо</t>
  </si>
  <si>
    <t>27% * (1 + 0.3) [из  91%] = 78 053 руб.</t>
  </si>
  <si>
    <t>3.2. Кон реш</t>
  </si>
  <si>
    <t>22% * (1 + 0.3) [из  91%] = 63 598 руб.</t>
  </si>
  <si>
    <t>3.1. Тех реш</t>
  </si>
  <si>
    <t>91% = 202 359 руб.</t>
  </si>
  <si>
    <t>3. Тех и кон реш лин объ. Иск соо (инж обу, сет)</t>
  </si>
  <si>
    <t>2% * (1 + 0.3) = 5 782 руб.</t>
  </si>
  <si>
    <t>(2% + 2% * (1 + 0.3) + 22% * (1 + 0.3) + 27% * (1 + 0.3) + 1% * (1 + 0.3) + 2% * (1 + 0.3) + 15% * (1 + 0.3) + 2% * (1 + 0.3) + 1% * (1 + 0.3) + 6% * (1 + 0.3) + 2% + 1% + 9% + 3% + 6.232%) = 124.632%</t>
  </si>
  <si>
    <t xml:space="preserve">K1 = 1.3 (РПД 2,3.1-3.7,4)
Методика, 707/пр. Приложение 5, табл.5.1, п.2.3 (Усложняющий) </t>
  </si>
  <si>
    <t>Кст = 0.5</t>
  </si>
  <si>
    <t>(A + B * Xзад) * Количество * Ктек * Кст
(34 200 руб. + 790 руб. * 36) * 1 * 7.1 * 0.5 * 1.24632</t>
  </si>
  <si>
    <t>СБЦП 81-02-02-2001_0-4-24-10 Объекты связи. 2010 г. Раздел 4. Таблица 24. Локальные вычислительные сети, структурированные кабельные сети, п.10
A = 34.2 тыс.руб; B = 0.79 тыс.руб;
Xзад = 36 (1 узел);
Количество = 1</t>
  </si>
  <si>
    <t xml:space="preserve">Структурированная кабельная сеть. Число узлов свыше 25 до 50. </t>
  </si>
  <si>
    <t>100% * (1 + 0.3) = 19 648 руб.</t>
  </si>
  <si>
    <t>K1 = 0.7
Глава 1, п.10 (Ценообразующий)</t>
  </si>
  <si>
    <t xml:space="preserve">Стоимость проектирования систем связи и технологических систем с использованием кабельной системы проектируемой или существующей локальной вычислительной сети или структурированной кабельной сети здания определяется на основании параметров цены на проектные работы, приведенных в таблицах, с применением корректирующего коэффициента, если иное не указано в главе III НЗ </t>
  </si>
  <si>
    <t>Полный комплекс работ
(100%):
(A + B * (0.4 * Xмин + 0.6 * (Xмин / 2))) * Количество * Кпон * Ктек * Кст * K1
(14 000 руб. + 2 000 руб. * (0.4 * 25 + 0.6 * (25 / 2))) * 1 * 0.72 * 1.53 * 0.4 * 0.7 * 1.3</t>
  </si>
  <si>
    <t>НЗ 11.09_0-3-3.6-1-1 НЗ №907/пр Системы связи и технологические системы объектов капитального строительства непроизводственного назначения. 2023 г. Таблица 3.6. Внутриобъектовая сеть местной телефонной связи, телефонной сети с использованием протокола IP, п.1
A = 14 тыс.руб; B = 2 тыс.руб;
Xмин = 25;
Xзад = 9 (1 абонент);
Количество = 1</t>
  </si>
  <si>
    <t xml:space="preserve">Внутриобъектовая сеть местной телефонной связи, телефонная сеть с использованием протокола IP. от 25 до 50 абонентов включительно. </t>
  </si>
  <si>
    <t>5% = 3 289 руб.</t>
  </si>
  <si>
    <t>7.5% = 4 934 руб.</t>
  </si>
  <si>
    <t>79% * (1 + 0.3) = 67 565 руб.</t>
  </si>
  <si>
    <t>3% * (1 + 0.3) = 2 566 руб.</t>
  </si>
  <si>
    <t>0.5% = 329 руб.</t>
  </si>
  <si>
    <t>НЗ 11.03_0-3-3.1-2.1-1 НЗ №847/пр Строительство, реконструкция сетей инженерно-технического обеспечения и объектов инфраструктуры. 2023 г. Таблица 3.1. Линейные сооружения слаботочной сети, п.2.1
A = 61.8 тыс.руб; B = 0.095 тыс.руб;
Xзад = 380 (п.м);
Количество = 1</t>
  </si>
  <si>
    <t>2% = 1 817 руб.</t>
  </si>
  <si>
    <t>6% = 5 451 руб.</t>
  </si>
  <si>
    <t>78.5% * (1 + 0.3) = 92 717 руб.</t>
  </si>
  <si>
    <t>2% * (1 + 0.3) = 2 362 руб.</t>
  </si>
  <si>
    <t>0.5% = 454 руб.</t>
  </si>
  <si>
    <t>НЗ 11.03_0-3-3.1-2.3-2 НЗ №847/пр Строительство, реконструкция сетей инженерно-технического обеспечения и объектов инфраструктуры. 2023 г. Таблица 3.1. Линейные сооружения слаботочной сети, п.2.3
A = 61.6 тыс.руб; B = 0.092 тыс.руб;
Xзад = 800 (п.м);
Количество = 1</t>
  </si>
  <si>
    <t>5.5</t>
  </si>
  <si>
    <t>2% = 2 124 руб.</t>
  </si>
  <si>
    <t>7.5% = 7 963 руб.</t>
  </si>
  <si>
    <t>6% = 6 371 руб.</t>
  </si>
  <si>
    <t>76% * (1 + 0.3) = 104 902 руб.</t>
  </si>
  <si>
    <t>3% * (1 + 0.3) = 4 141 руб.</t>
  </si>
  <si>
    <t>0.5% = 531 руб.</t>
  </si>
  <si>
    <t>НЗ 11.03_0-3-3.11-1-2 НЗ №847/пр Строительство, реконструкция сетей инженерно-технического обеспечения и объектов инфраструктуры. 2023 г. Таблица 3.11. Сооружения кабельных линий электропередачи, п.1
A = 30.3 тыс.руб; B = 0.209 тыс.руб;
Xзад = 800 (п.м);
Количество = 1</t>
  </si>
  <si>
    <t>2% = 400 руб.</t>
  </si>
  <si>
    <t>3% = 599 руб.</t>
  </si>
  <si>
    <t>5% = 999 руб.</t>
  </si>
  <si>
    <t>2% * (1 + 0.3) [из  6.5%] = 519 руб.</t>
  </si>
  <si>
    <t>3% * (1 + 0.3) [из  6.5%] = 779 руб.</t>
  </si>
  <si>
    <t>6.5% = 1 298 руб.</t>
  </si>
  <si>
    <t>4% * (1 + 0.3) = 1 039 руб.</t>
  </si>
  <si>
    <t>11% * (1 + 0.3) = 2 857 руб.</t>
  </si>
  <si>
    <t>22% * (1 + 0.3) [из  80.6%] = 5 713 руб.</t>
  </si>
  <si>
    <t>23% * (1 + 0.3) [из  80.6%] = 5 973 руб.</t>
  </si>
  <si>
    <t>17% * (1 + 0.3) [из  80.6%] = 4 415 руб.</t>
  </si>
  <si>
    <t>80.6% = 16 100 руб.</t>
  </si>
  <si>
    <t>НЗ 11.11_0-3-3.4-1-3 НЗ №911/пр Объекты городской среды. 2023 г. Таблица 3.4. Озеленение застраиваемых территорий, п.1
A = 5 тыс.руб; B = 0.019 тыс.руб;
Xзад = 2600 (кв.м);
Количество = 1</t>
  </si>
  <si>
    <t>13.7% = 19 659 руб.</t>
  </si>
  <si>
    <t>20.4% * (1 + 0.3) = 38 055 руб.</t>
  </si>
  <si>
    <t>31.9% * (1 + 0.3) = 59 507 руб.</t>
  </si>
  <si>
    <t>7.9% * (1 + 0.3) = 14 737 руб.</t>
  </si>
  <si>
    <t>9.2% = 13 201 руб.</t>
  </si>
  <si>
    <t>НЗ 11.04_0-3-3.6-1-2 НЗ №828/пр Инженерно-техническая система антитеррористической защищенности объектов жилищно-гражданского назначения. 2023 г. Таблица 3.6. Средства инженерно-технической укрепленности (СИТУ), п.1
A = 75.9 тыс.руб; B = 0.6 тыс.руб;
Xзад = 460 (м);
Количество = 1</t>
  </si>
  <si>
    <t>НЗ 11.18_0-3-3.8-1.1 НЗ №51/пр Строительство, реконструкция и капитальный ремонт автомобильных дорог, их конструктивных элементов и сооружений на них. 2025 г. Таблица 3.8. Прочие объекты, п.1.1
A = 126.4 тыс.руб; B = 0.235 тыс.руб;
Xмин = 1000;
Xзад = 650 (квадратный метр);
Количество = 1</t>
  </si>
  <si>
    <t>12.4% = 483 224 руб.</t>
  </si>
  <si>
    <t>2% = 77 939 руб.</t>
  </si>
  <si>
    <t>5% = 194 849 руб.</t>
  </si>
  <si>
    <t>8% = 311 758 руб.</t>
  </si>
  <si>
    <t>25% * (1 + 0.3) [из  80.6%] = 1 266 516 руб.</t>
  </si>
  <si>
    <t>37% * (1 + 0.3) [из  80.6%] = 1 874 443 руб.</t>
  </si>
  <si>
    <t>80.6% = 3 140 959 руб.</t>
  </si>
  <si>
    <t>10% * (1 + 0.3) = 506 606 руб.</t>
  </si>
  <si>
    <t>3% = 116 909 руб.</t>
  </si>
  <si>
    <t>(3% + 10% * (1 + 0.3) + 37% * (1 + 0.3) + 25% * (1 + 0.3) + 8% + 5% + 2% + 12.4%) = 124%</t>
  </si>
  <si>
    <t xml:space="preserve">K1 = 1.3 (РПД 2,3.1-3.2)
Методика, 707/пр. Приложение 5, табл.5.1, п.2.3 (Усложняющий) </t>
  </si>
  <si>
    <t>(A + B * Xзад) * Количество * Ктек * Кст
(1 806 400 руб. + 15 204 руб. * 300) * 1 * 1.53 * 0.4 * 1.24</t>
  </si>
  <si>
    <t>НЗ 11.10_0-3-3.1-2.2 НЗ №912/пр Инженерная защита территорий, зданий и сооружений от опасных геологических процессов. 2023 г. Таблица 3.1. Противооползневые сооружения и мероприятия, п.2.2
A = 1 806.4 тыс.руб; B = 15.204 тыс.руб;
Xзад = 300 (м);
Количество = 1</t>
  </si>
  <si>
    <t xml:space="preserve">Подпорные и ограждающие стенки монолитные. высотой до 15 м, протяжённостью от 100 до 600 м включительно. </t>
  </si>
  <si>
    <t>СБЦП 81-02-16-2001_0-0-2-2.4 Искусственные сооружения. 2015 г. Таблица 2. Водопропускные трубы на железных и автомобильных дорогах, п.2.4
A = 5.61 тыс.руб; B = 0.24 тыс.руб;
Xзад = 40 (м);
Количество = 1</t>
  </si>
  <si>
    <t>Всего Блочно-модульные здания:</t>
  </si>
  <si>
    <t>Итого Блочно-модульные здания:</t>
  </si>
  <si>
    <t>11. Сме на стр, рек, кап рем объ кап стр</t>
  </si>
  <si>
    <t>10. Тре к обе без экс объ кап стр</t>
  </si>
  <si>
    <t>8. Пер мер по охр окр сре</t>
  </si>
  <si>
    <t>5.6. Авт</t>
  </si>
  <si>
    <t>5.4. Сис вод</t>
  </si>
  <si>
    <t>(1% + 5% * (1 + 0.3) + 9% * (1 + 0.3) + 8% * (1 + 0.3) + 13% * (1 + 0.3) + 21% * (1 + 0.3) + 3% * (1 + 0.3) + 3% * (1 + 0.3) + 2% * (1 + 0.3) + 2% * (1 + 0.3) + 3% * (1 + 0.3) + 7% * (1 + 0.3) + 5% * (1 + 0.3) + 5% + 2% + 3% + 2% + 7.551%) = 125.851%</t>
  </si>
  <si>
    <t>K1 = 0.12
Методика, 707/пр. Приложение 6, табл.6.1, п.3.1 (Составной)</t>
  </si>
  <si>
    <t xml:space="preserve">Цена привязки повторно применяемой проектной документации с внесением изменений в надземную часть здания: фасады без переработки проекта отопления </t>
  </si>
  <si>
    <t>НЗ 11.11_0-3-3.3-1 НЗ №911/пр Объекты городской среды. 2023 г. Таблица 3.3. Строительство отдельных зданий подсобного и обслуживающего назначения, п.1
A = 62.2 тыс. руб.B = 4.139 тыс. руб.;
Хзад = 38 (кв.м);
Количество = 1</t>
  </si>
  <si>
    <t>КПП, площадью от 20 до 200 кв.м включительно</t>
  </si>
  <si>
    <t>12. Сме на стр объ кап стр</t>
  </si>
  <si>
    <t>11. Мер по обе соб тре эне эфф и тре осн зда, стр и соо при уче исп эне рес</t>
  </si>
  <si>
    <t>10. Тре к обе без экс объ стр</t>
  </si>
  <si>
    <t>5.7. Кон</t>
  </si>
  <si>
    <t>5.4. Сис эле</t>
  </si>
  <si>
    <t>5.3. Сис вод и вод</t>
  </si>
  <si>
    <t>5.2. Ото и вен</t>
  </si>
  <si>
    <t>5.1. Тех реш</t>
  </si>
  <si>
    <t>(0.5% + 4% * (1 + 0.3) + 17.2% * (1 + 0.3) + 19.1% * (1 + 0.3) + 13.1% * (1 + 0.3) + 5.7% * (1 + 0.3) + 3.8% * (1 + 0.3) + 3.9% * (1 + 0.3) + 1.9% * (1 + 0.3) + 2.1% * (1 + 0.3) + 1.6% * (1 + 0.3) + 6.1% + 6% + 3.9% + 1% + 1% + 2% + 8.76%) = 123.38%</t>
  </si>
  <si>
    <t xml:space="preserve">K3 = 1.3 (РПД 2-4,5.1-5.7)
Методика, 707/пр. Приложение 5, табл.5.1, п.2.3 (Усложняющий) </t>
  </si>
  <si>
    <t>K2 = 0.12
Методика, 707/пр. Приложение 6, табл.6.1, п.3.1 (Составной)</t>
  </si>
  <si>
    <t>K1 = 0.8
Методика, 707/пр. Глава IX, п.170 (Ценообразующий)</t>
  </si>
  <si>
    <t xml:space="preserve">Стоимость подготовки проектной и рабочей документации зданий (сооружений) сблокированных с основным определяется по ценам МНЗ на проектные работы исходя из натурального показателя, установленного для сблокированного объекта, с корректирующим коэффициентом </t>
  </si>
  <si>
    <t>НЗ 11.02_0-3-3.13-1-1 НЗ №848/пр Объекты жилищно-гражданского назначения. 2023 г. Таблица 3.13. Объекты общественного питания, п.1
A = 320.6 тыс.руб; B = 15.335 тыс.руб;
Xмин = 75;
Xзад = 49 (посадочное место);
Количество = 1</t>
  </si>
  <si>
    <t xml:space="preserve">Здание столовой. Количество посадочных мест до 75 включительно. </t>
  </si>
  <si>
    <t>Реконструкция фасадов существующих блочно-модульных зданий</t>
  </si>
  <si>
    <t>(0.5% + 4% * (1 + 0.3) + 16.8% * (1 + 0.3) + 20.7% * (1 + 0.3) + 5.1% * (1 + 0.3) + 7.1% * (1 + 0.3) + 6.2% * (1 + 0.3) + 5.7% * (1 + 0.3) + 3.8% * (1 + 0.3) + 2.1% * (1 + 0.3) + 3.1% * (1 + 0.3) + 3.1% + 6% + 5.7% + 1% + 1% + 2% + 7.554%) = 123.834%</t>
  </si>
  <si>
    <t>K2 = 0.8
Методика, 707/пр. Глава IX, п.170 (Ценообразующий)</t>
  </si>
  <si>
    <t>K1 = 1.4, N1=3(шт.)
Методика, 707/пр. Глава IX, п.152 (Ценообразующий)</t>
  </si>
  <si>
    <t>К'пон = 0.42
понижающий коэффициент, учитывающий разницу в трудоемкости работ по проектируемому объекту и объекту аналогу. (Методика 707/пр п.131(3)) (Ценообразующий)</t>
  </si>
  <si>
    <t>НЗ 11.02_0-3-3.3-1-1 НЗ №848/пр Объекты жилищно-гражданского назначения. 2023 г. Таблица 3.3. Гостиницы и иные объекты для временного проживания, п.1
A = 1 229.8 тыс.руб; B = 1.422 тыс.руб;
Xмин = 2000;
Xзад = 1270/3 = 423.333333333 (кв.м);
Количество = 1</t>
  </si>
  <si>
    <t xml:space="preserve">Здание гостиницы. Площадь от 2000 до 4000 кв.м включительно. </t>
  </si>
  <si>
    <t>Блочно-модульные здания</t>
  </si>
  <si>
    <t xml:space="preserve">форма 2П, 707/пр
</t>
  </si>
  <si>
    <t>6.2% = 14 311 руб.</t>
  </si>
  <si>
    <t>(0.5% + 3% * (1 + 0.3) + 73% * (1 + 0.3) + 7% + 9.5% + 2% + 6.2%) = 124%</t>
  </si>
  <si>
    <t>(A + B * Xзад) * Количество * Ктек * Кст * K1 * K2
(122 600 руб. + 641 руб. * 350) * 1 * 1.68 * 0.4 * 0.9 * 1.1 * 1.24</t>
  </si>
  <si>
    <t>6.2% = 1 370 руб.</t>
  </si>
  <si>
    <t>A * Количество * Ктек * Кст * K1 * K2
20 300 руб. * 1 * 1.68 * 0.4 * 0.9 * 1.8 * 1.24</t>
  </si>
  <si>
    <t>6.2% = 10 345 руб.</t>
  </si>
  <si>
    <t>(A + B * Xзад) * Количество * Ктек * Кст * K1 * K2
(122 600 руб. + 641 руб. * 200) * 1 * 1.68 * 0.4 * 0.9 * 1.1 * 1.24</t>
  </si>
  <si>
    <t>6.342% = 736 руб.</t>
  </si>
  <si>
    <t>(0.5% + 85% * (1 + 0.3) + 4.5% + 5% + 6.342%) = 126.842%</t>
  </si>
  <si>
    <t>A * Количество * Ктек * Кст * K1 * K2
12 000 руб. * 1 * 1.68 * 0.4 * 0.9 * 1.6 * 1.26842</t>
  </si>
  <si>
    <t>6.358% = 4 331 руб.</t>
  </si>
  <si>
    <t>(0.5% + 86% * (1 + 0.3) + 4.5% + 2% + 2% + 6.358%) = 127.158%</t>
  </si>
  <si>
    <t>A * Количество * Ктек * Кст * K1 * K2
70 400 руб. * 1 * 1.68 * 0.4 * 0.9 * 1.6 * 1.27158</t>
  </si>
  <si>
    <t>6.247% = 6 474 руб.</t>
  </si>
  <si>
    <t>(0.5% + 2% * (1 + 0.3) + 77% * (1 + 0.3) + 4.5% + 6% + 5% + 6.247%) = 124.947%</t>
  </si>
  <si>
    <t>A * Количество * Ктек * Кст * K1 * K2
95 200 руб. * 1 * 1.68 * 0.4 * 0.9 * 1.8 * 1.24947</t>
  </si>
  <si>
    <t>6.247% = 1 995 руб.</t>
  </si>
  <si>
    <t>A * Количество * Ктек * Кст * K1
52 800 руб. * 1 * 1.68 * 0.4 * 0.9 * 1.24947</t>
  </si>
  <si>
    <t>6.232% = 7 596 руб.</t>
  </si>
  <si>
    <t>(0.5% + 3% * (1 + 0.3) + 75% * (1 + 0.3) + 7% + 7.5% + 2% + 6.232%) = 124.632%</t>
  </si>
  <si>
    <t>(A + B * (0.4 * Xмин + 0.6 * (Xмин / 2))) * Количество * Кпон * Ктек * Кст * K1 * K2
(297 700 руб. + 2 290 руб. * (0.4 * 100 + 0.6 * (100 / 2))) * 1 * 0.4 * 1.68 * 0.4 * 1.1 * 0.9 * 1.24632</t>
  </si>
  <si>
    <t>6.216% = 6 051 руб.</t>
  </si>
  <si>
    <t>(0.5% + 3% * (1 + 0.3) + 74% * (1 + 0.3) + 5% + 7.5% + 5% + 6.216%) = 124.316%</t>
  </si>
  <si>
    <t>(A + B * Xзад) * Количество * Ктек * Кст * K1 * K2
(30 800 руб. + 608 руб. * 190) * 1 * 1.68 * 0.4 * 0.9 * 1.1 * 1.24316</t>
  </si>
  <si>
    <t>6.216% = 3 185 руб.</t>
  </si>
  <si>
    <t>(A + B * (0.4 * Xмин + 0.6 * Xзад)) * Количество * Ктек * Кст * K1 * K2
(30 800 руб. + 608 руб. * (0.4 * 100 + 0.6 * 60)) * 1 * 1.68 * 0.4 * 0.9 * 1.1 * 1.24316</t>
  </si>
  <si>
    <t>6.295% = 4 141 руб.</t>
  </si>
  <si>
    <t>(0.5% + 3% * (1 + 0.3) + 79% * (1 + 0.3) + 7.5% + 5% + 6.295%) = 125.895%</t>
  </si>
  <si>
    <t>(A + B * Xзад) * Количество * Ктек * Кст
(61 800 руб. + 95 руб. * 380) * 1 * 1.68 * 0.4 * 1.25895</t>
  </si>
  <si>
    <t>6.271% = 5 697 руб.</t>
  </si>
  <si>
    <t>(0.5% + 2% * (1 + 0.3) + 78.5% * (1 + 0.3) + 6% + 6% + 2% + 6.271%) = 125.421%</t>
  </si>
  <si>
    <t>(A + B * Xзад) * Количество * Ктек * Кст
(61 600 руб. + 92 руб. * 800) * 1 * 1.68 * 0.4 * 1.25421</t>
  </si>
  <si>
    <t>6.247% = 6 633 руб.</t>
  </si>
  <si>
    <t>(A + B * Xзад) * Количество * Ктек * Кст * K1
(30 300 руб. + 209 руб. * 800) * 1 * 1.68 * 0.4 * 0.8 * 1.24947</t>
  </si>
  <si>
    <t>16.021% = 4 425 руб.</t>
  </si>
  <si>
    <t>(10.9% + 13% * (1 + 0.3) + 26.1% * (1 + 0.3) + 15.3% * (1 + 0.3) + 13% * (1 + 0.3) + 8.7% + 16.021%) = 123.241%</t>
  </si>
  <si>
    <t>A * Количество * Ктек * Кст
41 100 руб. * 1 * 1.68 * 0.4 * 1.23241</t>
  </si>
  <si>
    <t>7.57% = 1 512 руб.</t>
  </si>
  <si>
    <t>(2% + 17% * (1 + 0.3) + 23% * (1 + 0.3) + 22% * (1 + 0.3) + 11% * (1 + 0.3) + 4% * (1 + 0.3) + 3% * (1 + 0.3) + 2% * (1 + 0.3) + 5% + 3% + 2% + 7.57%) = 126.17%</t>
  </si>
  <si>
    <t>(A + B * Xзад) * Количество * Ктек * Кст * K1
(5 000 руб. + 19 руб. * 2600) * 1 * 1.53 * 0.4 * 0.6 * 1.2617</t>
  </si>
  <si>
    <t>20.573% = 29 521 руб.</t>
  </si>
  <si>
    <t>(9.2% + 7.9% * (1 + 0.3) + 31.9% * (1 + 0.3) + 20.4% * (1 + 0.3) + 13.7% + 20.573%) = 121.733%</t>
  </si>
  <si>
    <t>(A + B * Xзад) * Количество * Ктек * Кст * K1 * K2
(75 900 руб. + 600 руб. * 460) * 1 * 1.68 * 0.4 * 0.82 * 0.74 * 1.21733</t>
  </si>
  <si>
    <t>7.609% = 1 555 руб.</t>
  </si>
  <si>
    <t>(1% + 9% * (1 + 0.3) + 10% * (1 + 0.3) + 10% * (1 + 0.3) + 23% * (1 + 0.3) + 32% * (1 + 0.3) + 5% + 2% + 2% + 7.609%) = 126.809%</t>
  </si>
  <si>
    <t>A * Количество * Ктек * Кст
33 400 руб. * 1 * 1.53 * 0.4 * 1.26809</t>
  </si>
  <si>
    <t>13.67% = 23 547 руб.</t>
  </si>
  <si>
    <t>(2% + 14% * (1 + 0.3) + 58% * (1 + 0.3) + 9% + 5% + 1% + 13.67%) = 124.27%</t>
  </si>
  <si>
    <t>(A + B * (0.4 * Xмин + 0.6 * Xзад)) * Количество * Ктек * Кст
(126 400 руб. + 235 руб. * (0.4 * 1000 + 0.6 * 650)) * 1 * 1.38 * 0.4 * 1.2427</t>
  </si>
  <si>
    <t>13.67% = 42 402 руб.</t>
  </si>
  <si>
    <t>(2% + 7% * (1 + 0.3) + 7% * (1 + 0.3) + 29% * (1 + 0.3) + 8% * (1 + 0.3) + 8% * (1 + 0.3) + 13% * (1 + 0.3) + 9% + 5% + 1% + 13.67%) = 124.27%</t>
  </si>
  <si>
    <t>A * Количество * Ктек * Кст * K1
520 300 руб. * 1 * 1.38 * 0.4 * 1.08 * 1.2427</t>
  </si>
  <si>
    <t>15.869% = 66 803 руб.</t>
  </si>
  <si>
    <t>(2% + 8% * (1 + 0.3) + 4% * (1 + 0.3) + 26% * (1 + 0.3) + 4% * (1 + 0.3) + 8% * (1 + 0.3) + 14% * (1 + 0.3) + 11% + 9% + 1% + 15.869%) = 122.069%</t>
  </si>
  <si>
    <t>A * Количество * Ктек * Кст * K1
1 622 600 руб. * 1 * 1.38 * 0.4 * 0.47 * 1.22069</t>
  </si>
  <si>
    <t>12.367% = 44 591 руб.</t>
  </si>
  <si>
    <t>(3% + 10% * (1 + 0.3) + 37% * (1 + 0.3) + 24% * (1 + 0.3) + 9% + 5% + 2% + 12.367%) = 123.667%</t>
  </si>
  <si>
    <t>(A + B * Xзад) * Количество * Ктек * Кст * (K1)
(317 900 руб. + 26 279 руб. * 100) * 1 * 1.53 * 0.4 * (0.2) * 1.23667</t>
  </si>
  <si>
    <t>13.336% = 4 897 руб.</t>
  </si>
  <si>
    <t>(63% * (1 + 0.3) + 26% + 13.336%) = 121.236%</t>
  </si>
  <si>
    <t>(A + B * Xзад) * Количество * Ктек * Кст
(5 610 руб. + 240 руб. * 40) * 1 * 7.1 * 0.34 * 1.21236</t>
  </si>
  <si>
    <t>Коэф-т-делитель 7.1 от п.12
21 148 449 руб. / 7.1</t>
  </si>
  <si>
    <t>100% * (1 + 0.3) = 181 277 руб.</t>
  </si>
  <si>
    <t>Кст = 0.6</t>
  </si>
  <si>
    <t>Стадия: Рабочая документация</t>
  </si>
  <si>
    <t>Полный комплекс работ
(100%):
(A + B * Xзад) * Количество * Ктек * Кст
(20 500 руб. + 3 650 руб. * 36) * 1 * 1.53 * 0.6 * 1.3</t>
  </si>
  <si>
    <t>10.113% = 58 руб.</t>
  </si>
  <si>
    <t>1% = 6 руб.</t>
  </si>
  <si>
    <t>6. Мер по обе дос инв</t>
  </si>
  <si>
    <t>10% = 57 руб.</t>
  </si>
  <si>
    <t>20% * (1 + 0.3) [из  74.1%] = 148 руб.</t>
  </si>
  <si>
    <t>4.7. Тех реш</t>
  </si>
  <si>
    <t>1% * (1 + 0.3) [из  74.1%] = 7 руб.</t>
  </si>
  <si>
    <t>4.6. Газ</t>
  </si>
  <si>
    <t>2% * (1 + 0.3) [из  74.1%] = 15 руб.</t>
  </si>
  <si>
    <t>4.5. Свя</t>
  </si>
  <si>
    <t>11% * (1 + 0.3) [из  74.1%] = 82 руб.</t>
  </si>
  <si>
    <t>4.4. Ото, вен, кон воз</t>
  </si>
  <si>
    <t>3% * (1 + 0.3) [из  74.1%] = 22 руб.</t>
  </si>
  <si>
    <t>4.3. Вод</t>
  </si>
  <si>
    <t>4.2. Вод</t>
  </si>
  <si>
    <t>17% * (1 + 0.3) [из  74.1%] = 126 руб.</t>
  </si>
  <si>
    <t>4.1. Эле</t>
  </si>
  <si>
    <t>74.1% = 423 руб.</t>
  </si>
  <si>
    <t>4. Инж обо, сет, инж мер, тех реш</t>
  </si>
  <si>
    <t>16% * (1 + 0.3) = 119 руб.</t>
  </si>
  <si>
    <t>6% * (1 + 0.3) = 44 руб.</t>
  </si>
  <si>
    <t>2. Арх реш</t>
  </si>
  <si>
    <t>2% * (1 + 0.3) = 15 руб.</t>
  </si>
  <si>
    <t>1. Схе пла орг зем уча</t>
  </si>
  <si>
    <t>(2% * (1 + 0.3) + 6% * (1 + 0.3) + 16% * (1 + 0.3) + 17% * (1 + 0.3) + 3% * (1 + 0.3) + 3% * (1 + 0.3) + 11% * (1 + 0.3) + 2% * (1 + 0.3) + 1% * (1 + 0.3) + 20% * (1 + 0.3) + 10% + 1% + 10.113%) = 126.413%</t>
  </si>
  <si>
    <t xml:space="preserve">K1 = 1.3 (РПД 1-3,4.1-4.7)
Методика, 707/пр. Приложение 5, табл.5.1, п.2.3 (Усложняющий) </t>
  </si>
  <si>
    <t>Кст = 0.52</t>
  </si>
  <si>
    <t>СОДС</t>
  </si>
  <si>
    <t>(A + B * (0.4 * Xмин + 0.6 * (Xмин / 2))) * Количество * Кпон * Ктек * Кст
(1 020 руб. + 15 руб. * (0.4 * 50 + 0.6 * (50 / 2))) * 1 * 0.1 * 7.1 * 0.52 * 1.26413</t>
  </si>
  <si>
    <t>10.113% = 160 990 руб.</t>
  </si>
  <si>
    <t>1% = 15 919 руб.</t>
  </si>
  <si>
    <t>10% = 159 191 руб.</t>
  </si>
  <si>
    <t>20% * (1 + 0.3) [из  74.1%] = 413 897 руб.</t>
  </si>
  <si>
    <t>1% * (1 + 0.3) [из  74.1%] = 20 695 руб.</t>
  </si>
  <si>
    <t>2% * (1 + 0.3) [из  74.1%] = 41 390 руб.</t>
  </si>
  <si>
    <t>11% * (1 + 0.3) [из  74.1%] = 227 643 руб.</t>
  </si>
  <si>
    <t>3% * (1 + 0.3) [из  74.1%] = 62 085 руб.</t>
  </si>
  <si>
    <t>17% * (1 + 0.3) [из  74.1%] = 351 812 руб.</t>
  </si>
  <si>
    <t>74.1% = 1 179 607 руб.</t>
  </si>
  <si>
    <t>16% * (1 + 0.3) = 331 118 руб.</t>
  </si>
  <si>
    <t>6% * (1 + 0.3) = 124 169 руб.</t>
  </si>
  <si>
    <t>2% * (1 + 0.3) = 41 390 руб.</t>
  </si>
  <si>
    <t>Кст = 0.58</t>
  </si>
  <si>
    <t>(A + B * Xзад) * Количество * Ктек * Кст
(25 980 руб. + 4 623 руб. * 78) * 1 * 7.1 * 0.58 * 1.26413</t>
  </si>
  <si>
    <t>16.9% = 21 426 руб.</t>
  </si>
  <si>
    <t>4. Сме на стр</t>
  </si>
  <si>
    <t>9% * (1 + 0.3) [из  23.4%] = 14 833 руб.</t>
  </si>
  <si>
    <t>3.2. Авт</t>
  </si>
  <si>
    <t>3.1. Сис эле</t>
  </si>
  <si>
    <t>23.4% = 29 666 руб.</t>
  </si>
  <si>
    <t>3. Све об инж обо, о сет инж обе, пер инж мер, сод тех реш</t>
  </si>
  <si>
    <t>57% * (1 + 0.3) = 93 943 руб.</t>
  </si>
  <si>
    <t>2. Тех реш</t>
  </si>
  <si>
    <t>12% * (1 + 0.3) = 19 777 руб.</t>
  </si>
  <si>
    <t>1. Кон и объ реш</t>
  </si>
  <si>
    <t>(12% * (1 + 0.3) + 57% * (1 + 0.3) + 9% * (1 + 0.3) + 9% * (1 + 0.3) + 16.9%) = 130%</t>
  </si>
  <si>
    <t xml:space="preserve">K1 = 1.3 (РПД 1-2,3.1-3.2)
Методика, 707/пр. Приложение 5, табл.5.1, п.2.3 (Усложняющий) </t>
  </si>
  <si>
    <t>(A + B * Xзад) * Количество * Ктек * Кст
(72 300 руб. + 24 руб. * 2228) * 1 * 1.68 * 0.6 * 1.3</t>
  </si>
  <si>
    <t>16.9% = 7 189 руб.</t>
  </si>
  <si>
    <t>12% * (1 + 0.3) [из  15.6%] = 6 636 руб.</t>
  </si>
  <si>
    <t>15.6% = 6 636 руб.</t>
  </si>
  <si>
    <t>57% * (1 + 0.3) = 31 520 руб.</t>
  </si>
  <si>
    <t>18% * (1 + 0.3) = 9 954 руб.</t>
  </si>
  <si>
    <t>(18% * (1 + 0.3) + 57% * (1 + 0.3) + 12% * (1 + 0.3) + 16.9%) = 130%</t>
  </si>
  <si>
    <t xml:space="preserve">K2 = 1.3 (РПД 1-2,3.1)
Методика, 707/пр. Приложение 5, табл.5.1, п.2.3 (Усложняющий) </t>
  </si>
  <si>
    <t>A * Количество * Ктек * Кст * K1
21 100 руб. * 1 * 1.68 * 0.6 * 2 * 1.3</t>
  </si>
  <si>
    <t>14.95% = 41 305 руб.</t>
  </si>
  <si>
    <t>9% * (1 + 0.3) [из  23.4%] = 32 326 руб.</t>
  </si>
  <si>
    <t>23.4% = 64 652 руб.</t>
  </si>
  <si>
    <t>54.5% * (1 + 0.3) = 195 751 руб.</t>
  </si>
  <si>
    <t>16% * (1 + 0.3) = 57 468 руб.</t>
  </si>
  <si>
    <t>(16% * (1 + 0.3) + 54.5% * (1 + 0.3) + 9% * (1 + 0.3) + 9% * (1 + 0.3) + 14.95%) = 130%</t>
  </si>
  <si>
    <t>(A + B * Xзад) * Количество * Ктек * Кст
(109 200 руб. + 5 153 руб. * 32) * 1 * 1.68 * 0.6 * 1.3</t>
  </si>
  <si>
    <t>11.7% = 46 502 руб.</t>
  </si>
  <si>
    <t>9% * (1 + 0.3) [из  23.4%] = 46 502 руб.</t>
  </si>
  <si>
    <t>23.4% = 93 004 руб.</t>
  </si>
  <si>
    <t>55% * (1 + 0.3) = 284 180 руб.</t>
  </si>
  <si>
    <t>18% * (1 + 0.3) = 93 004 руб.</t>
  </si>
  <si>
    <t>(18% * (1 + 0.3) + 55% * (1 + 0.3) + 9% * (1 + 0.3) + 9% * (1 + 0.3) + 11.7%) = 130%</t>
  </si>
  <si>
    <t>(A + B * Xзад) * Количество * Ктек * Кст
(110 100 руб. + 7 105 руб. * 40) * 1 * 1.68 * 0.6 * 1.3</t>
  </si>
  <si>
    <t>16.9% = 41 535 руб.</t>
  </si>
  <si>
    <t>9% * (1 + 0.3) [из  23.4%] = 28 755 руб.</t>
  </si>
  <si>
    <t>23.4% = 57 510 руб.</t>
  </si>
  <si>
    <t>51% * (1 + 0.3) = 162 946 руб.</t>
  </si>
  <si>
    <t>18% * (1 + 0.3) = 57 510 руб.</t>
  </si>
  <si>
    <t>(18% * (1 + 0.3) + 51% * (1 + 0.3) + 9% * (1 + 0.3) + 9% * (1 + 0.3) + 16.9%) = 130%</t>
  </si>
  <si>
    <t>(A + B * Xзад) * Количество * Ктек * Кст
(104 500 руб. + 15 480 руб. * 9) * 1 * 1.68 * 0.6 * 1.3</t>
  </si>
  <si>
    <t>9.1% = 3 052 руб.</t>
  </si>
  <si>
    <t>6. Сме на стр, рек, кап рем, сно объ кап стр</t>
  </si>
  <si>
    <t>25% * (1 + 0.3) = 10 901 руб.</t>
  </si>
  <si>
    <t>5. Тех реш</t>
  </si>
  <si>
    <t>8% * (1 + 0.3) [из  46.8%] = 3 488 руб.</t>
  </si>
  <si>
    <t>4.6. Кон при и авт</t>
  </si>
  <si>
    <t>4% * (1 + 0.3) [из  46.8%] = 1 744 руб.</t>
  </si>
  <si>
    <t>4.5. Сет свя</t>
  </si>
  <si>
    <t>6% * (1 + 0.3) [из  46.8%] = 2 616 руб.</t>
  </si>
  <si>
    <t>4.4. Ото, вен и кон воз, теп сет</t>
  </si>
  <si>
    <t>4.3. Сис вод</t>
  </si>
  <si>
    <t>4.2. Сис вод</t>
  </si>
  <si>
    <t>46.8% = 15 698 руб.</t>
  </si>
  <si>
    <t>4. Све об инж обо, о сет и сис инж обе</t>
  </si>
  <si>
    <t>18% * (1 + 0.3) = 7 849 руб.</t>
  </si>
  <si>
    <t>3. Кон реш</t>
  </si>
  <si>
    <t>10% * (1 + 0.3) = 4 361 руб.</t>
  </si>
  <si>
    <t>2. Объ и арх реш</t>
  </si>
  <si>
    <t>4% * (1 + 0.3) = 1 744 руб.</t>
  </si>
  <si>
    <t>(4% * (1 + 0.3) + 10% * (1 + 0.3) + 18% * (1 + 0.3) + 6% * (1 + 0.3) + 6% * (1 + 0.3) + 6% * (1 + 0.3) + 6% * (1 + 0.3) + 4% * (1 + 0.3) + 8% * (1 + 0.3) + 25% * (1 + 0.3) + 9.1%) = 130%</t>
  </si>
  <si>
    <t xml:space="preserve">K2 = 1.3 (РПД 1-3,4.1-4.6,5)
Методика, 707/пр. Приложение 5, табл.5.1, п.2.3 (Усложняющий) </t>
  </si>
  <si>
    <t>Узел ультрафиолетового обеззараживания (УФО) сточных вод 10 л/с</t>
  </si>
  <si>
    <t>(A + B * (0.4 * Xмин + 0.6 * Xзад)) * Количество * Ктек * Кст * (K1)
(824 900 руб. + 1 334 руб. * (0.4 * 50 + 0.6 * 36)) * 1 * 1.27 * 0.6 * (0.05) * 1.3</t>
  </si>
  <si>
    <t>9.1% = 10 277 руб.</t>
  </si>
  <si>
    <t>25% * (1 + 0.3) = 36 705 руб.</t>
  </si>
  <si>
    <t>8% * (1 + 0.3) [из  46.8%] = 11 745 руб.</t>
  </si>
  <si>
    <t>4% * (1 + 0.3) [из  46.8%] = 5 873 руб.</t>
  </si>
  <si>
    <t>6% * (1 + 0.3) [из  46.8%] = 8 809 руб.</t>
  </si>
  <si>
    <t>46.8% = 52 855 руб.</t>
  </si>
  <si>
    <t>18% * (1 + 0.3) = 26 427 руб.</t>
  </si>
  <si>
    <t>10% * (1 + 0.3) = 14 682 руб.</t>
  </si>
  <si>
    <t>4% * (1 + 0.3) = 5 873 руб.</t>
  </si>
  <si>
    <t>ЛОС ливневой канализации производительностью 10 л/с</t>
  </si>
  <si>
    <t>(A + B * Xзад) * Количество * Ктек * Кст * (K1)
(2 772 000 руб. + 222 492 руб. * 0.864) * 1 * 1.27 * 0.6 * (0.05) * 1.3</t>
  </si>
  <si>
    <t>6.429% = 940 руб.</t>
  </si>
  <si>
    <t>4% = 585 руб.</t>
  </si>
  <si>
    <t>3% * (1 + 0.3) [из  78%] = 570 руб.</t>
  </si>
  <si>
    <t>10% * (1 + 0.3) [из  78%] = 1 902 руб.</t>
  </si>
  <si>
    <t>9% * (1 + 0.3) [из  78%] = 1 711 руб.</t>
  </si>
  <si>
    <t>17% * (1 + 0.3) [из  78%] = 3 233 руб.</t>
  </si>
  <si>
    <t>4% * (1 + 0.3) [из  78%] = 761 руб.</t>
  </si>
  <si>
    <t>78% = 11 409 руб.</t>
  </si>
  <si>
    <t>29.5% * (1 + 0.3) = 5 610 руб.</t>
  </si>
  <si>
    <t>1% * (1 + 0.3) = 190 руб.</t>
  </si>
  <si>
    <t>0.5% = 73 руб.</t>
  </si>
  <si>
    <t>(0.5% + 1% * (1 + 0.3) + 29.5% * (1 + 0.3) + 17% * (1 + 0.3) + 4% * (1 + 0.3) + 17% * (1 + 0.3) + 9% * (1 + 0.3) + 10% * (1 + 0.3) + 3% * (1 + 0.3) + 4% + 6.429%) = 128.579%</t>
  </si>
  <si>
    <t xml:space="preserve">K3 = 1.3 (РПД 2-3,4.1-4.6)
Методика, 707/пр. Приложение 5, табл.5.1, п.2.3 (Усложняющий) </t>
  </si>
  <si>
    <t>Устройство канализационной насосной станции (КНС) сточных вод Q=10 л/с в стеклопластиковом колодце Д2,0 м, Н=8,0 м на железобетонной плите</t>
  </si>
  <si>
    <t>(A + B * (0.4 * Xмин + 0.6 * (Xмин / 2))) * Количество * Кпон * Ктек * Кст * K1 * (K2)
(331 400 руб. + 1 664 руб. * (0.4 * 100 + 0.6 * (100 / 2))) * 1 * 0.72 * 1.68 * 0.6 * 0.9 * (0.05) * 1.28579</t>
  </si>
  <si>
    <t>9.1% = 38 293 руб.</t>
  </si>
  <si>
    <t>39% * (1 + 0.3) = 213 349 руб.</t>
  </si>
  <si>
    <t>6% * (1 + 0.3) [из  16.9%] = 32 823 руб.</t>
  </si>
  <si>
    <t>4.3. Кон при и авт</t>
  </si>
  <si>
    <t>3% * (1 + 0.3) [из  16.9%] = 16 411 руб.</t>
  </si>
  <si>
    <t>4.2. Ото, вен и кон воз, теп сет</t>
  </si>
  <si>
    <t>4% * (1 + 0.3) [из  16.9%] = 21 882 руб.</t>
  </si>
  <si>
    <t>16.9% = 71 116 руб.</t>
  </si>
  <si>
    <t>26% * (1 + 0.3) = 142 233 руб.</t>
  </si>
  <si>
    <t>10% * (1 + 0.3) = 54 705 руб.</t>
  </si>
  <si>
    <t>5% * (1 + 0.3) = 27 352 руб.</t>
  </si>
  <si>
    <t>(5% * (1 + 0.3) + 10% * (1 + 0.3) + 26% * (1 + 0.3) + 4% * (1 + 0.3) + 3% * (1 + 0.3) + 6% * (1 + 0.3) + 39% * (1 + 0.3) + 9.1%) = 130%</t>
  </si>
  <si>
    <t xml:space="preserve">K2 = 1.3 (РПД 1-3,4.1-4.3,5)
Методика, 707/пр. Приложение 5, табл.5.1, п.2.3 (Усложняющий) </t>
  </si>
  <si>
    <t>Устройство монолитного железобетонного аккумулирующего резервуара V=1000м3, 16х15х5 (h) м</t>
  </si>
  <si>
    <t>(A + B * Xзад) * Количество * Ктек * Кст * K1
(137 200 руб. + 323 руб. * 1000) * 1 * 1.27 * 0.6 * 1.2 * 1.3</t>
  </si>
  <si>
    <t>6.405% = 22 176 руб.</t>
  </si>
  <si>
    <t>5.5% = 19 043 руб.</t>
  </si>
  <si>
    <t>86.5% * (1 + 0.3) = 389 334 руб.</t>
  </si>
  <si>
    <t>2.5% * (1 + 0.3) = 11 252 руб.</t>
  </si>
  <si>
    <t>0.5% = 1 731 руб.</t>
  </si>
  <si>
    <t>(0.5% + 2.5% * (1 + 0.3) + 86.5% * (1 + 0.3) + 5.5% + 6.405%) = 128.105%</t>
  </si>
  <si>
    <t>Трубопровод КОРСИС DN300, глубина прокладки 2,5 м</t>
  </si>
  <si>
    <t>(A + B * Xзад) * Количество * Ктек * Кст * K1 * K2
(122 600 руб. + 641 руб. * 350) * 1 * 1.68 * 0.6 * 0.9 * 1.1 * 1.28105</t>
  </si>
  <si>
    <t>6.405% = 2 123 руб.</t>
  </si>
  <si>
    <t>5.5% = 1 823 руб.</t>
  </si>
  <si>
    <t>86.5% * (1 + 0.3) = 37 276 руб.</t>
  </si>
  <si>
    <t>2.5% * (1 + 0.3) = 1 077 руб.</t>
  </si>
  <si>
    <t>0.5% = 166 руб.</t>
  </si>
  <si>
    <t>A * Количество * Ктек * Кст * K1 * K2
20 300 руб. * 1 * 1.68 * 0.6 * 0.9 * 1.8 * 1.28105</t>
  </si>
  <si>
    <t>6.405% = 16 030 руб.</t>
  </si>
  <si>
    <t>5.5% = 13 765 руб.</t>
  </si>
  <si>
    <t>86.5% * (1 + 0.3) = 281 438 руб.</t>
  </si>
  <si>
    <t>2.5% * (1 + 0.3) = 8 134 руб.</t>
  </si>
  <si>
    <t>0.5% = 1 251 руб.</t>
  </si>
  <si>
    <t>(A + B * Xзад) * Количество * Ктек * Кст * K1 * K2
(122 600 руб. + 641 руб. * 200) * 1 * 1.68 * 0.6 * 0.9 * 1.1 * 1.28105</t>
  </si>
  <si>
    <t>6.413% = 1 117 руб.</t>
  </si>
  <si>
    <t>5% = 871 руб.</t>
  </si>
  <si>
    <t>89.5% * (1 + 0.3) = 20 266 руб.</t>
  </si>
  <si>
    <t>0.5% = 87 руб.</t>
  </si>
  <si>
    <t>(0.5% + 89.5% * (1 + 0.3) + 5% + 6.413%) = 128.263%</t>
  </si>
  <si>
    <t>A * Количество * Ктек * Кст * K1 * K2
12 000 руб. * 1 * 1.68 * 0.6 * 0.9 * 1.6 * 1.28263</t>
  </si>
  <si>
    <t>6.413% = 6 553 руб.</t>
  </si>
  <si>
    <t>5% = 5 109 руб.</t>
  </si>
  <si>
    <t>89.5% * (1 + 0.3) = 118 895 руб.</t>
  </si>
  <si>
    <t>0.5% = 511 руб.</t>
  </si>
  <si>
    <t>A * Количество * Ктек * Кст * K1 * K2
70 400 руб. * 1 * 1.68 * 0.6 * 0.9 * 1.6 * 1.28263</t>
  </si>
  <si>
    <t>6.413% = 9 970 руб.</t>
  </si>
  <si>
    <t>5% = 7 773 руб.</t>
  </si>
  <si>
    <t>87.5% * (1 + 0.3) = 176 833 руб.</t>
  </si>
  <si>
    <t>2% * (1 + 0.3) = 4 042 руб.</t>
  </si>
  <si>
    <t>0.5% = 777 руб.</t>
  </si>
  <si>
    <t>(0.5% + 2% * (1 + 0.3) + 87.5% * (1 + 0.3) + 5% + 6.413%) = 128.263%</t>
  </si>
  <si>
    <t>Устройство водопроводных ж/б круглых колодцев Д1,5 м, Н=3,0 м (для гидрантов и задвижек)</t>
  </si>
  <si>
    <t>A * Количество * Ктек * Кст * K1 * K2
95 200 руб. * 1 * 1.68 * 0.6 * 0.9 * 1.8 * 1.28263</t>
  </si>
  <si>
    <t>6.413% = 3 072 руб.</t>
  </si>
  <si>
    <t>5% = 2 395 руб.</t>
  </si>
  <si>
    <t>87.5% * (1 + 0.3) = 54 486 руб.</t>
  </si>
  <si>
    <t>2% * (1 + 0.3) = 1 245 руб.</t>
  </si>
  <si>
    <t>0.5% = 240 руб.</t>
  </si>
  <si>
    <t>A * Количество * Ктек * Кст * K1
52 800 руб. * 1 * 1.68 * 0.6 * 0.9 * 1.28263</t>
  </si>
  <si>
    <t>6.405% = 11 710 руб.</t>
  </si>
  <si>
    <t>5.5% = 10 055 руб.</t>
  </si>
  <si>
    <t>86.5% * (1 + 0.3) = 205 580 руб.</t>
  </si>
  <si>
    <t>2.5% * (1 + 0.3) = 5 942 руб.</t>
  </si>
  <si>
    <t>0.5% = 914 руб.</t>
  </si>
  <si>
    <t>(A + B * (0.4 * Xмин + 0.6 * (Xмин / 2))) * Количество * Кпон * Ктек * Кст * K1 * K2
(297 700 руб. + 2 290 руб. * (0.4 * 100 + 0.6 * (100 / 2))) * 1 * 0.4 * 1.68 * 0.6 * 1.1 * 0.9 * 1.28105</t>
  </si>
  <si>
    <t>6.413% = 9 364 руб.</t>
  </si>
  <si>
    <t>5% = 7 301 руб.</t>
  </si>
  <si>
    <t>87.5% * (1 + 0.3) = 166 093 руб.</t>
  </si>
  <si>
    <t>2% * (1 + 0.3) = 3 796 руб.</t>
  </si>
  <si>
    <t>0.5% = 730 руб.</t>
  </si>
  <si>
    <t>(A + B * Xзад) * Количество * Ктек * Кст * K1 * K2
(30 800 руб. + 608 руб. * 190) * 1 * 1.68 * 0.6 * 0.9 * 1.1 * 1.28263</t>
  </si>
  <si>
    <t>6.413% = 4 928 руб.</t>
  </si>
  <si>
    <t>5% = 3 842 руб.</t>
  </si>
  <si>
    <t>87.5% * (1 + 0.3) = 87 414 руб.</t>
  </si>
  <si>
    <t>2% * (1 + 0.3) = 1 998 руб.</t>
  </si>
  <si>
    <t>0.5% = 384 руб.</t>
  </si>
  <si>
    <t>(A + B * (0.4 * Xмин + 0.6 * Xзад)) * Количество * Ктек * Кст * K1 * K2
(30 800 руб. + 608 руб. * (0.4 * 100 + 0.6 * 60)) * 1 * 1.68 * 0.6 * 0.9 * 1.1 * 1.28263</t>
  </si>
  <si>
    <t>10.113% = 89 755 руб.</t>
  </si>
  <si>
    <t>1% = 8 875 руб.</t>
  </si>
  <si>
    <t>10% = 88 752 руб.</t>
  </si>
  <si>
    <t>20% * (1 + 0.3) [из  74.1%] = 230 756 руб.</t>
  </si>
  <si>
    <t>1% * (1 + 0.3) [из  74.1%] = 11 538 руб.</t>
  </si>
  <si>
    <t>2% * (1 + 0.3) [из  74.1%] = 23 076 руб.</t>
  </si>
  <si>
    <t>11% * (1 + 0.3) [из  74.1%] = 126 916 руб.</t>
  </si>
  <si>
    <t>3% * (1 + 0.3) [из  74.1%] = 34 613 руб.</t>
  </si>
  <si>
    <t>17% * (1 + 0.3) [из  74.1%] = 196 143 руб.</t>
  </si>
  <si>
    <t>74.1% = 657 655 руб.</t>
  </si>
  <si>
    <t>16% * (1 + 0.3) = 184 605 руб.</t>
  </si>
  <si>
    <t>6% * (1 + 0.3) = 69 227 руб.</t>
  </si>
  <si>
    <t>2% * (1 + 0.3) = 23 076 руб.</t>
  </si>
  <si>
    <t>СПД-СС</t>
  </si>
  <si>
    <t>(A + B * Xзад) * Количество * Ктек * Кст
(25 980 руб. + 4 623 руб. * 41) * 1 * 7.1 * 0.58 * 1.26413</t>
  </si>
  <si>
    <t>6.445% = 6 616 руб.</t>
  </si>
  <si>
    <t>3% = 3 079 руб.</t>
  </si>
  <si>
    <t>89.5% * (1 + 0.3) = 119 433 руб.</t>
  </si>
  <si>
    <t>2% * (1 + 0.3) = 2 669 руб.</t>
  </si>
  <si>
    <t>0.5% = 513 руб.</t>
  </si>
  <si>
    <t>(0.5% + 2% * (1 + 0.3) + 89.5% * (1 + 0.3) + 3% + 6.445%) = 128.895%</t>
  </si>
  <si>
    <t>(A + B * Xзад) * Количество * Ктек * Кст * K1
(13 400 руб. + 399 руб. * 250) * 1 * 1.68 * 0.6 * 0.9 * 1.28895</t>
  </si>
  <si>
    <t>12.833% = 28 537 руб.</t>
  </si>
  <si>
    <t>5% = 11 119 руб.</t>
  </si>
  <si>
    <t>3. Мер по обе пож без</t>
  </si>
  <si>
    <t>8% * (1 + 0.3) = 23 127 руб.</t>
  </si>
  <si>
    <t>2. Зда и соо, вхо в инф объ</t>
  </si>
  <si>
    <t>2% * (1 + 0.3) [из  100.1%] = 5 782 руб.</t>
  </si>
  <si>
    <t>1.7. Свя, сиг, АСУ</t>
  </si>
  <si>
    <t>5% * (1 + 0.3) [из  100.1%] = 14 454 руб.</t>
  </si>
  <si>
    <t>1.6. Вод и вод</t>
  </si>
  <si>
    <t>17% * (1 + 0.3) [из  100.1%] = 49 144 руб.</t>
  </si>
  <si>
    <t>1.5. Эле</t>
  </si>
  <si>
    <t>1.4. Обу</t>
  </si>
  <si>
    <t>1% * (1 + 0.3) [из  100.1%] = 2 891 руб.</t>
  </si>
  <si>
    <t>1.3. Иск соо</t>
  </si>
  <si>
    <t>27% * (1 + 0.3) [из  100.1%] = 78 053 руб.</t>
  </si>
  <si>
    <t>1.2. Кон реш</t>
  </si>
  <si>
    <t>23% * (1 + 0.3) [из  100.1%] = 66 489 руб.</t>
  </si>
  <si>
    <t>1.1. Тех реш</t>
  </si>
  <si>
    <t>100.1% = 222 594 руб.</t>
  </si>
  <si>
    <t>1. Тех и кон реш лин объ. Иск соо (инж обу, сет)</t>
  </si>
  <si>
    <t>(23% * (1 + 0.3) + 27% * (1 + 0.3) + 1% * (1 + 0.3) + 2% * (1 + 0.3) + 17% * (1 + 0.3) + 5% * (1 + 0.3) + 2% * (1 + 0.3) + 8% * (1 + 0.3) + 5% + 12.833%) = 128.333%</t>
  </si>
  <si>
    <t xml:space="preserve">K1 = 1.3 (РПД 1.1-1.7,2)
Методика, 707/пр. Приложение 5, табл.5.1, п.2.3 (Усложняющий) </t>
  </si>
  <si>
    <t>(A + B * Xзад) * Количество * Ктек * Кст
(34 200 руб. + 790 руб. * 36) * 1 * 7.1 * 0.5 * 1.28333</t>
  </si>
  <si>
    <t>100% * (1 + 0.3) = 29 472 руб.</t>
  </si>
  <si>
    <t>Полный комплекс работ
(100%):
(A + B * (0.4 * Xмин + 0.6 * (Xмин / 2))) * Количество * Кпон * Ктек * Кст * K1
(14 000 руб. + 2 000 руб. * (0.4 * 25 + 0.6 * (25 / 2))) * 1 * 0.72 * 1.53 * 0.6 * 0.7 * 1.3</t>
  </si>
  <si>
    <t>6.492% = 6 407 руб.</t>
  </si>
  <si>
    <t>92.5% * (1 + 0.3) = 118 667 руб.</t>
  </si>
  <si>
    <t>2% * (1 + 0.3) = 2 566 руб.</t>
  </si>
  <si>
    <t>0.5% = 493 руб.</t>
  </si>
  <si>
    <t>(0.5% + 2% * (1 + 0.3) + 92.5% * (1 + 0.3) + 6.492%) = 129.842%</t>
  </si>
  <si>
    <t>(A + B * Xзад) * Количество * Ктек * Кст
(61 800 руб. + 95 руб. * 380) * 1 * 1.68 * 0.6 * 1.29842</t>
  </si>
  <si>
    <t>6.413% = 8 740 руб.</t>
  </si>
  <si>
    <t>5% = 6 814 руб.</t>
  </si>
  <si>
    <t>88% * (1 + 0.3) = 155 906 руб.</t>
  </si>
  <si>
    <t>1.5% * (1 + 0.3) = 2 657 руб.</t>
  </si>
  <si>
    <t>0.5% = 681 руб.</t>
  </si>
  <si>
    <t>(0.5% + 1.5% * (1 + 0.3) + 88% * (1 + 0.3) + 5% + 6.413%) = 128.263%</t>
  </si>
  <si>
    <t>(A + B * Xзад) * Количество * Ктек * Кст
(61 600 руб. + 92 руб. * 800) * 1 * 1.68 * 0.6 * 1.28263</t>
  </si>
  <si>
    <t>6.445% = 10 265 руб.</t>
  </si>
  <si>
    <t>3% = 4 778 руб.</t>
  </si>
  <si>
    <t>89.5% * (1 + 0.3) = 185 304 руб.</t>
  </si>
  <si>
    <t>2% * (1 + 0.3) = 4 141 руб.</t>
  </si>
  <si>
    <t>0.5% = 796 руб.</t>
  </si>
  <si>
    <t xml:space="preserve">Кабельные линии 0,4 кВ для подключения, кабель ПВКШп 4х240 </t>
  </si>
  <si>
    <t>(A + B * Xзад) * Количество * Ктек * Кст * K1
(30 300 руб. + 209 руб. * 800) * 1 * 1.68 * 0.6 * 0.8 * 1.28895</t>
  </si>
  <si>
    <t>100% * (1 + 0.3) = 32 105 руб.</t>
  </si>
  <si>
    <t>Для комплектации отсека РУ-0,4 кВ на подстанции (ТП-8)  необходимо укомплектовать: 1. Вводное оборудование (Ввод №1) Выключатель-разъединитель (Рубильник) Автоматический выключатель (Вводной) Автоматический выключатель (Вводной)2. Узел учета и контроля, счетчик электроэнергии, измерительные приборы, Блок испытательный (КИПиА)3. Линейные выключатели (Отходящие линии)4. Защитное и вспомогательное оборудование</t>
  </si>
  <si>
    <t>Полный комплекс работ
(100%):
A * Количество * Ктек * Кст * K1
70 000 руб. * 1 * 1.68 * 0.6 * 0.35 * 1.3</t>
  </si>
  <si>
    <t>15.6% = 6 463 руб.</t>
  </si>
  <si>
    <t>15% * (1 + 0.3) [из  19.5%] = 8 079 руб.</t>
  </si>
  <si>
    <t>3.1. Авт</t>
  </si>
  <si>
    <t>19.5% = 8 079 руб.</t>
  </si>
  <si>
    <t>29% * (1 + 0.3) = 15 619 руб.</t>
  </si>
  <si>
    <t>44% * (1 + 0.3) = 23 697 руб.</t>
  </si>
  <si>
    <t>(44% * (1 + 0.3) + 29% * (1 + 0.3) + 15% * (1 + 0.3) + 15.6%) = 130%</t>
  </si>
  <si>
    <t xml:space="preserve">K1 = 1.3 (РПД 1-2,3.1)
Методика, 707/пр. Приложение 5, табл.5.1, п.2.3 (Усложняющий) </t>
  </si>
  <si>
    <t>A * Количество * Ктек * Кст
41 100 руб. * 1 * 1.68 * 0.6 * 1.3</t>
  </si>
  <si>
    <t>9.1% = 2 727 руб.</t>
  </si>
  <si>
    <t>5. Сме на стр, рек, кап рем объ кап стр</t>
  </si>
  <si>
    <t>3% * (1 + 0.3) [из  9.1%] = 1 169 руб.</t>
  </si>
  <si>
    <t>4% * (1 + 0.3) [из  9.1%] = 1 558 руб.</t>
  </si>
  <si>
    <t>4.1. Сис вод</t>
  </si>
  <si>
    <t>4. Све об инж обо, о сет и сис ИТО</t>
  </si>
  <si>
    <t>5% * (1 + 0.3) = 1 948 руб.</t>
  </si>
  <si>
    <t>10% * (1 + 0.3) = 3 895 руб.</t>
  </si>
  <si>
    <t>25% * (1 + 0.3) [из  92.3%] = 9 738 руб.</t>
  </si>
  <si>
    <t xml:space="preserve">1.3. Бла </t>
  </si>
  <si>
    <t>26% * (1 + 0.3) [из  92.3%] = 10 128 руб.</t>
  </si>
  <si>
    <t>1.2. Орг рел вер пла</t>
  </si>
  <si>
    <t>20% * (1 + 0.3) [из  92.3%] = 7 791 руб.</t>
  </si>
  <si>
    <t>1.1. Ген пла</t>
  </si>
  <si>
    <t>92.3% = 27 656 руб.</t>
  </si>
  <si>
    <t>(20% * (1 + 0.3) + 26% * (1 + 0.3) + 25% * (1 + 0.3) + 10% * (1 + 0.3) + 5% * (1 + 0.3) + 4% * (1 + 0.3) + 3% * (1 + 0.3) + 9.1%) = 130%</t>
  </si>
  <si>
    <t xml:space="preserve">K2 = 1.3 (РПД 1.1-1.3,2-3,4.1-4.2)
Методика, 707/пр. Приложение 5, табл.5.1, п.2.3 (Усложняющий) </t>
  </si>
  <si>
    <t>(A + B * Xзад) * Количество * Ктек * Кст * K1
(5 000 руб. + 19 руб. * 2600) * 1 * 1.53 * 0.6 * 0.6 * 1.3</t>
  </si>
  <si>
    <t>19.5% = 41 972 руб.</t>
  </si>
  <si>
    <t>3. Сме на стр</t>
  </si>
  <si>
    <t>20% * (1 + 0.3) = 55 963 руб.</t>
  </si>
  <si>
    <t>65% * (1 + 0.3) = 181 879 руб.</t>
  </si>
  <si>
    <t>(65% * (1 + 0.3) + 20% * (1 + 0.3) + 19.5%) = 130%</t>
  </si>
  <si>
    <t xml:space="preserve">K3 = 1.3 (РПД 1-2)
Методика, 707/пр. Приложение 5, табл.5.1, п.2.3 (Усложняющий) </t>
  </si>
  <si>
    <t>(A + B * Xзад) * Количество * Ктек * Кст * K1 * K2
(75 900 руб. + 600 руб. * 460) * 1 * 1.68 * 0.6 * 0.82 * 0.74 * 1.3</t>
  </si>
  <si>
    <t>9.1% = 2 790 руб.</t>
  </si>
  <si>
    <t>4. Сме на стр, рек, кап рем объ кап стр</t>
  </si>
  <si>
    <t>34% * (1 + 0.3) = 13 552 руб.</t>
  </si>
  <si>
    <t>24% * (1 + 0.3) = 9 566 руб.</t>
  </si>
  <si>
    <t>12% * (1 + 0.3) [из  45.5%] = 4 783 руб.</t>
  </si>
  <si>
    <t>11% * (1 + 0.3) [из  45.5%] = 4 385 руб.</t>
  </si>
  <si>
    <t>45.5% = 13 951 руб.</t>
  </si>
  <si>
    <t>(11% * (1 + 0.3) + 12% * (1 + 0.3) + 12% * (1 + 0.3) + 24% * (1 + 0.3) + 34% * (1 + 0.3) + 9.1%) = 130%</t>
  </si>
  <si>
    <t xml:space="preserve">K1 = 1.3 (РПД 1.1-1.3,2-3)
Методика, 707/пр. Приложение 5, табл.5.1, п.2.3 (Усложняющий) </t>
  </si>
  <si>
    <t>площадка ТБО</t>
  </si>
  <si>
    <t>A * Количество * Ктек * Кст
33 400 руб. * 1 * 1.53 * 0.6 * 1.3</t>
  </si>
  <si>
    <t>6.5% = 16 795 руб.</t>
  </si>
  <si>
    <t>19% * (1 + 0.3) = 63 819 руб.</t>
  </si>
  <si>
    <t>5. Орг и без дви, обу дор</t>
  </si>
  <si>
    <t>11% * (1 + 0.3) = 36 948 руб.</t>
  </si>
  <si>
    <t>4. Дор оде</t>
  </si>
  <si>
    <t>12% * (1 + 0.3) = 40 307 руб.</t>
  </si>
  <si>
    <t>3. Вод</t>
  </si>
  <si>
    <t>46% * (1 + 0.3) = 154 510 руб.</t>
  </si>
  <si>
    <t>2. Зем пол</t>
  </si>
  <si>
    <t>7% * (1 + 0.3) = 23 512 руб.</t>
  </si>
  <si>
    <t>1. Тра</t>
  </si>
  <si>
    <t>(7% * (1 + 0.3) + 46% * (1 + 0.3) + 12% * (1 + 0.3) + 11% * (1 + 0.3) + 19% * (1 + 0.3) + 6.5%) = 130%</t>
  </si>
  <si>
    <t xml:space="preserve">K1 = 1.3 (РПД 1-5)
Методика, 707/пр. Приложение 5, табл.5.1, п.2.3 (Усложняющий) </t>
  </si>
  <si>
    <t>(A + B * (0.4 * Xмин + 0.6 * Xзад)) * Количество * Ктек * Кст
(126 400 руб. + 235 руб. * (0.4 * 1000 + 0.6 * 650)) * 1 * 1.38 * 0.6 * 1.3</t>
  </si>
  <si>
    <t>6.5% = 30 243 руб.</t>
  </si>
  <si>
    <t>19% * (1 + 0.3) = 114 922 руб.</t>
  </si>
  <si>
    <t>11% * (1 + 0.3) = 66 534 руб.</t>
  </si>
  <si>
    <t>12% * (1 + 0.3) = 72 583 руб.</t>
  </si>
  <si>
    <t>46% * (1 + 0.3) = 278 233 руб.</t>
  </si>
  <si>
    <t>7% * (1 + 0.3) = 42 340 руб.</t>
  </si>
  <si>
    <t xml:space="preserve">K2 = 1.3 (РПД 1-5)
Методика, 707/пр. Приложение 5, табл.5.1, п.2.3 (Усложняющий) </t>
  </si>
  <si>
    <t>A * Количество * Ктек * Кст * K1
520 300 руб. * 1 * 1.38 * 0.6 * 1.08 * 1.3</t>
  </si>
  <si>
    <t>6.5% = 41 044 руб.</t>
  </si>
  <si>
    <t>24% * (1 + 0.3) = 197 013 руб.</t>
  </si>
  <si>
    <t>14% * (1 + 0.3) = 114 924 руб.</t>
  </si>
  <si>
    <t>7% * (1 + 0.3) = 57 462 руб.</t>
  </si>
  <si>
    <t>45% * (1 + 0.3) = 369 399 руб.</t>
  </si>
  <si>
    <t>5% * (1 + 0.3) = 41 044 руб.</t>
  </si>
  <si>
    <t>1. Пла раз</t>
  </si>
  <si>
    <t>(5% * (1 + 0.3) + 45% * (1 + 0.3) + 7% * (1 + 0.3) + 14% * (1 + 0.3) + 24% * (1 + 0.3) + 6.5%) = 130%</t>
  </si>
  <si>
    <t>A * Количество * Ктек * Кст * K1
1 622 600 руб. * 1 * 1.38 * 0.6 * 0.47 * 1.3</t>
  </si>
  <si>
    <t>13% = 759 909 руб.</t>
  </si>
  <si>
    <t>3. Сме на стр, рек, кап рем объ кап стр</t>
  </si>
  <si>
    <t>28% * (1 + 0.3) [из  102.7%] = 2 127 746 руб.</t>
  </si>
  <si>
    <t>2.2. Тех реш</t>
  </si>
  <si>
    <t>51% * (1 + 0.3) [из  102.7%] = 3 875 538 руб.</t>
  </si>
  <si>
    <t>2.1. Кон реш</t>
  </si>
  <si>
    <t>102.7% = 6 003 284 руб.</t>
  </si>
  <si>
    <t>2. Тех и кон реш</t>
  </si>
  <si>
    <t>11% * (1 + 0.3) = 835 900 руб.</t>
  </si>
  <si>
    <t>1. Про пол отв. Схе пла орг зем уча для пло объ</t>
  </si>
  <si>
    <t>(11% * (1 + 0.3) + 51% * (1 + 0.3) + 28% * (1 + 0.3) + 13%) = 130%</t>
  </si>
  <si>
    <t xml:space="preserve">K1 = 1.3 (РПД 1,2.1-2.2)
Методика, 707/пр. Приложение 5, табл.5.1, п.2.3 (Усложняющий) </t>
  </si>
  <si>
    <t>(A + B * Xзад) * Количество * Ктек * Кст
(1 806 400 руб. + 15 204 руб. * 300) * 1 * 1.53 * 0.6 * 1.3</t>
  </si>
  <si>
    <t>13% = 70 310 руб.</t>
  </si>
  <si>
    <t>25% * (1 + 0.3) [из  102.7%] = 175 776 руб.</t>
  </si>
  <si>
    <t>54% * (1 + 0.3) [из  102.7%] = 379 676 руб.</t>
  </si>
  <si>
    <t>102.7% = 555 452 руб.</t>
  </si>
  <si>
    <t>11% * (1 + 0.3) = 77 341 руб.</t>
  </si>
  <si>
    <t>(11% * (1 + 0.3) + 54% * (1 + 0.3) + 25% * (1 + 0.3) + 13%) = 130%</t>
  </si>
  <si>
    <t xml:space="preserve">K2 = 1.3 (РПД 1,2.1-2.2)
Методика, 707/пр. Приложение 5, табл.5.1, п.2.3 (Усложняющий) </t>
  </si>
  <si>
    <t>Укрепление поверхности откосов матрацами "Рено"</t>
  </si>
  <si>
    <t>(A + B * Xзад) * Количество * Ктек * Кст * (K1)
(317 900 руб. + 26 279 руб. * 100) * 1 * 1.53 * 0.6 * (0.2) * 1.3</t>
  </si>
  <si>
    <t>16.9% = 12 045 руб.</t>
  </si>
  <si>
    <t>2. Сме док</t>
  </si>
  <si>
    <t>87% * (1 + 0.3) = 80 611 руб.</t>
  </si>
  <si>
    <t>(87% * (1 + 0.3) + 16.9%) = 130%</t>
  </si>
  <si>
    <t>Кст = 0.66</t>
  </si>
  <si>
    <t>(A + B * Xзад) * Количество * Ктек * Кст
(5 610 руб. + 240 руб. * 40) * 1 * 7.1 * 0.66 * 1.3</t>
  </si>
  <si>
    <t>9.1% = 2 200 руб.</t>
  </si>
  <si>
    <t>6. Сме на стр, рек, кап рем объ кап стр</t>
  </si>
  <si>
    <t>6% * (1 + 0.3) = 1 886 руб.</t>
  </si>
  <si>
    <t>8% * (1 + 0.3) [из  33.8%] = 2 515 руб.</t>
  </si>
  <si>
    <t>4.6. Авт</t>
  </si>
  <si>
    <t>4% * (1 + 0.3) [из  33.8%] = 1 257 руб.</t>
  </si>
  <si>
    <t>3% * (1 + 0.3) [из  33.8%] = 943 руб.</t>
  </si>
  <si>
    <t>4.4. Сис вод</t>
  </si>
  <si>
    <t>33.8% = 8 172 руб.</t>
  </si>
  <si>
    <t>21% * (1 + 0.3) = 6 601 руб.</t>
  </si>
  <si>
    <t>15% * (1 + 0.3) = 4 715 руб.</t>
  </si>
  <si>
    <t>9% * (1 + 0.3) [из  32.5%] = 2 829 руб.</t>
  </si>
  <si>
    <t>10% * (1 + 0.3) [из  32.5%] = 3 143 руб.</t>
  </si>
  <si>
    <t>6% * (1 + 0.3) [из  32.5%] = 1 886 руб.</t>
  </si>
  <si>
    <t>32.5% = 7 858 руб.</t>
  </si>
  <si>
    <t>(6% * (1 + 0.3) + 10% * (1 + 0.3) + 9% * (1 + 0.3) + 15% * (1 + 0.3) + 21% * (1 + 0.3) + 4% * (1 + 0.3) + 4% * (1 + 0.3) + 3% * (1 + 0.3) + 3% * (1 + 0.3) + 4% * (1 + 0.3) + 8% * (1 + 0.3) + 6% * (1 + 0.3) + 9.1%) = 130%</t>
  </si>
  <si>
    <t xml:space="preserve">K2 = 1.3 (РПД 1.1-1.3,2-3,4.1-4.6,5)
Методика, 707/пр. Приложение 5, табл.5.1, п.2.3 (Усложняющий) </t>
  </si>
  <si>
    <t>КПП 38 м2</t>
  </si>
  <si>
    <t>(A + B * Xзад) * Количество * Ктек * Кст * (K1)
(62 200 руб. + 4 139 руб. * 38) * 1 * 1.53 * 0.6 * (0.12) * 1.3</t>
  </si>
  <si>
    <t>9.095% = 10 838 руб.</t>
  </si>
  <si>
    <t>9. Сме на стр объ кап стр</t>
  </si>
  <si>
    <t>1% = 1 192 руб.</t>
  </si>
  <si>
    <t>8. Мер по обе дос инв</t>
  </si>
  <si>
    <t>3.3% = 3 933 руб.</t>
  </si>
  <si>
    <t>1.1% = 1 311 руб.</t>
  </si>
  <si>
    <t>2.6% * (1 + 0.3) [из  55.38%] = 4 028 руб.</t>
  </si>
  <si>
    <t>3.1% * (1 + 0.3) [из  55.38%] = 4 803 руб.</t>
  </si>
  <si>
    <t>3.3% * (1 + 0.3) [из  55.38%] = 5 112 руб.</t>
  </si>
  <si>
    <t>5.3% * (1 + 0.3) [из  55.38%] = 8 211 руб.</t>
  </si>
  <si>
    <t>5.7% * (1 + 0.3) [из  55.38%] = 8 830 руб.</t>
  </si>
  <si>
    <t>7.6% * (1 + 0.3) [из  55.38%] = 11 774 руб.</t>
  </si>
  <si>
    <t>15% * (1 + 0.3) [из  55.38%] = 23 238 руб.</t>
  </si>
  <si>
    <t>55.38% = 65 996 руб.</t>
  </si>
  <si>
    <t>23.4% * (1 + 0.3) = 36 251 руб.</t>
  </si>
  <si>
    <t>18.6% * (1 + 0.3) = 28 815 руб.</t>
  </si>
  <si>
    <t>2.4% * (1 + 0.3) = 3 718 руб.</t>
  </si>
  <si>
    <t>0.5% = 596 руб.</t>
  </si>
  <si>
    <t>(0.5% + 2.4% * (1 + 0.3) + 18.6% * (1 + 0.3) + 23.4% * (1 + 0.3) + 15% * (1 + 0.3) + 7.6% * (1 + 0.3) + 5.7% * (1 + 0.3) + 5.3% * (1 + 0.3) + 3.3% * (1 + 0.3) + 3.1% * (1 + 0.3) + 2.6% * (1 + 0.3) + 1.1% + 3.3% + 1% + 9.095%) = 128.095%</t>
  </si>
  <si>
    <t>столовая 285 м2</t>
  </si>
  <si>
    <t>(A + B * (0.4 * Xмин + 0.6 * Xзад)) * Количество * Ктек * Кст * K1 * (K2)
(320 600 руб. + 15 335 руб. * (0.4 * 75 + 0.6 * 49)) * 1 * 1.68 * 0.6 * 0.8 * (0.12) * 1.28095</t>
  </si>
  <si>
    <t>7.768% = 118 624 руб.</t>
  </si>
  <si>
    <t>1% = 15 271 руб.</t>
  </si>
  <si>
    <t>4.7% = 71 773 руб.</t>
  </si>
  <si>
    <t>2.1% = 32 069 руб.</t>
  </si>
  <si>
    <t>4.6% * (1 + 0.3) [из  53.95%] = 91 320 руб.</t>
  </si>
  <si>
    <t>3.1% * (1 + 0.3) [из  53.95%] = 61 542 руб.</t>
  </si>
  <si>
    <t>4.8% * (1 + 0.3) [из  53.95%] = 95 290 руб.</t>
  </si>
  <si>
    <t>6.7% * (1 + 0.3) [из  53.95%] = 133 010 руб.</t>
  </si>
  <si>
    <t>7.6% * (1 + 0.3) [из  53.95%] = 150 876 руб.</t>
  </si>
  <si>
    <t>8.6% * (1 + 0.3) [из  53.95%] = 170 729 руб.</t>
  </si>
  <si>
    <t>6.1% * (1 + 0.3) [из  53.95%] = 121 098 руб.</t>
  </si>
  <si>
    <t>53.95% = 823 865 руб.</t>
  </si>
  <si>
    <t>25.4% * (1 + 0.3) = 504 245 руб.</t>
  </si>
  <si>
    <t>16.2% * (1 + 0.3) = 321 605 руб.</t>
  </si>
  <si>
    <t>2.5% * (1 + 0.3) = 49 630 руб.</t>
  </si>
  <si>
    <t>0.5% = 7 635 руб.</t>
  </si>
  <si>
    <t>(0.5% + 2.5% * (1 + 0.3) + 16.2% * (1 + 0.3) + 25.4% * (1 + 0.3) + 6.1% * (1 + 0.3) + 8.6% * (1 + 0.3) + 7.6% * (1 + 0.3) + 6.7% * (1 + 0.3) + 4.8% * (1 + 0.3) + 3.1% * (1 + 0.3) + 4.6% * (1 + 0.3) + 2.1% + 4.7% + 1% + 7.768%) = 127.348%</t>
  </si>
  <si>
    <t>Блочно-модульные здания гостиничного типа  полной заводской готовности</t>
  </si>
  <si>
    <t>(A + B * (0.4 * Xмин + 0.6 * (Xмин / 2))) * Количество * Кпон * Ктек * Кст * K1 * K2
(1 229 800 руб. + 1 422 руб. * (0.4 * 2000 + 0.6 * (2000 / 2))) * 1 * 0.42 * 1.68 * 0.6 * 1.4 * 0.8 * 1.27348</t>
  </si>
  <si>
    <t>Смета №1-РД</t>
  </si>
  <si>
    <t>Смета № 6-арх</t>
  </si>
  <si>
    <t>СМЕТА № 6-арх</t>
  </si>
  <si>
    <t>Налог на добавленную стоимость в размере 22%;</t>
  </si>
  <si>
    <t>к расчету начальной максимальной цены договора</t>
  </si>
  <si>
    <t xml:space="preserve">Для определения цены изыскательских работ принят  проектно-сметный метод с  использованием в расчетах нормативных документов, включенных в Федеральный реестр сметных нормативов, подлежащих применению при определении сметной стоимости объектов капитального строительства,  строительство которых финансируется с привлечением средств федерального бюджета:  справочников базовых цен  на инженерные изыскания в строительстве, нормативных затрат на работы по инженерным изысканиям, Методического пособия по определению стоимости инженерных изысканий для строительства, введенного в действие письмом Госстроя России от 31.03.2004 № НЗ-2078/10, Методики определения стоимости работ по инженерным изысканиям, утвержденной приказом Минстрой РФ от 09.01.2024 № 1/пр. </t>
  </si>
  <si>
    <t>Индекс пересчета в текущие цены на II квартал 2026 года принят согласно письму Минстроя России от 08.04.2026 №20212-ИФ/09;</t>
  </si>
  <si>
    <t>Прогнозный индекс инфляции для пересчета из уровня цен на дату определения НМЦК в уровень цен соответствующего периода реализации проекта определен  согласно Письму Минэкономразвития России от 30.09.2025 № 37099-ПК/Д03и "О применении показателей прогноза социально-экономического развития Российской Федерации в целях ценообразования на продукцию, поставляемую по государственному оборонному заказу".</t>
  </si>
  <si>
    <t>Для определения цены проектных работ принят  проектно-сметный метод с  использованием в расчетах нормативных документов, включенных в Федеральный реестр сметных нормативов, подлежащих применению при определении сметной стоимости объектов капитального строительства,  строительство которых финансируется с привлечением средств федерального бюджета: нормативов затрат на работы по подготовке проектной документации,  справочников базовых цен  на проектные работы в строительстве, Методики определения стоимости работ
по подготовке проектной документации, утвержденной приказом Минстрой РФ от 01.10.2021 № 707/пр, Методических указаний по применению справочников базовых цен на проектные работы в строительстве, утвержденных приказом Минрегионразвития РФ от 29.12. 2009 № 620.</t>
  </si>
  <si>
    <t>В расчете приняты предполагаемые виды и объемы проектных работ в соответствии с заданием на проектирование, предполагаемые технические характеристики объектов проектирования.</t>
  </si>
  <si>
    <t>Описание метода расчета стоимости дендрологического обследования</t>
  </si>
  <si>
    <t>Стоимость проведения дендрологического обследования лесных насаждений, в том числе на наличие растений и деревьев, занесенных в Красную книгу, определена на основании цен на платные услуги, оказываемые Федеральным государственным бюджетным учреждением (Национальный парк "Приэльбрусъе") в рамках приносящей доход деятелъности, утвержденных письмом Министерства природных ресурсов и экологии Российской Федерации (Минприроды России) от 14.08.2024 №15-46/32598</t>
  </si>
  <si>
    <t>Налог на добавленную стоимость - 22 %.</t>
  </si>
  <si>
    <t>Начальник отдела ценообразования
управления проектов
департамента развития инфраструктуры</t>
  </si>
  <si>
    <t>А.Ю. Татаринов</t>
  </si>
  <si>
    <t>И.В. Евдокимов</t>
  </si>
  <si>
    <t>на выполнение проектно-изыскательских работ</t>
  </si>
  <si>
    <t>Объект закупки:</t>
  </si>
  <si>
    <t>- затраты на инженерные изыскания:</t>
  </si>
  <si>
    <t>инженерно-геодезические изыскания;</t>
  </si>
  <si>
    <t>инженерно-геологические изыскания ;</t>
  </si>
  <si>
    <t>инженерно-геофизические исследования;</t>
  </si>
  <si>
    <t>оценка селевой и лавинной опасностей;</t>
  </si>
  <si>
    <t>инженерно-гидрометеорологические изыскания;</t>
  </si>
  <si>
    <t>инженерно-экологические изыскания;</t>
  </si>
  <si>
    <t>археологические исследования;</t>
  </si>
  <si>
    <t>обследование на наличие взрыво-опасных предметов;</t>
  </si>
  <si>
    <t xml:space="preserve">       дендрологическое обследование лесных насаждений, в том числе на наличие растений и деревьев, занесенных в Красную книгу;</t>
  </si>
  <si>
    <t>- затраты на проектные работы стадии "Проектная документация";</t>
  </si>
  <si>
    <t>-оценка воздействия на окружающую среду;</t>
  </si>
  <si>
    <t>- оценка воздействия проектируемого объекта на водные биологические ресурсы и среду их обитания, Расчет  ущерба водно-биологическим ресурсам;</t>
  </si>
  <si>
    <t>-индекс фактической инфляции по данным Росстата от цен  сметной документации до даты формирования НМЦК;</t>
  </si>
  <si>
    <t>- Государственная экологическая экспертиза (ГЭЭ);</t>
  </si>
  <si>
    <t>- Государственная историко-культурная экспертиза;</t>
  </si>
  <si>
    <t>- прогнозный индекс инфляции для пересчета из уровня цен на дату определения НМЦК в уровень цен соответствующего периода исполнения договора;</t>
  </si>
  <si>
    <t>- Налог на добавленную стоимость - 22 %.</t>
  </si>
  <si>
    <t>«Всесезонный туристско-рекреационный комплекс «Мамисон», 
Республика Северная Осетия-Алания. Кампус»</t>
  </si>
  <si>
    <t>на выполнение проектно-изыскательских работ по объекту:</t>
  </si>
  <si>
    <t>Продолжительность работ в соответствии с Графиком</t>
  </si>
  <si>
    <t>Начало работ:</t>
  </si>
  <si>
    <t>Окончание работ:</t>
  </si>
  <si>
    <t xml:space="preserve"> Стоимость проектирования  объекта в прогнозных ценах периода проектирования (руб.)</t>
  </si>
  <si>
    <t>Ориентировочная стоимость строительства, руб.</t>
  </si>
  <si>
    <t>ПИР в %</t>
  </si>
  <si>
    <t>НДС-22 %</t>
  </si>
  <si>
    <t>Оценка воздействия проектируемого объекта на водные биологические ресурсы и среду их обитания, Расчет  ущерба водно-биологическим ресурсам (2 водных объекта  второй рыбохозяйственной категории)</t>
  </si>
  <si>
    <t>Дендрологическое обследование лесных насаждений, в том числе на наличие растений и деревьев, занесенных в Красную книгу</t>
  </si>
  <si>
    <t>Не облагается НДС</t>
  </si>
  <si>
    <t>Государственная экологическая экспертиза</t>
  </si>
  <si>
    <t>Государственная историко-культурная экспертиза</t>
  </si>
  <si>
    <t>В том числе инфляционная составляющая за период выполнения работ</t>
  </si>
  <si>
    <t>Российская Федерация, Республика Северная Осетия - Алания</t>
  </si>
  <si>
    <t>2. Предполагаемые виды и объемы изыскательских работ</t>
  </si>
  <si>
    <t>Стоимость работ в ценах  сметной документации
II квартала 2026 г.</t>
  </si>
  <si>
    <t>Дендрологическое обследование лесных насаждений , в том числе на наличие растений и деревьев, занесенных в Красную книгу</t>
  </si>
  <si>
    <t>НДС-22%</t>
  </si>
  <si>
    <t>Индекс прогнозной инфляции:</t>
  </si>
  <si>
    <t>дата формирования НМЦК принята следующим днем за периодом окончания действия цен сметной документации (2 кв. 2026 г.)</t>
  </si>
  <si>
    <t>Индекс Минэкономразвития РФ на 2026 г.  (Письмо Минэкономразвития России от 30.09.2025 г. N 37099-ПК/Д03и)</t>
  </si>
  <si>
    <t>ежемесячный прогнозный индекс на 2026 год</t>
  </si>
  <si>
    <t>Блочно-модульные здания гостиничного типа полной заводской готовности</t>
  </si>
  <si>
    <t>НЦС 81-02-18-2026
18-28-001-03
Модульные здания перронных служб</t>
  </si>
  <si>
    <t>1 м2 общей площади</t>
  </si>
  <si>
    <t>Расчет стоимости капитальных вложений</t>
  </si>
  <si>
    <t>Цена за ед., тыс. руб. без НДС</t>
  </si>
  <si>
    <t>Итого, тыс. руб. без НДС в ценах соответствующих периодов</t>
  </si>
  <si>
    <t>Итого стоимость с учетом ценообразующих и усложняющих коэффициентов, тыс. руб. без НДС</t>
  </si>
  <si>
    <t>Стоимость работ в ценах на дату формирования расчета с учетом индекса фактической инфляции, тыс. руб. без учета НДС</t>
  </si>
  <si>
    <t>Итого с НДС, тыс. руб.</t>
  </si>
  <si>
    <t>Реконструкция фасада блочно-модульного общежития персонала</t>
  </si>
  <si>
    <t>910,043</t>
  </si>
  <si>
    <t>2229,604</t>
  </si>
  <si>
    <t>ФСБЦ-08.1.01.02-0001
Сплит-форма Республика Северная Осетия - Алания на 2 квартал 2026 года.xlsx</t>
  </si>
  <si>
    <t>ФСБЦ-02.2.04.03-0003
Сплит-форма Республика Северная Осетия - Алания на 2 квартал 2026 года.xlsx</t>
  </si>
  <si>
    <t>ФСБЦ-02.2.03.01-0011
Сплит-форма Республика Северная Осетия - Алания на 2 квартал 2026 года.xlsx</t>
  </si>
  <si>
    <t>871,443</t>
  </si>
  <si>
    <t>735,604</t>
  </si>
  <si>
    <t>ФСБЦ-02.2.05.04-2110
Сплит-форма Республика Северная Осетия - Алания на 2 квартал 2026 года.xlsx</t>
  </si>
  <si>
    <t>ФСБЦ-02.3.01.02-1104
Сплит-форма Республика Северная Осетия - Алания на 2 квартал 2026 года.xlsx</t>
  </si>
  <si>
    <t>Объем=4,7*1000*2{т/м3}</t>
  </si>
  <si>
    <t>02-15-1-01-0005
Сплит-форма Республика Северная Осетия - Алания на 2 квартал 2026 года.xlsx</t>
  </si>
  <si>
    <t>Объем=4700 / 1000</t>
  </si>
  <si>
    <t>II квартал 2026 года</t>
  </si>
  <si>
    <t>Постановление Правительства Республики Северная Осетия-Алания от 07.04.2026 № 109</t>
  </si>
  <si>
    <t>Письмо Минстроя России от 22.05.2026 № 31076-ИФ/09</t>
  </si>
  <si>
    <t>Реквизиты письма Минстроя России об индексах изменения сметной стоимости строительства,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 подготовленного  в соответствии  пунктом 85 Методики  расчета индексов изменения  сметной стоимости строительства, утвержденной  приказом Министерства строительства и жилищно-коммунального хозяйства Российской Федерации от 5 июня 2019 г. № 326/пр</t>
  </si>
  <si>
    <t>Приказ Минстроя России от 18 мая 2022 г. № 378/пр, Приказ Минстроя России от 26 августа 2022 г. № 703/пр, Приказ Минстроя России от 26 октября 2022 г. № 905/пр, Приказ Минстроя России от 27 декабря 2022 г. № 1133/пр, Приказ Минстроя России от 10 февраля 2023 г. № 84/пр, Приказ Минстроя России от 11.05.2023 №335/пр; Приказ Минстроя России от 07.07.2022 № 557/пр; Приказ Минстроя России от 02.09.2021 № 636/пр, Приказ Минстроя России от 26.07.2022 № 611/пр; Приказ Минстроя России от 22.04.2022 № 317/пр; Приказ Минстроя России от 02.08.2023 № 551/пр; Приказ Минстроя России от 14.11.2023 № 817/пр; Приказ Минстроя России от 30.01.2024 № 55/пр;  Приказ Минстроя России от 16.02.2024 № 102/пр;  Приказ Минстроя России от 13.05.2024 №323/пр; Приказ Минстроя России от 09.08.2024 №524/пр; Приказ Минстроя России от 07.11.2024 №747/пр; Приказ Минстроя России от 23.01.2025 №30/пр; Приказ Минстроя России от 07.02.2025 №69/пр; Приказ Минстроя России от 19.05.2025 №299/пр; Приказ Минстроя России от 14.08.2025 №490/пр; Приказ Минстроя России от 12.11.2025 №696/пр; Приказ Минстроя России от 17.02.2026 №91/пр; Приказ Минстроя России от 15.05.2026 №301/пр</t>
  </si>
  <si>
    <t>Приказ Минстроя России от 30.12.2021 № 1046/пр; Приказ Минстроя России от 04.08.2020 № 421/пр; Приказ Минстроя России от 21.12.2020 № 812/пр; Приказ Минстроя России от 11.12.2020 № 774/пр; Приказ Минстроя России от 02.08.2023 № 551/пр; Приказ Минстроя России от 14.11.2023 № 817/пр; Приказ Минстроя России от 16.02.2024 № 102/пр; Приказ Минстроя России от 13.05.2024 №323/пр; Приказ Минстроя России от 09.08.2024 №524/пр; Приказ Минстроя России от 07.11.2024 №747/пр; Приказ Минстроя России от 23.01.2025 №30/пр; Приказ Минстроя России от 07.02.2025 №69/пр; Приказ Минстроя России от 19.05.2025 №299/пр; Приказ Минстроя России от 14.08.2025 №490/пр; Приказ Минстроя России от 12.11.2025 №696/пр; Приказ Минстроя России от 17.02.2026 №91/пр; Приказ Минстроя России от 15.05.2026 №301/пр</t>
  </si>
  <si>
    <t>с учетом К=1,15 к СМР (учет затрат по главам 1, 8-12 ССР)</t>
  </si>
  <si>
    <t>ЛСР №1 Строительные работы, п.1
(в ценах 2 квартала 2026 года)</t>
  </si>
  <si>
    <t>ЛСР №1 Строительные работы, п.4-5
(в ценах 2 квартала 2026 года)</t>
  </si>
  <si>
    <t>ЛСР №1 Строительные работы, п.6-7
(в ценах 2 квартала 2026 года)</t>
  </si>
  <si>
    <t>ЛСР №1 Строительные работы, п.2-3
(в ценах 2 квартала 2026 года)</t>
  </si>
  <si>
    <t>Устройство подпорных стен ориентировочной высотой до 3 м, протяженностью до 300 м на территории Кампуса для устройства разноуровневых площадок размещения зданий и подъездов к ним</t>
  </si>
  <si>
    <t>1 пог.м</t>
  </si>
  <si>
    <t>НЦС 81-02-08-2026
08-08-007-01
Подпорные стены уголковые сборно-монолитные: высотой до 3 м
К1=1,08 (ОУ п.22 табл.4) - коэффициент, учитывающий строительство в высокогорных условиях на высотных отметках 1300-2500 м над уровнем моря</t>
  </si>
  <si>
    <t>Расчет прогнозных индексов-дефляторов на период выполнения работ</t>
  </si>
  <si>
    <t>1. Проектно-изыскательские работы</t>
  </si>
  <si>
    <t>2. Рабочая документация</t>
  </si>
  <si>
    <t>конец текущего года</t>
  </si>
  <si>
    <t>Продолжительность выполнения работ, мес.</t>
  </si>
  <si>
    <t>начало следующего года</t>
  </si>
  <si>
    <t>Индекс Минэкономразвития РФ на 2027 г.  (Письмо Минэкономразвития России от 30.09.2025 г. N 37099-ПК/Д03и)</t>
  </si>
  <si>
    <t>ежемесячный прогнозный индекс на 2027 год</t>
  </si>
  <si>
    <t>3. Строительство</t>
  </si>
  <si>
    <t>окончание второго года</t>
  </si>
  <si>
    <t>начало третьего года</t>
  </si>
  <si>
    <t>Доля сметной стоимости, подлежащая выполнению подрядчиком в 2027 году</t>
  </si>
  <si>
    <t>Доля сметной стоимости, подлежащая выполнению подрядчиком в 2028 году</t>
  </si>
  <si>
    <t>Индекс Минэкономразвития РФ на 2028 г.  (Письмо Минэкономразвития России от 30.09.2025 г. N 37099-ПК/Д03и)</t>
  </si>
  <si>
    <t>ежемесячный прогнозный индекс на 2028 год</t>
  </si>
  <si>
    <t>К на 2027 =</t>
  </si>
  <si>
    <t>К на 2028 =</t>
  </si>
  <si>
    <t>9. Письмо Министерства экономического развития РФ от 30.09.2025 № 37099-ПК/Д03и “О применении показателей прогноза социально-экономического развития Российской Федерации в целях ценообразования на продукцию, поставляемую по государственному оборонному заказу”</t>
  </si>
  <si>
    <t>8. Письмо Министерства экономического развития РФ от 12.05.2025 № 17344-СС/Д14и “О разработке прогноза социально-экономического развития Российской Федерации на 2026 год и на плановый период 2027 и 2028 годов</t>
  </si>
  <si>
    <t>Всесезонный туристско-рекреационный комплекс «Мамисон», Республика Северная Осетия-Алания. Инженерная инфраструктура поселка Калак. Этап 1. Многофункциональный центр
п.121-122 ЛСР 07-01-01 Благоустройство и МАФ
(в ценах 1 кв 2022)</t>
  </si>
  <si>
    <t>Всесезонный туристско-рекреационный комплекс «Мамисон», Республика Северная Осетия-Алания. Инженерная инфраструктура поселка Калак. Этап 1. Многофункциональный центр
п.123 ЛСР 07-01-01 Благоустройство и МАФ
(в ценах 1 кв 2022)</t>
  </si>
  <si>
    <t>Комплексная автоматизированная парковочная система (КАПС):
Шлагбаум автоматический с тумбой, 6 м</t>
  </si>
  <si>
    <t>с учетом К=1,15 к оборудованию на монтаж и затраты по главам 1, 8-12 ССР)</t>
  </si>
  <si>
    <t>Электроснабжение БМЗ-4 напряжением 0,4 кВ
БМЗ-1 - 4 (Ориентировочная потребляемая мощность 215 кВт)
Отопление зданий  100 кВт</t>
  </si>
  <si>
    <t xml:space="preserve">Кабельные линии 0,4 кВ для подключения: кабель ПВКШп 4х240 </t>
  </si>
  <si>
    <t>НЦС 81-02-12-2026
12-01-001-18
Кабельные линии электропередачи напряжением 1 кВ, при прокладке в траншее
кабелем с медными жилами, с бумажной изоляцией в алюминиевой оболочке, с
броней из двух стальных лент с защитой кабеля кирпичом керамическим: с числом жил - 4 и сечением 240 мм²
К=1,02 - ОУ п.20 при укладке плит ПЗК 24х48 см вместо кирпича</t>
  </si>
  <si>
    <t>Устройство ВРУ-0,4 кВ в каждом здании , на мощностью до 100 кВт
Для комплектации ВРУ-0,4 кВ необходимо укомплектовать:
 1. Вводное оборудование (Ввод №1) Автоматический выключатель (Вводной) – 300 А
2. Линейные выключатели (Отходящие линии)10 шт по 50 А
4. Защитное и вспомогательное оборудование</t>
  </si>
  <si>
    <t>НЦС 81-02-11-2026
11-02-001-07
Воздушные линий сетей связи, при прокладке по существующим опорам воздушных
линии электропередачи напряжением 35-220 кВ кабелем волоконно-оптическим
одномодовым с центральным силовым диэлектрическим элементом из
стеклопластикового стержня, с защитным покровом из стеклонитей, с наружной
защитной оболочкой: допустимое растягивающее усилие - 8кН, количество
волокон - 24</t>
  </si>
  <si>
    <t>Слаботочные сети (волоконно-оптический кабель 24ОВ бронированный для канализации)</t>
  </si>
  <si>
    <t>Слаботочные сети (волоконно-оптический кабель 24ОВ самонесущий)</t>
  </si>
  <si>
    <t>НЦС 81-02-11-2026
11-01-011-04
Кабельные линии сетей связи, при прокладке в существующей кабельной
канализации или в коллекторе по свободному каналу кабелем волоконно-оптическим
с центральной модульной трубкой, с броней из стальных оцинкованных проволок,
в полиэтиленовой оболочке: с количеством волокон в кабеле - 24, оптических волокон
в модуле - 4, количество модулей - 6</t>
  </si>
  <si>
    <t>Муфта соединительная проходная  оптическая 24 ОВ</t>
  </si>
  <si>
    <t>Телефонизация (Система телефонной связи): IP-телефон</t>
  </si>
  <si>
    <t>Радиофикация.
радиоприемники типа Лира РП-248-1
настенная полка для приемника</t>
  </si>
  <si>
    <t>Структурированная кабельная система (СКС)
горизонтальная подсистема (медный провод)</t>
  </si>
  <si>
    <t>колодец связи бетонный</t>
  </si>
  <si>
    <t>Система передачи данных систем связи (СПД-СС)</t>
  </si>
  <si>
    <t>Гидрант пожарный, в комплекте с подставкой Ду100</t>
  </si>
  <si>
    <t>Устройство оснований песчаных под колодцы и трубопроводы</t>
  </si>
  <si>
    <t>НЦС 81-02-14-2026
14-07-001-08 (применительно)
Наружные инженерные сети канализации из полиэтиленовых труб, разработка сухого
грунта в отвал, без креплений (группа грунтов 1-3): диаметром 315 мм и глубиной 3 м</t>
  </si>
  <si>
    <t xml:space="preserve">Устройство канализационных ж/б круглых колодцев Д1,0 м, Н=2,5 м </t>
  </si>
  <si>
    <t>НЦС 81-02-19-2026
19-03-006-08
Железобетонные резервуары для воды в сухих грунтах емкостью: 1 000 м³</t>
  </si>
  <si>
    <t>1 м³</t>
  </si>
  <si>
    <t>Устройство очистных сооружений ливневого стока Q=10 л/с, (стеклопластиковая емкость D=2,0 м L=5 м, на железобетонной плите)</t>
  </si>
  <si>
    <t>Устройство узла обеззараживания (УФО) сточных вод Q=10 л/с в стеклопластиковом колодце Д2,0 м, Н=2,5 м на железобетонной плите</t>
  </si>
  <si>
    <t>Устройство узла учета сточных вод в стеклопластиковом колодце Д2,0 м, Н=2,5 м на железобетонной плите</t>
  </si>
  <si>
    <t>Разработка грунта в котловане</t>
  </si>
  <si>
    <t>Кондиционирование</t>
  </si>
  <si>
    <t>Система контроля и управления доступом (СКУД)</t>
  </si>
  <si>
    <t>Система охранного телевидения (СОТ)</t>
  </si>
  <si>
    <t>видеокамера наружная:</t>
  </si>
  <si>
    <t>видеокамера внутренняя:</t>
  </si>
  <si>
    <t>автоматизированное рабочее место (АРМ):</t>
  </si>
  <si>
    <t>Система охранно-тревожной сигнализации (СОТС)</t>
  </si>
  <si>
    <t>Система передачи данных СБ (СПД СБ)</t>
  </si>
  <si>
    <t xml:space="preserve">Система оперативной диспетчерской связи (СОДС) </t>
  </si>
  <si>
    <t>Система локального оповещения (СЛО).</t>
  </si>
  <si>
    <t>Громкоговоритель</t>
  </si>
  <si>
    <t>микрофонная панель</t>
  </si>
  <si>
    <t>Система поддержки климата: 
в кроссовой/серверной
в помещении КПП с АРМ и ТШ.</t>
  </si>
  <si>
    <t>НЦС 81-02-11-2026
11-01-009-03
Кабельные линии сетей связи, при прокладке в траншее с устройством двухтрубной
кабельной канализации, кабелем волоконно-оптическим с центральной модульной
трубкой, с броней из стальных оцинкованных проволок, в полиэтиленовой оболочке:
с количеством волокон в кабеле - 16, оптических волокон
в модуле - 4, количество модулей - 4</t>
  </si>
  <si>
    <t>Магистральная подсистема (ВОЛС 16 ОВ) с устройством двухтрубной кабельной канализации</t>
  </si>
  <si>
    <t>колодец связи бетонный ККС-2</t>
  </si>
  <si>
    <t>НЦС 81-02-11-2026
п.19 таб.1
Устройство кабельного колодца (смотрового устройства): ККС-2</t>
  </si>
  <si>
    <t>1 м³/час</t>
  </si>
  <si>
    <t>НЦС 81-02-19-2026
19-04-001-08
Канализационные насосные станции блочно-модульные производительностью: 36 м³/час</t>
  </si>
  <si>
    <t>с учетом К1=1,1 (учет СМР) и К2=1,15 (учет затрат по главам 1, 8-12 ССР)</t>
  </si>
  <si>
    <t>Сплит-форма Республика Северная Осетия - Алания на 2 квартал 2026 года
18.2.09.04-0010
Сооружение локальное очистное из полимерных композитных материалов в одном корпусе (пескоотделитель, бензомаслоотделитель, сорбционный фильтр, три крышки горловины обслуживания), производительность (расход) 10 л/с, диаметр корпуса 2000 мм, длина 5400 мм
(в ценах 2 квартала 2026 года)</t>
  </si>
  <si>
    <t>Железобетонная плита 3х6 м под установку очистного сооружения</t>
  </si>
  <si>
    <t>НЦС 81-02-16-2026
16-06-003-07
Площадки с покрытием: из армированного цементобетона</t>
  </si>
  <si>
    <t>учтено в НЦС</t>
  </si>
  <si>
    <t>Железобетонная плита 3х3 м под установку УФО</t>
  </si>
  <si>
    <t>Железобетонная плита 3х3 м под установку узла учета сточных вод</t>
  </si>
  <si>
    <t>НЦС 81-02-19-2026
Очистные сооружения очистки ливневых (дождевых) и талых вод, производительностью в=36 м3/час:
19-04-007-01
а=28,3 м3/час, Па=4188,74 тыс.руб.
19-04-007-02
с=500 м3/час, Пс=2623,52 тыс. руб.
Интерполяция:
Пв=Пс-(с-в)*(Пс-Па)/(с-а)
Пв=2623,52-(500-36)*(2623,52-4188,74)/(500-28,3)=4163,19 тыс. руб.</t>
  </si>
  <si>
    <t>НЦС 81-02-16-2026
ОУ п.18
Устройство распашных ворот</t>
  </si>
  <si>
    <t>ССР
Всесезонный туристско-рекреационный комплекс "Архыз", Карачаево-Черкесская Республика. Комплексная система безопасности. Техническая подсистема.
ЛСР 02-01-08 Строительно монтажные работы. Подсистема контроля и управления доступом обслуживающего персонала (СКУД ОП)
(в ценах 2 квартала 2019 года)</t>
  </si>
  <si>
    <t>учтено в стоимости зданий по НЦС</t>
  </si>
  <si>
    <t>ССР
Всесезонный туристско-рекреационный комплекс "Архыз", Карачаево-Черкесская Республика. Комплексная система безопасности. Техническая подсистема.
ЛСР 02-01-13 Строительно монтажные работы. Структурированная кабельная система (СКС)
(в ценах 2 квартала 2019 года)</t>
  </si>
  <si>
    <t>ССР
Всесезонный туристско-рекреационный комплекс "Архыз", Карачаево-Черкесская Республика. Комплексная система безопасности. Техническая подсистема.
ЛСР 02-01-10 Строительно монтажные работы. Подсистема оперативной диспетчерской связи (СОДС)
(в ценах 2 квартала 2019 года)</t>
  </si>
  <si>
    <r>
      <t xml:space="preserve">Всего  в ценах </t>
    </r>
    <r>
      <rPr>
        <sz val="12"/>
        <rFont val="Times New Roman"/>
        <family val="1"/>
        <charset val="204"/>
      </rPr>
      <t xml:space="preserve">соответствуюшего ценового периода, тыс. </t>
    </r>
    <r>
      <rPr>
        <sz val="12"/>
        <color theme="1"/>
        <rFont val="Times New Roman"/>
        <family val="1"/>
        <charset val="204"/>
      </rPr>
      <t>руб. без НДС</t>
    </r>
  </si>
  <si>
    <t>Стоимость с учетом индекса прогнозной инфляции</t>
  </si>
  <si>
    <t>Приказ Минстроя России от 26.12.2019 № 876/пр;
Приказ Минстроя России от 04.08.2020 № 421/пр;
Приказ Минстроя России от 21.12.2020 № 812/пр;
Приказ Минстроя России от 11.12.2020 № 774/пр</t>
  </si>
  <si>
    <t>Приказ Минстроя России от 30 марта 2020 г. № 172/пр, Приказ Минстроя России от 01 июня 2020 г. № 294/пр, Приказ Минстроя России от 30 июня 2020 г. № 352/пр, Приказ Минстроя России от 20 октября 2020 г. № 636/пр, Приказ Минстроя России от 09 февраля 2021 г. № 51/пр, Приказ Минстроя России от 24  мая  2021 г. № 321/пр, Приказ Минстроя России от 24 июня  2021 г. № 408/пр, Приказ Минстроя России от 14 октября  2021 г. № 746/пр, Приказ Минстроя России от 20 декабря  2021 г. № 962/пр;
Приказ Минстроя России от 07.07.2022 № 557/пр;
Приказ Минстроя России от 02.09.2021 № 636/пр, Приказ Минстроя России от 26.07.2022 № 611/пр;
Приказ Минстроя России от 22.04.2022 № 317/пр</t>
  </si>
  <si>
    <t>Письмо Минстроя России от 29.07.2025 № 44077-ИФ/09 «О рекомендуемой величине индексов изменения сметной стоимости строительства на III квартал 2025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</si>
  <si>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«Всесезонный туристско-рекреационный комплекс «Мамисон», Республика Северная Осетия-Алания. Инженерная инфраструктура поселка Калак. Этап 1. Многофункциональный центр»</t>
  </si>
  <si>
    <t>ЛОКАЛЬНЫЙ СМЕТНЫЙ РАСЧЕТ (СМЕТА) № 02-01-01 доп.</t>
  </si>
  <si>
    <t>Раздел ПД №3 2021 -ВТРКМ.МФЦ- АР</t>
  </si>
  <si>
    <t>III квартал 2025 года (01.01.2000)</t>
  </si>
  <si>
    <t>(16220,88)</t>
  </si>
  <si>
    <t>(16206,31)</t>
  </si>
  <si>
    <t>(342,35)</t>
  </si>
  <si>
    <t>(14,57)</t>
  </si>
  <si>
    <t>Раздел 1. Фасад</t>
  </si>
  <si>
    <t>Стены башни</t>
  </si>
  <si>
    <t>531</t>
  </si>
  <si>
    <t>ФЕР15-01-002-05</t>
  </si>
  <si>
    <t>Облицовка стен плитами из известняка толщиной 60 мм при числе плит в 1 м2: более 6</t>
  </si>
  <si>
    <t>531.1</t>
  </si>
  <si>
    <t>Доплата к оплате труда машинистов</t>
  </si>
  <si>
    <t xml:space="preserve"> в т.ч. ОТм</t>
  </si>
  <si>
    <t>Пр/812-015.0-1</t>
  </si>
  <si>
    <t>НР Отделочные работы</t>
  </si>
  <si>
    <t>Пр/774-015.0</t>
  </si>
  <si>
    <t>СП Отделочные работы</t>
  </si>
  <si>
    <t>532</t>
  </si>
  <si>
    <t>ФССЦ-13.2.01.03-0016</t>
  </si>
  <si>
    <t>Кварцит (златолит)-плитняк, необработанный, серебристо-салатовый, фракция 0,5-10 мм</t>
  </si>
  <si>
    <t>647</t>
  </si>
  <si>
    <t>Армирование кладки стен и других конструкций</t>
  </si>
  <si>
    <t>647.1</t>
  </si>
  <si>
    <t>648</t>
  </si>
  <si>
    <t>ФССЦ-08.1.02.17-0097</t>
  </si>
  <si>
    <t>Сетка сварная из арматурной проволоки без покрытия, диаметр проволоки 5,0 мм, размер ячейки 100x100 мм</t>
  </si>
  <si>
    <t>515</t>
  </si>
  <si>
    <t>ФЕР26-01-036-01</t>
  </si>
  <si>
    <t>Изоляция изделиями из волокнистых и зернистых материалов с креплением на клее и дюбелями холодных поверхностей: наружных стен</t>
  </si>
  <si>
    <t>515.1</t>
  </si>
  <si>
    <t>Пр/812-020.0-1</t>
  </si>
  <si>
    <t>НР Теплоизоляционные работы</t>
  </si>
  <si>
    <t>Пр/774-020.0</t>
  </si>
  <si>
    <t>СП Теплоизоляционные работы</t>
  </si>
  <si>
    <t>Утеплитель Роквул Фасад Баттс Оптима 100х600х1200</t>
  </si>
  <si>
    <t>Стены 1, 2 этажа</t>
  </si>
  <si>
    <t>534</t>
  </si>
  <si>
    <t>ФЕР15-01-062-02</t>
  </si>
  <si>
    <t>Наружная облицовка поверхности стен в горизонтальном исполнении по металлическому каркасу (с его устройством): металлосайдингом без пароизоляционного слоя</t>
  </si>
  <si>
    <t>534.1</t>
  </si>
  <si>
    <t>Панель алюминиевая композитная КраспанКомпозит-AL 4мм (0,45*3,1**0,45), огнестойкая (Г1, FR+) RAL 7021 с комплектующими для монтажа</t>
  </si>
  <si>
    <t>639</t>
  </si>
  <si>
    <t>ФЕР26-01-055-01</t>
  </si>
  <si>
    <t>Установка пароизоляционного слоя из: пленки полиэтиленовой</t>
  </si>
  <si>
    <t>639.1</t>
  </si>
  <si>
    <t>640</t>
  </si>
  <si>
    <t>ФССЦ-12.1.02.10-0096</t>
  </si>
  <si>
    <t>Мембрана однослойная ветрозащитная гидроизоляционная Tyvek Housewrap</t>
  </si>
  <si>
    <t>641</t>
  </si>
  <si>
    <t>641.1</t>
  </si>
  <si>
    <t>Стены 1  этажа</t>
  </si>
  <si>
    <t>535</t>
  </si>
  <si>
    <t>ФЕР15-02-005-01</t>
  </si>
  <si>
    <t>Высококачественная штукатурка фасадов декоративным раствором по камню: стен гладких</t>
  </si>
  <si>
    <t>535.1</t>
  </si>
  <si>
    <t>Штукатурка силикатно-силиконовая камешковая Церезит СТ 174 камешковая 2,0 мм цвет РАЛ 7016 (25кг/м)</t>
  </si>
  <si>
    <t>547</t>
  </si>
  <si>
    <t>547.1</t>
  </si>
  <si>
    <t>Стены 2-3  этажа</t>
  </si>
  <si>
    <t>533</t>
  </si>
  <si>
    <t>533.1</t>
  </si>
  <si>
    <t>Планкен скошенный Невский профиль 20*120(116) лиственница АВ, Экран 48 КМ1 (Г1, Д1, Р1) с комплектующими для монтажа</t>
  </si>
  <si>
    <t>643</t>
  </si>
  <si>
    <t>643.1</t>
  </si>
  <si>
    <t>644</t>
  </si>
  <si>
    <t>645</t>
  </si>
  <si>
    <t>645.1</t>
  </si>
  <si>
    <t>Колонны - 1 этаж, стойки - 3 этаж, приямки</t>
  </si>
  <si>
    <t>582</t>
  </si>
  <si>
    <t>582.1</t>
  </si>
  <si>
    <t>Подшивка карнизов, кронштейнов, балконов, крыльца, террасы</t>
  </si>
  <si>
    <t>539</t>
  </si>
  <si>
    <t>539.1</t>
  </si>
  <si>
    <t>Терраса в осях "4-9"/"Б-Д" ( 3 этаж)</t>
  </si>
  <si>
    <t>584</t>
  </si>
  <si>
    <t>Облицовка стен декоративным бумажно-слоистым пластиком или листами из синтетических материалов: по деревянной обрешетке</t>
  </si>
  <si>
    <t>584.1</t>
  </si>
  <si>
    <t>585</t>
  </si>
  <si>
    <t>ФССЦ-11.3.03.19-0312</t>
  </si>
  <si>
    <t>Вентиляционные шахты</t>
  </si>
  <si>
    <t>586</t>
  </si>
  <si>
    <t>586.1</t>
  </si>
  <si>
    <t>Труба котельной</t>
  </si>
  <si>
    <t>551</t>
  </si>
  <si>
    <t>551.1</t>
  </si>
  <si>
    <t>Откосы наружные оконные и дверные</t>
  </si>
  <si>
    <t>553</t>
  </si>
  <si>
    <t>ФЕР10-01-012-01</t>
  </si>
  <si>
    <t>Обшивка каркасных стен: досками обшивки</t>
  </si>
  <si>
    <t>553.1</t>
  </si>
  <si>
    <t>Пр/812-010.0-1</t>
  </si>
  <si>
    <t>НР Деревянные конструкции</t>
  </si>
  <si>
    <t>Пр/774-010.0</t>
  </si>
  <si>
    <t>СП Деревянные конструкции</t>
  </si>
  <si>
    <t>559</t>
  </si>
  <si>
    <t>559.1</t>
  </si>
  <si>
    <t>561</t>
  </si>
  <si>
    <t>561.1</t>
  </si>
  <si>
    <t>Крыльцо</t>
  </si>
  <si>
    <t>ФЕР11-01-047-02</t>
  </si>
  <si>
    <t>Устройство покрытий из плит керамогранитных размером: 60х60 см</t>
  </si>
  <si>
    <t>Пр/812-011.0-1</t>
  </si>
  <si>
    <t>НР Полы</t>
  </si>
  <si>
    <t>Пр/774-011.0</t>
  </si>
  <si>
    <t>СП Полы</t>
  </si>
  <si>
    <t>ФССЦ-06.2.05.03-1000</t>
  </si>
  <si>
    <t>Плитка керамогранитная, размер 300x300x8 мм</t>
  </si>
  <si>
    <t>ФССЦ-14.1.06.02-1002</t>
  </si>
  <si>
    <t>Клей плиточный</t>
  </si>
  <si>
    <t>ФССЦ-14.4.01.02-0012</t>
  </si>
  <si>
    <t>Стены/ конструкции  крыльца, пандусов</t>
  </si>
  <si>
    <t>588</t>
  </si>
  <si>
    <t>588.1</t>
  </si>
  <si>
    <t>Вентиляционные короба</t>
  </si>
  <si>
    <t>590</t>
  </si>
  <si>
    <t>ФЕР15-01-063-02</t>
  </si>
  <si>
    <t>Наружная облицовка поверхности стен в вертикальном исполнении по металлическому каркасу (с его устройством): металлосайдингом без пароизоляционного слоя</t>
  </si>
  <si>
    <t>590.1</t>
  </si>
  <si>
    <t>591</t>
  </si>
  <si>
    <t>ФССЦ-07.2.06.06-0091</t>
  </si>
  <si>
    <t>Фасадная панель из оцинкованной стали с покрытием полиэстер</t>
  </si>
  <si>
    <t>Стеклянные козырьки</t>
  </si>
  <si>
    <t>565</t>
  </si>
  <si>
    <t>ФЕРр69-2-1</t>
  </si>
  <si>
    <t>Сверление отверстий: в кирпичных стенах электроперфоратором диаметром до 20 мм, толщина стен 0,5 кирпича</t>
  </si>
  <si>
    <t>100 отверстий</t>
  </si>
  <si>
    <t>Пр/812-103.0-1</t>
  </si>
  <si>
    <t>НР Прочие ремонтно-строительные работы</t>
  </si>
  <si>
    <t>Пр/774-103.0</t>
  </si>
  <si>
    <t>СП Прочие ремонтно-строительные работы</t>
  </si>
  <si>
    <t>566</t>
  </si>
  <si>
    <t>ФЕР09-05-003-02</t>
  </si>
  <si>
    <t>Постановка болтов: высокопрочных</t>
  </si>
  <si>
    <t>566.1</t>
  </si>
  <si>
    <t>Пр/774-009.0</t>
  </si>
  <si>
    <t>529</t>
  </si>
  <si>
    <t>ФССЦ-01.7.15.03-0043</t>
  </si>
  <si>
    <t>564</t>
  </si>
  <si>
    <t>ФЕРм29-01-050-02</t>
  </si>
  <si>
    <t>Навеска стального каната для: дымовых люков, комплект одного клапана</t>
  </si>
  <si>
    <t>Пр/812-071.0-1</t>
  </si>
  <si>
    <t>НР Оборудование театрально-зрелищных предприятий</t>
  </si>
  <si>
    <t>Пр/774-071.0</t>
  </si>
  <si>
    <t>СП Оборудование театрально-зрелищных предприятий</t>
  </si>
  <si>
    <t>567</t>
  </si>
  <si>
    <t>Монтаж потолков подвесных: комбинированных стальных с облицовкой алюминиевыми листами</t>
  </si>
  <si>
    <t>567.1</t>
  </si>
  <si>
    <t>Стеклянные козырки на подвесах из стекла триплекс</t>
  </si>
  <si>
    <t>Стеклянные ограждения</t>
  </si>
  <si>
    <t>530</t>
  </si>
  <si>
    <t>Устройство балконных светопрозрачных ограждений на основе алюминиевых профилей и перильных ограждений на основе стального каркаса</t>
  </si>
  <si>
    <t>Стеклянное ограждение на зажимном профиле с верхним профилем триплекс 8+8), h=1,2</t>
  </si>
  <si>
    <t>Подоконные доски</t>
  </si>
  <si>
    <t>592</t>
  </si>
  <si>
    <t>ФЕР07-05-030-11</t>
  </si>
  <si>
    <t>Установка мелких конструкций (подоконников, сливов, парапетов и др.) массой до 0,5 т</t>
  </si>
  <si>
    <t>592.1</t>
  </si>
  <si>
    <t>Пр/812-007.1-1</t>
  </si>
  <si>
    <t>НР Бетонные и железобетонные сборные конструкции жилых, общественных и административно-бытовых зданий промышленных предприятий</t>
  </si>
  <si>
    <t>Пр/774-007.1</t>
  </si>
  <si>
    <t>СП Бетонные и железобетонные сборные конструкции жилых, общественных и административно-бытовых зданий промышленных предприятий</t>
  </si>
  <si>
    <t>593</t>
  </si>
  <si>
    <t>Водоотлив оконный из оцинкованной стали с полимерным покрытием, ширина планки 250 мм</t>
  </si>
  <si>
    <t>Сантехнические перегородки</t>
  </si>
  <si>
    <t>612</t>
  </si>
  <si>
    <t>ФЕР10-04-014-01</t>
  </si>
  <si>
    <t>Устройство сантехнических перегородок: (стандартные туалетные кабины) на каркасе из алюминиевого профиля</t>
  </si>
  <si>
    <t>Итоги по разделу 1 Фасад :</t>
  </si>
  <si>
    <t xml:space="preserve">                    в том числе:</t>
  </si>
  <si>
    <t xml:space="preserve">                         эксплуатация машин и механизмов без учета доплат к оплаты труда машинистов</t>
  </si>
  <si>
    <t xml:space="preserve">                              в том числе оплата труда машинистов (ОТм)</t>
  </si>
  <si>
    <t xml:space="preserve">                         доплаты к оплате труда машинистов</t>
  </si>
  <si>
    <t xml:space="preserve">     Монтажные работы</t>
  </si>
  <si>
    <t xml:space="preserve"> Всего по разделу 1 Фасад</t>
  </si>
  <si>
    <t xml:space="preserve">          Материальные ресурсы, отсутствующие в ФРСН</t>
  </si>
  <si>
    <t>11745,7165576</t>
  </si>
  <si>
    <t>66,456036</t>
  </si>
  <si>
    <t>Раздел 2. Полы</t>
  </si>
  <si>
    <t>1 этаж</t>
  </si>
  <si>
    <t>Тип 1.1</t>
  </si>
  <si>
    <t>ФЕР11-01-009-01</t>
  </si>
  <si>
    <t>Устройство тепло- и звукоизоляции сплошной из плит: или матов минераловатных или стекловолокнистых</t>
  </si>
  <si>
    <t>Прил.26.2</t>
  </si>
  <si>
    <t>При выполнении работ по изоляции поверхностей только сверху ОЗП=0,75; ТЗ=0,75</t>
  </si>
  <si>
    <t>ФЕР11-01-050-01</t>
  </si>
  <si>
    <t>Устройство пароизоляции из полиэтиленовой пленки в один слой насухо</t>
  </si>
  <si>
    <t>ФЕР11-01-011-01</t>
  </si>
  <si>
    <t>Устройство стяжек: цементных толщиной 20 мм</t>
  </si>
  <si>
    <t>Устройство стяжек: на каждые 5 мм изменения толщины стяжки добавлять или исключать к расценке 11-01-011-01</t>
  </si>
  <si>
    <t>количество слоев</t>
  </si>
  <si>
    <t>До толщины 40 мм ПЗ=4 (ОЗП=4; ЭМ=4 к расх.; ЗПМ=4; МАТ=4 к расх.; ТЗ=4; ТЗМ=4)</t>
  </si>
  <si>
    <t>45.1</t>
  </si>
  <si>
    <t>236</t>
  </si>
  <si>
    <t>ФССЦ-04.3.02.09-0939</t>
  </si>
  <si>
    <t>Смеси сухие цементные с полимерными добавками, фиброй, коррозионно-защитные, гидроизоляционные, огнестойкие, для ремонта бетонных, железобетонных и каменных конструкций</t>
  </si>
  <si>
    <t>ФЕР15-07-003-02</t>
  </si>
  <si>
    <t>Нанесение водно-дисперсионной грунтовки на поверхности: пористые (камень, кирпич, бетон и т.д.)</t>
  </si>
  <si>
    <t>47.1</t>
  </si>
  <si>
    <t>49.1</t>
  </si>
  <si>
    <t>ФССЦ-11.2.04.05-0001</t>
  </si>
  <si>
    <t>Рейки деревянные, сечение 8х18 мм</t>
  </si>
  <si>
    <t>ФССЦ-06.2.05.03-1004</t>
  </si>
  <si>
    <t>Плитка керамогранитная, размер 600х600х10 мм</t>
  </si>
  <si>
    <t>Тип 1.2</t>
  </si>
  <si>
    <t>ФЕР11-01-004-03</t>
  </si>
  <si>
    <t>Устройство гидроизоляции оклеечной рулонными материалами: на резино-битумной мастике, первый слой</t>
  </si>
  <si>
    <t>53.1</t>
  </si>
  <si>
    <t>ФССЦ-12.1.02.03-0162</t>
  </si>
  <si>
    <t>Техноэласт: Барьер ЭПС</t>
  </si>
  <si>
    <t>ФЕР11-01-004-04</t>
  </si>
  <si>
    <t>Устройство гидроизоляции оклеечной рулонными материалами: на резино-битумной мастике, последующий слой</t>
  </si>
  <si>
    <t>55.1</t>
  </si>
  <si>
    <t>57.1</t>
  </si>
  <si>
    <t>ФССЦ-12.2.05.09-0043</t>
  </si>
  <si>
    <t>Плиты теплоизоляционные из экструзионного вспененного полистирола ПЕНОПЛЭКС-35</t>
  </si>
  <si>
    <t>62.1</t>
  </si>
  <si>
    <t>64.1</t>
  </si>
  <si>
    <t>635</t>
  </si>
  <si>
    <t>66.1</t>
  </si>
  <si>
    <t>ФЕР11-01-027-06</t>
  </si>
  <si>
    <t>Устройство покрытий на растворе из сухой смеси с приготовлением раствора в построечных условиях из плиток: гладких неглазурованных керамических для полов одноцветных</t>
  </si>
  <si>
    <t>68.1</t>
  </si>
  <si>
    <t>Тип 1.3</t>
  </si>
  <si>
    <t>636</t>
  </si>
  <si>
    <t>78.1</t>
  </si>
  <si>
    <t>Тип 1.4</t>
  </si>
  <si>
    <t>540</t>
  </si>
  <si>
    <t>93.1</t>
  </si>
  <si>
    <t>95.1</t>
  </si>
  <si>
    <t>ФССЦ-11.3.03.08-0001</t>
  </si>
  <si>
    <t>Подложка звукоизоляционная под паркет толщина 3 мм</t>
  </si>
  <si>
    <t>Кварц-виниловый ламинат, толщиной 3 мм</t>
  </si>
  <si>
    <t>Тип 1.5</t>
  </si>
  <si>
    <t>546</t>
  </si>
  <si>
    <t>110.1</t>
  </si>
  <si>
    <t>Тип 1.6</t>
  </si>
  <si>
    <t>549</t>
  </si>
  <si>
    <t>115.1</t>
  </si>
  <si>
    <t>2 этаж</t>
  </si>
  <si>
    <t>Тип 2.1</t>
  </si>
  <si>
    <t>ФЕР11-01-052-01</t>
  </si>
  <si>
    <t>Устройство полимерных наливных полов из полиуретана: с толщиной покрытия 2 мм</t>
  </si>
  <si>
    <t>144.1</t>
  </si>
  <si>
    <t>ФССЦ-14.3.01.01-1002</t>
  </si>
  <si>
    <t>ФССЦ-14.4.03.15-0101</t>
  </si>
  <si>
    <t>Покрытие полиуретановое КТ пол ЛАК 106</t>
  </si>
  <si>
    <t>Устройство полимерных наливных полов из полиуретана: на каждые 0,5 мм изменения толщины покрытия добавлять или исключать к расценке 11-01-052-03</t>
  </si>
  <si>
    <t>Количество слоев: 56 ПЗ=56 (ОЗП=56; ЭМ=56 к расх.; ЗПМ=56; МАТ=56 к расх.; ТЗ=56; ТЗМ=56)</t>
  </si>
  <si>
    <t>147.1</t>
  </si>
  <si>
    <t>Тип 2.2</t>
  </si>
  <si>
    <t>149.1</t>
  </si>
  <si>
    <t>150</t>
  </si>
  <si>
    <t>159</t>
  </si>
  <si>
    <t>159.1</t>
  </si>
  <si>
    <t>160</t>
  </si>
  <si>
    <t>161</t>
  </si>
  <si>
    <t>162</t>
  </si>
  <si>
    <t>162.1</t>
  </si>
  <si>
    <t>163</t>
  </si>
  <si>
    <t>163.1</t>
  </si>
  <si>
    <t>Тип 2.3</t>
  </si>
  <si>
    <t>170</t>
  </si>
  <si>
    <t>170.1</t>
  </si>
  <si>
    <t>171</t>
  </si>
  <si>
    <t>172</t>
  </si>
  <si>
    <t>173</t>
  </si>
  <si>
    <t>Количество слоев: 36 ПЗ=36 (ОЗП=36; ЭМ=36 к расх.; ЗПМ=36; МАТ=36 к расх.; ТЗ=36; ТЗМ=36)</t>
  </si>
  <si>
    <t>173.1</t>
  </si>
  <si>
    <t>Тип 2.5</t>
  </si>
  <si>
    <t>216</t>
  </si>
  <si>
    <t>216.1</t>
  </si>
  <si>
    <t>217</t>
  </si>
  <si>
    <t>218</t>
  </si>
  <si>
    <t>219</t>
  </si>
  <si>
    <t>219.1</t>
  </si>
  <si>
    <t>220</t>
  </si>
  <si>
    <t>220.1</t>
  </si>
  <si>
    <t>221</t>
  </si>
  <si>
    <t>222</t>
  </si>
  <si>
    <t>223</t>
  </si>
  <si>
    <t>Количество слоев: 2 ПЗ=2 (ОЗП=2; ЭМ=2 к расх.; ЗПМ=2; МАТ=2 к расх.; ТЗ=2; ТЗМ=2)</t>
  </si>
  <si>
    <t>223.1</t>
  </si>
  <si>
    <t>Тип 2.6</t>
  </si>
  <si>
    <t>550</t>
  </si>
  <si>
    <t>227</t>
  </si>
  <si>
    <t>227.1</t>
  </si>
  <si>
    <t>228</t>
  </si>
  <si>
    <t>3 этаж</t>
  </si>
  <si>
    <t>Тип 3.1</t>
  </si>
  <si>
    <t>231</t>
  </si>
  <si>
    <t>231.1</t>
  </si>
  <si>
    <t>235</t>
  </si>
  <si>
    <t>До толщины 100 мм ПЗ=16 (ОЗП=16; ЭМ=16 к расх.; ЗПМ=16; МАТ=16 к расх.; ТЗ=16; ТЗМ=16)</t>
  </si>
  <si>
    <t>235.1</t>
  </si>
  <si>
    <t>237</t>
  </si>
  <si>
    <t>237.1</t>
  </si>
  <si>
    <t>238</t>
  </si>
  <si>
    <t>239</t>
  </si>
  <si>
    <t>239.1</t>
  </si>
  <si>
    <t>Тип 3.2</t>
  </si>
  <si>
    <t>240</t>
  </si>
  <si>
    <t>240.1</t>
  </si>
  <si>
    <t>241</t>
  </si>
  <si>
    <t>ФССЦ-12.1.02.03-0179</t>
  </si>
  <si>
    <t>Техноэласт: Термо ЭПП</t>
  </si>
  <si>
    <t>246</t>
  </si>
  <si>
    <t>246.1</t>
  </si>
  <si>
    <t>250</t>
  </si>
  <si>
    <t>250.1</t>
  </si>
  <si>
    <t>251</t>
  </si>
  <si>
    <t>252</t>
  </si>
  <si>
    <t>252.1</t>
  </si>
  <si>
    <t>253</t>
  </si>
  <si>
    <t>254</t>
  </si>
  <si>
    <t>254.1</t>
  </si>
  <si>
    <t>Тип 3.3</t>
  </si>
  <si>
    <t>261</t>
  </si>
  <si>
    <t>261.1</t>
  </si>
  <si>
    <t>263</t>
  </si>
  <si>
    <t>263.1</t>
  </si>
  <si>
    <t>264</t>
  </si>
  <si>
    <t>Тип 3.4</t>
  </si>
  <si>
    <t>269</t>
  </si>
  <si>
    <t>ФЕР11-01-008-03</t>
  </si>
  <si>
    <t>Устройство тепло- и звукоизоляции засыпной: керамзитовой</t>
  </si>
  <si>
    <t>269.1</t>
  </si>
  <si>
    <t>270</t>
  </si>
  <si>
    <t>ФССЦ-02.2.01.03-0018</t>
  </si>
  <si>
    <t>271</t>
  </si>
  <si>
    <t>ФЕР06-03-004-12</t>
  </si>
  <si>
    <t>Армирование подстилающих слоев и набетонок</t>
  </si>
  <si>
    <t>271.1</t>
  </si>
  <si>
    <t>272</t>
  </si>
  <si>
    <t>ФССЦ-08.1.02.17-0091</t>
  </si>
  <si>
    <t>Сетка сварная из арматурной проволоки без покрытия, диаметр проволоки 4,0 мм, размер ячейки 100х100 мм</t>
  </si>
  <si>
    <t>273</t>
  </si>
  <si>
    <t>273.1</t>
  </si>
  <si>
    <t>274</t>
  </si>
  <si>
    <t>ФССЦ-04.3.01.09-0015</t>
  </si>
  <si>
    <t>275</t>
  </si>
  <si>
    <t>275.1</t>
  </si>
  <si>
    <t>276</t>
  </si>
  <si>
    <t>277</t>
  </si>
  <si>
    <t>ФЕР11-01-004-09</t>
  </si>
  <si>
    <t>Устройство гидроизоляции обмазочной: в один слой праймером</t>
  </si>
  <si>
    <t>277.1</t>
  </si>
  <si>
    <t>278</t>
  </si>
  <si>
    <t>278.1</t>
  </si>
  <si>
    <t>279</t>
  </si>
  <si>
    <t>280</t>
  </si>
  <si>
    <t>280.1</t>
  </si>
  <si>
    <t>281</t>
  </si>
  <si>
    <t>282</t>
  </si>
  <si>
    <t>ФЕР27-04-016-06</t>
  </si>
  <si>
    <t>Устройство прослойки из нетканого синтетического материала (НСМ) при укреплении откосов: неподтопляемой</t>
  </si>
  <si>
    <t>282.1</t>
  </si>
  <si>
    <t>283</t>
  </si>
  <si>
    <t>ФССЦ-01.7.12.05-0053</t>
  </si>
  <si>
    <t>Геотекстиль нетканый из полиэфирного волокна, иглопробивной, поверхностная плотность 200 г/м2</t>
  </si>
  <si>
    <t>284</t>
  </si>
  <si>
    <t>284.1</t>
  </si>
  <si>
    <t>285</t>
  </si>
  <si>
    <t>ФССЦ-12.2.05.09-0009</t>
  </si>
  <si>
    <t>Пенополистирол экструдированный ТЕХНОНИКОЛЬ XPS CARBON 35-300</t>
  </si>
  <si>
    <t>286</t>
  </si>
  <si>
    <t>286.1</t>
  </si>
  <si>
    <t>287</t>
  </si>
  <si>
    <t>ФССЦ-12.1.02.10-0098</t>
  </si>
  <si>
    <t>Мембрана профилированная гидроизоляционная, высота шипа 8 мм, прочность 300-600 Н, относительное удлинение при разрыве не менее 24-28 %, Г4</t>
  </si>
  <si>
    <t>288</t>
  </si>
  <si>
    <t>ФЕР11-01-002-03</t>
  </si>
  <si>
    <t>Устройство подстилающих слоев: гравийных</t>
  </si>
  <si>
    <t>288.1</t>
  </si>
  <si>
    <t>289</t>
  </si>
  <si>
    <t>ФССЦ-02.2.01.02-1043</t>
  </si>
  <si>
    <t>Гравий М 600, фракция 5(3)-10 мм</t>
  </si>
  <si>
    <t>290</t>
  </si>
  <si>
    <t>290.1</t>
  </si>
  <si>
    <t>291</t>
  </si>
  <si>
    <t>292</t>
  </si>
  <si>
    <t>292.1</t>
  </si>
  <si>
    <t>293</t>
  </si>
  <si>
    <t>294</t>
  </si>
  <si>
    <t>До толщины 30 мм ПЗ=2 (ОЗП=2; ЭМ=2 к расх.; ЗПМ=2; МАТ=2 к расх.; ТЗ=2; ТЗМ=2)</t>
  </si>
  <si>
    <t>294.1</t>
  </si>
  <si>
    <t>295</t>
  </si>
  <si>
    <t>296</t>
  </si>
  <si>
    <t>ФЕР27-07-003-02</t>
  </si>
  <si>
    <t>Устройство бетонных плитных тротуаров с заполнением швов: песком</t>
  </si>
  <si>
    <t>296.1</t>
  </si>
  <si>
    <t>Пр/812-021.1-1</t>
  </si>
  <si>
    <t>НР Устройство покрытий дорожек, тротуаров, мостовых и площадок и прочее</t>
  </si>
  <si>
    <t>Пр/774-021.1</t>
  </si>
  <si>
    <t>СП Устройство покрытий дорожек, тротуаров, мостовых и площадок и прочее</t>
  </si>
  <si>
    <t>297</t>
  </si>
  <si>
    <t>ФССЦ-05.2.02.22-0012</t>
  </si>
  <si>
    <t>Тип 3.5</t>
  </si>
  <si>
    <t>304</t>
  </si>
  <si>
    <t>304.1</t>
  </si>
  <si>
    <t>305</t>
  </si>
  <si>
    <t>306</t>
  </si>
  <si>
    <t>306.1</t>
  </si>
  <si>
    <t>307</t>
  </si>
  <si>
    <t>619</t>
  </si>
  <si>
    <t>619.1</t>
  </si>
  <si>
    <t>638</t>
  </si>
  <si>
    <t>ФЕР11-01-036-01</t>
  </si>
  <si>
    <t>Устройство покрытий: из линолеума на клее</t>
  </si>
  <si>
    <t>638.1</t>
  </si>
  <si>
    <t>617</t>
  </si>
  <si>
    <t>ФССЦ-01.6.03.04-0012</t>
  </si>
  <si>
    <t>Линолеум (плитка) ARMSTRONG, ПВХ, толщиной: 2,5 мм</t>
  </si>
  <si>
    <t>618</t>
  </si>
  <si>
    <t>ФССЦ-14.1.02.04-0102</t>
  </si>
  <si>
    <t>Тип 3.6</t>
  </si>
  <si>
    <t>313</t>
  </si>
  <si>
    <t>313.1</t>
  </si>
  <si>
    <t>314</t>
  </si>
  <si>
    <t>319</t>
  </si>
  <si>
    <t>319.1</t>
  </si>
  <si>
    <t>323</t>
  </si>
  <si>
    <t>323.1</t>
  </si>
  <si>
    <t>324</t>
  </si>
  <si>
    <t>325</t>
  </si>
  <si>
    <t>325.1</t>
  </si>
  <si>
    <t>326</t>
  </si>
  <si>
    <t>327</t>
  </si>
  <si>
    <t>327.1</t>
  </si>
  <si>
    <t>328</t>
  </si>
  <si>
    <t>329</t>
  </si>
  <si>
    <t>330</t>
  </si>
  <si>
    <t>Тип 3.7</t>
  </si>
  <si>
    <t>333</t>
  </si>
  <si>
    <t>333.1</t>
  </si>
  <si>
    <t>334</t>
  </si>
  <si>
    <t>335</t>
  </si>
  <si>
    <t>335.1</t>
  </si>
  <si>
    <t>336</t>
  </si>
  <si>
    <t>Чердак</t>
  </si>
  <si>
    <t>Тип 4.1</t>
  </si>
  <si>
    <t>Тип 4.2</t>
  </si>
  <si>
    <t>362</t>
  </si>
  <si>
    <t>362.1</t>
  </si>
  <si>
    <t>363</t>
  </si>
  <si>
    <t>Тип 4.3</t>
  </si>
  <si>
    <t>368</t>
  </si>
  <si>
    <t>368.1</t>
  </si>
  <si>
    <t>369</t>
  </si>
  <si>
    <t>в 2 слоя ПЗ=2 (ОЗП=2; ЭМ=2 к расх.; ЗПМ=2; МАТ=2 к расх.; ТЗ=2; ТЗМ=2)</t>
  </si>
  <si>
    <t>369.1</t>
  </si>
  <si>
    <t>370</t>
  </si>
  <si>
    <t>Плиты минераловатные "Руф Баттс" ROCKWOOL</t>
  </si>
  <si>
    <t>371</t>
  </si>
  <si>
    <t>372</t>
  </si>
  <si>
    <t>ФЕР26-01-055-02</t>
  </si>
  <si>
    <t>Установка пароизоляционного слоя из: пленки полиэтиленовой (без стекловолокнистых материалов)</t>
  </si>
  <si>
    <t>372.1</t>
  </si>
  <si>
    <t>373</t>
  </si>
  <si>
    <t>376</t>
  </si>
  <si>
    <t>376.1</t>
  </si>
  <si>
    <t>378</t>
  </si>
  <si>
    <t>378.1</t>
  </si>
  <si>
    <t>379</t>
  </si>
  <si>
    <t>380</t>
  </si>
  <si>
    <t>380.1</t>
  </si>
  <si>
    <t>Башня</t>
  </si>
  <si>
    <t>Плинтусы</t>
  </si>
  <si>
    <t>423</t>
  </si>
  <si>
    <t>ФЕР11-01-039-04</t>
  </si>
  <si>
    <t>Устройство плинтусов: из плиток керамических</t>
  </si>
  <si>
    <t>423.1</t>
  </si>
  <si>
    <t>424</t>
  </si>
  <si>
    <t>ФССЦ-06.2.02.01-0041</t>
  </si>
  <si>
    <t>Плитки керамические для полов гладкие глазурованные, декорированные методом сериографии, с одноцветным рисунком, квадратные толщиной: 11 мм</t>
  </si>
  <si>
    <t>Итоги по разделу 2 Полы :</t>
  </si>
  <si>
    <t xml:space="preserve"> Всего по разделу 2 Полы</t>
  </si>
  <si>
    <t>5279,96713</t>
  </si>
  <si>
    <t>134,29316</t>
  </si>
  <si>
    <t>Раздел 3. Потолки</t>
  </si>
  <si>
    <t>431</t>
  </si>
  <si>
    <t>Устройство потолков: плитно-ячеистых по каркасу из оцинкованного профиля</t>
  </si>
  <si>
    <t>431.1</t>
  </si>
  <si>
    <t>433</t>
  </si>
  <si>
    <t>Установка подвесного решетчатого (растрового) потолка</t>
  </si>
  <si>
    <t>434</t>
  </si>
  <si>
    <t>Комплекты элементов потолков панельных без перфорации ЛАП 06-06-4</t>
  </si>
  <si>
    <t>607</t>
  </si>
  <si>
    <t>ФЕР15-04-007-02</t>
  </si>
  <si>
    <t>Окраска водно-дисперсионными акриловыми составами улучшенная: по штукатурке потолков</t>
  </si>
  <si>
    <t>607.1</t>
  </si>
  <si>
    <t>608</t>
  </si>
  <si>
    <t>ФССЦ-14.3.01.02-0103</t>
  </si>
  <si>
    <t>Грунтовка воднодисперсионная CERESIT CT 17</t>
  </si>
  <si>
    <t>609</t>
  </si>
  <si>
    <t>ФССЦ-14.3.02.01-0215</t>
  </si>
  <si>
    <t>Краска водно-дисперсионная "ИНТЕРИОР 7" ВД-АК-204</t>
  </si>
  <si>
    <t>428</t>
  </si>
  <si>
    <t>428.1</t>
  </si>
  <si>
    <t>429</t>
  </si>
  <si>
    <t>430</t>
  </si>
  <si>
    <t>526</t>
  </si>
  <si>
    <t>ФЕР15-04-005-03</t>
  </si>
  <si>
    <t>Окраска поливинилацетатными водоэмульсионными составами улучшенная: по штукатурке стен</t>
  </si>
  <si>
    <t>526.1</t>
  </si>
  <si>
    <t>527</t>
  </si>
  <si>
    <t>ФССЦ-14.3.02.01-0221</t>
  </si>
  <si>
    <t>Краска водоэмульсионная для внутренних работ ВАК-10</t>
  </si>
  <si>
    <t>528</t>
  </si>
  <si>
    <t>ФЕР15-01-051-03</t>
  </si>
  <si>
    <t>Устройство натяжных потолков из поливинилхлоридной пленки (ПВХ) гарпунным способом в помещениях площадью: более 50 м2</t>
  </si>
  <si>
    <t>528.1</t>
  </si>
  <si>
    <t>624</t>
  </si>
  <si>
    <t>ФССЦ-01.6.04.05-0021</t>
  </si>
  <si>
    <t>Полотно натяжного потолка Standart лаковое белое с бортиком из ПВХ (гарпун)</t>
  </si>
  <si>
    <t>Итоги по разделу 3 Потолки :</t>
  </si>
  <si>
    <t xml:space="preserve"> Всего по разделу 3 Потолки</t>
  </si>
  <si>
    <t>1614,6787</t>
  </si>
  <si>
    <t>6,20057</t>
  </si>
  <si>
    <t>Раздел 4. Стены</t>
  </si>
  <si>
    <t>442</t>
  </si>
  <si>
    <t>ФЕР15-04-007-01</t>
  </si>
  <si>
    <t>Окраска водно-дисперсионными акриловыми составами улучшенная: по штукатурке стен</t>
  </si>
  <si>
    <t>442.1</t>
  </si>
  <si>
    <t>443</t>
  </si>
  <si>
    <t>444</t>
  </si>
  <si>
    <t>572</t>
  </si>
  <si>
    <t>ФЕР15-04-006-03</t>
  </si>
  <si>
    <t>Покрытие поверхностей грунтовкой глубокого проникновения: за 1 раз стен</t>
  </si>
  <si>
    <t>572.1</t>
  </si>
  <si>
    <t>576</t>
  </si>
  <si>
    <t>ФССЦ-14.3.01.02-0102</t>
  </si>
  <si>
    <t>Грунтовка: водно-дисперсионная "БИРСС Бетон-контакт"</t>
  </si>
  <si>
    <t>573</t>
  </si>
  <si>
    <t>ФЕР15-02-019-03</t>
  </si>
  <si>
    <t>Сплошное выравнивание внутренних поверхностей (однослойное оштукатуривание) из сухих растворных смесей толщиной до 10 мм: стен</t>
  </si>
  <si>
    <t>573.1</t>
  </si>
  <si>
    <t>571</t>
  </si>
  <si>
    <t>ФССЦ-04.3.02.05-0002</t>
  </si>
  <si>
    <t>Смеси сухие штукатурные гипсовые с легким заполнителем и полимерными добавками, класс B3,5 (M50)</t>
  </si>
  <si>
    <t>570</t>
  </si>
  <si>
    <t>570.1</t>
  </si>
  <si>
    <t>574</t>
  </si>
  <si>
    <t>578</t>
  </si>
  <si>
    <t>ФЕР15-02-016-05</t>
  </si>
  <si>
    <t>Штукатурка поверхностей внутри здания цементно-известковым или цементным раствором по камню и бетону: высококачественная стен</t>
  </si>
  <si>
    <t>578.1</t>
  </si>
  <si>
    <t>597</t>
  </si>
  <si>
    <t>597.1</t>
  </si>
  <si>
    <t>599</t>
  </si>
  <si>
    <t>594</t>
  </si>
  <si>
    <t>594.1</t>
  </si>
  <si>
    <t>595</t>
  </si>
  <si>
    <t>596</t>
  </si>
  <si>
    <t>ФССЦ-14.2.02.03-0013</t>
  </si>
  <si>
    <t>Краска огнезащитная: "БИРСС Огнестоп", тон средний</t>
  </si>
  <si>
    <t>Отделка низа лестничных маршей и межэтажных площадок</t>
  </si>
  <si>
    <t>575</t>
  </si>
  <si>
    <t>575.1</t>
  </si>
  <si>
    <t>577</t>
  </si>
  <si>
    <t>579</t>
  </si>
  <si>
    <t>579.1</t>
  </si>
  <si>
    <t>581</t>
  </si>
  <si>
    <t>600</t>
  </si>
  <si>
    <t>600.1</t>
  </si>
  <si>
    <t>601</t>
  </si>
  <si>
    <t>602</t>
  </si>
  <si>
    <t>Отделка колонн</t>
  </si>
  <si>
    <t>603</t>
  </si>
  <si>
    <t>603.1</t>
  </si>
  <si>
    <t>623</t>
  </si>
  <si>
    <t>635.1</t>
  </si>
  <si>
    <t>ФССЦ-14.3.01.03-0001</t>
  </si>
  <si>
    <t>604</t>
  </si>
  <si>
    <t>ФЕР15-02-016-03</t>
  </si>
  <si>
    <t>Штукатурка поверхностей внутри здания цементно-известковым или цементным раствором по камню и бетону: улучшенная стен</t>
  </si>
  <si>
    <t>604.1</t>
  </si>
  <si>
    <t>605</t>
  </si>
  <si>
    <t>ФЕР15-01-004-12</t>
  </si>
  <si>
    <t>Облицовка плитами из мрамора и травертина (полированного) толщиной 25 мм четырехгранных колонн при числе плит в 1 м2: более 6</t>
  </si>
  <si>
    <t>605.1</t>
  </si>
  <si>
    <t>606</t>
  </si>
  <si>
    <t>ФССЦ-13.1.03.01-0003</t>
  </si>
  <si>
    <t>Плиты облицовочные из известняка, доломита, гипсового камня, травертина, класс 1, пиленые, толщина 20 мм</t>
  </si>
  <si>
    <t>Итоги по разделу 4 Стены :</t>
  </si>
  <si>
    <t xml:space="preserve"> Всего по разделу 4 Стены</t>
  </si>
  <si>
    <t>10128,14243</t>
  </si>
  <si>
    <t>125,08966</t>
  </si>
  <si>
    <t>Раздел 5. Окна</t>
  </si>
  <si>
    <t>Окна внутренние</t>
  </si>
  <si>
    <t>460</t>
  </si>
  <si>
    <t>ФЕР09-04-015-01</t>
  </si>
  <si>
    <t>Установка в жилых и общественных зданиях оконных блоков из алюминиевых профилей: глухих с площадью проема до 2 м2</t>
  </si>
  <si>
    <t>460.1</t>
  </si>
  <si>
    <t>461</t>
  </si>
  <si>
    <t>ФССЦ-09.4.03.05-1022</t>
  </si>
  <si>
    <t>Блок оконный из алюминиевого профиля комбинированного с однокамерным стеклопакетом, площадь до 1,5 м2</t>
  </si>
  <si>
    <t>Итоги по разделу 5 Окна :</t>
  </si>
  <si>
    <t xml:space="preserve"> Всего по разделу 5 Окна</t>
  </si>
  <si>
    <t>9,58068</t>
  </si>
  <si>
    <t>0,05994</t>
  </si>
  <si>
    <t>Раздел 6. Двери</t>
  </si>
  <si>
    <t>Двери внутренние</t>
  </si>
  <si>
    <t>485</t>
  </si>
  <si>
    <t>ФЕР10-01-039-01</t>
  </si>
  <si>
    <t>Установка блоков в наружных и внутренних дверных проемах: в каменных стенах, площадь проема до 3 м2</t>
  </si>
  <si>
    <t>485.1</t>
  </si>
  <si>
    <t>Дверь Материал: масив бука, МДФ, звукоизол.материал, уплотнит.резинка, телескопич.наличники, скрытые петли, электр.замок. Покраска эмалью по RAL Д-9,01. ДВ, Рл, 21х10, 1, Г, ПрБ, (2100х1010)</t>
  </si>
  <si>
    <t>Дверь Материал: масив бука, МДФ, звукоизол.материал, уплотнит.резинка, телескопич.наличники, скрытые петли, электр.замок. Покраска эмалью по RAL Д-9,11. ДВ, Рп, 21х10, 1, Г, ПрБ, (2100х1010)</t>
  </si>
  <si>
    <t>Дверь Материал: масив бука, МДФ, звукоизол.материал, уплотнит.резинка, телескопич.наличники, скрытые петли, электр.замок. Покраска эмалью по RAL Д-14.1 ДВ, Рп, 21х11, 1, Г, ПрБ, (2100х1110)</t>
  </si>
  <si>
    <t>Дверь Материал: масив бука, МДФ, звукоизол.материал, уплотнит.резинка, телескопич.наличники, скрытые петли, электр.замок. Покраска эмалью по RAL Д-9,12. ДВ, Рп, 21х10, 1, Г, ПрБ, (2100х1010)</t>
  </si>
  <si>
    <t>Дверь Материал: масив бука, МДФ, звукоизол.материал, уплотнит.резинка, телескопич.наличники, скрытые петли, электр.замок. Покраска эмалью по RAL Д-9,02. ДВ, Рл, 21х10, 1, Г, ПрБ, (2100х1010)</t>
  </si>
  <si>
    <t>Дверь Материал: масив бука, МДФ, звукоизол.материал, уплотнит.резинка, телескопич.наличники, скрытые петли, электр.замок. Покраска эмалью по RAL Д-9,03. ДВ, Рл, 21х10, 1, Г, ПрБ, (2100х1010)</t>
  </si>
  <si>
    <t>Дверь Материал: масив бука, МДФ, звукоизол.материал, уплотнит.резинка, телескопич.наличники, скрытые петли, электр.замок. Покраска эмалью по RAL Д-10,01. ДВ, Рл, 21х9, 1, Г, ПрБ, (2100х910)</t>
  </si>
  <si>
    <t>Дверь Материал: масив бука, МДФ, звукоизол.материал, уплотнит.резинка, телескопич.наличники, скрытые петли, электр.замок. Покраска эмалью по RAL Д-10,11. ДВ, Рп, 21х9, 1, Г, ПрБ, (2100х910)</t>
  </si>
  <si>
    <t>Дверь Материал: масив бука, МДФ, звукоизол.материал, уплотнит.резинка, телескопич.наличники, скрытые петли, электр.замок. Покраска эмалью по RAL Д-14.01  ДВ, Рл, 21х11, 1, Г, ПрБ, (2100х1110)</t>
  </si>
  <si>
    <t>495</t>
  </si>
  <si>
    <t>ФЕР09-04-013-04</t>
  </si>
  <si>
    <t>Установка противопожарных дверей: двупольных остекленных</t>
  </si>
  <si>
    <t>495.1</t>
  </si>
  <si>
    <t>496</t>
  </si>
  <si>
    <t>ФССЦ-07.1.01.01-0025</t>
  </si>
  <si>
    <t>Дверь противопожарная металлическая: остекленная двупольная ДПМО-02/60, размером 1500х2100 мм</t>
  </si>
  <si>
    <t>497</t>
  </si>
  <si>
    <t>ФССЦ-01.7.04.01-0001</t>
  </si>
  <si>
    <t>Доводчик дверной DS 73 BC "Серия Premium", усилие закрывания EN2-5</t>
  </si>
  <si>
    <t>Двери наружные</t>
  </si>
  <si>
    <t>503</t>
  </si>
  <si>
    <t>ФЕР10-01-047-02</t>
  </si>
  <si>
    <t>Установка блоков из ПВХ в наружных и внутренних дверных проемах: в каменных стенах площадью проема более 3 м2</t>
  </si>
  <si>
    <t>503.1</t>
  </si>
  <si>
    <t>504</t>
  </si>
  <si>
    <t>Блоки дверные наружные или тамбурные: с заполнением стеклопакетами (ГОСТ 30970-2002)</t>
  </si>
  <si>
    <t>510</t>
  </si>
  <si>
    <t>ФЕР10-01-047-03</t>
  </si>
  <si>
    <t>Установка блоков из ПВХ в наружных и внутренних дверных проемах: балконных в каменных стенах</t>
  </si>
  <si>
    <t>510.1</t>
  </si>
  <si>
    <t>511</t>
  </si>
  <si>
    <t>ФССЦ-11.3.01.03-0001</t>
  </si>
  <si>
    <t>Блок дверной балконный из ПВХ-профилей, поворотный с импостом, двухкамерным стеклопакетом 32 мм, площадь более 1,5 м2</t>
  </si>
  <si>
    <t>Итоги по разделу 6 Двери :</t>
  </si>
  <si>
    <t xml:space="preserve"> Всего по разделу 6 Двери</t>
  </si>
  <si>
    <t>95,7153909</t>
  </si>
  <si>
    <t>4,2433964</t>
  </si>
  <si>
    <t>Раздел 7. Ограждение внутреннее</t>
  </si>
  <si>
    <t>610</t>
  </si>
  <si>
    <t>613</t>
  </si>
  <si>
    <t>Внутреннее ограждение, СП 426.1325800.2020
ОГ-1, 1200 (h)-7385
(стеклянное ограждение на зажимном профиле с верхним поручнем)</t>
  </si>
  <si>
    <t>Итоги по разделу 7 Ограждение внутреннее :</t>
  </si>
  <si>
    <t xml:space="preserve"> Всего по разделу 7 Ограждение внутреннее</t>
  </si>
  <si>
    <t>24,1546</t>
  </si>
  <si>
    <t xml:space="preserve"> ВСЕГО по смете</t>
  </si>
  <si>
    <t>28897,9554885</t>
  </si>
  <si>
    <t>336,3427624</t>
  </si>
  <si>
    <t>(А.Г. Истамгулова)</t>
  </si>
  <si>
    <t>(И.А. Кирсанов)</t>
  </si>
  <si>
    <t>ТЦ_01.8.01.00_24_2462075526_12.10.2025_01_824.1
КА п.824.1</t>
  </si>
  <si>
    <t>Трубы стальные бесшовные горячедеформированные и холоднодеформированные прямоугольные из стали марки Ст1пс, наружный размер 50х25 мм, толщина стенки 2,6 мм</t>
  </si>
  <si>
    <t>Герметик силиконовый для герметизации печных труб, печей, каминов и бойлеров, термостойкость до 1500 °C, черный, объем 310 мл</t>
  </si>
  <si>
    <t>Герметик силиконовый нейтральный адгезионный, устойчивый к УФ-излучению и агрессивным средам, для помещений с повышенным уровнем влажности, серый (310 мл)</t>
  </si>
  <si>
    <t>Грунтовка акрилатная водно-дисперсионный для защиты от коррозии металлических поверхностей</t>
  </si>
  <si>
    <t>Сталь арматурная, горячекатаная, периодического профиля, класс А-III, диаметр 10 мм</t>
  </si>
  <si>
    <t>Уголок горячекатаный, марка стали Ст3пс5, размер 40х40х4 мм</t>
  </si>
  <si>
    <t>08.3.08.02-0063</t>
  </si>
  <si>
    <t>Прокат полосовой, горячекатаный, размер 40х4 мм</t>
  </si>
  <si>
    <t>08.3.07.01-0041</t>
  </si>
  <si>
    <t>Лист стальной ПВДФ 0,5 мм с полимерным покрытием RR-41</t>
  </si>
  <si>
    <t>Пластина рихтовочная ТПУ014-01</t>
  </si>
  <si>
    <t>Профиль боковой НЧП-2976</t>
  </si>
  <si>
    <t>Н-профиль для крепления ЦСП</t>
  </si>
  <si>
    <t>Кронштейны перильные КП</t>
  </si>
  <si>
    <t>Кронштейны гнутые угловые, размер 5х50х60 мм</t>
  </si>
  <si>
    <t>07.2.06.06-0022</t>
  </si>
  <si>
    <t>Кронштейны гнутые обычные 5х50х40 мм</t>
  </si>
  <si>
    <t>07.2.06.06-0021</t>
  </si>
  <si>
    <t>Саморезы с полукруглой головой с буром, оцинкованный, для монтажа 4,8х19 мм</t>
  </si>
  <si>
    <t>Заклепки тяговые, размер 3,2х16 мм</t>
  </si>
  <si>
    <t>Дюбель-гвозди, дюбель полиамидный, гвоздь электрооцинкованный, винтовой с цилиндрической манжетой, для сжатой зоны бетона и полнотелого кирпича, размер 6х40 мм</t>
  </si>
  <si>
    <t>01.7.15.07-0087</t>
  </si>
  <si>
    <t>Болт анкерный диаметр 28 мм, длина 60 мм</t>
  </si>
  <si>
    <t>Электроды сварочные Э46, диаметр 4 мм</t>
  </si>
  <si>
    <t>Лента предварительно сжатая, уплотнительная</t>
  </si>
  <si>
    <t>Плиты цементно-стружечные шлифованные, толщина 10 мм, окрашенные с двух сторон</t>
  </si>
  <si>
    <t>Установки для сварки ручной дуговой (постоянного тока)</t>
  </si>
  <si>
    <t>Затраты труда рабочих (средний разряд работы 3,6)</t>
  </si>
  <si>
    <t>Объем=(0+8,9) / 10</t>
  </si>
  <si>
    <t>ФЕР09-04-010-04
стеклянные ограждения</t>
  </si>
  <si>
    <t>Объем=(2,1*0,91*8+2,35*0,91*5+2,54*1,51*3+2,8*1,6*1+2,8*1,5*4)-(2,1*0,91*10+2,54*1,51*2+2,54*1,6*1)</t>
  </si>
  <si>
    <t>(Материалы)</t>
  </si>
  <si>
    <t>Пена монтажная</t>
  </si>
  <si>
    <t>14.5.01.10-0003</t>
  </si>
  <si>
    <t>Дюбели монтажные, размер 10х130 (10х132, 10х150) мм</t>
  </si>
  <si>
    <t>Лента бутиловая диффузионная</t>
  </si>
  <si>
    <t>01.7.06.02-0002</t>
  </si>
  <si>
    <t>Лента бутиловая</t>
  </si>
  <si>
    <t>Затраты труда рабочих (средний разряд работы 3,2)</t>
  </si>
  <si>
    <t>Объем=((2,1*0,91*8+2,35*0,91*5+2,54*1,51*3+2,8*1,6*1+2,8*1,5*4-30,845)+(2,1*0,91*1-3,822)) / 100</t>
  </si>
  <si>
    <t>Объем=(2,4*1,51*4+4,84*1,5+4,1*1,11+3*1,01+4,1*1,51+2,54*1,51+2,1*1,01)-(2,4*1,51*7+2,4*1,11+2,4*1,01)</t>
  </si>
  <si>
    <t>ФССЦ-11.3.01.05-0012
Блок дверной из алюминиевого профиля с двухкамерным стеклопакетом</t>
  </si>
  <si>
    <t>Объем=((41,48+4,34)-(30,46+4,34)) / 100</t>
  </si>
  <si>
    <t>Объем=13-12</t>
  </si>
  <si>
    <t>Пена монтажная полиуретановая противопожарная однокомпонентная модифицированная для заполнения, уплотнения, утепления, изоляции и соединения швов и стыков в местах с повышенными требованиями пожарной безопасности (0,88 л)</t>
  </si>
  <si>
    <t>14.5.01.10-0029</t>
  </si>
  <si>
    <t>Электроды сварочные Э42, диаметр 4 мм</t>
  </si>
  <si>
    <t>Затраты труда рабочих (средний разряд работы 4,3)</t>
  </si>
  <si>
    <t>1-4-3</t>
  </si>
  <si>
    <t>Объем=2,4*1,51*13-2,4*1,51*12</t>
  </si>
  <si>
    <t>Объем=0+1</t>
  </si>
  <si>
    <t>(Деревянные конструкции)</t>
  </si>
  <si>
    <t>ТЦ_07.1.01.00_15_1513002206_04.09.2025_01_16.1
КА п.16.1</t>
  </si>
  <si>
    <t>Объем=0+3</t>
  </si>
  <si>
    <t>ТЦ_07.1.01.00_15_1513002206_04.09.2025_01_15.1
КА п.15.1</t>
  </si>
  <si>
    <t>Объем=0+11</t>
  </si>
  <si>
    <t>ТЦ_07.1.01.00_15_1513002206_04.09.2025_01_14.1
КА п.14.1</t>
  </si>
  <si>
    <t>ТЦ_07.1.01.00_15_1513002206_04.09.2025_01_13.1
КА п.13.1</t>
  </si>
  <si>
    <t>ТЦ_07.1.01.00_15_1513002206_04.09.2025_01_12.1
КА п.12.1</t>
  </si>
  <si>
    <t>Объем=0+13</t>
  </si>
  <si>
    <t>ТЦ_07.1.01.00_15_1513002206_04.09.2025_01_11.1
КА п.11.1</t>
  </si>
  <si>
    <t>Объем=0+10</t>
  </si>
  <si>
    <t>ТЦ_07.1.01.00_15_1513002206_04.09.2025_01_10.1
КА п.10.1</t>
  </si>
  <si>
    <t>Объем=0+4</t>
  </si>
  <si>
    <t>ТЦ_07.1.01.00_15_1513002206_04.09.2025_01_9.1
КА п.9.1</t>
  </si>
  <si>
    <t>ТЦ_07.1.01.00_15_1513002206_04.09.2025_01_8.1
КА п.8.1</t>
  </si>
  <si>
    <t>ТЦ_07.1.01.00_15_1513002206_04.09.2025_01_7.1
КА п.7.1</t>
  </si>
  <si>
    <t>Доска обрезная, хвойных пород, ширина 75-150 мм, толщина 25 мм, длина 4-6,5 м, сорт III</t>
  </si>
  <si>
    <t>11.1.03.06-0087</t>
  </si>
  <si>
    <t>Ерш металлический строительный</t>
  </si>
  <si>
    <t>08.1.02.25-0031</t>
  </si>
  <si>
    <t>Раствор готовый отделочный тяжелый, известковый, состав 1:2</t>
  </si>
  <si>
    <t>04.3.01.07-0011</t>
  </si>
  <si>
    <t>Объем=((2,4*1,1*10+2,4*1,01*5+2,4*0,9*5+2,1*1,01*10+2,1*0,9*40+2,1*1,1*1+2,1*1,31*2+1,79*1,5*1+2,1*0,81*15+2,4*2,2*2+2,1*1*1+2,1*1*1+2,1*1*4+2,1*0,9*10+2,1*0,9*13+2,1*1,1*1+2,1*1,1*1+2,1*1*11+2,1*1*3+2,1*1,1*1)-266,76) / 100</t>
  </si>
  <si>
    <t>Объем=(1,5*0,9*4+1,5*1*2)-1,5*1*2</t>
  </si>
  <si>
    <t>Дюбель-гвозди</t>
  </si>
  <si>
    <t>01.7.15.07-0081</t>
  </si>
  <si>
    <t>Затраты труда рабочих (средний разряд работы 3,9)</t>
  </si>
  <si>
    <t>1-3-9</t>
  </si>
  <si>
    <t>Объем=((1,5*0,9*4+1,5*1*2)-1,5*1*2) / 100</t>
  </si>
  <si>
    <t>(Отделочные работы)</t>
  </si>
  <si>
    <t>Доска необрезная, хвойных пород, все ширины, толщина 32-40 мм, длина 2-3,75 м, сорт II</t>
  </si>
  <si>
    <t>Раствор готовый отделочный тяжелый, цементно-известковый, состав 1:1:6</t>
  </si>
  <si>
    <t>04.3.01.12-0111</t>
  </si>
  <si>
    <t>Щебень пористый из металлургического шлака М 600, фракция 5-10 мм</t>
  </si>
  <si>
    <t>02.4.03.02-0001</t>
  </si>
  <si>
    <t>02.3.01.02-1012</t>
  </si>
  <si>
    <t>Мука андезитовая кислотоупорная, А</t>
  </si>
  <si>
    <t>Погрузчики, грузоподъемность 5 т</t>
  </si>
  <si>
    <t>Затраты труда рабочих (средний разряд работы 4,8)</t>
  </si>
  <si>
    <t>1-4-8</t>
  </si>
  <si>
    <t>Объем=403,1 / 100</t>
  </si>
  <si>
    <t>Сетка тканая с квадратными ячейками № 05, без покрытия</t>
  </si>
  <si>
    <t>Гвозди строительные с плоской головкой, размер 1,6х50 мм</t>
  </si>
  <si>
    <t>Затраты труда рабочих (средний разряд работы 3,8)</t>
  </si>
  <si>
    <t>1-3-8</t>
  </si>
  <si>
    <t>Объем=(0+403,1) / 100</t>
  </si>
  <si>
    <t>Объем=0,0415193*1000</t>
  </si>
  <si>
    <t>Ветошь</t>
  </si>
  <si>
    <t>Затраты труда рабочих (средний разряд работы 4,0)</t>
  </si>
  <si>
    <t>Объем=0+81,3*0,1</t>
  </si>
  <si>
    <t>Объем=(0+81,3) / 100</t>
  </si>
  <si>
    <t>Объем=0+81,3*8,5</t>
  </si>
  <si>
    <t>Затраты труда рабочих (средний разряд работы 3,0)</t>
  </si>
  <si>
    <t>Объем=0+169,2*0,1</t>
  </si>
  <si>
    <t>Объем=(0+70,4+98,8) / 100</t>
  </si>
  <si>
    <t>Объем=0+98,9*8,5</t>
  </si>
  <si>
    <t>Объем=(0+98,9) / 100</t>
  </si>
  <si>
    <t>Затраты труда рабочих (средний разряд работы 4,2)</t>
  </si>
  <si>
    <t>1-4-2</t>
  </si>
  <si>
    <t>Объем=(0+96,1+70,4) / 100</t>
  </si>
  <si>
    <t>Объем=(0+96,1+70,4+98,9) / 100</t>
  </si>
  <si>
    <t>Объем=0+(810,6+7613)*8,5</t>
  </si>
  <si>
    <t>(Полы)</t>
  </si>
  <si>
    <t>Объем=(0+810,6+7613) / 100</t>
  </si>
  <si>
    <t>Объем=(0,29649-0,29586)*1000</t>
  </si>
  <si>
    <t>Объем=(988,3-986,2)*0,1</t>
  </si>
  <si>
    <t>Объем=((177,7+810,6)-(177.7+187.7+76.8+161.7+382.3)) / 100</t>
  </si>
  <si>
    <t>Пушки тепловые, мощность 26-44 кВт·ч</t>
  </si>
  <si>
    <t>Затраты труда рабочих (средний разряд работы 5,0)</t>
  </si>
  <si>
    <t>1-5-0</t>
  </si>
  <si>
    <t>Объем=(0+474,5+88,5) / 100</t>
  </si>
  <si>
    <t>Затраты труда рабочих (средний разряд работы 3,4)</t>
  </si>
  <si>
    <t>1-3-4</t>
  </si>
  <si>
    <t>Объем=(0+44,1) / 100</t>
  </si>
  <si>
    <t>Объем=48,675-28,08</t>
  </si>
  <si>
    <t>Объем=(147,5-85,1)*0,1</t>
  </si>
  <si>
    <t>Объем=(147,5-(13,6+10,3+13,6+47,6)) / 100</t>
  </si>
  <si>
    <t>Объем=0,748341*1000</t>
  </si>
  <si>
    <t>Объем=0+2267,7*0,1</t>
  </si>
  <si>
    <t>Объем=(0+2267,7) / 100</t>
  </si>
  <si>
    <t>Объем=((2267,7-2263.1)*1,03) / 100</t>
  </si>
  <si>
    <t>ФССЦ-09.2.02.01-0011
потолок подвесной Грильято</t>
  </si>
  <si>
    <t>Затраты труда рабочих (средний разряд работы 3,3)</t>
  </si>
  <si>
    <t>1-3-3</t>
  </si>
  <si>
    <t>Объем=(2267,7-(1321,8 + 22,2+ 610,6 + 22,2 + 286,3)) / 100</t>
  </si>
  <si>
    <t>ФЕР15-01-055-01
потолок подвесной Грильято</t>
  </si>
  <si>
    <t>Панели потолочные с комплектующими</t>
  </si>
  <si>
    <t>Объем=(411,8-(215,9+ 17,2 + 104,7 + 35,6 + 14,9)) / 100</t>
  </si>
  <si>
    <t>ФЕР15-01-047-15
панели потолочные из металлокассет</t>
  </si>
  <si>
    <t>Объем=8,08*0,1</t>
  </si>
  <si>
    <t>Объем=(561,7-(20,3+279+254,4)) / 100</t>
  </si>
  <si>
    <t>Плитка керамическая неглазурованная для полов гладкая, одноцветная с красителем квадратная и прямоугольная</t>
  </si>
  <si>
    <t>06.2.02.01-0071</t>
  </si>
  <si>
    <t>Объем=(59,9-33,2) / 100</t>
  </si>
  <si>
    <t>Объем=(1,22196+1,22196)*88</t>
  </si>
  <si>
    <t>Затраты труда рабочих (средний разряд работы 2,2)</t>
  </si>
  <si>
    <t>1-2-2</t>
  </si>
  <si>
    <t>ФЕР11-01-011-02
до толщины 40 мм</t>
  </si>
  <si>
    <t>Объем=(68,885-38,18) / 10</t>
  </si>
  <si>
    <t>Лента полиэтиленовая с липким слоем А50</t>
  </si>
  <si>
    <t>Объем=(59,9-33,2)*0,12*1,02</t>
  </si>
  <si>
    <t>ФССЦ-12.2.05.10-0006
Плиты минераловатные "Руф Баттс Н" ROCKWOOL, толщиной 120мм</t>
  </si>
  <si>
    <t>Объем=(59,9-33,2)*0,06*1,02</t>
  </si>
  <si>
    <t>ФССЦ-12.2.05.10-0006
Плиты минераловатные "Руф Баттс В Оптима" ROCKWOOL, толщиной 60мм</t>
  </si>
  <si>
    <t>Объем=(0+98,8) / 100</t>
  </si>
  <si>
    <t>Объем=(2,01552+21,40572)*88</t>
  </si>
  <si>
    <t>Объем=(21,39552+21,39552)*88</t>
  </si>
  <si>
    <t>Объем=(0+94,2) / 100</t>
  </si>
  <si>
    <t>Объем=(1,92168+7,68672)*220</t>
  </si>
  <si>
    <t>ФЕР11-01-011-02
до толщины 100 мм</t>
  </si>
  <si>
    <t>Объем=503,9-0,4121*1000</t>
  </si>
  <si>
    <t>Объем=65,892-64,668</t>
  </si>
  <si>
    <t>Объем=0,00646-0,00634</t>
  </si>
  <si>
    <t>Объем=(64,6-63,4) / 100</t>
  </si>
  <si>
    <t>Объем=(0+64,6) / 100</t>
  </si>
  <si>
    <t>Объем=(1,31784+5,27136)*220</t>
  </si>
  <si>
    <t>Объем=72,352-71,008</t>
  </si>
  <si>
    <t>Мастика битумно-резиновая кровельная</t>
  </si>
  <si>
    <t>01.2.03.03-0062</t>
  </si>
  <si>
    <t>Битумы нефтяные строительные изоляционные БНИ-IV-3, БНИ-IV, БНИ-V</t>
  </si>
  <si>
    <t>Затраты труда рабочих (средний разряд работы 2,7)</t>
  </si>
  <si>
    <t>Объем=(0+485,3) / 100</t>
  </si>
  <si>
    <t>ФЕР11-01-050-01
Устройство подложки под ламинат</t>
  </si>
  <si>
    <t>Объем=(9,90012+39,60048)*220</t>
  </si>
  <si>
    <t>Объем=243,2-202,4</t>
  </si>
  <si>
    <t>Затраты труда рабочих (средний разряд работы 2,5)</t>
  </si>
  <si>
    <t>Объем=(243,2-202,4) / 100</t>
  </si>
  <si>
    <t>Объем=1,02*(2,432-2,024)</t>
  </si>
  <si>
    <t>ФЕР11-01-011-02
до толщины 30 мм</t>
  </si>
  <si>
    <t>Объем=2,04*(2,432-2,024)</t>
  </si>
  <si>
    <t>Объем=(243,2-202,4)*1,1</t>
  </si>
  <si>
    <t>Поковки из квадратных заготовок, масса 1,8 кг</t>
  </si>
  <si>
    <t>Объем=(243,2-202,4) / 1000</t>
  </si>
  <si>
    <t>Объем=9,33888-7,77216</t>
  </si>
  <si>
    <t>Компрессоры передвижные с двигателем внутреннего сгорания, давление до 686 кПа (7 ат), производительность до 5 м3/мин</t>
  </si>
  <si>
    <t>Трамбовки пневматические при работе от передвижных компрессорных станций</t>
  </si>
  <si>
    <t>Объем=(243,2-202,4)*0,03</t>
  </si>
  <si>
    <t>(Автомобильные дороги)</t>
  </si>
  <si>
    <t>Объем=15,03-12,508</t>
  </si>
  <si>
    <t>Объем=272,384-226,688</t>
  </si>
  <si>
    <t>Битумы нефтяные строительные БН-90/10</t>
  </si>
  <si>
    <t>Котлы битумные передвижные 400 л</t>
  </si>
  <si>
    <t>Затраты труда рабочих (средний разряд работы 4,9)</t>
  </si>
  <si>
    <t>1-4-9</t>
  </si>
  <si>
    <t>Объем=4,96128-2,04*2,024</t>
  </si>
  <si>
    <t>(Бетонные и железобетонные монолитные конструкции и работы в строительстве)</t>
  </si>
  <si>
    <t>Объем=(243,2-202,4)*2,019/1000</t>
  </si>
  <si>
    <t>Объем=10,7008*1,1-10,204*1,1</t>
  </si>
  <si>
    <t>Объем=(243,2-202,4)*0,04</t>
  </si>
  <si>
    <t>Объем=(2,01552+8,06208)*220</t>
  </si>
  <si>
    <t>Объем=(123,1-103,6) / 100</t>
  </si>
  <si>
    <t>Объем=(0+123,1) / 100</t>
  </si>
  <si>
    <t>Объем=(0,3978+10,04496)*220</t>
  </si>
  <si>
    <t>Объем=137,872-116,032</t>
  </si>
  <si>
    <t>Объем=(377,1-340,9) / 100</t>
  </si>
  <si>
    <t>Объем=(0+377,1) / 100</t>
  </si>
  <si>
    <t>Объем=(0,73848+30,77136)*220</t>
  </si>
  <si>
    <t>Объем=(0+119) / 100</t>
  </si>
  <si>
    <t>Объем=2,4276*44</t>
  </si>
  <si>
    <t>Объем=(0+667,5) / 100</t>
  </si>
  <si>
    <t>ФЕР11-01-052-04
До толщины 3 мм</t>
  </si>
  <si>
    <t>Затраты труда рабочих (средний разряд работы 2,9)</t>
  </si>
  <si>
    <t>1-2-9</t>
  </si>
  <si>
    <t>ФЕР11-01-052-04
До толщины 30 мм</t>
  </si>
  <si>
    <t>Объем=(0+22,2) / 100</t>
  </si>
  <si>
    <t>ФЕР11-01-052-04
До толщины 20 мм</t>
  </si>
  <si>
    <t>Объем=(113,4-50,9) / 100</t>
  </si>
  <si>
    <t>Объем=(0+113,4) / 100</t>
  </si>
  <si>
    <t>Объем=92,96-57,008</t>
  </si>
  <si>
    <t>Объем=700 / 100</t>
  </si>
  <si>
    <t>Объем=(0+700) / 100</t>
  </si>
  <si>
    <t>Объем=(0+59,4) / 100</t>
  </si>
  <si>
    <t>Объем=1,21176*44</t>
  </si>
  <si>
    <t>Объем=(0+46,8) / 100</t>
  </si>
  <si>
    <t>Объем=(0,95472+0,95472)*88</t>
  </si>
  <si>
    <t>Объем=0+121,38</t>
  </si>
  <si>
    <t>ТЦ_11.2.03.02_77_772485982884_18.10.2025_01_17.3
КА п.17.3</t>
  </si>
  <si>
    <t>Объем=0+119</t>
  </si>
  <si>
    <t>Объем=(2,4276+3,0345)*99</t>
  </si>
  <si>
    <t>Объем=(0+361,7) / 100</t>
  </si>
  <si>
    <t>Объем=(7,37868+9,22335)*99</t>
  </si>
  <si>
    <t>Объем=(186-185,5) / 100</t>
  </si>
  <si>
    <t>Объем=(0+186) / 100</t>
  </si>
  <si>
    <t>Объем=(3,7944+3,7944)*88</t>
  </si>
  <si>
    <t>Объем=(186-185,1) / 100</t>
  </si>
  <si>
    <t>Объем=(191,58-190,653)*0,06</t>
  </si>
  <si>
    <t>Объем=209,44-207,312</t>
  </si>
  <si>
    <t>Объем=(187-185,1) / 100</t>
  </si>
  <si>
    <t>Объем=11201.6-9259,2</t>
  </si>
  <si>
    <t>Объем=1464,822-1452,786</t>
  </si>
  <si>
    <t>Объем=0,14361-0,14243</t>
  </si>
  <si>
    <t>Объем=(1436,1-1424,3) / 100</t>
  </si>
  <si>
    <t>Объем=(0+1436,1) / 100</t>
  </si>
  <si>
    <t>Объем=(29,29644+29,29644)*88</t>
  </si>
  <si>
    <t>Перегородки на алюминиевом каркасе комбинированные (стекло прозрачное 5 мм и ГКЛ с виниловым покрытием)</t>
  </si>
  <si>
    <t>Объем=(1,7*4,1+1,7*1,2*18+1,7*5,6+1,7*3,2+1,7*2,25*2+1,7*1,7*2+1,7*1,54*2+1,2*0,6*4+1,8*1*3) / 100</t>
  </si>
  <si>
    <t>Объем=0+1,6*40+1,1*4+1,7*2+3,6*3+4,6*7+1,85*10+3,65*6+2,65*3+2,8</t>
  </si>
  <si>
    <t>(Бетонные и железобетонные сборные конструкции жилых, общественных и административно-бытовых зданий промышленных предприятий)</t>
  </si>
  <si>
    <t>ФССЦ-08.1.02.03-0021
150 мм</t>
  </si>
  <si>
    <t>Затраты труда рабочих (средний разряд работы 3,5)</t>
  </si>
  <si>
    <t>Объем=(0+40+4+2+3+7+10+6+3+1) / 100</t>
  </si>
  <si>
    <t>ТЦ_01.8.01.00_61_6119015527_07.07.2025_02_6.1
КА п.6.1</t>
  </si>
  <si>
    <t>Объем=(349*1,2) / 10</t>
  </si>
  <si>
    <t>Объем=2,3*6+26,5+25</t>
  </si>
  <si>
    <t>ТЦ_01.8.01.00_61_6119015527_07.07.2025_02_5.1
КА п.5.1</t>
  </si>
  <si>
    <t>Клей резиновый П-9</t>
  </si>
  <si>
    <t>14.1.04.02-0014</t>
  </si>
  <si>
    <t>Бруски обрезные, хвойных пород, длина 4-6,5 м, ширина 75-150 мм, толщина 40-75 мм, сорт I</t>
  </si>
  <si>
    <t>Канат двойной свивки ТК, конструкции 6х19(1+6+12)+1 о.с., оцинкованный, из проволок марки В, маркировочная группа 1770 н/мм2, диаметр 5,5 мм</t>
  </si>
  <si>
    <t>Элементы конструктивные зданий и сооружений с преобладанием горячекатаных профилей, средняя масса сборочной единицы от 0,1 до 0,5 т</t>
  </si>
  <si>
    <t>Канат пеньковый пропитанный</t>
  </si>
  <si>
    <t>Винты самонарезающие для крепления профилированного настила и панелей к несущим конструкциям</t>
  </si>
  <si>
    <t>01.7.15.04-0045</t>
  </si>
  <si>
    <t>Мыло хозяйственное твердое 72%</t>
  </si>
  <si>
    <t>Объем=(0+95,7) / 100</t>
  </si>
  <si>
    <t>ФЕР09-03-048-01
Монтаж козырьков из монолитного поликарбоната</t>
  </si>
  <si>
    <t>Вспомогательные ненормируемые ресурсы (2% от Оплаты труда рабочих)</t>
  </si>
  <si>
    <t>руб</t>
  </si>
  <si>
    <t>Объем=0+86</t>
  </si>
  <si>
    <t>Объем=0+0,317*324/1000</t>
  </si>
  <si>
    <t>Шпатлевка В-МЧ-0071, МЧ-0054</t>
  </si>
  <si>
    <t>14.5.11.04-0001</t>
  </si>
  <si>
    <t>Объем=(0+324) / 100</t>
  </si>
  <si>
    <t>Объем=0+17,936</t>
  </si>
  <si>
    <t>Угол наружный, внутренний из оцинкованной стали с полимерным покрытием</t>
  </si>
  <si>
    <t>Нащельник стальной оцинкованный с полимерным покрытием</t>
  </si>
  <si>
    <t>Планка начальная из оцинкованной стали с полимерным покрытием</t>
  </si>
  <si>
    <t>Кронштейн выравнивающий стальной оцинкованный, высота профиля 200 мм, толщина металла 1,2 мм</t>
  </si>
  <si>
    <t>Профиль направляющий, стальной, оцинкованный, для монтажа гипсовых перегородок и подвесных потолков, длина 3 м, сечение 75х40х0,6 мм</t>
  </si>
  <si>
    <t>Шурупы-саморезы 4,2х16 мм</t>
  </si>
  <si>
    <t>Дюбель-гвозди, размер 8х100 мм</t>
  </si>
  <si>
    <t>Объем=(0+15,2) / 100</t>
  </si>
  <si>
    <t>Объем=0+69,502</t>
  </si>
  <si>
    <t>ТЦ_07.2.06.06_61_6119015527_07.07.2025_02_2.1
КА п.2.1</t>
  </si>
  <si>
    <t>Объем=(0+58,9) / 100</t>
  </si>
  <si>
    <t>Объем=(123,2-35,2)*0,1</t>
  </si>
  <si>
    <t>Объем=(123,2-35,2)*4,4</t>
  </si>
  <si>
    <t>Объем=(123,2-35,2)*1,02</t>
  </si>
  <si>
    <t>Объем=(123,2-35,2) / 100</t>
  </si>
  <si>
    <t>ФЕР11-01-047-02
входные площадки</t>
  </si>
  <si>
    <t>Объем=(0+618,8) / 100</t>
  </si>
  <si>
    <t>Объем=142,2*3,7</t>
  </si>
  <si>
    <t>ТЦ_04.3.02.16_61_6119015527_07.07.2025_02_3.1
КА п.3.1</t>
  </si>
  <si>
    <t>Растворонасосы, производительность 3 м3/ч</t>
  </si>
  <si>
    <t>91.07.07-042</t>
  </si>
  <si>
    <t>Объем=(0+142,2) / 100</t>
  </si>
  <si>
    <t>Пергамин кровельный П-350</t>
  </si>
  <si>
    <t>12.1.02.12-0004</t>
  </si>
  <si>
    <t>Доска обрезная, хвойных пород, ширина 75-150 мм, толщина 25 мм, длина 4-6,5 м, сорт II</t>
  </si>
  <si>
    <t>11.1.03.06-0086</t>
  </si>
  <si>
    <t>Доска обшивочная "Вагонка", тип 0-1, 0-2, 0-3, наружная и внутренняя из древесины, толщина 13 мм, ширина без гребня 70-90 мм</t>
  </si>
  <si>
    <t>Гвозди толевые круглые, размер 3,0х40 мм</t>
  </si>
  <si>
    <t>01.7.15.06-0146</t>
  </si>
  <si>
    <t>Гвозди строительные с плоской головкой, размер 1,8х60 мм</t>
  </si>
  <si>
    <t>01.7.15.06-0123</t>
  </si>
  <si>
    <t>Затраты труда рабочих (средний разряд работы 3,1)</t>
  </si>
  <si>
    <t>1-3-1</t>
  </si>
  <si>
    <t>Объем=(0+648,5) / 100</t>
  </si>
  <si>
    <t>Объем=(0+77,3) / 100</t>
  </si>
  <si>
    <t>Объем=(0+29,6) / 100</t>
  </si>
  <si>
    <t>Объем=0+93,1</t>
  </si>
  <si>
    <t>Клей ПВА</t>
  </si>
  <si>
    <t>Раскладки горизонтальные из ПВХ, все размеры</t>
  </si>
  <si>
    <t>11.3.03.11-0002</t>
  </si>
  <si>
    <t>Раскладки вертикальные из ПВХ, все размеры</t>
  </si>
  <si>
    <t>Бруски обрезные, хвойных пород, длина 4-6,5 м, ширина 75-150 мм, толщина 40-75 мм, сорт IV</t>
  </si>
  <si>
    <t>Шурупы с потайной головкой черные 8,0х100 мм</t>
  </si>
  <si>
    <t>Погрузчики на автомобильном ходу, грузоподъемность до 2 т</t>
  </si>
  <si>
    <t>Объем=(0+93,1) / 100</t>
  </si>
  <si>
    <t>ФЕР15-01-050-01
Прозрачным поликарбонатом</t>
  </si>
  <si>
    <t>Объем=(0+907,6) / 100</t>
  </si>
  <si>
    <t>Объем=(0+221,9) / 100</t>
  </si>
  <si>
    <t>Объем=0+1076,9</t>
  </si>
  <si>
    <t>(Теплоизоляционные работы)</t>
  </si>
  <si>
    <t>ТЦ_12.2.03.00_61_6119015527_07.07.2025_02_1.1
КА п.1.1</t>
  </si>
  <si>
    <t>Затраты труда рабочих (средний разряд работы 2,6)</t>
  </si>
  <si>
    <t>1-2-6</t>
  </si>
  <si>
    <t>Объем=(0+1076,9) / 100</t>
  </si>
  <si>
    <t>Объем=(1238,435) / 10</t>
  </si>
  <si>
    <t>Полотно иглопробивное стекловолокнистое теплоизоляционное</t>
  </si>
  <si>
    <t>ТЦ_09.3.01.04_61_6119015527_07.07.2025_02_4.1
КА п.4.1</t>
  </si>
  <si>
    <t>Объем=(0+78,4) / 100</t>
  </si>
  <si>
    <t>Объем=78,4*3,7</t>
  </si>
  <si>
    <t>Объем=0+982,5</t>
  </si>
  <si>
    <t>Объем=(0+982,5) / 100</t>
  </si>
  <si>
    <t>Объем=(1129,875) / 10</t>
  </si>
  <si>
    <t>Объем=0+256</t>
  </si>
  <si>
    <t>Объем=(0+256) / 100</t>
  </si>
  <si>
    <t>(Конструкции из кирпича и блоков)</t>
  </si>
  <si>
    <t>Объем=3,1*256/1000</t>
  </si>
  <si>
    <t>ФЕР08-02-007-01
прим.</t>
  </si>
  <si>
    <t>Объем=0+248,32</t>
  </si>
  <si>
    <t>Клинья деревянные, размер 50х100х400 мм</t>
  </si>
  <si>
    <t>11.2.04.06-0021</t>
  </si>
  <si>
    <t>Раствор отделочный тяжелый цементный, состав 1:3</t>
  </si>
  <si>
    <t>04.3.01.09-0023</t>
  </si>
  <si>
    <t>02.1.01.01-0001</t>
  </si>
  <si>
    <t>Аппараты пескоструйные, объем до 19 л, расход воздуха 270-700 л/мин</t>
  </si>
  <si>
    <t>Компрессоры передвижные с электродвигателем, производительность до 5,0 м3/мин</t>
  </si>
  <si>
    <t>Затраты труда рабочих (средний разряд работы 4,6)</t>
  </si>
  <si>
    <t>1-4-6</t>
  </si>
  <si>
    <t>Реквизиты письма Минстроя России об индексах изменения сметной стоимости строительства,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 подготовленного  в соответствии  пунктом 85 Методики расчета индексов изменения сметной стоимости строительства, утвержденной  приказом Министерства строительства и жилищно-коммунального хозяйства Российской Федерации от 5 июня 2019 г. № 326/пр</t>
  </si>
  <si>
    <t>«Всесезонный туристско-рекреационный комплекс «Мамисон», Республика Северная Осетия-Алания. Инженерная инфраструктура поселка Калак. Этап 1. Многофункциональный центр»
раздел 1 п.534+12 ЛСР № 02-01-01 доп. Архитектурные решения
(в ценах 3 квартала 2025 года)</t>
  </si>
  <si>
    <t>в аналоге учтена облицовка фасадов по металлическому каркасу - Панель алюминиевая композитная КраспанКомпозит-AL 4мм (0,45*3,1**0,45), огнестойкая (Г1, FR+) RAL 7021 с комплектующими для монтажа.
С учетом К=1,15 (учет затрат по главам 1, 8-12 ССР)</t>
  </si>
  <si>
    <t>Цена на ед.изм. С учетом НДС, тыс. руб.</t>
  </si>
  <si>
    <t>1 м2</t>
  </si>
  <si>
    <t>пог.м</t>
  </si>
  <si>
    <t>м2 покрытия</t>
  </si>
  <si>
    <t>м2 территории</t>
  </si>
  <si>
    <t>Итоговые единичные показатели</t>
  </si>
  <si>
    <t>м3 ёмкости</t>
  </si>
  <si>
    <t>м2 общей площади помещений  БМЗ</t>
  </si>
  <si>
    <t>https://tamrex.ru/product/lira-rp-248-1-radiopriemnik-s-funkcziej-opoveshheniya-po-radiokanalu/</t>
  </si>
  <si>
    <t>НЦС учитывает: ж/б монолитный фундамент, каркас металлический, стены металлические, перегородки ПВХ/ВЛДСП/ОСП, крыша металлическая, кровля профнастил, ПВХ-окна, металлические двери, электроснабжение, электроосвещение, ХВ/ГВ, ГВ от накопительных водонагревателей, водоотведение, отопление электрическое, вентиляция приточно-вытяжная естественная, кондиционирование, пож.сигнализация, инж.оборудование, ПНР.</t>
  </si>
  <si>
    <t>6.2% = 1 135 руб.</t>
  </si>
  <si>
    <t>1% = 183 руб.</t>
  </si>
  <si>
    <t>2% = 366 руб.</t>
  </si>
  <si>
    <t>9% = 1 647 руб.</t>
  </si>
  <si>
    <t>6% = 1 098 руб.</t>
  </si>
  <si>
    <t>34% * (1 + 0.3) = 8 090 руб.</t>
  </si>
  <si>
    <t>5% * (1 + 0.3) [из  13%] = 1 190 руб.</t>
  </si>
  <si>
    <t>2% * (1 + 0.3) [из  13%] = 476 руб.</t>
  </si>
  <si>
    <t>3% * (1 + 0.3) [из  13%] = 714 руб.</t>
  </si>
  <si>
    <t>13% = 2 379 руб.</t>
  </si>
  <si>
    <t>20% * (1 + 0.3) = 4 759 руб.</t>
  </si>
  <si>
    <t>8% * (1 + 0.3) = 1 903 руб.</t>
  </si>
  <si>
    <t>4% * (1 + 0.3) = 952 руб.</t>
  </si>
  <si>
    <t xml:space="preserve">K3 = 1.3 (РПД 2-4,5.1-5.3,6)
Методика, 707/пр. Приложение 5, табл.5.1, п.2.3 (Усложняющий) </t>
  </si>
  <si>
    <t>K2 = 0.2
Методика, 707/пр. Глава IX, п.152 (Ценообразующий)</t>
  </si>
  <si>
    <t xml:space="preserve">При проектировании с внесением в привязываемую повторно применяемую проектную документацию изменений в подземную часть здания (сооружения) размер корректирующего коэффициента принимается </t>
  </si>
  <si>
    <t>(A + B * Xзад) * Количество * Ктек * Кст * K1 * K2
(137 200 руб. + 323 руб. * 40) * 1 * 1.27 * 0.4 * 1.2 * 0.2 * 1.24</t>
  </si>
  <si>
    <t>НЗ 11.17_0-3-3.14-1 НЗ №53/пр Строительство, реконструкция и капитальный ремонт объектов водоснабжения, водоотведения и водоочистки. 2025 г. Таблица 3.14. Сооружения хвостохранилища, резервуара, иловой площадки, накопителя, пруда сооружения очистки сточных вод, сооружения очистки воды для хозяйственно-бытовых целей, п.1
A = 137.2 тыс. руб.B = 0.323 тыс. руб.;
Хзад = 40 (кубический метр);
Количество = 1</t>
  </si>
  <si>
    <t>Устройство стеклопластикового аккумулирующего резервуара V=40м3, Ø2,5 м L=8,4 м на железобетонной плите 3х9 м</t>
  </si>
  <si>
    <t>Железобетонная плита 3х9 м под установку резервуара</t>
  </si>
  <si>
    <t>КП ООО «Промышленная экология» от 05.08.2026 Исх.№ 08-043
Станция дезинфекции сточных вод ARGEL UV-10,
производительностью 10 л/с, в составе:
– корпус станции ARGEL UV (D=1500 мм);
– камера УФ-обеззараживания;
– шкаф управления (исполнение УХЛ1);
– технический колодец обслуживания для глубины коллектора не более Н=2500 мм;
– патрубок подводящий на 12 ч, (НПВХ, Хемкор): d=160 мм – 1 шт.;
– патрубок отводящий на 6 ч, (НПВХ, Хемкор): d=160 мм – 1 шт.;
– вариант монтажа под газон (стеклопластиковые люки в комплекте);
– монтажный комплект (анкерные болты).</t>
  </si>
  <si>
    <t>с учетом К1=1,012 (ЗСР), К2=1,03 (ТР), К3=1,1 (учет СМР) и К4=1,15 (учет затрат по главам 1, 8-12 ССР)</t>
  </si>
  <si>
    <t>Заместитель директора департамента 
по ценообразованию и сметному регулированию 
Департамента развития инфраструктуры</t>
  </si>
  <si>
    <t>НЦС 81-02-19-2026
19-07-020-01
Административно-бытовые комплексы
блочно-модульного исполнения общей площадью 215 м²</t>
  </si>
  <si>
    <t>в НЦС учтено: блочно-модульная конструктивная схема, ж/б монолитный плитный фундамент, каркас металлич. Сборно-разборный, стены и перегородки из сэндвич-панелей, крыша скатная чердачная с покрытием из профнастила, окна и двери ПВХ, улучшенная отделка, ЭС, ЭО, молниезащита и заземление, автономная система водоснабжения, ГВ от ИТП, водоотведение в центральную сеть, отопление от ИТП, приточно-вытяжная вентиляция, СС (ТВ, СКС, Р, СОТ), СБ (ОПС, СКУД, СОУЭ), инж.оборуд, технолог.оборуд, ПНР</t>
  </si>
  <si>
    <t>КП ООО "Эридан" № 0305-1 от 04.05.2026
Модульное здание 3-х этажное 106-местное 1279,4 м2 (габариты
14545х29330мм) высота стойки 2,435м (изготовление,
доставка, монтаж, подъемные механизмы)
с учетом СМР и проекта (визуализация, инженерные системы)</t>
  </si>
  <si>
    <t>сборно-разборный металлич. Каркас, пол - сварная рама, утеплитель минвата, подшивка профлистом и фанерой, с покрытием линолеумом, кровля из сварной рамы с фальцевым покрытием, стены и перегородки из сэндвич-панелей, двери наружные металл, внутренние двери из МДФ, окна ПВХ, электропроводка в кабель-каналах, освещение, пож.сигнализация, сантехника, отопление электрическое, мебель, бытовая техника.</t>
  </si>
  <si>
    <t>НЦС 81-02-19-2026
19-07-015-01 (применительно)
Резервуары технологические из модульных полимерных элементов для ливневых и
фильтратных сточных вод строительным объемом: 648 м3</t>
  </si>
  <si>
    <t>ССР
Всесезонный туристско-рекреационный комплекс «Каспийский прибрежный кластер», Республика Дагестан. Многофункциональный центр
ЛСР №02-01-10 Комплексная система безопасности раздел 3 Система охранно-тревожной сигнализации
(в ценах 4 квартала 2024 года)</t>
  </si>
  <si>
    <t xml:space="preserve">Акционерное общество "КАВКАЗ.РФ" </t>
  </si>
  <si>
    <t>"Утвержден" "___"______________________2025г</t>
  </si>
  <si>
    <t>Сводный сметный расчет сметной стоимостью 1 203 985,64 тыс. руб.</t>
  </si>
  <si>
    <t>СВОДНЫЙ СМЕТНЫЙ РАСЧЕТ СТОИМОСТИ СТРОИТЕЛЬСТВА № ССРСС-ССРСС</t>
  </si>
  <si>
    <t>Всесезонный туристско-рекреационный комплекс «Каспийский прибрежный кластер», Республика Дагестан. Многофункциональный центр</t>
  </si>
  <si>
    <t>Составлен в текущем уровне цен IV квартал 2024 года</t>
  </si>
  <si>
    <t>Строительных
(ремонтно- строительных, ремонтно-реставрационных) работ</t>
  </si>
  <si>
    <t>СР-1</t>
  </si>
  <si>
    <t>Вынос в натуру и закрепление на местности проектного положения площадки</t>
  </si>
  <si>
    <t>Определение разницы в стоимости электроэнергии, получаемой от передвижных источников электроснабжения</t>
  </si>
  <si>
    <t>ВЗИС и ЗУ</t>
  </si>
  <si>
    <t>Прочие затраты 9 Главы</t>
  </si>
  <si>
    <t>СК, АН, ПИР</t>
  </si>
  <si>
    <t>С непредвиденными</t>
  </si>
  <si>
    <t>Цена за ед., тыс. руб. с НДС</t>
  </si>
  <si>
    <t>Многофункциональный центр</t>
  </si>
  <si>
    <t>м2 общей площади</t>
  </si>
  <si>
    <t>4 этажа, включая технический этаж</t>
  </si>
  <si>
    <t>02-02-01</t>
  </si>
  <si>
    <t>Пергола</t>
  </si>
  <si>
    <t>СР-2</t>
  </si>
  <si>
    <t>Внутреннее силовое электрооборудование и электроосвещение</t>
  </si>
  <si>
    <t>Внутренние системы водоснабжения</t>
  </si>
  <si>
    <t>Наружные сети электроснабжения и электроосвещения</t>
  </si>
  <si>
    <t>Автоматическая установка водяного пожаротушения. Внутренний противопожарный водопровод.</t>
  </si>
  <si>
    <t>Внутренние системы водоотведения</t>
  </si>
  <si>
    <t>Отопление, вентиляция и кондиционирование воздуха, тепловые сети</t>
  </si>
  <si>
    <t>05-01-01</t>
  </si>
  <si>
    <t>Наружные сети связи</t>
  </si>
  <si>
    <t>Внутренние сети связи</t>
  </si>
  <si>
    <t>02-01-10 раздел 1</t>
  </si>
  <si>
    <t>02-01-10 раздел 2</t>
  </si>
  <si>
    <t>СОТ</t>
  </si>
  <si>
    <t>02-01-10 раздел 3</t>
  </si>
  <si>
    <t>СОТС</t>
  </si>
  <si>
    <t>Наружные сети водоснабжения и водоотведения</t>
  </si>
  <si>
    <t>Мероприятия по обеспечению доступа инвалидов</t>
  </si>
  <si>
    <t>06-02-01</t>
  </si>
  <si>
    <t>Наружные сети газоснабжения</t>
  </si>
  <si>
    <t>Системы пожарной безопасности</t>
  </si>
  <si>
    <t>Внутренние сети газоснабжения</t>
  </si>
  <si>
    <t>Технологические решения</t>
  </si>
  <si>
    <t>07-01-01</t>
  </si>
  <si>
    <t>Тепломеханические решения котельной. Автоматизация тепломеханических решений</t>
  </si>
  <si>
    <t>07-02-01</t>
  </si>
  <si>
    <t>Наружные сети электроосвещения</t>
  </si>
  <si>
    <t>Вертикальный транспорт</t>
  </si>
  <si>
    <t>04-01-01</t>
  </si>
  <si>
    <t>Наружные сети электроснабжения</t>
  </si>
  <si>
    <t>Временные здания и сооружения - Объекты жилищного, социально-культурного, коммунально-бытового назначения в сельской местности - 3,1%</t>
  </si>
  <si>
    <t>04-01-02</t>
  </si>
  <si>
    <t>ДГУ</t>
  </si>
  <si>
    <t>75 кВА</t>
  </si>
  <si>
    <t>3,1%СДЛ.С</t>
  </si>
  <si>
    <t>3,1%СДЛ.М</t>
  </si>
  <si>
    <t>06-01-01</t>
  </si>
  <si>
    <t>Наружные сети водоснабжения</t>
  </si>
  <si>
    <t>06-01-02</t>
  </si>
  <si>
    <t>Наружные сети водоотведения</t>
  </si>
  <si>
    <t>Методика  №421/пр.; Методика от 25.05.2021 № 325/пр, прил.1, п.85</t>
  </si>
  <si>
    <t>Производство работ в зимнее время  (I зона -территория побережья Каспийского моря южнее 44-й параллели и острова Чечень К=1,1) 0,5%*1,1=0,55%</t>
  </si>
  <si>
    <t>1000 м3/час, ГРПШ- 1 шт</t>
  </si>
  <si>
    <t>Г1:Г8.С*(0,5%*1,1)</t>
  </si>
  <si>
    <t>Г1:Г8.М*(0,5%*1,1)</t>
  </si>
  <si>
    <t>СР-3</t>
  </si>
  <si>
    <t>Плата за выбросы в атмосферный воздух</t>
  </si>
  <si>
    <t>СР-4</t>
  </si>
  <si>
    <t>Плата за негативное воздействие при размещении отходов</t>
  </si>
  <si>
    <t>СР-5</t>
  </si>
  <si>
    <t>Затраты на экологический контроль (мониторинг)</t>
  </si>
  <si>
    <t>СР-6</t>
  </si>
  <si>
    <t>Подготовка технического плана сооружения</t>
  </si>
  <si>
    <t>СР-7</t>
  </si>
  <si>
    <t>Затраты по перевозке работников к месту работы и обратно</t>
  </si>
  <si>
    <t>Методика  №421/пр.; ПП №468 от 21.06.2010г., СР-8</t>
  </si>
  <si>
    <t>Затраты на проведение строительного контроля (1,72% от глав 1-9 граф 4,5,6,7)</t>
  </si>
  <si>
    <t>(Г1.С:Г9.С+Г1.М:Г9.М+Г1.О:Г9.О+Г1.П:Г9.П)*1,72%</t>
  </si>
  <si>
    <t>Приказ от 4.08.2020 № 421/пр.</t>
  </si>
  <si>
    <t>Авторский надзор 0,2%</t>
  </si>
  <si>
    <t>Г1:Г9*0,2%</t>
  </si>
  <si>
    <t>Затраты на изыскательские работы</t>
  </si>
  <si>
    <t>Разработка проектной документации</t>
  </si>
  <si>
    <t>Разработка рабочей документации</t>
  </si>
  <si>
    <t>СР-9</t>
  </si>
  <si>
    <t>Затраты на проезд  специалистов, осуществляющих авторский надзор.</t>
  </si>
  <si>
    <t>СР-10</t>
  </si>
  <si>
    <t>Методика  №421/пр., п.179 а)</t>
  </si>
  <si>
    <t>Непредвиденные затраты для объектов капитального строительства непроизводственного назначения - 2%</t>
  </si>
  <si>
    <t>Г1:Г12.С*2%</t>
  </si>
  <si>
    <t>Г1:Г12.М*2%</t>
  </si>
  <si>
    <t>Г1:Г12.О*2%</t>
  </si>
  <si>
    <t>Г1:Г12.П*2%</t>
  </si>
  <si>
    <t>Методика  №421/пр., п.181 (№ 303-ФЗ от 3.08.2018)</t>
  </si>
  <si>
    <t>Итого "Налоги и обязательные платежи" (20%)</t>
  </si>
  <si>
    <t>Г1:Г13.С*20%</t>
  </si>
  <si>
    <t>Г1:Г13.М*20%</t>
  </si>
  <si>
    <t>Г1:Г13.О*20%</t>
  </si>
  <si>
    <t>Г1:Г13.П*20%</t>
  </si>
  <si>
    <t>ОТм</t>
  </si>
  <si>
    <t>Перевозка</t>
  </si>
  <si>
    <t>НР</t>
  </si>
  <si>
    <t>СП</t>
  </si>
  <si>
    <t>прочие затраты</t>
  </si>
  <si>
    <t xml:space="preserve">Руководитель проектной организации </t>
  </si>
  <si>
    <t>(Ганбатын А.)</t>
  </si>
  <si>
    <t>(Конев В.В.)</t>
  </si>
  <si>
    <t>Начальник Сметного отдела</t>
  </si>
  <si>
    <t>(Савенкова Н.Ю.)</t>
  </si>
  <si>
    <t>Директор Департамента развития инфраструктуры  АО 
"КАВКАЗ.РФ"
(по дов-ти № 612 от 13.03.2024г.)</t>
  </si>
  <si>
    <t>(Богуш Б.Б.)</t>
  </si>
  <si>
    <t>Начальная максимальная цена договора (далее - НМЦД) определена в соответствии с  Приказом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требованием Положения о закупке товаров, работ, услуг акционерного общества "КАВКАЗ.РФ", утвержденного  Приказом акционерного общества "КАВКАЗ.РФ" от 27.01.2026  № Пр-26-18.</t>
  </si>
  <si>
    <t>Блочно-модульное здание столовой</t>
  </si>
  <si>
    <t>Блочно-модульное здание КПП</t>
  </si>
  <si>
    <t>НЦС 81-02-19-2026
19-07-022-01
Контрольно-пропускные пункты блочно-модульного
исполнения общей площадью 32 м2</t>
  </si>
  <si>
    <t>в НЦС учтено: КС - блочно-модульная, фундамент - ж/б монолитная плита, каркас - металл, стены/перегородки/перекрытие - сэндвич-панели, крыша - скатная чердачная металлическая, кровля - профнастил, полы - линолеум, окна - ПВХ с двухкамерными стеклопакетами, двери - металлические, деревянные, внутр.отделка - улучшенная, наруж.отделка - сэндвич-панели, ЭС - от центральной сети, освещение, молниезащита и заземление, ХВ - от центральной сети, металлопласт.трубы, ГВ - автономное, металлопласт.трубы, водоотвед - автономное, трубы ПЭ, отопление - автономное электр., вентиляция - приточно-вытяжная с естеств. и мех.побуждением, СС (телефон, радио, СКС), СБ (ОПС, СКУД, СОУЭ), инж.оборудование, технолог.оборудование, ПНР</t>
  </si>
  <si>
    <t>НЦС 81-02-01-2026
01-07-001-01
Общежития на: 120 мест</t>
  </si>
  <si>
    <t>в НЦС учтено: КС - рамно-связевая, фундамент - ж/б монолитный столбчатый и ленточный, каркас - ж/б монолит, стены наруж и внутр - кирпич, перегородки - кирпич и метал. Из алюм. профиля, перекрытие - ж/б монолит, крыша - ж/б монолит, полы - керамогранит, керамика, линолеум, деревянные паркетные, плиточные ПВХ, окна - ПВХ с двухкамер.стеклопак., витражи алюм. с двухкамер.стеклопак., внутр.отделка - улучшенная, наруж.отделка - вентфасад из метал.кассет, лестницы - ж/б, метал., ЭС, освещение, ХВ и ГВ, противопож.водопровод - от центр.сетей, водоотведение в центр сеть ПП, отопление от ИТП, вентиляция общеобменная с естеств. и мех. побуждением, противодымная вентиляция, СС (ТВ, телефон, ЛВС, радио, домофон, СОТ), СБ (ОПС, СОУЭ, СКУД), АИС, лифты, оборуд кухонь - плиты 4-конф, инж.оборуд, тех.оборуд, ПНР.</t>
  </si>
  <si>
    <t>Коэф-т-делитель 7.1 от п.12
12 698 885 руб. / 7.1</t>
  </si>
  <si>
    <t>7.551% = 406 руб.</t>
  </si>
  <si>
    <t>2% = 107 руб.</t>
  </si>
  <si>
    <t>3% = 161 руб.</t>
  </si>
  <si>
    <t>5% = 269 руб.</t>
  </si>
  <si>
    <t>5% * (1 + 0.3) = 349 руб.</t>
  </si>
  <si>
    <t>7% * (1 + 0.3) [из  26%] = 489 руб.</t>
  </si>
  <si>
    <t>3% * (1 + 0.3) [из  26%] = 210 руб.</t>
  </si>
  <si>
    <t>2% * (1 + 0.3) [из  26%] = 140 руб.</t>
  </si>
  <si>
    <t>26% = 1 397 руб.</t>
  </si>
  <si>
    <t>21% * (1 + 0.3) = 1 467 руб.</t>
  </si>
  <si>
    <t>13% * (1 + 0.3) = 908 руб.</t>
  </si>
  <si>
    <t>8% * (1 + 0.3) [из  28.6%] = 559 руб.</t>
  </si>
  <si>
    <t>9% * (1 + 0.3) [из  28.6%] = 629 руб.</t>
  </si>
  <si>
    <t>5% * (1 + 0.3) [из  28.6%] = 349 руб.</t>
  </si>
  <si>
    <t>28.6% = 1 537 руб.</t>
  </si>
  <si>
    <t>1% = 54 руб.</t>
  </si>
  <si>
    <t xml:space="preserve">K3 = 1.3 (РПД 2.1-2.3,3-4,5.1-5.6,6)
Методика, 707/пр. Приложение 5, табл.5.1, п.2.3 (Усложняющий) </t>
  </si>
  <si>
    <t>(A + B * Xзад) * Количество * Ктек * Кст * K1 * (K2)
(62 200 руб. + 4 139 руб. * 38) * 1 * 1.53 * 0.4 * 0.8 * (0.05) * 1.25851</t>
  </si>
  <si>
    <t>8.76% = 2 900 руб.</t>
  </si>
  <si>
    <t>2% = 662 руб.</t>
  </si>
  <si>
    <t>1% = 331 руб.</t>
  </si>
  <si>
    <t>3.9% = 1 291 руб.</t>
  </si>
  <si>
    <t>6% = 1 986 руб.</t>
  </si>
  <si>
    <t>6.1% = 2 019 руб.</t>
  </si>
  <si>
    <t>1.6% * (1 + 0.3) [из  41.73%] = 689 руб.</t>
  </si>
  <si>
    <t>2.1% * (1 + 0.3) [из  41.73%] = 904 руб.</t>
  </si>
  <si>
    <t>1.9% * (1 + 0.3) [из  41.73%] = 818 руб.</t>
  </si>
  <si>
    <t>3.9% * (1 + 0.3) [из  41.73%] = 1 678 руб.</t>
  </si>
  <si>
    <t>3.8% * (1 + 0.3) [из  41.73%] = 1 635 руб.</t>
  </si>
  <si>
    <t>5.7% * (1 + 0.3) [из  41.73%] = 2 453 руб.</t>
  </si>
  <si>
    <t>13.1% * (1 + 0.3) [из  41.73%] = 5 637 руб.</t>
  </si>
  <si>
    <t>41.73% = 13 814 руб.</t>
  </si>
  <si>
    <t>19.1% * (1 + 0.3) = 8 219 руб.</t>
  </si>
  <si>
    <t>17.2% * (1 + 0.3) = 7 402 руб.</t>
  </si>
  <si>
    <t>4% * (1 + 0.3) = 1 721 руб.</t>
  </si>
  <si>
    <t>(A + B * (0.4 * Xмин + 0.6 * Xзад)) * Количество * Ктек * Кст * K1 * (K2)
(320 600 руб. + 15 335 руб. * (0.4 * 75 + 0.6 * 49)) * 1 * 1.68 * 0.4 * 0.8 * (0.05) * 1.2338</t>
  </si>
  <si>
    <t>7.554% = 14 125 руб.</t>
  </si>
  <si>
    <t>2% = 3 740 руб.</t>
  </si>
  <si>
    <t>1% = 1 870 руб.</t>
  </si>
  <si>
    <t>5.7% = 10 658 руб.</t>
  </si>
  <si>
    <t>6% = 11 219 руб.</t>
  </si>
  <si>
    <t>3.1% = 5 797 руб.</t>
  </si>
  <si>
    <t>3.1% * (1 + 0.3) [из  43.03%] = 7 536 руб.</t>
  </si>
  <si>
    <t>2.1% * (1 + 0.3) [из  43.03%] = 5 105 руб.</t>
  </si>
  <si>
    <t>3.8% * (1 + 0.3) [из  43.03%] = 9 237 руб.</t>
  </si>
  <si>
    <t>5.7% * (1 + 0.3) [из  43.03%] = 13 856 руб.</t>
  </si>
  <si>
    <t>6.2% * (1 + 0.3) [из  43.03%] = 15 071 руб.</t>
  </si>
  <si>
    <t>7.1% * (1 + 0.3) [из  43.03%] = 17 259 руб.</t>
  </si>
  <si>
    <t>5.1% * (1 + 0.3) [из  43.03%] = 12 397 руб.</t>
  </si>
  <si>
    <t>43.03% = 80 462 руб.</t>
  </si>
  <si>
    <t>20.7% * (1 + 0.3) = 50 319 руб.</t>
  </si>
  <si>
    <t>16.8% * (1 + 0.3) = 40 839 руб.</t>
  </si>
  <si>
    <t>4% * (1 + 0.3) = 9 724 руб.</t>
  </si>
  <si>
    <t>0.5% = 935 руб.</t>
  </si>
  <si>
    <t>К'пон = 0.9
понижающий коэффициент, учитывающий разницу в трудоемкости работ по проектируемому объекту и объекту аналогу. (Методика 707/пр п.131(3)) (Ценообразующий)</t>
  </si>
  <si>
    <t>(A + B * (0.4 * Xмин + 0.6 * (Xмин / 2))) * Количество * Кпон * Ктек * Кст * K1 * (K2)
(1 229 800 руб. + 1 422 руб. * (0.4 * 2000 + 0.6 * (2000 / 2))) * 1 * 0.9 * 1.68 * 0.4 * 0.8 * (0.12) * 1.23834</t>
  </si>
  <si>
    <t>НЗ 11.02_0-3-3.3-1-1 НЗ №848/пр Объекты жилищно-гражданского назначения. 2023 г. Таблица 3.3. Гостиницы и иные объекты для временного проживания, п.1
A = 1 229.8 тыс.руб; B = 1.422 тыс.руб;
Xмин = 2000;
Xзад = 900 (кв.м);
Количество = 1</t>
  </si>
  <si>
    <t>7.554% = 21 074 руб.</t>
  </si>
  <si>
    <t>2% = 5 579 руб.</t>
  </si>
  <si>
    <t>1% = 2 790 руб.</t>
  </si>
  <si>
    <t>5.7% = 15 902 руб.</t>
  </si>
  <si>
    <t>6% = 16 738 руб.</t>
  </si>
  <si>
    <t>3.1% = 8 648 руб.</t>
  </si>
  <si>
    <t>3.1% * (1 + 0.3) [из  43.03%] = 11 243 руб.</t>
  </si>
  <si>
    <t>2.1% * (1 + 0.3) [из  43.03%] = 7 616 руб.</t>
  </si>
  <si>
    <t>3.8% * (1 + 0.3) [из  43.03%] = 13 781 руб.</t>
  </si>
  <si>
    <t>5.7% * (1 + 0.3) [из  43.03%] = 20 672 руб.</t>
  </si>
  <si>
    <t>6.2% * (1 + 0.3) [из  43.03%] = 22 485 руб.</t>
  </si>
  <si>
    <t>7.1% * (1 + 0.3) [из  43.03%] = 25 749 руб.</t>
  </si>
  <si>
    <t>5.1% * (1 + 0.3) [из  43.03%] = 18 496 руб.</t>
  </si>
  <si>
    <t>43.03% = 120 042 руб.</t>
  </si>
  <si>
    <t>20.7% * (1 + 0.3) = 75 072 руб.</t>
  </si>
  <si>
    <t>16.8% * (1 + 0.3) = 60 928 руб.</t>
  </si>
  <si>
    <t>4% * (1 + 0.3) = 14 507 руб.</t>
  </si>
  <si>
    <t>0.5% = 1 395 руб.</t>
  </si>
  <si>
    <t>(A + B * (0.4 * Xмин + 0.6 * Xзад)) * Количество * Ктек * Кст * K1 * (K2)
(1 229 800 руб. + 1 422 руб. * (0.4 * 2000 + 0.6 * 1280)) * 3 * 1.68 * 0.4 * 0.8 * (0.05) * 1.23834</t>
  </si>
  <si>
    <t>НЗ 11.02_0-3-3.3-1-1 НЗ №848/пр Объекты жилищно-гражданского назначения. 2023 г. Таблица 3.3. Гостиницы и иные объекты для временного проживания, п.1
A = 1 229.8 тыс.руб; B = 1.422 тыс.руб;
Xмин = 2000;
Xзад = 1280 (кв.м);
Количество = 3</t>
  </si>
  <si>
    <t>Реконструкция фасада существующего блочно-модульного здания общежития персонала</t>
  </si>
  <si>
    <t>м2 фасада</t>
  </si>
  <si>
    <r>
      <t>Д</t>
    </r>
    <r>
      <rPr>
        <vertAlign val="subscript"/>
        <sz val="12"/>
        <rFont val="Times New Roman"/>
        <family val="1"/>
        <charset val="204"/>
      </rPr>
      <t>1</t>
    </r>
    <r>
      <rPr>
        <sz val="12"/>
        <rFont val="Times New Roman"/>
        <family val="1"/>
        <charset val="204"/>
      </rPr>
      <t xml:space="preserve"> - доля сметной стоимости, подлежащая выполнению подрядчиком в 2026 году</t>
    </r>
  </si>
  <si>
    <r>
      <t>Д</t>
    </r>
    <r>
      <rPr>
        <vertAlign val="subscript"/>
        <sz val="12"/>
        <rFont val="Times New Roman"/>
        <family val="1"/>
        <charset val="204"/>
      </rPr>
      <t>2</t>
    </r>
    <r>
      <rPr>
        <sz val="12"/>
        <rFont val="Times New Roman"/>
        <family val="1"/>
        <charset val="204"/>
      </rPr>
      <t xml:space="preserve"> - Доля сметной стоимости, подлежащая выполнению подрядчиком в 2027 году</t>
    </r>
  </si>
  <si>
    <r>
      <t>К</t>
    </r>
    <r>
      <rPr>
        <vertAlign val="subscript"/>
        <sz val="12"/>
        <rFont val="Times New Roman"/>
        <family val="1"/>
        <charset val="204"/>
      </rPr>
      <t>1</t>
    </r>
    <r>
      <rPr>
        <sz val="12"/>
        <rFont val="Times New Roman"/>
        <family val="1"/>
        <charset val="204"/>
      </rPr>
      <t xml:space="preserve"> на 2026 =</t>
    </r>
  </si>
  <si>
    <r>
      <t>К</t>
    </r>
    <r>
      <rPr>
        <vertAlign val="subscript"/>
        <sz val="12"/>
        <rFont val="Times New Roman"/>
        <family val="1"/>
        <charset val="204"/>
      </rPr>
      <t>2</t>
    </r>
    <r>
      <rPr>
        <sz val="12"/>
        <rFont val="Times New Roman"/>
        <family val="1"/>
        <charset val="204"/>
      </rPr>
      <t xml:space="preserve"> на 2027 =</t>
    </r>
  </si>
  <si>
    <r>
      <t xml:space="preserve">Индекс фактической инфляции от ценового периода объекта-аналога к дате формирования расчета </t>
    </r>
    <r>
      <rPr>
        <b/>
        <sz val="12"/>
        <rFont val="Times New Roman"/>
        <family val="1"/>
        <charset val="204"/>
      </rPr>
      <t>01.07.2026</t>
    </r>
  </si>
  <si>
    <r>
      <t>Индекс прогнозной инфляции к уровню цен на</t>
    </r>
    <r>
      <rPr>
        <b/>
        <sz val="12"/>
        <color theme="1"/>
        <rFont val="Times New Roman"/>
        <family val="1"/>
        <charset val="204"/>
      </rPr>
      <t xml:space="preserve"> 01.03.2027</t>
    </r>
  </si>
  <si>
    <t>Индекс Росстата за период с 01.07.2026 по 01.07.2026</t>
  </si>
  <si>
    <t>Индекс Росстата за период с 01.05.2026 по 01.07.2026</t>
  </si>
  <si>
    <t>Индекс Росстата за период с 01.01.2026 по 01.07.2026</t>
  </si>
  <si>
    <t>Индекс Росстата за период с 01.10.2025 по 01.07.2026</t>
  </si>
  <si>
    <t>Индекс Росстата за период с 01.01.2025 по 01.07.2026</t>
  </si>
  <si>
    <t>Индекс Росстата за период с 01.04.2022 по 01.07.2026</t>
  </si>
  <si>
    <t>Индекс Росстата за период с 01.07.2019 по 01.07.2026</t>
  </si>
  <si>
    <t>Индекс прогнозной инфляции за период с 01.07.2026 по 01.03.2027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</si>
</sst>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5">
    <numFmt numFmtId="44" formatCode="_-* #,##0.00\ &quot;₽&quot;_-;\-* #,##0.00\ &quot;₽&quot;_-;_-* &quot;-&quot;??\ &quot;₽&quot;_-;_-@_-"/>
    <numFmt numFmtId="43" formatCode="_-* #,##0.00_-;\-* #,##0.00_-;_-* &quot;-&quot;??_-;_-@_-"/>
    <numFmt numFmtId="164" formatCode="_-* #,##0.00\ _₽_-;\-* #,##0.00\ _₽_-;_-* &quot;-&quot;??\ _₽_-;_-@_-"/>
    <numFmt numFmtId="165" formatCode="0.0"/>
    <numFmt numFmtId="166" formatCode="0.000"/>
    <numFmt numFmtId="167" formatCode="0.0000"/>
    <numFmt numFmtId="168" formatCode="0_)"/>
    <numFmt numFmtId="169" formatCode="#,##0.000"/>
    <numFmt numFmtId="170" formatCode="_-* #,##0.00_р_._-;\-* #,##0.00_р_._-;_-* &quot;-&quot;??_р_._-;_-@_-"/>
    <numFmt numFmtId="171" formatCode="_-* #,##0_р_._-;\-* #,##0_р_._-;_-* &quot;-&quot;_р_._-;_-@_-"/>
    <numFmt numFmtId="172" formatCode="#,##0.0000000"/>
    <numFmt numFmtId="173" formatCode="_-* #,##0.00&quot;р.&quot;_-;\-* #,##0.00&quot;р.&quot;_-;_-* &quot;-&quot;??&quot;р.&quot;_-;_-@_-"/>
    <numFmt numFmtId="174" formatCode="#,##0.0000"/>
    <numFmt numFmtId="175" formatCode="0.0000000"/>
    <numFmt numFmtId="176" formatCode="#,##0.0"/>
    <numFmt numFmtId="177" formatCode="0.00000"/>
    <numFmt numFmtId="178" formatCode="0.000000"/>
    <numFmt numFmtId="179" formatCode="000000"/>
    <numFmt numFmtId="180" formatCode="_-* #,##0.0000_-;\-* #,##0.0000_-;_-* &quot;-&quot;??_-;_-@_-"/>
    <numFmt numFmtId="181" formatCode="#,##0_ ;\-#,##0\ "/>
    <numFmt numFmtId="182" formatCode="#,##0.####"/>
    <numFmt numFmtId="183" formatCode="#,##0.00000"/>
    <numFmt numFmtId="184" formatCode="_-* #,##0.0000\ _₽_-;\-* #,##0.0000\ _₽_-;_-* &quot;-&quot;????\ _₽_-;_-@_-"/>
    <numFmt numFmtId="185" formatCode="_-* #,##0.00\ _₽_-;\-* #,##0.00\ _₽_-;_-* &quot;-&quot;????\ _₽_-;_-@_-"/>
    <numFmt numFmtId="186" formatCode="#,##0.00&quot;р.&quot;"/>
  </numFmts>
  <fonts count="133" x14ac:knownFonts="1">
    <font>
      <sz val="11"/>
      <color theme="1"/>
      <name val="Calibri"/>
      <family val="2"/>
      <charset val="204"/>
      <scheme val="minor"/>
    </font>
    <font>
      <sz val="11"/>
      <color theme="1"/>
      <name val="Calibri"/>
      <family val="2"/>
      <charset val="204"/>
      <scheme val="minor"/>
    </font>
    <font>
      <b/>
      <sz val="12"/>
      <color theme="1"/>
      <name val="Times New Roman"/>
      <family val="1"/>
      <charset val="204"/>
    </font>
    <font>
      <sz val="12"/>
      <color theme="1"/>
      <name val="Times New Roman"/>
      <family val="1"/>
      <charset val="204"/>
    </font>
    <font>
      <b/>
      <i/>
      <sz val="12"/>
      <color theme="1"/>
      <name val="Times New Roman"/>
      <family val="1"/>
      <charset val="204"/>
    </font>
    <font>
      <sz val="12"/>
      <color rgb="FFFF0000"/>
      <name val="Times New Roman"/>
      <family val="1"/>
      <charset val="204"/>
    </font>
    <font>
      <sz val="10"/>
      <name val="Times New Roman"/>
      <family val="1"/>
      <charset val="204"/>
    </font>
    <font>
      <sz val="8"/>
      <color theme="1"/>
      <name val="Arial"/>
      <family val="2"/>
      <charset val="204"/>
    </font>
    <font>
      <sz val="10"/>
      <color theme="1"/>
      <name val="Times New Roman"/>
      <family val="1"/>
      <charset val="204"/>
    </font>
    <font>
      <sz val="10"/>
      <name val="Arial Cyr"/>
      <charset val="204"/>
    </font>
    <font>
      <sz val="10"/>
      <name val="Arial"/>
      <family val="2"/>
      <charset val="204"/>
    </font>
    <font>
      <i/>
      <sz val="10"/>
      <name val="Arial"/>
      <family val="2"/>
      <charset val="204"/>
    </font>
    <font>
      <i/>
      <sz val="9"/>
      <name val="Arial"/>
      <family val="2"/>
      <charset val="204"/>
    </font>
    <font>
      <b/>
      <sz val="14"/>
      <name val="Arial"/>
      <family val="2"/>
      <charset val="204"/>
    </font>
    <font>
      <b/>
      <sz val="9"/>
      <name val="Arial"/>
      <family val="2"/>
      <charset val="204"/>
    </font>
    <font>
      <sz val="11"/>
      <name val="Arial"/>
      <family val="2"/>
      <charset val="204"/>
    </font>
    <font>
      <b/>
      <sz val="12"/>
      <name val="Arial"/>
      <family val="2"/>
      <charset val="204"/>
    </font>
    <font>
      <b/>
      <sz val="10"/>
      <name val="Arial"/>
      <family val="2"/>
      <charset val="204"/>
    </font>
    <font>
      <sz val="9"/>
      <name val="Arial"/>
      <family val="2"/>
      <charset val="204"/>
    </font>
    <font>
      <b/>
      <sz val="8"/>
      <color indexed="81"/>
      <name val="Tahoma"/>
      <family val="2"/>
      <charset val="204"/>
    </font>
    <font>
      <sz val="8"/>
      <color indexed="81"/>
      <name val="Tahoma"/>
      <family val="2"/>
      <charset val="204"/>
    </font>
    <font>
      <sz val="11"/>
      <color theme="1"/>
      <name val="Calibri"/>
      <family val="2"/>
      <scheme val="minor"/>
    </font>
    <font>
      <sz val="10"/>
      <name val="Courier"/>
      <family val="1"/>
      <charset val="204"/>
    </font>
    <font>
      <b/>
      <sz val="12"/>
      <name val="Times New Roman"/>
      <family val="1"/>
      <charset val="204"/>
    </font>
    <font>
      <sz val="12"/>
      <name val="Arial"/>
      <family val="2"/>
      <charset val="204"/>
    </font>
    <font>
      <sz val="12"/>
      <color theme="1"/>
      <name val="Arial"/>
      <family val="2"/>
      <charset val="204"/>
    </font>
    <font>
      <b/>
      <sz val="10"/>
      <color theme="1"/>
      <name val="Arial"/>
      <family val="2"/>
      <charset val="204"/>
    </font>
    <font>
      <sz val="12"/>
      <color rgb="FF00B0F0"/>
      <name val="Times New Roman"/>
      <family val="1"/>
      <charset val="204"/>
    </font>
    <font>
      <sz val="12"/>
      <name val="Times New Roman"/>
      <family val="1"/>
      <charset val="204"/>
    </font>
    <font>
      <sz val="18"/>
      <color rgb="FFFF0000"/>
      <name val="Calibri"/>
      <family val="2"/>
      <charset val="204"/>
      <scheme val="minor"/>
    </font>
    <font>
      <sz val="10"/>
      <color rgb="FFFF0000"/>
      <name val="Times New Roman"/>
      <family val="1"/>
      <charset val="204"/>
    </font>
    <font>
      <sz val="12"/>
      <color indexed="10"/>
      <name val="Times New Roman"/>
      <family val="1"/>
      <charset val="204"/>
    </font>
    <font>
      <b/>
      <sz val="10"/>
      <color theme="1"/>
      <name val="Times New Roman"/>
      <family val="1"/>
      <charset val="204"/>
    </font>
    <font>
      <b/>
      <sz val="8"/>
      <color theme="1"/>
      <name val="Arial"/>
      <family val="2"/>
      <charset val="204"/>
    </font>
    <font>
      <sz val="10"/>
      <color theme="1"/>
      <name val="Calibri"/>
      <family val="2"/>
      <charset val="204"/>
      <scheme val="minor"/>
    </font>
    <font>
      <b/>
      <sz val="12"/>
      <color rgb="FF444444"/>
      <name val="Arial"/>
      <family val="2"/>
      <charset val="204"/>
    </font>
    <font>
      <sz val="12"/>
      <color rgb="FF444444"/>
      <name val="Arial"/>
      <family val="2"/>
      <charset val="204"/>
    </font>
    <font>
      <sz val="11"/>
      <color indexed="8"/>
      <name val="Calibri"/>
      <family val="2"/>
      <charset val="204"/>
    </font>
    <font>
      <sz val="10"/>
      <name val="Calibri"/>
      <family val="2"/>
      <charset val="204"/>
      <scheme val="minor"/>
    </font>
    <font>
      <u/>
      <sz val="12"/>
      <name val="Times New Roman"/>
      <family val="1"/>
      <charset val="204"/>
    </font>
    <font>
      <i/>
      <sz val="12"/>
      <name val="Times New Roman"/>
      <family val="1"/>
      <charset val="204"/>
    </font>
    <font>
      <sz val="11"/>
      <color theme="1"/>
      <name val="Times New Roman"/>
      <family val="1"/>
      <charset val="204"/>
    </font>
    <font>
      <b/>
      <sz val="8"/>
      <color rgb="FF000000"/>
      <name val="Times New Roman"/>
      <family val="1"/>
      <charset val="204"/>
    </font>
    <font>
      <b/>
      <sz val="8"/>
      <color theme="1"/>
      <name val="Times New Roman"/>
      <family val="1"/>
      <charset val="204"/>
    </font>
    <font>
      <b/>
      <sz val="10"/>
      <color rgb="FF000000"/>
      <name val="Times New Roman"/>
      <family val="1"/>
      <charset val="204"/>
    </font>
    <font>
      <sz val="10"/>
      <color rgb="FF000000"/>
      <name val="Times New Roman"/>
      <family val="1"/>
      <charset val="204"/>
    </font>
    <font>
      <b/>
      <sz val="11"/>
      <name val="Arial Cyr"/>
      <charset val="204"/>
    </font>
    <font>
      <i/>
      <sz val="12"/>
      <color theme="1"/>
      <name val="Times New Roman"/>
      <family val="1"/>
      <charset val="204"/>
    </font>
    <font>
      <sz val="11"/>
      <color rgb="FFFF0000"/>
      <name val="Calibri"/>
      <family val="2"/>
      <scheme val="minor"/>
    </font>
    <font>
      <sz val="8"/>
      <name val="Arial"/>
      <family val="2"/>
      <charset val="204"/>
    </font>
    <font>
      <b/>
      <sz val="10"/>
      <name val="Arial Cyr"/>
      <charset val="204"/>
    </font>
    <font>
      <sz val="12"/>
      <name val="Times New Roman CYR"/>
      <family val="1"/>
      <charset val="204"/>
    </font>
    <font>
      <sz val="11"/>
      <color rgb="FF000000"/>
      <name val="Calibri"/>
      <family val="2"/>
      <charset val="204"/>
    </font>
    <font>
      <sz val="10"/>
      <color rgb="FF000000"/>
      <name val="Arial"/>
      <family val="2"/>
      <charset val="204"/>
    </font>
    <font>
      <sz val="10"/>
      <color rgb="FF000000"/>
      <name val="Arial Cyr"/>
      <charset val="204"/>
    </font>
    <font>
      <sz val="10"/>
      <color rgb="FF000000"/>
      <name val="Calibri"/>
      <family val="2"/>
      <charset val="204"/>
    </font>
    <font>
      <sz val="8"/>
      <color rgb="FF000000"/>
      <name val="Arial"/>
      <family val="2"/>
      <charset val="204"/>
    </font>
    <font>
      <b/>
      <sz val="10"/>
      <color rgb="FF000000"/>
      <name val="Arial"/>
      <family val="2"/>
      <charset val="204"/>
    </font>
    <font>
      <sz val="8"/>
      <color rgb="FF000000"/>
      <name val="Calibri"/>
      <family val="2"/>
      <charset val="204"/>
    </font>
    <font>
      <sz val="9"/>
      <color rgb="FF000000"/>
      <name val="Arial"/>
      <family val="2"/>
      <charset val="204"/>
    </font>
    <font>
      <b/>
      <sz val="11"/>
      <color rgb="FF000000"/>
      <name val="Arial Cyr"/>
      <charset val="204"/>
    </font>
    <font>
      <sz val="8"/>
      <name val="Tahoma"/>
      <family val="2"/>
      <charset val="204"/>
    </font>
    <font>
      <b/>
      <sz val="8"/>
      <name val="Tahoma"/>
      <family val="2"/>
      <charset val="204"/>
    </font>
    <font>
      <b/>
      <sz val="9"/>
      <name val="Tahoma"/>
      <family val="2"/>
      <charset val="204"/>
    </font>
    <font>
      <sz val="11"/>
      <color theme="1"/>
      <name val="Calibri"/>
      <family val="2"/>
      <charset val="204"/>
    </font>
    <font>
      <i/>
      <sz val="8"/>
      <name val="Arial"/>
      <family val="2"/>
      <charset val="204"/>
    </font>
    <font>
      <b/>
      <sz val="8"/>
      <name val="Arial"/>
      <family val="2"/>
      <charset val="204"/>
    </font>
    <font>
      <b/>
      <sz val="9"/>
      <color rgb="FF000000"/>
      <name val="Arial"/>
      <family val="2"/>
      <charset val="204"/>
    </font>
    <font>
      <b/>
      <sz val="8"/>
      <color rgb="FF000000"/>
      <name val="Arial"/>
      <family val="2"/>
      <charset val="204"/>
    </font>
    <font>
      <b/>
      <sz val="11"/>
      <color rgb="FF000000"/>
      <name val="Calibri"/>
      <family val="2"/>
      <charset val="204"/>
    </font>
    <font>
      <sz val="8"/>
      <color rgb="FFFFFFFF"/>
      <name val="Arial"/>
      <family val="2"/>
      <charset val="204"/>
    </font>
    <font>
      <i/>
      <sz val="8"/>
      <color rgb="FFFFFFFF"/>
      <name val="Arial"/>
      <family val="2"/>
      <charset val="204"/>
    </font>
    <font>
      <i/>
      <sz val="7"/>
      <name val="Arial"/>
      <family val="2"/>
      <charset val="204"/>
    </font>
    <font>
      <i/>
      <sz val="6"/>
      <name val="Arial"/>
      <family val="2"/>
      <charset val="204"/>
    </font>
    <font>
      <sz val="8"/>
      <color rgb="FFFF0000"/>
      <name val="Arial"/>
      <family val="2"/>
      <charset val="204"/>
    </font>
    <font>
      <i/>
      <sz val="8"/>
      <color rgb="FF000000"/>
      <name val="Arial"/>
      <family val="2"/>
      <charset val="204"/>
    </font>
    <font>
      <i/>
      <sz val="8"/>
      <color rgb="FF7F7F7F"/>
      <name val="Arial"/>
      <family val="2"/>
      <charset val="204"/>
    </font>
    <font>
      <b/>
      <i/>
      <sz val="8"/>
      <color rgb="FF7F7F7F"/>
      <name val="Arial"/>
      <family val="2"/>
      <charset val="204"/>
    </font>
    <font>
      <sz val="11"/>
      <color rgb="FF000000"/>
      <name val="Calibri"/>
      <family val="2"/>
      <charset val="204"/>
    </font>
    <font>
      <sz val="10"/>
      <name val="Arial"/>
      <family val="2"/>
      <charset val="204"/>
    </font>
    <font>
      <i/>
      <sz val="10"/>
      <name val="Arial Cyr"/>
      <charset val="204"/>
    </font>
    <font>
      <sz val="12"/>
      <color rgb="FF000000"/>
      <name val="Times New Roman"/>
      <family val="1"/>
      <charset val="204"/>
    </font>
    <font>
      <sz val="10"/>
      <color indexed="18"/>
      <name val="Arial"/>
      <family val="2"/>
      <charset val="204"/>
    </font>
    <font>
      <sz val="11"/>
      <color rgb="FFFF0000"/>
      <name val="Calibri"/>
      <family val="2"/>
      <charset val="204"/>
      <scheme val="minor"/>
    </font>
    <font>
      <b/>
      <sz val="11"/>
      <color theme="1"/>
      <name val="Calibri"/>
      <family val="2"/>
      <charset val="204"/>
      <scheme val="minor"/>
    </font>
    <font>
      <sz val="10"/>
      <name val="Tahoma"/>
      <family val="2"/>
      <charset val="204"/>
    </font>
    <font>
      <u/>
      <sz val="10"/>
      <name val="Arial"/>
      <family val="2"/>
      <charset val="204"/>
    </font>
    <font>
      <sz val="10"/>
      <color theme="1"/>
      <name val="Arial"/>
      <family val="2"/>
      <charset val="204"/>
    </font>
    <font>
      <sz val="10"/>
      <color rgb="FFFF0000"/>
      <name val="Arial"/>
      <family val="2"/>
      <charset val="204"/>
    </font>
    <font>
      <sz val="11"/>
      <name val="Calibri"/>
      <family val="2"/>
      <charset val="204"/>
      <scheme val="minor"/>
    </font>
    <font>
      <b/>
      <sz val="11"/>
      <name val="Calibri"/>
      <family val="2"/>
      <charset val="204"/>
      <scheme val="minor"/>
    </font>
    <font>
      <b/>
      <sz val="10"/>
      <name val="Times New Roman"/>
      <family val="1"/>
      <charset val="204"/>
    </font>
    <font>
      <sz val="10"/>
      <name val="Calibri"/>
      <family val="2"/>
      <charset val="204"/>
    </font>
    <font>
      <i/>
      <u/>
      <sz val="12"/>
      <name val="Times New Roman"/>
      <family val="1"/>
      <charset val="204"/>
    </font>
    <font>
      <sz val="11"/>
      <name val="Times New Roman"/>
      <family val="1"/>
      <charset val="204"/>
    </font>
    <font>
      <b/>
      <i/>
      <sz val="10"/>
      <name val="Arial"/>
      <family val="2"/>
      <charset val="204"/>
    </font>
    <font>
      <b/>
      <sz val="10"/>
      <color indexed="8"/>
      <name val="Arial"/>
      <family val="2"/>
      <charset val="204"/>
    </font>
    <font>
      <b/>
      <sz val="10"/>
      <name val="Arial"/>
      <family val="2"/>
    </font>
    <font>
      <b/>
      <sz val="10"/>
      <name val="Arial Cyr"/>
      <family val="2"/>
      <charset val="204"/>
    </font>
    <font>
      <sz val="10"/>
      <color indexed="8"/>
      <name val="Arial"/>
      <family val="2"/>
      <charset val="204"/>
    </font>
    <font>
      <sz val="11"/>
      <name val="Calibri"/>
      <family val="2"/>
      <scheme val="minor"/>
    </font>
    <font>
      <i/>
      <sz val="12"/>
      <color rgb="FF000000"/>
      <name val="Times New Roman"/>
      <family val="1"/>
      <charset val="204"/>
    </font>
    <font>
      <b/>
      <sz val="12"/>
      <color rgb="FFFF0000"/>
      <name val="Times New Roman"/>
      <family val="1"/>
      <charset val="204"/>
    </font>
    <font>
      <i/>
      <sz val="10"/>
      <color rgb="FF0070C0"/>
      <name val="Arial"/>
      <family val="2"/>
      <charset val="204"/>
    </font>
    <font>
      <sz val="11"/>
      <name val="Calibri"/>
      <family val="2"/>
      <charset val="204"/>
    </font>
    <font>
      <sz val="10"/>
      <color rgb="FFFF0000"/>
      <name val="Arial Cyr"/>
      <charset val="204"/>
    </font>
    <font>
      <i/>
      <sz val="12"/>
      <color rgb="FF0070C0"/>
      <name val="Times New Roman"/>
      <family val="1"/>
      <charset val="204"/>
    </font>
    <font>
      <i/>
      <sz val="10"/>
      <color theme="1"/>
      <name val="Times New Roman"/>
      <family val="1"/>
      <charset val="204"/>
    </font>
    <font>
      <i/>
      <sz val="10"/>
      <name val="Times New Roman"/>
      <family val="1"/>
      <charset val="204"/>
    </font>
    <font>
      <b/>
      <i/>
      <sz val="10"/>
      <name val="Times New Roman"/>
      <family val="1"/>
      <charset val="204"/>
    </font>
    <font>
      <b/>
      <i/>
      <sz val="12"/>
      <name val="Times New Roman"/>
      <family val="1"/>
      <charset val="204"/>
    </font>
    <font>
      <b/>
      <i/>
      <sz val="12"/>
      <color rgb="FF0070C0"/>
      <name val="Times New Roman"/>
      <family val="1"/>
      <charset val="204"/>
    </font>
    <font>
      <b/>
      <u/>
      <sz val="12"/>
      <color theme="1"/>
      <name val="Times New Roman"/>
      <family val="1"/>
      <charset val="204"/>
    </font>
    <font>
      <b/>
      <sz val="10"/>
      <color rgb="FFFF0000"/>
      <name val="Arial Cyr"/>
      <charset val="204"/>
    </font>
    <font>
      <b/>
      <u/>
      <sz val="12"/>
      <name val="Times New Roman"/>
      <family val="1"/>
      <charset val="204"/>
    </font>
    <font>
      <b/>
      <sz val="11"/>
      <color theme="1"/>
      <name val="Arial"/>
      <family val="2"/>
      <charset val="204"/>
    </font>
    <font>
      <sz val="11"/>
      <color theme="1"/>
      <name val="Arial"/>
      <family val="2"/>
      <charset val="204"/>
    </font>
    <font>
      <i/>
      <sz val="12"/>
      <color rgb="FFFF0000"/>
      <name val="Times New Roman"/>
      <family val="1"/>
      <charset val="204"/>
    </font>
    <font>
      <b/>
      <sz val="8"/>
      <color rgb="FFFFFFFF"/>
      <name val="Arial"/>
      <family val="2"/>
      <charset val="204"/>
    </font>
    <font>
      <sz val="7"/>
      <name val="Arial"/>
      <family val="2"/>
      <charset val="204"/>
    </font>
    <font>
      <sz val="11"/>
      <color indexed="8"/>
      <name val="Arial"/>
      <family val="2"/>
      <charset val="204"/>
    </font>
    <font>
      <sz val="14"/>
      <name val="Arial"/>
      <family val="2"/>
      <charset val="204"/>
    </font>
    <font>
      <u/>
      <sz val="11"/>
      <color theme="10"/>
      <name val="Calibri"/>
      <family val="2"/>
      <charset val="204"/>
      <scheme val="minor"/>
    </font>
    <font>
      <sz val="11"/>
      <color rgb="FF000000"/>
      <name val="Arial"/>
      <family val="2"/>
      <charset val="204"/>
    </font>
    <font>
      <i/>
      <sz val="8"/>
      <color rgb="FF0070C0"/>
      <name val="Arial"/>
      <family val="2"/>
      <charset val="204"/>
    </font>
    <font>
      <sz val="8"/>
      <color rgb="FF0070C0"/>
      <name val="Arial"/>
      <family val="2"/>
      <charset val="204"/>
    </font>
    <font>
      <sz val="11"/>
      <name val="Calibri"/>
      <family val="2"/>
      <charset val="204"/>
    </font>
    <font>
      <sz val="10"/>
      <name val="Arial"/>
      <family val="2"/>
      <charset val="204"/>
    </font>
    <font>
      <i/>
      <sz val="10"/>
      <name val="Arial"/>
      <family val="2"/>
      <charset val="204"/>
    </font>
    <font>
      <b/>
      <sz val="10"/>
      <name val="Arial"/>
      <family val="2"/>
      <charset val="204"/>
    </font>
    <font>
      <u/>
      <sz val="10"/>
      <name val="Arial"/>
      <family val="2"/>
      <charset val="204"/>
    </font>
    <font>
      <sz val="7"/>
      <name val="Arial"/>
      <family val="2"/>
      <charset val="204"/>
    </font>
    <font>
      <vertAlign val="subscript"/>
      <sz val="12"/>
      <name val="Times New Roman"/>
      <family val="1"/>
      <charset val="204"/>
    </font>
  </fonts>
  <fills count="22">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FF00"/>
        <bgColor rgb="FFFFFF00"/>
      </patternFill>
    </fill>
    <fill>
      <patternFill patternType="solid">
        <fgColor rgb="FFD9D9D9"/>
        <bgColor rgb="FF000000"/>
      </patternFill>
    </fill>
    <fill>
      <patternFill patternType="solid">
        <fgColor indexed="29"/>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9" tint="0.79998168889431442"/>
        <bgColor indexed="64"/>
      </patternFill>
    </fill>
  </fills>
  <borders count="141">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bottom style="medium">
        <color auto="1"/>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indexed="64"/>
      </left>
      <right/>
      <top/>
      <bottom style="medium">
        <color indexed="64"/>
      </bottom>
      <diagonal/>
    </border>
    <border>
      <left style="thin">
        <color indexed="64"/>
      </left>
      <right/>
      <top/>
      <bottom style="thin">
        <color indexed="64"/>
      </bottom>
      <diagonal/>
    </border>
    <border>
      <left/>
      <right style="thin">
        <color auto="1"/>
      </right>
      <top/>
      <bottom style="thin">
        <color auto="1"/>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medium">
        <color indexed="64"/>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style="medium">
        <color indexed="64"/>
      </left>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dotted">
        <color indexed="64"/>
      </right>
      <top/>
      <bottom style="dotted">
        <color indexed="64"/>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style="thin">
        <color indexed="64"/>
      </top>
      <bottom/>
      <diagonal/>
    </border>
    <border>
      <left style="thin">
        <color indexed="8"/>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bottom style="thin">
        <color indexed="22"/>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top style="dotted">
        <color indexed="64"/>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style="thin">
        <color indexed="64"/>
      </left>
      <right style="thin">
        <color indexed="64"/>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diagonal/>
    </border>
    <border>
      <left style="thin">
        <color indexed="55"/>
      </left>
      <right style="thin">
        <color indexed="55"/>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style="thin">
        <color indexed="8"/>
      </right>
      <top style="thin">
        <color indexed="8"/>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top style="medium">
        <color indexed="8"/>
      </top>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right style="medium">
        <color indexed="8"/>
      </right>
      <top style="medium">
        <color indexed="8"/>
      </top>
      <bottom/>
      <diagonal/>
    </border>
    <border>
      <left/>
      <right/>
      <top style="medium">
        <color indexed="8"/>
      </top>
      <bottom/>
      <diagonal/>
    </border>
    <border>
      <left style="thin">
        <color indexed="8"/>
      </left>
      <right style="medium">
        <color indexed="8"/>
      </right>
      <top style="thin">
        <color indexed="8"/>
      </top>
      <bottom/>
      <diagonal/>
    </border>
    <border>
      <left style="thin">
        <color indexed="55"/>
      </left>
      <right style="thin">
        <color indexed="55"/>
      </right>
      <top/>
      <bottom style="medium">
        <color indexed="64"/>
      </bottom>
      <diagonal/>
    </border>
    <border>
      <left/>
      <right/>
      <top style="thin">
        <color indexed="55"/>
      </top>
      <bottom/>
      <diagonal/>
    </border>
    <border>
      <left/>
      <right/>
      <top style="thin">
        <color indexed="64"/>
      </top>
      <bottom style="dotted">
        <color indexed="64"/>
      </bottom>
      <diagonal/>
    </border>
    <border>
      <left style="thin">
        <color auto="1"/>
      </left>
      <right style="thin">
        <color auto="1"/>
      </right>
      <top/>
      <bottom/>
      <diagonal/>
    </border>
  </borders>
  <cellStyleXfs count="85">
    <xf numFmtId="0" fontId="0" fillId="0" borderId="0"/>
    <xf numFmtId="9" fontId="1" fillId="0" borderId="0" applyFont="0" applyFill="0" applyBorder="0" applyAlignment="0" applyProtection="0"/>
    <xf numFmtId="0" fontId="7" fillId="0" borderId="1">
      <alignment horizontal="left" vertical="top"/>
    </xf>
    <xf numFmtId="0" fontId="1" fillId="0" borderId="0"/>
    <xf numFmtId="0" fontId="9" fillId="0" borderId="0"/>
    <xf numFmtId="0" fontId="9" fillId="0" borderId="0" applyFill="0" applyProtection="0"/>
    <xf numFmtId="0" fontId="6" fillId="0" borderId="0">
      <alignment horizontal="center"/>
    </xf>
    <xf numFmtId="0" fontId="6" fillId="0" borderId="8">
      <alignment horizontal="center" wrapText="1"/>
    </xf>
    <xf numFmtId="0" fontId="6" fillId="0" borderId="0">
      <alignment horizontal="right" vertical="top" wrapText="1"/>
    </xf>
    <xf numFmtId="0" fontId="6" fillId="0" borderId="0">
      <alignment horizontal="left" vertical="top"/>
    </xf>
    <xf numFmtId="0" fontId="21" fillId="0" borderId="0"/>
    <xf numFmtId="0" fontId="9" fillId="0" borderId="0"/>
    <xf numFmtId="168" fontId="22" fillId="0" borderId="0"/>
    <xf numFmtId="0" fontId="1" fillId="0" borderId="0"/>
    <xf numFmtId="168" fontId="22" fillId="0" borderId="0"/>
    <xf numFmtId="0" fontId="10" fillId="0" borderId="0"/>
    <xf numFmtId="0" fontId="1" fillId="0" borderId="0"/>
    <xf numFmtId="0" fontId="26" fillId="0" borderId="0">
      <alignment horizontal="center" vertical="center"/>
    </xf>
    <xf numFmtId="0" fontId="7" fillId="0" borderId="0">
      <alignment horizontal="center" vertical="top"/>
    </xf>
    <xf numFmtId="0" fontId="33" fillId="0" borderId="0">
      <alignment horizontal="left" vertical="top"/>
    </xf>
    <xf numFmtId="0" fontId="7" fillId="0" borderId="0">
      <alignment horizontal="left" vertical="top"/>
    </xf>
    <xf numFmtId="0" fontId="7" fillId="0" borderId="0">
      <alignment horizontal="left" vertical="center"/>
    </xf>
    <xf numFmtId="0" fontId="33" fillId="0" borderId="0">
      <alignment horizontal="left" vertical="center"/>
    </xf>
    <xf numFmtId="0" fontId="7" fillId="0" borderId="8">
      <alignment horizontal="center" vertical="center"/>
    </xf>
    <xf numFmtId="0" fontId="7" fillId="0" borderId="8">
      <alignment horizontal="left" vertical="center"/>
    </xf>
    <xf numFmtId="0" fontId="7" fillId="0" borderId="14">
      <alignment horizontal="left" vertical="top"/>
    </xf>
    <xf numFmtId="170" fontId="21" fillId="0" borderId="0" applyFont="0" applyFill="0" applyBorder="0" applyAlignment="0" applyProtection="0"/>
    <xf numFmtId="9" fontId="21" fillId="0" borderId="0" applyFont="0" applyFill="0" applyBorder="0" applyAlignment="0" applyProtection="0"/>
    <xf numFmtId="0" fontId="21" fillId="0" borderId="0"/>
    <xf numFmtId="9" fontId="9" fillId="0" borderId="0" applyFont="0" applyFill="0" applyBorder="0" applyAlignment="0" applyProtection="0"/>
    <xf numFmtId="171" fontId="9" fillId="0" borderId="0" applyFont="0" applyFill="0" applyBorder="0" applyAlignment="0" applyProtection="0"/>
    <xf numFmtId="0" fontId="1" fillId="0" borderId="0"/>
    <xf numFmtId="164" fontId="21" fillId="0" borderId="0" applyFont="0" applyFill="0" applyBorder="0" applyAlignment="0" applyProtection="0"/>
    <xf numFmtId="170" fontId="37" fillId="0" borderId="0" applyFont="0" applyFill="0" applyBorder="0" applyAlignment="0" applyProtection="0"/>
    <xf numFmtId="0" fontId="37" fillId="0" borderId="0"/>
    <xf numFmtId="9" fontId="9" fillId="0" borderId="0" applyFont="0" applyFill="0" applyBorder="0" applyAlignment="0" applyProtection="0"/>
    <xf numFmtId="0" fontId="1" fillId="0" borderId="0"/>
    <xf numFmtId="0" fontId="9" fillId="0" borderId="0"/>
    <xf numFmtId="0" fontId="1" fillId="0" borderId="0"/>
    <xf numFmtId="0" fontId="1" fillId="0" borderId="0"/>
    <xf numFmtId="173" fontId="9" fillId="0" borderId="0" applyFont="0" applyFill="0" applyBorder="0" applyAlignment="0" applyProtection="0"/>
    <xf numFmtId="0" fontId="10" fillId="0" borderId="8" applyBorder="0" applyAlignment="0">
      <alignment horizontal="center" wrapText="1"/>
    </xf>
    <xf numFmtId="0" fontId="10" fillId="0" borderId="0"/>
    <xf numFmtId="43" fontId="1" fillId="0" borderId="0" applyFont="0" applyFill="0" applyBorder="0" applyAlignment="0" applyProtection="0"/>
    <xf numFmtId="43" fontId="21" fillId="0" borderId="0" applyFont="0" applyFill="0" applyBorder="0" applyAlignment="0" applyProtection="0"/>
    <xf numFmtId="0" fontId="21" fillId="0" borderId="0"/>
    <xf numFmtId="0" fontId="10" fillId="0" borderId="0"/>
    <xf numFmtId="0" fontId="1" fillId="0" borderId="0"/>
    <xf numFmtId="0" fontId="10" fillId="0" borderId="0"/>
    <xf numFmtId="0" fontId="10" fillId="0" borderId="0"/>
    <xf numFmtId="0" fontId="10" fillId="0" borderId="0"/>
    <xf numFmtId="43" fontId="1" fillId="0" borderId="0" applyFont="0" applyFill="0" applyBorder="0" applyAlignment="0" applyProtection="0"/>
    <xf numFmtId="0" fontId="52" fillId="0" borderId="0"/>
    <xf numFmtId="0" fontId="21" fillId="0" borderId="0"/>
    <xf numFmtId="0" fontId="21" fillId="0" borderId="0"/>
    <xf numFmtId="0" fontId="10" fillId="0" borderId="0"/>
    <xf numFmtId="0" fontId="64" fillId="0" borderId="0"/>
    <xf numFmtId="0" fontId="10" fillId="0" borderId="39" applyBorder="0" applyAlignment="0">
      <alignment horizontal="center" wrapText="1"/>
    </xf>
    <xf numFmtId="0" fontId="51" fillId="0" borderId="0"/>
    <xf numFmtId="170" fontId="1" fillId="0" borderId="0" applyFont="0" applyFill="0" applyBorder="0" applyAlignment="0" applyProtection="0"/>
    <xf numFmtId="170" fontId="9" fillId="0" borderId="0" applyFont="0" applyFill="0" applyBorder="0" applyAlignment="0" applyProtection="0"/>
    <xf numFmtId="0" fontId="10" fillId="0" borderId="0"/>
    <xf numFmtId="0" fontId="1" fillId="0" borderId="0"/>
    <xf numFmtId="43" fontId="52" fillId="0" borderId="0" applyFont="0" applyFill="0" applyBorder="0" applyAlignment="0" applyProtection="0"/>
    <xf numFmtId="0" fontId="78" fillId="0" borderId="0"/>
    <xf numFmtId="164" fontId="1" fillId="0" borderId="0" applyFont="0" applyFill="0" applyBorder="0" applyAlignment="0" applyProtection="0"/>
    <xf numFmtId="164" fontId="21" fillId="0" borderId="0" applyFont="0" applyFill="0" applyBorder="0" applyAlignment="0" applyProtection="0"/>
    <xf numFmtId="0" fontId="9" fillId="0" borderId="0"/>
    <xf numFmtId="0" fontId="79" fillId="0" borderId="0"/>
    <xf numFmtId="43" fontId="21" fillId="0" borderId="0" applyFont="0" applyFill="0" applyBorder="0" applyAlignment="0" applyProtection="0"/>
    <xf numFmtId="0" fontId="1" fillId="0" borderId="0"/>
    <xf numFmtId="0" fontId="9" fillId="0" borderId="0"/>
    <xf numFmtId="0" fontId="22" fillId="0" borderId="0"/>
    <xf numFmtId="0" fontId="1" fillId="0" borderId="0"/>
    <xf numFmtId="0" fontId="52" fillId="0" borderId="0"/>
    <xf numFmtId="0" fontId="1" fillId="0" borderId="0"/>
    <xf numFmtId="43" fontId="9" fillId="0" borderId="0" applyFont="0" applyFill="0" applyBorder="0" applyAlignment="0" applyProtection="0"/>
    <xf numFmtId="0" fontId="37" fillId="0" borderId="0"/>
    <xf numFmtId="44" fontId="21" fillId="0" borderId="0" applyFont="0" applyFill="0" applyBorder="0" applyAlignment="0" applyProtection="0"/>
    <xf numFmtId="0" fontId="9" fillId="0" borderId="0"/>
    <xf numFmtId="0" fontId="10" fillId="0" borderId="0"/>
    <xf numFmtId="0" fontId="104" fillId="0" borderId="0"/>
    <xf numFmtId="0" fontId="51" fillId="0" borderId="0"/>
    <xf numFmtId="0" fontId="122" fillId="0" borderId="0" applyNumberFormat="0" applyFill="0" applyBorder="0" applyAlignment="0" applyProtection="0"/>
    <xf numFmtId="0" fontId="126" fillId="0" borderId="0"/>
  </cellStyleXfs>
  <cellXfs count="3017">
    <xf numFmtId="0" fontId="0" fillId="0" borderId="0" xfId="0"/>
    <xf numFmtId="0" fontId="0" fillId="0" borderId="0" xfId="0" applyAlignment="1">
      <alignment wrapText="1"/>
    </xf>
    <xf numFmtId="0" fontId="0" fillId="0" borderId="0" xfId="0" applyAlignment="1"/>
    <xf numFmtId="0" fontId="0" fillId="0" borderId="0" xfId="0" applyNumberFormat="1" applyAlignment="1">
      <alignment wrapText="1"/>
    </xf>
    <xf numFmtId="0" fontId="3" fillId="3" borderId="5" xfId="0" applyNumberFormat="1" applyFont="1" applyFill="1" applyBorder="1" applyAlignment="1">
      <alignment vertical="center" wrapText="1"/>
    </xf>
    <xf numFmtId="0" fontId="10" fillId="0" borderId="0" xfId="4" applyFont="1" applyFill="1" applyAlignment="1">
      <alignment horizontal="center" vertical="center"/>
    </xf>
    <xf numFmtId="49" fontId="10" fillId="0" borderId="0" xfId="4" applyNumberFormat="1" applyFont="1" applyFill="1" applyAlignment="1">
      <alignment horizontal="left" vertical="center"/>
    </xf>
    <xf numFmtId="0" fontId="10" fillId="0" borderId="0" xfId="4" applyFont="1" applyFill="1" applyAlignment="1">
      <alignment vertical="center"/>
    </xf>
    <xf numFmtId="49" fontId="10" fillId="0" borderId="0" xfId="4" applyNumberFormat="1" applyFont="1" applyFill="1" applyAlignment="1">
      <alignment horizontal="right" vertical="center"/>
    </xf>
    <xf numFmtId="49" fontId="10" fillId="0" borderId="1" xfId="4" applyNumberFormat="1" applyFont="1" applyFill="1" applyBorder="1" applyAlignment="1">
      <alignment horizontal="left" vertical="center"/>
    </xf>
    <xf numFmtId="0" fontId="10" fillId="0" borderId="1" xfId="4" applyFont="1" applyFill="1" applyBorder="1" applyAlignment="1">
      <alignment horizontal="center" vertical="center"/>
    </xf>
    <xf numFmtId="0" fontId="11" fillId="0" borderId="0" xfId="4" applyFont="1" applyFill="1" applyAlignment="1">
      <alignment horizontal="center" vertical="center"/>
    </xf>
    <xf numFmtId="0" fontId="10" fillId="0" borderId="0" xfId="4" applyFont="1" applyFill="1" applyAlignment="1">
      <alignment horizontal="right" vertical="center"/>
    </xf>
    <xf numFmtId="0" fontId="10" fillId="0" borderId="0" xfId="4" applyFont="1" applyFill="1" applyBorder="1" applyAlignment="1">
      <alignment horizontal="center" vertical="center"/>
    </xf>
    <xf numFmtId="49" fontId="10" fillId="0" borderId="0" xfId="4" applyNumberFormat="1" applyFont="1" applyFill="1" applyBorder="1" applyAlignment="1">
      <alignment horizontal="left" vertical="center"/>
    </xf>
    <xf numFmtId="0" fontId="11" fillId="0" borderId="0" xfId="4" applyFont="1" applyFill="1" applyBorder="1" applyAlignment="1">
      <alignment horizontal="center" vertical="center"/>
    </xf>
    <xf numFmtId="0" fontId="10" fillId="0" borderId="0" xfId="4" applyFont="1" applyFill="1" applyBorder="1" applyAlignment="1">
      <alignment vertical="center"/>
    </xf>
    <xf numFmtId="49" fontId="10" fillId="0" borderId="0" xfId="5" applyNumberFormat="1" applyFont="1" applyFill="1" applyAlignment="1">
      <alignment horizontal="center" vertical="center"/>
    </xf>
    <xf numFmtId="0" fontId="12" fillId="0" borderId="0" xfId="5" applyFont="1" applyFill="1" applyBorder="1" applyAlignment="1">
      <alignment vertical="center"/>
    </xf>
    <xf numFmtId="0" fontId="10" fillId="0" borderId="0" xfId="5" applyFont="1" applyFill="1" applyAlignment="1">
      <alignment horizontal="left" vertical="center" wrapText="1"/>
    </xf>
    <xf numFmtId="0" fontId="10" fillId="0" borderId="0" xfId="5" applyFont="1" applyFill="1" applyAlignment="1">
      <alignment horizontal="center" vertical="center" wrapText="1"/>
    </xf>
    <xf numFmtId="0" fontId="10" fillId="0" borderId="0" xfId="5" applyFont="1" applyFill="1" applyAlignment="1">
      <alignment vertical="center"/>
    </xf>
    <xf numFmtId="0" fontId="10" fillId="0" borderId="0" xfId="5" applyFont="1" applyFill="1" applyAlignment="1">
      <alignment horizontal="right" vertical="center"/>
    </xf>
    <xf numFmtId="0" fontId="10" fillId="0" borderId="0" xfId="5" applyFont="1" applyFill="1" applyBorder="1" applyAlignment="1">
      <alignment horizontal="right" vertical="center"/>
    </xf>
    <xf numFmtId="0" fontId="13" fillId="0" borderId="0" xfId="6" applyFont="1" applyFill="1" applyBorder="1" applyAlignment="1">
      <alignment vertical="center"/>
    </xf>
    <xf numFmtId="0" fontId="13" fillId="0" borderId="0" xfId="4" applyFont="1" applyFill="1" applyBorder="1" applyAlignment="1">
      <alignment vertical="center"/>
    </xf>
    <xf numFmtId="0" fontId="12" fillId="0" borderId="0" xfId="4" applyFont="1" applyFill="1" applyBorder="1" applyAlignment="1">
      <alignment vertical="center"/>
    </xf>
    <xf numFmtId="0" fontId="14" fillId="0" borderId="0" xfId="4" applyFont="1" applyFill="1" applyAlignment="1">
      <alignment horizontal="center" vertical="center"/>
    </xf>
    <xf numFmtId="0" fontId="12" fillId="0" borderId="0" xfId="4" applyFont="1" applyFill="1" applyBorder="1" applyAlignment="1">
      <alignment horizontal="center" vertical="center"/>
    </xf>
    <xf numFmtId="0" fontId="15" fillId="0" borderId="11" xfId="7" applyFont="1" applyFill="1" applyBorder="1" applyAlignment="1">
      <alignment horizontal="center" vertical="center" wrapText="1"/>
    </xf>
    <xf numFmtId="49" fontId="16" fillId="0" borderId="8" xfId="4" applyNumberFormat="1" applyFont="1" applyFill="1" applyBorder="1" applyAlignment="1">
      <alignment horizontal="center" vertical="center" wrapText="1"/>
    </xf>
    <xf numFmtId="0" fontId="16" fillId="0" borderId="8" xfId="4" applyFont="1" applyFill="1" applyBorder="1" applyAlignment="1">
      <alignment horizontal="left" vertical="center" wrapText="1"/>
    </xf>
    <xf numFmtId="0" fontId="10" fillId="0" borderId="8" xfId="4" applyFont="1" applyFill="1" applyBorder="1" applyAlignment="1">
      <alignment horizontal="left" vertical="center" wrapText="1"/>
    </xf>
    <xf numFmtId="0" fontId="10" fillId="0" borderId="0" xfId="4" applyFont="1" applyFill="1" applyBorder="1" applyAlignment="1">
      <alignment vertical="center" wrapText="1"/>
    </xf>
    <xf numFmtId="49" fontId="10" fillId="0" borderId="8" xfId="4" applyNumberFormat="1" applyFont="1" applyFill="1" applyBorder="1" applyAlignment="1">
      <alignment horizontal="center" vertical="center" wrapText="1"/>
    </xf>
    <xf numFmtId="49" fontId="10" fillId="0" borderId="8" xfId="4" applyNumberFormat="1" applyFont="1" applyFill="1" applyBorder="1" applyAlignment="1">
      <alignment vertical="center" wrapText="1"/>
    </xf>
    <xf numFmtId="0" fontId="10" fillId="0" borderId="8" xfId="4" applyFont="1" applyBorder="1" applyAlignment="1">
      <alignment vertical="center" wrapText="1"/>
    </xf>
    <xf numFmtId="49" fontId="10" fillId="0" borderId="8" xfId="4" applyNumberFormat="1" applyFont="1" applyFill="1" applyBorder="1" applyAlignment="1">
      <alignment horizontal="right" vertical="center" wrapText="1"/>
    </xf>
    <xf numFmtId="0" fontId="10" fillId="0" borderId="8" xfId="4" applyNumberFormat="1" applyFont="1" applyFill="1" applyBorder="1" applyAlignment="1">
      <alignment vertical="center" wrapText="1"/>
    </xf>
    <xf numFmtId="4" fontId="10" fillId="0" borderId="8" xfId="4" applyNumberFormat="1" applyFont="1" applyFill="1" applyBorder="1" applyAlignment="1">
      <alignment vertical="center" wrapText="1"/>
    </xf>
    <xf numFmtId="0" fontId="10" fillId="0" borderId="8" xfId="4" applyFont="1" applyBorder="1" applyAlignment="1">
      <alignment horizontal="right" vertical="center"/>
    </xf>
    <xf numFmtId="0" fontId="10" fillId="0" borderId="8" xfId="4" applyFont="1" applyBorder="1" applyAlignment="1">
      <alignment vertical="center"/>
    </xf>
    <xf numFmtId="2" fontId="10" fillId="0" borderId="8" xfId="4" applyNumberFormat="1" applyFont="1" applyBorder="1" applyAlignment="1">
      <alignment vertical="center" wrapText="1"/>
    </xf>
    <xf numFmtId="0" fontId="10" fillId="0" borderId="0" xfId="4" applyFont="1" applyAlignment="1">
      <alignment vertical="center"/>
    </xf>
    <xf numFmtId="49" fontId="10" fillId="0" borderId="8" xfId="4" applyNumberFormat="1" applyFont="1" applyFill="1" applyBorder="1" applyAlignment="1">
      <alignment horizontal="left" vertical="center" wrapText="1"/>
    </xf>
    <xf numFmtId="0" fontId="10" fillId="0" borderId="8" xfId="4" applyFont="1" applyFill="1" applyBorder="1" applyAlignment="1">
      <alignment vertical="center"/>
    </xf>
    <xf numFmtId="0" fontId="10" fillId="0" borderId="8" xfId="4" applyNumberFormat="1" applyFont="1" applyFill="1" applyBorder="1" applyAlignment="1">
      <alignment horizontal="center" vertical="center" wrapText="1"/>
    </xf>
    <xf numFmtId="4" fontId="10" fillId="0" borderId="8" xfId="4" applyNumberFormat="1" applyFont="1" applyFill="1" applyBorder="1" applyAlignment="1">
      <alignment horizontal="right" vertical="center" wrapText="1"/>
    </xf>
    <xf numFmtId="0" fontId="10" fillId="0" borderId="8" xfId="4" applyFont="1" applyFill="1" applyBorder="1" applyAlignment="1">
      <alignment horizontal="center" vertical="top" wrapText="1"/>
    </xf>
    <xf numFmtId="49" fontId="10" fillId="0" borderId="8" xfId="4" applyNumberFormat="1" applyFont="1" applyFill="1" applyBorder="1" applyAlignment="1">
      <alignment horizontal="left" vertical="top" wrapText="1"/>
    </xf>
    <xf numFmtId="0" fontId="10" fillId="0" borderId="8" xfId="4" applyFont="1" applyFill="1" applyBorder="1" applyAlignment="1">
      <alignment horizontal="right" vertical="top"/>
    </xf>
    <xf numFmtId="0" fontId="10" fillId="0" borderId="8" xfId="4" applyFont="1" applyFill="1" applyBorder="1" applyAlignment="1">
      <alignment horizontal="right" vertical="top" wrapText="1"/>
    </xf>
    <xf numFmtId="166" fontId="10" fillId="0" borderId="8" xfId="4" applyNumberFormat="1" applyFont="1" applyFill="1" applyBorder="1" applyAlignment="1">
      <alignment horizontal="right" vertical="top" wrapText="1"/>
    </xf>
    <xf numFmtId="0" fontId="10" fillId="0" borderId="0" xfId="4" applyFont="1" applyFill="1"/>
    <xf numFmtId="49" fontId="17" fillId="0" borderId="8" xfId="4" applyNumberFormat="1" applyFont="1" applyFill="1" applyBorder="1" applyAlignment="1">
      <alignment horizontal="left" vertical="top" wrapText="1"/>
    </xf>
    <xf numFmtId="2" fontId="17" fillId="0" borderId="8" xfId="4" applyNumberFormat="1" applyFont="1" applyFill="1" applyBorder="1" applyAlignment="1">
      <alignment horizontal="right" vertical="top" wrapText="1"/>
    </xf>
    <xf numFmtId="0" fontId="17" fillId="0" borderId="8" xfId="4" applyFont="1" applyFill="1" applyBorder="1" applyAlignment="1">
      <alignment horizontal="center" vertical="top" wrapText="1"/>
    </xf>
    <xf numFmtId="166" fontId="17" fillId="0" borderId="8" xfId="4" applyNumberFormat="1" applyFont="1" applyFill="1" applyBorder="1" applyAlignment="1">
      <alignment horizontal="right" vertical="top" wrapText="1"/>
    </xf>
    <xf numFmtId="49" fontId="10" fillId="0" borderId="8" xfId="4" applyNumberFormat="1" applyFont="1" applyFill="1" applyBorder="1" applyAlignment="1">
      <alignment horizontal="center" vertical="top" wrapText="1"/>
    </xf>
    <xf numFmtId="0" fontId="10" fillId="0" borderId="8" xfId="4" applyFont="1" applyFill="1" applyBorder="1" applyAlignment="1">
      <alignment horizontal="left" vertical="top" wrapText="1"/>
    </xf>
    <xf numFmtId="2" fontId="10" fillId="0" borderId="8" xfId="4" applyNumberFormat="1" applyFont="1" applyFill="1" applyBorder="1" applyAlignment="1">
      <alignment horizontal="right" vertical="top" wrapText="1"/>
    </xf>
    <xf numFmtId="0" fontId="10" fillId="0" borderId="8" xfId="4" applyFont="1" applyFill="1" applyBorder="1" applyAlignment="1">
      <alignment horizontal="left" vertical="top"/>
    </xf>
    <xf numFmtId="16" fontId="10" fillId="0" borderId="8" xfId="4" applyNumberFormat="1" applyFont="1" applyFill="1" applyBorder="1" applyAlignment="1">
      <alignment horizontal="center" vertical="top" wrapText="1"/>
    </xf>
    <xf numFmtId="0" fontId="10" fillId="0" borderId="8" xfId="4" applyNumberFormat="1" applyFont="1" applyFill="1" applyBorder="1" applyAlignment="1">
      <alignment horizontal="center" vertical="top" wrapText="1"/>
    </xf>
    <xf numFmtId="4" fontId="10" fillId="0" borderId="8" xfId="8" applyNumberFormat="1" applyFont="1" applyFill="1" applyBorder="1" applyAlignment="1">
      <alignment horizontal="right" vertical="center" wrapText="1"/>
    </xf>
    <xf numFmtId="4" fontId="17" fillId="0" borderId="8" xfId="8" applyNumberFormat="1" applyFont="1" applyFill="1" applyBorder="1" applyAlignment="1">
      <alignment horizontal="right" vertical="center" wrapText="1"/>
    </xf>
    <xf numFmtId="4" fontId="10" fillId="0" borderId="0" xfId="4" applyNumberFormat="1" applyFont="1" applyFill="1" applyBorder="1" applyAlignment="1">
      <alignment vertical="center" wrapText="1"/>
    </xf>
    <xf numFmtId="0" fontId="10" fillId="0" borderId="0" xfId="8" applyFont="1" applyFill="1" applyBorder="1" applyAlignment="1">
      <alignment horizontal="center" vertical="center" wrapText="1"/>
    </xf>
    <xf numFmtId="0" fontId="10" fillId="0" borderId="0" xfId="8" applyFont="1" applyFill="1" applyBorder="1" applyAlignment="1">
      <alignment horizontal="left" vertical="center" wrapText="1"/>
    </xf>
    <xf numFmtId="0" fontId="10" fillId="0" borderId="0" xfId="8" applyFont="1" applyFill="1" applyBorder="1" applyAlignment="1">
      <alignment horizontal="right" vertical="center" wrapText="1"/>
    </xf>
    <xf numFmtId="0" fontId="18" fillId="0" borderId="0" xfId="4" applyFont="1" applyFill="1" applyBorder="1" applyAlignment="1">
      <alignment horizontal="center" vertical="center"/>
    </xf>
    <xf numFmtId="0" fontId="10" fillId="0" borderId="0" xfId="9" applyFont="1" applyFill="1" applyAlignment="1">
      <alignment horizontal="left" vertical="center"/>
    </xf>
    <xf numFmtId="0" fontId="3" fillId="9" borderId="8" xfId="0" applyFont="1" applyFill="1" applyBorder="1" applyAlignment="1">
      <alignment vertical="center" wrapText="1"/>
    </xf>
    <xf numFmtId="0" fontId="27" fillId="5" borderId="22" xfId="0" applyFont="1" applyFill="1" applyBorder="1" applyAlignment="1">
      <alignment vertical="center"/>
    </xf>
    <xf numFmtId="0" fontId="3" fillId="3" borderId="0" xfId="0" applyNumberFormat="1" applyFont="1" applyFill="1" applyBorder="1" applyAlignment="1">
      <alignment vertical="center" wrapText="1"/>
    </xf>
    <xf numFmtId="49" fontId="3" fillId="5" borderId="21" xfId="0" applyNumberFormat="1" applyFont="1" applyFill="1" applyBorder="1" applyAlignment="1">
      <alignment horizontal="center" vertical="center"/>
    </xf>
    <xf numFmtId="0" fontId="0" fillId="3" borderId="0" xfId="0" applyNumberFormat="1" applyFill="1" applyAlignment="1">
      <alignment wrapText="1"/>
    </xf>
    <xf numFmtId="0" fontId="3" fillId="6" borderId="8" xfId="0" applyFont="1" applyFill="1" applyBorder="1" applyAlignment="1">
      <alignment vertical="center" wrapText="1"/>
    </xf>
    <xf numFmtId="0" fontId="3" fillId="6" borderId="8" xfId="0" applyFont="1" applyFill="1" applyBorder="1" applyAlignment="1">
      <alignment horizontal="center" vertical="center" wrapText="1"/>
    </xf>
    <xf numFmtId="0" fontId="3" fillId="5" borderId="8" xfId="0" applyFont="1" applyFill="1" applyBorder="1" applyAlignment="1">
      <alignment horizontal="center" vertical="center"/>
    </xf>
    <xf numFmtId="0" fontId="3" fillId="9" borderId="5" xfId="0" applyFont="1" applyFill="1" applyBorder="1" applyAlignment="1">
      <alignment horizontal="center" vertical="center" wrapText="1"/>
    </xf>
    <xf numFmtId="49" fontId="3" fillId="9" borderId="5" xfId="0" applyNumberFormat="1" applyFont="1" applyFill="1" applyBorder="1" applyAlignment="1">
      <alignment horizontal="center" vertical="center"/>
    </xf>
    <xf numFmtId="0" fontId="3" fillId="9" borderId="5" xfId="0" applyNumberFormat="1" applyFont="1" applyFill="1" applyBorder="1" applyAlignment="1">
      <alignment vertical="center" wrapText="1"/>
    </xf>
    <xf numFmtId="0" fontId="3" fillId="5" borderId="8" xfId="0" applyFont="1" applyFill="1" applyBorder="1" applyAlignment="1">
      <alignment vertical="center" wrapText="1"/>
    </xf>
    <xf numFmtId="0" fontId="3" fillId="5" borderId="8" xfId="0" applyFont="1" applyFill="1" applyBorder="1" applyAlignment="1">
      <alignment horizontal="center" vertical="center" wrapText="1"/>
    </xf>
    <xf numFmtId="0" fontId="27" fillId="5" borderId="22" xfId="0" applyFont="1" applyFill="1" applyBorder="1" applyAlignment="1">
      <alignment vertical="center" wrapText="1"/>
    </xf>
    <xf numFmtId="49" fontId="3" fillId="5" borderId="17" xfId="0" applyNumberFormat="1" applyFont="1" applyFill="1" applyBorder="1" applyAlignment="1">
      <alignment horizontal="center" vertical="center"/>
    </xf>
    <xf numFmtId="49" fontId="5" fillId="2" borderId="21" xfId="0" applyNumberFormat="1" applyFont="1" applyFill="1" applyBorder="1" applyAlignment="1">
      <alignment horizontal="center" vertical="center"/>
    </xf>
    <xf numFmtId="0" fontId="5" fillId="2" borderId="8" xfId="0" applyFont="1" applyFill="1" applyBorder="1" applyAlignment="1">
      <alignment vertical="center" wrapText="1"/>
    </xf>
    <xf numFmtId="0" fontId="5" fillId="2" borderId="5" xfId="0" applyFont="1" applyFill="1" applyBorder="1" applyAlignment="1">
      <alignment horizontal="center" vertical="center" wrapText="1"/>
    </xf>
    <xf numFmtId="49" fontId="5" fillId="2" borderId="5" xfId="0" applyNumberFormat="1" applyFont="1" applyFill="1" applyBorder="1" applyAlignment="1">
      <alignment horizontal="center" vertical="center"/>
    </xf>
    <xf numFmtId="0" fontId="3" fillId="9" borderId="7" xfId="0" applyNumberFormat="1" applyFont="1" applyFill="1" applyBorder="1" applyAlignment="1">
      <alignment vertical="center" wrapText="1"/>
    </xf>
    <xf numFmtId="0" fontId="5" fillId="9" borderId="8" xfId="0" applyFont="1" applyFill="1" applyBorder="1" applyAlignment="1">
      <alignment horizontal="center" vertical="center"/>
    </xf>
    <xf numFmtId="0" fontId="28" fillId="3" borderId="5" xfId="0" applyNumberFormat="1" applyFont="1" applyFill="1" applyBorder="1" applyAlignment="1">
      <alignment vertical="center" wrapText="1"/>
    </xf>
    <xf numFmtId="49" fontId="3" fillId="9" borderId="8" xfId="0" applyNumberFormat="1" applyFont="1" applyFill="1" applyBorder="1" applyAlignment="1">
      <alignment horizontal="center" vertical="center"/>
    </xf>
    <xf numFmtId="0" fontId="3" fillId="9" borderId="8" xfId="0" applyFont="1" applyFill="1" applyBorder="1" applyAlignment="1">
      <alignment vertical="center"/>
    </xf>
    <xf numFmtId="0" fontId="27" fillId="5" borderId="23" xfId="0" applyFont="1" applyFill="1" applyBorder="1" applyAlignment="1">
      <alignment vertical="center" wrapText="1"/>
    </xf>
    <xf numFmtId="0" fontId="3" fillId="3" borderId="4" xfId="0" applyNumberFormat="1" applyFont="1" applyFill="1" applyBorder="1" applyAlignment="1">
      <alignment vertical="center" wrapText="1"/>
    </xf>
    <xf numFmtId="49" fontId="3" fillId="6" borderId="21" xfId="0" applyNumberFormat="1" applyFont="1" applyFill="1" applyBorder="1" applyAlignment="1">
      <alignment horizontal="center" vertical="center"/>
    </xf>
    <xf numFmtId="0" fontId="3" fillId="6" borderId="8"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8" xfId="0" applyFont="1" applyFill="1" applyBorder="1" applyAlignment="1">
      <alignment horizontal="center" vertical="center"/>
    </xf>
    <xf numFmtId="0" fontId="29" fillId="0" borderId="0" xfId="0" applyFont="1"/>
    <xf numFmtId="0" fontId="27" fillId="5" borderId="23" xfId="0" applyFont="1" applyFill="1" applyBorder="1" applyAlignment="1">
      <alignment vertical="center"/>
    </xf>
    <xf numFmtId="0" fontId="3" fillId="4" borderId="8" xfId="0" applyFont="1" applyFill="1" applyBorder="1" applyAlignment="1">
      <alignment horizontal="center" vertical="center"/>
    </xf>
    <xf numFmtId="0" fontId="3" fillId="9" borderId="4" xfId="0" applyNumberFormat="1" applyFont="1" applyFill="1" applyBorder="1" applyAlignment="1">
      <alignment vertical="center" wrapText="1"/>
    </xf>
    <xf numFmtId="0" fontId="0" fillId="0" borderId="10" xfId="0" applyBorder="1" applyAlignment="1">
      <alignment horizontal="left"/>
    </xf>
    <xf numFmtId="49" fontId="3" fillId="9" borderId="21" xfId="0" applyNumberFormat="1" applyFont="1" applyFill="1" applyBorder="1" applyAlignment="1">
      <alignment horizontal="center" vertical="center"/>
    </xf>
    <xf numFmtId="0" fontId="3" fillId="9" borderId="8" xfId="0" applyFont="1" applyFill="1" applyBorder="1" applyAlignment="1">
      <alignment horizontal="center" vertical="center" wrapText="1"/>
    </xf>
    <xf numFmtId="0" fontId="3" fillId="9" borderId="8" xfId="0" applyFont="1" applyFill="1" applyBorder="1" applyAlignment="1">
      <alignment horizontal="center" vertical="center"/>
    </xf>
    <xf numFmtId="0" fontId="3" fillId="5" borderId="22" xfId="0" applyFont="1" applyFill="1" applyBorder="1" applyAlignment="1">
      <alignment vertical="center"/>
    </xf>
    <xf numFmtId="0" fontId="5" fillId="3" borderId="5" xfId="0" applyNumberFormat="1" applyFont="1" applyFill="1" applyBorder="1" applyAlignment="1">
      <alignment vertical="center" wrapText="1"/>
    </xf>
    <xf numFmtId="0" fontId="3" fillId="9" borderId="12" xfId="0" applyFont="1" applyFill="1" applyBorder="1" applyAlignment="1">
      <alignment vertical="center" wrapText="1"/>
    </xf>
    <xf numFmtId="0" fontId="3" fillId="9" borderId="12" xfId="0" applyFont="1" applyFill="1" applyBorder="1" applyAlignment="1">
      <alignment horizontal="center" vertical="center" wrapText="1"/>
    </xf>
    <xf numFmtId="0" fontId="3" fillId="9" borderId="12" xfId="0" applyFont="1" applyFill="1" applyBorder="1" applyAlignment="1">
      <alignment horizontal="center" vertical="center"/>
    </xf>
    <xf numFmtId="49" fontId="2" fillId="5" borderId="24" xfId="0" applyNumberFormat="1" applyFont="1" applyFill="1" applyBorder="1" applyAlignment="1">
      <alignment horizontal="center" vertical="center"/>
    </xf>
    <xf numFmtId="0" fontId="5" fillId="9" borderId="5" xfId="0" applyNumberFormat="1" applyFont="1" applyFill="1" applyBorder="1" applyAlignment="1">
      <alignment vertical="center" wrapText="1"/>
    </xf>
    <xf numFmtId="0" fontId="3" fillId="6" borderId="22" xfId="0" applyFont="1" applyFill="1" applyBorder="1" applyAlignment="1">
      <alignment vertical="center"/>
    </xf>
    <xf numFmtId="0" fontId="3" fillId="5" borderId="23" xfId="0" applyFont="1" applyFill="1" applyBorder="1" applyAlignment="1">
      <alignment vertical="center"/>
    </xf>
    <xf numFmtId="49" fontId="3" fillId="2" borderId="21" xfId="0" applyNumberFormat="1"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8" xfId="0" applyFont="1" applyFill="1" applyBorder="1" applyAlignment="1">
      <alignment horizontal="center" vertical="center"/>
    </xf>
    <xf numFmtId="0" fontId="0" fillId="2" borderId="0" xfId="0" applyFill="1"/>
    <xf numFmtId="0" fontId="3" fillId="2" borderId="0" xfId="0" applyNumberFormat="1" applyFont="1" applyFill="1" applyBorder="1" applyAlignment="1">
      <alignment vertical="center" wrapText="1"/>
    </xf>
    <xf numFmtId="49" fontId="5" fillId="2" borderId="8" xfId="0" applyNumberFormat="1" applyFont="1" applyFill="1" applyBorder="1" applyAlignment="1">
      <alignment horizontal="center" vertical="center"/>
    </xf>
    <xf numFmtId="49" fontId="3" fillId="9" borderId="17" xfId="0" applyNumberFormat="1" applyFont="1" applyFill="1" applyBorder="1" applyAlignment="1">
      <alignment horizontal="center" vertical="center"/>
    </xf>
    <xf numFmtId="0" fontId="0" fillId="0" borderId="0" xfId="0" applyFill="1"/>
    <xf numFmtId="0" fontId="3" fillId="2" borderId="5" xfId="0" applyNumberFormat="1" applyFont="1" applyFill="1" applyBorder="1" applyAlignment="1">
      <alignment vertical="center" wrapText="1"/>
    </xf>
    <xf numFmtId="49" fontId="2" fillId="0" borderId="0" xfId="0" applyNumberFormat="1" applyFont="1" applyAlignment="1">
      <alignment horizontal="center" vertical="center"/>
    </xf>
    <xf numFmtId="0" fontId="0" fillId="0" borderId="0" xfId="0" applyAlignment="1">
      <alignment horizontal="center"/>
    </xf>
    <xf numFmtId="0" fontId="3" fillId="5" borderId="25" xfId="0" applyFont="1" applyFill="1" applyBorder="1" applyAlignment="1">
      <alignment horizontal="center" vertical="center"/>
    </xf>
    <xf numFmtId="49" fontId="3" fillId="5" borderId="25" xfId="0" applyNumberFormat="1" applyFont="1" applyFill="1" applyBorder="1" applyAlignment="1">
      <alignment horizontal="center" vertical="center"/>
    </xf>
    <xf numFmtId="0" fontId="3" fillId="5" borderId="25" xfId="0" applyFont="1" applyFill="1" applyBorder="1" applyAlignment="1">
      <alignment horizontal="center" vertical="center" wrapText="1"/>
    </xf>
    <xf numFmtId="0" fontId="3" fillId="3" borderId="26" xfId="0" applyNumberFormat="1" applyFont="1" applyFill="1" applyBorder="1" applyAlignment="1">
      <alignment horizontal="center" vertical="center" wrapText="1"/>
    </xf>
    <xf numFmtId="0" fontId="0" fillId="3" borderId="26" xfId="0" applyNumberFormat="1" applyFill="1" applyBorder="1" applyAlignment="1">
      <alignment wrapText="1"/>
    </xf>
    <xf numFmtId="0" fontId="3" fillId="3" borderId="26" xfId="0" applyNumberFormat="1" applyFont="1" applyFill="1" applyBorder="1" applyAlignment="1">
      <alignment vertical="center" wrapText="1"/>
    </xf>
    <xf numFmtId="0" fontId="3" fillId="3" borderId="7" xfId="0" applyNumberFormat="1" applyFont="1" applyFill="1" applyBorder="1" applyAlignment="1">
      <alignment vertical="center" wrapText="1"/>
    </xf>
    <xf numFmtId="49" fontId="0" fillId="0" borderId="0" xfId="0" applyNumberFormat="1"/>
    <xf numFmtId="0" fontId="28" fillId="6" borderId="0" xfId="15" applyFont="1" applyFill="1"/>
    <xf numFmtId="0" fontId="6" fillId="6" borderId="0" xfId="15" applyFont="1" applyFill="1"/>
    <xf numFmtId="0" fontId="6" fillId="6" borderId="0" xfId="15" applyFont="1" applyFill="1" applyAlignment="1">
      <alignment vertical="center"/>
    </xf>
    <xf numFmtId="0" fontId="28" fillId="6" borderId="1" xfId="15" applyFont="1" applyFill="1" applyBorder="1"/>
    <xf numFmtId="0" fontId="28" fillId="6" borderId="0" xfId="15" applyFont="1" applyFill="1" applyAlignment="1">
      <alignment vertical="center"/>
    </xf>
    <xf numFmtId="0" fontId="23" fillId="6" borderId="1" xfId="15" applyFont="1" applyFill="1" applyBorder="1" applyAlignment="1">
      <alignment horizontal="right"/>
    </xf>
    <xf numFmtId="49" fontId="28" fillId="6" borderId="8" xfId="15" applyNumberFormat="1" applyFont="1" applyFill="1" applyBorder="1" applyAlignment="1">
      <alignment horizontal="center" vertical="center" wrapText="1"/>
    </xf>
    <xf numFmtId="0" fontId="28" fillId="6" borderId="8" xfId="15" applyFont="1" applyFill="1" applyBorder="1" applyAlignment="1">
      <alignment horizontal="center" vertical="center" wrapText="1"/>
    </xf>
    <xf numFmtId="4" fontId="31" fillId="6" borderId="8" xfId="15" applyNumberFormat="1" applyFont="1" applyFill="1" applyBorder="1" applyAlignment="1">
      <alignment horizontal="center" vertical="center" wrapText="1"/>
    </xf>
    <xf numFmtId="0" fontId="28" fillId="6" borderId="28" xfId="15" applyNumberFormat="1" applyFont="1" applyFill="1" applyBorder="1" applyAlignment="1">
      <alignment horizontal="left" vertical="center" wrapText="1"/>
    </xf>
    <xf numFmtId="165" fontId="3" fillId="9" borderId="8" xfId="0" applyNumberFormat="1" applyFont="1" applyFill="1" applyBorder="1" applyAlignment="1">
      <alignment horizontal="center" vertical="center"/>
    </xf>
    <xf numFmtId="165" fontId="2" fillId="2" borderId="5" xfId="0" applyNumberFormat="1" applyFont="1" applyFill="1" applyBorder="1" applyAlignment="1">
      <alignment horizontal="center" vertical="center"/>
    </xf>
    <xf numFmtId="0" fontId="3" fillId="0" borderId="0" xfId="16" applyFont="1" applyFill="1" applyAlignment="1">
      <alignment horizontal="center"/>
    </xf>
    <xf numFmtId="0" fontId="3" fillId="0" borderId="0" xfId="16" applyFont="1" applyFill="1"/>
    <xf numFmtId="0" fontId="3" fillId="0" borderId="0" xfId="16" applyFont="1" applyFill="1" applyAlignment="1">
      <alignment wrapText="1"/>
    </xf>
    <xf numFmtId="4" fontId="3" fillId="0" borderId="0" xfId="16" applyNumberFormat="1" applyFont="1" applyFill="1"/>
    <xf numFmtId="0" fontId="21" fillId="0" borderId="0" xfId="10" applyFill="1"/>
    <xf numFmtId="0" fontId="3" fillId="0" borderId="8" xfId="23" quotePrefix="1" applyFont="1" applyFill="1" applyBorder="1" applyAlignment="1">
      <alignment horizontal="center" vertical="center" wrapText="1"/>
    </xf>
    <xf numFmtId="4" fontId="3" fillId="0" borderId="8" xfId="23" quotePrefix="1" applyNumberFormat="1" applyFont="1" applyFill="1" applyBorder="1" applyAlignment="1">
      <alignment horizontal="center" vertical="center" wrapText="1"/>
    </xf>
    <xf numFmtId="0" fontId="3" fillId="0" borderId="8" xfId="24" quotePrefix="1" applyFont="1" applyFill="1" applyBorder="1" applyAlignment="1">
      <alignment horizontal="left" vertical="center" wrapText="1"/>
    </xf>
    <xf numFmtId="0" fontId="3" fillId="0" borderId="8" xfId="24" quotePrefix="1" applyFont="1" applyFill="1" applyBorder="1" applyAlignment="1">
      <alignment horizontal="left" vertical="top" wrapText="1"/>
    </xf>
    <xf numFmtId="3" fontId="3" fillId="0" borderId="8" xfId="20" quotePrefix="1" applyNumberFormat="1" applyFont="1" applyFill="1" applyBorder="1" applyAlignment="1">
      <alignment horizontal="center" vertical="center" wrapText="1"/>
    </xf>
    <xf numFmtId="170" fontId="3" fillId="0" borderId="8" xfId="20" quotePrefix="1" applyNumberFormat="1" applyFont="1" applyFill="1" applyBorder="1" applyAlignment="1">
      <alignment horizontal="center" vertical="center" wrapText="1"/>
    </xf>
    <xf numFmtId="0" fontId="3" fillId="0" borderId="8" xfId="16" applyFont="1" applyFill="1" applyBorder="1" applyAlignment="1">
      <alignment wrapText="1"/>
    </xf>
    <xf numFmtId="2" fontId="3" fillId="0" borderId="8" xfId="20" quotePrefix="1" applyNumberFormat="1" applyFont="1" applyFill="1" applyBorder="1" applyAlignment="1">
      <alignment horizontal="center" vertical="center" wrapText="1"/>
    </xf>
    <xf numFmtId="0" fontId="3" fillId="0" borderId="8" xfId="20" quotePrefix="1" applyFont="1" applyFill="1" applyBorder="1" applyAlignment="1">
      <alignment horizontal="center" vertical="center" wrapText="1"/>
    </xf>
    <xf numFmtId="0" fontId="3" fillId="0" borderId="8" xfId="20" quotePrefix="1" applyNumberFormat="1" applyFont="1" applyFill="1" applyBorder="1" applyAlignment="1">
      <alignment horizontal="center" vertical="center" wrapText="1"/>
    </xf>
    <xf numFmtId="0" fontId="28" fillId="8" borderId="8" xfId="10" applyFont="1" applyFill="1" applyBorder="1" applyAlignment="1">
      <alignment horizontal="center" wrapText="1"/>
    </xf>
    <xf numFmtId="0" fontId="28" fillId="8" borderId="8" xfId="10" applyFont="1" applyFill="1" applyBorder="1" applyAlignment="1">
      <alignment horizontal="left" vertical="center" wrapText="1"/>
    </xf>
    <xf numFmtId="0" fontId="28" fillId="8" borderId="8" xfId="24" quotePrefix="1" applyFont="1" applyFill="1" applyBorder="1" applyAlignment="1">
      <alignment horizontal="left" vertical="center" wrapText="1"/>
    </xf>
    <xf numFmtId="3" fontId="28" fillId="8" borderId="8" xfId="20" quotePrefix="1" applyNumberFormat="1" applyFont="1" applyFill="1" applyBorder="1" applyAlignment="1">
      <alignment horizontal="center" vertical="center" wrapText="1"/>
    </xf>
    <xf numFmtId="170" fontId="28" fillId="8" borderId="8" xfId="20" quotePrefix="1" applyNumberFormat="1" applyFont="1" applyFill="1" applyBorder="1" applyAlignment="1">
      <alignment horizontal="center" vertical="center" wrapText="1"/>
    </xf>
    <xf numFmtId="0" fontId="28" fillId="8" borderId="8" xfId="16" applyFont="1" applyFill="1" applyBorder="1" applyAlignment="1">
      <alignment vertical="center" wrapText="1"/>
    </xf>
    <xf numFmtId="0" fontId="28" fillId="8" borderId="8" xfId="10" applyFont="1" applyFill="1" applyBorder="1" applyAlignment="1">
      <alignment horizontal="center" vertical="center" wrapText="1"/>
    </xf>
    <xf numFmtId="4" fontId="28" fillId="8" borderId="8" xfId="26" applyNumberFormat="1" applyFont="1" applyFill="1" applyBorder="1" applyAlignment="1">
      <alignment wrapText="1"/>
    </xf>
    <xf numFmtId="0" fontId="28" fillId="0" borderId="8" xfId="10" applyFont="1" applyBorder="1" applyAlignment="1">
      <alignment horizontal="center" wrapText="1"/>
    </xf>
    <xf numFmtId="0" fontId="28" fillId="0" borderId="8" xfId="10" quotePrefix="1" applyFont="1" applyFill="1" applyBorder="1" applyAlignment="1">
      <alignment vertical="center" wrapText="1"/>
    </xf>
    <xf numFmtId="0" fontId="28" fillId="0" borderId="8" xfId="24" quotePrefix="1" applyFont="1" applyFill="1" applyBorder="1" applyAlignment="1">
      <alignment horizontal="left" vertical="center" wrapText="1"/>
    </xf>
    <xf numFmtId="0" fontId="28" fillId="0" borderId="8" xfId="20" quotePrefix="1" applyFont="1" applyFill="1" applyBorder="1" applyAlignment="1">
      <alignment horizontal="left" vertical="center" wrapText="1"/>
    </xf>
    <xf numFmtId="0" fontId="28" fillId="0" borderId="8" xfId="16" applyFont="1" applyFill="1" applyBorder="1" applyAlignment="1">
      <alignment vertical="center" wrapText="1"/>
    </xf>
    <xf numFmtId="0" fontId="28" fillId="0" borderId="8" xfId="16" applyFont="1" applyFill="1" applyBorder="1" applyAlignment="1">
      <alignment horizontal="center" wrapText="1"/>
    </xf>
    <xf numFmtId="3" fontId="28" fillId="0" borderId="8" xfId="16" applyNumberFormat="1" applyFont="1" applyFill="1" applyBorder="1" applyAlignment="1">
      <alignment horizontal="center" wrapText="1"/>
    </xf>
    <xf numFmtId="0" fontId="28" fillId="0" borderId="8" xfId="10" applyFont="1" applyBorder="1" applyAlignment="1">
      <alignment horizontal="left" vertical="center" wrapText="1"/>
    </xf>
    <xf numFmtId="0" fontId="28" fillId="0" borderId="8" xfId="24" quotePrefix="1" applyFont="1" applyFill="1" applyBorder="1" applyAlignment="1">
      <alignment horizontal="left" vertical="top" wrapText="1"/>
    </xf>
    <xf numFmtId="0" fontId="28" fillId="0" borderId="8" xfId="20" quotePrefix="1" applyFont="1" applyFill="1" applyBorder="1" applyAlignment="1">
      <alignment horizontal="left" vertical="top" wrapText="1"/>
    </xf>
    <xf numFmtId="0" fontId="28" fillId="0" borderId="8" xfId="16" applyFont="1" applyFill="1" applyBorder="1" applyAlignment="1">
      <alignment wrapText="1"/>
    </xf>
    <xf numFmtId="0" fontId="28" fillId="0" borderId="8" xfId="10" applyFont="1" applyBorder="1" applyAlignment="1">
      <alignment horizontal="center" vertical="center" wrapText="1"/>
    </xf>
    <xf numFmtId="3" fontId="28" fillId="0" borderId="8" xfId="26" applyNumberFormat="1" applyFont="1" applyFill="1" applyBorder="1" applyAlignment="1">
      <alignment horizontal="center" wrapText="1"/>
    </xf>
    <xf numFmtId="0" fontId="34" fillId="0" borderId="0" xfId="10" applyFont="1" applyFill="1" applyAlignment="1">
      <alignment horizontal="center"/>
    </xf>
    <xf numFmtId="0" fontId="34" fillId="0" borderId="0" xfId="10" applyFont="1" applyFill="1"/>
    <xf numFmtId="4" fontId="34" fillId="0" borderId="0" xfId="10" applyNumberFormat="1" applyFont="1" applyFill="1"/>
    <xf numFmtId="2" fontId="34" fillId="0" borderId="0" xfId="10" applyNumberFormat="1" applyFont="1" applyFill="1" applyAlignment="1">
      <alignment horizontal="center"/>
    </xf>
    <xf numFmtId="0" fontId="21" fillId="0" borderId="0" xfId="10" applyFill="1" applyAlignment="1">
      <alignment horizontal="center"/>
    </xf>
    <xf numFmtId="4" fontId="21" fillId="0" borderId="0" xfId="10" applyNumberFormat="1" applyFill="1"/>
    <xf numFmtId="0" fontId="5" fillId="2" borderId="8" xfId="20" quotePrefix="1" applyFont="1" applyFill="1" applyBorder="1" applyAlignment="1">
      <alignment horizontal="center" vertical="top" wrapText="1"/>
    </xf>
    <xf numFmtId="10" fontId="6" fillId="6" borderId="0" xfId="1" applyNumberFormat="1" applyFont="1" applyFill="1"/>
    <xf numFmtId="0" fontId="35" fillId="0" borderId="0" xfId="0" applyFont="1" applyAlignment="1">
      <alignment horizontal="right" vertical="center" wrapText="1" indent="9"/>
    </xf>
    <xf numFmtId="0" fontId="35" fillId="0" borderId="0" xfId="0" applyFont="1" applyAlignment="1">
      <alignment horizontal="center" vertical="center" wrapText="1"/>
    </xf>
    <xf numFmtId="0" fontId="36" fillId="0" borderId="0" xfId="0" applyFont="1" applyAlignment="1">
      <alignment horizontal="left" vertical="center" wrapText="1" indent="9"/>
    </xf>
    <xf numFmtId="0" fontId="25" fillId="0" borderId="0" xfId="0" applyFont="1" applyAlignment="1">
      <alignment vertical="top" wrapText="1"/>
    </xf>
    <xf numFmtId="0" fontId="25" fillId="0" borderId="0" xfId="0" applyFont="1" applyAlignment="1">
      <alignment horizontal="center" vertical="center" wrapText="1"/>
    </xf>
    <xf numFmtId="0" fontId="25" fillId="0" borderId="29"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32" xfId="0" applyFont="1" applyBorder="1" applyAlignment="1">
      <alignment horizontal="center" vertical="center" wrapText="1"/>
    </xf>
    <xf numFmtId="10" fontId="28" fillId="0" borderId="8" xfId="1" quotePrefix="1" applyNumberFormat="1" applyFont="1" applyFill="1" applyBorder="1" applyAlignment="1">
      <alignment horizontal="center" vertical="center" wrapText="1"/>
    </xf>
    <xf numFmtId="0" fontId="21" fillId="0" borderId="0" xfId="28"/>
    <xf numFmtId="0" fontId="2" fillId="0" borderId="0" xfId="28" quotePrefix="1" applyFont="1" applyAlignment="1">
      <alignment horizontal="center" vertical="center" wrapText="1"/>
    </xf>
    <xf numFmtId="0" fontId="2" fillId="0" borderId="0" xfId="28" applyFont="1" applyAlignment="1">
      <alignment horizontal="center" vertical="center" wrapText="1"/>
    </xf>
    <xf numFmtId="0" fontId="2" fillId="0" borderId="0" xfId="28" applyFont="1" applyAlignment="1">
      <alignment vertical="center"/>
    </xf>
    <xf numFmtId="0" fontId="3" fillId="0" borderId="0" xfId="28" applyFont="1"/>
    <xf numFmtId="0" fontId="3" fillId="8" borderId="8" xfId="28" applyFont="1" applyFill="1" applyBorder="1" applyAlignment="1">
      <alignment horizontal="center" vertical="center" wrapText="1"/>
    </xf>
    <xf numFmtId="1" fontId="21" fillId="0" borderId="0" xfId="28" applyNumberFormat="1" applyAlignment="1">
      <alignment horizontal="center"/>
    </xf>
    <xf numFmtId="0" fontId="21" fillId="0" borderId="0" xfId="28" applyAlignment="1">
      <alignment horizontal="center"/>
    </xf>
    <xf numFmtId="4" fontId="21" fillId="0" borderId="0" xfId="28" applyNumberFormat="1"/>
    <xf numFmtId="0" fontId="21" fillId="0" borderId="0" xfId="28" applyBorder="1" applyAlignment="1">
      <alignment vertical="center"/>
    </xf>
    <xf numFmtId="4" fontId="21" fillId="0" borderId="0" xfId="28" applyNumberFormat="1" applyBorder="1"/>
    <xf numFmtId="0" fontId="21" fillId="0" borderId="0" xfId="28" applyBorder="1"/>
    <xf numFmtId="0" fontId="2" fillId="8" borderId="8" xfId="28" applyFont="1" applyFill="1" applyBorder="1" applyAlignment="1">
      <alignment vertical="center" wrapText="1"/>
    </xf>
    <xf numFmtId="4" fontId="2" fillId="8" borderId="8" xfId="28" applyNumberFormat="1" applyFont="1" applyFill="1" applyBorder="1" applyAlignment="1">
      <alignment horizontal="center" vertical="center" wrapText="1"/>
    </xf>
    <xf numFmtId="165" fontId="21" fillId="0" borderId="0" xfId="28" applyNumberFormat="1"/>
    <xf numFmtId="2" fontId="21" fillId="0" borderId="0" xfId="28" applyNumberFormat="1"/>
    <xf numFmtId="0" fontId="5" fillId="0" borderId="0" xfId="28" applyFont="1"/>
    <xf numFmtId="4" fontId="8" fillId="6" borderId="0" xfId="28" applyNumberFormat="1" applyFont="1" applyFill="1" applyBorder="1" applyAlignment="1">
      <alignment horizontal="center" vertical="center" wrapText="1"/>
    </xf>
    <xf numFmtId="0" fontId="28" fillId="0" borderId="0" xfId="15" applyFont="1"/>
    <xf numFmtId="0" fontId="28" fillId="0" borderId="0" xfId="28" applyFont="1" applyAlignment="1">
      <alignment vertical="center"/>
    </xf>
    <xf numFmtId="0" fontId="28" fillId="0" borderId="0" xfId="28" applyFont="1"/>
    <xf numFmtId="0" fontId="28" fillId="0" borderId="0" xfId="28" applyFont="1" applyFill="1"/>
    <xf numFmtId="0" fontId="28" fillId="0" borderId="0" xfId="28" applyFont="1" applyBorder="1"/>
    <xf numFmtId="4" fontId="3" fillId="0" borderId="0" xfId="28" applyNumberFormat="1" applyFont="1" applyBorder="1" applyAlignment="1">
      <alignment horizontal="center" vertical="center"/>
    </xf>
    <xf numFmtId="0" fontId="23" fillId="0" borderId="0" xfId="28" applyFont="1" applyAlignment="1">
      <alignment vertical="center"/>
    </xf>
    <xf numFmtId="0" fontId="1" fillId="0" borderId="0" xfId="36"/>
    <xf numFmtId="0" fontId="42" fillId="0" borderId="8" xfId="28" applyFont="1" applyBorder="1" applyAlignment="1">
      <alignment horizontal="center" vertical="center" wrapText="1"/>
    </xf>
    <xf numFmtId="0" fontId="42" fillId="0" borderId="8" xfId="28" applyFont="1" applyFill="1" applyBorder="1" applyAlignment="1">
      <alignment horizontal="center" vertical="center" textRotation="90" wrapText="1"/>
    </xf>
    <xf numFmtId="0" fontId="32" fillId="0" borderId="8" xfId="28" applyFont="1" applyBorder="1" applyAlignment="1">
      <alignment vertical="center" wrapText="1"/>
    </xf>
    <xf numFmtId="0" fontId="21" fillId="0" borderId="8" xfId="28" applyBorder="1"/>
    <xf numFmtId="0" fontId="30" fillId="0" borderId="8" xfId="28" applyFont="1" applyBorder="1" applyAlignment="1">
      <alignment horizontal="center" vertical="center" wrapText="1"/>
    </xf>
    <xf numFmtId="0" fontId="10" fillId="0" borderId="0" xfId="15"/>
    <xf numFmtId="0" fontId="23" fillId="0" borderId="0" xfId="15" applyFont="1"/>
    <xf numFmtId="4" fontId="23" fillId="0" borderId="0" xfId="15" applyNumberFormat="1" applyFont="1" applyAlignment="1">
      <alignment vertical="center" wrapText="1"/>
    </xf>
    <xf numFmtId="49" fontId="28" fillId="0" borderId="0" xfId="15" applyNumberFormat="1" applyFont="1"/>
    <xf numFmtId="0" fontId="40" fillId="0" borderId="0" xfId="15" applyFont="1" applyBorder="1" applyAlignment="1"/>
    <xf numFmtId="0" fontId="8" fillId="0" borderId="0" xfId="0" applyFont="1"/>
    <xf numFmtId="0" fontId="8" fillId="0" borderId="0" xfId="0" applyFont="1" applyAlignment="1">
      <alignment vertical="center" wrapText="1"/>
    </xf>
    <xf numFmtId="0" fontId="44" fillId="0" borderId="3" xfId="0" applyFont="1" applyBorder="1" applyAlignment="1">
      <alignment horizontal="center" vertical="center" wrapText="1"/>
    </xf>
    <xf numFmtId="0" fontId="44" fillId="0" borderId="5" xfId="0" applyFont="1" applyBorder="1" applyAlignment="1">
      <alignment horizontal="center" vertical="center" wrapText="1"/>
    </xf>
    <xf numFmtId="0" fontId="45" fillId="0" borderId="5" xfId="0" applyFont="1" applyBorder="1" applyAlignment="1">
      <alignment horizontal="left" vertical="center" wrapText="1"/>
    </xf>
    <xf numFmtId="0" fontId="45" fillId="0" borderId="5" xfId="0" applyFont="1" applyBorder="1" applyAlignment="1">
      <alignment horizontal="center" vertical="center" wrapText="1"/>
    </xf>
    <xf numFmtId="14" fontId="45" fillId="0" borderId="5" xfId="0" applyNumberFormat="1" applyFont="1" applyBorder="1" applyAlignment="1">
      <alignment horizontal="center" vertical="center" wrapText="1"/>
    </xf>
    <xf numFmtId="49" fontId="45" fillId="0" borderId="3" xfId="0" applyNumberFormat="1" applyFont="1" applyBorder="1" applyAlignment="1">
      <alignment horizontal="center" vertical="center" wrapText="1"/>
    </xf>
    <xf numFmtId="14" fontId="6" fillId="0" borderId="5" xfId="0" applyNumberFormat="1" applyFont="1" applyFill="1" applyBorder="1" applyAlignment="1">
      <alignment horizontal="center" vertical="center" wrapText="1"/>
    </xf>
    <xf numFmtId="0" fontId="0" fillId="0" borderId="0" xfId="36" applyFont="1"/>
    <xf numFmtId="14" fontId="30" fillId="0" borderId="8" xfId="28" applyNumberFormat="1" applyFont="1" applyBorder="1" applyAlignment="1">
      <alignment horizontal="center" vertical="center" wrapText="1"/>
    </xf>
    <xf numFmtId="4" fontId="6" fillId="6" borderId="0" xfId="15" applyNumberFormat="1" applyFont="1" applyFill="1"/>
    <xf numFmtId="4" fontId="6" fillId="6" borderId="0" xfId="15" applyNumberFormat="1" applyFont="1" applyFill="1" applyAlignment="1">
      <alignment vertical="center"/>
    </xf>
    <xf numFmtId="4" fontId="30" fillId="6" borderId="0" xfId="15" applyNumberFormat="1" applyFont="1" applyFill="1"/>
    <xf numFmtId="49" fontId="42" fillId="0" borderId="8" xfId="28" applyNumberFormat="1" applyFont="1" applyBorder="1" applyAlignment="1">
      <alignment horizontal="center" vertical="center" wrapText="1"/>
    </xf>
    <xf numFmtId="49" fontId="43" fillId="0" borderId="8" xfId="28" applyNumberFormat="1" applyFont="1" applyBorder="1" applyAlignment="1">
      <alignment horizontal="center" vertical="center" wrapText="1"/>
    </xf>
    <xf numFmtId="49" fontId="45" fillId="0" borderId="3" xfId="0" applyNumberFormat="1" applyFont="1" applyFill="1" applyBorder="1" applyAlignment="1">
      <alignment horizontal="center" vertical="center" wrapText="1"/>
    </xf>
    <xf numFmtId="0" fontId="45" fillId="0" borderId="5" xfId="0" applyFont="1" applyFill="1" applyBorder="1" applyAlignment="1">
      <alignment horizontal="left" vertical="center" wrapText="1"/>
    </xf>
    <xf numFmtId="14" fontId="45" fillId="0" borderId="5" xfId="0" applyNumberFormat="1" applyFont="1" applyFill="1" applyBorder="1" applyAlignment="1">
      <alignment horizontal="center" vertical="center" wrapText="1"/>
    </xf>
    <xf numFmtId="0" fontId="8" fillId="0" borderId="0" xfId="0" applyFont="1" applyFill="1" applyAlignment="1">
      <alignment vertical="center" wrapText="1"/>
    </xf>
    <xf numFmtId="0" fontId="1" fillId="0" borderId="0" xfId="36" applyFill="1"/>
    <xf numFmtId="0" fontId="3" fillId="2" borderId="8" xfId="0" applyFont="1" applyFill="1" applyBorder="1" applyAlignment="1">
      <alignment vertical="center" wrapText="1"/>
    </xf>
    <xf numFmtId="0" fontId="27" fillId="2" borderId="23" xfId="0" applyFont="1" applyFill="1" applyBorder="1" applyAlignment="1">
      <alignment vertical="center"/>
    </xf>
    <xf numFmtId="0" fontId="27" fillId="2" borderId="22" xfId="0" applyFont="1" applyFill="1" applyBorder="1" applyAlignment="1">
      <alignment vertical="center" wrapText="1"/>
    </xf>
    <xf numFmtId="0" fontId="27" fillId="2" borderId="22" xfId="0" applyFont="1" applyFill="1" applyBorder="1" applyAlignment="1">
      <alignment vertical="center"/>
    </xf>
    <xf numFmtId="0" fontId="3" fillId="2" borderId="7" xfId="0" applyNumberFormat="1" applyFont="1" applyFill="1" applyBorder="1" applyAlignment="1">
      <alignment vertical="center" wrapText="1"/>
    </xf>
    <xf numFmtId="0" fontId="0" fillId="2" borderId="0" xfId="0" applyFill="1" applyBorder="1" applyAlignment="1">
      <alignment horizontal="left"/>
    </xf>
    <xf numFmtId="0" fontId="41" fillId="2" borderId="5" xfId="0" applyFont="1" applyFill="1" applyBorder="1" applyAlignment="1">
      <alignment vertical="center"/>
    </xf>
    <xf numFmtId="3" fontId="3" fillId="0" borderId="0" xfId="28" applyNumberFormat="1" applyFont="1"/>
    <xf numFmtId="0" fontId="28" fillId="6" borderId="8" xfId="10" applyFont="1" applyFill="1" applyBorder="1" applyAlignment="1">
      <alignment vertical="center"/>
    </xf>
    <xf numFmtId="0" fontId="3" fillId="0" borderId="0" xfId="16" applyFont="1" applyFill="1" applyAlignment="1">
      <alignment wrapText="1"/>
    </xf>
    <xf numFmtId="4" fontId="28" fillId="6" borderId="8" xfId="15" applyNumberFormat="1" applyFont="1" applyFill="1" applyBorder="1" applyAlignment="1">
      <alignment horizontal="center" vertical="center" wrapText="1"/>
    </xf>
    <xf numFmtId="4" fontId="28" fillId="6" borderId="8" xfId="15" applyNumberFormat="1" applyFont="1" applyFill="1" applyBorder="1" applyAlignment="1">
      <alignment horizontal="center" vertical="center"/>
    </xf>
    <xf numFmtId="4" fontId="23" fillId="6" borderId="8" xfId="15" applyNumberFormat="1" applyFont="1" applyFill="1" applyBorder="1" applyAlignment="1">
      <alignment horizontal="center" vertical="center" wrapText="1"/>
    </xf>
    <xf numFmtId="0" fontId="23" fillId="7" borderId="8" xfId="15" applyFont="1" applyFill="1" applyBorder="1" applyAlignment="1">
      <alignment horizontal="center" vertical="center" wrapText="1"/>
    </xf>
    <xf numFmtId="49" fontId="23" fillId="7" borderId="8" xfId="15" applyNumberFormat="1" applyFont="1" applyFill="1" applyBorder="1" applyAlignment="1">
      <alignment horizontal="center" vertical="center" wrapText="1"/>
    </xf>
    <xf numFmtId="4" fontId="3" fillId="0" borderId="8" xfId="20" quotePrefix="1" applyNumberFormat="1" applyFont="1" applyFill="1" applyBorder="1" applyAlignment="1">
      <alignment horizontal="center" vertical="center" wrapText="1"/>
    </xf>
    <xf numFmtId="0" fontId="28" fillId="8" borderId="8" xfId="0" applyFont="1" applyFill="1" applyBorder="1" applyAlignment="1">
      <alignment horizontal="center" wrapText="1"/>
    </xf>
    <xf numFmtId="0" fontId="28" fillId="8" borderId="8" xfId="0" applyFont="1" applyFill="1" applyBorder="1" applyAlignment="1">
      <alignment horizontal="left" vertical="center" wrapText="1"/>
    </xf>
    <xf numFmtId="4" fontId="28" fillId="8" borderId="8" xfId="44" applyNumberFormat="1" applyFont="1" applyFill="1" applyBorder="1" applyAlignment="1">
      <alignment wrapText="1"/>
    </xf>
    <xf numFmtId="0" fontId="28" fillId="0" borderId="8" xfId="0" applyFont="1" applyBorder="1" applyAlignment="1">
      <alignment horizontal="center" wrapText="1"/>
    </xf>
    <xf numFmtId="0" fontId="28" fillId="0" borderId="8" xfId="0" quotePrefix="1" applyFont="1" applyFill="1" applyBorder="1" applyAlignment="1">
      <alignment vertical="center" wrapText="1"/>
    </xf>
    <xf numFmtId="4" fontId="28" fillId="0" borderId="8" xfId="16" applyNumberFormat="1" applyFont="1" applyFill="1" applyBorder="1" applyAlignment="1">
      <alignment horizontal="center" vertical="center" wrapText="1"/>
    </xf>
    <xf numFmtId="0" fontId="28" fillId="0" borderId="8" xfId="0" applyFont="1" applyBorder="1" applyAlignment="1">
      <alignment horizontal="left" vertical="center" wrapText="1"/>
    </xf>
    <xf numFmtId="4" fontId="28" fillId="0" borderId="8" xfId="44" applyNumberFormat="1" applyFont="1" applyFill="1" applyBorder="1" applyAlignment="1">
      <alignment horizontal="center" vertical="center" wrapText="1"/>
    </xf>
    <xf numFmtId="0" fontId="34" fillId="0" borderId="0" xfId="0" applyFont="1" applyFill="1" applyAlignment="1">
      <alignment horizontal="center"/>
    </xf>
    <xf numFmtId="0" fontId="34" fillId="0" borderId="0" xfId="0" applyFont="1" applyFill="1"/>
    <xf numFmtId="0" fontId="3" fillId="0" borderId="0" xfId="0" applyFont="1" applyFill="1" applyAlignment="1">
      <alignment horizontal="center"/>
    </xf>
    <xf numFmtId="4" fontId="3" fillId="0" borderId="0" xfId="0" applyNumberFormat="1" applyFont="1" applyFill="1" applyAlignment="1">
      <alignment horizontal="center"/>
    </xf>
    <xf numFmtId="2" fontId="34" fillId="0" borderId="0" xfId="0" applyNumberFormat="1" applyFont="1" applyFill="1" applyAlignment="1">
      <alignment horizontal="center"/>
    </xf>
    <xf numFmtId="0" fontId="3" fillId="0" borderId="0" xfId="0" applyFont="1" applyFill="1"/>
    <xf numFmtId="4" fontId="3" fillId="0" borderId="0" xfId="0" applyNumberFormat="1" applyFont="1" applyFill="1"/>
    <xf numFmtId="0" fontId="25" fillId="0" borderId="8" xfId="0" applyFont="1" applyBorder="1" applyAlignment="1">
      <alignment horizontal="center" vertical="center" wrapText="1"/>
    </xf>
    <xf numFmtId="4" fontId="34" fillId="0" borderId="0" xfId="0" applyNumberFormat="1" applyFont="1" applyFill="1"/>
    <xf numFmtId="0" fontId="25" fillId="6" borderId="8" xfId="0" applyFont="1" applyFill="1" applyBorder="1" applyAlignment="1">
      <alignment horizontal="center" vertical="center" wrapText="1"/>
    </xf>
    <xf numFmtId="0" fontId="0" fillId="0" borderId="0" xfId="0" applyFill="1" applyAlignment="1">
      <alignment horizontal="center"/>
    </xf>
    <xf numFmtId="4" fontId="0" fillId="0" borderId="0" xfId="0" applyNumberFormat="1" applyFill="1"/>
    <xf numFmtId="4" fontId="23" fillId="7" borderId="8" xfId="15" applyNumberFormat="1" applyFont="1" applyFill="1" applyBorder="1" applyAlignment="1">
      <alignment horizontal="center" vertical="center" wrapText="1"/>
    </xf>
    <xf numFmtId="0" fontId="3" fillId="0" borderId="0" xfId="28" applyFont="1" applyBorder="1"/>
    <xf numFmtId="0" fontId="28" fillId="0" borderId="0" xfId="28" applyFont="1" applyBorder="1" applyAlignment="1">
      <alignment horizontal="center"/>
    </xf>
    <xf numFmtId="0" fontId="28" fillId="6" borderId="0" xfId="28" applyFont="1" applyFill="1" applyBorder="1" applyAlignment="1">
      <alignment horizontal="center" vertical="center" wrapText="1"/>
    </xf>
    <xf numFmtId="9" fontId="23" fillId="6" borderId="0" xfId="28" applyNumberFormat="1" applyFont="1" applyFill="1" applyBorder="1" applyAlignment="1">
      <alignment horizontal="center" vertical="center" wrapText="1"/>
    </xf>
    <xf numFmtId="0" fontId="28" fillId="6" borderId="0" xfId="28" applyFont="1" applyFill="1" applyBorder="1" applyAlignment="1">
      <alignment horizontal="center"/>
    </xf>
    <xf numFmtId="3" fontId="28" fillId="6" borderId="0" xfId="28" applyNumberFormat="1" applyFont="1" applyFill="1" applyBorder="1" applyAlignment="1">
      <alignment horizontal="center" vertical="center"/>
    </xf>
    <xf numFmtId="3" fontId="3" fillId="6" borderId="0" xfId="28" applyNumberFormat="1" applyFont="1" applyFill="1" applyBorder="1" applyAlignment="1">
      <alignment horizontal="center" vertical="center"/>
    </xf>
    <xf numFmtId="4" fontId="28" fillId="6" borderId="0" xfId="28" applyNumberFormat="1" applyFont="1" applyFill="1" applyBorder="1" applyAlignment="1">
      <alignment horizontal="center"/>
    </xf>
    <xf numFmtId="0" fontId="3" fillId="0" borderId="0" xfId="45" applyFont="1" applyAlignment="1">
      <alignment horizontal="right"/>
    </xf>
    <xf numFmtId="0" fontId="47" fillId="0" borderId="8" xfId="28" applyFont="1" applyBorder="1" applyAlignment="1">
      <alignment vertical="center" wrapText="1"/>
    </xf>
    <xf numFmtId="0" fontId="47" fillId="0" borderId="8" xfId="28" applyFont="1" applyBorder="1" applyAlignment="1">
      <alignment horizontal="justify" vertical="center" wrapText="1"/>
    </xf>
    <xf numFmtId="4" fontId="47" fillId="0" borderId="8" xfId="28" applyNumberFormat="1" applyFont="1" applyBorder="1" applyAlignment="1">
      <alignment horizontal="center" vertical="center" wrapText="1"/>
    </xf>
    <xf numFmtId="0" fontId="40" fillId="0" borderId="8" xfId="15" applyFont="1" applyBorder="1"/>
    <xf numFmtId="4" fontId="40" fillId="0" borderId="8" xfId="15" applyNumberFormat="1" applyFont="1" applyBorder="1" applyAlignment="1">
      <alignment horizontal="center"/>
    </xf>
    <xf numFmtId="0" fontId="39" fillId="0" borderId="0" xfId="15" applyFont="1" applyBorder="1" applyAlignment="1">
      <alignment horizontal="center"/>
    </xf>
    <xf numFmtId="0" fontId="3" fillId="0" borderId="0" xfId="45" applyFont="1" applyBorder="1" applyAlignment="1">
      <alignment horizontal="right"/>
    </xf>
    <xf numFmtId="0" fontId="23" fillId="0" borderId="0" xfId="15" applyFont="1" applyAlignment="1">
      <alignment wrapText="1"/>
    </xf>
    <xf numFmtId="4" fontId="30" fillId="6" borderId="0" xfId="15" applyNumberFormat="1" applyFont="1" applyFill="1" applyAlignment="1">
      <alignment vertical="center"/>
    </xf>
    <xf numFmtId="0" fontId="30" fillId="6" borderId="0" xfId="15" applyFont="1" applyFill="1" applyAlignment="1">
      <alignment vertical="center"/>
    </xf>
    <xf numFmtId="0" fontId="3" fillId="7" borderId="8" xfId="23" quotePrefix="1" applyFont="1" applyFill="1" applyBorder="1" applyAlignment="1">
      <alignment horizontal="center" vertical="center" wrapText="1"/>
    </xf>
    <xf numFmtId="4" fontId="3" fillId="7" borderId="8" xfId="23" quotePrefix="1" applyNumberFormat="1" applyFont="1" applyFill="1" applyBorder="1" applyAlignment="1">
      <alignment horizontal="center" vertical="center" wrapText="1"/>
    </xf>
    <xf numFmtId="0" fontId="0" fillId="0" borderId="0" xfId="0"/>
    <xf numFmtId="0" fontId="28" fillId="6" borderId="8" xfId="10" applyFont="1" applyFill="1" applyBorder="1" applyAlignment="1">
      <alignment vertical="center" wrapText="1"/>
    </xf>
    <xf numFmtId="0" fontId="53" fillId="0" borderId="0" xfId="52" applyNumberFormat="1" applyFont="1" applyFill="1" applyBorder="1" applyAlignment="1" applyProtection="1">
      <alignment horizontal="center" wrapText="1"/>
    </xf>
    <xf numFmtId="0" fontId="54" fillId="0" borderId="0" xfId="52" applyNumberFormat="1" applyFont="1" applyFill="1" applyBorder="1" applyAlignment="1" applyProtection="1">
      <alignment horizontal="right"/>
    </xf>
    <xf numFmtId="0" fontId="55" fillId="0" borderId="0" xfId="52" applyNumberFormat="1" applyFont="1" applyFill="1" applyBorder="1" applyAlignment="1" applyProtection="1"/>
    <xf numFmtId="0" fontId="53" fillId="0" borderId="36" xfId="52" applyNumberFormat="1" applyFont="1" applyFill="1" applyBorder="1" applyAlignment="1" applyProtection="1">
      <alignment horizontal="center" vertical="top" wrapText="1"/>
    </xf>
    <xf numFmtId="0" fontId="55" fillId="0" borderId="36" xfId="52" applyNumberFormat="1" applyFont="1" applyFill="1" applyBorder="1" applyAlignment="1" applyProtection="1"/>
    <xf numFmtId="0" fontId="53" fillId="0" borderId="0" xfId="52" applyNumberFormat="1" applyFont="1" applyFill="1" applyBorder="1" applyAlignment="1" applyProtection="1"/>
    <xf numFmtId="0" fontId="58" fillId="0" borderId="0" xfId="52" applyNumberFormat="1" applyFont="1" applyFill="1" applyBorder="1" applyAlignment="1" applyProtection="1">
      <alignment vertical="top"/>
    </xf>
    <xf numFmtId="0" fontId="53" fillId="0" borderId="0" xfId="52" applyNumberFormat="1" applyFont="1" applyFill="1" applyBorder="1" applyAlignment="1" applyProtection="1">
      <alignment vertical="top"/>
    </xf>
    <xf numFmtId="0" fontId="54" fillId="0" borderId="0" xfId="52" applyNumberFormat="1" applyFont="1" applyFill="1" applyBorder="1" applyAlignment="1" applyProtection="1"/>
    <xf numFmtId="0" fontId="53" fillId="0" borderId="0" xfId="52" applyNumberFormat="1" applyFont="1" applyFill="1" applyBorder="1" applyAlignment="1" applyProtection="1">
      <alignment horizontal="left" indent="1"/>
    </xf>
    <xf numFmtId="0" fontId="57" fillId="0" borderId="0" xfId="52" applyNumberFormat="1" applyFont="1" applyFill="1" applyBorder="1" applyAlignment="1" applyProtection="1">
      <alignment horizontal="left"/>
    </xf>
    <xf numFmtId="0" fontId="53" fillId="0" borderId="0" xfId="52" applyNumberFormat="1" applyFont="1" applyFill="1" applyBorder="1" applyAlignment="1" applyProtection="1">
      <alignment horizontal="right"/>
    </xf>
    <xf numFmtId="0" fontId="59" fillId="0" borderId="39" xfId="52" applyNumberFormat="1" applyFont="1" applyFill="1" applyBorder="1" applyAlignment="1" applyProtection="1">
      <alignment horizontal="center" vertical="center" wrapText="1"/>
    </xf>
    <xf numFmtId="0" fontId="59" fillId="0" borderId="40" xfId="52" applyNumberFormat="1" applyFont="1" applyFill="1" applyBorder="1" applyAlignment="1" applyProtection="1">
      <alignment horizontal="center" vertical="center" wrapText="1"/>
    </xf>
    <xf numFmtId="0" fontId="53" fillId="0" borderId="39" xfId="52" applyNumberFormat="1" applyFont="1" applyFill="1" applyBorder="1" applyAlignment="1" applyProtection="1">
      <alignment horizontal="center" wrapText="1"/>
    </xf>
    <xf numFmtId="0" fontId="53" fillId="0" borderId="40" xfId="52" applyNumberFormat="1" applyFont="1" applyFill="1" applyBorder="1" applyAlignment="1" applyProtection="1">
      <alignment horizontal="center" wrapText="1"/>
    </xf>
    <xf numFmtId="0" fontId="55" fillId="0" borderId="41" xfId="52" applyNumberFormat="1" applyFont="1" applyFill="1" applyBorder="1" applyAlignment="1" applyProtection="1"/>
    <xf numFmtId="0" fontId="53" fillId="0" borderId="43" xfId="52" applyNumberFormat="1" applyFont="1" applyFill="1" applyBorder="1" applyAlignment="1" applyProtection="1">
      <alignment horizontal="left" vertical="top" wrapText="1"/>
    </xf>
    <xf numFmtId="0" fontId="53" fillId="0" borderId="43" xfId="52" applyNumberFormat="1" applyFont="1" applyFill="1" applyBorder="1" applyAlignment="1" applyProtection="1">
      <alignment horizontal="center" vertical="top" wrapText="1"/>
    </xf>
    <xf numFmtId="0" fontId="53" fillId="0" borderId="43" xfId="52" applyNumberFormat="1" applyFont="1" applyFill="1" applyBorder="1" applyAlignment="1" applyProtection="1">
      <alignment horizontal="right" vertical="top" wrapText="1"/>
    </xf>
    <xf numFmtId="0" fontId="55" fillId="0" borderId="38" xfId="52" applyNumberFormat="1" applyFont="1" applyFill="1" applyBorder="1" applyAlignment="1" applyProtection="1"/>
    <xf numFmtId="0" fontId="53" fillId="0" borderId="45" xfId="52" applyNumberFormat="1" applyFont="1" applyFill="1" applyBorder="1" applyAlignment="1" applyProtection="1">
      <alignment horizontal="left" vertical="top" wrapText="1"/>
    </xf>
    <xf numFmtId="0" fontId="53" fillId="0" borderId="45" xfId="52" applyNumberFormat="1" applyFont="1" applyFill="1" applyBorder="1" applyAlignment="1" applyProtection="1">
      <alignment horizontal="center" vertical="top" wrapText="1"/>
    </xf>
    <xf numFmtId="0" fontId="53" fillId="0" borderId="45" xfId="52" applyNumberFormat="1" applyFont="1" applyFill="1" applyBorder="1" applyAlignment="1" applyProtection="1">
      <alignment horizontal="right" vertical="top" wrapText="1"/>
    </xf>
    <xf numFmtId="0" fontId="54" fillId="0" borderId="39" xfId="52" applyNumberFormat="1" applyFont="1" applyFill="1" applyBorder="1" applyAlignment="1" applyProtection="1">
      <alignment vertical="top" wrapText="1"/>
    </xf>
    <xf numFmtId="0" fontId="57" fillId="0" borderId="42" xfId="52" applyNumberFormat="1" applyFont="1" applyFill="1" applyBorder="1" applyAlignment="1" applyProtection="1">
      <alignment horizontal="right" vertical="top" wrapText="1"/>
    </xf>
    <xf numFmtId="0" fontId="53" fillId="0" borderId="35" xfId="52" applyNumberFormat="1" applyFont="1" applyFill="1" applyBorder="1" applyAlignment="1" applyProtection="1">
      <alignment horizontal="right" vertical="top" wrapText="1"/>
    </xf>
    <xf numFmtId="0" fontId="57" fillId="0" borderId="35" xfId="52" applyNumberFormat="1" applyFont="1" applyFill="1" applyBorder="1" applyAlignment="1" applyProtection="1">
      <alignment horizontal="right" vertical="top" wrapText="1"/>
    </xf>
    <xf numFmtId="0" fontId="54" fillId="0" borderId="0" xfId="52" applyNumberFormat="1" applyFont="1" applyFill="1" applyBorder="1" applyAlignment="1" applyProtection="1">
      <alignment vertical="top" wrapText="1"/>
    </xf>
    <xf numFmtId="0" fontId="53" fillId="0" borderId="0" xfId="52" applyNumberFormat="1" applyFont="1" applyFill="1" applyBorder="1" applyAlignment="1" applyProtection="1">
      <alignment horizontal="center" vertical="top" wrapText="1"/>
    </xf>
    <xf numFmtId="0" fontId="53" fillId="0" borderId="0" xfId="52" applyNumberFormat="1" applyFont="1" applyFill="1" applyBorder="1" applyAlignment="1" applyProtection="1">
      <alignment horizontal="right" vertical="top" wrapText="1"/>
    </xf>
    <xf numFmtId="0" fontId="59" fillId="0" borderId="0" xfId="52" applyNumberFormat="1" applyFont="1" applyFill="1" applyBorder="1" applyAlignment="1" applyProtection="1">
      <alignment horizontal="left" vertical="top"/>
    </xf>
    <xf numFmtId="0" fontId="53" fillId="0" borderId="0" xfId="52" applyNumberFormat="1" applyFont="1" applyFill="1" applyBorder="1" applyAlignment="1" applyProtection="1">
      <alignment horizontal="left" vertical="top"/>
    </xf>
    <xf numFmtId="43" fontId="57" fillId="0" borderId="35" xfId="51" applyFont="1" applyFill="1" applyBorder="1" applyAlignment="1" applyProtection="1">
      <alignment horizontal="right" vertical="top" wrapText="1"/>
    </xf>
    <xf numFmtId="0" fontId="52" fillId="0" borderId="18" xfId="53" applyNumberFormat="1" applyFont="1" applyFill="1" applyBorder="1" applyAlignment="1" applyProtection="1"/>
    <xf numFmtId="0" fontId="52" fillId="0" borderId="46" xfId="53" applyNumberFormat="1" applyFont="1" applyFill="1" applyBorder="1" applyAlignment="1" applyProtection="1"/>
    <xf numFmtId="0" fontId="49" fillId="0" borderId="4" xfId="53" applyNumberFormat="1" applyFont="1" applyFill="1" applyBorder="1" applyAlignment="1" applyProtection="1">
      <alignment horizontal="right"/>
    </xf>
    <xf numFmtId="0" fontId="52" fillId="0" borderId="0" xfId="53" applyNumberFormat="1" applyFont="1" applyFill="1" applyBorder="1" applyAlignment="1" applyProtection="1"/>
    <xf numFmtId="0" fontId="49" fillId="0" borderId="10" xfId="53" applyNumberFormat="1" applyFont="1" applyFill="1" applyBorder="1" applyAlignment="1" applyProtection="1"/>
    <xf numFmtId="0" fontId="49" fillId="0" borderId="0" xfId="53" applyNumberFormat="1" applyFont="1" applyFill="1" applyBorder="1" applyAlignment="1" applyProtection="1"/>
    <xf numFmtId="0" fontId="49" fillId="0" borderId="7" xfId="53" applyNumberFormat="1" applyFont="1" applyFill="1" applyBorder="1" applyAlignment="1" applyProtection="1">
      <alignment horizontal="right"/>
    </xf>
    <xf numFmtId="0" fontId="49" fillId="0" borderId="7" xfId="53" applyNumberFormat="1" applyFont="1" applyFill="1" applyBorder="1" applyAlignment="1" applyProtection="1"/>
    <xf numFmtId="0" fontId="49" fillId="0" borderId="0" xfId="53" applyNumberFormat="1" applyFont="1" applyFill="1" applyBorder="1" applyAlignment="1" applyProtection="1">
      <alignment horizontal="center"/>
    </xf>
    <xf numFmtId="0" fontId="66" fillId="0" borderId="0" xfId="53" applyNumberFormat="1" applyFont="1" applyFill="1" applyBorder="1" applyAlignment="1" applyProtection="1"/>
    <xf numFmtId="4" fontId="49" fillId="0" borderId="0" xfId="53" applyNumberFormat="1" applyFont="1" applyFill="1" applyBorder="1" applyAlignment="1" applyProtection="1">
      <alignment horizontal="center"/>
    </xf>
    <xf numFmtId="0" fontId="13" fillId="0" borderId="10" xfId="53" applyNumberFormat="1" applyFont="1" applyFill="1" applyBorder="1" applyAlignment="1" applyProtection="1">
      <alignment horizontal="center"/>
    </xf>
    <xf numFmtId="0" fontId="13" fillId="0" borderId="0" xfId="53" applyNumberFormat="1" applyFont="1" applyFill="1" applyBorder="1" applyAlignment="1" applyProtection="1">
      <alignment horizontal="center"/>
    </xf>
    <xf numFmtId="0" fontId="13" fillId="0" borderId="7" xfId="53" applyNumberFormat="1" applyFont="1" applyFill="1" applyBorder="1" applyAlignment="1" applyProtection="1">
      <alignment horizontal="center"/>
    </xf>
    <xf numFmtId="0" fontId="49" fillId="0" borderId="10" xfId="53" applyNumberFormat="1" applyFont="1" applyFill="1" applyBorder="1" applyAlignment="1" applyProtection="1">
      <alignment wrapText="1"/>
    </xf>
    <xf numFmtId="0" fontId="49" fillId="0" borderId="7" xfId="53" applyNumberFormat="1" applyFont="1" applyFill="1" applyBorder="1" applyAlignment="1" applyProtection="1">
      <alignment wrapText="1"/>
    </xf>
    <xf numFmtId="0" fontId="65" fillId="0" borderId="10" xfId="53" applyNumberFormat="1" applyFont="1" applyFill="1" applyBorder="1" applyAlignment="1" applyProtection="1">
      <alignment vertical="top"/>
    </xf>
    <xf numFmtId="0" fontId="65" fillId="0" borderId="7" xfId="53" applyNumberFormat="1" applyFont="1" applyFill="1" applyBorder="1" applyAlignment="1" applyProtection="1">
      <alignment vertical="top"/>
    </xf>
    <xf numFmtId="0" fontId="65" fillId="0" borderId="0" xfId="53" applyNumberFormat="1" applyFont="1" applyFill="1" applyBorder="1" applyAlignment="1" applyProtection="1">
      <alignment horizontal="center"/>
    </xf>
    <xf numFmtId="0" fontId="65" fillId="0" borderId="0" xfId="53" applyNumberFormat="1" applyFont="1" applyFill="1" applyBorder="1" applyAlignment="1" applyProtection="1"/>
    <xf numFmtId="0" fontId="65" fillId="0" borderId="7" xfId="53" applyNumberFormat="1" applyFont="1" applyFill="1" applyBorder="1" applyAlignment="1" applyProtection="1"/>
    <xf numFmtId="0" fontId="66" fillId="0" borderId="10" xfId="53" applyNumberFormat="1" applyFont="1" applyFill="1" applyBorder="1" applyAlignment="1" applyProtection="1">
      <alignment horizontal="left"/>
    </xf>
    <xf numFmtId="0" fontId="49" fillId="0" borderId="7" xfId="53" applyNumberFormat="1" applyFont="1" applyFill="1" applyBorder="1" applyAlignment="1" applyProtection="1">
      <alignment horizontal="center"/>
    </xf>
    <xf numFmtId="0" fontId="56" fillId="7" borderId="21" xfId="53" applyNumberFormat="1" applyFont="1" applyFill="1" applyBorder="1" applyAlignment="1" applyProtection="1">
      <alignment horizontal="center" vertical="top" wrapText="1"/>
    </xf>
    <xf numFmtId="0" fontId="56" fillId="7" borderId="39" xfId="53" applyNumberFormat="1" applyFont="1" applyFill="1" applyBorder="1" applyAlignment="1" applyProtection="1">
      <alignment horizontal="center" vertical="top" wrapText="1"/>
    </xf>
    <xf numFmtId="0" fontId="56" fillId="7" borderId="22" xfId="53" applyNumberFormat="1" applyFont="1" applyFill="1" applyBorder="1" applyAlignment="1" applyProtection="1">
      <alignment horizontal="center" vertical="top" wrapText="1"/>
    </xf>
    <xf numFmtId="1" fontId="56" fillId="0" borderId="21" xfId="53" applyNumberFormat="1" applyFont="1" applyFill="1" applyBorder="1" applyAlignment="1" applyProtection="1">
      <alignment horizontal="center" vertical="top" wrapText="1"/>
    </xf>
    <xf numFmtId="0" fontId="56" fillId="0" borderId="39" xfId="53" applyNumberFormat="1" applyFont="1" applyFill="1" applyBorder="1" applyAlignment="1" applyProtection="1">
      <alignment horizontal="left" vertical="top" wrapText="1"/>
    </xf>
    <xf numFmtId="0" fontId="56" fillId="0" borderId="39" xfId="53" applyNumberFormat="1" applyFont="1" applyFill="1" applyBorder="1" applyAlignment="1" applyProtection="1">
      <alignment horizontal="right" vertical="top" wrapText="1"/>
    </xf>
    <xf numFmtId="2" fontId="56" fillId="0" borderId="39" xfId="53" applyNumberFormat="1" applyFont="1" applyFill="1" applyBorder="1" applyAlignment="1" applyProtection="1">
      <alignment horizontal="right" vertical="top" wrapText="1"/>
    </xf>
    <xf numFmtId="2" fontId="56" fillId="0" borderId="22" xfId="53" applyNumberFormat="1" applyFont="1" applyFill="1" applyBorder="1" applyAlignment="1" applyProtection="1">
      <alignment horizontal="right" vertical="top" wrapText="1"/>
    </xf>
    <xf numFmtId="0" fontId="52" fillId="0" borderId="42" xfId="53" applyNumberFormat="1" applyFont="1" applyFill="1" applyBorder="1" applyAlignment="1" applyProtection="1"/>
    <xf numFmtId="0" fontId="52" fillId="0" borderId="39" xfId="53" applyNumberFormat="1" applyFont="1" applyFill="1" applyBorder="1" applyAlignment="1" applyProtection="1"/>
    <xf numFmtId="0" fontId="68" fillId="7" borderId="21" xfId="53" applyNumberFormat="1" applyFont="1" applyFill="1" applyBorder="1" applyAlignment="1" applyProtection="1"/>
    <xf numFmtId="0" fontId="68" fillId="7" borderId="39" xfId="53" applyNumberFormat="1" applyFont="1" applyFill="1" applyBorder="1" applyAlignment="1" applyProtection="1">
      <alignment horizontal="right" vertical="top" wrapText="1"/>
    </xf>
    <xf numFmtId="0" fontId="68" fillId="7" borderId="39" xfId="53" applyNumberFormat="1" applyFont="1" applyFill="1" applyBorder="1" applyAlignment="1" applyProtection="1">
      <alignment horizontal="right" vertical="top"/>
    </xf>
    <xf numFmtId="4" fontId="68" fillId="7" borderId="39" xfId="53" applyNumberFormat="1" applyFont="1" applyFill="1" applyBorder="1" applyAlignment="1" applyProtection="1">
      <alignment horizontal="right" vertical="top"/>
    </xf>
    <xf numFmtId="4" fontId="68" fillId="7" borderId="22" xfId="53" applyNumberFormat="1" applyFont="1" applyFill="1" applyBorder="1" applyAlignment="1" applyProtection="1">
      <alignment horizontal="right" vertical="top"/>
    </xf>
    <xf numFmtId="0" fontId="52" fillId="3" borderId="42" xfId="53" applyNumberFormat="1" applyFont="1" applyFill="1" applyBorder="1" applyAlignment="1" applyProtection="1">
      <alignment horizontal="center" vertical="center"/>
    </xf>
    <xf numFmtId="0" fontId="52" fillId="3" borderId="39" xfId="53" applyNumberFormat="1" applyFont="1" applyFill="1" applyBorder="1" applyAlignment="1" applyProtection="1">
      <alignment horizontal="center" vertical="center" wrapText="1"/>
    </xf>
    <xf numFmtId="0" fontId="52" fillId="3" borderId="39" xfId="53" applyNumberFormat="1" applyFont="1" applyFill="1" applyBorder="1" applyAlignment="1" applyProtection="1">
      <alignment horizontal="center" vertical="center"/>
    </xf>
    <xf numFmtId="0" fontId="52" fillId="2" borderId="39" xfId="53" applyNumberFormat="1" applyFont="1" applyFill="1" applyBorder="1" applyAlignment="1" applyProtection="1">
      <alignment horizontal="center" vertical="center" wrapText="1"/>
    </xf>
    <xf numFmtId="0" fontId="52" fillId="2" borderId="39" xfId="53" applyNumberFormat="1" applyFont="1" applyFill="1" applyBorder="1" applyAlignment="1" applyProtection="1">
      <alignment horizontal="center" vertical="center"/>
    </xf>
    <xf numFmtId="0" fontId="52" fillId="10" borderId="39" xfId="53" applyNumberFormat="1" applyFont="1" applyFill="1" applyBorder="1" applyAlignment="1" applyProtection="1">
      <alignment horizontal="center" vertical="center"/>
    </xf>
    <xf numFmtId="0" fontId="52" fillId="11" borderId="39" xfId="53" applyNumberFormat="1" applyFont="1" applyFill="1" applyBorder="1" applyAlignment="1" applyProtection="1">
      <alignment horizontal="center" vertical="center"/>
    </xf>
    <xf numFmtId="1" fontId="56" fillId="0" borderId="21" xfId="53" applyNumberFormat="1" applyFont="1" applyFill="1" applyBorder="1" applyAlignment="1" applyProtection="1">
      <alignment horizontal="center" vertical="center" wrapText="1"/>
    </xf>
    <xf numFmtId="0" fontId="56" fillId="0" borderId="39" xfId="53" applyNumberFormat="1" applyFont="1" applyFill="1" applyBorder="1" applyAlignment="1" applyProtection="1">
      <alignment horizontal="left" vertical="center" wrapText="1"/>
    </xf>
    <xf numFmtId="0" fontId="56" fillId="0" borderId="42" xfId="53" applyNumberFormat="1" applyFont="1" applyFill="1" applyBorder="1" applyAlignment="1" applyProtection="1">
      <alignment horizontal="left" vertical="center" wrapText="1"/>
    </xf>
    <xf numFmtId="4" fontId="56" fillId="0" borderId="39" xfId="53" applyNumberFormat="1" applyFont="1" applyFill="1" applyBorder="1" applyAlignment="1" applyProtection="1">
      <alignment horizontal="center" vertical="center" wrapText="1"/>
    </xf>
    <xf numFmtId="4" fontId="56" fillId="0" borderId="39" xfId="53" applyNumberFormat="1" applyFont="1" applyFill="1" applyBorder="1" applyAlignment="1" applyProtection="1">
      <alignment horizontal="right" vertical="center" wrapText="1"/>
    </xf>
    <xf numFmtId="0" fontId="56" fillId="0" borderId="39" xfId="53" applyNumberFormat="1" applyFont="1" applyFill="1" applyBorder="1" applyAlignment="1" applyProtection="1">
      <alignment horizontal="right" vertical="center" wrapText="1"/>
    </xf>
    <xf numFmtId="4" fontId="56" fillId="0" borderId="22" xfId="53" applyNumberFormat="1" applyFont="1" applyFill="1" applyBorder="1" applyAlignment="1" applyProtection="1">
      <alignment horizontal="center" vertical="center" wrapText="1"/>
    </xf>
    <xf numFmtId="4" fontId="52" fillId="3" borderId="42" xfId="53" applyNumberFormat="1" applyFont="1" applyFill="1" applyBorder="1" applyAlignment="1" applyProtection="1">
      <alignment vertical="center"/>
    </xf>
    <xf numFmtId="4" fontId="52" fillId="3" borderId="39" xfId="53" applyNumberFormat="1" applyFont="1" applyFill="1" applyBorder="1" applyAlignment="1" applyProtection="1">
      <alignment vertical="center"/>
    </xf>
    <xf numFmtId="4" fontId="52" fillId="3" borderId="39" xfId="53" applyNumberFormat="1" applyFont="1" applyFill="1" applyBorder="1" applyAlignment="1" applyProtection="1">
      <alignment horizontal="center" vertical="center"/>
    </xf>
    <xf numFmtId="4" fontId="52" fillId="2" borderId="39" xfId="53" applyNumberFormat="1" applyFont="1" applyFill="1" applyBorder="1" applyAlignment="1" applyProtection="1">
      <alignment horizontal="center" vertical="center"/>
    </xf>
    <xf numFmtId="4" fontId="52" fillId="2" borderId="39" xfId="53" applyNumberFormat="1" applyFont="1" applyFill="1" applyBorder="1" applyAlignment="1" applyProtection="1">
      <alignment vertical="center"/>
    </xf>
    <xf numFmtId="4" fontId="52" fillId="10" borderId="39" xfId="53" applyNumberFormat="1" applyFont="1" applyFill="1" applyBorder="1" applyAlignment="1" applyProtection="1">
      <alignment horizontal="center" vertical="center"/>
    </xf>
    <xf numFmtId="4" fontId="52" fillId="11" borderId="39" xfId="53" applyNumberFormat="1" applyFont="1" applyFill="1" applyBorder="1" applyAlignment="1" applyProtection="1">
      <alignment horizontal="center" vertical="center"/>
    </xf>
    <xf numFmtId="4" fontId="52" fillId="11" borderId="39" xfId="53" applyNumberFormat="1" applyFont="1" applyFill="1" applyBorder="1" applyAlignment="1" applyProtection="1">
      <alignment vertical="center"/>
    </xf>
    <xf numFmtId="0" fontId="56" fillId="0" borderId="39" xfId="53" applyNumberFormat="1" applyFont="1" applyFill="1" applyBorder="1" applyAlignment="1" applyProtection="1">
      <alignment horizontal="center" vertical="center" wrapText="1"/>
    </xf>
    <xf numFmtId="0" fontId="56" fillId="0" borderId="40" xfId="53" applyNumberFormat="1" applyFont="1" applyFill="1" applyBorder="1" applyAlignment="1" applyProtection="1">
      <alignment horizontal="left" vertical="top" wrapText="1"/>
    </xf>
    <xf numFmtId="0" fontId="56" fillId="0" borderId="42" xfId="53" applyNumberFormat="1" applyFont="1" applyFill="1" applyBorder="1" applyAlignment="1" applyProtection="1">
      <alignment horizontal="left" vertical="top" wrapText="1"/>
    </xf>
    <xf numFmtId="4" fontId="56" fillId="0" borderId="39" xfId="53" applyNumberFormat="1" applyFont="1" applyFill="1" applyBorder="1" applyAlignment="1" applyProtection="1">
      <alignment horizontal="right" vertical="top" wrapText="1"/>
    </xf>
    <xf numFmtId="4" fontId="56" fillId="0" borderId="22" xfId="53" applyNumberFormat="1" applyFont="1" applyFill="1" applyBorder="1" applyAlignment="1" applyProtection="1">
      <alignment horizontal="right" vertical="top" wrapText="1"/>
    </xf>
    <xf numFmtId="4" fontId="52" fillId="7" borderId="42" xfId="53" applyNumberFormat="1" applyFont="1" applyFill="1" applyBorder="1" applyAlignment="1" applyProtection="1"/>
    <xf numFmtId="4" fontId="52" fillId="7" borderId="39" xfId="53" applyNumberFormat="1" applyFont="1" applyFill="1" applyBorder="1" applyAlignment="1" applyProtection="1"/>
    <xf numFmtId="4" fontId="68" fillId="7" borderId="39" xfId="53" applyNumberFormat="1" applyFont="1" applyFill="1" applyBorder="1" applyAlignment="1" applyProtection="1">
      <alignment horizontal="center" vertical="top"/>
    </xf>
    <xf numFmtId="4" fontId="68" fillId="7" borderId="39" xfId="53" applyNumberFormat="1" applyFont="1" applyFill="1" applyBorder="1" applyAlignment="1" applyProtection="1">
      <alignment horizontal="right" vertical="top" wrapText="1"/>
    </xf>
    <xf numFmtId="4" fontId="68" fillId="7" borderId="22" xfId="53" applyNumberFormat="1" applyFont="1" applyFill="1" applyBorder="1" applyAlignment="1" applyProtection="1">
      <alignment horizontal="center" vertical="top"/>
    </xf>
    <xf numFmtId="0" fontId="52" fillId="7" borderId="42" xfId="53" applyNumberFormat="1" applyFont="1" applyFill="1" applyBorder="1" applyAlignment="1" applyProtection="1"/>
    <xf numFmtId="0" fontId="52" fillId="7" borderId="39" xfId="53" applyNumberFormat="1" applyFont="1" applyFill="1" applyBorder="1" applyAlignment="1" applyProtection="1"/>
    <xf numFmtId="4" fontId="69" fillId="7" borderId="39" xfId="53" applyNumberFormat="1" applyFont="1" applyFill="1" applyBorder="1" applyAlignment="1" applyProtection="1"/>
    <xf numFmtId="2" fontId="68" fillId="7" borderId="39" xfId="53" applyNumberFormat="1" applyFont="1" applyFill="1" applyBorder="1" applyAlignment="1" applyProtection="1">
      <alignment horizontal="right" vertical="top" wrapText="1"/>
    </xf>
    <xf numFmtId="176" fontId="68" fillId="7" borderId="39" xfId="53" applyNumberFormat="1" applyFont="1" applyFill="1" applyBorder="1" applyAlignment="1" applyProtection="1">
      <alignment horizontal="right" vertical="top"/>
    </xf>
    <xf numFmtId="4" fontId="68" fillId="7" borderId="39" xfId="53" applyNumberFormat="1" applyFont="1" applyFill="1" applyBorder="1" applyAlignment="1" applyProtection="1">
      <alignment horizontal="center" vertical="top" wrapText="1"/>
    </xf>
    <xf numFmtId="4" fontId="68" fillId="7" borderId="22" xfId="53" applyNumberFormat="1" applyFont="1" applyFill="1" applyBorder="1" applyAlignment="1" applyProtection="1">
      <alignment horizontal="center" vertical="top" wrapText="1"/>
    </xf>
    <xf numFmtId="0" fontId="69" fillId="7" borderId="42" xfId="53" applyNumberFormat="1" applyFont="1" applyFill="1" applyBorder="1" applyAlignment="1" applyProtection="1"/>
    <xf numFmtId="0" fontId="69" fillId="7" borderId="39" xfId="53" applyNumberFormat="1" applyFont="1" applyFill="1" applyBorder="1" applyAlignment="1" applyProtection="1"/>
    <xf numFmtId="4" fontId="52" fillId="0" borderId="39" xfId="53" applyNumberFormat="1" applyFont="1" applyFill="1" applyBorder="1" applyAlignment="1" applyProtection="1"/>
    <xf numFmtId="4" fontId="56" fillId="0" borderId="39" xfId="53" applyNumberFormat="1" applyFont="1" applyFill="1" applyBorder="1" applyAlignment="1" applyProtection="1">
      <alignment horizontal="center" vertical="top" wrapText="1"/>
    </xf>
    <xf numFmtId="4" fontId="56" fillId="0" borderId="22" xfId="53" applyNumberFormat="1" applyFont="1" applyFill="1" applyBorder="1" applyAlignment="1" applyProtection="1">
      <alignment horizontal="center" vertical="top" wrapText="1"/>
    </xf>
    <xf numFmtId="4" fontId="52" fillId="0" borderId="39" xfId="53" applyNumberFormat="1" applyFont="1" applyFill="1" applyBorder="1" applyAlignment="1" applyProtection="1">
      <alignment vertical="center"/>
    </xf>
    <xf numFmtId="176" fontId="68" fillId="7" borderId="39" xfId="53" applyNumberFormat="1" applyFont="1" applyFill="1" applyBorder="1" applyAlignment="1" applyProtection="1">
      <alignment horizontal="right" vertical="top" wrapText="1"/>
    </xf>
    <xf numFmtId="1" fontId="56" fillId="0" borderId="39" xfId="53" applyNumberFormat="1" applyFont="1" applyFill="1" applyBorder="1" applyAlignment="1" applyProtection="1">
      <alignment horizontal="right" vertical="top" wrapText="1"/>
    </xf>
    <xf numFmtId="1" fontId="56" fillId="0" borderId="22" xfId="53" applyNumberFormat="1" applyFont="1" applyFill="1" applyBorder="1" applyAlignment="1" applyProtection="1">
      <alignment horizontal="right" vertical="top" wrapText="1"/>
    </xf>
    <xf numFmtId="176" fontId="68" fillId="7" borderId="22" xfId="53" applyNumberFormat="1" applyFont="1" applyFill="1" applyBorder="1" applyAlignment="1" applyProtection="1">
      <alignment horizontal="center" vertical="top" wrapText="1"/>
    </xf>
    <xf numFmtId="165" fontId="56" fillId="0" borderId="39" xfId="53" applyNumberFormat="1" applyFont="1" applyFill="1" applyBorder="1" applyAlignment="1" applyProtection="1">
      <alignment horizontal="right" vertical="top" wrapText="1"/>
    </xf>
    <xf numFmtId="165" fontId="68" fillId="7" borderId="39" xfId="53" applyNumberFormat="1" applyFont="1" applyFill="1" applyBorder="1" applyAlignment="1" applyProtection="1">
      <alignment horizontal="right" vertical="top" wrapText="1"/>
    </xf>
    <xf numFmtId="165" fontId="68" fillId="7" borderId="39" xfId="53" applyNumberFormat="1" applyFont="1" applyFill="1" applyBorder="1" applyAlignment="1" applyProtection="1">
      <alignment horizontal="right" vertical="top"/>
    </xf>
    <xf numFmtId="0" fontId="68" fillId="7" borderId="53" xfId="53" applyNumberFormat="1" applyFont="1" applyFill="1" applyBorder="1" applyAlignment="1" applyProtection="1"/>
    <xf numFmtId="4" fontId="68" fillId="7" borderId="56" xfId="53" applyNumberFormat="1" applyFont="1" applyFill="1" applyBorder="1" applyAlignment="1" applyProtection="1">
      <alignment horizontal="right" vertical="top" wrapText="1"/>
    </xf>
    <xf numFmtId="176" fontId="68" fillId="7" borderId="56" xfId="53" applyNumberFormat="1" applyFont="1" applyFill="1" applyBorder="1" applyAlignment="1" applyProtection="1">
      <alignment horizontal="right" vertical="top"/>
    </xf>
    <xf numFmtId="0" fontId="56" fillId="0" borderId="0" xfId="53" applyNumberFormat="1" applyFont="1" applyFill="1" applyBorder="1" applyAlignment="1" applyProtection="1"/>
    <xf numFmtId="0" fontId="68" fillId="8" borderId="39" xfId="53" applyNumberFormat="1" applyFont="1" applyFill="1" applyBorder="1" applyAlignment="1" applyProtection="1"/>
    <xf numFmtId="0" fontId="66" fillId="8" borderId="39" xfId="53" applyFont="1" applyFill="1" applyBorder="1"/>
    <xf numFmtId="4" fontId="68" fillId="8" borderId="39" xfId="53" applyNumberFormat="1" applyFont="1" applyFill="1" applyBorder="1" applyAlignment="1" applyProtection="1"/>
    <xf numFmtId="49" fontId="56" fillId="0" borderId="0" xfId="52" applyNumberFormat="1" applyFont="1" applyFill="1" applyBorder="1" applyAlignment="1" applyProtection="1"/>
    <xf numFmtId="49" fontId="49" fillId="0" borderId="0" xfId="52" applyNumberFormat="1" applyFont="1" applyFill="1" applyBorder="1" applyAlignment="1" applyProtection="1">
      <alignment horizontal="right"/>
    </xf>
    <xf numFmtId="0" fontId="52" fillId="0" borderId="0" xfId="52"/>
    <xf numFmtId="49" fontId="49" fillId="0" borderId="0" xfId="52" applyNumberFormat="1" applyFont="1" applyFill="1" applyBorder="1" applyAlignment="1" applyProtection="1"/>
    <xf numFmtId="0" fontId="49" fillId="0" borderId="0" xfId="52" applyNumberFormat="1" applyFont="1" applyFill="1" applyBorder="1" applyAlignment="1" applyProtection="1">
      <alignment wrapText="1"/>
    </xf>
    <xf numFmtId="49" fontId="70" fillId="0" borderId="0" xfId="52" applyNumberFormat="1" applyFont="1" applyFill="1" applyBorder="1" applyAlignment="1" applyProtection="1">
      <alignment vertical="top" wrapText="1"/>
    </xf>
    <xf numFmtId="0" fontId="70" fillId="0" borderId="0" xfId="52" applyNumberFormat="1" applyFont="1" applyFill="1" applyBorder="1" applyAlignment="1" applyProtection="1">
      <alignment wrapText="1"/>
    </xf>
    <xf numFmtId="0" fontId="70" fillId="0" borderId="0" xfId="52" applyNumberFormat="1" applyFont="1" applyFill="1" applyBorder="1" applyAlignment="1" applyProtection="1"/>
    <xf numFmtId="49" fontId="49" fillId="0" borderId="0" xfId="52" applyNumberFormat="1" applyFont="1" applyFill="1" applyBorder="1" applyAlignment="1" applyProtection="1">
      <alignment horizontal="left"/>
    </xf>
    <xf numFmtId="49" fontId="49" fillId="0" borderId="0" xfId="52" applyNumberFormat="1" applyFont="1" applyFill="1" applyBorder="1" applyAlignment="1" applyProtection="1">
      <alignment vertical="top"/>
    </xf>
    <xf numFmtId="49" fontId="49" fillId="0" borderId="38" xfId="52" applyNumberFormat="1" applyFont="1" applyFill="1" applyBorder="1" applyAlignment="1" applyProtection="1">
      <alignment vertical="top"/>
    </xf>
    <xf numFmtId="49" fontId="65" fillId="0" borderId="0" xfId="52" applyNumberFormat="1" applyFont="1" applyFill="1" applyBorder="1" applyAlignment="1" applyProtection="1">
      <alignment horizontal="center" vertical="top"/>
    </xf>
    <xf numFmtId="49" fontId="49" fillId="0" borderId="0" xfId="52" applyNumberFormat="1" applyFont="1" applyFill="1" applyBorder="1" applyAlignment="1" applyProtection="1">
      <alignment wrapText="1"/>
    </xf>
    <xf numFmtId="49" fontId="65" fillId="0" borderId="0" xfId="52" applyNumberFormat="1" applyFont="1" applyFill="1" applyBorder="1" applyAlignment="1" applyProtection="1"/>
    <xf numFmtId="49" fontId="56" fillId="0" borderId="0" xfId="52" applyNumberFormat="1" applyFont="1" applyFill="1" applyBorder="1" applyAlignment="1" applyProtection="1">
      <alignment horizontal="right" vertical="top"/>
    </xf>
    <xf numFmtId="49" fontId="65" fillId="0" borderId="0" xfId="52" applyNumberFormat="1" applyFont="1" applyFill="1" applyBorder="1" applyAlignment="1" applyProtection="1">
      <alignment horizontal="center"/>
    </xf>
    <xf numFmtId="49" fontId="66" fillId="0" borderId="0" xfId="52" applyNumberFormat="1" applyFont="1" applyFill="1" applyBorder="1" applyAlignment="1" applyProtection="1">
      <alignment horizontal="left"/>
    </xf>
    <xf numFmtId="0" fontId="49" fillId="0" borderId="0" xfId="52" applyNumberFormat="1" applyFont="1" applyFill="1" applyBorder="1" applyAlignment="1" applyProtection="1"/>
    <xf numFmtId="0" fontId="49" fillId="0" borderId="38" xfId="52" applyNumberFormat="1" applyFont="1" applyFill="1" applyBorder="1" applyAlignment="1" applyProtection="1"/>
    <xf numFmtId="0" fontId="49" fillId="0" borderId="38" xfId="52" applyNumberFormat="1" applyFont="1" applyFill="1" applyBorder="1" applyAlignment="1" applyProtection="1">
      <alignment horizontal="center"/>
    </xf>
    <xf numFmtId="0" fontId="49" fillId="0" borderId="0" xfId="52" applyNumberFormat="1" applyFont="1" applyFill="1" applyBorder="1" applyAlignment="1" applyProtection="1">
      <alignment horizontal="center"/>
    </xf>
    <xf numFmtId="0" fontId="49" fillId="0" borderId="0" xfId="52" applyNumberFormat="1" applyFont="1" applyFill="1" applyBorder="1" applyAlignment="1" applyProtection="1">
      <alignment horizontal="left" vertical="top"/>
    </xf>
    <xf numFmtId="0" fontId="49" fillId="0" borderId="0" xfId="52" applyNumberFormat="1" applyFont="1" applyFill="1" applyBorder="1" applyAlignment="1" applyProtection="1">
      <alignment vertical="center" wrapText="1"/>
    </xf>
    <xf numFmtId="0" fontId="65" fillId="0" borderId="0" xfId="52" applyNumberFormat="1" applyFont="1" applyFill="1" applyBorder="1" applyAlignment="1" applyProtection="1"/>
    <xf numFmtId="2" fontId="49" fillId="0" borderId="0" xfId="52" applyNumberFormat="1" applyFont="1" applyFill="1" applyBorder="1" applyAlignment="1" applyProtection="1"/>
    <xf numFmtId="49" fontId="56" fillId="0" borderId="0" xfId="52" applyNumberFormat="1" applyFont="1" applyFill="1" applyBorder="1" applyAlignment="1" applyProtection="1">
      <alignment horizontal="right"/>
    </xf>
    <xf numFmtId="0" fontId="66" fillId="0" borderId="0" xfId="52" applyNumberFormat="1" applyFont="1" applyFill="1" applyBorder="1" applyAlignment="1" applyProtection="1"/>
    <xf numFmtId="0" fontId="49" fillId="0" borderId="0" xfId="52" applyNumberFormat="1" applyFont="1" applyFill="1" applyBorder="1" applyAlignment="1" applyProtection="1">
      <alignment horizontal="left"/>
    </xf>
    <xf numFmtId="2" fontId="49" fillId="0" borderId="0" xfId="52" applyNumberFormat="1" applyFont="1" applyFill="1" applyBorder="1" applyAlignment="1" applyProtection="1">
      <alignment horizontal="right"/>
    </xf>
    <xf numFmtId="0" fontId="68" fillId="0" borderId="0" xfId="52" applyNumberFormat="1" applyFont="1" applyFill="1" applyBorder="1" applyAlignment="1" applyProtection="1">
      <alignment wrapText="1"/>
    </xf>
    <xf numFmtId="49" fontId="68" fillId="0" borderId="57" xfId="52" applyNumberFormat="1" applyFont="1" applyFill="1" applyBorder="1" applyAlignment="1" applyProtection="1">
      <alignment horizontal="center" vertical="top" wrapText="1"/>
    </xf>
    <xf numFmtId="49" fontId="68" fillId="0" borderId="38" xfId="52" applyNumberFormat="1" applyFont="1" applyFill="1" applyBorder="1" applyAlignment="1" applyProtection="1">
      <alignment horizontal="center" vertical="top" wrapText="1"/>
    </xf>
    <xf numFmtId="0" fontId="68" fillId="0" borderId="38" xfId="52" applyNumberFormat="1" applyFont="1" applyFill="1" applyBorder="1" applyAlignment="1" applyProtection="1">
      <alignment horizontal="center" vertical="top" wrapText="1"/>
    </xf>
    <xf numFmtId="1" fontId="68" fillId="0" borderId="38" xfId="52" applyNumberFormat="1" applyFont="1" applyFill="1" applyBorder="1" applyAlignment="1" applyProtection="1">
      <alignment horizontal="center" vertical="top" wrapText="1"/>
    </xf>
    <xf numFmtId="165" fontId="68" fillId="0" borderId="38" xfId="52" applyNumberFormat="1" applyFont="1" applyFill="1" applyBorder="1" applyAlignment="1" applyProtection="1">
      <alignment horizontal="center" vertical="top" wrapText="1"/>
    </xf>
    <xf numFmtId="0" fontId="68" fillId="0" borderId="38" xfId="52" applyNumberFormat="1" applyFont="1" applyFill="1" applyBorder="1" applyAlignment="1" applyProtection="1">
      <alignment horizontal="right" vertical="top" wrapText="1"/>
    </xf>
    <xf numFmtId="0" fontId="68" fillId="0" borderId="45" xfId="52" applyNumberFormat="1" applyFont="1" applyFill="1" applyBorder="1" applyAlignment="1" applyProtection="1">
      <alignment horizontal="right" vertical="top" wrapText="1"/>
    </xf>
    <xf numFmtId="49" fontId="56" fillId="0" borderId="58" xfId="52" applyNumberFormat="1" applyFont="1" applyFill="1" applyBorder="1" applyAlignment="1" applyProtection="1">
      <alignment vertical="center" wrapText="1"/>
    </xf>
    <xf numFmtId="49" fontId="56" fillId="0" borderId="0" xfId="52" applyNumberFormat="1" applyFont="1" applyFill="1" applyBorder="1" applyAlignment="1" applyProtection="1">
      <alignment horizontal="right" vertical="top" wrapText="1"/>
    </xf>
    <xf numFmtId="0" fontId="56" fillId="0" borderId="0" xfId="52" applyNumberFormat="1" applyFont="1" applyFill="1" applyBorder="1" applyAlignment="1" applyProtection="1">
      <alignment wrapText="1"/>
    </xf>
    <xf numFmtId="49" fontId="49" fillId="0" borderId="58" xfId="52" applyNumberFormat="1" applyFont="1" applyFill="1" applyBorder="1" applyAlignment="1" applyProtection="1">
      <alignment vertical="center" wrapText="1"/>
    </xf>
    <xf numFmtId="49" fontId="49" fillId="0" borderId="0" xfId="52" applyNumberFormat="1" applyFont="1" applyFill="1" applyBorder="1" applyAlignment="1" applyProtection="1">
      <alignment horizontal="right" vertical="top" wrapText="1"/>
    </xf>
    <xf numFmtId="49" fontId="49" fillId="0" borderId="0" xfId="52" applyNumberFormat="1" applyFont="1" applyFill="1" applyBorder="1" applyAlignment="1" applyProtection="1">
      <alignment horizontal="center" vertical="top" wrapText="1"/>
    </xf>
    <xf numFmtId="0" fontId="49" fillId="0" borderId="0" xfId="52" applyNumberFormat="1" applyFont="1" applyFill="1" applyBorder="1" applyAlignment="1" applyProtection="1">
      <alignment horizontal="center" vertical="top" wrapText="1"/>
    </xf>
    <xf numFmtId="167" fontId="49" fillId="0" borderId="0" xfId="52" applyNumberFormat="1" applyFont="1" applyFill="1" applyBorder="1" applyAlignment="1" applyProtection="1">
      <alignment horizontal="center" vertical="top" wrapText="1"/>
    </xf>
    <xf numFmtId="0" fontId="49" fillId="0" borderId="0" xfId="52" applyNumberFormat="1" applyFont="1" applyFill="1" applyBorder="1" applyAlignment="1" applyProtection="1">
      <alignment horizontal="right" vertical="top" wrapText="1"/>
    </xf>
    <xf numFmtId="4" fontId="49" fillId="0" borderId="43" xfId="52" applyNumberFormat="1" applyFont="1" applyFill="1" applyBorder="1" applyAlignment="1" applyProtection="1">
      <alignment horizontal="right" vertical="top" wrapText="1"/>
    </xf>
    <xf numFmtId="49" fontId="49" fillId="0" borderId="58" xfId="52" applyNumberFormat="1" applyFont="1" applyFill="1" applyBorder="1" applyAlignment="1" applyProtection="1">
      <alignment horizontal="right" vertical="center" wrapText="1"/>
    </xf>
    <xf numFmtId="165" fontId="49" fillId="0" borderId="0" xfId="52" applyNumberFormat="1" applyFont="1" applyFill="1" applyBorder="1" applyAlignment="1" applyProtection="1">
      <alignment horizontal="center" vertical="top" wrapText="1"/>
    </xf>
    <xf numFmtId="0" fontId="56" fillId="0" borderId="0" xfId="52" applyNumberFormat="1" applyFont="1" applyFill="1" applyBorder="1" applyAlignment="1" applyProtection="1">
      <alignment horizontal="right" vertical="top" wrapText="1"/>
    </xf>
    <xf numFmtId="4" fontId="49" fillId="0" borderId="0" xfId="52" applyNumberFormat="1" applyFont="1" applyFill="1" applyBorder="1" applyAlignment="1" applyProtection="1">
      <alignment horizontal="right" vertical="top" wrapText="1"/>
    </xf>
    <xf numFmtId="0" fontId="71" fillId="0" borderId="0" xfId="52" applyNumberFormat="1" applyFont="1" applyFill="1" applyBorder="1" applyAlignment="1" applyProtection="1"/>
    <xf numFmtId="177" fontId="49" fillId="0" borderId="0" xfId="52" applyNumberFormat="1" applyFont="1" applyFill="1" applyBorder="1" applyAlignment="1" applyProtection="1">
      <alignment horizontal="center" vertical="top" wrapText="1"/>
    </xf>
    <xf numFmtId="4" fontId="56" fillId="0" borderId="0" xfId="52" applyNumberFormat="1" applyFont="1" applyFill="1" applyBorder="1" applyAlignment="1" applyProtection="1">
      <alignment horizontal="right" vertical="top" wrapText="1"/>
    </xf>
    <xf numFmtId="2" fontId="56" fillId="0" borderId="0" xfId="52" applyNumberFormat="1" applyFont="1" applyFill="1" applyBorder="1" applyAlignment="1" applyProtection="1">
      <alignment horizontal="center" vertical="top" wrapText="1"/>
    </xf>
    <xf numFmtId="49" fontId="49" fillId="0" borderId="58" xfId="52" applyNumberFormat="1" applyFont="1" applyFill="1" applyBorder="1" applyAlignment="1" applyProtection="1">
      <alignment horizontal="right" vertical="top" wrapText="1"/>
    </xf>
    <xf numFmtId="2" fontId="49" fillId="0" borderId="0" xfId="52" applyNumberFormat="1" applyFont="1" applyFill="1" applyBorder="1" applyAlignment="1" applyProtection="1">
      <alignment horizontal="right" vertical="top" wrapText="1"/>
    </xf>
    <xf numFmtId="2" fontId="49" fillId="0" borderId="0" xfId="52" applyNumberFormat="1" applyFont="1" applyFill="1" applyBorder="1" applyAlignment="1" applyProtection="1">
      <alignment horizontal="center" vertical="top" wrapText="1"/>
    </xf>
    <xf numFmtId="2" fontId="56" fillId="0" borderId="0" xfId="52" applyNumberFormat="1" applyFont="1" applyFill="1" applyBorder="1" applyAlignment="1" applyProtection="1">
      <alignment horizontal="right" vertical="top" wrapText="1"/>
    </xf>
    <xf numFmtId="165" fontId="56" fillId="0" borderId="0" xfId="52" applyNumberFormat="1" applyFont="1" applyFill="1" applyBorder="1" applyAlignment="1" applyProtection="1">
      <alignment horizontal="center" vertical="top" wrapText="1"/>
    </xf>
    <xf numFmtId="2" fontId="49" fillId="0" borderId="43" xfId="52" applyNumberFormat="1" applyFont="1" applyFill="1" applyBorder="1" applyAlignment="1" applyProtection="1">
      <alignment horizontal="right" vertical="top" wrapText="1"/>
    </xf>
    <xf numFmtId="1" fontId="49" fillId="0" borderId="0" xfId="52" applyNumberFormat="1" applyFont="1" applyFill="1" applyBorder="1" applyAlignment="1" applyProtection="1">
      <alignment horizontal="center" vertical="top" wrapText="1"/>
    </xf>
    <xf numFmtId="166" fontId="49" fillId="0" borderId="0" xfId="52" applyNumberFormat="1" applyFont="1" applyFill="1" applyBorder="1" applyAlignment="1" applyProtection="1">
      <alignment horizontal="center" vertical="top" wrapText="1"/>
    </xf>
    <xf numFmtId="49" fontId="65" fillId="0" borderId="58" xfId="52" applyNumberFormat="1" applyFont="1" applyFill="1" applyBorder="1" applyAlignment="1" applyProtection="1">
      <alignment horizontal="right" vertical="top" wrapText="1"/>
    </xf>
    <xf numFmtId="49" fontId="65" fillId="0" borderId="0" xfId="52" applyNumberFormat="1" applyFont="1" applyFill="1" applyBorder="1" applyAlignment="1" applyProtection="1">
      <alignment horizontal="right" vertical="top" wrapText="1"/>
    </xf>
    <xf numFmtId="49" fontId="65" fillId="0" borderId="0" xfId="52" applyNumberFormat="1" applyFont="1" applyFill="1" applyBorder="1" applyAlignment="1" applyProtection="1">
      <alignment horizontal="center" vertical="top" wrapText="1"/>
    </xf>
    <xf numFmtId="1" fontId="65" fillId="0" borderId="0" xfId="52" applyNumberFormat="1" applyFont="1" applyFill="1" applyBorder="1" applyAlignment="1" applyProtection="1">
      <alignment horizontal="center" vertical="top" wrapText="1"/>
    </xf>
    <xf numFmtId="0" fontId="65" fillId="0" borderId="0" xfId="52" applyNumberFormat="1" applyFont="1" applyFill="1" applyBorder="1" applyAlignment="1" applyProtection="1">
      <alignment horizontal="right" vertical="top" wrapText="1"/>
    </xf>
    <xf numFmtId="0" fontId="65" fillId="0" borderId="0" xfId="52" applyNumberFormat="1" applyFont="1" applyFill="1" applyBorder="1" applyAlignment="1" applyProtection="1">
      <alignment horizontal="center" vertical="top" wrapText="1"/>
    </xf>
    <xf numFmtId="0" fontId="65" fillId="0" borderId="43" xfId="52" applyNumberFormat="1" applyFont="1" applyFill="1" applyBorder="1" applyAlignment="1" applyProtection="1">
      <alignment horizontal="right" vertical="top" wrapText="1"/>
    </xf>
    <xf numFmtId="0" fontId="65" fillId="0" borderId="0" xfId="52" applyNumberFormat="1" applyFont="1" applyFill="1" applyBorder="1" applyAlignment="1" applyProtection="1">
      <alignment wrapText="1"/>
    </xf>
    <xf numFmtId="49" fontId="56" fillId="0" borderId="58" xfId="52" applyNumberFormat="1" applyFont="1" applyFill="1" applyBorder="1" applyAlignment="1" applyProtection="1"/>
    <xf numFmtId="4" fontId="68" fillId="0" borderId="38" xfId="52" applyNumberFormat="1" applyFont="1" applyFill="1" applyBorder="1" applyAlignment="1" applyProtection="1">
      <alignment horizontal="right" vertical="top" wrapText="1"/>
    </xf>
    <xf numFmtId="4" fontId="68" fillId="0" borderId="45" xfId="52" applyNumberFormat="1" applyFont="1" applyFill="1" applyBorder="1" applyAlignment="1" applyProtection="1">
      <alignment horizontal="right" vertical="top" wrapText="1"/>
    </xf>
    <xf numFmtId="49" fontId="68" fillId="0" borderId="58" xfId="52" applyNumberFormat="1" applyFont="1" applyFill="1" applyBorder="1" applyAlignment="1" applyProtection="1">
      <alignment horizontal="center" vertical="top" wrapText="1"/>
    </xf>
    <xf numFmtId="2" fontId="68" fillId="0" borderId="38" xfId="52" applyNumberFormat="1" applyFont="1" applyFill="1" applyBorder="1" applyAlignment="1" applyProtection="1">
      <alignment horizontal="right" vertical="top" wrapText="1"/>
    </xf>
    <xf numFmtId="178" fontId="49" fillId="0" borderId="0" xfId="52" applyNumberFormat="1" applyFont="1" applyFill="1" applyBorder="1" applyAlignment="1" applyProtection="1">
      <alignment horizontal="center" vertical="top" wrapText="1"/>
    </xf>
    <xf numFmtId="165" fontId="65" fillId="0" borderId="0" xfId="52" applyNumberFormat="1" applyFont="1" applyFill="1" applyBorder="1" applyAlignment="1" applyProtection="1">
      <alignment horizontal="center" vertical="top" wrapText="1"/>
    </xf>
    <xf numFmtId="49" fontId="68" fillId="0" borderId="0" xfId="52" applyNumberFormat="1" applyFont="1" applyFill="1" applyBorder="1" applyAlignment="1" applyProtection="1">
      <alignment horizontal="center" vertical="top" wrapText="1"/>
    </xf>
    <xf numFmtId="0" fontId="68" fillId="0" borderId="0" xfId="52" applyNumberFormat="1" applyFont="1" applyFill="1" applyBorder="1" applyAlignment="1" applyProtection="1">
      <alignment horizontal="left" vertical="top" wrapText="1"/>
    </xf>
    <xf numFmtId="0" fontId="68" fillId="0" borderId="0" xfId="52" applyNumberFormat="1" applyFont="1" applyFill="1" applyBorder="1" applyAlignment="1" applyProtection="1">
      <alignment horizontal="center" vertical="top" wrapText="1"/>
    </xf>
    <xf numFmtId="0" fontId="68" fillId="0" borderId="0" xfId="52" applyNumberFormat="1" applyFont="1" applyFill="1" applyBorder="1" applyAlignment="1" applyProtection="1">
      <alignment horizontal="right" vertical="top" wrapText="1"/>
    </xf>
    <xf numFmtId="49" fontId="68" fillId="0" borderId="0" xfId="52" applyNumberFormat="1" applyFont="1" applyFill="1" applyBorder="1" applyAlignment="1" applyProtection="1">
      <alignment horizontal="right" vertical="top" wrapText="1"/>
    </xf>
    <xf numFmtId="0" fontId="68" fillId="0" borderId="43" xfId="52" applyNumberFormat="1" applyFont="1" applyFill="1" applyBorder="1" applyAlignment="1" applyProtection="1">
      <alignment horizontal="right" vertical="top"/>
    </xf>
    <xf numFmtId="4" fontId="56" fillId="0" borderId="43" xfId="52" applyNumberFormat="1" applyFont="1" applyFill="1" applyBorder="1" applyAlignment="1" applyProtection="1">
      <alignment horizontal="right" vertical="top"/>
    </xf>
    <xf numFmtId="0" fontId="56" fillId="0" borderId="43" xfId="52" applyNumberFormat="1" applyFont="1" applyFill="1" applyBorder="1" applyAlignment="1" applyProtection="1">
      <alignment horizontal="right" vertical="top"/>
    </xf>
    <xf numFmtId="4" fontId="68" fillId="0" borderId="43" xfId="52" applyNumberFormat="1" applyFont="1" applyFill="1" applyBorder="1" applyAlignment="1" applyProtection="1">
      <alignment horizontal="right" vertical="top"/>
    </xf>
    <xf numFmtId="0" fontId="56" fillId="0" borderId="43" xfId="52" applyNumberFormat="1" applyFont="1" applyFill="1" applyBorder="1" applyAlignment="1" applyProtection="1"/>
    <xf numFmtId="177" fontId="56" fillId="0" borderId="0" xfId="52" applyNumberFormat="1" applyFont="1" applyFill="1" applyBorder="1" applyAlignment="1" applyProtection="1">
      <alignment horizontal="right" vertical="top"/>
    </xf>
    <xf numFmtId="177" fontId="68" fillId="0" borderId="38" xfId="52" applyNumberFormat="1" applyFont="1" applyFill="1" applyBorder="1" applyAlignment="1" applyProtection="1">
      <alignment horizontal="center" vertical="top" wrapText="1"/>
    </xf>
    <xf numFmtId="49" fontId="56" fillId="0" borderId="58" xfId="52" applyNumberFormat="1" applyFont="1" applyFill="1" applyBorder="1" applyAlignment="1" applyProtection="1">
      <alignment horizontal="center" vertical="top" wrapText="1"/>
    </xf>
    <xf numFmtId="175" fontId="49" fillId="0" borderId="0" xfId="52" applyNumberFormat="1" applyFont="1" applyFill="1" applyBorder="1" applyAlignment="1" applyProtection="1">
      <alignment horizontal="center" vertical="top" wrapText="1"/>
    </xf>
    <xf numFmtId="4" fontId="68" fillId="0" borderId="0" xfId="52" applyNumberFormat="1" applyFont="1" applyFill="1" applyBorder="1" applyAlignment="1" applyProtection="1">
      <alignment horizontal="right" vertical="top"/>
    </xf>
    <xf numFmtId="2" fontId="68" fillId="0" borderId="0" xfId="52" applyNumberFormat="1" applyFont="1" applyFill="1" applyBorder="1" applyAlignment="1" applyProtection="1">
      <alignment horizontal="center" vertical="top"/>
    </xf>
    <xf numFmtId="3" fontId="68" fillId="0" borderId="0" xfId="52" applyNumberFormat="1" applyFont="1" applyFill="1" applyBorder="1" applyAlignment="1" applyProtection="1">
      <alignment horizontal="right" vertical="top"/>
    </xf>
    <xf numFmtId="49" fontId="56" fillId="0" borderId="38" xfId="52" applyNumberFormat="1" applyFont="1" applyFill="1" applyBorder="1" applyAlignment="1" applyProtection="1"/>
    <xf numFmtId="0" fontId="49" fillId="0" borderId="0" xfId="52" applyNumberFormat="1" applyFont="1" applyFill="1" applyBorder="1" applyAlignment="1" applyProtection="1">
      <alignment horizontal="right" vertical="top"/>
    </xf>
    <xf numFmtId="0" fontId="49" fillId="0" borderId="0" xfId="52" applyNumberFormat="1" applyFont="1" applyFill="1" applyBorder="1" applyAlignment="1" applyProtection="1">
      <alignment vertical="top"/>
    </xf>
    <xf numFmtId="0" fontId="70" fillId="0" borderId="0" xfId="52" applyNumberFormat="1" applyFont="1" applyFill="1" applyBorder="1" applyAlignment="1" applyProtection="1">
      <alignment vertical="top"/>
    </xf>
    <xf numFmtId="0" fontId="49" fillId="0" borderId="0" xfId="52" applyNumberFormat="1" applyFont="1" applyFill="1" applyBorder="1" applyAlignment="1" applyProtection="1">
      <alignment vertical="top" wrapText="1"/>
    </xf>
    <xf numFmtId="0" fontId="56" fillId="0" borderId="0" xfId="52" applyNumberFormat="1" applyFont="1" applyFill="1" applyBorder="1" applyAlignment="1" applyProtection="1"/>
    <xf numFmtId="0" fontId="54" fillId="0" borderId="13" xfId="52" applyNumberFormat="1" applyFont="1" applyFill="1" applyBorder="1" applyAlignment="1" applyProtection="1">
      <alignment vertical="top" wrapText="1"/>
    </xf>
    <xf numFmtId="0" fontId="54" fillId="0" borderId="37" xfId="52" applyNumberFormat="1" applyFont="1" applyFill="1" applyBorder="1" applyAlignment="1" applyProtection="1">
      <alignment vertical="top" wrapText="1"/>
    </xf>
    <xf numFmtId="0" fontId="54" fillId="0" borderId="44" xfId="52" applyNumberFormat="1" applyFont="1" applyFill="1" applyBorder="1" applyAlignment="1" applyProtection="1">
      <alignment vertical="top" wrapText="1"/>
    </xf>
    <xf numFmtId="0" fontId="53" fillId="0" borderId="0" xfId="52" applyNumberFormat="1" applyFont="1" applyFill="1" applyBorder="1" applyAlignment="1" applyProtection="1">
      <alignment horizontal="left" vertical="top" wrapText="1"/>
    </xf>
    <xf numFmtId="0" fontId="53" fillId="0" borderId="0" xfId="52" applyNumberFormat="1" applyFont="1" applyFill="1" applyBorder="1" applyAlignment="1" applyProtection="1">
      <alignment horizontal="center"/>
    </xf>
    <xf numFmtId="0" fontId="23" fillId="0" borderId="0" xfId="28" applyFont="1" applyAlignment="1">
      <alignment vertical="center" wrapText="1"/>
    </xf>
    <xf numFmtId="0" fontId="25" fillId="0" borderId="8" xfId="0" applyFont="1" applyFill="1" applyBorder="1" applyAlignment="1">
      <alignment horizontal="center" vertical="center" wrapText="1"/>
    </xf>
    <xf numFmtId="10" fontId="21" fillId="0" borderId="0" xfId="28" applyNumberFormat="1"/>
    <xf numFmtId="49" fontId="38" fillId="6" borderId="0" xfId="15" applyNumberFormat="1" applyFont="1" applyFill="1" applyBorder="1" applyAlignment="1">
      <alignment vertical="center" wrapText="1"/>
    </xf>
    <xf numFmtId="4" fontId="38" fillId="6" borderId="0" xfId="15" applyNumberFormat="1" applyFont="1" applyFill="1" applyBorder="1" applyAlignment="1">
      <alignment horizontal="center" vertical="center" wrapText="1"/>
    </xf>
    <xf numFmtId="0" fontId="56" fillId="0" borderId="38" xfId="52" applyNumberFormat="1" applyFont="1" applyFill="1" applyBorder="1" applyAlignment="1" applyProtection="1">
      <alignment horizontal="center" vertical="top" wrapText="1"/>
    </xf>
    <xf numFmtId="0" fontId="56" fillId="0" borderId="0" xfId="52" applyNumberFormat="1" applyFont="1" applyFill="1" applyBorder="1" applyAlignment="1" applyProtection="1">
      <alignment horizontal="center" vertical="top" wrapText="1"/>
    </xf>
    <xf numFmtId="0" fontId="49" fillId="0" borderId="0" xfId="53" applyNumberFormat="1" applyFont="1" applyFill="1" applyBorder="1" applyAlignment="1" applyProtection="1">
      <alignment horizontal="center"/>
    </xf>
    <xf numFmtId="49" fontId="56" fillId="0" borderId="0" xfId="52" applyNumberFormat="1" applyFont="1" applyFill="1" applyBorder="1" applyAlignment="1" applyProtection="1">
      <alignment horizontal="left" vertical="top" wrapText="1"/>
    </xf>
    <xf numFmtId="49" fontId="68" fillId="0" borderId="0" xfId="52" applyNumberFormat="1" applyFont="1" applyFill="1" applyBorder="1" applyAlignment="1" applyProtection="1">
      <alignment horizontal="left" vertical="top" wrapText="1"/>
    </xf>
    <xf numFmtId="49" fontId="68" fillId="0" borderId="38" xfId="52" applyNumberFormat="1" applyFont="1" applyFill="1" applyBorder="1" applyAlignment="1" applyProtection="1">
      <alignment horizontal="left" vertical="top" wrapText="1"/>
    </xf>
    <xf numFmtId="49" fontId="13" fillId="0" borderId="0" xfId="52" applyNumberFormat="1" applyFont="1" applyFill="1" applyBorder="1" applyAlignment="1" applyProtection="1">
      <alignment horizontal="center"/>
    </xf>
    <xf numFmtId="0" fontId="56" fillId="2" borderId="39" xfId="53" applyNumberFormat="1" applyFont="1" applyFill="1" applyBorder="1" applyAlignment="1" applyProtection="1">
      <alignment horizontal="center" vertical="center" wrapText="1"/>
    </xf>
    <xf numFmtId="0" fontId="17" fillId="0" borderId="0" xfId="11" applyNumberFormat="1" applyFont="1" applyAlignment="1">
      <alignment horizontal="left" vertical="top"/>
    </xf>
    <xf numFmtId="49" fontId="18" fillId="0" borderId="0" xfId="11" applyNumberFormat="1" applyFont="1" applyAlignment="1">
      <alignment horizontal="left" vertical="top"/>
    </xf>
    <xf numFmtId="0" fontId="18" fillId="0" borderId="0" xfId="11" applyFont="1" applyAlignment="1">
      <alignment horizontal="left" vertical="top" wrapText="1"/>
    </xf>
    <xf numFmtId="0" fontId="18" fillId="0" borderId="0" xfId="11" applyFont="1" applyAlignment="1">
      <alignment horizontal="center" vertical="top" wrapText="1"/>
    </xf>
    <xf numFmtId="0" fontId="49" fillId="0" borderId="0" xfId="11" applyFont="1" applyAlignment="1">
      <alignment horizontal="right" vertical="top" wrapText="1"/>
    </xf>
    <xf numFmtId="0" fontId="49" fillId="0" borderId="0" xfId="11" applyFont="1" applyAlignment="1">
      <alignment horizontal="right" vertical="top"/>
    </xf>
    <xf numFmtId="0" fontId="17" fillId="0" borderId="0" xfId="11" applyFont="1" applyAlignment="1">
      <alignment horizontal="left" vertical="top"/>
    </xf>
    <xf numFmtId="0" fontId="10" fillId="0" borderId="0" xfId="11" applyFont="1"/>
    <xf numFmtId="0" fontId="10" fillId="0" borderId="0" xfId="11" applyNumberFormat="1" applyFont="1" applyAlignment="1">
      <alignment horizontal="left" vertical="top"/>
    </xf>
    <xf numFmtId="0" fontId="10" fillId="0" borderId="0" xfId="11" applyFont="1" applyAlignment="1">
      <alignment horizontal="left" vertical="top"/>
    </xf>
    <xf numFmtId="0" fontId="18" fillId="0" borderId="0" xfId="11" applyNumberFormat="1" applyFont="1" applyAlignment="1">
      <alignment horizontal="left" vertical="top"/>
    </xf>
    <xf numFmtId="0" fontId="18" fillId="0" borderId="0" xfId="11" applyFont="1" applyAlignment="1">
      <alignment horizontal="left" vertical="top"/>
    </xf>
    <xf numFmtId="0" fontId="18" fillId="0" borderId="0" xfId="11" applyNumberFormat="1" applyFont="1" applyAlignment="1">
      <alignment horizontal="center" vertical="top" wrapText="1"/>
    </xf>
    <xf numFmtId="49" fontId="49" fillId="0" borderId="0" xfId="11" applyNumberFormat="1" applyFont="1" applyBorder="1" applyAlignment="1">
      <alignment horizontal="right" vertical="top"/>
    </xf>
    <xf numFmtId="0" fontId="49" fillId="0" borderId="0" xfId="11" applyFont="1" applyBorder="1" applyAlignment="1">
      <alignment horizontal="right" vertical="top"/>
    </xf>
    <xf numFmtId="0" fontId="11" fillId="0" borderId="0" xfId="11" applyFont="1" applyBorder="1" applyAlignment="1">
      <alignment horizontal="center" vertical="top"/>
    </xf>
    <xf numFmtId="0" fontId="65" fillId="0" borderId="0" xfId="11" applyFont="1" applyBorder="1" applyAlignment="1">
      <alignment horizontal="right" vertical="top"/>
    </xf>
    <xf numFmtId="0" fontId="65" fillId="0" borderId="0" xfId="11" applyFont="1" applyBorder="1" applyAlignment="1">
      <alignment horizontal="center" vertical="top"/>
    </xf>
    <xf numFmtId="49" fontId="49" fillId="0" borderId="0" xfId="11" applyNumberFormat="1" applyFont="1"/>
    <xf numFmtId="0" fontId="16" fillId="0" borderId="0" xfId="11" applyFont="1" applyAlignment="1">
      <alignment horizontal="center" vertical="top"/>
    </xf>
    <xf numFmtId="0" fontId="66" fillId="0" borderId="0" xfId="11" applyFont="1" applyAlignment="1">
      <alignment horizontal="center" vertical="top"/>
    </xf>
    <xf numFmtId="0" fontId="10" fillId="0" borderId="0" xfId="11" applyFont="1" applyAlignment="1">
      <alignment horizontal="center" vertical="top"/>
    </xf>
    <xf numFmtId="0" fontId="49" fillId="0" borderId="0" xfId="11" applyFont="1" applyAlignment="1">
      <alignment horizontal="center" vertical="top"/>
    </xf>
    <xf numFmtId="0" fontId="15" fillId="0" borderId="0" xfId="11" applyNumberFormat="1" applyFont="1" applyAlignment="1">
      <alignment horizontal="right" vertical="top" wrapText="1"/>
    </xf>
    <xf numFmtId="49" fontId="15" fillId="0" borderId="0" xfId="11" applyNumberFormat="1" applyFont="1" applyAlignment="1">
      <alignment horizontal="left"/>
    </xf>
    <xf numFmtId="0" fontId="15" fillId="0" borderId="0" xfId="11" applyFont="1" applyAlignment="1">
      <alignment horizontal="right" vertical="top"/>
    </xf>
    <xf numFmtId="0" fontId="15" fillId="0" borderId="0" xfId="11" applyFont="1" applyAlignment="1">
      <alignment horizontal="center" vertical="top"/>
    </xf>
    <xf numFmtId="0" fontId="15" fillId="0" borderId="59" xfId="11" applyFont="1" applyBorder="1" applyAlignment="1">
      <alignment horizontal="right" vertical="top"/>
    </xf>
    <xf numFmtId="49" fontId="49" fillId="0" borderId="38" xfId="11" applyNumberFormat="1" applyFont="1" applyBorder="1"/>
    <xf numFmtId="0" fontId="49" fillId="0" borderId="38" xfId="11" applyFont="1" applyBorder="1" applyAlignment="1">
      <alignment horizontal="right" vertical="top"/>
    </xf>
    <xf numFmtId="0" fontId="11" fillId="0" borderId="38" xfId="11" applyFont="1" applyBorder="1" applyAlignment="1">
      <alignment horizontal="center" vertical="top"/>
    </xf>
    <xf numFmtId="0" fontId="65" fillId="0" borderId="38" xfId="11" applyFont="1" applyBorder="1" applyAlignment="1">
      <alignment horizontal="center" vertical="top"/>
    </xf>
    <xf numFmtId="0" fontId="49" fillId="0" borderId="0" xfId="11" applyNumberFormat="1" applyFont="1"/>
    <xf numFmtId="49" fontId="49" fillId="0" borderId="0" xfId="11" applyNumberFormat="1" applyFont="1" applyAlignment="1">
      <alignment horizontal="right" vertical="top"/>
    </xf>
    <xf numFmtId="0" fontId="18" fillId="0" borderId="0" xfId="11" applyNumberFormat="1" applyFont="1" applyAlignment="1">
      <alignment horizontal="center" vertical="top"/>
    </xf>
    <xf numFmtId="0" fontId="15" fillId="0" borderId="0" xfId="11" applyFont="1" applyBorder="1" applyAlignment="1">
      <alignment horizontal="left" vertical="top"/>
    </xf>
    <xf numFmtId="0" fontId="10" fillId="0" borderId="0" xfId="11" applyFont="1" applyBorder="1" applyAlignment="1">
      <alignment horizontal="left"/>
    </xf>
    <xf numFmtId="0" fontId="15" fillId="0" borderId="0" xfId="11" applyFont="1" applyBorder="1" applyAlignment="1">
      <alignment horizontal="left"/>
    </xf>
    <xf numFmtId="0" fontId="15" fillId="0" borderId="0" xfId="11" applyFont="1" applyAlignment="1">
      <alignment horizontal="left"/>
    </xf>
    <xf numFmtId="0" fontId="15" fillId="0" borderId="0" xfId="11" applyNumberFormat="1" applyFont="1" applyAlignment="1">
      <alignment horizontal="center" vertical="top"/>
    </xf>
    <xf numFmtId="0" fontId="15" fillId="0" borderId="0" xfId="11" applyFont="1" applyBorder="1" applyAlignment="1">
      <alignment horizontal="left" vertical="top" wrapText="1"/>
    </xf>
    <xf numFmtId="0" fontId="15" fillId="0" borderId="0" xfId="11" applyFont="1"/>
    <xf numFmtId="49" fontId="15" fillId="0" borderId="0" xfId="11" applyNumberFormat="1" applyFont="1" applyAlignment="1"/>
    <xf numFmtId="49" fontId="18" fillId="0" borderId="0" xfId="11" applyNumberFormat="1" applyFont="1" applyAlignment="1">
      <alignment horizontal="left" vertical="top" wrapText="1"/>
    </xf>
    <xf numFmtId="0" fontId="18" fillId="0" borderId="0" xfId="11" applyFont="1" applyAlignment="1">
      <alignment horizontal="right" vertical="top" wrapText="1"/>
    </xf>
    <xf numFmtId="0" fontId="18" fillId="0" borderId="0" xfId="11" applyFont="1" applyAlignment="1">
      <alignment wrapText="1"/>
    </xf>
    <xf numFmtId="0" fontId="18" fillId="0" borderId="8" xfId="11" applyFont="1" applyBorder="1" applyAlignment="1">
      <alignment horizontal="center" vertical="center" wrapText="1"/>
    </xf>
    <xf numFmtId="0" fontId="18" fillId="0" borderId="8" xfId="11" applyNumberFormat="1" applyFont="1" applyBorder="1" applyAlignment="1">
      <alignment horizontal="center" vertical="center"/>
    </xf>
    <xf numFmtId="49" fontId="18" fillId="0" borderId="8" xfId="11" applyNumberFormat="1" applyFont="1" applyBorder="1" applyAlignment="1">
      <alignment horizontal="center" vertical="center"/>
    </xf>
    <xf numFmtId="0" fontId="18" fillId="0" borderId="8" xfId="11" applyFont="1" applyBorder="1" applyAlignment="1">
      <alignment horizontal="center" vertical="center"/>
    </xf>
    <xf numFmtId="0" fontId="18" fillId="0" borderId="8" xfId="11" applyNumberFormat="1" applyFont="1" applyBorder="1" applyAlignment="1">
      <alignment horizontal="center" vertical="top" wrapText="1"/>
    </xf>
    <xf numFmtId="0" fontId="18" fillId="0" borderId="8" xfId="11" quotePrefix="1" applyNumberFormat="1" applyFont="1" applyBorder="1" applyAlignment="1">
      <alignment horizontal="center" vertical="top"/>
    </xf>
    <xf numFmtId="179" fontId="14" fillId="0" borderId="8" xfId="11" applyNumberFormat="1" applyFont="1" applyBorder="1" applyAlignment="1">
      <alignment horizontal="left" vertical="top" wrapText="1"/>
    </xf>
    <xf numFmtId="0" fontId="18" fillId="0" borderId="8" xfId="11" applyFont="1" applyBorder="1" applyAlignment="1">
      <alignment horizontal="left" vertical="top" wrapText="1"/>
    </xf>
    <xf numFmtId="0" fontId="18" fillId="0" borderId="8" xfId="11" applyFont="1" applyBorder="1" applyAlignment="1">
      <alignment horizontal="center" vertical="top" wrapText="1"/>
    </xf>
    <xf numFmtId="0" fontId="49" fillId="0" borderId="8" xfId="11" applyFont="1" applyBorder="1" applyAlignment="1">
      <alignment horizontal="right" vertical="top" wrapText="1"/>
    </xf>
    <xf numFmtId="0" fontId="49" fillId="0" borderId="8" xfId="11" applyFont="1" applyBorder="1" applyAlignment="1">
      <alignment horizontal="right" vertical="top"/>
    </xf>
    <xf numFmtId="0" fontId="18" fillId="0" borderId="8" xfId="11" applyFont="1" applyBorder="1" applyAlignment="1">
      <alignment horizontal="center" vertical="top"/>
    </xf>
    <xf numFmtId="0" fontId="18" fillId="2" borderId="8" xfId="11" quotePrefix="1" applyNumberFormat="1" applyFont="1" applyFill="1" applyBorder="1" applyAlignment="1">
      <alignment horizontal="center" vertical="top"/>
    </xf>
    <xf numFmtId="179" fontId="14" fillId="2" borderId="8" xfId="11" applyNumberFormat="1" applyFont="1" applyFill="1" applyBorder="1" applyAlignment="1">
      <alignment horizontal="left" vertical="top" wrapText="1"/>
    </xf>
    <xf numFmtId="0" fontId="18" fillId="2" borderId="8" xfId="11" applyFont="1" applyFill="1" applyBorder="1" applyAlignment="1">
      <alignment horizontal="left" vertical="top" wrapText="1"/>
    </xf>
    <xf numFmtId="0" fontId="18" fillId="2" borderId="8" xfId="11" applyFont="1" applyFill="1" applyBorder="1" applyAlignment="1">
      <alignment horizontal="center" vertical="top"/>
    </xf>
    <xf numFmtId="0" fontId="49" fillId="2" borderId="8" xfId="11" applyFont="1" applyFill="1" applyBorder="1" applyAlignment="1">
      <alignment horizontal="right" vertical="top" wrapText="1"/>
    </xf>
    <xf numFmtId="0" fontId="49" fillId="2" borderId="8" xfId="11" applyFont="1" applyFill="1" applyBorder="1" applyAlignment="1">
      <alignment horizontal="right" vertical="top"/>
    </xf>
    <xf numFmtId="0" fontId="74" fillId="0" borderId="0" xfId="11" applyFont="1" applyAlignment="1">
      <alignment horizontal="right" vertical="top" wrapText="1"/>
    </xf>
    <xf numFmtId="0" fontId="18" fillId="2" borderId="8" xfId="11" applyFont="1" applyFill="1" applyBorder="1" applyAlignment="1">
      <alignment horizontal="center" vertical="top" wrapText="1"/>
    </xf>
    <xf numFmtId="0" fontId="74" fillId="0" borderId="0" xfId="11" applyFont="1" applyAlignment="1">
      <alignment horizontal="right" vertical="top"/>
    </xf>
    <xf numFmtId="0" fontId="74" fillId="0" borderId="0" xfId="11" applyFont="1" applyAlignment="1">
      <alignment horizontal="left" vertical="top"/>
    </xf>
    <xf numFmtId="0" fontId="66" fillId="0" borderId="8" xfId="11" applyFont="1" applyBorder="1" applyAlignment="1">
      <alignment horizontal="right" vertical="top" wrapText="1"/>
    </xf>
    <xf numFmtId="179" fontId="18" fillId="0" borderId="0" xfId="11" applyNumberFormat="1" applyFont="1" applyAlignment="1">
      <alignment horizontal="left" vertical="top" wrapText="1"/>
    </xf>
    <xf numFmtId="179" fontId="18" fillId="0" borderId="0" xfId="11" applyNumberFormat="1" applyFont="1" applyAlignment="1">
      <alignment horizontal="left" vertical="top"/>
    </xf>
    <xf numFmtId="0" fontId="49" fillId="0" borderId="0" xfId="52" applyNumberFormat="1" applyFont="1" applyFill="1" applyBorder="1" applyAlignment="1" applyProtection="1">
      <alignment horizontal="right"/>
    </xf>
    <xf numFmtId="49" fontId="68" fillId="0" borderId="0" xfId="52" applyNumberFormat="1" applyFont="1" applyFill="1" applyBorder="1" applyAlignment="1" applyProtection="1">
      <alignment vertical="top"/>
    </xf>
    <xf numFmtId="49" fontId="56" fillId="0" borderId="59" xfId="52" applyNumberFormat="1" applyFont="1" applyFill="1" applyBorder="1" applyAlignment="1" applyProtection="1"/>
    <xf numFmtId="49" fontId="56" fillId="0" borderId="59" xfId="52" applyNumberFormat="1" applyFont="1" applyFill="1" applyBorder="1" applyAlignment="1" applyProtection="1">
      <alignment horizontal="right"/>
    </xf>
    <xf numFmtId="49" fontId="56" fillId="0" borderId="0" xfId="52" applyNumberFormat="1" applyFont="1" applyFill="1" applyBorder="1" applyAlignment="1" applyProtection="1">
      <alignment wrapText="1"/>
    </xf>
    <xf numFmtId="0" fontId="10" fillId="0" borderId="0" xfId="52" applyNumberFormat="1" applyFont="1" applyFill="1" applyBorder="1" applyAlignment="1" applyProtection="1">
      <alignment wrapText="1"/>
    </xf>
    <xf numFmtId="0" fontId="56" fillId="0" borderId="28" xfId="52" applyNumberFormat="1" applyFont="1" applyFill="1" applyBorder="1" applyAlignment="1" applyProtection="1"/>
    <xf numFmtId="4" fontId="49" fillId="0" borderId="28" xfId="52" applyNumberFormat="1" applyFont="1" applyFill="1" applyBorder="1" applyAlignment="1" applyProtection="1">
      <alignment horizontal="right"/>
    </xf>
    <xf numFmtId="0" fontId="56" fillId="0" borderId="59" xfId="52" applyNumberFormat="1" applyFont="1" applyFill="1" applyBorder="1" applyAlignment="1" applyProtection="1"/>
    <xf numFmtId="0" fontId="56" fillId="0" borderId="38" xfId="52" applyNumberFormat="1" applyFont="1" applyFill="1" applyBorder="1" applyAlignment="1" applyProtection="1"/>
    <xf numFmtId="0" fontId="56" fillId="0" borderId="0" xfId="52" applyNumberFormat="1" applyFont="1" applyFill="1" applyBorder="1" applyAlignment="1" applyProtection="1">
      <alignment vertical="center"/>
    </xf>
    <xf numFmtId="49" fontId="59" fillId="0" borderId="8" xfId="52" applyNumberFormat="1" applyFont="1" applyFill="1" applyBorder="1" applyAlignment="1" applyProtection="1">
      <alignment horizontal="center" vertical="center" wrapText="1"/>
    </xf>
    <xf numFmtId="49" fontId="18" fillId="0" borderId="8" xfId="52" applyNumberFormat="1" applyFont="1" applyFill="1" applyBorder="1" applyAlignment="1" applyProtection="1">
      <alignment horizontal="center" vertical="center" wrapText="1"/>
    </xf>
    <xf numFmtId="49" fontId="59" fillId="0" borderId="8" xfId="52" applyNumberFormat="1" applyFont="1" applyFill="1" applyBorder="1" applyAlignment="1" applyProtection="1">
      <alignment horizontal="center" vertical="center"/>
    </xf>
    <xf numFmtId="0" fontId="57" fillId="0" borderId="0" xfId="52" applyNumberFormat="1" applyFont="1" applyFill="1" applyBorder="1" applyAlignment="1" applyProtection="1">
      <alignment wrapText="1"/>
    </xf>
    <xf numFmtId="0" fontId="59" fillId="0" borderId="0" xfId="52" applyNumberFormat="1" applyFont="1" applyFill="1" applyBorder="1" applyAlignment="1" applyProtection="1">
      <alignment wrapText="1"/>
    </xf>
    <xf numFmtId="49" fontId="68" fillId="0" borderId="8" xfId="52" applyNumberFormat="1" applyFont="1" applyFill="1" applyBorder="1" applyAlignment="1" applyProtection="1">
      <alignment horizontal="center" vertical="top" wrapText="1"/>
    </xf>
    <xf numFmtId="49" fontId="68" fillId="0" borderId="8" xfId="52" applyNumberFormat="1" applyFont="1" applyFill="1" applyBorder="1" applyAlignment="1" applyProtection="1">
      <alignment horizontal="left" vertical="top" wrapText="1"/>
    </xf>
    <xf numFmtId="166" fontId="68" fillId="0" borderId="8" xfId="52" applyNumberFormat="1" applyFont="1" applyFill="1" applyBorder="1" applyAlignment="1" applyProtection="1">
      <alignment horizontal="center" vertical="top" wrapText="1"/>
    </xf>
    <xf numFmtId="4" fontId="68" fillId="0" borderId="8" xfId="52" applyNumberFormat="1" applyFont="1" applyFill="1" applyBorder="1" applyAlignment="1" applyProtection="1">
      <alignment horizontal="right" vertical="top" wrapText="1"/>
    </xf>
    <xf numFmtId="4" fontId="66" fillId="0" borderId="8" xfId="52" applyNumberFormat="1" applyFont="1" applyFill="1" applyBorder="1" applyAlignment="1" applyProtection="1">
      <alignment horizontal="right" vertical="top" wrapText="1"/>
    </xf>
    <xf numFmtId="1" fontId="68" fillId="0" borderId="8" xfId="52" applyNumberFormat="1" applyFont="1" applyFill="1" applyBorder="1" applyAlignment="1" applyProtection="1">
      <alignment horizontal="right" vertical="top" wrapText="1"/>
    </xf>
    <xf numFmtId="49" fontId="56" fillId="0" borderId="57" xfId="52" applyNumberFormat="1" applyFont="1" applyFill="1" applyBorder="1" applyAlignment="1" applyProtection="1">
      <alignment horizontal="center" vertical="top" wrapText="1"/>
    </xf>
    <xf numFmtId="49" fontId="56" fillId="0" borderId="59" xfId="52" applyNumberFormat="1" applyFont="1" applyFill="1" applyBorder="1" applyAlignment="1" applyProtection="1">
      <alignment horizontal="left" vertical="top" wrapText="1"/>
    </xf>
    <xf numFmtId="49" fontId="56" fillId="0" borderId="59" xfId="52" applyNumberFormat="1" applyFont="1" applyFill="1" applyBorder="1" applyAlignment="1" applyProtection="1">
      <alignment vertical="top"/>
    </xf>
    <xf numFmtId="49" fontId="56" fillId="0" borderId="59" xfId="52" applyNumberFormat="1" applyFont="1" applyFill="1" applyBorder="1" applyAlignment="1" applyProtection="1">
      <alignment vertical="top" wrapText="1"/>
    </xf>
    <xf numFmtId="49" fontId="56" fillId="0" borderId="26" xfId="52" applyNumberFormat="1" applyFont="1" applyFill="1" applyBorder="1" applyAlignment="1" applyProtection="1">
      <alignment vertical="top" wrapText="1"/>
    </xf>
    <xf numFmtId="49" fontId="56" fillId="0" borderId="60" xfId="52" applyNumberFormat="1" applyFont="1" applyFill="1" applyBorder="1" applyAlignment="1" applyProtection="1">
      <alignment vertical="top" wrapText="1"/>
    </xf>
    <xf numFmtId="1" fontId="68" fillId="0" borderId="8" xfId="52" applyNumberFormat="1" applyFont="1" applyFill="1" applyBorder="1" applyAlignment="1" applyProtection="1">
      <alignment horizontal="center" vertical="top" wrapText="1"/>
    </xf>
    <xf numFmtId="166" fontId="68" fillId="0" borderId="8" xfId="52" applyNumberFormat="1" applyFont="1" applyFill="1" applyBorder="1" applyAlignment="1" applyProtection="1">
      <alignment horizontal="right" vertical="top" wrapText="1"/>
    </xf>
    <xf numFmtId="2" fontId="68" fillId="0" borderId="8" xfId="52" applyNumberFormat="1" applyFont="1" applyFill="1" applyBorder="1" applyAlignment="1" applyProtection="1">
      <alignment horizontal="right" vertical="top" wrapText="1"/>
    </xf>
    <xf numFmtId="49" fontId="56" fillId="0" borderId="59" xfId="52" applyNumberFormat="1" applyFont="1" applyFill="1" applyBorder="1" applyAlignment="1" applyProtection="1">
      <alignment horizontal="right" vertical="top" wrapText="1"/>
    </xf>
    <xf numFmtId="49" fontId="49" fillId="0" borderId="28" xfId="52" applyNumberFormat="1" applyFont="1" applyFill="1" applyBorder="1" applyAlignment="1" applyProtection="1">
      <alignment horizontal="right" vertical="top" wrapText="1"/>
    </xf>
    <xf numFmtId="0" fontId="56" fillId="0" borderId="28" xfId="52" applyNumberFormat="1" applyFont="1" applyFill="1" applyBorder="1" applyAlignment="1" applyProtection="1">
      <alignment horizontal="center" vertical="top" wrapText="1"/>
    </xf>
    <xf numFmtId="4" fontId="49" fillId="0" borderId="28" xfId="52" applyNumberFormat="1" applyFont="1" applyFill="1" applyBorder="1" applyAlignment="1" applyProtection="1">
      <alignment horizontal="right" vertical="top" wrapText="1"/>
    </xf>
    <xf numFmtId="0" fontId="49" fillId="0" borderId="28" xfId="52" applyNumberFormat="1" applyFont="1" applyFill="1" applyBorder="1" applyAlignment="1" applyProtection="1">
      <alignment horizontal="right" vertical="top" wrapText="1"/>
    </xf>
    <xf numFmtId="0" fontId="49" fillId="0" borderId="26" xfId="52" applyNumberFormat="1" applyFont="1" applyFill="1" applyBorder="1" applyAlignment="1" applyProtection="1">
      <alignment horizontal="right" vertical="top" wrapText="1"/>
    </xf>
    <xf numFmtId="2" fontId="68" fillId="0" borderId="8" xfId="52" applyNumberFormat="1" applyFont="1" applyFill="1" applyBorder="1" applyAlignment="1" applyProtection="1">
      <alignment horizontal="center" vertical="top" wrapText="1"/>
    </xf>
    <xf numFmtId="165" fontId="68" fillId="0" borderId="8" xfId="52" applyNumberFormat="1" applyFont="1" applyFill="1" applyBorder="1" applyAlignment="1" applyProtection="1">
      <alignment horizontal="center" vertical="top" wrapText="1"/>
    </xf>
    <xf numFmtId="0" fontId="68" fillId="0" borderId="8" xfId="52" applyNumberFormat="1" applyFont="1" applyFill="1" applyBorder="1" applyAlignment="1" applyProtection="1">
      <alignment horizontal="right" vertical="top" wrapText="1"/>
    </xf>
    <xf numFmtId="4" fontId="56" fillId="0" borderId="8" xfId="52" applyNumberFormat="1" applyFont="1" applyFill="1" applyBorder="1" applyAlignment="1" applyProtection="1">
      <alignment horizontal="right" vertical="top" wrapText="1"/>
    </xf>
    <xf numFmtId="0" fontId="56" fillId="0" borderId="8" xfId="52" applyNumberFormat="1" applyFont="1" applyFill="1" applyBorder="1" applyAlignment="1" applyProtection="1">
      <alignment horizontal="right" vertical="top" wrapText="1"/>
    </xf>
    <xf numFmtId="2" fontId="56" fillId="0" borderId="8" xfId="52" applyNumberFormat="1" applyFont="1" applyFill="1" applyBorder="1" applyAlignment="1" applyProtection="1">
      <alignment horizontal="right" vertical="top" wrapText="1"/>
    </xf>
    <xf numFmtId="167" fontId="68" fillId="0" borderId="8" xfId="52" applyNumberFormat="1" applyFont="1" applyFill="1" applyBorder="1" applyAlignment="1" applyProtection="1">
      <alignment horizontal="center" vertical="top" wrapText="1"/>
    </xf>
    <xf numFmtId="49" fontId="65" fillId="0" borderId="28" xfId="52" applyNumberFormat="1" applyFont="1" applyFill="1" applyBorder="1" applyAlignment="1" applyProtection="1">
      <alignment horizontal="right" vertical="top" wrapText="1"/>
    </xf>
    <xf numFmtId="0" fontId="75" fillId="0" borderId="28" xfId="52" applyNumberFormat="1" applyFont="1" applyFill="1" applyBorder="1" applyAlignment="1" applyProtection="1">
      <alignment horizontal="center" vertical="top" wrapText="1"/>
    </xf>
    <xf numFmtId="4" fontId="65" fillId="0" borderId="28" xfId="52" applyNumberFormat="1" applyFont="1" applyFill="1" applyBorder="1" applyAlignment="1" applyProtection="1">
      <alignment horizontal="right" vertical="top" wrapText="1"/>
    </xf>
    <xf numFmtId="0" fontId="65" fillId="0" borderId="28" xfId="52" applyNumberFormat="1" applyFont="1" applyFill="1" applyBorder="1" applyAlignment="1" applyProtection="1">
      <alignment horizontal="right" vertical="top" wrapText="1"/>
    </xf>
    <xf numFmtId="0" fontId="65" fillId="0" borderId="26" xfId="52" applyNumberFormat="1" applyFont="1" applyFill="1" applyBorder="1" applyAlignment="1" applyProtection="1">
      <alignment horizontal="right" vertical="top" wrapText="1"/>
    </xf>
    <xf numFmtId="167" fontId="68" fillId="0" borderId="8" xfId="52" applyNumberFormat="1" applyFont="1" applyFill="1" applyBorder="1" applyAlignment="1" applyProtection="1">
      <alignment horizontal="right" vertical="top" wrapText="1"/>
    </xf>
    <xf numFmtId="165" fontId="68" fillId="0" borderId="8" xfId="52" applyNumberFormat="1" applyFont="1" applyFill="1" applyBorder="1" applyAlignment="1" applyProtection="1">
      <alignment horizontal="right" vertical="top" wrapText="1"/>
    </xf>
    <xf numFmtId="49" fontId="76" fillId="0" borderId="58" xfId="52" applyNumberFormat="1" applyFont="1" applyFill="1" applyBorder="1" applyAlignment="1" applyProtection="1">
      <alignment horizontal="right" vertical="top" wrapText="1"/>
    </xf>
    <xf numFmtId="49" fontId="76" fillId="0" borderId="28" xfId="52" applyNumberFormat="1" applyFont="1" applyFill="1" applyBorder="1" applyAlignment="1" applyProtection="1">
      <alignment horizontal="right" vertical="top" wrapText="1"/>
    </xf>
    <xf numFmtId="0" fontId="76" fillId="0" borderId="28" xfId="52" applyNumberFormat="1" applyFont="1" applyFill="1" applyBorder="1" applyAlignment="1" applyProtection="1">
      <alignment horizontal="center" vertical="top" wrapText="1"/>
    </xf>
    <xf numFmtId="4" fontId="76" fillId="0" borderId="28" xfId="52" applyNumberFormat="1" applyFont="1" applyFill="1" applyBorder="1" applyAlignment="1" applyProtection="1">
      <alignment horizontal="right" vertical="top" wrapText="1"/>
    </xf>
    <xf numFmtId="0" fontId="76" fillId="0" borderId="28" xfId="52" applyNumberFormat="1" applyFont="1" applyFill="1" applyBorder="1" applyAlignment="1" applyProtection="1">
      <alignment horizontal="right" vertical="top" wrapText="1"/>
    </xf>
    <xf numFmtId="0" fontId="76" fillId="0" borderId="26" xfId="52" applyNumberFormat="1" applyFont="1" applyFill="1" applyBorder="1" applyAlignment="1" applyProtection="1">
      <alignment horizontal="right" vertical="top" wrapText="1"/>
    </xf>
    <xf numFmtId="0" fontId="76" fillId="0" borderId="0" xfId="52" applyNumberFormat="1" applyFont="1" applyFill="1" applyBorder="1" applyAlignment="1" applyProtection="1">
      <alignment wrapText="1"/>
    </xf>
    <xf numFmtId="165" fontId="56" fillId="0" borderId="8" xfId="52" applyNumberFormat="1" applyFont="1" applyFill="1" applyBorder="1" applyAlignment="1" applyProtection="1">
      <alignment horizontal="right" vertical="top" wrapText="1"/>
    </xf>
    <xf numFmtId="177" fontId="68" fillId="0" borderId="8" xfId="52" applyNumberFormat="1" applyFont="1" applyFill="1" applyBorder="1" applyAlignment="1" applyProtection="1">
      <alignment horizontal="center" vertical="top" wrapText="1"/>
    </xf>
    <xf numFmtId="0" fontId="75" fillId="0" borderId="0" xfId="52" applyNumberFormat="1" applyFont="1" applyFill="1" applyBorder="1" applyAlignment="1" applyProtection="1"/>
    <xf numFmtId="49" fontId="49" fillId="0" borderId="0" xfId="52" applyNumberFormat="1" applyFont="1" applyFill="1" applyBorder="1" applyAlignment="1" applyProtection="1">
      <alignment horizontal="right" vertical="top"/>
    </xf>
    <xf numFmtId="49" fontId="49" fillId="0" borderId="0" xfId="52" applyNumberFormat="1" applyFont="1" applyFill="1" applyBorder="1" applyAlignment="1" applyProtection="1">
      <alignment horizontal="left" vertical="top"/>
    </xf>
    <xf numFmtId="49" fontId="49" fillId="0" borderId="0" xfId="52" applyNumberFormat="1" applyFont="1" applyFill="1" applyBorder="1" applyAlignment="1" applyProtection="1">
      <alignment vertical="top" wrapText="1"/>
    </xf>
    <xf numFmtId="49" fontId="56" fillId="0" borderId="59" xfId="52" applyNumberFormat="1" applyFont="1" applyFill="1" applyBorder="1" applyAlignment="1" applyProtection="1">
      <alignment horizontal="center"/>
    </xf>
    <xf numFmtId="49" fontId="49" fillId="0" borderId="0" xfId="52" applyNumberFormat="1" applyFont="1" applyFill="1" applyBorder="1" applyAlignment="1" applyProtection="1">
      <alignment horizontal="center"/>
    </xf>
    <xf numFmtId="4" fontId="49" fillId="0" borderId="59" xfId="52" applyNumberFormat="1" applyFont="1" applyFill="1" applyBorder="1" applyAlignment="1" applyProtection="1"/>
    <xf numFmtId="4" fontId="49" fillId="0" borderId="0" xfId="52" applyNumberFormat="1" applyFont="1" applyFill="1" applyBorder="1" applyAlignment="1" applyProtection="1"/>
    <xf numFmtId="49" fontId="49" fillId="0" borderId="59" xfId="52" applyNumberFormat="1" applyFont="1" applyFill="1" applyBorder="1" applyAlignment="1" applyProtection="1">
      <alignment horizontal="right"/>
    </xf>
    <xf numFmtId="49" fontId="56" fillId="0" borderId="28" xfId="52" applyNumberFormat="1" applyFont="1" applyFill="1" applyBorder="1" applyAlignment="1" applyProtection="1">
      <alignment horizontal="right"/>
    </xf>
    <xf numFmtId="49" fontId="56" fillId="0" borderId="0" xfId="52" applyNumberFormat="1" applyFont="1" applyFill="1" applyBorder="1" applyAlignment="1" applyProtection="1">
      <alignment vertical="center"/>
    </xf>
    <xf numFmtId="0" fontId="56" fillId="0" borderId="8" xfId="52" applyNumberFormat="1" applyFont="1" applyFill="1" applyBorder="1" applyAlignment="1" applyProtection="1">
      <alignment horizontal="center" vertical="center" wrapText="1"/>
    </xf>
    <xf numFmtId="49" fontId="56" fillId="0" borderId="8" xfId="52" applyNumberFormat="1" applyFont="1" applyFill="1" applyBorder="1" applyAlignment="1" applyProtection="1">
      <alignment horizontal="center" vertical="center"/>
    </xf>
    <xf numFmtId="0" fontId="56" fillId="0" borderId="8" xfId="52" applyNumberFormat="1" applyFont="1" applyFill="1" applyBorder="1" applyAlignment="1" applyProtection="1">
      <alignment horizontal="center" vertical="center"/>
    </xf>
    <xf numFmtId="0" fontId="67" fillId="0" borderId="0" xfId="52" applyNumberFormat="1" applyFont="1" applyFill="1" applyBorder="1" applyAlignment="1" applyProtection="1">
      <alignment wrapText="1"/>
    </xf>
    <xf numFmtId="167" fontId="68" fillId="0" borderId="38" xfId="52" applyNumberFormat="1" applyFont="1" applyFill="1" applyBorder="1" applyAlignment="1" applyProtection="1">
      <alignment horizontal="center" vertical="top" wrapText="1"/>
    </xf>
    <xf numFmtId="49" fontId="56" fillId="0" borderId="58" xfId="52" applyNumberFormat="1" applyFont="1" applyFill="1" applyBorder="1" applyAlignment="1" applyProtection="1">
      <alignment horizontal="center" vertical="center" wrapText="1"/>
    </xf>
    <xf numFmtId="49" fontId="56" fillId="0" borderId="0" xfId="52" applyNumberFormat="1" applyFont="1" applyFill="1" applyBorder="1" applyAlignment="1" applyProtection="1">
      <alignment horizontal="center" vertical="top" wrapText="1"/>
    </xf>
    <xf numFmtId="4" fontId="56" fillId="0" borderId="43" xfId="52" applyNumberFormat="1" applyFont="1" applyFill="1" applyBorder="1" applyAlignment="1" applyProtection="1">
      <alignment horizontal="right" vertical="top" wrapText="1"/>
    </xf>
    <xf numFmtId="49" fontId="56" fillId="0" borderId="58" xfId="52" applyNumberFormat="1" applyFont="1" applyFill="1" applyBorder="1" applyAlignment="1" applyProtection="1">
      <alignment horizontal="right" vertical="top" wrapText="1"/>
    </xf>
    <xf numFmtId="175" fontId="56" fillId="0" borderId="0" xfId="52" applyNumberFormat="1" applyFont="1" applyFill="1" applyBorder="1" applyAlignment="1" applyProtection="1">
      <alignment horizontal="center" vertical="top" wrapText="1"/>
    </xf>
    <xf numFmtId="0" fontId="56" fillId="0" borderId="43" xfId="52" applyNumberFormat="1" applyFont="1" applyFill="1" applyBorder="1" applyAlignment="1" applyProtection="1">
      <alignment horizontal="right" vertical="top" wrapText="1"/>
    </xf>
    <xf numFmtId="49" fontId="56" fillId="0" borderId="38" xfId="52" applyNumberFormat="1" applyFont="1" applyFill="1" applyBorder="1" applyAlignment="1" applyProtection="1">
      <alignment horizontal="center" vertical="top" wrapText="1"/>
    </xf>
    <xf numFmtId="4" fontId="56" fillId="0" borderId="38" xfId="52" applyNumberFormat="1" applyFont="1" applyFill="1" applyBorder="1" applyAlignment="1" applyProtection="1">
      <alignment horizontal="right" vertical="top" wrapText="1"/>
    </xf>
    <xf numFmtId="4" fontId="56" fillId="0" borderId="45" xfId="52" applyNumberFormat="1" applyFont="1" applyFill="1" applyBorder="1" applyAlignment="1" applyProtection="1">
      <alignment horizontal="right" vertical="top" wrapText="1"/>
    </xf>
    <xf numFmtId="1" fontId="56" fillId="0" borderId="0" xfId="52" applyNumberFormat="1" applyFont="1" applyFill="1" applyBorder="1" applyAlignment="1" applyProtection="1">
      <alignment horizontal="center" vertical="top" wrapText="1"/>
    </xf>
    <xf numFmtId="178" fontId="56" fillId="0" borderId="0" xfId="52" applyNumberFormat="1" applyFont="1" applyFill="1" applyBorder="1" applyAlignment="1" applyProtection="1">
      <alignment horizontal="center" vertical="top" wrapText="1"/>
    </xf>
    <xf numFmtId="2" fontId="56" fillId="0" borderId="38" xfId="52" applyNumberFormat="1" applyFont="1" applyFill="1" applyBorder="1" applyAlignment="1" applyProtection="1">
      <alignment horizontal="right" vertical="top" wrapText="1"/>
    </xf>
    <xf numFmtId="2" fontId="56" fillId="0" borderId="43" xfId="52" applyNumberFormat="1" applyFont="1" applyFill="1" applyBorder="1" applyAlignment="1" applyProtection="1">
      <alignment horizontal="right" vertical="top" wrapText="1"/>
    </xf>
    <xf numFmtId="166" fontId="68" fillId="0" borderId="38" xfId="52" applyNumberFormat="1" applyFont="1" applyFill="1" applyBorder="1" applyAlignment="1" applyProtection="1">
      <alignment horizontal="center" vertical="top" wrapText="1"/>
    </xf>
    <xf numFmtId="2" fontId="68" fillId="0" borderId="38" xfId="52" applyNumberFormat="1" applyFont="1" applyFill="1" applyBorder="1" applyAlignment="1" applyProtection="1">
      <alignment horizontal="center" vertical="top" wrapText="1"/>
    </xf>
    <xf numFmtId="2" fontId="56" fillId="0" borderId="45" xfId="52" applyNumberFormat="1" applyFont="1" applyFill="1" applyBorder="1" applyAlignment="1" applyProtection="1">
      <alignment horizontal="right" vertical="top" wrapText="1"/>
    </xf>
    <xf numFmtId="2" fontId="68" fillId="0" borderId="45" xfId="52" applyNumberFormat="1" applyFont="1" applyFill="1" applyBorder="1" applyAlignment="1" applyProtection="1">
      <alignment horizontal="right" vertical="top" wrapText="1"/>
    </xf>
    <xf numFmtId="177" fontId="56" fillId="0" borderId="0" xfId="52" applyNumberFormat="1" applyFont="1" applyFill="1" applyBorder="1" applyAlignment="1" applyProtection="1">
      <alignment horizontal="center" vertical="top" wrapText="1"/>
    </xf>
    <xf numFmtId="49" fontId="77" fillId="0" borderId="57" xfId="52" applyNumberFormat="1" applyFont="1" applyFill="1" applyBorder="1" applyAlignment="1" applyProtection="1">
      <alignment horizontal="center" vertical="top" wrapText="1"/>
    </xf>
    <xf numFmtId="49" fontId="77" fillId="0" borderId="38" xfId="52" applyNumberFormat="1" applyFont="1" applyFill="1" applyBorder="1" applyAlignment="1" applyProtection="1">
      <alignment horizontal="left" vertical="top" wrapText="1"/>
    </xf>
    <xf numFmtId="49" fontId="77" fillId="0" borderId="38" xfId="52" applyNumberFormat="1" applyFont="1" applyFill="1" applyBorder="1" applyAlignment="1" applyProtection="1">
      <alignment horizontal="center" vertical="top" wrapText="1"/>
    </xf>
    <xf numFmtId="0" fontId="77" fillId="0" borderId="38" xfId="52" applyNumberFormat="1" applyFont="1" applyFill="1" applyBorder="1" applyAlignment="1" applyProtection="1">
      <alignment horizontal="center" vertical="top" wrapText="1"/>
    </xf>
    <xf numFmtId="1" fontId="77" fillId="0" borderId="38" xfId="52" applyNumberFormat="1" applyFont="1" applyFill="1" applyBorder="1" applyAlignment="1" applyProtection="1">
      <alignment horizontal="center" vertical="top" wrapText="1"/>
    </xf>
    <xf numFmtId="166" fontId="77" fillId="0" borderId="38" xfId="52" applyNumberFormat="1" applyFont="1" applyFill="1" applyBorder="1" applyAlignment="1" applyProtection="1">
      <alignment horizontal="center" vertical="top" wrapText="1"/>
    </xf>
    <xf numFmtId="2" fontId="77" fillId="0" borderId="38" xfId="52" applyNumberFormat="1" applyFont="1" applyFill="1" applyBorder="1" applyAlignment="1" applyProtection="1">
      <alignment horizontal="right" vertical="top" wrapText="1"/>
    </xf>
    <xf numFmtId="4" fontId="77" fillId="0" borderId="38" xfId="52" applyNumberFormat="1" applyFont="1" applyFill="1" applyBorder="1" applyAlignment="1" applyProtection="1">
      <alignment horizontal="right" vertical="top" wrapText="1"/>
    </xf>
    <xf numFmtId="2" fontId="77" fillId="0" borderId="38" xfId="52" applyNumberFormat="1" applyFont="1" applyFill="1" applyBorder="1" applyAlignment="1" applyProtection="1">
      <alignment horizontal="center" vertical="top" wrapText="1"/>
    </xf>
    <xf numFmtId="4" fontId="77" fillId="0" borderId="45" xfId="52" applyNumberFormat="1" applyFont="1" applyFill="1" applyBorder="1" applyAlignment="1" applyProtection="1">
      <alignment horizontal="right" vertical="top" wrapText="1"/>
    </xf>
    <xf numFmtId="0" fontId="77" fillId="0" borderId="0" xfId="52" applyNumberFormat="1" applyFont="1" applyFill="1" applyBorder="1" applyAlignment="1" applyProtection="1">
      <alignment wrapText="1"/>
    </xf>
    <xf numFmtId="49" fontId="77" fillId="0" borderId="58" xfId="52" applyNumberFormat="1" applyFont="1" applyFill="1" applyBorder="1" applyAlignment="1" applyProtection="1">
      <alignment horizontal="center" vertical="top" wrapText="1"/>
    </xf>
    <xf numFmtId="49" fontId="77" fillId="0" borderId="0" xfId="52" applyNumberFormat="1" applyFont="1" applyFill="1" applyBorder="1" applyAlignment="1" applyProtection="1">
      <alignment horizontal="left" vertical="top" wrapText="1"/>
    </xf>
    <xf numFmtId="0" fontId="77" fillId="0" borderId="38" xfId="52" applyNumberFormat="1" applyFont="1" applyFill="1" applyBorder="1" applyAlignment="1" applyProtection="1">
      <alignment horizontal="right" vertical="top" wrapText="1"/>
    </xf>
    <xf numFmtId="0" fontId="76" fillId="0" borderId="38" xfId="52" applyNumberFormat="1" applyFont="1" applyFill="1" applyBorder="1" applyAlignment="1" applyProtection="1">
      <alignment horizontal="center" vertical="top" wrapText="1"/>
    </xf>
    <xf numFmtId="167" fontId="77" fillId="0" borderId="38" xfId="52" applyNumberFormat="1" applyFont="1" applyFill="1" applyBorder="1" applyAlignment="1" applyProtection="1">
      <alignment horizontal="center" vertical="top" wrapText="1"/>
    </xf>
    <xf numFmtId="167" fontId="56" fillId="0" borderId="0" xfId="52" applyNumberFormat="1" applyFont="1" applyFill="1" applyBorder="1" applyAlignment="1" applyProtection="1">
      <alignment horizontal="center" vertical="top" wrapText="1"/>
    </xf>
    <xf numFmtId="178" fontId="68" fillId="0" borderId="38" xfId="52" applyNumberFormat="1" applyFont="1" applyFill="1" applyBorder="1" applyAlignment="1" applyProtection="1">
      <alignment horizontal="center" vertical="top" wrapText="1"/>
    </xf>
    <xf numFmtId="0" fontId="77" fillId="0" borderId="45" xfId="52" applyNumberFormat="1" applyFont="1" applyFill="1" applyBorder="1" applyAlignment="1" applyProtection="1">
      <alignment horizontal="right" vertical="top" wrapText="1"/>
    </xf>
    <xf numFmtId="49" fontId="76" fillId="0" borderId="58" xfId="52" applyNumberFormat="1" applyFont="1" applyFill="1" applyBorder="1" applyAlignment="1" applyProtection="1">
      <alignment vertical="center" wrapText="1"/>
    </xf>
    <xf numFmtId="49" fontId="76" fillId="0" borderId="0" xfId="52" applyNumberFormat="1" applyFont="1" applyFill="1" applyBorder="1" applyAlignment="1" applyProtection="1">
      <alignment horizontal="right" vertical="top" wrapText="1"/>
    </xf>
    <xf numFmtId="49" fontId="76" fillId="0" borderId="58" xfId="52" applyNumberFormat="1" applyFont="1" applyFill="1" applyBorder="1" applyAlignment="1" applyProtection="1">
      <alignment horizontal="center" vertical="center" wrapText="1"/>
    </xf>
    <xf numFmtId="49" fontId="76" fillId="0" borderId="0" xfId="52" applyNumberFormat="1" applyFont="1" applyFill="1" applyBorder="1" applyAlignment="1" applyProtection="1">
      <alignment horizontal="center" vertical="top" wrapText="1"/>
    </xf>
    <xf numFmtId="0" fontId="76" fillId="0" borderId="0" xfId="52" applyNumberFormat="1" applyFont="1" applyFill="1" applyBorder="1" applyAlignment="1" applyProtection="1">
      <alignment horizontal="center" vertical="top" wrapText="1"/>
    </xf>
    <xf numFmtId="2" fontId="76" fillId="0" borderId="0" xfId="52" applyNumberFormat="1" applyFont="1" applyFill="1" applyBorder="1" applyAlignment="1" applyProtection="1">
      <alignment horizontal="right" vertical="top" wrapText="1"/>
    </xf>
    <xf numFmtId="165" fontId="76" fillId="0" borderId="0" xfId="52" applyNumberFormat="1" applyFont="1" applyFill="1" applyBorder="1" applyAlignment="1" applyProtection="1">
      <alignment horizontal="center" vertical="top" wrapText="1"/>
    </xf>
    <xf numFmtId="2" fontId="76" fillId="0" borderId="0" xfId="52" applyNumberFormat="1" applyFont="1" applyFill="1" applyBorder="1" applyAlignment="1" applyProtection="1">
      <alignment horizontal="center" vertical="top" wrapText="1"/>
    </xf>
    <xf numFmtId="4" fontId="76" fillId="0" borderId="43" xfId="52" applyNumberFormat="1" applyFont="1" applyFill="1" applyBorder="1" applyAlignment="1" applyProtection="1">
      <alignment horizontal="right" vertical="top" wrapText="1"/>
    </xf>
    <xf numFmtId="2" fontId="76" fillId="0" borderId="43" xfId="52" applyNumberFormat="1" applyFont="1" applyFill="1" applyBorder="1" applyAlignment="1" applyProtection="1">
      <alignment horizontal="right" vertical="top" wrapText="1"/>
    </xf>
    <xf numFmtId="166" fontId="76" fillId="0" borderId="0" xfId="52" applyNumberFormat="1" applyFont="1" applyFill="1" applyBorder="1" applyAlignment="1" applyProtection="1">
      <alignment horizontal="center" vertical="top" wrapText="1"/>
    </xf>
    <xf numFmtId="0" fontId="76" fillId="0" borderId="0" xfId="52" applyNumberFormat="1" applyFont="1" applyFill="1" applyBorder="1" applyAlignment="1" applyProtection="1">
      <alignment horizontal="right" vertical="top" wrapText="1"/>
    </xf>
    <xf numFmtId="0" fontId="76" fillId="0" borderId="43" xfId="52" applyNumberFormat="1" applyFont="1" applyFill="1" applyBorder="1" applyAlignment="1" applyProtection="1">
      <alignment horizontal="right" vertical="top" wrapText="1"/>
    </xf>
    <xf numFmtId="49" fontId="76" fillId="0" borderId="38" xfId="52" applyNumberFormat="1" applyFont="1" applyFill="1" applyBorder="1" applyAlignment="1" applyProtection="1">
      <alignment horizontal="center" vertical="top" wrapText="1"/>
    </xf>
    <xf numFmtId="2" fontId="76" fillId="0" borderId="38" xfId="52" applyNumberFormat="1" applyFont="1" applyFill="1" applyBorder="1" applyAlignment="1" applyProtection="1">
      <alignment horizontal="right" vertical="top" wrapText="1"/>
    </xf>
    <xf numFmtId="4" fontId="76" fillId="0" borderId="45" xfId="52" applyNumberFormat="1" applyFont="1" applyFill="1" applyBorder="1" applyAlignment="1" applyProtection="1">
      <alignment horizontal="right" vertical="top" wrapText="1"/>
    </xf>
    <xf numFmtId="1" fontId="76" fillId="0" borderId="0" xfId="52" applyNumberFormat="1" applyFont="1" applyFill="1" applyBorder="1" applyAlignment="1" applyProtection="1">
      <alignment horizontal="center" vertical="top" wrapText="1"/>
    </xf>
    <xf numFmtId="49" fontId="76" fillId="0" borderId="58" xfId="52" applyNumberFormat="1" applyFont="1" applyFill="1" applyBorder="1" applyAlignment="1" applyProtection="1">
      <alignment horizontal="center" vertical="top" wrapText="1"/>
    </xf>
    <xf numFmtId="49" fontId="76" fillId="0" borderId="0" xfId="52" applyNumberFormat="1" applyFont="1" applyFill="1" applyBorder="1" applyAlignment="1" applyProtection="1">
      <alignment horizontal="left" vertical="top" wrapText="1"/>
    </xf>
    <xf numFmtId="4" fontId="76" fillId="0" borderId="0" xfId="52" applyNumberFormat="1" applyFont="1" applyFill="1" applyBorder="1" applyAlignment="1" applyProtection="1">
      <alignment horizontal="right" vertical="top" wrapText="1"/>
    </xf>
    <xf numFmtId="4" fontId="76" fillId="0" borderId="38" xfId="52" applyNumberFormat="1" applyFont="1" applyFill="1" applyBorder="1" applyAlignment="1" applyProtection="1">
      <alignment horizontal="right" vertical="top" wrapText="1"/>
    </xf>
    <xf numFmtId="2" fontId="76" fillId="0" borderId="45" xfId="52" applyNumberFormat="1" applyFont="1" applyFill="1" applyBorder="1" applyAlignment="1" applyProtection="1">
      <alignment horizontal="right" vertical="top" wrapText="1"/>
    </xf>
    <xf numFmtId="2" fontId="77" fillId="0" borderId="45" xfId="52" applyNumberFormat="1" applyFont="1" applyFill="1" applyBorder="1" applyAlignment="1" applyProtection="1">
      <alignment horizontal="right" vertical="top" wrapText="1"/>
    </xf>
    <xf numFmtId="165" fontId="77" fillId="0" borderId="38" xfId="52" applyNumberFormat="1" applyFont="1" applyFill="1" applyBorder="1" applyAlignment="1" applyProtection="1">
      <alignment horizontal="center" vertical="top" wrapText="1"/>
    </xf>
    <xf numFmtId="49" fontId="56" fillId="0" borderId="57" xfId="52" applyNumberFormat="1" applyFont="1" applyFill="1" applyBorder="1" applyAlignment="1" applyProtection="1"/>
    <xf numFmtId="49" fontId="68" fillId="0" borderId="38" xfId="52" applyNumberFormat="1" applyFont="1" applyFill="1" applyBorder="1" applyAlignment="1" applyProtection="1">
      <alignment horizontal="right" vertical="top" wrapText="1"/>
    </xf>
    <xf numFmtId="0" fontId="68" fillId="0" borderId="38" xfId="52" applyNumberFormat="1" applyFont="1" applyFill="1" applyBorder="1" applyAlignment="1" applyProtection="1">
      <alignment horizontal="right" vertical="top"/>
    </xf>
    <xf numFmtId="0" fontId="68" fillId="0" borderId="38" xfId="52" applyNumberFormat="1" applyFont="1" applyFill="1" applyBorder="1" applyAlignment="1" applyProtection="1">
      <alignment horizontal="center" vertical="top"/>
    </xf>
    <xf numFmtId="0" fontId="68" fillId="0" borderId="45" xfId="52" applyNumberFormat="1" applyFont="1" applyFill="1" applyBorder="1" applyAlignment="1" applyProtection="1">
      <alignment horizontal="right" vertical="top"/>
    </xf>
    <xf numFmtId="4" fontId="56" fillId="0" borderId="0" xfId="52" applyNumberFormat="1" applyFont="1" applyFill="1" applyBorder="1" applyAlignment="1" applyProtection="1">
      <alignment horizontal="right" vertical="top"/>
    </xf>
    <xf numFmtId="0" fontId="56" fillId="0" borderId="0" xfId="52" applyNumberFormat="1" applyFont="1" applyFill="1" applyBorder="1" applyAlignment="1" applyProtection="1">
      <alignment horizontal="center" vertical="top"/>
    </xf>
    <xf numFmtId="0" fontId="56" fillId="0" borderId="0" xfId="52" applyNumberFormat="1" applyFont="1" applyFill="1" applyBorder="1" applyAlignment="1" applyProtection="1">
      <alignment horizontal="right" vertical="top"/>
    </xf>
    <xf numFmtId="2" fontId="56" fillId="0" borderId="0" xfId="52" applyNumberFormat="1" applyFont="1" applyFill="1" applyBorder="1" applyAlignment="1" applyProtection="1">
      <alignment horizontal="right" vertical="top"/>
    </xf>
    <xf numFmtId="0" fontId="68" fillId="0" borderId="0" xfId="52" applyNumberFormat="1" applyFont="1" applyFill="1" applyBorder="1" applyAlignment="1" applyProtection="1">
      <alignment horizontal="center" vertical="top"/>
    </xf>
    <xf numFmtId="0" fontId="68" fillId="0" borderId="0" xfId="52" applyNumberFormat="1" applyFont="1" applyFill="1" applyBorder="1" applyAlignment="1" applyProtection="1">
      <alignment horizontal="right" vertical="top"/>
    </xf>
    <xf numFmtId="2" fontId="56" fillId="0" borderId="43" xfId="52" applyNumberFormat="1" applyFont="1" applyFill="1" applyBorder="1" applyAlignment="1" applyProtection="1">
      <alignment horizontal="right" vertical="top"/>
    </xf>
    <xf numFmtId="166" fontId="56" fillId="0" borderId="0" xfId="52" applyNumberFormat="1" applyFont="1" applyFill="1" applyBorder="1" applyAlignment="1" applyProtection="1">
      <alignment horizontal="center" vertical="top" wrapText="1"/>
    </xf>
    <xf numFmtId="177" fontId="77" fillId="0" borderId="38" xfId="52" applyNumberFormat="1" applyFont="1" applyFill="1" applyBorder="1" applyAlignment="1" applyProtection="1">
      <alignment horizontal="center" vertical="top" wrapText="1"/>
    </xf>
    <xf numFmtId="49" fontId="56" fillId="0" borderId="0" xfId="52" applyNumberFormat="1" applyFont="1" applyFill="1" applyBorder="1" applyAlignment="1" applyProtection="1">
      <alignment vertical="top"/>
    </xf>
    <xf numFmtId="0" fontId="56" fillId="0" borderId="0" xfId="52" applyNumberFormat="1" applyFont="1" applyFill="1" applyBorder="1" applyAlignment="1" applyProtection="1">
      <alignment vertical="top"/>
    </xf>
    <xf numFmtId="0" fontId="56" fillId="12" borderId="0" xfId="52" applyNumberFormat="1" applyFont="1" applyFill="1" applyBorder="1" applyAlignment="1" applyProtection="1"/>
    <xf numFmtId="0" fontId="65" fillId="0" borderId="0" xfId="52" applyNumberFormat="1" applyFont="1" applyFill="1" applyBorder="1" applyAlignment="1" applyProtection="1">
      <alignment horizontal="center" vertical="center"/>
    </xf>
    <xf numFmtId="0" fontId="68" fillId="0" borderId="0" xfId="52" applyNumberFormat="1" applyFont="1" applyFill="1" applyBorder="1" applyAlignment="1" applyProtection="1">
      <alignment vertical="top" wrapText="1"/>
    </xf>
    <xf numFmtId="4" fontId="56" fillId="2" borderId="39" xfId="53" applyNumberFormat="1" applyFont="1" applyFill="1" applyBorder="1" applyAlignment="1" applyProtection="1">
      <alignment horizontal="right" vertical="top" wrapText="1"/>
    </xf>
    <xf numFmtId="1" fontId="56" fillId="2" borderId="21" xfId="53" applyNumberFormat="1" applyFont="1" applyFill="1" applyBorder="1" applyAlignment="1" applyProtection="1">
      <alignment horizontal="center" vertical="top" wrapText="1"/>
    </xf>
    <xf numFmtId="0" fontId="56" fillId="2" borderId="39" xfId="53" applyNumberFormat="1" applyFont="1" applyFill="1" applyBorder="1" applyAlignment="1" applyProtection="1">
      <alignment horizontal="left" vertical="top" wrapText="1"/>
    </xf>
    <xf numFmtId="0" fontId="56" fillId="2" borderId="39" xfId="53" applyNumberFormat="1" applyFont="1" applyFill="1" applyBorder="1" applyAlignment="1" applyProtection="1">
      <alignment horizontal="right" vertical="top" wrapText="1"/>
    </xf>
    <xf numFmtId="4" fontId="56" fillId="2" borderId="22" xfId="53" applyNumberFormat="1" applyFont="1" applyFill="1" applyBorder="1" applyAlignment="1" applyProtection="1">
      <alignment horizontal="center" vertical="top" wrapText="1"/>
    </xf>
    <xf numFmtId="0" fontId="52" fillId="2" borderId="42" xfId="53" applyNumberFormat="1" applyFont="1" applyFill="1" applyBorder="1" applyAlignment="1" applyProtection="1"/>
    <xf numFmtId="0" fontId="52" fillId="2" borderId="39" xfId="53" applyNumberFormat="1" applyFont="1" applyFill="1" applyBorder="1" applyAlignment="1" applyProtection="1"/>
    <xf numFmtId="4" fontId="52" fillId="2" borderId="39" xfId="53" applyNumberFormat="1" applyFont="1" applyFill="1" applyBorder="1" applyAlignment="1" applyProtection="1"/>
    <xf numFmtId="0" fontId="52" fillId="2" borderId="0" xfId="53" applyNumberFormat="1" applyFont="1" applyFill="1" applyBorder="1" applyAlignment="1" applyProtection="1"/>
    <xf numFmtId="2" fontId="56" fillId="2" borderId="39" xfId="53" applyNumberFormat="1" applyFont="1" applyFill="1" applyBorder="1" applyAlignment="1" applyProtection="1">
      <alignment horizontal="right" vertical="top" wrapText="1"/>
    </xf>
    <xf numFmtId="2" fontId="56" fillId="2" borderId="22" xfId="53" applyNumberFormat="1" applyFont="1" applyFill="1" applyBorder="1" applyAlignment="1" applyProtection="1">
      <alignment horizontal="right" vertical="top" wrapText="1"/>
    </xf>
    <xf numFmtId="4" fontId="56" fillId="2" borderId="22" xfId="53" applyNumberFormat="1" applyFont="1" applyFill="1" applyBorder="1" applyAlignment="1" applyProtection="1">
      <alignment horizontal="right" vertical="top" wrapText="1"/>
    </xf>
    <xf numFmtId="0" fontId="18" fillId="0" borderId="21" xfId="11" applyNumberFormat="1" applyFont="1" applyBorder="1" applyAlignment="1">
      <alignment horizontal="center" vertical="top" wrapText="1"/>
    </xf>
    <xf numFmtId="0" fontId="18" fillId="0" borderId="21" xfId="11" quotePrefix="1" applyNumberFormat="1" applyFont="1" applyBorder="1" applyAlignment="1">
      <alignment horizontal="center" vertical="top"/>
    </xf>
    <xf numFmtId="0" fontId="49" fillId="0" borderId="22" xfId="11" applyFont="1" applyBorder="1" applyAlignment="1">
      <alignment horizontal="right" vertical="top"/>
    </xf>
    <xf numFmtId="0" fontId="49" fillId="0" borderId="22" xfId="11" applyFont="1" applyBorder="1" applyAlignment="1">
      <alignment horizontal="right" vertical="top" wrapText="1"/>
    </xf>
    <xf numFmtId="0" fontId="18" fillId="2" borderId="21" xfId="11" quotePrefix="1" applyNumberFormat="1" applyFont="1" applyFill="1" applyBorder="1" applyAlignment="1">
      <alignment horizontal="center" vertical="top"/>
    </xf>
    <xf numFmtId="0" fontId="49" fillId="2" borderId="22" xfId="11" applyFont="1" applyFill="1" applyBorder="1" applyAlignment="1">
      <alignment horizontal="right" vertical="top" wrapText="1"/>
    </xf>
    <xf numFmtId="0" fontId="18" fillId="0" borderId="53" xfId="11" quotePrefix="1" applyNumberFormat="1" applyFont="1" applyBorder="1" applyAlignment="1">
      <alignment horizontal="center" vertical="top"/>
    </xf>
    <xf numFmtId="179" fontId="14" fillId="0" borderId="56" xfId="11" applyNumberFormat="1" applyFont="1" applyBorder="1" applyAlignment="1">
      <alignment horizontal="left" vertical="top" wrapText="1"/>
    </xf>
    <xf numFmtId="0" fontId="18" fillId="0" borderId="56" xfId="11" applyFont="1" applyBorder="1" applyAlignment="1">
      <alignment horizontal="left" vertical="top" wrapText="1"/>
    </xf>
    <xf numFmtId="0" fontId="18" fillId="0" borderId="56" xfId="11" applyFont="1" applyBorder="1" applyAlignment="1">
      <alignment horizontal="center" vertical="top"/>
    </xf>
    <xf numFmtId="0" fontId="49" fillId="0" borderId="56" xfId="11" applyFont="1" applyBorder="1" applyAlignment="1">
      <alignment horizontal="right" vertical="top" wrapText="1"/>
    </xf>
    <xf numFmtId="0" fontId="49" fillId="0" borderId="56" xfId="11" applyFont="1" applyBorder="1" applyAlignment="1">
      <alignment horizontal="right" vertical="top"/>
    </xf>
    <xf numFmtId="0" fontId="49" fillId="0" borderId="62" xfId="11" applyFont="1" applyBorder="1" applyAlignment="1">
      <alignment horizontal="right" vertical="top"/>
    </xf>
    <xf numFmtId="49" fontId="56" fillId="0" borderId="58" xfId="52" applyNumberFormat="1" applyFont="1" applyFill="1" applyBorder="1" applyAlignment="1" applyProtection="1">
      <alignment vertical="top" wrapText="1"/>
    </xf>
    <xf numFmtId="49" fontId="56" fillId="0" borderId="28" xfId="52" applyNumberFormat="1" applyFont="1" applyFill="1" applyBorder="1" applyAlignment="1" applyProtection="1">
      <alignment vertical="top" wrapText="1"/>
    </xf>
    <xf numFmtId="49" fontId="56" fillId="0" borderId="28" xfId="52" applyNumberFormat="1" applyFont="1" applyFill="1" applyBorder="1" applyAlignment="1" applyProtection="1">
      <alignment horizontal="right" vertical="top"/>
    </xf>
    <xf numFmtId="49" fontId="56" fillId="0" borderId="28" xfId="52" applyNumberFormat="1" applyFont="1" applyFill="1" applyBorder="1" applyAlignment="1" applyProtection="1">
      <alignment horizontal="center" vertical="top" wrapText="1"/>
    </xf>
    <xf numFmtId="0" fontId="56" fillId="0" borderId="28" xfId="52" applyNumberFormat="1" applyFont="1" applyFill="1" applyBorder="1" applyAlignment="1" applyProtection="1">
      <alignment horizontal="center" vertical="top"/>
    </xf>
    <xf numFmtId="4" fontId="56" fillId="0" borderId="28" xfId="52" applyNumberFormat="1" applyFont="1" applyFill="1" applyBorder="1" applyAlignment="1" applyProtection="1">
      <alignment horizontal="right" vertical="top"/>
    </xf>
    <xf numFmtId="0" fontId="56" fillId="0" borderId="28" xfId="52" applyNumberFormat="1" applyFont="1" applyFill="1" applyBorder="1" applyAlignment="1" applyProtection="1">
      <alignment horizontal="right" vertical="top"/>
    </xf>
    <xf numFmtId="0" fontId="75" fillId="0" borderId="28" xfId="52" applyNumberFormat="1" applyFont="1" applyFill="1" applyBorder="1" applyAlignment="1" applyProtection="1">
      <alignment horizontal="left" vertical="top" wrapText="1"/>
    </xf>
    <xf numFmtId="0" fontId="75" fillId="0" borderId="26" xfId="52" applyNumberFormat="1" applyFont="1" applyFill="1" applyBorder="1" applyAlignment="1" applyProtection="1">
      <alignment horizontal="left" vertical="top" wrapText="1"/>
    </xf>
    <xf numFmtId="1" fontId="56" fillId="0" borderId="8" xfId="52" applyNumberFormat="1" applyFont="1" applyFill="1" applyBorder="1" applyAlignment="1" applyProtection="1">
      <alignment horizontal="right" vertical="top" wrapText="1"/>
    </xf>
    <xf numFmtId="0" fontId="49" fillId="0" borderId="8" xfId="52" applyNumberFormat="1" applyFont="1" applyFill="1" applyBorder="1" applyAlignment="1" applyProtection="1"/>
    <xf numFmtId="0" fontId="49" fillId="0" borderId="8" xfId="52" applyNumberFormat="1" applyFont="1" applyFill="1" applyBorder="1" applyAlignment="1" applyProtection="1">
      <alignment vertical="center" wrapText="1"/>
    </xf>
    <xf numFmtId="4" fontId="49" fillId="0" borderId="8" xfId="52" applyNumberFormat="1" applyFont="1" applyFill="1" applyBorder="1" applyAlignment="1" applyProtection="1"/>
    <xf numFmtId="2" fontId="49" fillId="0" borderId="8" xfId="52" applyNumberFormat="1" applyFont="1" applyFill="1" applyBorder="1" applyAlignment="1" applyProtection="1"/>
    <xf numFmtId="49" fontId="56" fillId="0" borderId="63" xfId="52" applyNumberFormat="1" applyFont="1" applyFill="1" applyBorder="1" applyAlignment="1" applyProtection="1">
      <alignment horizontal="center"/>
    </xf>
    <xf numFmtId="0" fontId="56" fillId="0" borderId="63" xfId="52" applyNumberFormat="1" applyFont="1" applyFill="1" applyBorder="1" applyAlignment="1" applyProtection="1"/>
    <xf numFmtId="4" fontId="49" fillId="0" borderId="63" xfId="52" applyNumberFormat="1" applyFont="1" applyFill="1" applyBorder="1" applyAlignment="1" applyProtection="1">
      <alignment horizontal="right"/>
    </xf>
    <xf numFmtId="2" fontId="49" fillId="0" borderId="63" xfId="52" applyNumberFormat="1" applyFont="1" applyFill="1" applyBorder="1" applyAlignment="1" applyProtection="1"/>
    <xf numFmtId="2" fontId="49" fillId="0" borderId="28" xfId="52" applyNumberFormat="1" applyFont="1" applyFill="1" applyBorder="1" applyAlignment="1" applyProtection="1">
      <alignment horizontal="right"/>
    </xf>
    <xf numFmtId="178" fontId="56" fillId="0" borderId="0" xfId="52" applyNumberFormat="1" applyFont="1" applyFill="1" applyBorder="1" applyAlignment="1" applyProtection="1">
      <alignment horizontal="right" vertical="top"/>
    </xf>
    <xf numFmtId="4" fontId="48" fillId="0" borderId="0" xfId="28" applyNumberFormat="1" applyFont="1"/>
    <xf numFmtId="0" fontId="3" fillId="0" borderId="0" xfId="0" applyFont="1"/>
    <xf numFmtId="0" fontId="10" fillId="0" borderId="0" xfId="0" applyNumberFormat="1" applyFont="1" applyFill="1" applyBorder="1" applyAlignment="1">
      <alignment wrapText="1"/>
    </xf>
    <xf numFmtId="0" fontId="10" fillId="0" borderId="0" xfId="0" applyNumberFormat="1" applyFont="1" applyFill="1" applyBorder="1"/>
    <xf numFmtId="0" fontId="10" fillId="13" borderId="8" xfId="0" applyNumberFormat="1" applyFont="1" applyFill="1" applyBorder="1" applyAlignment="1">
      <alignment horizontal="center" vertical="center" wrapText="1"/>
    </xf>
    <xf numFmtId="0" fontId="0" fillId="13" borderId="8" xfId="0" applyNumberFormat="1" applyFont="1" applyFill="1" applyBorder="1" applyAlignment="1">
      <alignment horizontal="center" vertical="center" wrapText="1"/>
    </xf>
    <xf numFmtId="4" fontId="10" fillId="0" borderId="8" xfId="0" applyNumberFormat="1" applyFont="1" applyFill="1" applyBorder="1" applyAlignment="1">
      <alignment horizontal="center" vertical="center" wrapText="1"/>
    </xf>
    <xf numFmtId="9" fontId="10" fillId="0" borderId="8" xfId="0" applyNumberFormat="1" applyFont="1" applyFill="1" applyBorder="1" applyAlignment="1">
      <alignment horizontal="center" vertical="center" wrapText="1"/>
    </xf>
    <xf numFmtId="0" fontId="10" fillId="0" borderId="8" xfId="0" applyNumberFormat="1" applyFont="1" applyFill="1" applyBorder="1" applyAlignment="1">
      <alignment horizontal="center" wrapText="1"/>
    </xf>
    <xf numFmtId="4" fontId="10" fillId="0" borderId="0" xfId="0" applyNumberFormat="1" applyFont="1" applyFill="1" applyBorder="1" applyAlignment="1">
      <alignment wrapText="1"/>
    </xf>
    <xf numFmtId="0" fontId="2" fillId="0" borderId="0" xfId="53" applyFont="1"/>
    <xf numFmtId="0" fontId="3" fillId="0" borderId="0" xfId="53" applyFont="1"/>
    <xf numFmtId="0" fontId="3" fillId="0" borderId="0" xfId="53" applyFont="1" applyBorder="1" applyAlignment="1">
      <alignment horizontal="center" vertical="center"/>
    </xf>
    <xf numFmtId="0" fontId="3" fillId="0" borderId="66" xfId="53" applyNumberFormat="1" applyFont="1" applyFill="1" applyBorder="1" applyAlignment="1">
      <alignment horizontal="center" vertical="center"/>
    </xf>
    <xf numFmtId="0" fontId="3" fillId="0" borderId="67" xfId="53" applyFont="1" applyFill="1" applyBorder="1" applyAlignment="1">
      <alignment horizontal="center" vertical="center" wrapText="1"/>
    </xf>
    <xf numFmtId="0" fontId="28" fillId="0" borderId="67" xfId="53" applyFont="1" applyFill="1" applyBorder="1" applyAlignment="1">
      <alignment horizontal="center" vertical="center" wrapText="1"/>
    </xf>
    <xf numFmtId="14" fontId="3" fillId="0" borderId="67" xfId="53" applyNumberFormat="1" applyFont="1" applyFill="1" applyBorder="1" applyAlignment="1">
      <alignment horizontal="center" vertical="center" wrapText="1"/>
    </xf>
    <xf numFmtId="43" fontId="3" fillId="0" borderId="67" xfId="44" applyFont="1" applyFill="1" applyBorder="1" applyAlignment="1">
      <alignment horizontal="center" vertical="center"/>
    </xf>
    <xf numFmtId="180" fontId="3" fillId="0" borderId="67" xfId="44" applyNumberFormat="1" applyFont="1" applyFill="1" applyBorder="1" applyAlignment="1">
      <alignment horizontal="center" vertical="center"/>
    </xf>
    <xf numFmtId="0" fontId="3" fillId="0" borderId="68" xfId="53" applyFont="1" applyFill="1" applyBorder="1" applyAlignment="1">
      <alignment wrapText="1"/>
    </xf>
    <xf numFmtId="0" fontId="3" fillId="0" borderId="69" xfId="53" applyNumberFormat="1" applyFont="1" applyFill="1" applyBorder="1" applyAlignment="1">
      <alignment horizontal="center" vertical="center"/>
    </xf>
    <xf numFmtId="0" fontId="81" fillId="5" borderId="67" xfId="53" applyFont="1" applyFill="1" applyBorder="1" applyAlignment="1">
      <alignment vertical="center" wrapText="1"/>
    </xf>
    <xf numFmtId="2" fontId="3" fillId="0" borderId="67" xfId="53" applyNumberFormat="1" applyFont="1" applyFill="1" applyBorder="1" applyAlignment="1">
      <alignment horizontal="center" vertical="center" wrapText="1"/>
    </xf>
    <xf numFmtId="0" fontId="3" fillId="0" borderId="70" xfId="53" applyFont="1" applyFill="1" applyBorder="1" applyAlignment="1">
      <alignment wrapText="1"/>
    </xf>
    <xf numFmtId="0" fontId="28" fillId="5" borderId="67" xfId="53" applyFont="1" applyFill="1" applyBorder="1" applyAlignment="1">
      <alignment vertical="center" wrapText="1"/>
    </xf>
    <xf numFmtId="0" fontId="3" fillId="0" borderId="0" xfId="53" applyFont="1" applyFill="1"/>
    <xf numFmtId="169" fontId="3" fillId="0" borderId="67" xfId="53" applyNumberFormat="1" applyFont="1" applyFill="1" applyBorder="1" applyAlignment="1">
      <alignment horizontal="center" vertical="center" wrapText="1"/>
    </xf>
    <xf numFmtId="3" fontId="3" fillId="0" borderId="67" xfId="53" applyNumberFormat="1" applyFont="1" applyFill="1" applyBorder="1" applyAlignment="1">
      <alignment horizontal="center" vertical="center" wrapText="1"/>
    </xf>
    <xf numFmtId="167" fontId="28" fillId="0" borderId="67" xfId="53" applyNumberFormat="1" applyFont="1" applyFill="1" applyBorder="1" applyAlignment="1">
      <alignment horizontal="center" vertical="center"/>
    </xf>
    <xf numFmtId="0" fontId="3" fillId="0" borderId="67" xfId="53" applyFont="1" applyFill="1" applyBorder="1" applyAlignment="1">
      <alignment horizontal="center" vertical="center"/>
    </xf>
    <xf numFmtId="0" fontId="3" fillId="0" borderId="70" xfId="53" applyFont="1" applyBorder="1" applyAlignment="1">
      <alignment wrapText="1"/>
    </xf>
    <xf numFmtId="181" fontId="3" fillId="0" borderId="67" xfId="44" applyNumberFormat="1" applyFont="1" applyFill="1" applyBorder="1" applyAlignment="1">
      <alignment horizontal="center" vertical="center"/>
    </xf>
    <xf numFmtId="43" fontId="3" fillId="0" borderId="71" xfId="44" applyFont="1" applyFill="1" applyBorder="1" applyAlignment="1">
      <alignment horizontal="center" vertical="center"/>
    </xf>
    <xf numFmtId="0" fontId="2" fillId="8" borderId="8" xfId="53" applyFont="1" applyFill="1" applyBorder="1" applyAlignment="1">
      <alignment horizontal="center" vertical="center"/>
    </xf>
    <xf numFmtId="0" fontId="2" fillId="8" borderId="8" xfId="53" applyFont="1" applyFill="1" applyBorder="1" applyAlignment="1">
      <alignment horizontal="right" vertical="center"/>
    </xf>
    <xf numFmtId="0" fontId="2" fillId="8" borderId="8" xfId="53" applyFont="1" applyFill="1" applyBorder="1"/>
    <xf numFmtId="0" fontId="3" fillId="8" borderId="8" xfId="53" applyFont="1" applyFill="1" applyBorder="1"/>
    <xf numFmtId="0" fontId="3" fillId="8" borderId="8" xfId="53" applyFont="1" applyFill="1" applyBorder="1" applyAlignment="1">
      <alignment horizontal="right"/>
    </xf>
    <xf numFmtId="0" fontId="2" fillId="8" borderId="8" xfId="53" applyFont="1" applyFill="1" applyBorder="1" applyAlignment="1">
      <alignment horizontal="right"/>
    </xf>
    <xf numFmtId="0" fontId="3" fillId="0" borderId="0" xfId="53" applyFont="1" applyBorder="1" applyAlignment="1">
      <alignment horizontal="right"/>
    </xf>
    <xf numFmtId="0" fontId="9" fillId="0" borderId="0" xfId="67"/>
    <xf numFmtId="0" fontId="28" fillId="0" borderId="0" xfId="0" applyFont="1" applyAlignment="1"/>
    <xf numFmtId="167" fontId="28" fillId="0" borderId="0" xfId="28" applyNumberFormat="1" applyFont="1" applyAlignment="1">
      <alignment horizontal="center" vertical="center" wrapText="1"/>
    </xf>
    <xf numFmtId="43" fontId="3" fillId="2" borderId="67" xfId="44" applyFont="1" applyFill="1" applyBorder="1" applyAlignment="1">
      <alignment horizontal="center" vertical="center"/>
    </xf>
    <xf numFmtId="0" fontId="28" fillId="5" borderId="71" xfId="53" applyFont="1" applyFill="1" applyBorder="1" applyAlignment="1">
      <alignment vertical="center" wrapText="1"/>
    </xf>
    <xf numFmtId="0" fontId="3" fillId="0" borderId="71" xfId="53" applyFont="1" applyFill="1" applyBorder="1" applyAlignment="1">
      <alignment horizontal="center" vertical="center" wrapText="1"/>
    </xf>
    <xf numFmtId="169" fontId="3" fillId="0" borderId="71" xfId="53" applyNumberFormat="1" applyFont="1" applyFill="1" applyBorder="1" applyAlignment="1">
      <alignment horizontal="center" vertical="center" wrapText="1"/>
    </xf>
    <xf numFmtId="0" fontId="28" fillId="0" borderId="74" xfId="53" applyFont="1" applyFill="1" applyBorder="1" applyAlignment="1">
      <alignment horizontal="center" vertical="center"/>
    </xf>
    <xf numFmtId="176" fontId="3" fillId="0" borderId="74" xfId="53" applyNumberFormat="1" applyFont="1" applyFill="1" applyBorder="1" applyAlignment="1">
      <alignment horizontal="center" vertical="center"/>
    </xf>
    <xf numFmtId="0" fontId="10" fillId="0" borderId="0" xfId="61" applyAlignment="1">
      <alignment wrapText="1"/>
    </xf>
    <xf numFmtId="0" fontId="1" fillId="0" borderId="0" xfId="62"/>
    <xf numFmtId="0" fontId="10" fillId="0" borderId="0" xfId="61" applyAlignment="1">
      <alignment vertical="top"/>
    </xf>
    <xf numFmtId="0" fontId="10" fillId="0" borderId="0" xfId="61" applyAlignment="1">
      <alignment vertical="top" wrapText="1"/>
    </xf>
    <xf numFmtId="0" fontId="86" fillId="0" borderId="0" xfId="61" applyFont="1" applyAlignment="1">
      <alignment vertical="top"/>
    </xf>
    <xf numFmtId="0" fontId="10" fillId="0" borderId="0" xfId="61"/>
    <xf numFmtId="0" fontId="87" fillId="0" borderId="73" xfId="62" applyFont="1" applyBorder="1" applyAlignment="1">
      <alignment horizontal="center" vertical="center" wrapText="1"/>
    </xf>
    <xf numFmtId="0" fontId="10" fillId="0" borderId="81" xfId="61" applyBorder="1" applyAlignment="1">
      <alignment horizontal="center" wrapText="1"/>
    </xf>
    <xf numFmtId="0" fontId="10" fillId="0" borderId="82" xfId="61" applyBorder="1" applyAlignment="1">
      <alignment horizontal="center" vertical="center" wrapText="1"/>
    </xf>
    <xf numFmtId="0" fontId="1" fillId="0" borderId="73" xfId="62" applyBorder="1" applyAlignment="1">
      <alignment horizontal="center" vertical="center"/>
    </xf>
    <xf numFmtId="0" fontId="1" fillId="0" borderId="73" xfId="62" applyFont="1" applyBorder="1" applyAlignment="1">
      <alignment horizontal="center" vertical="center"/>
    </xf>
    <xf numFmtId="0" fontId="1" fillId="0" borderId="73" xfId="62" applyBorder="1"/>
    <xf numFmtId="49" fontId="17" fillId="0" borderId="73" xfId="61" applyNumberFormat="1" applyFont="1" applyBorder="1" applyAlignment="1">
      <alignment horizontal="right" vertical="top" wrapText="1"/>
    </xf>
    <xf numFmtId="0" fontId="17" fillId="0" borderId="73" xfId="61" applyFont="1" applyBorder="1" applyAlignment="1">
      <alignment horizontal="left" vertical="top" wrapText="1"/>
    </xf>
    <xf numFmtId="0" fontId="17" fillId="0" borderId="83" xfId="61" applyFont="1" applyBorder="1" applyAlignment="1">
      <alignment horizontal="right" vertical="top" wrapText="1"/>
    </xf>
    <xf numFmtId="49" fontId="17" fillId="0" borderId="84" xfId="61" quotePrefix="1" applyNumberFormat="1" applyFont="1" applyFill="1" applyBorder="1" applyAlignment="1">
      <alignment horizontal="right" vertical="top" wrapText="1"/>
    </xf>
    <xf numFmtId="0" fontId="17" fillId="0" borderId="84" xfId="61" applyFont="1" applyFill="1" applyBorder="1" applyAlignment="1">
      <alignment horizontal="left" vertical="top" wrapText="1"/>
    </xf>
    <xf numFmtId="0" fontId="10" fillId="0" borderId="84" xfId="61" applyFill="1" applyBorder="1" applyAlignment="1">
      <alignment horizontal="left" vertical="top" wrapText="1"/>
    </xf>
    <xf numFmtId="0" fontId="10" fillId="0" borderId="84" xfId="61" applyFont="1" applyFill="1" applyBorder="1" applyAlignment="1">
      <alignment horizontal="left" vertical="top" wrapText="1"/>
    </xf>
    <xf numFmtId="2" fontId="10" fillId="0" borderId="84" xfId="61" applyNumberFormat="1" applyFont="1" applyFill="1" applyBorder="1" applyAlignment="1">
      <alignment horizontal="left" vertical="top" wrapText="1"/>
    </xf>
    <xf numFmtId="4" fontId="10" fillId="0" borderId="85" xfId="61" applyNumberFormat="1" applyFill="1" applyBorder="1" applyAlignment="1">
      <alignment horizontal="right" vertical="top" wrapText="1"/>
    </xf>
    <xf numFmtId="4" fontId="1" fillId="0" borderId="73" xfId="62" applyNumberFormat="1" applyFill="1" applyBorder="1" applyAlignment="1">
      <alignment horizontal="right" vertical="top" wrapText="1"/>
    </xf>
    <xf numFmtId="49" fontId="17" fillId="0" borderId="84" xfId="61" applyNumberFormat="1" applyFont="1" applyFill="1" applyBorder="1" applyAlignment="1">
      <alignment horizontal="right" vertical="top" wrapText="1"/>
    </xf>
    <xf numFmtId="0" fontId="17" fillId="0" borderId="86" xfId="61" applyFont="1" applyFill="1" applyBorder="1" applyAlignment="1">
      <alignment horizontal="left" vertical="top" wrapText="1"/>
    </xf>
    <xf numFmtId="0" fontId="17" fillId="0" borderId="85" xfId="61" applyFont="1" applyFill="1" applyBorder="1" applyAlignment="1">
      <alignment horizontal="right" vertical="top" wrapText="1"/>
    </xf>
    <xf numFmtId="0" fontId="1" fillId="0" borderId="73" xfId="62" applyFill="1" applyBorder="1"/>
    <xf numFmtId="0" fontId="10" fillId="0" borderId="87" xfId="61" applyFont="1" applyFill="1" applyBorder="1" applyAlignment="1">
      <alignment horizontal="left" vertical="top" wrapText="1"/>
    </xf>
    <xf numFmtId="0" fontId="17" fillId="0" borderId="87" xfId="61" applyFont="1" applyFill="1" applyBorder="1" applyAlignment="1">
      <alignment horizontal="left" vertical="top" wrapText="1"/>
    </xf>
    <xf numFmtId="0" fontId="83" fillId="0" borderId="73" xfId="62" applyFont="1" applyFill="1" applyBorder="1"/>
    <xf numFmtId="49" fontId="17" fillId="0" borderId="73" xfId="61" applyNumberFormat="1" applyFont="1" applyFill="1" applyBorder="1" applyAlignment="1">
      <alignment horizontal="right" vertical="top" wrapText="1"/>
    </xf>
    <xf numFmtId="0" fontId="10" fillId="0" borderId="88" xfId="61" applyFill="1" applyBorder="1" applyAlignment="1">
      <alignment horizontal="left" vertical="top" wrapText="1"/>
    </xf>
    <xf numFmtId="0" fontId="10" fillId="0" borderId="87" xfId="61" applyFill="1" applyBorder="1" applyAlignment="1">
      <alignment horizontal="left" vertical="top" wrapText="1"/>
    </xf>
    <xf numFmtId="49" fontId="17" fillId="0" borderId="65" xfId="61" quotePrefix="1" applyNumberFormat="1" applyFont="1" applyFill="1" applyBorder="1" applyAlignment="1">
      <alignment horizontal="right" vertical="top" wrapText="1"/>
    </xf>
    <xf numFmtId="0" fontId="17" fillId="0" borderId="65" xfId="61" applyFont="1" applyFill="1" applyBorder="1" applyAlignment="1">
      <alignment horizontal="left" vertical="top" wrapText="1"/>
    </xf>
    <xf numFmtId="0" fontId="10" fillId="0" borderId="65" xfId="61" applyFill="1" applyBorder="1" applyAlignment="1">
      <alignment horizontal="left" vertical="top" wrapText="1"/>
    </xf>
    <xf numFmtId="0" fontId="10" fillId="0" borderId="85" xfId="61" applyFont="1" applyFill="1" applyBorder="1" applyAlignment="1">
      <alignment horizontal="right" vertical="top" wrapText="1"/>
    </xf>
    <xf numFmtId="0" fontId="1" fillId="0" borderId="73" xfId="62" applyFill="1" applyBorder="1" applyAlignment="1">
      <alignment vertical="top"/>
    </xf>
    <xf numFmtId="0" fontId="1" fillId="0" borderId="84" xfId="62" applyFill="1" applyBorder="1"/>
    <xf numFmtId="49" fontId="17" fillId="0" borderId="88" xfId="61" applyNumberFormat="1" applyFont="1" applyFill="1" applyBorder="1" applyAlignment="1">
      <alignment horizontal="right" vertical="top" wrapText="1"/>
    </xf>
    <xf numFmtId="0" fontId="17" fillId="0" borderId="88" xfId="61" applyFont="1" applyFill="1" applyBorder="1" applyAlignment="1">
      <alignment horizontal="left" vertical="top" wrapText="1"/>
    </xf>
    <xf numFmtId="183" fontId="17" fillId="0" borderId="88" xfId="61" applyNumberFormat="1" applyFont="1" applyFill="1" applyBorder="1" applyAlignment="1">
      <alignment horizontal="right" vertical="top" wrapText="1"/>
    </xf>
    <xf numFmtId="0" fontId="89" fillId="0" borderId="88" xfId="62" applyFont="1" applyFill="1" applyBorder="1"/>
    <xf numFmtId="0" fontId="89" fillId="0" borderId="0" xfId="62" applyFont="1"/>
    <xf numFmtId="49" fontId="10" fillId="0" borderId="73" xfId="61" applyNumberFormat="1" applyFont="1" applyFill="1" applyBorder="1" applyAlignment="1">
      <alignment horizontal="right" vertical="top" wrapText="1"/>
    </xf>
    <xf numFmtId="0" fontId="10" fillId="0" borderId="73" xfId="61" applyFont="1" applyFill="1" applyBorder="1" applyAlignment="1">
      <alignment horizontal="left" vertical="top" wrapText="1"/>
    </xf>
    <xf numFmtId="9" fontId="10" fillId="0" borderId="73" xfId="61" applyNumberFormat="1" applyFont="1" applyFill="1" applyBorder="1" applyAlignment="1">
      <alignment horizontal="right" vertical="top" wrapText="1"/>
    </xf>
    <xf numFmtId="0" fontId="89" fillId="0" borderId="73" xfId="62" applyFont="1" applyFill="1" applyBorder="1"/>
    <xf numFmtId="0" fontId="17" fillId="0" borderId="73" xfId="61" applyFont="1" applyFill="1" applyBorder="1" applyAlignment="1">
      <alignment horizontal="left" vertical="top" wrapText="1"/>
    </xf>
    <xf numFmtId="183" fontId="17" fillId="0" borderId="73" xfId="61" applyNumberFormat="1" applyFont="1" applyFill="1" applyBorder="1" applyAlignment="1">
      <alignment horizontal="right" vertical="top" wrapText="1"/>
    </xf>
    <xf numFmtId="0" fontId="17" fillId="0" borderId="73" xfId="61" applyFont="1" applyFill="1" applyBorder="1" applyAlignment="1">
      <alignment horizontal="right" vertical="top" wrapText="1"/>
    </xf>
    <xf numFmtId="0" fontId="84" fillId="0" borderId="73" xfId="62" applyFont="1" applyFill="1" applyBorder="1" applyAlignment="1">
      <alignment vertical="top"/>
    </xf>
    <xf numFmtId="0" fontId="84" fillId="0" borderId="73" xfId="62" applyFont="1" applyFill="1" applyBorder="1"/>
    <xf numFmtId="0" fontId="84" fillId="0" borderId="0" xfId="62" applyFont="1"/>
    <xf numFmtId="0" fontId="10" fillId="0" borderId="73" xfId="61" applyFill="1" applyBorder="1" applyAlignment="1">
      <alignment horizontal="left" vertical="top" wrapText="1"/>
    </xf>
    <xf numFmtId="0" fontId="10" fillId="0" borderId="73" xfId="61" applyFill="1" applyBorder="1" applyAlignment="1">
      <alignment horizontal="right" vertical="top" wrapText="1"/>
    </xf>
    <xf numFmtId="2" fontId="17" fillId="0" borderId="73" xfId="61" applyNumberFormat="1" applyFont="1" applyFill="1" applyBorder="1" applyAlignment="1">
      <alignment horizontal="left" vertical="top" wrapText="1"/>
    </xf>
    <xf numFmtId="49" fontId="17" fillId="0" borderId="73" xfId="61" applyNumberFormat="1" applyFont="1" applyFill="1" applyBorder="1" applyAlignment="1">
      <alignment horizontal="center" vertical="top" wrapText="1"/>
    </xf>
    <xf numFmtId="0" fontId="1" fillId="0" borderId="0" xfId="62" applyFont="1"/>
    <xf numFmtId="4" fontId="1" fillId="0" borderId="0" xfId="62" applyNumberFormat="1" applyFont="1"/>
    <xf numFmtId="49" fontId="17" fillId="0" borderId="88" xfId="61" applyNumberFormat="1" applyFont="1" applyFill="1" applyBorder="1" applyAlignment="1">
      <alignment horizontal="center" vertical="top" wrapText="1"/>
    </xf>
    <xf numFmtId="2" fontId="17" fillId="0" borderId="88" xfId="61" applyNumberFormat="1" applyFont="1" applyFill="1" applyBorder="1" applyAlignment="1">
      <alignment horizontal="left" vertical="top" wrapText="1"/>
    </xf>
    <xf numFmtId="0" fontId="17" fillId="0" borderId="88" xfId="61" applyFont="1" applyFill="1" applyBorder="1" applyAlignment="1">
      <alignment horizontal="right" vertical="top" wrapText="1"/>
    </xf>
    <xf numFmtId="9" fontId="10" fillId="0" borderId="73" xfId="61" applyNumberFormat="1" applyFont="1" applyFill="1" applyBorder="1" applyAlignment="1">
      <alignment horizontal="left" vertical="top" wrapText="1"/>
    </xf>
    <xf numFmtId="4" fontId="10" fillId="0" borderId="73" xfId="61" applyNumberFormat="1" applyFont="1" applyFill="1" applyBorder="1" applyAlignment="1">
      <alignment horizontal="right" vertical="top" wrapText="1"/>
    </xf>
    <xf numFmtId="4" fontId="88" fillId="0" borderId="73" xfId="61" applyNumberFormat="1" applyFont="1" applyFill="1" applyBorder="1" applyAlignment="1">
      <alignment horizontal="right" vertical="top" wrapText="1"/>
    </xf>
    <xf numFmtId="4" fontId="10" fillId="0" borderId="73" xfId="61" applyNumberFormat="1" applyFont="1" applyFill="1" applyBorder="1" applyAlignment="1">
      <alignment horizontal="left" vertical="top" wrapText="1"/>
    </xf>
    <xf numFmtId="4" fontId="17" fillId="0" borderId="73" xfId="61" applyNumberFormat="1" applyFont="1" applyFill="1" applyBorder="1" applyAlignment="1">
      <alignment horizontal="right" vertical="top" wrapText="1"/>
    </xf>
    <xf numFmtId="183" fontId="10" fillId="0" borderId="73" xfId="61" applyNumberFormat="1" applyFont="1" applyFill="1" applyBorder="1" applyAlignment="1">
      <alignment horizontal="right" vertical="top" wrapText="1"/>
    </xf>
    <xf numFmtId="0" fontId="1" fillId="0" borderId="73" xfId="62" applyFont="1" applyFill="1" applyBorder="1"/>
    <xf numFmtId="4" fontId="1" fillId="0" borderId="73" xfId="62" applyNumberFormat="1" applyFont="1" applyFill="1" applyBorder="1"/>
    <xf numFmtId="49" fontId="11" fillId="0" borderId="73" xfId="61" applyNumberFormat="1" applyFont="1" applyFill="1" applyBorder="1" applyAlignment="1">
      <alignment horizontal="right" vertical="top" wrapText="1"/>
    </xf>
    <xf numFmtId="0" fontId="11" fillId="0" borderId="73" xfId="61" applyFont="1" applyFill="1" applyBorder="1" applyAlignment="1">
      <alignment horizontal="left" vertical="top" wrapText="1"/>
    </xf>
    <xf numFmtId="9" fontId="11" fillId="0" borderId="73" xfId="61" applyNumberFormat="1" applyFont="1" applyFill="1" applyBorder="1" applyAlignment="1">
      <alignment horizontal="left" vertical="top" wrapText="1"/>
    </xf>
    <xf numFmtId="0" fontId="11" fillId="0" borderId="0" xfId="61" applyFont="1" applyAlignment="1">
      <alignment wrapText="1"/>
    </xf>
    <xf numFmtId="49" fontId="17" fillId="0" borderId="65" xfId="61" applyNumberFormat="1" applyFont="1" applyFill="1" applyBorder="1" applyAlignment="1">
      <alignment horizontal="right" vertical="top" wrapText="1"/>
    </xf>
    <xf numFmtId="0" fontId="17" fillId="0" borderId="84" xfId="61" applyFont="1" applyFill="1" applyBorder="1" applyAlignment="1">
      <alignment horizontal="right" vertical="top" wrapText="1"/>
    </xf>
    <xf numFmtId="0" fontId="84" fillId="0" borderId="84" xfId="62" applyFont="1" applyFill="1" applyBorder="1" applyAlignment="1">
      <alignment vertical="top"/>
    </xf>
    <xf numFmtId="0" fontId="84" fillId="0" borderId="84" xfId="62" applyFont="1" applyFill="1" applyBorder="1"/>
    <xf numFmtId="4" fontId="6" fillId="0" borderId="73" xfId="4" applyNumberFormat="1" applyFont="1" applyFill="1" applyBorder="1" applyAlignment="1">
      <alignment horizontal="center" vertical="top"/>
    </xf>
    <xf numFmtId="0" fontId="84" fillId="0" borderId="0" xfId="62" applyFont="1" applyFill="1"/>
    <xf numFmtId="49" fontId="10" fillId="0" borderId="84" xfId="61" applyNumberFormat="1" applyFont="1" applyFill="1" applyBorder="1" applyAlignment="1">
      <alignment horizontal="right" vertical="top" wrapText="1"/>
    </xf>
    <xf numFmtId="0" fontId="10" fillId="0" borderId="65" xfId="61" applyFont="1" applyFill="1" applyBorder="1" applyAlignment="1">
      <alignment horizontal="left" vertical="top" wrapText="1"/>
    </xf>
    <xf numFmtId="4" fontId="3" fillId="0" borderId="67" xfId="53" applyNumberFormat="1" applyFont="1" applyFill="1" applyBorder="1" applyAlignment="1">
      <alignment horizontal="center" vertical="center" wrapText="1"/>
    </xf>
    <xf numFmtId="4" fontId="3" fillId="0" borderId="73" xfId="28" applyNumberFormat="1" applyFont="1" applyBorder="1" applyAlignment="1">
      <alignment horizontal="center" vertical="center"/>
    </xf>
    <xf numFmtId="0" fontId="10" fillId="0" borderId="0" xfId="46"/>
    <xf numFmtId="49" fontId="17" fillId="0" borderId="0" xfId="46" applyNumberFormat="1" applyFont="1" applyAlignment="1">
      <alignment horizontal="center"/>
    </xf>
    <xf numFmtId="0" fontId="10" fillId="0" borderId="0" xfId="46" applyFont="1"/>
    <xf numFmtId="0" fontId="10" fillId="0" borderId="0" xfId="46" quotePrefix="1" applyFont="1" applyAlignment="1">
      <alignment horizontal="left"/>
    </xf>
    <xf numFmtId="0" fontId="10" fillId="0" borderId="0" xfId="71" applyFont="1" applyAlignment="1">
      <alignment horizontal="right" vertical="top"/>
    </xf>
    <xf numFmtId="2" fontId="10" fillId="0" borderId="0" xfId="46" applyNumberFormat="1" applyFont="1" applyAlignment="1"/>
    <xf numFmtId="165" fontId="10" fillId="0" borderId="0" xfId="46" applyNumberFormat="1" applyFont="1" applyAlignment="1">
      <alignment horizontal="center"/>
    </xf>
    <xf numFmtId="0" fontId="10" fillId="0" borderId="0" xfId="46" applyFont="1" applyAlignment="1">
      <alignment horizontal="left" vertical="center"/>
    </xf>
    <xf numFmtId="0" fontId="95" fillId="0" borderId="0" xfId="72" applyFont="1" applyFill="1" applyAlignment="1" applyProtection="1">
      <alignment horizontal="left" wrapText="1"/>
      <protection locked="0"/>
    </xf>
    <xf numFmtId="49" fontId="10" fillId="0" borderId="0" xfId="46" applyNumberFormat="1"/>
    <xf numFmtId="43" fontId="6" fillId="0" borderId="73" xfId="51" applyFont="1" applyFill="1" applyBorder="1" applyAlignment="1">
      <alignment horizontal="center" vertical="center"/>
    </xf>
    <xf numFmtId="43" fontId="1" fillId="0" borderId="73" xfId="51" applyFill="1" applyBorder="1"/>
    <xf numFmtId="43" fontId="89" fillId="0" borderId="73" xfId="51" applyFont="1" applyFill="1" applyBorder="1"/>
    <xf numFmtId="43" fontId="1" fillId="0" borderId="84" xfId="51" applyFill="1" applyBorder="1"/>
    <xf numFmtId="43" fontId="90" fillId="0" borderId="88" xfId="51" applyFont="1" applyFill="1" applyBorder="1"/>
    <xf numFmtId="43" fontId="84" fillId="0" borderId="73" xfId="51" applyFont="1" applyFill="1" applyBorder="1"/>
    <xf numFmtId="43" fontId="91" fillId="0" borderId="73" xfId="51" applyFont="1" applyFill="1" applyBorder="1" applyAlignment="1">
      <alignment horizontal="center" vertical="center"/>
    </xf>
    <xf numFmtId="43" fontId="89" fillId="0" borderId="73" xfId="51" applyFont="1" applyFill="1" applyBorder="1" applyAlignment="1">
      <alignment vertical="center"/>
    </xf>
    <xf numFmtId="43" fontId="84" fillId="0" borderId="73" xfId="51" applyFont="1" applyFill="1" applyBorder="1" applyAlignment="1">
      <alignment vertical="center"/>
    </xf>
    <xf numFmtId="165" fontId="23" fillId="0" borderId="0" xfId="28" applyNumberFormat="1" applyFont="1" applyFill="1" applyAlignment="1">
      <alignment horizontal="center" vertical="center"/>
    </xf>
    <xf numFmtId="14" fontId="23" fillId="0" borderId="0" xfId="28" applyNumberFormat="1" applyFont="1" applyFill="1" applyBorder="1" applyAlignment="1">
      <alignment horizontal="center" vertical="center" wrapText="1"/>
    </xf>
    <xf numFmtId="0" fontId="28" fillId="5" borderId="75" xfId="53" applyFont="1" applyFill="1" applyBorder="1" applyAlignment="1">
      <alignment vertical="center" wrapText="1"/>
    </xf>
    <xf numFmtId="0" fontId="3" fillId="0" borderId="74" xfId="53" applyFont="1" applyFill="1" applyBorder="1" applyAlignment="1">
      <alignment horizontal="center" vertical="center" wrapText="1"/>
    </xf>
    <xf numFmtId="169" fontId="3" fillId="0" borderId="75" xfId="53" applyNumberFormat="1" applyFont="1" applyFill="1" applyBorder="1" applyAlignment="1">
      <alignment horizontal="center" vertical="center" wrapText="1"/>
    </xf>
    <xf numFmtId="0" fontId="3" fillId="2" borderId="67" xfId="53" applyFont="1" applyFill="1" applyBorder="1" applyAlignment="1">
      <alignment horizontal="center" vertical="center" wrapText="1"/>
    </xf>
    <xf numFmtId="0" fontId="81" fillId="2" borderId="67" xfId="53" applyFont="1" applyFill="1" applyBorder="1" applyAlignment="1">
      <alignment vertical="center" wrapText="1"/>
    </xf>
    <xf numFmtId="0" fontId="81" fillId="0" borderId="67" xfId="53" applyFont="1" applyFill="1" applyBorder="1" applyAlignment="1">
      <alignment vertical="center" wrapText="1"/>
    </xf>
    <xf numFmtId="0" fontId="28" fillId="0" borderId="67" xfId="0" applyFont="1" applyFill="1" applyBorder="1" applyAlignment="1">
      <alignment horizontal="center" vertical="center" wrapText="1"/>
    </xf>
    <xf numFmtId="14" fontId="3" fillId="0" borderId="67" xfId="0" applyNumberFormat="1" applyFont="1" applyFill="1" applyBorder="1" applyAlignment="1">
      <alignment horizontal="center" vertical="center" wrapText="1"/>
    </xf>
    <xf numFmtId="43" fontId="3" fillId="0" borderId="67" xfId="69" applyFont="1" applyFill="1" applyBorder="1" applyAlignment="1">
      <alignment horizontal="center" vertical="center"/>
    </xf>
    <xf numFmtId="43" fontId="3" fillId="0" borderId="71" xfId="69" applyFont="1" applyFill="1" applyBorder="1" applyAlignment="1">
      <alignment horizontal="center" vertical="center"/>
    </xf>
    <xf numFmtId="167" fontId="28" fillId="6" borderId="67" xfId="0" applyNumberFormat="1" applyFont="1" applyFill="1" applyBorder="1" applyAlignment="1">
      <alignment horizontal="center" vertical="center"/>
    </xf>
    <xf numFmtId="165" fontId="3" fillId="0" borderId="67" xfId="53" applyNumberFormat="1" applyFont="1" applyFill="1" applyBorder="1" applyAlignment="1">
      <alignment horizontal="center" vertical="center" wrapText="1"/>
    </xf>
    <xf numFmtId="0" fontId="10" fillId="0" borderId="0" xfId="74" applyNumberFormat="1" applyFont="1" applyFill="1" applyBorder="1" applyAlignment="1" applyProtection="1">
      <alignment horizontal="center" wrapText="1"/>
    </xf>
    <xf numFmtId="0" fontId="9" fillId="0" borderId="0" xfId="74" applyNumberFormat="1" applyFont="1" applyFill="1" applyBorder="1" applyAlignment="1" applyProtection="1">
      <alignment horizontal="right"/>
    </xf>
    <xf numFmtId="0" fontId="55" fillId="0" borderId="0" xfId="74" applyNumberFormat="1" applyFont="1" applyFill="1" applyBorder="1" applyAlignment="1" applyProtection="1"/>
    <xf numFmtId="0" fontId="10" fillId="0" borderId="0" xfId="74" applyNumberFormat="1" applyFont="1" applyFill="1" applyBorder="1" applyAlignment="1" applyProtection="1"/>
    <xf numFmtId="0" fontId="10" fillId="0" borderId="0" xfId="74" applyNumberFormat="1" applyFont="1" applyFill="1" applyBorder="1" applyAlignment="1" applyProtection="1">
      <alignment horizontal="right"/>
    </xf>
    <xf numFmtId="0" fontId="18" fillId="0" borderId="39" xfId="74" applyNumberFormat="1" applyFont="1" applyFill="1" applyBorder="1" applyAlignment="1" applyProtection="1">
      <alignment horizontal="center" vertical="center" wrapText="1"/>
    </xf>
    <xf numFmtId="0" fontId="18" fillId="0" borderId="40" xfId="74" applyNumberFormat="1" applyFont="1" applyFill="1" applyBorder="1" applyAlignment="1" applyProtection="1">
      <alignment horizontal="center" vertical="center" wrapText="1"/>
    </xf>
    <xf numFmtId="0" fontId="10" fillId="0" borderId="39" xfId="74" applyNumberFormat="1" applyFont="1" applyFill="1" applyBorder="1" applyAlignment="1" applyProtection="1">
      <alignment horizontal="center" wrapText="1"/>
    </xf>
    <xf numFmtId="0" fontId="10" fillId="0" borderId="40" xfId="74" applyNumberFormat="1" applyFont="1" applyFill="1" applyBorder="1" applyAlignment="1" applyProtection="1">
      <alignment horizontal="center" wrapText="1"/>
    </xf>
    <xf numFmtId="0" fontId="55" fillId="0" borderId="42" xfId="74" applyNumberFormat="1" applyFont="1" applyFill="1" applyBorder="1" applyAlignment="1" applyProtection="1"/>
    <xf numFmtId="0" fontId="10" fillId="0" borderId="39" xfId="74" applyNumberFormat="1" applyFont="1" applyFill="1" applyBorder="1" applyAlignment="1" applyProtection="1">
      <alignment horizontal="right" vertical="top" wrapText="1"/>
    </xf>
    <xf numFmtId="0" fontId="55" fillId="0" borderId="45" xfId="74" applyNumberFormat="1" applyFont="1" applyFill="1" applyBorder="1" applyAlignment="1" applyProtection="1"/>
    <xf numFmtId="0" fontId="10" fillId="0" borderId="44" xfId="74" applyNumberFormat="1" applyFont="1" applyFill="1" applyBorder="1" applyAlignment="1" applyProtection="1">
      <alignment horizontal="left" vertical="top" wrapText="1"/>
    </xf>
    <xf numFmtId="0" fontId="10" fillId="0" borderId="44" xfId="74" applyNumberFormat="1" applyFont="1" applyFill="1" applyBorder="1" applyAlignment="1" applyProtection="1">
      <alignment horizontal="center" vertical="top" wrapText="1"/>
    </xf>
    <xf numFmtId="0" fontId="10" fillId="0" borderId="44" xfId="74" applyNumberFormat="1" applyFont="1" applyFill="1" applyBorder="1" applyAlignment="1" applyProtection="1">
      <alignment horizontal="right" vertical="top" wrapText="1"/>
    </xf>
    <xf numFmtId="0" fontId="10" fillId="0" borderId="93" xfId="74" applyNumberFormat="1" applyFont="1" applyFill="1" applyBorder="1" applyAlignment="1" applyProtection="1">
      <alignment horizontal="left" vertical="top" wrapText="1"/>
    </xf>
    <xf numFmtId="0" fontId="10" fillId="0" borderId="93" xfId="74" applyNumberFormat="1" applyFont="1" applyFill="1" applyBorder="1" applyAlignment="1" applyProtection="1">
      <alignment horizontal="center" vertical="top" wrapText="1"/>
    </xf>
    <xf numFmtId="0" fontId="10" fillId="0" borderId="93" xfId="74" applyNumberFormat="1" applyFont="1" applyFill="1" applyBorder="1" applyAlignment="1" applyProtection="1">
      <alignment horizontal="right" vertical="top" wrapText="1"/>
    </xf>
    <xf numFmtId="0" fontId="10" fillId="0" borderId="38" xfId="74" applyNumberFormat="1" applyFont="1" applyFill="1" applyBorder="1" applyAlignment="1" applyProtection="1">
      <alignment horizontal="left" vertical="top" wrapText="1"/>
    </xf>
    <xf numFmtId="0" fontId="10" fillId="0" borderId="38" xfId="74" applyNumberFormat="1" applyFont="1" applyFill="1" applyBorder="1" applyAlignment="1" applyProtection="1">
      <alignment horizontal="center" vertical="top" wrapText="1"/>
    </xf>
    <xf numFmtId="0" fontId="10" fillId="0" borderId="38" xfId="74" applyNumberFormat="1" applyFont="1" applyFill="1" applyBorder="1" applyAlignment="1" applyProtection="1">
      <alignment horizontal="right" vertical="top" wrapText="1"/>
    </xf>
    <xf numFmtId="0" fontId="10" fillId="0" borderId="0" xfId="74" applyNumberFormat="1" applyFont="1" applyFill="1" applyBorder="1" applyAlignment="1" applyProtection="1">
      <alignment vertical="top"/>
    </xf>
    <xf numFmtId="0" fontId="9" fillId="0" borderId="0" xfId="74" applyNumberFormat="1" applyFont="1" applyFill="1" applyBorder="1" applyAlignment="1" applyProtection="1"/>
    <xf numFmtId="0" fontId="18" fillId="0" borderId="0" xfId="74" applyNumberFormat="1" applyFont="1" applyFill="1" applyBorder="1" applyAlignment="1" applyProtection="1">
      <alignment horizontal="left" vertical="top"/>
    </xf>
    <xf numFmtId="0" fontId="3" fillId="0" borderId="0" xfId="53" applyFont="1" applyAlignment="1">
      <alignment horizontal="center" vertical="center"/>
    </xf>
    <xf numFmtId="0" fontId="3" fillId="0" borderId="0" xfId="53" applyFont="1" applyAlignment="1">
      <alignment vertical="center" wrapText="1"/>
    </xf>
    <xf numFmtId="43" fontId="28" fillId="0" borderId="67" xfId="44" applyFont="1" applyFill="1" applyBorder="1" applyAlignment="1">
      <alignment horizontal="center" vertical="center"/>
    </xf>
    <xf numFmtId="0" fontId="47" fillId="0" borderId="0" xfId="53" applyFont="1"/>
    <xf numFmtId="0" fontId="47" fillId="0" borderId="0" xfId="53" applyFont="1" applyAlignment="1">
      <alignment vertical="center" wrapText="1"/>
    </xf>
    <xf numFmtId="0" fontId="47" fillId="0" borderId="0" xfId="53" applyFont="1" applyAlignment="1">
      <alignment horizontal="center" vertical="center"/>
    </xf>
    <xf numFmtId="0" fontId="40" fillId="0" borderId="67" xfId="53" applyFont="1" applyFill="1" applyBorder="1" applyAlignment="1">
      <alignment horizontal="center" vertical="center" wrapText="1"/>
    </xf>
    <xf numFmtId="14" fontId="47" fillId="0" borderId="67" xfId="53" applyNumberFormat="1" applyFont="1" applyFill="1" applyBorder="1" applyAlignment="1">
      <alignment horizontal="center" vertical="center" wrapText="1"/>
    </xf>
    <xf numFmtId="43" fontId="47" fillId="0" borderId="67" xfId="44" applyFont="1" applyFill="1" applyBorder="1" applyAlignment="1">
      <alignment horizontal="center" vertical="center"/>
    </xf>
    <xf numFmtId="0" fontId="3" fillId="0" borderId="70" xfId="53" applyFont="1" applyFill="1" applyBorder="1" applyAlignment="1">
      <alignment vertical="center" wrapText="1"/>
    </xf>
    <xf numFmtId="164" fontId="3" fillId="0" borderId="0" xfId="53" applyNumberFormat="1" applyFont="1"/>
    <xf numFmtId="0" fontId="28" fillId="0" borderId="67" xfId="53" applyFont="1" applyFill="1" applyBorder="1" applyAlignment="1">
      <alignment vertical="center" wrapText="1"/>
    </xf>
    <xf numFmtId="0" fontId="10" fillId="0" borderId="91" xfId="74" applyNumberFormat="1" applyFont="1" applyFill="1" applyBorder="1" applyAlignment="1" applyProtection="1">
      <alignment horizontal="center" vertical="top" wrapText="1"/>
    </xf>
    <xf numFmtId="0" fontId="55" fillId="0" borderId="91" xfId="74" applyNumberFormat="1" applyFont="1" applyFill="1" applyBorder="1" applyAlignment="1" applyProtection="1"/>
    <xf numFmtId="0" fontId="58" fillId="0" borderId="0" xfId="74" applyNumberFormat="1" applyFont="1" applyFill="1" applyBorder="1" applyAlignment="1" applyProtection="1">
      <alignment vertical="top"/>
    </xf>
    <xf numFmtId="0" fontId="10" fillId="0" borderId="0" xfId="74" applyNumberFormat="1" applyFont="1" applyFill="1" applyBorder="1" applyAlignment="1" applyProtection="1">
      <alignment horizontal="left" indent="1"/>
    </xf>
    <xf numFmtId="0" fontId="17" fillId="0" borderId="0" xfId="74" applyNumberFormat="1" applyFont="1" applyFill="1" applyBorder="1" applyAlignment="1" applyProtection="1">
      <alignment horizontal="left"/>
    </xf>
    <xf numFmtId="0" fontId="9" fillId="0" borderId="39" xfId="74" applyNumberFormat="1" applyFont="1" applyFill="1" applyBorder="1" applyAlignment="1" applyProtection="1">
      <alignment vertical="top" wrapText="1"/>
    </xf>
    <xf numFmtId="0" fontId="10" fillId="0" borderId="65" xfId="74" applyNumberFormat="1" applyFont="1" applyFill="1" applyBorder="1" applyAlignment="1" applyProtection="1">
      <alignment horizontal="left" vertical="top" wrapText="1"/>
    </xf>
    <xf numFmtId="0" fontId="10" fillId="0" borderId="65" xfId="74" applyNumberFormat="1" applyFont="1" applyFill="1" applyBorder="1" applyAlignment="1" applyProtection="1">
      <alignment horizontal="center" vertical="top" wrapText="1"/>
    </xf>
    <xf numFmtId="0" fontId="10" fillId="0" borderId="65" xfId="74" applyNumberFormat="1" applyFont="1" applyFill="1" applyBorder="1" applyAlignment="1" applyProtection="1">
      <alignment horizontal="right" vertical="top" wrapText="1"/>
    </xf>
    <xf numFmtId="0" fontId="17" fillId="0" borderId="39" xfId="74" applyNumberFormat="1" applyFont="1" applyFill="1" applyBorder="1" applyAlignment="1" applyProtection="1">
      <alignment horizontal="right" vertical="top" wrapText="1"/>
    </xf>
    <xf numFmtId="0" fontId="9" fillId="0" borderId="38" xfId="74" applyNumberFormat="1" applyFont="1" applyFill="1" applyBorder="1" applyAlignment="1" applyProtection="1">
      <alignment vertical="top" wrapText="1"/>
    </xf>
    <xf numFmtId="0" fontId="10" fillId="0" borderId="0" xfId="74" applyNumberFormat="1" applyFont="1" applyFill="1" applyBorder="1" applyAlignment="1" applyProtection="1">
      <alignment horizontal="left" vertical="top"/>
    </xf>
    <xf numFmtId="43" fontId="17" fillId="0" borderId="39" xfId="51" applyFont="1" applyFill="1" applyBorder="1" applyAlignment="1" applyProtection="1">
      <alignment horizontal="right" vertical="top" wrapText="1"/>
    </xf>
    <xf numFmtId="0" fontId="81" fillId="0" borderId="74" xfId="53" applyFont="1" applyFill="1" applyBorder="1" applyAlignment="1">
      <alignment vertical="center" wrapText="1"/>
    </xf>
    <xf numFmtId="176" fontId="28" fillId="0" borderId="67" xfId="53" applyNumberFormat="1" applyFont="1" applyFill="1" applyBorder="1" applyAlignment="1">
      <alignment horizontal="center" vertical="center" wrapText="1"/>
    </xf>
    <xf numFmtId="3" fontId="3" fillId="0" borderId="71" xfId="53" applyNumberFormat="1" applyFont="1" applyFill="1" applyBorder="1" applyAlignment="1">
      <alignment horizontal="center" vertical="center" wrapText="1"/>
    </xf>
    <xf numFmtId="49" fontId="10" fillId="0" borderId="0" xfId="11" applyNumberFormat="1" applyFont="1" applyAlignment="1">
      <alignment horizontal="left" vertical="top"/>
    </xf>
    <xf numFmtId="0" fontId="10" fillId="0" borderId="0" xfId="11" applyFont="1" applyAlignment="1">
      <alignment horizontal="right" vertical="top"/>
    </xf>
    <xf numFmtId="0" fontId="10" fillId="0" borderId="0" xfId="11" applyFont="1" applyAlignment="1">
      <alignment horizontal="center" vertical="center"/>
    </xf>
    <xf numFmtId="0" fontId="17" fillId="0" borderId="0" xfId="11" applyFont="1" applyAlignment="1">
      <alignment horizontal="left" vertical="center"/>
    </xf>
    <xf numFmtId="0" fontId="17" fillId="0" borderId="0" xfId="11" applyFont="1" applyAlignment="1">
      <alignment horizontal="center" vertical="center"/>
    </xf>
    <xf numFmtId="0" fontId="10" fillId="0" borderId="0" xfId="11" applyFont="1" applyAlignment="1">
      <alignment horizontal="right" vertical="center"/>
    </xf>
    <xf numFmtId="49" fontId="17" fillId="0" borderId="0" xfId="11" applyNumberFormat="1" applyFont="1" applyBorder="1" applyAlignment="1">
      <alignment horizontal="left" vertical="top"/>
    </xf>
    <xf numFmtId="49" fontId="17" fillId="0" borderId="0" xfId="11" applyNumberFormat="1" applyFont="1" applyBorder="1" applyAlignment="1">
      <alignment horizontal="center" vertical="top" wrapText="1"/>
    </xf>
    <xf numFmtId="0" fontId="17" fillId="0" borderId="91" xfId="11" applyFont="1" applyBorder="1" applyAlignment="1">
      <alignment horizontal="center"/>
    </xf>
    <xf numFmtId="0" fontId="17" fillId="0" borderId="0" xfId="11" applyFont="1" applyBorder="1" applyAlignment="1">
      <alignment horizontal="center"/>
    </xf>
    <xf numFmtId="0" fontId="10" fillId="0" borderId="73" xfId="11" applyFont="1" applyBorder="1" applyAlignment="1">
      <alignment horizontal="left" vertical="center"/>
    </xf>
    <xf numFmtId="0" fontId="10" fillId="0" borderId="73" xfId="11" applyFont="1" applyBorder="1" applyAlignment="1">
      <alignment horizontal="center" vertical="center"/>
    </xf>
    <xf numFmtId="0" fontId="10" fillId="0" borderId="73" xfId="11" applyFont="1" applyBorder="1" applyAlignment="1">
      <alignment horizontal="center" vertical="center" wrapText="1"/>
    </xf>
    <xf numFmtId="0" fontId="10" fillId="0" borderId="84" xfId="11" applyFont="1" applyBorder="1" applyAlignment="1">
      <alignment horizontal="center" vertical="center"/>
    </xf>
    <xf numFmtId="49" fontId="10" fillId="0" borderId="84" xfId="11" applyNumberFormat="1" applyFont="1" applyBorder="1" applyAlignment="1">
      <alignment horizontal="center" vertical="center"/>
    </xf>
    <xf numFmtId="0" fontId="10" fillId="2" borderId="73" xfId="11" applyFont="1" applyFill="1" applyBorder="1" applyAlignment="1">
      <alignment vertical="top"/>
    </xf>
    <xf numFmtId="0" fontId="10" fillId="0" borderId="73" xfId="11" applyFont="1" applyFill="1" applyBorder="1" applyAlignment="1">
      <alignment vertical="top"/>
    </xf>
    <xf numFmtId="0" fontId="11" fillId="0" borderId="73" xfId="11" applyFont="1" applyFill="1" applyBorder="1" applyAlignment="1">
      <alignment vertical="top"/>
    </xf>
    <xf numFmtId="0" fontId="10" fillId="2" borderId="73" xfId="11" applyFont="1" applyFill="1" applyBorder="1"/>
    <xf numFmtId="0" fontId="10" fillId="0" borderId="73" xfId="11" applyFont="1" applyBorder="1"/>
    <xf numFmtId="0" fontId="17" fillId="0" borderId="73" xfId="11" applyFont="1" applyBorder="1" applyAlignment="1"/>
    <xf numFmtId="0" fontId="17" fillId="0" borderId="73" xfId="11" applyFont="1" applyBorder="1" applyAlignment="1">
      <alignment horizontal="left" vertical="top" wrapText="1"/>
    </xf>
    <xf numFmtId="0" fontId="9" fillId="0" borderId="73" xfId="11" applyBorder="1" applyAlignment="1">
      <alignment horizontal="left" vertical="top" wrapText="1"/>
    </xf>
    <xf numFmtId="0" fontId="10" fillId="0" borderId="73" xfId="11" applyFont="1" applyBorder="1" applyAlignment="1">
      <alignment horizontal="center" vertical="top" wrapText="1"/>
    </xf>
    <xf numFmtId="49" fontId="10" fillId="0" borderId="73" xfId="11" applyNumberFormat="1" applyFont="1" applyBorder="1" applyAlignment="1">
      <alignment horizontal="left" vertical="top" wrapText="1"/>
    </xf>
    <xf numFmtId="0" fontId="10" fillId="0" borderId="73" xfId="11" applyFont="1" applyBorder="1" applyAlignment="1">
      <alignment horizontal="right" vertical="top"/>
    </xf>
    <xf numFmtId="2" fontId="10" fillId="0" borderId="73" xfId="11" applyNumberFormat="1" applyFont="1" applyBorder="1" applyAlignment="1">
      <alignment horizontal="right" vertical="top" wrapText="1"/>
    </xf>
    <xf numFmtId="2" fontId="10" fillId="2" borderId="73" xfId="11" applyNumberFormat="1" applyFont="1" applyFill="1" applyBorder="1" applyAlignment="1">
      <alignment vertical="top"/>
    </xf>
    <xf numFmtId="2" fontId="10" fillId="0" borderId="73" xfId="11" applyNumberFormat="1" applyFont="1" applyFill="1" applyBorder="1" applyAlignment="1">
      <alignment vertical="top"/>
    </xf>
    <xf numFmtId="166" fontId="10" fillId="2" borderId="73" xfId="11" applyNumberFormat="1" applyFont="1" applyFill="1" applyBorder="1" applyAlignment="1">
      <alignment vertical="top"/>
    </xf>
    <xf numFmtId="3" fontId="10" fillId="2" borderId="73" xfId="11" applyNumberFormat="1" applyFont="1" applyFill="1" applyBorder="1" applyAlignment="1">
      <alignment vertical="top"/>
    </xf>
    <xf numFmtId="0" fontId="10" fillId="0" borderId="73" xfId="11" applyFont="1" applyBorder="1" applyAlignment="1">
      <alignment horizontal="right" vertical="top" wrapText="1"/>
    </xf>
    <xf numFmtId="2" fontId="11" fillId="0" borderId="73" xfId="11" applyNumberFormat="1" applyFont="1" applyFill="1" applyBorder="1" applyAlignment="1">
      <alignment vertical="top"/>
    </xf>
    <xf numFmtId="3" fontId="10" fillId="2" borderId="73" xfId="11" applyNumberFormat="1" applyFont="1" applyFill="1" applyBorder="1"/>
    <xf numFmtId="0" fontId="17" fillId="15" borderId="73" xfId="11" applyFont="1" applyFill="1" applyBorder="1" applyAlignment="1">
      <alignment horizontal="center" vertical="top"/>
    </xf>
    <xf numFmtId="49" fontId="17" fillId="15" borderId="73" xfId="11" applyNumberFormat="1" applyFont="1" applyFill="1" applyBorder="1" applyAlignment="1">
      <alignment horizontal="right" vertical="top" wrapText="1"/>
    </xf>
    <xf numFmtId="0" fontId="50" fillId="15" borderId="73" xfId="11" applyFont="1" applyFill="1" applyBorder="1" applyAlignment="1">
      <alignment vertical="top" wrapText="1"/>
    </xf>
    <xf numFmtId="0" fontId="17" fillId="15" borderId="73" xfId="11" applyFont="1" applyFill="1" applyBorder="1" applyAlignment="1">
      <alignment horizontal="right" vertical="top" wrapText="1"/>
    </xf>
    <xf numFmtId="2" fontId="17" fillId="15" borderId="73" xfId="11" applyNumberFormat="1" applyFont="1" applyFill="1" applyBorder="1" applyAlignment="1">
      <alignment horizontal="right" vertical="top" wrapText="1"/>
    </xf>
    <xf numFmtId="0" fontId="17" fillId="0" borderId="73" xfId="11" applyFont="1" applyBorder="1" applyAlignment="1">
      <alignment horizontal="left" vertical="top"/>
    </xf>
    <xf numFmtId="2" fontId="10" fillId="0" borderId="73" xfId="11" applyNumberFormat="1" applyFont="1" applyBorder="1" applyAlignment="1">
      <alignment horizontal="right" vertical="top"/>
    </xf>
    <xf numFmtId="49" fontId="103" fillId="0" borderId="73" xfId="11" applyNumberFormat="1" applyFont="1" applyBorder="1" applyAlignment="1">
      <alignment horizontal="left" vertical="top" wrapText="1"/>
    </xf>
    <xf numFmtId="0" fontId="103" fillId="0" borderId="73" xfId="11" applyFont="1" applyBorder="1" applyAlignment="1">
      <alignment horizontal="right" vertical="top" wrapText="1"/>
    </xf>
    <xf numFmtId="0" fontId="103" fillId="0" borderId="73" xfId="11" applyFont="1" applyBorder="1" applyAlignment="1">
      <alignment horizontal="right" vertical="top"/>
    </xf>
    <xf numFmtId="2" fontId="17" fillId="10" borderId="73" xfId="11" applyNumberFormat="1" applyFont="1" applyFill="1" applyBorder="1" applyAlignment="1">
      <alignment vertical="top"/>
    </xf>
    <xf numFmtId="43" fontId="17" fillId="0" borderId="73" xfId="76" applyFont="1" applyBorder="1" applyAlignment="1"/>
    <xf numFmtId="0" fontId="10" fillId="2" borderId="73" xfId="11" applyFont="1" applyFill="1" applyBorder="1" applyAlignment="1">
      <alignment horizontal="center" vertical="center"/>
    </xf>
    <xf numFmtId="0" fontId="10" fillId="2" borderId="0" xfId="11" applyFont="1" applyFill="1"/>
    <xf numFmtId="2" fontId="17" fillId="4" borderId="73" xfId="11" applyNumberFormat="1" applyFont="1" applyFill="1" applyBorder="1" applyAlignment="1">
      <alignment vertical="top"/>
    </xf>
    <xf numFmtId="2" fontId="17" fillId="2" borderId="73" xfId="11" applyNumberFormat="1" applyFont="1" applyFill="1" applyBorder="1" applyAlignment="1">
      <alignment vertical="top"/>
    </xf>
    <xf numFmtId="0" fontId="17" fillId="2" borderId="73" xfId="11" applyFont="1" applyFill="1" applyBorder="1" applyAlignment="1">
      <alignment vertical="top"/>
    </xf>
    <xf numFmtId="49" fontId="17" fillId="15" borderId="83" xfId="11" applyNumberFormat="1" applyFont="1" applyFill="1" applyBorder="1" applyAlignment="1">
      <alignment horizontal="right" vertical="top" wrapText="1"/>
    </xf>
    <xf numFmtId="49" fontId="17" fillId="15" borderId="90" xfId="11" applyNumberFormat="1" applyFont="1" applyFill="1" applyBorder="1" applyAlignment="1">
      <alignment horizontal="right" vertical="top" wrapText="1"/>
    </xf>
    <xf numFmtId="2" fontId="17" fillId="15" borderId="73" xfId="11" applyNumberFormat="1" applyFont="1" applyFill="1" applyBorder="1" applyAlignment="1">
      <alignment horizontal="right" vertical="top"/>
    </xf>
    <xf numFmtId="2" fontId="103" fillId="0" borderId="73" xfId="11" applyNumberFormat="1" applyFont="1" applyBorder="1" applyAlignment="1">
      <alignment horizontal="right" vertical="top" wrapText="1"/>
    </xf>
    <xf numFmtId="0" fontId="17" fillId="15" borderId="73" xfId="11" applyFont="1" applyFill="1" applyBorder="1" applyAlignment="1">
      <alignment horizontal="right" vertical="top"/>
    </xf>
    <xf numFmtId="49" fontId="17" fillId="15" borderId="73" xfId="11" applyNumberFormat="1" applyFont="1" applyFill="1" applyBorder="1" applyAlignment="1">
      <alignment horizontal="left" vertical="top"/>
    </xf>
    <xf numFmtId="2" fontId="17" fillId="15" borderId="73" xfId="11" applyNumberFormat="1" applyFont="1" applyFill="1" applyBorder="1" applyAlignment="1">
      <alignment vertical="top"/>
    </xf>
    <xf numFmtId="3" fontId="17" fillId="15" borderId="73" xfId="11" applyNumberFormat="1" applyFont="1" applyFill="1" applyBorder="1" applyAlignment="1">
      <alignment vertical="top"/>
    </xf>
    <xf numFmtId="0" fontId="17" fillId="0" borderId="83" xfId="11" applyFont="1" applyBorder="1" applyAlignment="1">
      <alignment horizontal="left" vertical="top"/>
    </xf>
    <xf numFmtId="0" fontId="17" fillId="0" borderId="89" xfId="11" applyFont="1" applyBorder="1" applyAlignment="1">
      <alignment horizontal="left" vertical="top" wrapText="1"/>
    </xf>
    <xf numFmtId="0" fontId="17" fillId="0" borderId="90" xfId="11" applyFont="1" applyBorder="1" applyAlignment="1">
      <alignment horizontal="left" vertical="top" wrapText="1"/>
    </xf>
    <xf numFmtId="2" fontId="10" fillId="0" borderId="73" xfId="11" applyNumberFormat="1" applyFont="1" applyBorder="1" applyAlignment="1">
      <alignment vertical="top"/>
    </xf>
    <xf numFmtId="0" fontId="10" fillId="0" borderId="73" xfId="11" applyFont="1" applyBorder="1" applyAlignment="1">
      <alignment vertical="top"/>
    </xf>
    <xf numFmtId="0" fontId="9" fillId="0" borderId="73" xfId="11" applyBorder="1" applyAlignment="1">
      <alignment wrapText="1"/>
    </xf>
    <xf numFmtId="2" fontId="9" fillId="0" borderId="73" xfId="11" applyNumberFormat="1" applyBorder="1" applyAlignment="1">
      <alignment wrapText="1"/>
    </xf>
    <xf numFmtId="0" fontId="9" fillId="0" borderId="73" xfId="11" applyBorder="1" applyAlignment="1">
      <alignment vertical="top" wrapText="1"/>
    </xf>
    <xf numFmtId="0" fontId="10" fillId="0" borderId="73" xfId="11" applyFont="1" applyBorder="1" applyAlignment="1">
      <alignment horizontal="right"/>
    </xf>
    <xf numFmtId="49" fontId="10" fillId="0" borderId="73" xfId="11" applyNumberFormat="1" applyFont="1" applyBorder="1" applyAlignment="1">
      <alignment horizontal="left" wrapText="1"/>
    </xf>
    <xf numFmtId="2" fontId="10" fillId="0" borderId="73" xfId="11" applyNumberFormat="1" applyFont="1" applyBorder="1" applyAlignment="1">
      <alignment horizontal="right" wrapText="1"/>
    </xf>
    <xf numFmtId="2" fontId="9" fillId="0" borderId="73" xfId="11" applyNumberFormat="1" applyFont="1" applyBorder="1" applyAlignment="1">
      <alignment wrapText="1"/>
    </xf>
    <xf numFmtId="0" fontId="10" fillId="15" borderId="73" xfId="11" applyFont="1" applyFill="1" applyBorder="1" applyAlignment="1">
      <alignment horizontal="center" vertical="center" wrapText="1"/>
    </xf>
    <xf numFmtId="49" fontId="17" fillId="15" borderId="73" xfId="11" applyNumberFormat="1" applyFont="1" applyFill="1" applyBorder="1" applyAlignment="1">
      <alignment horizontal="left" vertical="top" wrapText="1"/>
    </xf>
    <xf numFmtId="0" fontId="17" fillId="0" borderId="73" xfId="11" applyFont="1" applyBorder="1" applyAlignment="1">
      <alignment vertical="top"/>
    </xf>
    <xf numFmtId="0" fontId="17" fillId="8" borderId="73" xfId="11" applyFont="1" applyFill="1" applyBorder="1" applyAlignment="1">
      <alignment horizontal="center" vertical="center" wrapText="1"/>
    </xf>
    <xf numFmtId="49" fontId="17" fillId="8" borderId="73" xfId="11" applyNumberFormat="1" applyFont="1" applyFill="1" applyBorder="1" applyAlignment="1">
      <alignment horizontal="left" vertical="top" wrapText="1"/>
    </xf>
    <xf numFmtId="2" fontId="17" fillId="8" borderId="73" xfId="11" applyNumberFormat="1" applyFont="1" applyFill="1" applyBorder="1" applyAlignment="1">
      <alignment horizontal="right" vertical="top" wrapText="1"/>
    </xf>
    <xf numFmtId="0" fontId="10" fillId="0" borderId="73" xfId="11" applyFont="1" applyBorder="1" applyAlignment="1">
      <alignment horizontal="left" vertical="top" wrapText="1"/>
    </xf>
    <xf numFmtId="0" fontId="9" fillId="0" borderId="73" xfId="11" applyBorder="1"/>
    <xf numFmtId="0" fontId="10" fillId="0" borderId="0" xfId="11" applyNumberFormat="1" applyFont="1" applyFill="1" applyBorder="1" applyAlignment="1" applyProtection="1">
      <alignment horizontal="center" vertical="top"/>
    </xf>
    <xf numFmtId="49" fontId="10" fillId="0" borderId="0" xfId="11" applyNumberFormat="1" applyFont="1" applyFill="1" applyBorder="1" applyAlignment="1" applyProtection="1">
      <alignment horizontal="left" vertical="top"/>
    </xf>
    <xf numFmtId="0" fontId="10" fillId="0" borderId="0" xfId="11" applyNumberFormat="1" applyFont="1" applyFill="1" applyBorder="1" applyAlignment="1" applyProtection="1">
      <alignment horizontal="right" vertical="top"/>
    </xf>
    <xf numFmtId="0" fontId="2" fillId="0" borderId="0" xfId="11" applyFont="1" applyAlignment="1">
      <alignment vertical="center"/>
    </xf>
    <xf numFmtId="0" fontId="104" fillId="0" borderId="0" xfId="77" applyFont="1" applyBorder="1"/>
    <xf numFmtId="0" fontId="102" fillId="0" borderId="0" xfId="11" applyFont="1" applyAlignment="1">
      <alignment vertical="center"/>
    </xf>
    <xf numFmtId="0" fontId="84" fillId="8" borderId="83" xfId="11" applyFont="1" applyFill="1" applyBorder="1" applyAlignment="1">
      <alignment horizontal="center" vertical="center"/>
    </xf>
    <xf numFmtId="0" fontId="84" fillId="8" borderId="89" xfId="11" applyFont="1" applyFill="1" applyBorder="1" applyAlignment="1">
      <alignment horizontal="center" vertical="center"/>
    </xf>
    <xf numFmtId="0" fontId="84" fillId="8" borderId="90" xfId="11" applyFont="1" applyFill="1" applyBorder="1" applyAlignment="1">
      <alignment horizontal="center" vertical="center"/>
    </xf>
    <xf numFmtId="0" fontId="1" fillId="8" borderId="83" xfId="11" applyFont="1" applyFill="1" applyBorder="1" applyAlignment="1">
      <alignment horizontal="center" vertical="center"/>
    </xf>
    <xf numFmtId="0" fontId="1" fillId="8" borderId="89" xfId="11" applyFont="1" applyFill="1" applyBorder="1" applyAlignment="1">
      <alignment horizontal="center" vertical="center"/>
    </xf>
    <xf numFmtId="0" fontId="1" fillId="8" borderId="90" xfId="11" applyFont="1" applyFill="1" applyBorder="1" applyAlignment="1">
      <alignment horizontal="center" vertical="center"/>
    </xf>
    <xf numFmtId="0" fontId="37" fillId="0" borderId="0" xfId="77"/>
    <xf numFmtId="0" fontId="1" fillId="0" borderId="73" xfId="11" applyFont="1" applyBorder="1" applyAlignment="1">
      <alignment horizontal="center" vertical="center"/>
    </xf>
    <xf numFmtId="0" fontId="9" fillId="0" borderId="73" xfId="11" applyBorder="1" applyAlignment="1">
      <alignment horizontal="center" vertical="center" wrapText="1"/>
    </xf>
    <xf numFmtId="0" fontId="1" fillId="0" borderId="73" xfId="11" applyFont="1" applyBorder="1" applyAlignment="1">
      <alignment horizontal="center" vertical="center" wrapText="1"/>
    </xf>
    <xf numFmtId="0" fontId="9" fillId="0" borderId="73" xfId="11" applyBorder="1" applyAlignment="1">
      <alignment horizontal="center"/>
    </xf>
    <xf numFmtId="0" fontId="105" fillId="0" borderId="73" xfId="11" applyFont="1" applyBorder="1" applyAlignment="1">
      <alignment horizontal="center"/>
    </xf>
    <xf numFmtId="169" fontId="1" fillId="0" borderId="73" xfId="11" applyNumberFormat="1" applyFont="1" applyBorder="1" applyAlignment="1">
      <alignment horizontal="center"/>
    </xf>
    <xf numFmtId="169" fontId="9" fillId="0" borderId="73" xfId="11" applyNumberFormat="1" applyBorder="1" applyAlignment="1">
      <alignment horizontal="center"/>
    </xf>
    <xf numFmtId="0" fontId="104" fillId="0" borderId="73" xfId="11" applyFont="1" applyBorder="1" applyAlignment="1">
      <alignment horizontal="center" vertical="center" wrapText="1"/>
    </xf>
    <xf numFmtId="0" fontId="9" fillId="0" borderId="73" xfId="11" applyBorder="1" applyAlignment="1"/>
    <xf numFmtId="0" fontId="9" fillId="0" borderId="73" xfId="11" applyBorder="1" applyAlignment="1">
      <alignment vertical="center"/>
    </xf>
    <xf numFmtId="169" fontId="9" fillId="0" borderId="73" xfId="11" applyNumberFormat="1" applyBorder="1" applyAlignment="1">
      <alignment horizontal="center" vertical="center"/>
    </xf>
    <xf numFmtId="0" fontId="9" fillId="6" borderId="73" xfId="11" applyFill="1" applyBorder="1" applyAlignment="1">
      <alignment horizontal="center"/>
    </xf>
    <xf numFmtId="0" fontId="9" fillId="6" borderId="73" xfId="11" applyFill="1" applyBorder="1"/>
    <xf numFmtId="169" fontId="9" fillId="0" borderId="73" xfId="11" applyNumberFormat="1" applyBorder="1" applyAlignment="1">
      <alignment horizontal="center" vertical="center" wrapText="1"/>
    </xf>
    <xf numFmtId="0" fontId="9" fillId="0" borderId="73" xfId="11" applyBorder="1" applyAlignment="1">
      <alignment horizontal="center" vertical="center"/>
    </xf>
    <xf numFmtId="0" fontId="50" fillId="8" borderId="83" xfId="11" applyFont="1" applyFill="1" applyBorder="1" applyAlignment="1">
      <alignment horizontal="center"/>
    </xf>
    <xf numFmtId="0" fontId="50" fillId="8" borderId="89" xfId="11" applyFont="1" applyFill="1" applyBorder="1" applyAlignment="1">
      <alignment horizontal="center"/>
    </xf>
    <xf numFmtId="0" fontId="50" fillId="8" borderId="90" xfId="11" applyFont="1" applyFill="1" applyBorder="1" applyAlignment="1">
      <alignment horizontal="center"/>
    </xf>
    <xf numFmtId="0" fontId="104" fillId="0" borderId="83" xfId="11" applyFont="1" applyBorder="1" applyAlignment="1">
      <alignment horizontal="left"/>
    </xf>
    <xf numFmtId="0" fontId="104" fillId="0" borderId="89" xfId="11" applyFont="1" applyBorder="1" applyAlignment="1">
      <alignment horizontal="left"/>
    </xf>
    <xf numFmtId="0" fontId="104" fillId="0" borderId="90" xfId="11" applyFont="1" applyBorder="1" applyAlignment="1">
      <alignment horizontal="left"/>
    </xf>
    <xf numFmtId="0" fontId="50" fillId="0" borderId="73" xfId="11" applyFont="1" applyBorder="1" applyAlignment="1">
      <alignment horizontal="center"/>
    </xf>
    <xf numFmtId="4" fontId="9" fillId="0" borderId="73" xfId="11" applyNumberFormat="1" applyFont="1" applyBorder="1" applyAlignment="1">
      <alignment horizontal="center"/>
    </xf>
    <xf numFmtId="0" fontId="9" fillId="0" borderId="83" xfId="11" applyFont="1" applyBorder="1" applyAlignment="1">
      <alignment horizontal="left"/>
    </xf>
    <xf numFmtId="0" fontId="9" fillId="0" borderId="89" xfId="11" applyFont="1" applyBorder="1" applyAlignment="1">
      <alignment horizontal="left"/>
    </xf>
    <xf numFmtId="0" fontId="9" fillId="0" borderId="90" xfId="11" applyFont="1" applyBorder="1" applyAlignment="1">
      <alignment horizontal="left"/>
    </xf>
    <xf numFmtId="169" fontId="9" fillId="0" borderId="73" xfId="11" applyNumberFormat="1" applyFont="1" applyBorder="1" applyAlignment="1">
      <alignment horizontal="center"/>
    </xf>
    <xf numFmtId="0" fontId="9" fillId="0" borderId="83" xfId="11" applyBorder="1" applyAlignment="1">
      <alignment horizontal="left"/>
    </xf>
    <xf numFmtId="0" fontId="9" fillId="0" borderId="89" xfId="11" applyBorder="1" applyAlignment="1">
      <alignment horizontal="left"/>
    </xf>
    <xf numFmtId="0" fontId="9" fillId="0" borderId="90" xfId="11" applyBorder="1" applyAlignment="1">
      <alignment horizontal="left"/>
    </xf>
    <xf numFmtId="4" fontId="9" fillId="0" borderId="73" xfId="11" applyNumberFormat="1" applyBorder="1" applyAlignment="1">
      <alignment horizontal="center"/>
    </xf>
    <xf numFmtId="0" fontId="100" fillId="0" borderId="83" xfId="11" applyFont="1" applyBorder="1" applyAlignment="1">
      <alignment horizontal="center" vertical="center" wrapText="1"/>
    </xf>
    <xf numFmtId="0" fontId="100" fillId="0" borderId="90" xfId="11" applyFont="1" applyBorder="1" applyAlignment="1">
      <alignment horizontal="center" vertical="center" wrapText="1"/>
    </xf>
    <xf numFmtId="0" fontId="100" fillId="0" borderId="73" xfId="11" applyFont="1" applyBorder="1" applyAlignment="1">
      <alignment horizontal="center" vertical="center" wrapText="1"/>
    </xf>
    <xf numFmtId="4" fontId="100" fillId="0" borderId="73" xfId="11" applyNumberFormat="1" applyFont="1" applyBorder="1" applyAlignment="1">
      <alignment horizontal="center"/>
    </xf>
    <xf numFmtId="0" fontId="9" fillId="0" borderId="0" xfId="11"/>
    <xf numFmtId="0" fontId="105" fillId="0" borderId="83" xfId="11" applyFont="1" applyFill="1" applyBorder="1" applyAlignment="1">
      <alignment horizontal="center" wrapText="1"/>
    </xf>
    <xf numFmtId="0" fontId="105" fillId="0" borderId="90" xfId="11" applyFont="1" applyFill="1" applyBorder="1" applyAlignment="1">
      <alignment horizontal="center" wrapText="1"/>
    </xf>
    <xf numFmtId="4" fontId="105" fillId="0" borderId="73" xfId="11" applyNumberFormat="1" applyFont="1" applyBorder="1" applyAlignment="1">
      <alignment horizontal="center"/>
    </xf>
    <xf numFmtId="3" fontId="9" fillId="0" borderId="0" xfId="11" applyNumberFormat="1"/>
    <xf numFmtId="4" fontId="10" fillId="0" borderId="0" xfId="11" applyNumberFormat="1" applyFont="1" applyAlignment="1">
      <alignment horizontal="right" vertical="top"/>
    </xf>
    <xf numFmtId="3" fontId="10" fillId="0" borderId="0" xfId="11" applyNumberFormat="1" applyFont="1"/>
    <xf numFmtId="0" fontId="28" fillId="0" borderId="0" xfId="0" applyFont="1" applyAlignment="1">
      <alignment horizontal="left" wrapText="1"/>
    </xf>
    <xf numFmtId="0" fontId="2" fillId="0" borderId="0" xfId="28" applyFont="1" applyAlignment="1">
      <alignment horizontal="center" vertical="center"/>
    </xf>
    <xf numFmtId="0" fontId="10" fillId="0" borderId="0" xfId="74" applyNumberFormat="1" applyFont="1" applyFill="1" applyBorder="1" applyAlignment="1" applyProtection="1">
      <alignment horizontal="left" vertical="top" wrapText="1"/>
    </xf>
    <xf numFmtId="0" fontId="52" fillId="0" borderId="0" xfId="74"/>
    <xf numFmtId="0" fontId="10" fillId="0" borderId="0" xfId="74" applyNumberFormat="1" applyFont="1" applyFill="1" applyBorder="1" applyAlignment="1" applyProtection="1">
      <alignment horizontal="center"/>
    </xf>
    <xf numFmtId="0" fontId="10" fillId="0" borderId="0" xfId="15"/>
    <xf numFmtId="4" fontId="3" fillId="0" borderId="71" xfId="53" applyNumberFormat="1" applyFont="1" applyFill="1" applyBorder="1" applyAlignment="1">
      <alignment horizontal="center" vertical="center" wrapText="1"/>
    </xf>
    <xf numFmtId="0" fontId="3" fillId="0" borderId="0" xfId="28" applyFont="1" applyAlignment="1">
      <alignment horizontal="left"/>
    </xf>
    <xf numFmtId="4" fontId="3" fillId="0" borderId="0" xfId="28" applyNumberFormat="1" applyFont="1" applyAlignment="1">
      <alignment horizontal="center" vertical="center"/>
    </xf>
    <xf numFmtId="0" fontId="3" fillId="0" borderId="0" xfId="28" applyFont="1" applyAlignment="1">
      <alignment horizontal="center" vertical="center"/>
    </xf>
    <xf numFmtId="0" fontId="1" fillId="0" borderId="0" xfId="28" applyFont="1"/>
    <xf numFmtId="0" fontId="2" fillId="0" borderId="0" xfId="28" applyFont="1" applyBorder="1" applyAlignment="1">
      <alignment horizontal="left"/>
    </xf>
    <xf numFmtId="4" fontId="2" fillId="0" borderId="0" xfId="28" applyNumberFormat="1" applyFont="1" applyBorder="1" applyAlignment="1">
      <alignment horizontal="center"/>
    </xf>
    <xf numFmtId="0" fontId="2" fillId="0" borderId="0" xfId="28" applyFont="1" applyBorder="1" applyAlignment="1">
      <alignment horizontal="center"/>
    </xf>
    <xf numFmtId="0" fontId="2" fillId="0" borderId="0" xfId="28" applyFont="1" applyAlignment="1">
      <alignment horizontal="center"/>
    </xf>
    <xf numFmtId="4" fontId="2" fillId="0" borderId="0" xfId="28" applyNumberFormat="1" applyFont="1" applyAlignment="1">
      <alignment horizontal="center" vertical="center"/>
    </xf>
    <xf numFmtId="0" fontId="3" fillId="0" borderId="0" xfId="28" applyFont="1" applyAlignment="1">
      <alignment horizontal="justify"/>
    </xf>
    <xf numFmtId="0" fontId="28" fillId="0" borderId="0" xfId="0" applyFont="1" applyAlignment="1">
      <alignment wrapText="1"/>
    </xf>
    <xf numFmtId="0" fontId="23" fillId="0" borderId="0" xfId="15" applyFont="1" applyAlignment="1"/>
    <xf numFmtId="0" fontId="28" fillId="5" borderId="0" xfId="0" applyFont="1" applyFill="1" applyBorder="1" applyAlignment="1">
      <alignment horizontal="left" vertical="center" wrapText="1"/>
    </xf>
    <xf numFmtId="0" fontId="28" fillId="0" borderId="0" xfId="0" applyFont="1" applyFill="1" applyBorder="1" applyAlignment="1">
      <alignment horizontal="center" vertical="center" wrapText="1"/>
    </xf>
    <xf numFmtId="167" fontId="28" fillId="0" borderId="0" xfId="28" applyNumberFormat="1" applyFont="1" applyFill="1" applyBorder="1" applyAlignment="1">
      <alignment horizontal="right" vertical="center"/>
    </xf>
    <xf numFmtId="0" fontId="106" fillId="0" borderId="0" xfId="53" applyFont="1"/>
    <xf numFmtId="0" fontId="106" fillId="0" borderId="69" xfId="53" applyNumberFormat="1" applyFont="1" applyFill="1" applyBorder="1" applyAlignment="1">
      <alignment horizontal="center" vertical="center"/>
    </xf>
    <xf numFmtId="0" fontId="106" fillId="5" borderId="67" xfId="53" applyFont="1" applyFill="1" applyBorder="1" applyAlignment="1">
      <alignment vertical="center" wrapText="1"/>
    </xf>
    <xf numFmtId="0" fontId="106" fillId="0" borderId="67" xfId="53" applyFont="1" applyFill="1" applyBorder="1" applyAlignment="1">
      <alignment horizontal="center" vertical="center" wrapText="1"/>
    </xf>
    <xf numFmtId="14" fontId="106" fillId="0" borderId="67" xfId="53" applyNumberFormat="1" applyFont="1" applyFill="1" applyBorder="1" applyAlignment="1">
      <alignment horizontal="center" vertical="center" wrapText="1"/>
    </xf>
    <xf numFmtId="43" fontId="106" fillId="0" borderId="67" xfId="44" applyFont="1" applyFill="1" applyBorder="1" applyAlignment="1">
      <alignment horizontal="center" vertical="center"/>
    </xf>
    <xf numFmtId="180" fontId="106" fillId="0" borderId="67" xfId="44" applyNumberFormat="1" applyFont="1" applyFill="1" applyBorder="1" applyAlignment="1">
      <alignment horizontal="center" vertical="center"/>
    </xf>
    <xf numFmtId="167" fontId="106" fillId="0" borderId="67" xfId="53" applyNumberFormat="1" applyFont="1" applyFill="1" applyBorder="1" applyAlignment="1">
      <alignment horizontal="center" vertical="center"/>
    </xf>
    <xf numFmtId="0" fontId="106" fillId="0" borderId="70" xfId="53" applyFont="1" applyFill="1" applyBorder="1" applyAlignment="1">
      <alignment wrapText="1"/>
    </xf>
    <xf numFmtId="0" fontId="106" fillId="0" borderId="0" xfId="53" applyFont="1" applyFill="1"/>
    <xf numFmtId="167" fontId="106" fillId="6" borderId="67" xfId="0" applyNumberFormat="1" applyFont="1" applyFill="1" applyBorder="1" applyAlignment="1">
      <alignment horizontal="center" vertical="center"/>
    </xf>
    <xf numFmtId="0" fontId="106" fillId="5" borderId="71" xfId="53" applyFont="1" applyFill="1" applyBorder="1" applyAlignment="1">
      <alignment vertical="center" wrapText="1"/>
    </xf>
    <xf numFmtId="0" fontId="106" fillId="0" borderId="71" xfId="53" applyFont="1" applyFill="1" applyBorder="1" applyAlignment="1">
      <alignment horizontal="center" vertical="center" wrapText="1"/>
    </xf>
    <xf numFmtId="169" fontId="106" fillId="0" borderId="71" xfId="53" applyNumberFormat="1" applyFont="1" applyFill="1" applyBorder="1" applyAlignment="1">
      <alignment horizontal="center" vertical="center" wrapText="1"/>
    </xf>
    <xf numFmtId="169" fontId="106" fillId="0" borderId="67" xfId="53" applyNumberFormat="1" applyFont="1" applyFill="1" applyBorder="1" applyAlignment="1">
      <alignment horizontal="center" vertical="center" wrapText="1"/>
    </xf>
    <xf numFmtId="0" fontId="10" fillId="0" borderId="73" xfId="11" applyFont="1" applyFill="1" applyBorder="1" applyAlignment="1">
      <alignment horizontal="center" vertical="center"/>
    </xf>
    <xf numFmtId="2" fontId="17" fillId="0" borderId="73" xfId="11" applyNumberFormat="1" applyFont="1" applyBorder="1" applyAlignment="1"/>
    <xf numFmtId="0" fontId="10" fillId="0" borderId="84" xfId="11" applyFont="1" applyBorder="1" applyAlignment="1">
      <alignment horizontal="center" vertical="center"/>
    </xf>
    <xf numFmtId="49" fontId="28" fillId="4" borderId="8" xfId="15" applyNumberFormat="1" applyFont="1" applyFill="1" applyBorder="1" applyAlignment="1">
      <alignment horizontal="center" vertical="center" wrapText="1"/>
    </xf>
    <xf numFmtId="0" fontId="28" fillId="4" borderId="28" xfId="15" applyNumberFormat="1" applyFont="1" applyFill="1" applyBorder="1" applyAlignment="1">
      <alignment horizontal="left" vertical="center" wrapText="1"/>
    </xf>
    <xf numFmtId="0" fontId="28" fillId="4" borderId="8" xfId="15" applyFont="1" applyFill="1" applyBorder="1" applyAlignment="1">
      <alignment horizontal="center" vertical="center" wrapText="1"/>
    </xf>
    <xf numFmtId="4" fontId="31" fillId="4" borderId="8" xfId="15" applyNumberFormat="1" applyFont="1" applyFill="1" applyBorder="1" applyAlignment="1">
      <alignment horizontal="center" vertical="center" wrapText="1"/>
    </xf>
    <xf numFmtId="4" fontId="28" fillId="4" borderId="8" xfId="15" applyNumberFormat="1" applyFont="1" applyFill="1" applyBorder="1" applyAlignment="1">
      <alignment horizontal="center" vertical="center" wrapText="1"/>
    </xf>
    <xf numFmtId="4" fontId="28" fillId="2" borderId="8" xfId="15" applyNumberFormat="1" applyFont="1" applyFill="1" applyBorder="1" applyAlignment="1">
      <alignment horizontal="center" vertical="center" wrapText="1"/>
    </xf>
    <xf numFmtId="49" fontId="28" fillId="2" borderId="8" xfId="15" applyNumberFormat="1" applyFont="1" applyFill="1" applyBorder="1" applyAlignment="1">
      <alignment horizontal="center" vertical="center" wrapText="1"/>
    </xf>
    <xf numFmtId="0" fontId="28" fillId="0" borderId="0" xfId="53" applyFont="1"/>
    <xf numFmtId="0" fontId="28" fillId="0" borderId="66" xfId="53" applyNumberFormat="1" applyFont="1" applyFill="1" applyBorder="1" applyAlignment="1">
      <alignment horizontal="center" vertical="center"/>
    </xf>
    <xf numFmtId="14" fontId="28" fillId="0" borderId="67" xfId="53" applyNumberFormat="1" applyFont="1" applyFill="1" applyBorder="1" applyAlignment="1">
      <alignment horizontal="center" vertical="center" wrapText="1"/>
    </xf>
    <xf numFmtId="180" fontId="28" fillId="0" borderId="67" xfId="44" applyNumberFormat="1" applyFont="1" applyFill="1" applyBorder="1" applyAlignment="1">
      <alignment horizontal="center" vertical="center"/>
    </xf>
    <xf numFmtId="0" fontId="28" fillId="0" borderId="68" xfId="53" applyFont="1" applyFill="1" applyBorder="1" applyAlignment="1">
      <alignment wrapText="1"/>
    </xf>
    <xf numFmtId="0" fontId="28" fillId="0" borderId="69" xfId="53" applyNumberFormat="1" applyFont="1" applyFill="1" applyBorder="1" applyAlignment="1">
      <alignment horizontal="center" vertical="center"/>
    </xf>
    <xf numFmtId="3" fontId="28" fillId="0" borderId="67" xfId="53" applyNumberFormat="1" applyFont="1" applyFill="1" applyBorder="1" applyAlignment="1">
      <alignment horizontal="center" vertical="center" wrapText="1"/>
    </xf>
    <xf numFmtId="2" fontId="28" fillId="0" borderId="67" xfId="53" applyNumberFormat="1" applyFont="1" applyFill="1" applyBorder="1" applyAlignment="1">
      <alignment horizontal="center" vertical="center" wrapText="1"/>
    </xf>
    <xf numFmtId="0" fontId="28" fillId="0" borderId="70" xfId="53" applyFont="1" applyFill="1" applyBorder="1" applyAlignment="1">
      <alignment wrapText="1"/>
    </xf>
    <xf numFmtId="0" fontId="28" fillId="0" borderId="71" xfId="53" applyFont="1" applyFill="1" applyBorder="1" applyAlignment="1">
      <alignment horizontal="center" vertical="center" wrapText="1"/>
    </xf>
    <xf numFmtId="169" fontId="28" fillId="0" borderId="71" xfId="53" applyNumberFormat="1" applyFont="1" applyFill="1" applyBorder="1" applyAlignment="1">
      <alignment horizontal="center" vertical="center" wrapText="1"/>
    </xf>
    <xf numFmtId="164" fontId="28" fillId="0" borderId="0" xfId="53" applyNumberFormat="1" applyFont="1"/>
    <xf numFmtId="0" fontId="28" fillId="0" borderId="0" xfId="53" applyFont="1" applyFill="1"/>
    <xf numFmtId="169" fontId="28" fillId="0" borderId="67" xfId="53" applyNumberFormat="1" applyFont="1" applyFill="1" applyBorder="1" applyAlignment="1">
      <alignment horizontal="center" vertical="center" wrapText="1"/>
    </xf>
    <xf numFmtId="0" fontId="28" fillId="0" borderId="67" xfId="53" applyFont="1" applyFill="1" applyBorder="1" applyAlignment="1">
      <alignment horizontal="center" vertical="center"/>
    </xf>
    <xf numFmtId="4" fontId="28" fillId="0" borderId="67" xfId="53" applyNumberFormat="1" applyFont="1" applyFill="1" applyBorder="1" applyAlignment="1">
      <alignment horizontal="center" vertical="center" wrapText="1"/>
    </xf>
    <xf numFmtId="165" fontId="28" fillId="0" borderId="67" xfId="53" applyNumberFormat="1" applyFont="1" applyFill="1" applyBorder="1" applyAlignment="1">
      <alignment horizontal="center" vertical="center" wrapText="1"/>
    </xf>
    <xf numFmtId="181" fontId="28" fillId="0" borderId="67" xfId="44" applyNumberFormat="1" applyFont="1" applyFill="1" applyBorder="1" applyAlignment="1">
      <alignment horizontal="center" vertical="center"/>
    </xf>
    <xf numFmtId="0" fontId="28" fillId="0" borderId="67" xfId="53" applyFont="1" applyBorder="1" applyAlignment="1">
      <alignment vertical="center" wrapText="1"/>
    </xf>
    <xf numFmtId="0" fontId="28" fillId="0" borderId="67" xfId="53" applyFont="1" applyBorder="1" applyAlignment="1">
      <alignment horizontal="center" vertical="center"/>
    </xf>
    <xf numFmtId="1" fontId="28" fillId="0" borderId="67" xfId="53" applyNumberFormat="1" applyFont="1" applyFill="1" applyBorder="1" applyAlignment="1">
      <alignment horizontal="center" vertical="center"/>
    </xf>
    <xf numFmtId="0" fontId="28" fillId="16" borderId="0" xfId="53" applyFont="1" applyFill="1"/>
    <xf numFmtId="0" fontId="28" fillId="16" borderId="69" xfId="53" applyNumberFormat="1" applyFont="1" applyFill="1" applyBorder="1" applyAlignment="1">
      <alignment horizontal="center" vertical="center"/>
    </xf>
    <xf numFmtId="0" fontId="28" fillId="16" borderId="67" xfId="53" applyFont="1" applyFill="1" applyBorder="1" applyAlignment="1">
      <alignment vertical="center" wrapText="1"/>
    </xf>
    <xf numFmtId="0" fontId="28" fillId="16" borderId="67" xfId="53" applyFont="1" applyFill="1" applyBorder="1" applyAlignment="1">
      <alignment horizontal="center" vertical="center" wrapText="1"/>
    </xf>
    <xf numFmtId="4" fontId="28" fillId="16" borderId="67" xfId="53" applyNumberFormat="1" applyFont="1" applyFill="1" applyBorder="1" applyAlignment="1">
      <alignment horizontal="center" vertical="center" wrapText="1"/>
    </xf>
    <xf numFmtId="0" fontId="3" fillId="16" borderId="67" xfId="53" applyFont="1" applyFill="1" applyBorder="1" applyAlignment="1">
      <alignment horizontal="center" vertical="center" wrapText="1"/>
    </xf>
    <xf numFmtId="14" fontId="3" fillId="16" borderId="67" xfId="53" applyNumberFormat="1" applyFont="1" applyFill="1" applyBorder="1" applyAlignment="1">
      <alignment horizontal="center" vertical="center" wrapText="1"/>
    </xf>
    <xf numFmtId="43" fontId="3" fillId="16" borderId="67" xfId="44" applyFont="1" applyFill="1" applyBorder="1" applyAlignment="1">
      <alignment horizontal="center" vertical="center"/>
    </xf>
    <xf numFmtId="180" fontId="3" fillId="16" borderId="67" xfId="44" applyNumberFormat="1" applyFont="1" applyFill="1" applyBorder="1" applyAlignment="1">
      <alignment horizontal="center" vertical="center"/>
    </xf>
    <xf numFmtId="167" fontId="28" fillId="16" borderId="67" xfId="53" applyNumberFormat="1" applyFont="1" applyFill="1" applyBorder="1" applyAlignment="1">
      <alignment horizontal="center" vertical="center"/>
    </xf>
    <xf numFmtId="0" fontId="28" fillId="16" borderId="70" xfId="53" applyFont="1" applyFill="1" applyBorder="1" applyAlignment="1">
      <alignment wrapText="1"/>
    </xf>
    <xf numFmtId="0" fontId="17" fillId="0" borderId="0" xfId="11" applyFont="1" applyAlignment="1">
      <alignment horizontal="right"/>
    </xf>
    <xf numFmtId="49" fontId="10" fillId="0" borderId="38" xfId="11" applyNumberFormat="1" applyFont="1" applyBorder="1" applyAlignment="1">
      <alignment horizontal="left" vertical="top"/>
    </xf>
    <xf numFmtId="0" fontId="11" fillId="0" borderId="38" xfId="11" applyFont="1" applyBorder="1" applyAlignment="1">
      <alignment horizontal="center" vertical="center"/>
    </xf>
    <xf numFmtId="0" fontId="10" fillId="0" borderId="38" xfId="11" applyFont="1" applyBorder="1" applyAlignment="1">
      <alignment horizontal="right" vertical="top"/>
    </xf>
    <xf numFmtId="0" fontId="10" fillId="0" borderId="38" xfId="11" applyFont="1" applyBorder="1" applyAlignment="1">
      <alignment horizontal="center" vertical="center"/>
    </xf>
    <xf numFmtId="49" fontId="10" fillId="0" borderId="0" xfId="11" applyNumberFormat="1" applyFont="1" applyBorder="1" applyAlignment="1">
      <alignment horizontal="left" vertical="top"/>
    </xf>
    <xf numFmtId="0" fontId="11" fillId="0" borderId="0" xfId="11" applyFont="1" applyAlignment="1">
      <alignment horizontal="center" vertical="center"/>
    </xf>
    <xf numFmtId="4" fontId="10" fillId="0" borderId="0" xfId="11" applyNumberFormat="1" applyFont="1" applyAlignment="1">
      <alignment horizontal="center" vertical="center"/>
    </xf>
    <xf numFmtId="0" fontId="12" fillId="0" borderId="0" xfId="11" applyFont="1" applyAlignment="1">
      <alignment horizontal="center" vertical="center"/>
    </xf>
    <xf numFmtId="0" fontId="10" fillId="0" borderId="73" xfId="11" applyFont="1" applyBorder="1" applyAlignment="1">
      <alignment horizontal="center" vertical="top"/>
    </xf>
    <xf numFmtId="4" fontId="10" fillId="0" borderId="0" xfId="11" applyNumberFormat="1" applyFont="1"/>
    <xf numFmtId="0" fontId="10" fillId="0" borderId="73" xfId="11" applyFont="1" applyBorder="1" applyAlignment="1">
      <alignment vertical="center"/>
    </xf>
    <xf numFmtId="0" fontId="10" fillId="6" borderId="73" xfId="11" applyFont="1" applyFill="1" applyBorder="1" applyAlignment="1">
      <alignment vertical="center"/>
    </xf>
    <xf numFmtId="0" fontId="10" fillId="6" borderId="73" xfId="11" applyFont="1" applyFill="1" applyBorder="1" applyAlignment="1">
      <alignment horizontal="center" vertical="center" wrapText="1"/>
    </xf>
    <xf numFmtId="0" fontId="10" fillId="0" borderId="73" xfId="11" applyFont="1" applyBorder="1" applyAlignment="1">
      <alignment vertical="center" wrapText="1"/>
    </xf>
    <xf numFmtId="0" fontId="10" fillId="6" borderId="73" xfId="11" applyFont="1" applyFill="1" applyBorder="1" applyAlignment="1">
      <alignment vertical="center" wrapText="1"/>
    </xf>
    <xf numFmtId="0" fontId="10" fillId="2" borderId="73" xfId="11" applyFont="1" applyFill="1" applyBorder="1" applyAlignment="1">
      <alignment horizontal="center" wrapText="1"/>
    </xf>
    <xf numFmtId="0" fontId="10" fillId="0" borderId="73" xfId="11" applyFont="1" applyBorder="1" applyAlignment="1">
      <alignment horizontal="center" wrapText="1"/>
    </xf>
    <xf numFmtId="4" fontId="10" fillId="0" borderId="73" xfId="11" applyNumberFormat="1" applyFont="1" applyBorder="1" applyAlignment="1">
      <alignment horizontal="center" vertical="center"/>
    </xf>
    <xf numFmtId="4" fontId="10" fillId="0" borderId="73" xfId="11" applyNumberFormat="1" applyFont="1" applyBorder="1" applyAlignment="1">
      <alignment vertical="center"/>
    </xf>
    <xf numFmtId="2" fontId="10" fillId="0" borderId="73" xfId="11" applyNumberFormat="1" applyFont="1" applyBorder="1" applyAlignment="1">
      <alignment horizontal="center" vertical="center"/>
    </xf>
    <xf numFmtId="2" fontId="10" fillId="0" borderId="73" xfId="11" applyNumberFormat="1" applyFont="1" applyBorder="1" applyAlignment="1">
      <alignment vertical="center"/>
    </xf>
    <xf numFmtId="2" fontId="10" fillId="0" borderId="73" xfId="11" applyNumberFormat="1" applyFont="1" applyBorder="1"/>
    <xf numFmtId="4" fontId="10" fillId="0" borderId="73" xfId="11" applyNumberFormat="1" applyFont="1" applyBorder="1"/>
    <xf numFmtId="4" fontId="10" fillId="2" borderId="73" xfId="11" applyNumberFormat="1" applyFont="1" applyFill="1" applyBorder="1" applyAlignment="1">
      <alignment horizontal="center" vertical="center"/>
    </xf>
    <xf numFmtId="0" fontId="10" fillId="0" borderId="73" xfId="11" applyFont="1" applyBorder="1" applyAlignment="1">
      <alignment horizontal="center"/>
    </xf>
    <xf numFmtId="2" fontId="10" fillId="0" borderId="73" xfId="11" applyNumberFormat="1" applyFont="1" applyBorder="1" applyAlignment="1">
      <alignment horizontal="center"/>
    </xf>
    <xf numFmtId="0" fontId="17" fillId="8" borderId="73" xfId="11" applyFont="1" applyFill="1" applyBorder="1" applyAlignment="1">
      <alignment vertical="center"/>
    </xf>
    <xf numFmtId="0" fontId="17" fillId="8" borderId="73" xfId="11" applyFont="1" applyFill="1" applyBorder="1" applyAlignment="1">
      <alignment horizontal="right" vertical="center"/>
    </xf>
    <xf numFmtId="4" fontId="17" fillId="8" borderId="73" xfId="11" applyNumberFormat="1" applyFont="1" applyFill="1" applyBorder="1" applyAlignment="1">
      <alignment vertical="center"/>
    </xf>
    <xf numFmtId="2" fontId="17" fillId="8" borderId="73" xfId="11" applyNumberFormat="1" applyFont="1" applyFill="1" applyBorder="1" applyAlignment="1">
      <alignment vertical="center"/>
    </xf>
    <xf numFmtId="0" fontId="10" fillId="2" borderId="73" xfId="11" applyFont="1" applyFill="1" applyBorder="1" applyAlignment="1">
      <alignment horizontal="center" vertical="top"/>
    </xf>
    <xf numFmtId="0" fontId="10" fillId="2" borderId="73" xfId="11" applyFont="1" applyFill="1" applyBorder="1" applyAlignment="1">
      <alignment horizontal="right" vertical="top" wrapText="1"/>
    </xf>
    <xf numFmtId="4" fontId="10" fillId="2" borderId="73" xfId="11" applyNumberFormat="1" applyFont="1" applyFill="1" applyBorder="1" applyAlignment="1">
      <alignment horizontal="right" vertical="top" wrapText="1"/>
    </xf>
    <xf numFmtId="49" fontId="10" fillId="0" borderId="73" xfId="11" applyNumberFormat="1" applyFont="1" applyBorder="1" applyAlignment="1">
      <alignment horizontal="left" vertical="top"/>
    </xf>
    <xf numFmtId="49" fontId="17" fillId="0" borderId="73" xfId="11" applyNumberFormat="1" applyFont="1" applyBorder="1" applyAlignment="1">
      <alignment horizontal="left" vertical="top" wrapText="1"/>
    </xf>
    <xf numFmtId="4" fontId="17" fillId="0" borderId="73" xfId="11" applyNumberFormat="1" applyFont="1" applyBorder="1" applyAlignment="1">
      <alignment horizontal="right" vertical="top" wrapText="1"/>
    </xf>
    <xf numFmtId="4" fontId="10" fillId="0" borderId="73" xfId="11" applyNumberFormat="1" applyFont="1" applyBorder="1" applyAlignment="1">
      <alignment horizontal="right" vertical="top" wrapText="1"/>
    </xf>
    <xf numFmtId="0" fontId="88" fillId="0" borderId="0" xfId="11" applyFont="1"/>
    <xf numFmtId="4" fontId="88" fillId="0" borderId="0" xfId="11" applyNumberFormat="1" applyFont="1"/>
    <xf numFmtId="0" fontId="3" fillId="0" borderId="0" xfId="53" applyFont="1" applyBorder="1" applyAlignment="1">
      <alignment horizontal="left" wrapText="1"/>
    </xf>
    <xf numFmtId="0" fontId="3" fillId="0" borderId="0" xfId="53" applyFont="1" applyBorder="1" applyAlignment="1">
      <alignment horizontal="center"/>
    </xf>
    <xf numFmtId="0" fontId="3" fillId="8" borderId="8" xfId="53" applyFont="1" applyFill="1" applyBorder="1" applyAlignment="1">
      <alignment horizontal="center" vertical="center" wrapText="1"/>
    </xf>
    <xf numFmtId="0" fontId="3" fillId="8" borderId="8" xfId="53" applyFont="1" applyFill="1" applyBorder="1" applyAlignment="1">
      <alignment horizontal="center" vertical="center"/>
    </xf>
    <xf numFmtId="0" fontId="2" fillId="0" borderId="0" xfId="53" applyFont="1" applyBorder="1" applyAlignment="1">
      <alignment horizontal="center"/>
    </xf>
    <xf numFmtId="43" fontId="28" fillId="0" borderId="0" xfId="51" applyFont="1"/>
    <xf numFmtId="4" fontId="2" fillId="8" borderId="73" xfId="53" applyNumberFormat="1" applyFont="1" applyFill="1" applyBorder="1" applyAlignment="1">
      <alignment horizontal="center" vertical="center"/>
    </xf>
    <xf numFmtId="0" fontId="3" fillId="8" borderId="73" xfId="53" applyFont="1" applyFill="1" applyBorder="1"/>
    <xf numFmtId="0" fontId="2" fillId="8" borderId="73" xfId="53" applyFont="1" applyFill="1" applyBorder="1"/>
    <xf numFmtId="43" fontId="2" fillId="8" borderId="73" xfId="44" applyFont="1" applyFill="1" applyBorder="1" applyAlignment="1">
      <alignment horizontal="center" vertical="center"/>
    </xf>
    <xf numFmtId="0" fontId="47" fillId="8" borderId="73" xfId="53" applyFont="1" applyFill="1" applyBorder="1"/>
    <xf numFmtId="0" fontId="40" fillId="0" borderId="95" xfId="53" applyFont="1" applyBorder="1"/>
    <xf numFmtId="0" fontId="40" fillId="0" borderId="0" xfId="53" applyFont="1"/>
    <xf numFmtId="0" fontId="40" fillId="16" borderId="0" xfId="53" applyFont="1" applyFill="1"/>
    <xf numFmtId="0" fontId="47" fillId="0" borderId="0" xfId="53" applyFont="1" applyFill="1"/>
    <xf numFmtId="43" fontId="40" fillId="0" borderId="67" xfId="51" applyFont="1" applyBorder="1"/>
    <xf numFmtId="0" fontId="23" fillId="18" borderId="73" xfId="53" applyNumberFormat="1" applyFont="1" applyFill="1" applyBorder="1" applyAlignment="1">
      <alignment horizontal="center" vertical="center"/>
    </xf>
    <xf numFmtId="0" fontId="23" fillId="18" borderId="73" xfId="53" applyFont="1" applyFill="1" applyBorder="1" applyAlignment="1">
      <alignment vertical="center" wrapText="1"/>
    </xf>
    <xf numFmtId="0" fontId="23" fillId="18" borderId="73" xfId="53" applyFont="1" applyFill="1" applyBorder="1" applyAlignment="1">
      <alignment horizontal="center" vertical="center" wrapText="1"/>
    </xf>
    <xf numFmtId="169" fontId="23" fillId="18" borderId="73" xfId="53" applyNumberFormat="1" applyFont="1" applyFill="1" applyBorder="1" applyAlignment="1">
      <alignment horizontal="center" vertical="center" wrapText="1"/>
    </xf>
    <xf numFmtId="14" fontId="23" fillId="18" borderId="73" xfId="53" applyNumberFormat="1" applyFont="1" applyFill="1" applyBorder="1" applyAlignment="1">
      <alignment horizontal="center" vertical="center" wrapText="1"/>
    </xf>
    <xf numFmtId="43" fontId="23" fillId="18" borderId="73" xfId="44" applyFont="1" applyFill="1" applyBorder="1" applyAlignment="1">
      <alignment horizontal="center" vertical="center"/>
    </xf>
    <xf numFmtId="180" fontId="23" fillId="18" borderId="73" xfId="44" applyNumberFormat="1" applyFont="1" applyFill="1" applyBorder="1" applyAlignment="1">
      <alignment horizontal="center" vertical="center"/>
    </xf>
    <xf numFmtId="167" fontId="23" fillId="18" borderId="73" xfId="53" applyNumberFormat="1" applyFont="1" applyFill="1" applyBorder="1" applyAlignment="1">
      <alignment horizontal="center" vertical="center"/>
    </xf>
    <xf numFmtId="43" fontId="3" fillId="8" borderId="73" xfId="51" applyFont="1" applyFill="1" applyBorder="1"/>
    <xf numFmtId="43" fontId="2" fillId="8" borderId="73" xfId="51" applyFont="1" applyFill="1" applyBorder="1"/>
    <xf numFmtId="43" fontId="23" fillId="0" borderId="67" xfId="44" applyFont="1" applyFill="1" applyBorder="1" applyAlignment="1">
      <alignment horizontal="center" vertical="center"/>
    </xf>
    <xf numFmtId="43" fontId="2" fillId="0" borderId="67" xfId="69" applyFont="1" applyFill="1" applyBorder="1" applyAlignment="1">
      <alignment horizontal="center" vertical="center"/>
    </xf>
    <xf numFmtId="43" fontId="2" fillId="0" borderId="67" xfId="44" applyFont="1" applyFill="1" applyBorder="1" applyAlignment="1">
      <alignment horizontal="center" vertical="center"/>
    </xf>
    <xf numFmtId="43" fontId="2" fillId="16" borderId="67" xfId="44" applyFont="1" applyFill="1" applyBorder="1" applyAlignment="1">
      <alignment horizontal="center" vertical="center"/>
    </xf>
    <xf numFmtId="43" fontId="2" fillId="0" borderId="71" xfId="44" applyFont="1" applyFill="1" applyBorder="1" applyAlignment="1">
      <alignment horizontal="center" vertical="center"/>
    </xf>
    <xf numFmtId="43" fontId="111" fillId="0" borderId="67" xfId="44" applyFont="1" applyFill="1" applyBorder="1" applyAlignment="1">
      <alignment horizontal="center" vertical="center"/>
    </xf>
    <xf numFmtId="43" fontId="4" fillId="0" borderId="67" xfId="44" applyFont="1" applyFill="1" applyBorder="1" applyAlignment="1">
      <alignment horizontal="center" vertical="center"/>
    </xf>
    <xf numFmtId="0" fontId="2" fillId="8" borderId="73" xfId="53" applyFont="1" applyFill="1" applyBorder="1" applyAlignment="1">
      <alignment horizontal="center" vertical="center" wrapText="1"/>
    </xf>
    <xf numFmtId="43" fontId="23" fillId="0" borderId="0" xfId="44" applyFont="1" applyFill="1" applyBorder="1" applyAlignment="1">
      <alignment horizontal="center" vertical="center"/>
    </xf>
    <xf numFmtId="43" fontId="2" fillId="16" borderId="0" xfId="44" applyFont="1" applyFill="1" applyBorder="1" applyAlignment="1">
      <alignment horizontal="center" vertical="center"/>
    </xf>
    <xf numFmtId="43" fontId="2" fillId="0" borderId="0" xfId="44" applyFont="1" applyFill="1" applyBorder="1" applyAlignment="1">
      <alignment horizontal="center" vertical="center"/>
    </xf>
    <xf numFmtId="43" fontId="2" fillId="0" borderId="0" xfId="69" applyFont="1" applyFill="1" applyBorder="1" applyAlignment="1">
      <alignment horizontal="center" vertical="center"/>
    </xf>
    <xf numFmtId="43" fontId="111" fillId="0" borderId="0" xfId="44" applyFont="1" applyFill="1" applyBorder="1" applyAlignment="1">
      <alignment horizontal="center" vertical="center"/>
    </xf>
    <xf numFmtId="43" fontId="4" fillId="0" borderId="0" xfId="44" applyFont="1" applyFill="1" applyBorder="1" applyAlignment="1">
      <alignment horizontal="center" vertical="center"/>
    </xf>
    <xf numFmtId="0" fontId="8" fillId="0" borderId="0" xfId="53" applyFont="1"/>
    <xf numFmtId="0" fontId="21" fillId="0" borderId="0" xfId="53"/>
    <xf numFmtId="0" fontId="112" fillId="0" borderId="0" xfId="53" applyFont="1"/>
    <xf numFmtId="14" fontId="21" fillId="2" borderId="73" xfId="53" applyNumberFormat="1" applyFill="1" applyBorder="1"/>
    <xf numFmtId="14" fontId="21" fillId="0" borderId="0" xfId="53" applyNumberFormat="1" applyBorder="1"/>
    <xf numFmtId="14" fontId="21" fillId="0" borderId="0" xfId="53" applyNumberFormat="1"/>
    <xf numFmtId="165" fontId="21" fillId="0" borderId="73" xfId="53" applyNumberFormat="1" applyBorder="1"/>
    <xf numFmtId="10" fontId="21" fillId="0" borderId="73" xfId="53" applyNumberFormat="1" applyBorder="1"/>
    <xf numFmtId="10" fontId="28" fillId="5" borderId="83" xfId="53" applyNumberFormat="1" applyFont="1" applyFill="1" applyBorder="1" applyAlignment="1">
      <alignment vertical="center"/>
    </xf>
    <xf numFmtId="0" fontId="28" fillId="5" borderId="90" xfId="53" applyFont="1" applyFill="1" applyBorder="1" applyAlignment="1">
      <alignment vertical="center"/>
    </xf>
    <xf numFmtId="175" fontId="21" fillId="0" borderId="73" xfId="53" applyNumberFormat="1" applyBorder="1"/>
    <xf numFmtId="167" fontId="50" fillId="17" borderId="73" xfId="53" applyNumberFormat="1" applyFont="1" applyFill="1" applyBorder="1"/>
    <xf numFmtId="167" fontId="21" fillId="0" borderId="0" xfId="53" applyNumberFormat="1"/>
    <xf numFmtId="0" fontId="5" fillId="0" borderId="0" xfId="53" applyFont="1" applyFill="1" applyBorder="1" applyAlignment="1">
      <alignment horizontal="left" vertical="center" wrapText="1"/>
    </xf>
    <xf numFmtId="0" fontId="5" fillId="0" borderId="0" xfId="53" applyFont="1" applyFill="1" applyBorder="1" applyAlignment="1">
      <alignment horizontal="center" vertical="center"/>
    </xf>
    <xf numFmtId="167" fontId="113" fillId="0" borderId="0" xfId="53" applyNumberFormat="1" applyFont="1" applyFill="1" applyBorder="1"/>
    <xf numFmtId="0" fontId="114" fillId="0" borderId="0" xfId="53" applyFont="1" applyFill="1" applyBorder="1" applyAlignment="1">
      <alignment horizontal="left" vertical="center"/>
    </xf>
    <xf numFmtId="14" fontId="0" fillId="2" borderId="73" xfId="0" applyNumberFormat="1" applyFill="1" applyBorder="1"/>
    <xf numFmtId="167" fontId="50" fillId="17" borderId="73" xfId="0" applyNumberFormat="1" applyFont="1" applyFill="1" applyBorder="1"/>
    <xf numFmtId="0" fontId="28" fillId="5" borderId="95" xfId="53" applyFont="1" applyFill="1" applyBorder="1" applyAlignment="1">
      <alignment vertical="center" wrapText="1"/>
    </xf>
    <xf numFmtId="0" fontId="28" fillId="0" borderId="95" xfId="53" applyFont="1" applyFill="1" applyBorder="1" applyAlignment="1">
      <alignment horizontal="center" vertical="center" wrapText="1"/>
    </xf>
    <xf numFmtId="169" fontId="28" fillId="0" borderId="95" xfId="53" applyNumberFormat="1" applyFont="1" applyFill="1" applyBorder="1" applyAlignment="1">
      <alignment horizontal="center" vertical="center" wrapText="1"/>
    </xf>
    <xf numFmtId="14" fontId="28" fillId="0" borderId="95" xfId="53" applyNumberFormat="1" applyFont="1" applyFill="1" applyBorder="1" applyAlignment="1">
      <alignment horizontal="center" vertical="center" wrapText="1"/>
    </xf>
    <xf numFmtId="43" fontId="28" fillId="0" borderId="95" xfId="44" applyFont="1" applyFill="1" applyBorder="1" applyAlignment="1">
      <alignment horizontal="center" vertical="center"/>
    </xf>
    <xf numFmtId="43" fontId="23" fillId="0" borderId="95" xfId="44" applyFont="1" applyFill="1" applyBorder="1" applyAlignment="1">
      <alignment horizontal="center" vertical="center"/>
    </xf>
    <xf numFmtId="180" fontId="28" fillId="0" borderId="95" xfId="44" applyNumberFormat="1" applyFont="1" applyFill="1" applyBorder="1" applyAlignment="1">
      <alignment horizontal="center" vertical="center"/>
    </xf>
    <xf numFmtId="167" fontId="28" fillId="0" borderId="95" xfId="53" applyNumberFormat="1" applyFont="1" applyFill="1" applyBorder="1" applyAlignment="1">
      <alignment horizontal="center" vertical="center"/>
    </xf>
    <xf numFmtId="0" fontId="28" fillId="0" borderId="96" xfId="53" applyNumberFormat="1" applyFont="1" applyFill="1" applyBorder="1" applyAlignment="1">
      <alignment horizontal="center" vertical="center"/>
    </xf>
    <xf numFmtId="0" fontId="28" fillId="5" borderId="97" xfId="53" applyFont="1" applyFill="1" applyBorder="1" applyAlignment="1">
      <alignment vertical="center" wrapText="1"/>
    </xf>
    <xf numFmtId="0" fontId="28" fillId="0" borderId="97" xfId="53" applyFont="1" applyFill="1" applyBorder="1" applyAlignment="1">
      <alignment horizontal="center" vertical="center" wrapText="1"/>
    </xf>
    <xf numFmtId="169" fontId="28" fillId="0" borderId="97" xfId="53" applyNumberFormat="1" applyFont="1" applyFill="1" applyBorder="1" applyAlignment="1">
      <alignment horizontal="center" vertical="center" wrapText="1"/>
    </xf>
    <xf numFmtId="14" fontId="28" fillId="0" borderId="97" xfId="53" applyNumberFormat="1" applyFont="1" applyFill="1" applyBorder="1" applyAlignment="1">
      <alignment horizontal="center" vertical="center" wrapText="1"/>
    </xf>
    <xf numFmtId="43" fontId="28" fillId="0" borderId="97" xfId="44" applyFont="1" applyFill="1" applyBorder="1" applyAlignment="1">
      <alignment horizontal="center" vertical="center"/>
    </xf>
    <xf numFmtId="180" fontId="28" fillId="0" borderId="97" xfId="44" applyNumberFormat="1" applyFont="1" applyFill="1" applyBorder="1" applyAlignment="1">
      <alignment horizontal="center" vertical="center"/>
    </xf>
    <xf numFmtId="167" fontId="28" fillId="0" borderId="97" xfId="53" applyNumberFormat="1" applyFont="1" applyFill="1" applyBorder="1" applyAlignment="1">
      <alignment horizontal="center" vertical="center"/>
    </xf>
    <xf numFmtId="0" fontId="28" fillId="0" borderId="95" xfId="53" applyFont="1" applyFill="1" applyBorder="1" applyAlignment="1">
      <alignment vertical="center" wrapText="1"/>
    </xf>
    <xf numFmtId="2" fontId="28" fillId="0" borderId="95" xfId="53" applyNumberFormat="1" applyFont="1" applyFill="1" applyBorder="1" applyAlignment="1">
      <alignment horizontal="center" vertical="center" wrapText="1"/>
    </xf>
    <xf numFmtId="43" fontId="40" fillId="0" borderId="95" xfId="51" applyFont="1" applyBorder="1"/>
    <xf numFmtId="180" fontId="3" fillId="0" borderId="95" xfId="44" applyNumberFormat="1" applyFont="1" applyFill="1" applyBorder="1" applyAlignment="1">
      <alignment horizontal="center" vertical="center"/>
    </xf>
    <xf numFmtId="43" fontId="3" fillId="0" borderId="95" xfId="44" applyFont="1" applyFill="1" applyBorder="1" applyAlignment="1">
      <alignment horizontal="center" vertical="center"/>
    </xf>
    <xf numFmtId="176" fontId="28" fillId="0" borderId="67" xfId="53" applyNumberFormat="1" applyFont="1" applyFill="1" applyBorder="1" applyAlignment="1">
      <alignment horizontal="center" vertical="center"/>
    </xf>
    <xf numFmtId="2" fontId="28" fillId="0" borderId="97" xfId="53" applyNumberFormat="1" applyFont="1" applyFill="1" applyBorder="1" applyAlignment="1">
      <alignment horizontal="center" vertical="center" wrapText="1"/>
    </xf>
    <xf numFmtId="0" fontId="3" fillId="0" borderId="0" xfId="53" applyFont="1" applyBorder="1" applyAlignment="1">
      <alignment horizontal="left"/>
    </xf>
    <xf numFmtId="43" fontId="28" fillId="0" borderId="0" xfId="51" applyFont="1" applyFill="1"/>
    <xf numFmtId="43" fontId="23" fillId="18" borderId="73" xfId="51" applyFont="1" applyFill="1" applyBorder="1" applyAlignment="1">
      <alignment horizontal="center" vertical="center"/>
    </xf>
    <xf numFmtId="43" fontId="110" fillId="18" borderId="73" xfId="51" applyFont="1" applyFill="1" applyBorder="1"/>
    <xf numFmtId="43" fontId="28" fillId="0" borderId="95" xfId="51" applyFont="1" applyFill="1" applyBorder="1" applyAlignment="1">
      <alignment horizontal="center" vertical="center"/>
    </xf>
    <xf numFmtId="43" fontId="28" fillId="0" borderId="67" xfId="51" applyFont="1" applyFill="1" applyBorder="1" applyAlignment="1">
      <alignment horizontal="center" vertical="center"/>
    </xf>
    <xf numFmtId="43" fontId="28" fillId="0" borderId="97" xfId="51" applyFont="1" applyFill="1" applyBorder="1" applyAlignment="1">
      <alignment horizontal="center" vertical="center"/>
    </xf>
    <xf numFmtId="43" fontId="40" fillId="0" borderId="97" xfId="51" applyFont="1" applyBorder="1"/>
    <xf numFmtId="43" fontId="8" fillId="0" borderId="67" xfId="51" applyFont="1" applyFill="1" applyBorder="1" applyAlignment="1">
      <alignment horizontal="center" vertical="center"/>
    </xf>
    <xf numFmtId="43" fontId="3" fillId="0" borderId="67" xfId="51" applyFont="1" applyFill="1" applyBorder="1" applyAlignment="1">
      <alignment horizontal="center" vertical="center"/>
    </xf>
    <xf numFmtId="43" fontId="40" fillId="0" borderId="67" xfId="51" applyFont="1" applyFill="1" applyBorder="1"/>
    <xf numFmtId="43" fontId="2" fillId="8" borderId="8" xfId="51" applyFont="1" applyFill="1" applyBorder="1" applyAlignment="1">
      <alignment horizontal="center" vertical="center"/>
    </xf>
    <xf numFmtId="43" fontId="4" fillId="8" borderId="73" xfId="51" applyFont="1" applyFill="1" applyBorder="1"/>
    <xf numFmtId="43" fontId="2" fillId="8" borderId="73" xfId="51" applyFont="1" applyFill="1" applyBorder="1" applyAlignment="1">
      <alignment horizontal="center" vertical="center"/>
    </xf>
    <xf numFmtId="43" fontId="3" fillId="8" borderId="8" xfId="51" applyFont="1" applyFill="1" applyBorder="1"/>
    <xf numFmtId="43" fontId="47" fillId="8" borderId="73" xfId="51" applyFont="1" applyFill="1" applyBorder="1"/>
    <xf numFmtId="43" fontId="2" fillId="8" borderId="8" xfId="51" applyFont="1" applyFill="1" applyBorder="1"/>
    <xf numFmtId="43" fontId="23" fillId="0" borderId="95" xfId="51" applyFont="1" applyFill="1" applyBorder="1" applyAlignment="1">
      <alignment horizontal="center" vertical="center"/>
    </xf>
    <xf numFmtId="43" fontId="23" fillId="0" borderId="67" xfId="51" applyFont="1" applyFill="1" applyBorder="1" applyAlignment="1">
      <alignment horizontal="center" vertical="center"/>
    </xf>
    <xf numFmtId="43" fontId="23" fillId="0" borderId="97" xfId="51" applyFont="1" applyFill="1" applyBorder="1" applyAlignment="1">
      <alignment horizontal="center" vertical="center"/>
    </xf>
    <xf numFmtId="43" fontId="2" fillId="0" borderId="67" xfId="51" applyFont="1" applyFill="1" applyBorder="1" applyAlignment="1">
      <alignment horizontal="center" vertical="center"/>
    </xf>
    <xf numFmtId="43" fontId="3" fillId="0" borderId="95" xfId="51" applyFont="1" applyFill="1" applyBorder="1" applyAlignment="1">
      <alignment horizontal="center" vertical="center"/>
    </xf>
    <xf numFmtId="0" fontId="6" fillId="8" borderId="73" xfId="79" applyFont="1" applyFill="1" applyBorder="1" applyAlignment="1">
      <alignment horizontal="center" vertical="center" wrapText="1"/>
    </xf>
    <xf numFmtId="0" fontId="9" fillId="19" borderId="73" xfId="79" applyFill="1" applyBorder="1"/>
    <xf numFmtId="0" fontId="23" fillId="19" borderId="73" xfId="45" applyFont="1" applyFill="1" applyBorder="1"/>
    <xf numFmtId="0" fontId="9" fillId="19" borderId="73" xfId="79" applyFont="1" applyFill="1" applyBorder="1"/>
    <xf numFmtId="0" fontId="28" fillId="19" borderId="73" xfId="45" applyFont="1" applyFill="1" applyBorder="1"/>
    <xf numFmtId="0" fontId="50" fillId="19" borderId="73" xfId="79" applyFont="1" applyFill="1" applyBorder="1"/>
    <xf numFmtId="0" fontId="3" fillId="20" borderId="8" xfId="28" applyFont="1" applyFill="1" applyBorder="1" applyAlignment="1">
      <alignment horizontal="center" vertical="center" wrapText="1"/>
    </xf>
    <xf numFmtId="0" fontId="3" fillId="20" borderId="8" xfId="28" applyFont="1" applyFill="1" applyBorder="1" applyAlignment="1">
      <alignment horizontal="left" vertical="center" wrapText="1"/>
    </xf>
    <xf numFmtId="4" fontId="3" fillId="20" borderId="8" xfId="28" applyNumberFormat="1" applyFont="1" applyFill="1" applyBorder="1" applyAlignment="1">
      <alignment horizontal="center" vertical="center" wrapText="1"/>
    </xf>
    <xf numFmtId="0" fontId="3" fillId="0" borderId="73" xfId="28" applyFont="1" applyFill="1" applyBorder="1" applyAlignment="1">
      <alignment horizontal="center" vertical="center" wrapText="1"/>
    </xf>
    <xf numFmtId="0" fontId="47" fillId="0" borderId="73" xfId="28" applyFont="1" applyFill="1" applyBorder="1" applyAlignment="1">
      <alignment horizontal="left" vertical="center" wrapText="1"/>
    </xf>
    <xf numFmtId="4" fontId="3" fillId="0" borderId="73" xfId="28" applyNumberFormat="1" applyFont="1" applyFill="1" applyBorder="1" applyAlignment="1">
      <alignment horizontal="center" vertical="center" wrapText="1"/>
    </xf>
    <xf numFmtId="0" fontId="21" fillId="0" borderId="0" xfId="28" applyFill="1" applyBorder="1" applyAlignment="1">
      <alignment horizontal="center" vertical="center"/>
    </xf>
    <xf numFmtId="0" fontId="21" fillId="0" borderId="0" xfId="28" applyFill="1" applyAlignment="1">
      <alignment horizontal="center" vertical="center"/>
    </xf>
    <xf numFmtId="4" fontId="38" fillId="0" borderId="0" xfId="15" applyNumberFormat="1" applyFont="1" applyFill="1" applyBorder="1" applyAlignment="1">
      <alignment horizontal="center" vertical="center" wrapText="1"/>
    </xf>
    <xf numFmtId="49" fontId="38" fillId="0" borderId="0" xfId="15" applyNumberFormat="1" applyFont="1" applyFill="1" applyBorder="1" applyAlignment="1">
      <alignment vertical="center" wrapText="1"/>
    </xf>
    <xf numFmtId="0" fontId="21" fillId="0" borderId="0" xfId="28" applyFill="1" applyBorder="1" applyAlignment="1">
      <alignment vertical="center"/>
    </xf>
    <xf numFmtId="4" fontId="21" fillId="0" borderId="0" xfId="28" applyNumberFormat="1" applyFill="1" applyBorder="1"/>
    <xf numFmtId="0" fontId="21" fillId="0" borderId="0" xfId="28" applyFill="1" applyBorder="1"/>
    <xf numFmtId="0" fontId="21" fillId="0" borderId="0" xfId="28" applyFill="1"/>
    <xf numFmtId="0" fontId="28" fillId="0" borderId="0" xfId="80" applyFont="1"/>
    <xf numFmtId="0" fontId="10" fillId="0" borderId="0" xfId="80"/>
    <xf numFmtId="0" fontId="21" fillId="0" borderId="0" xfId="45"/>
    <xf numFmtId="0" fontId="10" fillId="0" borderId="0" xfId="80" applyFont="1"/>
    <xf numFmtId="0" fontId="100" fillId="0" borderId="0" xfId="45" applyFont="1"/>
    <xf numFmtId="0" fontId="28" fillId="0" borderId="0" xfId="80" applyFont="1" applyAlignment="1">
      <alignment vertical="center"/>
    </xf>
    <xf numFmtId="0" fontId="28" fillId="0" borderId="0" xfId="80" applyFont="1" applyAlignment="1">
      <alignment horizontal="left"/>
    </xf>
    <xf numFmtId="0" fontId="104" fillId="0" borderId="0" xfId="81"/>
    <xf numFmtId="0" fontId="23" fillId="0" borderId="0" xfId="53" applyFont="1" applyBorder="1" applyAlignment="1">
      <alignment horizontal="center"/>
    </xf>
    <xf numFmtId="0" fontId="2" fillId="0" borderId="0" xfId="53" applyFont="1" applyBorder="1" applyAlignment="1">
      <alignment horizontal="center" vertical="center"/>
    </xf>
    <xf numFmtId="0" fontId="28" fillId="0" borderId="0" xfId="53" applyFont="1" applyFill="1" applyBorder="1" applyAlignment="1">
      <alignment wrapText="1"/>
    </xf>
    <xf numFmtId="0" fontId="28" fillId="16" borderId="0" xfId="53" applyFont="1" applyFill="1" applyBorder="1" applyAlignment="1">
      <alignment wrapText="1"/>
    </xf>
    <xf numFmtId="0" fontId="3" fillId="0" borderId="0" xfId="53" applyFont="1" applyFill="1" applyBorder="1" applyAlignment="1">
      <alignment wrapText="1"/>
    </xf>
    <xf numFmtId="0" fontId="3" fillId="0" borderId="0" xfId="53" applyFont="1" applyFill="1" applyBorder="1" applyAlignment="1">
      <alignment vertical="center" wrapText="1"/>
    </xf>
    <xf numFmtId="0" fontId="3" fillId="0" borderId="0" xfId="53" applyFont="1" applyBorder="1" applyAlignment="1">
      <alignment wrapText="1"/>
    </xf>
    <xf numFmtId="0" fontId="106" fillId="0" borderId="0" xfId="53" applyFont="1" applyFill="1" applyBorder="1" applyAlignment="1">
      <alignment wrapText="1"/>
    </xf>
    <xf numFmtId="0" fontId="3" fillId="8" borderId="83" xfId="53" applyFont="1" applyFill="1" applyBorder="1" applyAlignment="1">
      <alignment horizontal="center" vertical="center"/>
    </xf>
    <xf numFmtId="0" fontId="23" fillId="18" borderId="83" xfId="53" applyFont="1" applyFill="1" applyBorder="1" applyAlignment="1">
      <alignment wrapText="1"/>
    </xf>
    <xf numFmtId="0" fontId="28" fillId="0" borderId="100" xfId="53" applyFont="1" applyFill="1" applyBorder="1" applyAlignment="1">
      <alignment wrapText="1"/>
    </xf>
    <xf numFmtId="0" fontId="28" fillId="0" borderId="99" xfId="53" applyFont="1" applyFill="1" applyBorder="1" applyAlignment="1">
      <alignment wrapText="1"/>
    </xf>
    <xf numFmtId="0" fontId="28" fillId="0" borderId="101" xfId="53" applyFont="1" applyFill="1" applyBorder="1" applyAlignment="1">
      <alignment wrapText="1"/>
    </xf>
    <xf numFmtId="0" fontId="28" fillId="0" borderId="99" xfId="53" applyFont="1" applyBorder="1" applyAlignment="1">
      <alignment wrapText="1"/>
    </xf>
    <xf numFmtId="0" fontId="2" fillId="8" borderId="83" xfId="53" applyFont="1" applyFill="1" applyBorder="1"/>
    <xf numFmtId="0" fontId="3" fillId="8" borderId="83" xfId="53" applyFont="1" applyFill="1" applyBorder="1"/>
    <xf numFmtId="0" fontId="3" fillId="8" borderId="73" xfId="53" applyFont="1" applyFill="1" applyBorder="1" applyAlignment="1">
      <alignment horizontal="center" vertical="center"/>
    </xf>
    <xf numFmtId="164" fontId="28" fillId="0" borderId="66" xfId="53" applyNumberFormat="1" applyFont="1" applyFill="1" applyBorder="1" applyAlignment="1">
      <alignment wrapText="1"/>
    </xf>
    <xf numFmtId="164" fontId="28" fillId="0" borderId="68" xfId="53" applyNumberFormat="1" applyFont="1" applyFill="1" applyBorder="1" applyAlignment="1">
      <alignment wrapText="1"/>
    </xf>
    <xf numFmtId="164" fontId="28" fillId="0" borderId="69" xfId="53" applyNumberFormat="1" applyFont="1" applyFill="1" applyBorder="1" applyAlignment="1">
      <alignment wrapText="1"/>
    </xf>
    <xf numFmtId="164" fontId="28" fillId="0" borderId="70" xfId="53" applyNumberFormat="1" applyFont="1" applyFill="1" applyBorder="1" applyAlignment="1">
      <alignment wrapText="1"/>
    </xf>
    <xf numFmtId="43" fontId="28" fillId="0" borderId="70" xfId="51" applyFont="1" applyFill="1" applyBorder="1" applyAlignment="1">
      <alignment horizontal="center" vertical="center"/>
    </xf>
    <xf numFmtId="43" fontId="28" fillId="0" borderId="96" xfId="51" applyFont="1" applyFill="1" applyBorder="1" applyAlignment="1">
      <alignment horizontal="center" vertical="center"/>
    </xf>
    <xf numFmtId="43" fontId="28" fillId="0" borderId="98" xfId="51" applyFont="1" applyFill="1" applyBorder="1" applyAlignment="1">
      <alignment horizontal="center" vertical="center"/>
    </xf>
    <xf numFmtId="0" fontId="3" fillId="0" borderId="0" xfId="53" applyFont="1" applyBorder="1" applyAlignment="1">
      <alignment horizontal="left" wrapText="1"/>
    </xf>
    <xf numFmtId="0" fontId="6" fillId="8" borderId="73" xfId="79" applyFont="1" applyFill="1" applyBorder="1" applyAlignment="1">
      <alignment horizontal="center" vertical="center"/>
    </xf>
    <xf numFmtId="43" fontId="40" fillId="0" borderId="95" xfId="51" applyFont="1" applyFill="1" applyBorder="1" applyAlignment="1">
      <alignment vertical="center"/>
    </xf>
    <xf numFmtId="164" fontId="23" fillId="18" borderId="73" xfId="53" applyNumberFormat="1" applyFont="1" applyFill="1" applyBorder="1" applyAlignment="1">
      <alignment horizontal="center" vertical="center" wrapText="1"/>
    </xf>
    <xf numFmtId="164" fontId="28" fillId="0" borderId="95" xfId="53" applyNumberFormat="1" applyFont="1" applyFill="1" applyBorder="1" applyAlignment="1">
      <alignment horizontal="center" vertical="center" wrapText="1"/>
    </xf>
    <xf numFmtId="164" fontId="28" fillId="0" borderId="67" xfId="53" applyNumberFormat="1" applyFont="1" applyFill="1" applyBorder="1" applyAlignment="1">
      <alignment horizontal="center" vertical="center" wrapText="1"/>
    </xf>
    <xf numFmtId="164" fontId="28" fillId="0" borderId="97" xfId="53" applyNumberFormat="1" applyFont="1" applyFill="1" applyBorder="1" applyAlignment="1">
      <alignment horizontal="center" vertical="center" wrapText="1"/>
    </xf>
    <xf numFmtId="164" fontId="28" fillId="0" borderId="67" xfId="53" applyNumberFormat="1" applyFont="1" applyBorder="1" applyAlignment="1">
      <alignment horizontal="center" vertical="center"/>
    </xf>
    <xf numFmtId="164" fontId="28" fillId="0" borderId="67" xfId="53" applyNumberFormat="1" applyFont="1" applyFill="1" applyBorder="1" applyAlignment="1">
      <alignment horizontal="center" vertical="center"/>
    </xf>
    <xf numFmtId="164" fontId="23" fillId="19" borderId="73" xfId="69" applyNumberFormat="1" applyFont="1" applyFill="1" applyBorder="1"/>
    <xf numFmtId="164" fontId="28" fillId="19" borderId="73" xfId="69" applyNumberFormat="1" applyFont="1" applyFill="1" applyBorder="1"/>
    <xf numFmtId="43" fontId="40" fillId="0" borderId="67" xfId="51" applyFont="1" applyBorder="1" applyAlignment="1">
      <alignment vertical="center"/>
    </xf>
    <xf numFmtId="4" fontId="28" fillId="2" borderId="67" xfId="53" applyNumberFormat="1" applyFont="1" applyFill="1" applyBorder="1" applyAlignment="1">
      <alignment horizontal="center" vertical="center" wrapText="1"/>
    </xf>
    <xf numFmtId="164" fontId="28" fillId="0" borderId="74" xfId="53" applyNumberFormat="1" applyFont="1" applyFill="1" applyBorder="1" applyAlignment="1">
      <alignment horizontal="center" vertical="center" wrapText="1"/>
    </xf>
    <xf numFmtId="0" fontId="52" fillId="0" borderId="0" xfId="74"/>
    <xf numFmtId="0" fontId="115" fillId="0" borderId="73" xfId="0" applyFont="1" applyBorder="1" applyAlignment="1">
      <alignment horizontal="left" vertical="center" wrapText="1"/>
    </xf>
    <xf numFmtId="0" fontId="116" fillId="0" borderId="73" xfId="0" applyFont="1" applyBorder="1" applyAlignment="1">
      <alignment horizontal="center" vertical="center" wrapText="1"/>
    </xf>
    <xf numFmtId="0" fontId="116" fillId="0" borderId="73" xfId="0" applyFont="1" applyBorder="1" applyAlignment="1">
      <alignment horizontal="left" vertical="center" wrapText="1"/>
    </xf>
    <xf numFmtId="1" fontId="116" fillId="0" borderId="73" xfId="0" applyNumberFormat="1" applyFont="1" applyBorder="1" applyAlignment="1">
      <alignment horizontal="center" vertical="center" wrapText="1"/>
    </xf>
    <xf numFmtId="0" fontId="116" fillId="0" borderId="73" xfId="0" applyFont="1" applyBorder="1" applyAlignment="1">
      <alignment horizontal="center" vertical="center"/>
    </xf>
    <xf numFmtId="1" fontId="116" fillId="0" borderId="73" xfId="0" applyNumberFormat="1" applyFont="1" applyBorder="1" applyAlignment="1">
      <alignment horizontal="center" vertical="center"/>
    </xf>
    <xf numFmtId="0" fontId="115" fillId="0" borderId="73" xfId="0" applyFont="1" applyBorder="1" applyAlignment="1">
      <alignment horizontal="center" vertical="center" wrapText="1"/>
    </xf>
    <xf numFmtId="1" fontId="115" fillId="0" borderId="73" xfId="0" applyNumberFormat="1" applyFont="1" applyBorder="1" applyAlignment="1">
      <alignment horizontal="center" vertical="center" wrapText="1"/>
    </xf>
    <xf numFmtId="2" fontId="116" fillId="0" borderId="73" xfId="0" applyNumberFormat="1" applyFont="1" applyBorder="1" applyAlignment="1">
      <alignment horizontal="center" vertical="center" wrapText="1"/>
    </xf>
    <xf numFmtId="0" fontId="10" fillId="0" borderId="0" xfId="48"/>
    <xf numFmtId="0" fontId="82" fillId="14" borderId="72" xfId="48" applyFont="1" applyFill="1" applyBorder="1" applyAlignment="1">
      <alignment horizontal="left" vertical="top" wrapText="1"/>
    </xf>
    <xf numFmtId="0" fontId="10" fillId="0" borderId="0" xfId="48" applyFont="1"/>
    <xf numFmtId="182" fontId="10" fillId="0" borderId="0" xfId="48" applyNumberFormat="1" applyAlignment="1">
      <alignment horizontal="right" vertical="top"/>
    </xf>
    <xf numFmtId="182" fontId="10" fillId="0" borderId="0" xfId="48" applyNumberFormat="1" applyFont="1" applyAlignment="1">
      <alignment horizontal="right" vertical="top"/>
    </xf>
    <xf numFmtId="3" fontId="10" fillId="0" borderId="72" xfId="48" applyNumberFormat="1" applyFont="1" applyBorder="1" applyAlignment="1">
      <alignment horizontal="right" vertical="top"/>
    </xf>
    <xf numFmtId="167" fontId="5" fillId="0" borderId="95" xfId="53" applyNumberFormat="1" applyFont="1" applyFill="1" applyBorder="1" applyAlignment="1">
      <alignment horizontal="center" vertical="center"/>
    </xf>
    <xf numFmtId="167" fontId="5" fillId="0" borderId="67" xfId="53" applyNumberFormat="1" applyFont="1" applyFill="1" applyBorder="1" applyAlignment="1">
      <alignment horizontal="center" vertical="center"/>
    </xf>
    <xf numFmtId="167" fontId="5" fillId="0" borderId="97" xfId="53" applyNumberFormat="1" applyFont="1" applyFill="1" applyBorder="1" applyAlignment="1">
      <alignment horizontal="center" vertical="center"/>
    </xf>
    <xf numFmtId="167" fontId="102" fillId="18" borderId="73" xfId="53" applyNumberFormat="1" applyFont="1" applyFill="1" applyBorder="1" applyAlignment="1">
      <alignment horizontal="center" vertical="center"/>
    </xf>
    <xf numFmtId="2" fontId="116" fillId="0" borderId="73" xfId="0" applyNumberFormat="1" applyFont="1" applyBorder="1" applyAlignment="1">
      <alignment horizontal="center" vertical="center"/>
    </xf>
    <xf numFmtId="0" fontId="28" fillId="2" borderId="95" xfId="53" applyFont="1" applyFill="1" applyBorder="1" applyAlignment="1">
      <alignment horizontal="center" vertical="center" wrapText="1"/>
    </xf>
    <xf numFmtId="14" fontId="28" fillId="2" borderId="95" xfId="53" applyNumberFormat="1" applyFont="1" applyFill="1" applyBorder="1" applyAlignment="1">
      <alignment horizontal="center" vertical="center" wrapText="1"/>
    </xf>
    <xf numFmtId="43" fontId="28" fillId="2" borderId="95" xfId="51" applyFont="1" applyFill="1" applyBorder="1" applyAlignment="1">
      <alignment horizontal="center" vertical="center"/>
    </xf>
    <xf numFmtId="43" fontId="40" fillId="2" borderId="95" xfId="51" applyFont="1" applyFill="1" applyBorder="1" applyAlignment="1">
      <alignment vertical="center"/>
    </xf>
    <xf numFmtId="43" fontId="28" fillId="2" borderId="95" xfId="51" applyFont="1" applyFill="1" applyBorder="1"/>
    <xf numFmtId="43" fontId="40" fillId="2" borderId="95" xfId="51" applyFont="1" applyFill="1" applyBorder="1"/>
    <xf numFmtId="0" fontId="28" fillId="2" borderId="67" xfId="53" applyFont="1" applyFill="1" applyBorder="1" applyAlignment="1">
      <alignment horizontal="center" vertical="center" wrapText="1"/>
    </xf>
    <xf numFmtId="14" fontId="28" fillId="2" borderId="67" xfId="53" applyNumberFormat="1" applyFont="1" applyFill="1" applyBorder="1" applyAlignment="1">
      <alignment horizontal="center" vertical="center" wrapText="1"/>
    </xf>
    <xf numFmtId="43" fontId="28" fillId="2" borderId="67" xfId="51" applyFont="1" applyFill="1" applyBorder="1" applyAlignment="1">
      <alignment horizontal="center" vertical="center"/>
    </xf>
    <xf numFmtId="43" fontId="28" fillId="2" borderId="67" xfId="51" applyFont="1" applyFill="1" applyBorder="1"/>
    <xf numFmtId="43" fontId="40" fillId="2" borderId="67" xfId="51" applyFont="1" applyFill="1" applyBorder="1"/>
    <xf numFmtId="0" fontId="23" fillId="0" borderId="0" xfId="53" applyFont="1" applyFill="1"/>
    <xf numFmtId="0" fontId="23" fillId="0" borderId="66" xfId="53" applyNumberFormat="1" applyFont="1" applyFill="1" applyBorder="1" applyAlignment="1">
      <alignment horizontal="center" vertical="center"/>
    </xf>
    <xf numFmtId="0" fontId="23" fillId="0" borderId="95" xfId="53" applyFont="1" applyFill="1" applyBorder="1" applyAlignment="1">
      <alignment horizontal="center" vertical="center" wrapText="1"/>
    </xf>
    <xf numFmtId="14" fontId="23" fillId="0" borderId="95" xfId="53" applyNumberFormat="1" applyFont="1" applyFill="1" applyBorder="1" applyAlignment="1">
      <alignment horizontal="center" vertical="center" wrapText="1"/>
    </xf>
    <xf numFmtId="43" fontId="110" fillId="0" borderId="95" xfId="51" applyFont="1" applyFill="1" applyBorder="1" applyAlignment="1">
      <alignment vertical="center"/>
    </xf>
    <xf numFmtId="180" fontId="2" fillId="0" borderId="95" xfId="44" applyNumberFormat="1" applyFont="1" applyFill="1" applyBorder="1" applyAlignment="1">
      <alignment horizontal="center" vertical="center"/>
    </xf>
    <xf numFmtId="167" fontId="102" fillId="0" borderId="95" xfId="53" applyNumberFormat="1" applyFont="1" applyFill="1" applyBorder="1" applyAlignment="1">
      <alignment horizontal="center" vertical="center"/>
    </xf>
    <xf numFmtId="0" fontId="23" fillId="0" borderId="100" xfId="53" applyFont="1" applyFill="1" applyBorder="1" applyAlignment="1">
      <alignment wrapText="1"/>
    </xf>
    <xf numFmtId="164" fontId="23" fillId="0" borderId="66" xfId="53" applyNumberFormat="1" applyFont="1" applyFill="1" applyBorder="1" applyAlignment="1">
      <alignment wrapText="1"/>
    </xf>
    <xf numFmtId="164" fontId="23" fillId="0" borderId="68" xfId="53" applyNumberFormat="1" applyFont="1" applyFill="1" applyBorder="1" applyAlignment="1">
      <alignment wrapText="1"/>
    </xf>
    <xf numFmtId="43" fontId="23" fillId="0" borderId="0" xfId="51" applyFont="1" applyFill="1"/>
    <xf numFmtId="166" fontId="116" fillId="0" borderId="73" xfId="0" applyNumberFormat="1" applyFont="1" applyBorder="1" applyAlignment="1">
      <alignment horizontal="center" vertical="center" wrapText="1"/>
    </xf>
    <xf numFmtId="0" fontId="5" fillId="0" borderId="0" xfId="53" applyFont="1"/>
    <xf numFmtId="0" fontId="5" fillId="0" borderId="69" xfId="53" applyNumberFormat="1" applyFont="1" applyFill="1" applyBorder="1" applyAlignment="1">
      <alignment horizontal="center" vertical="center"/>
    </xf>
    <xf numFmtId="0" fontId="5" fillId="5" borderId="67" xfId="53" applyFont="1" applyFill="1" applyBorder="1" applyAlignment="1">
      <alignment vertical="center" wrapText="1"/>
    </xf>
    <xf numFmtId="0" fontId="5" fillId="0" borderId="67" xfId="53" applyFont="1" applyFill="1" applyBorder="1" applyAlignment="1">
      <alignment horizontal="center" vertical="center" wrapText="1"/>
    </xf>
    <xf numFmtId="4" fontId="5" fillId="0" borderId="67" xfId="53" applyNumberFormat="1" applyFont="1" applyFill="1" applyBorder="1" applyAlignment="1">
      <alignment horizontal="center" vertical="center" wrapText="1"/>
    </xf>
    <xf numFmtId="14" fontId="5" fillId="0" borderId="67" xfId="53" applyNumberFormat="1" applyFont="1" applyFill="1" applyBorder="1" applyAlignment="1">
      <alignment horizontal="center" vertical="center" wrapText="1"/>
    </xf>
    <xf numFmtId="43" fontId="5" fillId="0" borderId="67" xfId="51" applyFont="1" applyFill="1" applyBorder="1" applyAlignment="1">
      <alignment horizontal="center" vertical="center"/>
    </xf>
    <xf numFmtId="43" fontId="117" fillId="0" borderId="67" xfId="51" applyFont="1" applyFill="1" applyBorder="1" applyAlignment="1">
      <alignment vertical="center"/>
    </xf>
    <xf numFmtId="43" fontId="117" fillId="0" borderId="67" xfId="51" applyFont="1" applyBorder="1" applyAlignment="1">
      <alignment vertical="center"/>
    </xf>
    <xf numFmtId="43" fontId="5" fillId="0" borderId="67" xfId="44" applyFont="1" applyFill="1" applyBorder="1" applyAlignment="1">
      <alignment horizontal="center" vertical="center"/>
    </xf>
    <xf numFmtId="43" fontId="102" fillId="0" borderId="67" xfId="51" applyFont="1" applyFill="1" applyBorder="1" applyAlignment="1">
      <alignment horizontal="center" vertical="center"/>
    </xf>
    <xf numFmtId="180" fontId="5" fillId="0" borderId="95" xfId="44" applyNumberFormat="1" applyFont="1" applyFill="1" applyBorder="1" applyAlignment="1">
      <alignment horizontal="center" vertical="center"/>
    </xf>
    <xf numFmtId="0" fontId="5" fillId="0" borderId="99" xfId="53" applyFont="1" applyFill="1" applyBorder="1" applyAlignment="1">
      <alignment wrapText="1"/>
    </xf>
    <xf numFmtId="164" fontId="5" fillId="0" borderId="66" xfId="53" applyNumberFormat="1" applyFont="1" applyFill="1" applyBorder="1" applyAlignment="1">
      <alignment wrapText="1"/>
    </xf>
    <xf numFmtId="164" fontId="5" fillId="0" borderId="68" xfId="53" applyNumberFormat="1" applyFont="1" applyFill="1" applyBorder="1" applyAlignment="1">
      <alignment wrapText="1"/>
    </xf>
    <xf numFmtId="43" fontId="40" fillId="0" borderId="97" xfId="51" applyFont="1" applyFill="1" applyBorder="1"/>
    <xf numFmtId="3" fontId="28" fillId="0" borderId="97" xfId="53" applyNumberFormat="1" applyFont="1" applyFill="1" applyBorder="1" applyAlignment="1">
      <alignment horizontal="center" vertical="center" wrapText="1"/>
    </xf>
    <xf numFmtId="3" fontId="23" fillId="18" borderId="73" xfId="53" applyNumberFormat="1" applyFont="1" applyFill="1" applyBorder="1" applyAlignment="1">
      <alignment horizontal="center" vertical="center" wrapText="1"/>
    </xf>
    <xf numFmtId="3" fontId="28" fillId="0" borderId="95" xfId="53" applyNumberFormat="1" applyFont="1" applyFill="1" applyBorder="1" applyAlignment="1">
      <alignment horizontal="center" vertical="center" wrapText="1"/>
    </xf>
    <xf numFmtId="0" fontId="116" fillId="0" borderId="73" xfId="0" applyFont="1" applyBorder="1" applyAlignment="1">
      <alignment vertical="center"/>
    </xf>
    <xf numFmtId="0" fontId="23" fillId="0" borderId="0" xfId="53" applyFont="1"/>
    <xf numFmtId="0" fontId="23" fillId="0" borderId="96" xfId="53" applyNumberFormat="1" applyFont="1" applyFill="1" applyBorder="1" applyAlignment="1">
      <alignment horizontal="center" vertical="center"/>
    </xf>
    <xf numFmtId="0" fontId="23" fillId="5" borderId="97" xfId="53" applyFont="1" applyFill="1" applyBorder="1" applyAlignment="1">
      <alignment vertical="center" wrapText="1"/>
    </xf>
    <xf numFmtId="0" fontId="23" fillId="0" borderId="97" xfId="53" applyFont="1" applyFill="1" applyBorder="1" applyAlignment="1">
      <alignment horizontal="center" vertical="center" wrapText="1"/>
    </xf>
    <xf numFmtId="2" fontId="23" fillId="0" borderId="97" xfId="53" applyNumberFormat="1" applyFont="1" applyFill="1" applyBorder="1" applyAlignment="1">
      <alignment horizontal="center" vertical="center" wrapText="1"/>
    </xf>
    <xf numFmtId="14" fontId="23" fillId="0" borderId="97" xfId="53" applyNumberFormat="1" applyFont="1" applyFill="1" applyBorder="1" applyAlignment="1">
      <alignment horizontal="center" vertical="center" wrapText="1"/>
    </xf>
    <xf numFmtId="43" fontId="110" fillId="0" borderId="97" xfId="51" applyFont="1" applyBorder="1" applyAlignment="1">
      <alignment vertical="center"/>
    </xf>
    <xf numFmtId="43" fontId="23" fillId="0" borderId="97" xfId="44" applyFont="1" applyFill="1" applyBorder="1" applyAlignment="1">
      <alignment horizontal="center" vertical="center"/>
    </xf>
    <xf numFmtId="167" fontId="102" fillId="0" borderId="97" xfId="53" applyNumberFormat="1" applyFont="1" applyFill="1" applyBorder="1" applyAlignment="1">
      <alignment horizontal="center" vertical="center"/>
    </xf>
    <xf numFmtId="0" fontId="23" fillId="0" borderId="101" xfId="53" applyFont="1" applyFill="1" applyBorder="1" applyAlignment="1">
      <alignment wrapText="1"/>
    </xf>
    <xf numFmtId="0" fontId="4" fillId="0" borderId="0" xfId="53" applyFont="1"/>
    <xf numFmtId="0" fontId="47" fillId="0" borderId="73" xfId="53" applyFont="1" applyBorder="1" applyAlignment="1">
      <alignment horizontal="center" vertical="center" wrapText="1"/>
    </xf>
    <xf numFmtId="0" fontId="47" fillId="0" borderId="73" xfId="53" applyFont="1" applyBorder="1"/>
    <xf numFmtId="0" fontId="40" fillId="0" borderId="73" xfId="53" applyFont="1" applyBorder="1"/>
    <xf numFmtId="0" fontId="110" fillId="0" borderId="73" xfId="53" applyFont="1" applyFill="1" applyBorder="1"/>
    <xf numFmtId="43" fontId="110" fillId="0" borderId="73" xfId="51" applyFont="1" applyFill="1" applyBorder="1"/>
    <xf numFmtId="184" fontId="40" fillId="0" borderId="73" xfId="53" applyNumberFormat="1" applyFont="1" applyFill="1" applyBorder="1"/>
    <xf numFmtId="43" fontId="40" fillId="0" borderId="73" xfId="51" applyFont="1" applyFill="1" applyBorder="1"/>
    <xf numFmtId="185" fontId="40" fillId="0" borderId="73" xfId="53" applyNumberFormat="1" applyFont="1" applyFill="1" applyBorder="1"/>
    <xf numFmtId="4" fontId="40" fillId="0" borderId="73" xfId="53" applyNumberFormat="1" applyFont="1" applyFill="1" applyBorder="1"/>
    <xf numFmtId="4" fontId="40" fillId="0" borderId="73" xfId="51" applyNumberFormat="1" applyFont="1" applyFill="1" applyBorder="1"/>
    <xf numFmtId="0" fontId="4" fillId="0" borderId="73" xfId="53" applyFont="1" applyBorder="1"/>
    <xf numFmtId="43" fontId="4" fillId="8" borderId="73" xfId="51" applyFont="1" applyFill="1" applyBorder="1" applyAlignment="1">
      <alignment horizontal="center" vertical="center"/>
    </xf>
    <xf numFmtId="0" fontId="40" fillId="0" borderId="0" xfId="53" applyFont="1" applyFill="1"/>
    <xf numFmtId="43" fontId="40" fillId="0" borderId="0" xfId="51" applyFont="1" applyFill="1"/>
    <xf numFmtId="164" fontId="40" fillId="0" borderId="0" xfId="53" applyNumberFormat="1" applyFont="1"/>
    <xf numFmtId="43" fontId="40" fillId="0" borderId="0" xfId="51" applyFont="1"/>
    <xf numFmtId="164" fontId="40" fillId="16" borderId="0" xfId="53" applyNumberFormat="1" applyFont="1" applyFill="1"/>
    <xf numFmtId="164" fontId="47" fillId="0" borderId="0" xfId="53" applyNumberFormat="1" applyFont="1"/>
    <xf numFmtId="0" fontId="28" fillId="0" borderId="100" xfId="53" applyFont="1" applyFill="1" applyBorder="1" applyAlignment="1">
      <alignment vertical="top" wrapText="1"/>
    </xf>
    <xf numFmtId="0" fontId="5" fillId="2" borderId="95" xfId="53" applyFont="1" applyFill="1" applyBorder="1" applyAlignment="1">
      <alignment horizontal="center" vertical="center" wrapText="1"/>
    </xf>
    <xf numFmtId="14" fontId="5" fillId="2" borderId="95" xfId="53" applyNumberFormat="1" applyFont="1" applyFill="1" applyBorder="1" applyAlignment="1">
      <alignment horizontal="center" vertical="center" wrapText="1"/>
    </xf>
    <xf numFmtId="43" fontId="5" fillId="2" borderId="95" xfId="51" applyFont="1" applyFill="1" applyBorder="1" applyAlignment="1">
      <alignment horizontal="center" vertical="center"/>
    </xf>
    <xf numFmtId="43" fontId="117" fillId="2" borderId="95" xfId="51" applyFont="1" applyFill="1" applyBorder="1" applyAlignment="1">
      <alignment vertical="center"/>
    </xf>
    <xf numFmtId="49" fontId="56" fillId="0" borderId="0" xfId="74" applyNumberFormat="1" applyFont="1" applyFill="1" applyBorder="1" applyAlignment="1" applyProtection="1"/>
    <xf numFmtId="49" fontId="49" fillId="0" borderId="0" xfId="74" applyNumberFormat="1" applyFont="1" applyFill="1" applyBorder="1" applyAlignment="1" applyProtection="1">
      <alignment horizontal="right"/>
    </xf>
    <xf numFmtId="49" fontId="49" fillId="0" borderId="0" xfId="74" applyNumberFormat="1" applyFont="1" applyFill="1" applyBorder="1" applyAlignment="1" applyProtection="1"/>
    <xf numFmtId="0" fontId="49" fillId="0" borderId="0" xfId="74" applyNumberFormat="1" applyFont="1" applyFill="1" applyBorder="1" applyAlignment="1" applyProtection="1">
      <alignment horizontal="left" wrapText="1"/>
    </xf>
    <xf numFmtId="49" fontId="70" fillId="0" borderId="0" xfId="74" applyNumberFormat="1" applyFont="1" applyFill="1" applyBorder="1" applyAlignment="1" applyProtection="1">
      <alignment vertical="top" wrapText="1"/>
    </xf>
    <xf numFmtId="0" fontId="70" fillId="0" borderId="0" xfId="74" applyNumberFormat="1" applyFont="1" applyFill="1" applyBorder="1" applyAlignment="1" applyProtection="1">
      <alignment wrapText="1"/>
    </xf>
    <xf numFmtId="0" fontId="49" fillId="0" borderId="0" xfId="74" applyNumberFormat="1" applyFont="1" applyFill="1" applyBorder="1" applyAlignment="1" applyProtection="1">
      <alignment wrapText="1"/>
    </xf>
    <xf numFmtId="0" fontId="70" fillId="0" borderId="0" xfId="74" applyNumberFormat="1" applyFont="1" applyFill="1" applyBorder="1" applyAlignment="1" applyProtection="1"/>
    <xf numFmtId="49" fontId="49" fillId="0" borderId="0" xfId="74" applyNumberFormat="1" applyFont="1" applyFill="1" applyBorder="1" applyAlignment="1" applyProtection="1">
      <alignment horizontal="left"/>
    </xf>
    <xf numFmtId="49" fontId="49" fillId="0" borderId="0" xfId="74" applyNumberFormat="1" applyFont="1" applyFill="1" applyBorder="1" applyAlignment="1" applyProtection="1">
      <alignment vertical="top"/>
    </xf>
    <xf numFmtId="49" fontId="49" fillId="0" borderId="38" xfId="74" applyNumberFormat="1" applyFont="1" applyFill="1" applyBorder="1" applyAlignment="1" applyProtection="1">
      <alignment vertical="top"/>
    </xf>
    <xf numFmtId="0" fontId="49" fillId="0" borderId="0" xfId="74" applyNumberFormat="1" applyFont="1" applyFill="1" applyBorder="1" applyAlignment="1" applyProtection="1">
      <alignment horizontal="center" wrapText="1"/>
    </xf>
    <xf numFmtId="49" fontId="65" fillId="0" borderId="0" xfId="74" applyNumberFormat="1" applyFont="1" applyFill="1" applyBorder="1" applyAlignment="1" applyProtection="1">
      <alignment horizontal="center" vertical="top"/>
    </xf>
    <xf numFmtId="49" fontId="56" fillId="0" borderId="91" xfId="74" applyNumberFormat="1" applyFont="1" applyFill="1" applyBorder="1" applyAlignment="1" applyProtection="1">
      <alignment horizontal="center"/>
    </xf>
    <xf numFmtId="49" fontId="49" fillId="0" borderId="0" xfId="74" applyNumberFormat="1" applyFont="1" applyFill="1" applyBorder="1" applyAlignment="1" applyProtection="1">
      <alignment wrapText="1"/>
    </xf>
    <xf numFmtId="49" fontId="65" fillId="0" borderId="0" xfId="74" applyNumberFormat="1" applyFont="1" applyFill="1" applyBorder="1" applyAlignment="1" applyProtection="1"/>
    <xf numFmtId="49" fontId="56" fillId="0" borderId="0" xfId="74" applyNumberFormat="1" applyFont="1" applyFill="1" applyBorder="1" applyAlignment="1" applyProtection="1">
      <alignment horizontal="right" vertical="top"/>
    </xf>
    <xf numFmtId="49" fontId="65" fillId="0" borderId="0" xfId="74" applyNumberFormat="1" applyFont="1" applyFill="1" applyBorder="1" applyAlignment="1" applyProtection="1">
      <alignment horizontal="center"/>
    </xf>
    <xf numFmtId="49" fontId="66" fillId="0" borderId="0" xfId="74" applyNumberFormat="1" applyFont="1" applyFill="1" applyBorder="1" applyAlignment="1" applyProtection="1">
      <alignment horizontal="left"/>
    </xf>
    <xf numFmtId="0" fontId="49" fillId="0" borderId="0" xfId="74" applyNumberFormat="1" applyFont="1" applyFill="1" applyBorder="1" applyAlignment="1" applyProtection="1"/>
    <xf numFmtId="0" fontId="49" fillId="0" borderId="38" xfId="74" applyNumberFormat="1" applyFont="1" applyFill="1" applyBorder="1" applyAlignment="1" applyProtection="1"/>
    <xf numFmtId="0" fontId="49" fillId="0" borderId="38" xfId="74" applyNumberFormat="1" applyFont="1" applyFill="1" applyBorder="1" applyAlignment="1" applyProtection="1">
      <alignment horizontal="center"/>
    </xf>
    <xf numFmtId="0" fontId="49" fillId="0" borderId="0" xfId="74" applyNumberFormat="1" applyFont="1" applyFill="1" applyBorder="1" applyAlignment="1" applyProtection="1">
      <alignment horizontal="center"/>
    </xf>
    <xf numFmtId="0" fontId="56" fillId="0" borderId="91" xfId="74" applyNumberFormat="1" applyFont="1" applyFill="1" applyBorder="1" applyAlignment="1" applyProtection="1"/>
    <xf numFmtId="4" fontId="49" fillId="0" borderId="91" xfId="74" applyNumberFormat="1" applyFont="1" applyFill="1" applyBorder="1" applyAlignment="1" applyProtection="1">
      <alignment horizontal="right"/>
    </xf>
    <xf numFmtId="0" fontId="49" fillId="0" borderId="0" xfId="74" applyNumberFormat="1" applyFont="1" applyFill="1" applyBorder="1" applyAlignment="1" applyProtection="1">
      <alignment horizontal="left" vertical="top"/>
    </xf>
    <xf numFmtId="0" fontId="49" fillId="0" borderId="0" xfId="74" applyNumberFormat="1" applyFont="1" applyFill="1" applyBorder="1" applyAlignment="1" applyProtection="1">
      <alignment vertical="center" wrapText="1"/>
    </xf>
    <xf numFmtId="0" fontId="65" fillId="0" borderId="0" xfId="74" applyNumberFormat="1" applyFont="1" applyFill="1" applyBorder="1" applyAlignment="1" applyProtection="1"/>
    <xf numFmtId="2" fontId="49" fillId="0" borderId="0" xfId="74" applyNumberFormat="1" applyFont="1" applyFill="1" applyBorder="1" applyAlignment="1" applyProtection="1"/>
    <xf numFmtId="49" fontId="56" fillId="0" borderId="0" xfId="74" applyNumberFormat="1" applyFont="1" applyFill="1" applyBorder="1" applyAlignment="1" applyProtection="1">
      <alignment horizontal="right"/>
    </xf>
    <xf numFmtId="0" fontId="66" fillId="0" borderId="0" xfId="74" applyNumberFormat="1" applyFont="1" applyFill="1" applyBorder="1" applyAlignment="1" applyProtection="1"/>
    <xf numFmtId="2" fontId="49" fillId="0" borderId="91" xfId="74" applyNumberFormat="1" applyFont="1" applyFill="1" applyBorder="1" applyAlignment="1" applyProtection="1"/>
    <xf numFmtId="0" fontId="56" fillId="0" borderId="41" xfId="74" applyNumberFormat="1" applyFont="1" applyFill="1" applyBorder="1" applyAlignment="1" applyProtection="1"/>
    <xf numFmtId="4" fontId="49" fillId="0" borderId="41" xfId="74" applyNumberFormat="1" applyFont="1" applyFill="1" applyBorder="1" applyAlignment="1" applyProtection="1">
      <alignment horizontal="right"/>
    </xf>
    <xf numFmtId="2" fontId="49" fillId="0" borderId="41" xfId="74" applyNumberFormat="1" applyFont="1" applyFill="1" applyBorder="1" applyAlignment="1" applyProtection="1">
      <alignment horizontal="right"/>
    </xf>
    <xf numFmtId="0" fontId="49" fillId="0" borderId="0" xfId="74" applyNumberFormat="1" applyFont="1" applyFill="1" applyBorder="1" applyAlignment="1" applyProtection="1">
      <alignment horizontal="left"/>
    </xf>
    <xf numFmtId="2" fontId="49" fillId="0" borderId="0" xfId="74" applyNumberFormat="1" applyFont="1" applyFill="1" applyBorder="1" applyAlignment="1" applyProtection="1">
      <alignment horizontal="right"/>
    </xf>
    <xf numFmtId="0" fontId="68" fillId="0" borderId="0" xfId="74" applyNumberFormat="1" applyFont="1" applyFill="1" applyBorder="1" applyAlignment="1" applyProtection="1">
      <alignment horizontal="left" vertical="center" wrapText="1"/>
    </xf>
    <xf numFmtId="49" fontId="68" fillId="0" borderId="57" xfId="74" applyNumberFormat="1" applyFont="1" applyFill="1" applyBorder="1" applyAlignment="1" applyProtection="1">
      <alignment horizontal="center" vertical="top" wrapText="1"/>
    </xf>
    <xf numFmtId="49" fontId="68" fillId="0" borderId="38" xfId="74" applyNumberFormat="1" applyFont="1" applyFill="1" applyBorder="1" applyAlignment="1" applyProtection="1">
      <alignment horizontal="center" vertical="top" wrapText="1"/>
    </xf>
    <xf numFmtId="0" fontId="68" fillId="0" borderId="38" xfId="74" applyNumberFormat="1" applyFont="1" applyFill="1" applyBorder="1" applyAlignment="1" applyProtection="1">
      <alignment horizontal="center" vertical="top" wrapText="1"/>
    </xf>
    <xf numFmtId="1" fontId="68" fillId="0" borderId="38" xfId="74" applyNumberFormat="1" applyFont="1" applyFill="1" applyBorder="1" applyAlignment="1" applyProtection="1">
      <alignment horizontal="center" vertical="top" wrapText="1"/>
    </xf>
    <xf numFmtId="165" fontId="68" fillId="0" borderId="38" xfId="74" applyNumberFormat="1" applyFont="1" applyFill="1" applyBorder="1" applyAlignment="1" applyProtection="1">
      <alignment horizontal="center" vertical="top" wrapText="1"/>
    </xf>
    <xf numFmtId="0" fontId="68" fillId="0" borderId="38" xfId="74" applyNumberFormat="1" applyFont="1" applyFill="1" applyBorder="1" applyAlignment="1" applyProtection="1">
      <alignment horizontal="right" vertical="top" wrapText="1"/>
    </xf>
    <xf numFmtId="0" fontId="66" fillId="0" borderId="38" xfId="74" applyNumberFormat="1" applyFont="1" applyFill="1" applyBorder="1" applyAlignment="1" applyProtection="1">
      <alignment horizontal="right" vertical="top" wrapText="1"/>
    </xf>
    <xf numFmtId="0" fontId="68" fillId="0" borderId="45" xfId="74" applyNumberFormat="1" applyFont="1" applyFill="1" applyBorder="1" applyAlignment="1" applyProtection="1">
      <alignment horizontal="right" vertical="top" wrapText="1"/>
    </xf>
    <xf numFmtId="0" fontId="68" fillId="0" borderId="0" xfId="74" applyNumberFormat="1" applyFont="1" applyFill="1" applyBorder="1" applyAlignment="1" applyProtection="1">
      <alignment horizontal="left" vertical="top" wrapText="1"/>
    </xf>
    <xf numFmtId="49" fontId="56" fillId="0" borderId="58" xfId="74" applyNumberFormat="1" applyFont="1" applyFill="1" applyBorder="1" applyAlignment="1" applyProtection="1">
      <alignment horizontal="center" vertical="top" wrapText="1"/>
    </xf>
    <xf numFmtId="49" fontId="56" fillId="0" borderId="58" xfId="74" applyNumberFormat="1" applyFont="1" applyFill="1" applyBorder="1" applyAlignment="1" applyProtection="1">
      <alignment vertical="center" wrapText="1"/>
    </xf>
    <xf numFmtId="49" fontId="56" fillId="0" borderId="0" xfId="74" applyNumberFormat="1" applyFont="1" applyFill="1" applyBorder="1" applyAlignment="1" applyProtection="1">
      <alignment horizontal="right" vertical="top" wrapText="1"/>
    </xf>
    <xf numFmtId="49" fontId="49" fillId="0" borderId="58" xfId="74" applyNumberFormat="1" applyFont="1" applyFill="1" applyBorder="1" applyAlignment="1" applyProtection="1">
      <alignment vertical="center" wrapText="1"/>
    </xf>
    <xf numFmtId="49" fontId="49" fillId="0" borderId="0" xfId="74" applyNumberFormat="1" applyFont="1" applyFill="1" applyBorder="1" applyAlignment="1" applyProtection="1">
      <alignment horizontal="right" vertical="top" wrapText="1"/>
    </xf>
    <xf numFmtId="49" fontId="49" fillId="0" borderId="0" xfId="74" applyNumberFormat="1" applyFont="1" applyFill="1" applyBorder="1" applyAlignment="1" applyProtection="1">
      <alignment horizontal="center" vertical="top" wrapText="1"/>
    </xf>
    <xf numFmtId="0" fontId="49" fillId="0" borderId="0" xfId="74" applyNumberFormat="1" applyFont="1" applyFill="1" applyBorder="1" applyAlignment="1" applyProtection="1">
      <alignment horizontal="right" vertical="top" wrapText="1"/>
    </xf>
    <xf numFmtId="4" fontId="49" fillId="0" borderId="43" xfId="74" applyNumberFormat="1" applyFont="1" applyFill="1" applyBorder="1" applyAlignment="1" applyProtection="1">
      <alignment horizontal="right" vertical="top" wrapText="1"/>
    </xf>
    <xf numFmtId="165" fontId="49" fillId="0" borderId="0" xfId="74" applyNumberFormat="1" applyFont="1" applyFill="1" applyBorder="1" applyAlignment="1" applyProtection="1">
      <alignment horizontal="center" vertical="top" wrapText="1"/>
    </xf>
    <xf numFmtId="49" fontId="49" fillId="0" borderId="58" xfId="74" applyNumberFormat="1" applyFont="1" applyFill="1" applyBorder="1" applyAlignment="1" applyProtection="1">
      <alignment horizontal="right" vertical="center" wrapText="1"/>
    </xf>
    <xf numFmtId="1" fontId="49" fillId="0" borderId="0" xfId="74" applyNumberFormat="1" applyFont="1" applyFill="1" applyBorder="1" applyAlignment="1" applyProtection="1">
      <alignment horizontal="center" vertical="top" wrapText="1"/>
    </xf>
    <xf numFmtId="0" fontId="56" fillId="0" borderId="0" xfId="74" applyNumberFormat="1" applyFont="1" applyFill="1" applyBorder="1" applyAlignment="1" applyProtection="1">
      <alignment horizontal="right" vertical="top" wrapText="1"/>
    </xf>
    <xf numFmtId="0" fontId="56" fillId="0" borderId="0" xfId="74" applyNumberFormat="1" applyFont="1" applyFill="1" applyBorder="1" applyAlignment="1" applyProtection="1">
      <alignment horizontal="center" vertical="top" wrapText="1"/>
    </xf>
    <xf numFmtId="4" fontId="49" fillId="0" borderId="0" xfId="74" applyNumberFormat="1" applyFont="1" applyFill="1" applyBorder="1" applyAlignment="1" applyProtection="1">
      <alignment horizontal="right" vertical="top" wrapText="1"/>
    </xf>
    <xf numFmtId="0" fontId="71" fillId="0" borderId="0" xfId="74" applyNumberFormat="1" applyFont="1" applyFill="1" applyBorder="1" applyAlignment="1" applyProtection="1"/>
    <xf numFmtId="49" fontId="49" fillId="0" borderId="58" xfId="74" applyNumberFormat="1" applyFont="1" applyFill="1" applyBorder="1" applyAlignment="1" applyProtection="1">
      <alignment horizontal="right" vertical="top" wrapText="1"/>
    </xf>
    <xf numFmtId="2" fontId="49" fillId="0" borderId="0" xfId="74" applyNumberFormat="1" applyFont="1" applyFill="1" applyBorder="1" applyAlignment="1" applyProtection="1">
      <alignment horizontal="right" vertical="top" wrapText="1"/>
    </xf>
    <xf numFmtId="2" fontId="49" fillId="0" borderId="0" xfId="74" applyNumberFormat="1" applyFont="1" applyFill="1" applyBorder="1" applyAlignment="1" applyProtection="1">
      <alignment horizontal="center" vertical="top" wrapText="1"/>
    </xf>
    <xf numFmtId="49" fontId="56" fillId="0" borderId="58" xfId="74" applyNumberFormat="1" applyFont="1" applyFill="1" applyBorder="1" applyAlignment="1" applyProtection="1"/>
    <xf numFmtId="4" fontId="68" fillId="0" borderId="38" xfId="74" applyNumberFormat="1" applyFont="1" applyFill="1" applyBorder="1" applyAlignment="1" applyProtection="1">
      <alignment horizontal="right" vertical="top" wrapText="1"/>
    </xf>
    <xf numFmtId="4" fontId="68" fillId="0" borderId="45" xfId="74" applyNumberFormat="1" applyFont="1" applyFill="1" applyBorder="1" applyAlignment="1" applyProtection="1">
      <alignment horizontal="right" vertical="top" wrapText="1"/>
    </xf>
    <xf numFmtId="49" fontId="68" fillId="0" borderId="58" xfId="74" applyNumberFormat="1" applyFont="1" applyFill="1" applyBorder="1" applyAlignment="1" applyProtection="1">
      <alignment horizontal="center" vertical="top" wrapText="1"/>
    </xf>
    <xf numFmtId="49" fontId="68" fillId="0" borderId="0" xfId="74" applyNumberFormat="1" applyFont="1" applyFill="1" applyBorder="1" applyAlignment="1" applyProtection="1">
      <alignment horizontal="left" vertical="top" wrapText="1"/>
    </xf>
    <xf numFmtId="2" fontId="66" fillId="0" borderId="38" xfId="74" applyNumberFormat="1" applyFont="1" applyFill="1" applyBorder="1" applyAlignment="1" applyProtection="1">
      <alignment horizontal="right" vertical="top" wrapText="1"/>
    </xf>
    <xf numFmtId="166" fontId="49" fillId="0" borderId="0" xfId="74" applyNumberFormat="1" applyFont="1" applyFill="1" applyBorder="1" applyAlignment="1" applyProtection="1">
      <alignment horizontal="center" vertical="top" wrapText="1"/>
    </xf>
    <xf numFmtId="2" fontId="56" fillId="0" borderId="0" xfId="74" applyNumberFormat="1" applyFont="1" applyFill="1" applyBorder="1" applyAlignment="1" applyProtection="1">
      <alignment horizontal="right" vertical="top" wrapText="1"/>
    </xf>
    <xf numFmtId="2" fontId="56" fillId="0" borderId="0" xfId="74" applyNumberFormat="1" applyFont="1" applyFill="1" applyBorder="1" applyAlignment="1" applyProtection="1">
      <alignment horizontal="center" vertical="top" wrapText="1"/>
    </xf>
    <xf numFmtId="2" fontId="49" fillId="0" borderId="43" xfId="74" applyNumberFormat="1" applyFont="1" applyFill="1" applyBorder="1" applyAlignment="1" applyProtection="1">
      <alignment horizontal="right" vertical="top" wrapText="1"/>
    </xf>
    <xf numFmtId="4" fontId="56" fillId="0" borderId="0" xfId="74" applyNumberFormat="1" applyFont="1" applyFill="1" applyBorder="1" applyAlignment="1" applyProtection="1">
      <alignment horizontal="right" vertical="top" wrapText="1"/>
    </xf>
    <xf numFmtId="49" fontId="65" fillId="0" borderId="58" xfId="74" applyNumberFormat="1" applyFont="1" applyFill="1" applyBorder="1" applyAlignment="1" applyProtection="1">
      <alignment horizontal="right" vertical="top" wrapText="1"/>
    </xf>
    <xf numFmtId="49" fontId="65" fillId="0" borderId="0" xfId="74" applyNumberFormat="1" applyFont="1" applyFill="1" applyBorder="1" applyAlignment="1" applyProtection="1">
      <alignment horizontal="right" vertical="top" wrapText="1"/>
    </xf>
    <xf numFmtId="49" fontId="65" fillId="0" borderId="0" xfId="74" applyNumberFormat="1" applyFont="1" applyFill="1" applyBorder="1" applyAlignment="1" applyProtection="1">
      <alignment horizontal="center" vertical="top" wrapText="1"/>
    </xf>
    <xf numFmtId="1" fontId="65" fillId="0" borderId="0" xfId="74" applyNumberFormat="1" applyFont="1" applyFill="1" applyBorder="1" applyAlignment="1" applyProtection="1">
      <alignment horizontal="center" vertical="top" wrapText="1"/>
    </xf>
    <xf numFmtId="0" fontId="65" fillId="0" borderId="0" xfId="74" applyNumberFormat="1" applyFont="1" applyFill="1" applyBorder="1" applyAlignment="1" applyProtection="1">
      <alignment horizontal="center" vertical="top" wrapText="1"/>
    </xf>
    <xf numFmtId="0" fontId="65" fillId="0" borderId="0" xfId="74" applyNumberFormat="1" applyFont="1" applyFill="1" applyBorder="1" applyAlignment="1" applyProtection="1">
      <alignment horizontal="right" vertical="top" wrapText="1"/>
    </xf>
    <xf numFmtId="0" fontId="65" fillId="0" borderId="43" xfId="74" applyNumberFormat="1" applyFont="1" applyFill="1" applyBorder="1" applyAlignment="1" applyProtection="1">
      <alignment horizontal="right" vertical="top" wrapText="1"/>
    </xf>
    <xf numFmtId="0" fontId="65" fillId="0" borderId="0" xfId="74" applyNumberFormat="1" applyFont="1" applyFill="1" applyBorder="1" applyAlignment="1" applyProtection="1">
      <alignment horizontal="left" vertical="top" wrapText="1"/>
    </xf>
    <xf numFmtId="4" fontId="66" fillId="0" borderId="38" xfId="74" applyNumberFormat="1" applyFont="1" applyFill="1" applyBorder="1" applyAlignment="1" applyProtection="1">
      <alignment horizontal="right" vertical="top" wrapText="1"/>
    </xf>
    <xf numFmtId="49" fontId="68" fillId="0" borderId="94" xfId="74" applyNumberFormat="1" applyFont="1" applyFill="1" applyBorder="1" applyAlignment="1" applyProtection="1">
      <alignment horizontal="center" vertical="top" wrapText="1"/>
    </xf>
    <xf numFmtId="0" fontId="68" fillId="0" borderId="91" xfId="74" applyNumberFormat="1" applyFont="1" applyFill="1" applyBorder="1" applyAlignment="1" applyProtection="1">
      <alignment horizontal="left" vertical="top" wrapText="1"/>
    </xf>
    <xf numFmtId="0" fontId="68" fillId="0" borderId="91" xfId="74" applyNumberFormat="1" applyFont="1" applyFill="1" applyBorder="1" applyAlignment="1" applyProtection="1">
      <alignment horizontal="center" vertical="top" wrapText="1"/>
    </xf>
    <xf numFmtId="0" fontId="68" fillId="0" borderId="91" xfId="74" applyNumberFormat="1" applyFont="1" applyFill="1" applyBorder="1" applyAlignment="1" applyProtection="1">
      <alignment horizontal="right" vertical="top" wrapText="1"/>
    </xf>
    <xf numFmtId="0" fontId="56" fillId="0" borderId="91" xfId="74" applyNumberFormat="1" applyFont="1" applyFill="1" applyBorder="1" applyAlignment="1" applyProtection="1">
      <alignment horizontal="center" vertical="top" wrapText="1"/>
    </xf>
    <xf numFmtId="49" fontId="66" fillId="0" borderId="91" xfId="74" applyNumberFormat="1" applyFont="1" applyFill="1" applyBorder="1" applyAlignment="1" applyProtection="1">
      <alignment vertical="top" wrapText="1"/>
    </xf>
    <xf numFmtId="49" fontId="66" fillId="0" borderId="92" xfId="74" applyNumberFormat="1" applyFont="1" applyFill="1" applyBorder="1" applyAlignment="1" applyProtection="1">
      <alignment horizontal="right" vertical="top" wrapText="1"/>
    </xf>
    <xf numFmtId="2" fontId="118" fillId="0" borderId="0" xfId="74" applyNumberFormat="1" applyFont="1" applyFill="1" applyBorder="1" applyAlignment="1" applyProtection="1">
      <alignment horizontal="center" vertical="top"/>
    </xf>
    <xf numFmtId="3" fontId="118" fillId="0" borderId="0" xfId="74" applyNumberFormat="1" applyFont="1" applyFill="1" applyBorder="1" applyAlignment="1" applyProtection="1">
      <alignment horizontal="right" vertical="top"/>
    </xf>
    <xf numFmtId="49" fontId="68" fillId="0" borderId="0" xfId="74" applyNumberFormat="1" applyFont="1" applyFill="1" applyBorder="1" applyAlignment="1" applyProtection="1">
      <alignment horizontal="right" vertical="top" wrapText="1"/>
    </xf>
    <xf numFmtId="0" fontId="68" fillId="0" borderId="43" xfId="74" applyNumberFormat="1" applyFont="1" applyFill="1" applyBorder="1" applyAlignment="1" applyProtection="1">
      <alignment horizontal="right" vertical="top" wrapText="1"/>
    </xf>
    <xf numFmtId="0" fontId="68" fillId="0" borderId="0" xfId="74" applyNumberFormat="1" applyFont="1" applyFill="1" applyBorder="1" applyAlignment="1" applyProtection="1">
      <alignment vertical="top" wrapText="1"/>
    </xf>
    <xf numFmtId="4" fontId="56" fillId="0" borderId="43" xfId="74" applyNumberFormat="1" applyFont="1" applyFill="1" applyBorder="1" applyAlignment="1" applyProtection="1">
      <alignment horizontal="right" vertical="top" wrapText="1"/>
    </xf>
    <xf numFmtId="0" fontId="56" fillId="0" borderId="0" xfId="74" applyNumberFormat="1" applyFont="1" applyFill="1" applyBorder="1" applyAlignment="1" applyProtection="1">
      <alignment vertical="top" wrapText="1"/>
    </xf>
    <xf numFmtId="0" fontId="56" fillId="0" borderId="43" xfId="74" applyNumberFormat="1" applyFont="1" applyFill="1" applyBorder="1" applyAlignment="1" applyProtection="1">
      <alignment horizontal="right" vertical="top" wrapText="1"/>
    </xf>
    <xf numFmtId="4" fontId="68" fillId="0" borderId="43" xfId="74" applyNumberFormat="1" applyFont="1" applyFill="1" applyBorder="1" applyAlignment="1" applyProtection="1">
      <alignment horizontal="right" vertical="top" wrapText="1"/>
    </xf>
    <xf numFmtId="49" fontId="56" fillId="0" borderId="0" xfId="74" applyNumberFormat="1" applyFont="1" applyFill="1" applyBorder="1" applyAlignment="1" applyProtection="1">
      <alignment horizontal="center" vertical="top" wrapText="1"/>
    </xf>
    <xf numFmtId="49" fontId="76" fillId="0" borderId="0" xfId="74" applyNumberFormat="1" applyFont="1" applyFill="1" applyBorder="1" applyAlignment="1" applyProtection="1">
      <alignment vertical="top" wrapText="1"/>
    </xf>
    <xf numFmtId="167" fontId="49" fillId="0" borderId="0" xfId="74" applyNumberFormat="1" applyFont="1" applyFill="1" applyBorder="1" applyAlignment="1" applyProtection="1">
      <alignment horizontal="center" vertical="top" wrapText="1"/>
    </xf>
    <xf numFmtId="177" fontId="49" fillId="0" borderId="0" xfId="74" applyNumberFormat="1" applyFont="1" applyFill="1" applyBorder="1" applyAlignment="1" applyProtection="1">
      <alignment horizontal="center" vertical="top" wrapText="1"/>
    </xf>
    <xf numFmtId="2" fontId="68" fillId="0" borderId="38" xfId="74" applyNumberFormat="1" applyFont="1" applyFill="1" applyBorder="1" applyAlignment="1" applyProtection="1">
      <alignment horizontal="center" vertical="top" wrapText="1"/>
    </xf>
    <xf numFmtId="49" fontId="56" fillId="0" borderId="94" xfId="74" applyNumberFormat="1" applyFont="1" applyFill="1" applyBorder="1" applyAlignment="1" applyProtection="1"/>
    <xf numFmtId="49" fontId="56" fillId="0" borderId="91" xfId="74" applyNumberFormat="1" applyFont="1" applyFill="1" applyBorder="1" applyAlignment="1" applyProtection="1">
      <alignment vertical="top"/>
    </xf>
    <xf numFmtId="49" fontId="56" fillId="0" borderId="91" xfId="74" applyNumberFormat="1" applyFont="1" applyFill="1" applyBorder="1" applyAlignment="1" applyProtection="1">
      <alignment vertical="top" wrapText="1"/>
    </xf>
    <xf numFmtId="0" fontId="56" fillId="0" borderId="92" xfId="74" applyNumberFormat="1" applyFont="1" applyFill="1" applyBorder="1" applyAlignment="1" applyProtection="1">
      <alignment vertical="top" wrapText="1"/>
    </xf>
    <xf numFmtId="2" fontId="70" fillId="0" borderId="0" xfId="74" applyNumberFormat="1" applyFont="1" applyFill="1" applyBorder="1" applyAlignment="1" applyProtection="1">
      <alignment horizontal="center" vertical="top"/>
    </xf>
    <xf numFmtId="3" fontId="70" fillId="0" borderId="0" xfId="74" applyNumberFormat="1" applyFont="1" applyFill="1" applyBorder="1" applyAlignment="1" applyProtection="1">
      <alignment horizontal="right" vertical="top"/>
    </xf>
    <xf numFmtId="4" fontId="70" fillId="0" borderId="0" xfId="74" applyNumberFormat="1" applyFont="1" applyFill="1" applyBorder="1" applyAlignment="1" applyProtection="1">
      <alignment horizontal="right" vertical="top"/>
    </xf>
    <xf numFmtId="4" fontId="68" fillId="0" borderId="91" xfId="74" applyNumberFormat="1" applyFont="1" applyFill="1" applyBorder="1" applyAlignment="1" applyProtection="1">
      <alignment horizontal="right" vertical="top"/>
    </xf>
    <xf numFmtId="2" fontId="68" fillId="0" borderId="91" xfId="74" applyNumberFormat="1" applyFont="1" applyFill="1" applyBorder="1" applyAlignment="1" applyProtection="1">
      <alignment horizontal="center" vertical="top"/>
    </xf>
    <xf numFmtId="0" fontId="56" fillId="0" borderId="91" xfId="74" applyNumberFormat="1" applyFont="1" applyFill="1" applyBorder="1" applyAlignment="1" applyProtection="1">
      <alignment vertical="center"/>
    </xf>
    <xf numFmtId="49" fontId="56" fillId="0" borderId="91" xfId="74" applyNumberFormat="1" applyFont="1" applyFill="1" applyBorder="1" applyAlignment="1" applyProtection="1"/>
    <xf numFmtId="3" fontId="68" fillId="0" borderId="92" xfId="74" applyNumberFormat="1" applyFont="1" applyFill="1" applyBorder="1" applyAlignment="1" applyProtection="1">
      <alignment horizontal="right" vertical="top"/>
    </xf>
    <xf numFmtId="0" fontId="70" fillId="0" borderId="0" xfId="74" applyNumberFormat="1" applyFont="1" applyFill="1" applyBorder="1" applyAlignment="1" applyProtection="1">
      <alignment vertical="center"/>
    </xf>
    <xf numFmtId="0" fontId="56" fillId="0" borderId="0" xfId="74" applyNumberFormat="1" applyFont="1" applyFill="1" applyBorder="1" applyAlignment="1" applyProtection="1">
      <alignment vertical="center"/>
    </xf>
    <xf numFmtId="0" fontId="56" fillId="0" borderId="0" xfId="74" applyNumberFormat="1" applyFont="1" applyFill="1" applyBorder="1" applyAlignment="1" applyProtection="1">
      <alignment horizontal="left" vertical="center" wrapText="1"/>
    </xf>
    <xf numFmtId="0" fontId="56" fillId="0" borderId="0" xfId="74" applyNumberFormat="1" applyFont="1" applyFill="1" applyBorder="1" applyAlignment="1" applyProtection="1">
      <alignment vertical="center" wrapText="1"/>
    </xf>
    <xf numFmtId="0" fontId="68" fillId="0" borderId="0" xfId="74" applyNumberFormat="1" applyFont="1" applyFill="1" applyBorder="1" applyAlignment="1" applyProtection="1">
      <alignment horizontal="right" vertical="top" wrapText="1"/>
    </xf>
    <xf numFmtId="4" fontId="68" fillId="0" borderId="0" xfId="74" applyNumberFormat="1" applyFont="1" applyFill="1" applyBorder="1" applyAlignment="1" applyProtection="1">
      <alignment horizontal="right" vertical="top"/>
    </xf>
    <xf numFmtId="2" fontId="68" fillId="0" borderId="0" xfId="74" applyNumberFormat="1" applyFont="1" applyFill="1" applyBorder="1" applyAlignment="1" applyProtection="1">
      <alignment horizontal="center" vertical="top"/>
    </xf>
    <xf numFmtId="3" fontId="68" fillId="0" borderId="0" xfId="74" applyNumberFormat="1" applyFont="1" applyFill="1" applyBorder="1" applyAlignment="1" applyProtection="1">
      <alignment horizontal="right" vertical="top"/>
    </xf>
    <xf numFmtId="0" fontId="49" fillId="0" borderId="0" xfId="74" applyNumberFormat="1" applyFont="1" applyFill="1" applyBorder="1" applyAlignment="1" applyProtection="1">
      <alignment horizontal="right" vertical="top"/>
    </xf>
    <xf numFmtId="0" fontId="49" fillId="0" borderId="0" xfId="74" applyNumberFormat="1" applyFont="1" applyFill="1" applyBorder="1" applyAlignment="1" applyProtection="1">
      <alignment horizontal="left" vertical="center" wrapText="1"/>
    </xf>
    <xf numFmtId="0" fontId="49" fillId="0" borderId="0" xfId="74" applyNumberFormat="1" applyFont="1" applyFill="1" applyBorder="1" applyAlignment="1" applyProtection="1">
      <alignment vertical="top" wrapText="1"/>
    </xf>
    <xf numFmtId="0" fontId="49" fillId="0" borderId="0" xfId="74" applyNumberFormat="1" applyFont="1" applyFill="1" applyBorder="1" applyAlignment="1" applyProtection="1">
      <alignment vertical="top"/>
    </xf>
    <xf numFmtId="0" fontId="70" fillId="0" borderId="0" xfId="74" applyNumberFormat="1" applyFont="1" applyFill="1" applyBorder="1" applyAlignment="1" applyProtection="1">
      <alignment vertical="top"/>
    </xf>
    <xf numFmtId="0" fontId="56" fillId="0" borderId="0" xfId="74" applyNumberFormat="1" applyFont="1" applyFill="1" applyBorder="1" applyAlignment="1" applyProtection="1"/>
    <xf numFmtId="0" fontId="56" fillId="0" borderId="0" xfId="74" applyNumberFormat="1" applyFont="1" applyFill="1" applyBorder="1" applyAlignment="1" applyProtection="1">
      <alignment horizontal="left" wrapText="1"/>
    </xf>
    <xf numFmtId="0" fontId="56" fillId="0" borderId="0" xfId="74" applyNumberFormat="1" applyFont="1" applyFill="1" applyBorder="1" applyAlignment="1" applyProtection="1">
      <alignment horizontal="center" wrapText="1"/>
    </xf>
    <xf numFmtId="0" fontId="56" fillId="0" borderId="0" xfId="74" applyNumberFormat="1" applyFont="1" applyFill="1" applyBorder="1" applyAlignment="1" applyProtection="1">
      <alignment wrapText="1"/>
    </xf>
    <xf numFmtId="0" fontId="23" fillId="0" borderId="95" xfId="51" applyNumberFormat="1" applyFont="1" applyFill="1" applyBorder="1" applyAlignment="1">
      <alignment horizontal="center" vertical="center"/>
    </xf>
    <xf numFmtId="180" fontId="28" fillId="2" borderId="95" xfId="44" applyNumberFormat="1" applyFont="1" applyFill="1" applyBorder="1" applyAlignment="1">
      <alignment horizontal="center" vertical="center"/>
    </xf>
    <xf numFmtId="180" fontId="28" fillId="2" borderId="67" xfId="44" applyNumberFormat="1" applyFont="1" applyFill="1" applyBorder="1" applyAlignment="1">
      <alignment horizontal="center" vertical="center"/>
    </xf>
    <xf numFmtId="0" fontId="10" fillId="0" borderId="0" xfId="81" applyFont="1" applyAlignment="1">
      <alignment horizontal="left" vertical="top" wrapText="1"/>
    </xf>
    <xf numFmtId="0" fontId="10" fillId="0" borderId="0" xfId="81" applyFont="1" applyAlignment="1">
      <alignment horizontal="left" vertical="top" wrapText="1"/>
    </xf>
    <xf numFmtId="0" fontId="10" fillId="0" borderId="106" xfId="81" applyFont="1" applyBorder="1" applyAlignment="1">
      <alignment horizontal="center" vertical="center" wrapText="1"/>
    </xf>
    <xf numFmtId="0" fontId="10" fillId="0" borderId="106" xfId="81" applyFont="1" applyBorder="1" applyAlignment="1">
      <alignment horizontal="center" vertical="center" wrapText="1"/>
    </xf>
    <xf numFmtId="0" fontId="17" fillId="0" borderId="106" xfId="81" applyFont="1" applyBorder="1" applyAlignment="1">
      <alignment horizontal="left" vertical="top" wrapText="1"/>
    </xf>
    <xf numFmtId="0" fontId="17" fillId="0" borderId="106" xfId="81" applyFont="1" applyBorder="1" applyAlignment="1">
      <alignment horizontal="left" vertical="top" wrapText="1"/>
    </xf>
    <xf numFmtId="0" fontId="17" fillId="0" borderId="44" xfId="81" applyFont="1" applyBorder="1" applyAlignment="1">
      <alignment horizontal="left" vertical="top" wrapText="1"/>
    </xf>
    <xf numFmtId="0" fontId="17" fillId="0" borderId="44" xfId="81" applyFont="1" applyBorder="1" applyAlignment="1">
      <alignment horizontal="left" vertical="top" wrapText="1"/>
    </xf>
    <xf numFmtId="0" fontId="17" fillId="0" borderId="107" xfId="81" applyFont="1" applyBorder="1" applyAlignment="1">
      <alignment horizontal="left" vertical="top" wrapText="1"/>
    </xf>
    <xf numFmtId="0" fontId="10" fillId="0" borderId="107" xfId="81" applyFont="1" applyBorder="1" applyAlignment="1">
      <alignment horizontal="left" vertical="top" wrapText="1"/>
    </xf>
    <xf numFmtId="49" fontId="28" fillId="0" borderId="8" xfId="15" applyNumberFormat="1" applyFont="1" applyFill="1" applyBorder="1" applyAlignment="1">
      <alignment horizontal="center" vertical="center" wrapText="1"/>
    </xf>
    <xf numFmtId="0" fontId="28" fillId="0" borderId="8" xfId="10" applyFont="1" applyFill="1" applyBorder="1" applyAlignment="1">
      <alignment vertical="center"/>
    </xf>
    <xf numFmtId="0" fontId="28" fillId="0" borderId="8" xfId="15" applyFont="1" applyFill="1" applyBorder="1" applyAlignment="1">
      <alignment horizontal="center" vertical="center" wrapText="1"/>
    </xf>
    <xf numFmtId="4" fontId="28" fillId="0" borderId="8" xfId="15" applyNumberFormat="1" applyFont="1" applyFill="1" applyBorder="1" applyAlignment="1">
      <alignment horizontal="center" vertical="center"/>
    </xf>
    <xf numFmtId="4" fontId="28" fillId="0" borderId="8" xfId="15" applyNumberFormat="1" applyFont="1" applyFill="1" applyBorder="1" applyAlignment="1">
      <alignment horizontal="center" vertical="center" wrapText="1"/>
    </xf>
    <xf numFmtId="0" fontId="28" fillId="0" borderId="73" xfId="10" applyFont="1" applyFill="1" applyBorder="1" applyAlignment="1">
      <alignment vertical="center"/>
    </xf>
    <xf numFmtId="0" fontId="28" fillId="0" borderId="73" xfId="15" applyFont="1" applyFill="1" applyBorder="1" applyAlignment="1">
      <alignment horizontal="center" vertical="center" wrapText="1"/>
    </xf>
    <xf numFmtId="49" fontId="28" fillId="0" borderId="73" xfId="15" applyNumberFormat="1" applyFont="1" applyFill="1" applyBorder="1" applyAlignment="1">
      <alignment horizontal="center" vertical="center" wrapText="1"/>
    </xf>
    <xf numFmtId="4" fontId="28" fillId="0" borderId="73" xfId="15" applyNumberFormat="1" applyFont="1" applyFill="1" applyBorder="1" applyAlignment="1">
      <alignment horizontal="center" vertical="center"/>
    </xf>
    <xf numFmtId="0" fontId="17" fillId="0" borderId="102" xfId="81" applyFont="1" applyBorder="1" applyAlignment="1">
      <alignment horizontal="left" vertical="top" wrapText="1"/>
    </xf>
    <xf numFmtId="0" fontId="10" fillId="0" borderId="102" xfId="81" applyFont="1" applyBorder="1" applyAlignment="1">
      <alignment horizontal="left" vertical="top" wrapText="1"/>
    </xf>
    <xf numFmtId="0" fontId="10" fillId="0" borderId="110" xfId="46" applyFont="1" applyBorder="1" applyAlignment="1">
      <alignment horizontal="left" vertical="center"/>
    </xf>
    <xf numFmtId="0" fontId="10" fillId="0" borderId="109" xfId="46" applyFont="1" applyBorder="1" applyAlignment="1">
      <alignment horizontal="left" vertical="center"/>
    </xf>
    <xf numFmtId="0" fontId="10" fillId="0" borderId="109" xfId="46" applyBorder="1" applyAlignment="1">
      <alignment horizontal="left" vertical="center"/>
    </xf>
    <xf numFmtId="49" fontId="10" fillId="0" borderId="108" xfId="46" applyNumberFormat="1" applyBorder="1"/>
    <xf numFmtId="49" fontId="10" fillId="0" borderId="106" xfId="46" applyNumberFormat="1" applyFont="1" applyFill="1" applyBorder="1" applyAlignment="1">
      <alignment horizontal="center" vertical="center" wrapText="1"/>
    </xf>
    <xf numFmtId="0" fontId="10" fillId="0" borderId="106" xfId="46" applyFont="1" applyFill="1" applyBorder="1" applyAlignment="1">
      <alignment horizontal="center" vertical="center" wrapText="1"/>
    </xf>
    <xf numFmtId="0" fontId="10" fillId="0" borderId="106" xfId="46" quotePrefix="1" applyNumberFormat="1" applyFont="1" applyFill="1" applyBorder="1" applyAlignment="1">
      <alignment horizontal="center" vertical="center" wrapText="1"/>
    </xf>
    <xf numFmtId="0" fontId="10" fillId="0" borderId="106" xfId="47" applyFont="1" applyFill="1" applyBorder="1" applyAlignment="1">
      <alignment horizontal="center" vertical="center" wrapText="1"/>
    </xf>
    <xf numFmtId="4" fontId="10" fillId="0" borderId="106" xfId="46" applyNumberFormat="1" applyFont="1" applyFill="1" applyBorder="1" applyAlignment="1">
      <alignment horizontal="center" vertical="center" wrapText="1"/>
    </xf>
    <xf numFmtId="4" fontId="10" fillId="0" borderId="106" xfId="46" applyNumberFormat="1" applyFont="1" applyFill="1" applyBorder="1" applyAlignment="1">
      <alignment horizontal="right" vertical="center" wrapText="1"/>
    </xf>
    <xf numFmtId="16" fontId="10" fillId="0" borderId="106" xfId="46" quotePrefix="1" applyNumberFormat="1" applyFont="1" applyFill="1" applyBorder="1" applyAlignment="1">
      <alignment horizontal="center" vertical="center" wrapText="1"/>
    </xf>
    <xf numFmtId="0" fontId="10" fillId="6" borderId="106" xfId="46" applyFont="1" applyFill="1" applyBorder="1" applyAlignment="1">
      <alignment horizontal="center" vertical="center" wrapText="1"/>
    </xf>
    <xf numFmtId="0" fontId="10" fillId="6" borderId="106" xfId="47" applyFont="1" applyFill="1" applyBorder="1" applyAlignment="1">
      <alignment horizontal="center" vertical="center" wrapText="1"/>
    </xf>
    <xf numFmtId="4" fontId="10" fillId="6" borderId="106" xfId="46" applyNumberFormat="1" applyFont="1" applyFill="1" applyBorder="1" applyAlignment="1">
      <alignment horizontal="center" vertical="center" wrapText="1"/>
    </xf>
    <xf numFmtId="4" fontId="10" fillId="6" borderId="106" xfId="46" applyNumberFormat="1" applyFont="1" applyFill="1" applyBorder="1" applyAlignment="1">
      <alignment horizontal="right" vertical="center" wrapText="1"/>
    </xf>
    <xf numFmtId="4" fontId="97" fillId="0" borderId="106" xfId="46" applyNumberFormat="1" applyFont="1" applyFill="1" applyBorder="1" applyAlignment="1">
      <alignment horizontal="right" vertical="center" wrapText="1"/>
    </xf>
    <xf numFmtId="0" fontId="10" fillId="0" borderId="106" xfId="46" quotePrefix="1" applyNumberFormat="1" applyFill="1" applyBorder="1" applyAlignment="1">
      <alignment horizontal="center" vertical="center" wrapText="1"/>
    </xf>
    <xf numFmtId="167" fontId="10" fillId="0" borderId="106" xfId="46" applyNumberFormat="1" applyFont="1" applyFill="1" applyBorder="1" applyAlignment="1">
      <alignment horizontal="center" vertical="center" wrapText="1"/>
    </xf>
    <xf numFmtId="0" fontId="94" fillId="0" borderId="106" xfId="47" applyFont="1" applyFill="1" applyBorder="1" applyAlignment="1">
      <alignment vertical="top" wrapText="1"/>
    </xf>
    <xf numFmtId="4" fontId="98" fillId="0" borderId="106" xfId="46" applyNumberFormat="1" applyFont="1" applyFill="1" applyBorder="1" applyAlignment="1">
      <alignment horizontal="right" vertical="center" wrapText="1"/>
    </xf>
    <xf numFmtId="0" fontId="99" fillId="0" borderId="106" xfId="46" applyFont="1" applyFill="1" applyBorder="1" applyAlignment="1">
      <alignment horizontal="center" vertical="center" wrapText="1"/>
    </xf>
    <xf numFmtId="2" fontId="10" fillId="0" borderId="106" xfId="46" applyNumberFormat="1" applyFont="1" applyFill="1" applyBorder="1" applyAlignment="1">
      <alignment horizontal="center" vertical="center" wrapText="1"/>
    </xf>
    <xf numFmtId="0" fontId="96" fillId="0" borderId="108" xfId="46" applyFont="1" applyFill="1" applyBorder="1" applyAlignment="1">
      <alignment horizontal="center" vertical="center" wrapText="1"/>
    </xf>
    <xf numFmtId="0" fontId="41" fillId="0" borderId="106" xfId="53" applyFont="1" applyBorder="1" applyAlignment="1">
      <alignment horizontal="center" vertical="center" wrapText="1"/>
    </xf>
    <xf numFmtId="0" fontId="99" fillId="0" borderId="110" xfId="46" applyFont="1" applyFill="1" applyBorder="1" applyAlignment="1">
      <alignment horizontal="center" vertical="center" wrapText="1"/>
    </xf>
    <xf numFmtId="3" fontId="99" fillId="0" borderId="106" xfId="46" applyNumberFormat="1" applyFont="1" applyFill="1" applyBorder="1" applyAlignment="1">
      <alignment horizontal="center" vertical="center" wrapText="1"/>
    </xf>
    <xf numFmtId="4" fontId="99" fillId="0" borderId="106" xfId="46" applyNumberFormat="1" applyFont="1" applyFill="1" applyBorder="1" applyAlignment="1">
      <alignment horizontal="center" vertical="center" wrapText="1"/>
    </xf>
    <xf numFmtId="0" fontId="10" fillId="11" borderId="106" xfId="46" quotePrefix="1" applyFont="1" applyFill="1" applyBorder="1" applyAlignment="1">
      <alignment horizontal="center" vertical="center" wrapText="1"/>
    </xf>
    <xf numFmtId="0" fontId="59" fillId="11" borderId="106" xfId="47" applyFont="1" applyFill="1" applyBorder="1" applyAlignment="1">
      <alignment horizontal="center" vertical="center" wrapText="1"/>
    </xf>
    <xf numFmtId="0" fontId="10" fillId="11" borderId="106" xfId="46" applyFont="1" applyFill="1" applyBorder="1" applyAlignment="1">
      <alignment horizontal="center" vertical="center" wrapText="1"/>
    </xf>
    <xf numFmtId="0" fontId="17" fillId="11" borderId="106" xfId="46" applyFont="1" applyFill="1" applyBorder="1" applyAlignment="1">
      <alignment horizontal="center" vertical="top" wrapText="1"/>
    </xf>
    <xf numFmtId="2" fontId="10" fillId="11" borderId="106" xfId="46" applyNumberFormat="1" applyFont="1" applyFill="1" applyBorder="1" applyAlignment="1">
      <alignment horizontal="center" vertical="center" wrapText="1"/>
    </xf>
    <xf numFmtId="2" fontId="9" fillId="11" borderId="106" xfId="46" applyNumberFormat="1" applyFont="1" applyFill="1" applyBorder="1" applyAlignment="1">
      <alignment horizontal="center" vertical="center" wrapText="1"/>
    </xf>
    <xf numFmtId="0" fontId="10" fillId="0" borderId="106" xfId="46" quotePrefix="1" applyFont="1" applyFill="1" applyBorder="1" applyAlignment="1">
      <alignment horizontal="center" vertical="center" wrapText="1"/>
    </xf>
    <xf numFmtId="2" fontId="9" fillId="0" borderId="106" xfId="46" applyNumberFormat="1" applyFont="1" applyFill="1" applyBorder="1" applyAlignment="1">
      <alignment horizontal="center" vertical="center" wrapText="1"/>
    </xf>
    <xf numFmtId="0" fontId="10" fillId="0" borderId="0" xfId="46" applyFill="1"/>
    <xf numFmtId="0" fontId="99" fillId="11" borderId="106" xfId="46" quotePrefix="1" applyFont="1" applyFill="1" applyBorder="1" applyAlignment="1">
      <alignment horizontal="center" vertical="center" wrapText="1"/>
    </xf>
    <xf numFmtId="9" fontId="95" fillId="0" borderId="106" xfId="46" applyNumberFormat="1" applyFont="1" applyFill="1" applyBorder="1" applyAlignment="1">
      <alignment horizontal="center" vertical="center" wrapText="1"/>
    </xf>
    <xf numFmtId="0" fontId="95" fillId="0" borderId="106" xfId="46" applyFont="1" applyFill="1" applyBorder="1" applyAlignment="1">
      <alignment horizontal="left" vertical="center" wrapText="1"/>
    </xf>
    <xf numFmtId="2" fontId="95" fillId="0" borderId="106" xfId="46" applyNumberFormat="1" applyFont="1" applyFill="1" applyBorder="1" applyAlignment="1">
      <alignment horizontal="right" vertical="center" wrapText="1"/>
    </xf>
    <xf numFmtId="0" fontId="10" fillId="0" borderId="106" xfId="46" applyFont="1" applyFill="1" applyBorder="1" applyAlignment="1">
      <alignment vertical="center" wrapText="1"/>
    </xf>
    <xf numFmtId="0" fontId="17" fillId="0" borderId="110" xfId="46" applyFont="1" applyFill="1" applyBorder="1" applyAlignment="1">
      <alignment vertical="center" wrapText="1"/>
    </xf>
    <xf numFmtId="4" fontId="99" fillId="0" borderId="109" xfId="46" applyNumberFormat="1" applyFont="1" applyFill="1" applyBorder="1" applyAlignment="1">
      <alignment horizontal="right" vertical="center" wrapText="1"/>
    </xf>
    <xf numFmtId="4" fontId="50" fillId="0" borderId="106" xfId="46" applyNumberFormat="1" applyFont="1" applyFill="1" applyBorder="1" applyAlignment="1">
      <alignment horizontal="right" vertical="center" wrapText="1"/>
    </xf>
    <xf numFmtId="4" fontId="17" fillId="0" borderId="106" xfId="46" applyNumberFormat="1" applyFont="1" applyFill="1" applyBorder="1" applyAlignment="1">
      <alignment horizontal="right" vertical="center" wrapText="1"/>
    </xf>
    <xf numFmtId="4" fontId="99" fillId="0" borderId="106" xfId="46" applyNumberFormat="1" applyFont="1" applyFill="1" applyBorder="1" applyAlignment="1">
      <alignment horizontal="right" vertical="center" wrapText="1"/>
    </xf>
    <xf numFmtId="4" fontId="10" fillId="0" borderId="106" xfId="46" applyNumberFormat="1" applyFont="1" applyFill="1" applyBorder="1" applyAlignment="1">
      <alignment vertical="center" wrapText="1"/>
    </xf>
    <xf numFmtId="4" fontId="17" fillId="0" borderId="109" xfId="46" applyNumberFormat="1" applyFont="1" applyFill="1" applyBorder="1" applyAlignment="1">
      <alignment vertical="center" wrapText="1"/>
    </xf>
    <xf numFmtId="0" fontId="121" fillId="0" borderId="0" xfId="58" applyFont="1" applyAlignment="1">
      <alignment horizontal="center" vertical="center" wrapText="1"/>
    </xf>
    <xf numFmtId="0" fontId="121" fillId="0" borderId="0" xfId="58" applyFont="1"/>
    <xf numFmtId="0" fontId="121" fillId="0" borderId="0" xfId="58" applyFont="1" applyAlignment="1">
      <alignment horizontal="left"/>
    </xf>
    <xf numFmtId="0" fontId="13" fillId="0" borderId="0" xfId="58" applyFont="1" applyAlignment="1">
      <alignment horizontal="center" vertical="center" wrapText="1"/>
    </xf>
    <xf numFmtId="2" fontId="121" fillId="0" borderId="0" xfId="58" applyNumberFormat="1" applyFont="1" applyAlignment="1">
      <alignment horizontal="center" vertical="center" wrapText="1"/>
    </xf>
    <xf numFmtId="0" fontId="121" fillId="0" borderId="116" xfId="58" applyFont="1" applyBorder="1" applyAlignment="1">
      <alignment horizontal="center" vertical="center" wrapText="1"/>
    </xf>
    <xf numFmtId="0" fontId="121" fillId="0" borderId="117" xfId="58" applyFont="1" applyBorder="1" applyAlignment="1">
      <alignment horizontal="center" vertical="center" wrapText="1"/>
    </xf>
    <xf numFmtId="2" fontId="121" fillId="0" borderId="117" xfId="58" applyNumberFormat="1" applyFont="1" applyBorder="1" applyAlignment="1">
      <alignment horizontal="center" vertical="center" wrapText="1"/>
    </xf>
    <xf numFmtId="2" fontId="121" fillId="0" borderId="118" xfId="58" applyNumberFormat="1" applyFont="1" applyBorder="1" applyAlignment="1">
      <alignment horizontal="center" vertical="center" wrapText="1"/>
    </xf>
    <xf numFmtId="1" fontId="121" fillId="0" borderId="117" xfId="58" applyNumberFormat="1" applyFont="1" applyBorder="1" applyAlignment="1">
      <alignment horizontal="center" vertical="center" wrapText="1"/>
    </xf>
    <xf numFmtId="1" fontId="121" fillId="0" borderId="118" xfId="58" applyNumberFormat="1" applyFont="1" applyBorder="1" applyAlignment="1">
      <alignment horizontal="center" vertical="center" wrapText="1"/>
    </xf>
    <xf numFmtId="0" fontId="121" fillId="0" borderId="121" xfId="58" applyFont="1" applyBorder="1" applyAlignment="1">
      <alignment vertical="center" wrapText="1"/>
    </xf>
    <xf numFmtId="0" fontId="121" fillId="0" borderId="121" xfId="58" applyFont="1" applyBorder="1" applyAlignment="1">
      <alignment horizontal="center" vertical="center" wrapText="1"/>
    </xf>
    <xf numFmtId="0" fontId="121" fillId="0" borderId="122" xfId="58" applyFont="1" applyBorder="1" applyAlignment="1">
      <alignment horizontal="center" vertical="center" wrapText="1"/>
    </xf>
    <xf numFmtId="0" fontId="121" fillId="0" borderId="121" xfId="58" applyNumberFormat="1" applyFont="1" applyFill="1" applyBorder="1" applyAlignment="1">
      <alignment horizontal="center" vertical="center" wrapText="1"/>
    </xf>
    <xf numFmtId="186" fontId="121" fillId="0" borderId="122" xfId="58" applyNumberFormat="1" applyFont="1" applyBorder="1" applyAlignment="1">
      <alignment horizontal="center" vertical="center" wrapText="1"/>
    </xf>
    <xf numFmtId="0" fontId="121" fillId="0" borderId="0" xfId="58" applyFont="1" applyBorder="1" applyAlignment="1">
      <alignment horizontal="center" vertical="center" wrapText="1"/>
    </xf>
    <xf numFmtId="0" fontId="121" fillId="0" borderId="121" xfId="58" applyFont="1" applyBorder="1" applyAlignment="1">
      <alignment horizontal="left" vertical="center" wrapText="1"/>
    </xf>
    <xf numFmtId="0" fontId="121" fillId="0" borderId="123" xfId="58" applyFont="1" applyBorder="1" applyAlignment="1">
      <alignment horizontal="center" vertical="center" wrapText="1"/>
    </xf>
    <xf numFmtId="9" fontId="121" fillId="0" borderId="106" xfId="58" applyNumberFormat="1" applyFont="1" applyBorder="1" applyAlignment="1">
      <alignment horizontal="center" vertical="center" wrapText="1"/>
    </xf>
    <xf numFmtId="1" fontId="121" fillId="0" borderId="124" xfId="58" applyNumberFormat="1" applyFont="1" applyBorder="1" applyAlignment="1">
      <alignment horizontal="center" vertical="center" wrapText="1"/>
    </xf>
    <xf numFmtId="2" fontId="121" fillId="0" borderId="106" xfId="58" applyNumberFormat="1" applyFont="1" applyBorder="1" applyAlignment="1">
      <alignment horizontal="center" vertical="center" wrapText="1"/>
    </xf>
    <xf numFmtId="0" fontId="121" fillId="0" borderId="121" xfId="58" applyFont="1" applyFill="1" applyBorder="1" applyAlignment="1">
      <alignment vertical="center" wrapText="1"/>
    </xf>
    <xf numFmtId="0" fontId="121" fillId="0" borderId="126" xfId="58" applyFont="1" applyBorder="1" applyAlignment="1">
      <alignment horizontal="center" vertical="center" wrapText="1"/>
    </xf>
    <xf numFmtId="0" fontId="121" fillId="0" borderId="121" xfId="58" applyFont="1" applyFill="1" applyBorder="1" applyAlignment="1">
      <alignment horizontal="center" vertical="center" wrapText="1"/>
    </xf>
    <xf numFmtId="186" fontId="121" fillId="0" borderId="126" xfId="82" applyNumberFormat="1" applyFont="1" applyBorder="1" applyAlignment="1">
      <alignment horizontal="center" vertical="center" wrapText="1"/>
    </xf>
    <xf numFmtId="0" fontId="121" fillId="0" borderId="123" xfId="58" applyFont="1" applyBorder="1" applyAlignment="1">
      <alignment horizontal="left" vertical="center" wrapText="1"/>
    </xf>
    <xf numFmtId="186" fontId="121" fillId="0" borderId="121" xfId="58" applyNumberFormat="1" applyFont="1" applyFill="1" applyBorder="1" applyAlignment="1">
      <alignment horizontal="center" vertical="center" wrapText="1"/>
    </xf>
    <xf numFmtId="1" fontId="121" fillId="0" borderId="121" xfId="58" applyNumberFormat="1" applyFont="1" applyBorder="1" applyAlignment="1">
      <alignment horizontal="center" vertical="center" wrapText="1"/>
    </xf>
    <xf numFmtId="186" fontId="121" fillId="0" borderId="121" xfId="58" applyNumberFormat="1" applyFont="1" applyBorder="1" applyAlignment="1">
      <alignment horizontal="center" vertical="center" wrapText="1"/>
    </xf>
    <xf numFmtId="186" fontId="121" fillId="0" borderId="122" xfId="58" applyNumberFormat="1" applyFont="1" applyFill="1" applyBorder="1" applyAlignment="1">
      <alignment horizontal="center" vertical="center" wrapText="1"/>
    </xf>
    <xf numFmtId="0" fontId="121" fillId="0" borderId="106" xfId="58" applyFont="1" applyBorder="1"/>
    <xf numFmtId="0" fontId="13" fillId="0" borderId="108" xfId="58" applyFont="1" applyBorder="1" applyAlignment="1">
      <alignment horizontal="center" vertical="center" wrapText="1"/>
    </xf>
    <xf numFmtId="0" fontId="13" fillId="0" borderId="109" xfId="58" applyFont="1" applyBorder="1" applyAlignment="1">
      <alignment horizontal="center" vertical="center" wrapText="1"/>
    </xf>
    <xf numFmtId="0" fontId="121" fillId="0" borderId="110" xfId="58" applyFont="1" applyBorder="1" applyAlignment="1">
      <alignment horizontal="center" vertical="center" wrapText="1"/>
    </xf>
    <xf numFmtId="2" fontId="121" fillId="0" borderId="110" xfId="58" applyNumberFormat="1" applyFont="1" applyBorder="1" applyAlignment="1">
      <alignment horizontal="center" vertical="center" wrapText="1"/>
    </xf>
    <xf numFmtId="4" fontId="121" fillId="0" borderId="120" xfId="58" applyNumberFormat="1" applyFont="1" applyBorder="1" applyAlignment="1">
      <alignment horizontal="right" vertical="center" wrapText="1"/>
    </xf>
    <xf numFmtId="4" fontId="121" fillId="0" borderId="125" xfId="58" applyNumberFormat="1" applyFont="1" applyBorder="1" applyAlignment="1">
      <alignment horizontal="right" vertical="center"/>
    </xf>
    <xf numFmtId="4" fontId="13" fillId="0" borderId="120" xfId="58" applyNumberFormat="1" applyFont="1" applyBorder="1" applyAlignment="1">
      <alignment horizontal="right" vertical="center" wrapText="1"/>
    </xf>
    <xf numFmtId="4" fontId="121" fillId="0" borderId="120" xfId="58" applyNumberFormat="1" applyFont="1" applyBorder="1" applyAlignment="1">
      <alignment horizontal="right" vertical="center"/>
    </xf>
    <xf numFmtId="4" fontId="13" fillId="0" borderId="129" xfId="58" applyNumberFormat="1" applyFont="1" applyBorder="1" applyAlignment="1">
      <alignment horizontal="right" vertical="center" wrapText="1"/>
    </xf>
    <xf numFmtId="4" fontId="13" fillId="0" borderId="132" xfId="58" applyNumberFormat="1" applyFont="1" applyBorder="1" applyAlignment="1">
      <alignment horizontal="right" vertical="center" wrapText="1"/>
    </xf>
    <xf numFmtId="4" fontId="13" fillId="0" borderId="133" xfId="58" applyNumberFormat="1" applyFont="1" applyFill="1" applyBorder="1" applyAlignment="1">
      <alignment horizontal="right" vertical="center" wrapText="1"/>
    </xf>
    <xf numFmtId="4" fontId="13" fillId="0" borderId="136" xfId="58" applyNumberFormat="1" applyFont="1" applyBorder="1" applyAlignment="1">
      <alignment horizontal="right" vertical="center"/>
    </xf>
    <xf numFmtId="4" fontId="121" fillId="0" borderId="106" xfId="58" applyNumberFormat="1" applyFont="1" applyBorder="1" applyAlignment="1">
      <alignment horizontal="right"/>
    </xf>
    <xf numFmtId="4" fontId="13" fillId="0" borderId="106" xfId="58" applyNumberFormat="1" applyFont="1" applyBorder="1" applyAlignment="1">
      <alignment horizontal="right" vertical="center" wrapText="1"/>
    </xf>
    <xf numFmtId="0" fontId="10" fillId="0" borderId="0" xfId="81" applyFont="1" applyAlignment="1">
      <alignment horizontal="left" vertical="top" wrapText="1"/>
    </xf>
    <xf numFmtId="0" fontId="17" fillId="0" borderId="44" xfId="81" applyFont="1" applyBorder="1" applyAlignment="1">
      <alignment horizontal="left" vertical="top" wrapText="1"/>
    </xf>
    <xf numFmtId="0" fontId="17" fillId="0" borderId="107" xfId="81" applyFont="1" applyBorder="1" applyAlignment="1">
      <alignment horizontal="left" vertical="top" wrapText="1"/>
    </xf>
    <xf numFmtId="0" fontId="10" fillId="0" borderId="107" xfId="81" applyFont="1" applyBorder="1" applyAlignment="1">
      <alignment horizontal="left" vertical="top" wrapText="1"/>
    </xf>
    <xf numFmtId="0" fontId="17" fillId="0" borderId="73" xfId="81" applyFont="1" applyBorder="1" applyAlignment="1">
      <alignment horizontal="left" vertical="top" wrapText="1"/>
    </xf>
    <xf numFmtId="0" fontId="10" fillId="0" borderId="44" xfId="81" applyFont="1" applyBorder="1" applyAlignment="1">
      <alignment horizontal="center" vertical="top" wrapText="1"/>
    </xf>
    <xf numFmtId="0" fontId="10" fillId="0" borderId="73" xfId="81" applyFont="1" applyBorder="1" applyAlignment="1">
      <alignment horizontal="center" vertical="center" wrapText="1"/>
    </xf>
    <xf numFmtId="0" fontId="28" fillId="0" borderId="0" xfId="0" applyFont="1" applyAlignment="1">
      <alignment horizontal="left" wrapText="1"/>
    </xf>
    <xf numFmtId="0" fontId="10" fillId="0" borderId="0" xfId="81" applyFont="1" applyAlignment="1">
      <alignment horizontal="left" vertical="top" wrapText="1"/>
    </xf>
    <xf numFmtId="0" fontId="17" fillId="0" borderId="44" xfId="81" applyFont="1" applyBorder="1" applyAlignment="1">
      <alignment horizontal="left" vertical="top" wrapText="1"/>
    </xf>
    <xf numFmtId="0" fontId="17" fillId="0" borderId="107" xfId="81" applyFont="1" applyBorder="1" applyAlignment="1">
      <alignment horizontal="left" vertical="top" wrapText="1"/>
    </xf>
    <xf numFmtId="0" fontId="10" fillId="0" borderId="107" xfId="81" applyFont="1" applyBorder="1" applyAlignment="1">
      <alignment horizontal="left" vertical="top" wrapText="1"/>
    </xf>
    <xf numFmtId="0" fontId="10" fillId="0" borderId="73" xfId="81" applyFont="1" applyBorder="1" applyAlignment="1">
      <alignment horizontal="center" vertical="center" wrapText="1"/>
    </xf>
    <xf numFmtId="0" fontId="17" fillId="0" borderId="73" xfId="81" applyFont="1" applyBorder="1" applyAlignment="1">
      <alignment horizontal="left" vertical="top" wrapText="1"/>
    </xf>
    <xf numFmtId="0" fontId="2" fillId="0" borderId="0" xfId="28" applyFont="1" applyAlignment="1">
      <alignment horizontal="center"/>
    </xf>
    <xf numFmtId="0" fontId="2" fillId="0" borderId="0" xfId="28" applyFont="1" applyAlignment="1">
      <alignment horizontal="center" vertical="center" wrapText="1"/>
    </xf>
    <xf numFmtId="0" fontId="23" fillId="0" borderId="0" xfId="15" applyFont="1" applyAlignment="1">
      <alignment horizontal="left" vertical="center" wrapText="1"/>
    </xf>
    <xf numFmtId="0" fontId="28" fillId="0" borderId="0" xfId="15" applyFont="1" applyAlignment="1">
      <alignment horizontal="center" vertical="center"/>
    </xf>
    <xf numFmtId="0" fontId="2" fillId="0" borderId="0" xfId="28" applyFont="1" applyAlignment="1">
      <alignment horizontal="center" vertical="center"/>
    </xf>
    <xf numFmtId="0" fontId="2" fillId="0" borderId="0" xfId="28" quotePrefix="1" applyFont="1" applyAlignment="1">
      <alignment horizontal="center" vertical="center" wrapText="1"/>
    </xf>
    <xf numFmtId="0" fontId="49" fillId="0" borderId="0" xfId="74" applyNumberFormat="1" applyFont="1" applyFill="1" applyBorder="1" applyAlignment="1" applyProtection="1">
      <alignment horizontal="center" vertical="top" wrapText="1"/>
    </xf>
    <xf numFmtId="0" fontId="23" fillId="0" borderId="0" xfId="53" applyFont="1" applyBorder="1" applyAlignment="1">
      <alignment horizontal="center"/>
    </xf>
    <xf numFmtId="0" fontId="3" fillId="0" borderId="0" xfId="53" applyFont="1" applyBorder="1" applyAlignment="1">
      <alignment horizontal="left" wrapText="1"/>
    </xf>
    <xf numFmtId="0" fontId="3" fillId="8" borderId="73" xfId="53" applyFont="1" applyFill="1" applyBorder="1" applyAlignment="1">
      <alignment horizontal="center" vertical="center" wrapText="1"/>
    </xf>
    <xf numFmtId="0" fontId="2" fillId="0" borderId="0" xfId="53" applyFont="1" applyBorder="1" applyAlignment="1">
      <alignment horizontal="center" vertical="center"/>
    </xf>
    <xf numFmtId="49" fontId="56" fillId="0" borderId="0" xfId="74" applyNumberFormat="1" applyFont="1" applyFill="1" applyBorder="1" applyAlignment="1" applyProtection="1">
      <alignment vertical="top" wrapText="1"/>
    </xf>
    <xf numFmtId="49" fontId="68" fillId="0" borderId="0" xfId="74" applyNumberFormat="1" applyFont="1" applyFill="1" applyBorder="1" applyAlignment="1" applyProtection="1">
      <alignment vertical="top" wrapText="1"/>
    </xf>
    <xf numFmtId="49" fontId="56" fillId="0" borderId="0" xfId="74" applyNumberFormat="1" applyFont="1" applyFill="1" applyBorder="1" applyAlignment="1" applyProtection="1">
      <alignment horizontal="left" vertical="top" wrapText="1"/>
    </xf>
    <xf numFmtId="49" fontId="68" fillId="0" borderId="38" xfId="74" applyNumberFormat="1" applyFont="1" applyFill="1" applyBorder="1" applyAlignment="1" applyProtection="1">
      <alignment horizontal="left" vertical="top" wrapText="1"/>
    </xf>
    <xf numFmtId="0" fontId="56" fillId="0" borderId="0" xfId="74" applyNumberFormat="1" applyFont="1" applyFill="1" applyBorder="1" applyAlignment="1" applyProtection="1">
      <alignment horizontal="left" vertical="top" wrapText="1"/>
    </xf>
    <xf numFmtId="0" fontId="56" fillId="0" borderId="0" xfId="74" applyNumberFormat="1" applyFont="1" applyFill="1" applyBorder="1" applyAlignment="1" applyProtection="1">
      <alignment horizontal="center" vertical="center" wrapText="1"/>
    </xf>
    <xf numFmtId="49" fontId="13" fillId="0" borderId="0" xfId="74" applyNumberFormat="1" applyFont="1" applyFill="1" applyBorder="1" applyAlignment="1" applyProtection="1">
      <alignment horizontal="center"/>
    </xf>
    <xf numFmtId="0" fontId="49" fillId="0" borderId="0" xfId="74" applyNumberFormat="1" applyFont="1" applyFill="1" applyBorder="1" applyAlignment="1" applyProtection="1">
      <alignment horizontal="left" vertical="top" wrapText="1"/>
    </xf>
    <xf numFmtId="0" fontId="82" fillId="14" borderId="72" xfId="48" applyFont="1" applyFill="1" applyBorder="1" applyAlignment="1">
      <alignment horizontal="left" vertical="top" wrapText="1"/>
    </xf>
    <xf numFmtId="0" fontId="10" fillId="0" borderId="0" xfId="48"/>
    <xf numFmtId="4" fontId="28" fillId="0" borderId="8" xfId="10" applyNumberFormat="1" applyFont="1" applyFill="1" applyBorder="1" applyAlignment="1">
      <alignment horizontal="center" vertical="center" wrapText="1"/>
    </xf>
    <xf numFmtId="4" fontId="28" fillId="0" borderId="73" xfId="10" applyNumberFormat="1" applyFont="1" applyFill="1" applyBorder="1" applyAlignment="1">
      <alignment horizontal="center" vertical="center" wrapText="1"/>
    </xf>
    <xf numFmtId="4" fontId="28" fillId="8" borderId="73" xfId="20" quotePrefix="1" applyNumberFormat="1" applyFont="1" applyFill="1" applyBorder="1" applyAlignment="1">
      <alignment horizontal="center" vertical="center" wrapText="1"/>
    </xf>
    <xf numFmtId="170" fontId="28" fillId="8" borderId="73" xfId="20" quotePrefix="1" applyNumberFormat="1" applyFont="1" applyFill="1" applyBorder="1" applyAlignment="1">
      <alignment horizontal="center" vertical="center" wrapText="1"/>
    </xf>
    <xf numFmtId="0" fontId="28" fillId="8" borderId="73" xfId="16" applyFont="1" applyFill="1" applyBorder="1" applyAlignment="1">
      <alignment vertical="center" wrapText="1"/>
    </xf>
    <xf numFmtId="0" fontId="28" fillId="8" borderId="73" xfId="0" applyFont="1" applyFill="1" applyBorder="1" applyAlignment="1">
      <alignment horizontal="center" vertical="center" wrapText="1"/>
    </xf>
    <xf numFmtId="10" fontId="3" fillId="0" borderId="0" xfId="0" applyNumberFormat="1" applyFont="1" applyFill="1" applyAlignment="1">
      <alignment horizontal="center" vertical="center"/>
    </xf>
    <xf numFmtId="0" fontId="28" fillId="0" borderId="73" xfId="20" quotePrefix="1" applyFont="1" applyFill="1" applyBorder="1" applyAlignment="1">
      <alignment horizontal="left" vertical="center" wrapText="1"/>
    </xf>
    <xf numFmtId="0" fontId="28" fillId="0" borderId="73" xfId="16" applyFont="1" applyFill="1" applyBorder="1" applyAlignment="1">
      <alignment vertical="center" wrapText="1"/>
    </xf>
    <xf numFmtId="0" fontId="28" fillId="0" borderId="73" xfId="16" applyFont="1" applyFill="1" applyBorder="1" applyAlignment="1">
      <alignment horizontal="center" wrapText="1"/>
    </xf>
    <xf numFmtId="0" fontId="28" fillId="0" borderId="73" xfId="20" quotePrefix="1" applyFont="1" applyFill="1" applyBorder="1" applyAlignment="1">
      <alignment horizontal="center" vertical="center" wrapText="1"/>
    </xf>
    <xf numFmtId="0" fontId="28" fillId="0" borderId="73" xfId="20" quotePrefix="1" applyFont="1" applyFill="1" applyBorder="1" applyAlignment="1">
      <alignment horizontal="left" vertical="top" wrapText="1"/>
    </xf>
    <xf numFmtId="0" fontId="28" fillId="0" borderId="73" xfId="16" applyFont="1" applyFill="1" applyBorder="1" applyAlignment="1">
      <alignment wrapText="1"/>
    </xf>
    <xf numFmtId="0" fontId="28" fillId="0" borderId="73" xfId="0" applyFont="1" applyBorder="1" applyAlignment="1">
      <alignment horizontal="center" vertical="center" wrapText="1"/>
    </xf>
    <xf numFmtId="0" fontId="5" fillId="0" borderId="0" xfId="28" applyFont="1" applyAlignment="1">
      <alignment horizontal="justify"/>
    </xf>
    <xf numFmtId="0" fontId="2" fillId="0" borderId="0" xfId="28" applyFont="1" applyBorder="1" applyAlignment="1">
      <alignment horizontal="left" vertical="center"/>
    </xf>
    <xf numFmtId="4" fontId="2" fillId="0" borderId="0" xfId="28" applyNumberFormat="1" applyFont="1" applyBorder="1" applyAlignment="1">
      <alignment horizontal="center" vertical="center"/>
    </xf>
    <xf numFmtId="0" fontId="2" fillId="0" borderId="0" xfId="28" applyFont="1" applyBorder="1" applyAlignment="1">
      <alignment horizontal="center" vertical="center"/>
    </xf>
    <xf numFmtId="0" fontId="3" fillId="0" borderId="0" xfId="45" applyFont="1" applyBorder="1" applyAlignment="1">
      <alignment horizontal="right" vertical="center"/>
    </xf>
    <xf numFmtId="0" fontId="28" fillId="0" borderId="0" xfId="0" applyFont="1" applyAlignment="1">
      <alignment horizontal="left" vertical="center" wrapText="1"/>
    </xf>
    <xf numFmtId="0" fontId="28" fillId="0" borderId="0" xfId="0" applyFont="1" applyAlignment="1">
      <alignment vertical="center"/>
    </xf>
    <xf numFmtId="0" fontId="3" fillId="0" borderId="0" xfId="28" applyFont="1" applyAlignment="1">
      <alignment horizontal="left" vertical="center"/>
    </xf>
    <xf numFmtId="0" fontId="3" fillId="0" borderId="0" xfId="28" applyFont="1" applyAlignment="1">
      <alignment vertical="center"/>
    </xf>
    <xf numFmtId="0" fontId="28" fillId="0" borderId="0" xfId="15" applyFont="1" applyAlignment="1">
      <alignment horizontal="center"/>
    </xf>
    <xf numFmtId="0" fontId="100" fillId="0" borderId="0" xfId="28" applyFont="1"/>
    <xf numFmtId="0" fontId="28" fillId="0" borderId="0" xfId="28" applyFont="1" applyFill="1" applyBorder="1" applyAlignment="1">
      <alignment horizontal="left" indent="3"/>
    </xf>
    <xf numFmtId="0" fontId="28" fillId="0" borderId="0" xfId="28" applyFont="1" applyFill="1" applyBorder="1" applyAlignment="1">
      <alignment horizontal="left" vertical="center" indent="3"/>
    </xf>
    <xf numFmtId="0" fontId="100" fillId="0" borderId="0" xfId="28" applyFont="1" applyAlignment="1">
      <alignment vertical="center"/>
    </xf>
    <xf numFmtId="49" fontId="28" fillId="0" borderId="0" xfId="15" applyNumberFormat="1" applyFont="1" applyAlignment="1">
      <alignment vertical="center"/>
    </xf>
    <xf numFmtId="0" fontId="28" fillId="0" borderId="0" xfId="15" applyFont="1" applyAlignment="1">
      <alignment vertical="center"/>
    </xf>
    <xf numFmtId="0" fontId="48" fillId="0" borderId="0" xfId="28" applyFont="1"/>
    <xf numFmtId="49" fontId="5" fillId="0" borderId="0" xfId="15" applyNumberFormat="1" applyFont="1"/>
    <xf numFmtId="9" fontId="28" fillId="0" borderId="0" xfId="15" applyNumberFormat="1" applyFont="1" applyAlignment="1">
      <alignment horizontal="left" vertical="center"/>
    </xf>
    <xf numFmtId="0" fontId="3" fillId="8" borderId="73" xfId="28" applyFont="1" applyFill="1" applyBorder="1" applyAlignment="1">
      <alignment horizontal="center" vertical="center" wrapText="1"/>
    </xf>
    <xf numFmtId="0" fontId="3" fillId="6" borderId="73" xfId="28" applyFont="1" applyFill="1" applyBorder="1" applyAlignment="1">
      <alignment horizontal="center" vertical="center" wrapText="1"/>
    </xf>
    <xf numFmtId="0" fontId="3" fillId="6" borderId="73" xfId="28" applyFont="1" applyFill="1" applyBorder="1" applyAlignment="1">
      <alignment horizontal="left" vertical="center" wrapText="1"/>
    </xf>
    <xf numFmtId="4" fontId="3" fillId="6" borderId="73" xfId="28" applyNumberFormat="1" applyFont="1" applyFill="1" applyBorder="1" applyAlignment="1">
      <alignment horizontal="center" vertical="center" wrapText="1"/>
    </xf>
    <xf numFmtId="0" fontId="21" fillId="0" borderId="73" xfId="28" applyBorder="1"/>
    <xf numFmtId="4" fontId="28" fillId="6" borderId="73" xfId="28" applyNumberFormat="1" applyFont="1" applyFill="1" applyBorder="1" applyAlignment="1">
      <alignment horizontal="center" vertical="center" wrapText="1"/>
    </xf>
    <xf numFmtId="0" fontId="28" fillId="0" borderId="73" xfId="28" applyFont="1" applyBorder="1" applyAlignment="1">
      <alignment vertical="center" wrapText="1"/>
    </xf>
    <xf numFmtId="0" fontId="21" fillId="0" borderId="73" xfId="28" applyBorder="1" applyAlignment="1">
      <alignment horizontal="center" vertical="center"/>
    </xf>
    <xf numFmtId="0" fontId="2" fillId="8" borderId="73" xfId="28" applyFont="1" applyFill="1" applyBorder="1" applyAlignment="1">
      <alignment vertical="center" wrapText="1"/>
    </xf>
    <xf numFmtId="4" fontId="2" fillId="8" borderId="73" xfId="28" applyNumberFormat="1" applyFont="1" applyFill="1" applyBorder="1" applyAlignment="1">
      <alignment horizontal="center" vertical="center" wrapText="1"/>
    </xf>
    <xf numFmtId="10" fontId="21" fillId="0" borderId="73" xfId="28" applyNumberFormat="1" applyBorder="1" applyAlignment="1">
      <alignment horizontal="center" vertical="center"/>
    </xf>
    <xf numFmtId="0" fontId="47" fillId="0" borderId="73" xfId="28" applyFont="1" applyBorder="1" applyAlignment="1">
      <alignment vertical="center" wrapText="1"/>
    </xf>
    <xf numFmtId="0" fontId="47" fillId="0" borderId="73" xfId="28" applyFont="1" applyBorder="1" applyAlignment="1">
      <alignment horizontal="justify" vertical="center" wrapText="1"/>
    </xf>
    <xf numFmtId="4" fontId="47" fillId="0" borderId="73" xfId="28" applyNumberFormat="1" applyFont="1" applyBorder="1" applyAlignment="1">
      <alignment horizontal="center" vertical="center" wrapText="1"/>
    </xf>
    <xf numFmtId="165" fontId="28" fillId="0" borderId="0" xfId="28" applyNumberFormat="1" applyFont="1" applyFill="1" applyAlignment="1">
      <alignment horizontal="center" vertical="center"/>
    </xf>
    <xf numFmtId="0" fontId="3" fillId="7" borderId="73" xfId="28" applyFont="1" applyFill="1" applyBorder="1" applyAlignment="1">
      <alignment horizontal="center"/>
    </xf>
    <xf numFmtId="1" fontId="3" fillId="7" borderId="73" xfId="28" applyNumberFormat="1" applyFont="1" applyFill="1" applyBorder="1" applyAlignment="1">
      <alignment horizontal="center"/>
    </xf>
    <xf numFmtId="174" fontId="3" fillId="0" borderId="73" xfId="28" applyNumberFormat="1" applyFont="1" applyBorder="1" applyAlignment="1">
      <alignment horizontal="center" vertical="center"/>
    </xf>
    <xf numFmtId="174" fontId="28" fillId="0" borderId="73" xfId="28" applyNumberFormat="1" applyFont="1" applyFill="1" applyBorder="1" applyAlignment="1">
      <alignment horizontal="center" vertical="center"/>
    </xf>
    <xf numFmtId="4" fontId="28" fillId="6" borderId="0" xfId="15" applyNumberFormat="1" applyFont="1" applyFill="1" applyBorder="1" applyAlignment="1">
      <alignment horizontal="center" vertical="center" wrapText="1"/>
    </xf>
    <xf numFmtId="3" fontId="5" fillId="6" borderId="0" xfId="28" applyNumberFormat="1" applyFont="1" applyFill="1" applyBorder="1" applyAlignment="1">
      <alignment horizontal="center" vertical="center"/>
    </xf>
    <xf numFmtId="174" fontId="28" fillId="0" borderId="73" xfId="28" applyNumberFormat="1" applyFont="1" applyBorder="1" applyAlignment="1">
      <alignment horizontal="center" vertical="center"/>
    </xf>
    <xf numFmtId="0" fontId="28" fillId="7" borderId="73" xfId="28" applyFont="1" applyFill="1" applyBorder="1"/>
    <xf numFmtId="4" fontId="3" fillId="7" borderId="73" xfId="28" applyNumberFormat="1" applyFont="1" applyFill="1" applyBorder="1" applyAlignment="1">
      <alignment horizontal="center" vertical="center"/>
    </xf>
    <xf numFmtId="169" fontId="3" fillId="7" borderId="73" xfId="28" applyNumberFormat="1" applyFont="1" applyFill="1" applyBorder="1" applyAlignment="1">
      <alignment horizontal="center" vertical="center"/>
    </xf>
    <xf numFmtId="172" fontId="3" fillId="7" borderId="73" xfId="28" applyNumberFormat="1" applyFont="1" applyFill="1" applyBorder="1" applyAlignment="1">
      <alignment horizontal="center" vertical="center"/>
    </xf>
    <xf numFmtId="0" fontId="28" fillId="7" borderId="73" xfId="28" applyFont="1" applyFill="1" applyBorder="1" applyAlignment="1">
      <alignment wrapText="1"/>
    </xf>
    <xf numFmtId="0" fontId="28" fillId="0" borderId="0" xfId="0" applyFont="1"/>
    <xf numFmtId="14" fontId="28" fillId="0" borderId="0" xfId="0" applyNumberFormat="1" applyFont="1"/>
    <xf numFmtId="165" fontId="28" fillId="0" borderId="73" xfId="0" applyNumberFormat="1" applyFont="1" applyBorder="1"/>
    <xf numFmtId="10" fontId="28" fillId="0" borderId="73" xfId="0" applyNumberFormat="1" applyFont="1" applyBorder="1" applyAlignment="1">
      <alignment vertical="center"/>
    </xf>
    <xf numFmtId="10" fontId="28" fillId="5" borderId="83" xfId="0" applyNumberFormat="1" applyFont="1" applyFill="1" applyBorder="1" applyAlignment="1">
      <alignment vertical="center"/>
    </xf>
    <xf numFmtId="0" fontId="28" fillId="5" borderId="90" xfId="0" applyFont="1" applyFill="1" applyBorder="1" applyAlignment="1">
      <alignment vertical="center"/>
    </xf>
    <xf numFmtId="167" fontId="28" fillId="20" borderId="73" xfId="0" applyNumberFormat="1" applyFont="1" applyFill="1" applyBorder="1" applyAlignment="1">
      <alignment vertical="center"/>
    </xf>
    <xf numFmtId="167" fontId="23" fillId="0" borderId="73" xfId="0" applyNumberFormat="1" applyFont="1" applyFill="1" applyBorder="1"/>
    <xf numFmtId="14" fontId="23" fillId="2" borderId="0" xfId="28" applyNumberFormat="1" applyFont="1" applyFill="1" applyBorder="1" applyAlignment="1">
      <alignment horizontal="center" vertical="center" wrapText="1"/>
    </xf>
    <xf numFmtId="0" fontId="5" fillId="2" borderId="0" xfId="28" quotePrefix="1" applyFont="1" applyFill="1"/>
    <xf numFmtId="0" fontId="48" fillId="2" borderId="0" xfId="28" applyFont="1" applyFill="1"/>
    <xf numFmtId="0" fontId="82" fillId="14" borderId="104" xfId="48" applyFont="1" applyFill="1" applyBorder="1" applyAlignment="1">
      <alignment horizontal="left" vertical="top" wrapText="1"/>
    </xf>
    <xf numFmtId="0" fontId="10" fillId="0" borderId="106" xfId="48" applyBorder="1"/>
    <xf numFmtId="0" fontId="17" fillId="0" borderId="106" xfId="48" applyFont="1" applyBorder="1"/>
    <xf numFmtId="0" fontId="82" fillId="0" borderId="106" xfId="48" applyFont="1" applyFill="1" applyBorder="1" applyAlignment="1">
      <alignment horizontal="left" vertical="top" wrapText="1"/>
    </xf>
    <xf numFmtId="167" fontId="17" fillId="0" borderId="106" xfId="48" applyNumberFormat="1" applyFont="1" applyBorder="1"/>
    <xf numFmtId="0" fontId="10" fillId="0" borderId="88" xfId="48" applyBorder="1"/>
    <xf numFmtId="0" fontId="17" fillId="0" borderId="88" xfId="48" applyFont="1" applyBorder="1"/>
    <xf numFmtId="0" fontId="82" fillId="0" borderId="88" xfId="48" applyFont="1" applyFill="1" applyBorder="1" applyAlignment="1">
      <alignment horizontal="left" vertical="top" wrapText="1"/>
    </xf>
    <xf numFmtId="167" fontId="17" fillId="0" borderId="88" xfId="48" applyNumberFormat="1" applyFont="1" applyBorder="1"/>
    <xf numFmtId="182" fontId="10" fillId="2" borderId="19" xfId="48" applyNumberFormat="1" applyFont="1" applyFill="1" applyBorder="1" applyAlignment="1">
      <alignment horizontal="right" vertical="top"/>
    </xf>
    <xf numFmtId="0" fontId="10" fillId="2" borderId="19" xfId="48" applyFont="1" applyFill="1" applyBorder="1"/>
    <xf numFmtId="0" fontId="82" fillId="14" borderId="137" xfId="48" applyFont="1" applyFill="1" applyBorder="1" applyAlignment="1">
      <alignment horizontal="left" vertical="top" wrapText="1"/>
    </xf>
    <xf numFmtId="165" fontId="56" fillId="0" borderId="0" xfId="74" applyNumberFormat="1" applyFont="1" applyFill="1" applyBorder="1" applyAlignment="1" applyProtection="1">
      <alignment horizontal="center" vertical="top" wrapText="1"/>
    </xf>
    <xf numFmtId="0" fontId="56" fillId="0" borderId="73" xfId="74" applyNumberFormat="1" applyFont="1" applyFill="1" applyBorder="1" applyAlignment="1" applyProtection="1">
      <alignment horizontal="center" vertical="center"/>
    </xf>
    <xf numFmtId="49" fontId="56" fillId="0" borderId="73" xfId="74" applyNumberFormat="1" applyFont="1" applyFill="1" applyBorder="1" applyAlignment="1" applyProtection="1">
      <alignment horizontal="center" vertical="center"/>
    </xf>
    <xf numFmtId="0" fontId="56" fillId="0" borderId="73" xfId="74" applyNumberFormat="1" applyFont="1" applyFill="1" applyBorder="1" applyAlignment="1" applyProtection="1">
      <alignment horizontal="center" vertical="center" wrapText="1"/>
    </xf>
    <xf numFmtId="0" fontId="50" fillId="0" borderId="0" xfId="67" applyFont="1"/>
    <xf numFmtId="14" fontId="28" fillId="2" borderId="73" xfId="0" applyNumberFormat="1" applyFont="1" applyFill="1" applyBorder="1"/>
    <xf numFmtId="14" fontId="23" fillId="2" borderId="73" xfId="0" applyNumberFormat="1" applyFont="1" applyFill="1" applyBorder="1"/>
    <xf numFmtId="14" fontId="102" fillId="0" borderId="0" xfId="0" applyNumberFormat="1" applyFont="1" applyBorder="1"/>
    <xf numFmtId="167" fontId="23" fillId="17" borderId="73" xfId="0" applyNumberFormat="1" applyFont="1" applyFill="1" applyBorder="1"/>
    <xf numFmtId="14" fontId="28" fillId="0" borderId="73" xfId="0" applyNumberFormat="1" applyFont="1" applyBorder="1"/>
    <xf numFmtId="166" fontId="28" fillId="0" borderId="0" xfId="0" applyNumberFormat="1" applyFont="1"/>
    <xf numFmtId="14" fontId="3" fillId="0" borderId="0" xfId="4" applyNumberFormat="1" applyFont="1"/>
    <xf numFmtId="0" fontId="3" fillId="0" borderId="0" xfId="4" applyFont="1"/>
    <xf numFmtId="14" fontId="3" fillId="2" borderId="73" xfId="4" applyNumberFormat="1" applyFont="1" applyFill="1" applyBorder="1"/>
    <xf numFmtId="165" fontId="3" fillId="0" borderId="73" xfId="4" applyNumberFormat="1" applyFont="1" applyBorder="1"/>
    <xf numFmtId="2" fontId="3" fillId="0" borderId="73" xfId="4" applyNumberFormat="1" applyFont="1" applyBorder="1"/>
    <xf numFmtId="10" fontId="28" fillId="6" borderId="73" xfId="0" applyNumberFormat="1" applyFont="1" applyFill="1" applyBorder="1"/>
    <xf numFmtId="167" fontId="28" fillId="20" borderId="73" xfId="0" applyNumberFormat="1" applyFont="1" applyFill="1" applyBorder="1"/>
    <xf numFmtId="0" fontId="28" fillId="5" borderId="73" xfId="4" applyFont="1" applyFill="1" applyBorder="1" applyAlignment="1">
      <alignment vertical="center"/>
    </xf>
    <xf numFmtId="167" fontId="3" fillId="2" borderId="73" xfId="4" applyNumberFormat="1" applyFont="1" applyFill="1" applyBorder="1"/>
    <xf numFmtId="175" fontId="3" fillId="0" borderId="0" xfId="4" applyNumberFormat="1" applyFont="1"/>
    <xf numFmtId="167" fontId="23" fillId="21" borderId="73" xfId="4" applyNumberFormat="1" applyFont="1" applyFill="1" applyBorder="1"/>
    <xf numFmtId="167" fontId="3" fillId="0" borderId="0" xfId="4" applyNumberFormat="1" applyFont="1"/>
    <xf numFmtId="167" fontId="50" fillId="0" borderId="73" xfId="67" applyNumberFormat="1" applyFont="1" applyBorder="1"/>
    <xf numFmtId="0" fontId="50" fillId="0" borderId="73" xfId="67" applyFont="1" applyBorder="1"/>
    <xf numFmtId="0" fontId="28" fillId="0" borderId="73" xfId="67" applyFont="1" applyBorder="1" applyAlignment="1">
      <alignment horizontal="center" vertical="center"/>
    </xf>
    <xf numFmtId="0" fontId="28" fillId="0" borderId="73" xfId="67" applyFont="1" applyBorder="1" applyAlignment="1">
      <alignment vertical="center"/>
    </xf>
    <xf numFmtId="0" fontId="28" fillId="0" borderId="44" xfId="67" applyFont="1" applyBorder="1" applyAlignment="1">
      <alignment horizontal="center" vertical="center"/>
    </xf>
    <xf numFmtId="0" fontId="28" fillId="0" borderId="44" xfId="67" applyFont="1" applyBorder="1" applyAlignment="1">
      <alignment horizontal="right" vertical="center"/>
    </xf>
    <xf numFmtId="0" fontId="28" fillId="0" borderId="73" xfId="67" applyFont="1" applyBorder="1" applyAlignment="1">
      <alignment horizontal="right" vertical="center"/>
    </xf>
    <xf numFmtId="0" fontId="28" fillId="0" borderId="73" xfId="67" applyFont="1" applyBorder="1"/>
    <xf numFmtId="0" fontId="116" fillId="0" borderId="73" xfId="0" applyFont="1" applyBorder="1" applyAlignment="1">
      <alignment vertical="center" wrapText="1"/>
    </xf>
    <xf numFmtId="0" fontId="28" fillId="2" borderId="73" xfId="53" applyFont="1" applyFill="1" applyBorder="1" applyAlignment="1">
      <alignment horizontal="center" vertical="center" wrapText="1"/>
    </xf>
    <xf numFmtId="14" fontId="28" fillId="2" borderId="73" xfId="53" applyNumberFormat="1" applyFont="1" applyFill="1" applyBorder="1" applyAlignment="1">
      <alignment horizontal="center" vertical="center" wrapText="1"/>
    </xf>
    <xf numFmtId="43" fontId="28" fillId="2" borderId="73" xfId="51" applyFont="1" applyFill="1" applyBorder="1" applyAlignment="1">
      <alignment horizontal="center" vertical="center"/>
    </xf>
    <xf numFmtId="43" fontId="40" fillId="2" borderId="73" xfId="51" applyFont="1" applyFill="1" applyBorder="1" applyAlignment="1">
      <alignment vertical="center"/>
    </xf>
    <xf numFmtId="43" fontId="28" fillId="2" borderId="73" xfId="44" applyFont="1" applyFill="1" applyBorder="1" applyAlignment="1">
      <alignment horizontal="center" vertical="center"/>
    </xf>
    <xf numFmtId="43" fontId="23" fillId="2" borderId="73" xfId="51" applyFont="1" applyFill="1" applyBorder="1" applyAlignment="1">
      <alignment horizontal="center" vertical="center"/>
    </xf>
    <xf numFmtId="0" fontId="28" fillId="0" borderId="73" xfId="53" applyFont="1" applyFill="1" applyBorder="1" applyAlignment="1">
      <alignment horizontal="center" vertical="center" wrapText="1"/>
    </xf>
    <xf numFmtId="14" fontId="28" fillId="0" borderId="73" xfId="53" applyNumberFormat="1" applyFont="1" applyFill="1" applyBorder="1" applyAlignment="1">
      <alignment horizontal="center" vertical="center" wrapText="1"/>
    </xf>
    <xf numFmtId="43" fontId="28" fillId="0" borderId="73" xfId="51" applyFont="1" applyFill="1" applyBorder="1" applyAlignment="1">
      <alignment horizontal="center" vertical="center"/>
    </xf>
    <xf numFmtId="43" fontId="40" fillId="0" borderId="73" xfId="51" applyFont="1" applyFill="1" applyBorder="1" applyAlignment="1">
      <alignment vertical="center"/>
    </xf>
    <xf numFmtId="43" fontId="28" fillId="0" borderId="73" xfId="44" applyFont="1" applyFill="1" applyBorder="1" applyAlignment="1">
      <alignment horizontal="center" vertical="center"/>
    </xf>
    <xf numFmtId="43" fontId="23" fillId="0" borderId="73" xfId="51" applyFont="1" applyFill="1" applyBorder="1" applyAlignment="1">
      <alignment horizontal="center" vertical="center"/>
    </xf>
    <xf numFmtId="180" fontId="3" fillId="0" borderId="73" xfId="44" applyNumberFormat="1" applyFont="1" applyFill="1" applyBorder="1" applyAlignment="1">
      <alignment horizontal="center" vertical="center"/>
    </xf>
    <xf numFmtId="43" fontId="3" fillId="0" borderId="73" xfId="51" applyFont="1" applyFill="1" applyBorder="1" applyAlignment="1">
      <alignment horizontal="center" vertical="center"/>
    </xf>
    <xf numFmtId="167" fontId="5" fillId="0" borderId="73" xfId="53" applyNumberFormat="1" applyFont="1" applyFill="1" applyBorder="1" applyAlignment="1">
      <alignment horizontal="center" vertical="center"/>
    </xf>
    <xf numFmtId="0" fontId="28" fillId="0" borderId="73" xfId="53" applyFont="1" applyFill="1" applyBorder="1" applyAlignment="1">
      <alignment wrapText="1"/>
    </xf>
    <xf numFmtId="164" fontId="28" fillId="0" borderId="73" xfId="53" applyNumberFormat="1" applyFont="1" applyFill="1" applyBorder="1" applyAlignment="1">
      <alignment wrapText="1"/>
    </xf>
    <xf numFmtId="0" fontId="23" fillId="0" borderId="73" xfId="53" applyFont="1" applyFill="1" applyBorder="1" applyAlignment="1">
      <alignment horizontal="center" vertical="center" wrapText="1"/>
    </xf>
    <xf numFmtId="14" fontId="23" fillId="0" borderId="73" xfId="53" applyNumberFormat="1" applyFont="1" applyFill="1" applyBorder="1" applyAlignment="1">
      <alignment horizontal="center" vertical="center" wrapText="1"/>
    </xf>
    <xf numFmtId="43" fontId="110" fillId="0" borderId="73" xfId="51" applyFont="1" applyFill="1" applyBorder="1" applyAlignment="1">
      <alignment vertical="center"/>
    </xf>
    <xf numFmtId="43" fontId="23" fillId="0" borderId="73" xfId="44" applyFont="1" applyFill="1" applyBorder="1" applyAlignment="1">
      <alignment horizontal="center" vertical="center"/>
    </xf>
    <xf numFmtId="180" fontId="2" fillId="0" borderId="73" xfId="44" applyNumberFormat="1" applyFont="1" applyFill="1" applyBorder="1" applyAlignment="1">
      <alignment horizontal="center" vertical="center"/>
    </xf>
    <xf numFmtId="43" fontId="2" fillId="0" borderId="73" xfId="51" applyFont="1" applyFill="1" applyBorder="1" applyAlignment="1">
      <alignment horizontal="center" vertical="center"/>
    </xf>
    <xf numFmtId="167" fontId="102" fillId="0" borderId="73" xfId="53" applyNumberFormat="1" applyFont="1" applyFill="1" applyBorder="1" applyAlignment="1">
      <alignment horizontal="center" vertical="center"/>
    </xf>
    <xf numFmtId="0" fontId="23" fillId="0" borderId="73" xfId="53" applyFont="1" applyFill="1" applyBorder="1" applyAlignment="1">
      <alignment wrapText="1"/>
    </xf>
    <xf numFmtId="164" fontId="23" fillId="0" borderId="73" xfId="53" applyNumberFormat="1" applyFont="1" applyFill="1" applyBorder="1" applyAlignment="1">
      <alignment wrapText="1"/>
    </xf>
    <xf numFmtId="4" fontId="110" fillId="0" borderId="73" xfId="51" applyNumberFormat="1" applyFont="1" applyFill="1" applyBorder="1"/>
    <xf numFmtId="167" fontId="28" fillId="0" borderId="73" xfId="53" applyNumberFormat="1" applyFont="1" applyFill="1" applyBorder="1" applyAlignment="1">
      <alignment horizontal="center" vertical="center"/>
    </xf>
    <xf numFmtId="0" fontId="28" fillId="0" borderId="73" xfId="53" applyNumberFormat="1" applyFont="1" applyFill="1" applyBorder="1" applyAlignment="1">
      <alignment horizontal="center" vertical="center"/>
    </xf>
    <xf numFmtId="0" fontId="23" fillId="0" borderId="73" xfId="53" applyNumberFormat="1" applyFont="1" applyFill="1" applyBorder="1" applyAlignment="1">
      <alignment horizontal="center" vertical="center"/>
    </xf>
    <xf numFmtId="43" fontId="40" fillId="0" borderId="73" xfId="51" applyFont="1" applyBorder="1"/>
    <xf numFmtId="0" fontId="116" fillId="0" borderId="73" xfId="0" applyFont="1" applyFill="1" applyBorder="1" applyAlignment="1">
      <alignment horizontal="left" vertical="center" wrapText="1"/>
    </xf>
    <xf numFmtId="0" fontId="116" fillId="0" borderId="73" xfId="0" applyFont="1" applyFill="1" applyBorder="1" applyAlignment="1">
      <alignment horizontal="center" vertical="center" wrapText="1"/>
    </xf>
    <xf numFmtId="1" fontId="116" fillId="0" borderId="73" xfId="0" applyNumberFormat="1" applyFont="1" applyFill="1" applyBorder="1" applyAlignment="1">
      <alignment horizontal="center" vertical="center" wrapText="1"/>
    </xf>
    <xf numFmtId="4" fontId="40" fillId="0" borderId="90" xfId="53" applyNumberFormat="1" applyFont="1" applyFill="1" applyBorder="1"/>
    <xf numFmtId="164" fontId="23" fillId="0" borderId="139" xfId="53" applyNumberFormat="1" applyFont="1" applyFill="1" applyBorder="1" applyAlignment="1">
      <alignment wrapText="1"/>
    </xf>
    <xf numFmtId="0" fontId="49" fillId="0" borderId="0" xfId="74" applyNumberFormat="1" applyFont="1" applyFill="1" applyBorder="1" applyAlignment="1" applyProtection="1">
      <alignment horizontal="right"/>
    </xf>
    <xf numFmtId="49" fontId="49" fillId="0" borderId="0" xfId="74" applyNumberFormat="1" applyFont="1" applyFill="1" applyBorder="1" applyAlignment="1" applyProtection="1">
      <alignment horizontal="left" vertical="top"/>
    </xf>
    <xf numFmtId="49" fontId="49" fillId="0" borderId="0" xfId="74" applyNumberFormat="1" applyFont="1" applyFill="1" applyBorder="1" applyAlignment="1" applyProtection="1">
      <alignment vertical="top" wrapText="1"/>
    </xf>
    <xf numFmtId="49" fontId="49" fillId="0" borderId="0" xfId="74" applyNumberFormat="1" applyFont="1" applyFill="1" applyBorder="1" applyAlignment="1" applyProtection="1">
      <alignment horizontal="center"/>
    </xf>
    <xf numFmtId="4" fontId="49" fillId="0" borderId="91" xfId="74" applyNumberFormat="1" applyFont="1" applyFill="1" applyBorder="1" applyAlignment="1" applyProtection="1"/>
    <xf numFmtId="49" fontId="56" fillId="0" borderId="91" xfId="74" applyNumberFormat="1" applyFont="1" applyFill="1" applyBorder="1" applyAlignment="1" applyProtection="1">
      <alignment horizontal="right"/>
    </xf>
    <xf numFmtId="4" fontId="49" fillId="0" borderId="0" xfId="74" applyNumberFormat="1" applyFont="1" applyFill="1" applyBorder="1" applyAlignment="1" applyProtection="1"/>
    <xf numFmtId="49" fontId="49" fillId="0" borderId="91" xfId="74" applyNumberFormat="1" applyFont="1" applyFill="1" applyBorder="1" applyAlignment="1" applyProtection="1">
      <alignment horizontal="right"/>
    </xf>
    <xf numFmtId="49" fontId="56" fillId="0" borderId="41" xfId="74" applyNumberFormat="1" applyFont="1" applyFill="1" applyBorder="1" applyAlignment="1" applyProtection="1">
      <alignment horizontal="right"/>
    </xf>
    <xf numFmtId="49" fontId="56" fillId="0" borderId="0" xfId="74" applyNumberFormat="1" applyFont="1" applyFill="1" applyBorder="1" applyAlignment="1" applyProtection="1">
      <alignment vertical="center"/>
    </xf>
    <xf numFmtId="0" fontId="67" fillId="0" borderId="0" xfId="74" applyNumberFormat="1" applyFont="1" applyFill="1" applyBorder="1" applyAlignment="1" applyProtection="1">
      <alignment horizontal="left" vertical="center" wrapText="1"/>
    </xf>
    <xf numFmtId="49" fontId="56" fillId="0" borderId="58" xfId="74" applyNumberFormat="1" applyFont="1" applyFill="1" applyBorder="1" applyAlignment="1" applyProtection="1">
      <alignment horizontal="center" vertical="center" wrapText="1"/>
    </xf>
    <xf numFmtId="49" fontId="56" fillId="0" borderId="58" xfId="74" applyNumberFormat="1" applyFont="1" applyFill="1" applyBorder="1" applyAlignment="1" applyProtection="1">
      <alignment horizontal="right" vertical="top" wrapText="1"/>
    </xf>
    <xf numFmtId="1" fontId="56" fillId="0" borderId="0" xfId="74" applyNumberFormat="1" applyFont="1" applyFill="1" applyBorder="1" applyAlignment="1" applyProtection="1">
      <alignment horizontal="center" vertical="top" wrapText="1"/>
    </xf>
    <xf numFmtId="167" fontId="56" fillId="0" borderId="0" xfId="74" applyNumberFormat="1" applyFont="1" applyFill="1" applyBorder="1" applyAlignment="1" applyProtection="1">
      <alignment horizontal="center" vertical="top" wrapText="1"/>
    </xf>
    <xf numFmtId="49" fontId="56" fillId="0" borderId="38" xfId="74" applyNumberFormat="1" applyFont="1" applyFill="1" applyBorder="1" applyAlignment="1" applyProtection="1">
      <alignment horizontal="center" vertical="top" wrapText="1"/>
    </xf>
    <xf numFmtId="0" fontId="56" fillId="0" borderId="38" xfId="74" applyNumberFormat="1" applyFont="1" applyFill="1" applyBorder="1" applyAlignment="1" applyProtection="1">
      <alignment horizontal="center" vertical="top" wrapText="1"/>
    </xf>
    <xf numFmtId="4" fontId="56" fillId="0" borderId="38" xfId="74" applyNumberFormat="1" applyFont="1" applyFill="1" applyBorder="1" applyAlignment="1" applyProtection="1">
      <alignment horizontal="right" vertical="top" wrapText="1"/>
    </xf>
    <xf numFmtId="2" fontId="56" fillId="0" borderId="43" xfId="74" applyNumberFormat="1" applyFont="1" applyFill="1" applyBorder="1" applyAlignment="1" applyProtection="1">
      <alignment horizontal="right" vertical="top" wrapText="1"/>
    </xf>
    <xf numFmtId="2" fontId="68" fillId="0" borderId="38" xfId="74" applyNumberFormat="1" applyFont="1" applyFill="1" applyBorder="1" applyAlignment="1" applyProtection="1">
      <alignment horizontal="right" vertical="top" wrapText="1"/>
    </xf>
    <xf numFmtId="167" fontId="68" fillId="0" borderId="38" xfId="74" applyNumberFormat="1" applyFont="1" applyFill="1" applyBorder="1" applyAlignment="1" applyProtection="1">
      <alignment horizontal="center" vertical="top" wrapText="1"/>
    </xf>
    <xf numFmtId="177" fontId="56" fillId="0" borderId="0" xfId="74" applyNumberFormat="1" applyFont="1" applyFill="1" applyBorder="1" applyAlignment="1" applyProtection="1">
      <alignment horizontal="center" vertical="top" wrapText="1"/>
    </xf>
    <xf numFmtId="178" fontId="56" fillId="0" borderId="0" xfId="74" applyNumberFormat="1" applyFont="1" applyFill="1" applyBorder="1" applyAlignment="1" applyProtection="1">
      <alignment horizontal="center" vertical="top" wrapText="1"/>
    </xf>
    <xf numFmtId="2" fontId="56" fillId="0" borderId="38" xfId="74" applyNumberFormat="1" applyFont="1" applyFill="1" applyBorder="1" applyAlignment="1" applyProtection="1">
      <alignment horizontal="right" vertical="top" wrapText="1"/>
    </xf>
    <xf numFmtId="166" fontId="68" fillId="0" borderId="38" xfId="74" applyNumberFormat="1" applyFont="1" applyFill="1" applyBorder="1" applyAlignment="1" applyProtection="1">
      <alignment horizontal="center" vertical="top" wrapText="1"/>
    </xf>
    <xf numFmtId="166" fontId="56" fillId="0" borderId="0" xfId="74" applyNumberFormat="1" applyFont="1" applyFill="1" applyBorder="1" applyAlignment="1" applyProtection="1">
      <alignment horizontal="center" vertical="top" wrapText="1"/>
    </xf>
    <xf numFmtId="178" fontId="68" fillId="0" borderId="38" xfId="74" applyNumberFormat="1" applyFont="1" applyFill="1" applyBorder="1" applyAlignment="1" applyProtection="1">
      <alignment horizontal="center" vertical="top" wrapText="1"/>
    </xf>
    <xf numFmtId="177" fontId="68" fillId="0" borderId="38" xfId="74" applyNumberFormat="1" applyFont="1" applyFill="1" applyBorder="1" applyAlignment="1" applyProtection="1">
      <alignment horizontal="center" vertical="top" wrapText="1"/>
    </xf>
    <xf numFmtId="175" fontId="56" fillId="0" borderId="0" xfId="74" applyNumberFormat="1" applyFont="1" applyFill="1" applyBorder="1" applyAlignment="1" applyProtection="1">
      <alignment horizontal="center" vertical="top" wrapText="1"/>
    </xf>
    <xf numFmtId="0" fontId="56" fillId="0" borderId="94" xfId="74" applyNumberFormat="1" applyFont="1" applyFill="1" applyBorder="1" applyAlignment="1" applyProtection="1"/>
    <xf numFmtId="49" fontId="68" fillId="0" borderId="91" xfId="74" applyNumberFormat="1" applyFont="1" applyFill="1" applyBorder="1" applyAlignment="1" applyProtection="1">
      <alignment horizontal="center" vertical="top" wrapText="1"/>
    </xf>
    <xf numFmtId="0" fontId="56" fillId="0" borderId="92" xfId="74" applyNumberFormat="1" applyFont="1" applyFill="1" applyBorder="1" applyAlignment="1" applyProtection="1">
      <alignment horizontal="center" vertical="top" wrapText="1"/>
    </xf>
    <xf numFmtId="0" fontId="68" fillId="0" borderId="0" xfId="74" applyNumberFormat="1" applyFont="1" applyFill="1" applyBorder="1" applyAlignment="1" applyProtection="1">
      <alignment horizontal="right" vertical="top"/>
    </xf>
    <xf numFmtId="0" fontId="68" fillId="0" borderId="0" xfId="74" applyNumberFormat="1" applyFont="1" applyFill="1" applyBorder="1" applyAlignment="1" applyProtection="1">
      <alignment horizontal="center" vertical="top"/>
    </xf>
    <xf numFmtId="0" fontId="68" fillId="0" borderId="43" xfId="74" applyNumberFormat="1" applyFont="1" applyFill="1" applyBorder="1" applyAlignment="1" applyProtection="1">
      <alignment horizontal="right" vertical="top"/>
    </xf>
    <xf numFmtId="4" fontId="49" fillId="0" borderId="0" xfId="74" applyNumberFormat="1" applyFont="1" applyFill="1" applyBorder="1" applyAlignment="1" applyProtection="1">
      <alignment horizontal="right" vertical="top"/>
    </xf>
    <xf numFmtId="0" fontId="49" fillId="0" borderId="0" xfId="74" applyNumberFormat="1" applyFont="1" applyFill="1" applyBorder="1" applyAlignment="1" applyProtection="1">
      <alignment horizontal="center" vertical="top"/>
    </xf>
    <xf numFmtId="4" fontId="49" fillId="0" borderId="43" xfId="74" applyNumberFormat="1" applyFont="1" applyFill="1" applyBorder="1" applyAlignment="1" applyProtection="1">
      <alignment horizontal="right" vertical="top"/>
    </xf>
    <xf numFmtId="0" fontId="49" fillId="0" borderId="43" xfId="74" applyNumberFormat="1" applyFont="1" applyFill="1" applyBorder="1" applyAlignment="1" applyProtection="1">
      <alignment horizontal="right" vertical="top"/>
    </xf>
    <xf numFmtId="2" fontId="49" fillId="0" borderId="0" xfId="74" applyNumberFormat="1" applyFont="1" applyFill="1" applyBorder="1" applyAlignment="1" applyProtection="1">
      <alignment horizontal="right" vertical="top"/>
    </xf>
    <xf numFmtId="2" fontId="49" fillId="0" borderId="43" xfId="74" applyNumberFormat="1" applyFont="1" applyFill="1" applyBorder="1" applyAlignment="1" applyProtection="1">
      <alignment horizontal="right" vertical="top"/>
    </xf>
    <xf numFmtId="175" fontId="68" fillId="0" borderId="38" xfId="74" applyNumberFormat="1" applyFont="1" applyFill="1" applyBorder="1" applyAlignment="1" applyProtection="1">
      <alignment horizontal="center" vertical="top" wrapText="1"/>
    </xf>
    <xf numFmtId="0" fontId="56" fillId="0" borderId="91" xfId="74" applyNumberFormat="1" applyFont="1" applyFill="1" applyBorder="1" applyAlignment="1" applyProtection="1">
      <alignment vertical="top"/>
    </xf>
    <xf numFmtId="0" fontId="56" fillId="0" borderId="92" xfId="74" applyNumberFormat="1" applyFont="1" applyFill="1" applyBorder="1" applyAlignment="1" applyProtection="1">
      <alignment vertical="top"/>
    </xf>
    <xf numFmtId="49" fontId="76" fillId="0" borderId="58" xfId="74" applyNumberFormat="1" applyFont="1" applyFill="1" applyBorder="1" applyAlignment="1" applyProtection="1"/>
    <xf numFmtId="4" fontId="68" fillId="0" borderId="43" xfId="74" applyNumberFormat="1" applyFont="1" applyFill="1" applyBorder="1" applyAlignment="1" applyProtection="1">
      <alignment horizontal="right" vertical="top"/>
    </xf>
    <xf numFmtId="0" fontId="65" fillId="0" borderId="0" xfId="74" applyNumberFormat="1" applyFont="1" applyFill="1" applyBorder="1" applyAlignment="1" applyProtection="1">
      <alignment horizontal="center" vertical="center"/>
    </xf>
    <xf numFmtId="4" fontId="56" fillId="0" borderId="45" xfId="74" applyNumberFormat="1" applyFont="1" applyFill="1" applyBorder="1" applyAlignment="1" applyProtection="1">
      <alignment horizontal="right" vertical="top" wrapText="1"/>
    </xf>
    <xf numFmtId="2" fontId="68" fillId="0" borderId="45" xfId="74" applyNumberFormat="1" applyFont="1" applyFill="1" applyBorder="1" applyAlignment="1" applyProtection="1">
      <alignment horizontal="right" vertical="top" wrapText="1"/>
    </xf>
    <xf numFmtId="2" fontId="56" fillId="0" borderId="45" xfId="74" applyNumberFormat="1" applyFont="1" applyFill="1" applyBorder="1" applyAlignment="1" applyProtection="1">
      <alignment horizontal="right" vertical="top" wrapText="1"/>
    </xf>
    <xf numFmtId="164" fontId="28" fillId="0" borderId="139" xfId="53" applyNumberFormat="1" applyFont="1" applyFill="1" applyBorder="1" applyAlignment="1">
      <alignment wrapText="1"/>
    </xf>
    <xf numFmtId="0" fontId="28" fillId="0" borderId="73" xfId="53" applyFont="1" applyFill="1" applyBorder="1" applyAlignment="1">
      <alignment vertical="top" wrapText="1"/>
    </xf>
    <xf numFmtId="0" fontId="3" fillId="0" borderId="73" xfId="53" applyNumberFormat="1" applyFont="1" applyFill="1" applyBorder="1" applyAlignment="1">
      <alignment horizontal="center" vertical="center"/>
    </xf>
    <xf numFmtId="0" fontId="81" fillId="5" borderId="73" xfId="53" applyFont="1" applyFill="1" applyBorder="1" applyAlignment="1">
      <alignment vertical="center" wrapText="1"/>
    </xf>
    <xf numFmtId="0" fontId="3" fillId="0" borderId="73" xfId="53" applyFont="1" applyFill="1" applyBorder="1" applyAlignment="1">
      <alignment horizontal="center" vertical="center" wrapText="1"/>
    </xf>
    <xf numFmtId="0" fontId="3" fillId="0" borderId="73" xfId="53" applyFont="1" applyFill="1" applyBorder="1" applyAlignment="1">
      <alignment horizontal="center" vertical="center"/>
    </xf>
    <xf numFmtId="14" fontId="3" fillId="0" borderId="73" xfId="53" applyNumberFormat="1" applyFont="1" applyFill="1" applyBorder="1" applyAlignment="1">
      <alignment horizontal="center" vertical="center" wrapText="1"/>
    </xf>
    <xf numFmtId="43" fontId="3" fillId="0" borderId="73" xfId="44" applyFont="1" applyFill="1" applyBorder="1" applyAlignment="1">
      <alignment horizontal="center" vertical="center"/>
    </xf>
    <xf numFmtId="43" fontId="2" fillId="0" borderId="73" xfId="44" applyFont="1" applyFill="1" applyBorder="1" applyAlignment="1">
      <alignment horizontal="center" vertical="center"/>
    </xf>
    <xf numFmtId="0" fontId="3" fillId="0" borderId="73" xfId="53" applyFont="1" applyBorder="1" applyAlignment="1">
      <alignment wrapText="1"/>
    </xf>
    <xf numFmtId="43" fontId="117" fillId="2" borderId="73" xfId="51" applyFont="1" applyFill="1" applyBorder="1" applyAlignment="1">
      <alignment vertical="center"/>
    </xf>
    <xf numFmtId="180" fontId="28" fillId="0" borderId="73" xfId="44" applyNumberFormat="1" applyFont="1" applyFill="1" applyBorder="1" applyAlignment="1">
      <alignment horizontal="center" vertical="center"/>
    </xf>
    <xf numFmtId="0" fontId="2" fillId="8" borderId="73" xfId="53" applyFont="1" applyFill="1" applyBorder="1" applyAlignment="1">
      <alignment horizontal="center" vertical="center"/>
    </xf>
    <xf numFmtId="0" fontId="2" fillId="8" borderId="73" xfId="53" applyFont="1" applyFill="1" applyBorder="1" applyAlignment="1">
      <alignment horizontal="right" vertical="center"/>
    </xf>
    <xf numFmtId="0" fontId="3" fillId="8" borderId="73" xfId="53" applyFont="1" applyFill="1" applyBorder="1" applyAlignment="1">
      <alignment horizontal="right"/>
    </xf>
    <xf numFmtId="0" fontId="2" fillId="8" borderId="73" xfId="53" applyFont="1" applyFill="1" applyBorder="1" applyAlignment="1">
      <alignment horizontal="right"/>
    </xf>
    <xf numFmtId="0" fontId="3" fillId="8" borderId="41" xfId="53" applyFont="1" applyFill="1" applyBorder="1" applyAlignment="1">
      <alignment horizontal="center" vertical="center"/>
    </xf>
    <xf numFmtId="43" fontId="23" fillId="0" borderId="139" xfId="51" applyFont="1" applyFill="1" applyBorder="1" applyAlignment="1">
      <alignment horizontal="center" vertical="center"/>
    </xf>
    <xf numFmtId="43" fontId="28" fillId="0" borderId="139" xfId="51" applyFont="1" applyFill="1" applyBorder="1" applyAlignment="1">
      <alignment horizontal="center" vertical="center"/>
    </xf>
    <xf numFmtId="164" fontId="28" fillId="0" borderId="38" xfId="53" applyNumberFormat="1" applyFont="1" applyFill="1" applyBorder="1" applyAlignment="1">
      <alignment wrapText="1"/>
    </xf>
    <xf numFmtId="164" fontId="23" fillId="0" borderId="38" xfId="53" applyNumberFormat="1" applyFont="1" applyFill="1" applyBorder="1" applyAlignment="1">
      <alignment wrapText="1"/>
    </xf>
    <xf numFmtId="0" fontId="2" fillId="8" borderId="41" xfId="53" applyFont="1" applyFill="1" applyBorder="1"/>
    <xf numFmtId="0" fontId="3" fillId="8" borderId="41" xfId="53" applyFont="1" applyFill="1" applyBorder="1"/>
    <xf numFmtId="43" fontId="2" fillId="8" borderId="41" xfId="51" applyFont="1" applyFill="1" applyBorder="1" applyAlignment="1">
      <alignment horizontal="center" vertical="center"/>
    </xf>
    <xf numFmtId="0" fontId="47" fillId="0" borderId="90" xfId="53" applyFont="1" applyBorder="1" applyAlignment="1">
      <alignment horizontal="center" vertical="center" wrapText="1"/>
    </xf>
    <xf numFmtId="0" fontId="47" fillId="0" borderId="90" xfId="53" applyFont="1" applyBorder="1"/>
    <xf numFmtId="0" fontId="40" fillId="0" borderId="90" xfId="53" applyFont="1" applyFill="1" applyBorder="1"/>
    <xf numFmtId="0" fontId="110" fillId="0" borderId="90" xfId="53" applyFont="1" applyFill="1" applyBorder="1"/>
    <xf numFmtId="184" fontId="40" fillId="0" borderId="90" xfId="53" applyNumberFormat="1" applyFont="1" applyFill="1" applyBorder="1"/>
    <xf numFmtId="185" fontId="40" fillId="0" borderId="90" xfId="53" applyNumberFormat="1" applyFont="1" applyFill="1" applyBorder="1"/>
    <xf numFmtId="4" fontId="110" fillId="0" borderId="90" xfId="53" applyNumberFormat="1" applyFont="1" applyFill="1" applyBorder="1"/>
    <xf numFmtId="0" fontId="4" fillId="0" borderId="90" xfId="53" applyFont="1" applyBorder="1"/>
    <xf numFmtId="43" fontId="4" fillId="8" borderId="90" xfId="51" applyFont="1" applyFill="1" applyBorder="1" applyAlignment="1">
      <alignment horizontal="center" vertical="center"/>
    </xf>
    <xf numFmtId="43" fontId="40" fillId="0" borderId="73" xfId="51" applyFont="1" applyFill="1" applyBorder="1" applyAlignment="1">
      <alignment horizontal="right" vertical="center"/>
    </xf>
    <xf numFmtId="0" fontId="40" fillId="0" borderId="73" xfId="53" applyFont="1" applyFill="1" applyBorder="1" applyAlignment="1">
      <alignment horizontal="center" vertical="center" wrapText="1"/>
    </xf>
    <xf numFmtId="43" fontId="110" fillId="0" borderId="73" xfId="51" applyFont="1" applyFill="1" applyBorder="1" applyAlignment="1">
      <alignment horizontal="right" vertical="center"/>
    </xf>
    <xf numFmtId="0" fontId="110" fillId="0" borderId="73" xfId="53" applyFont="1" applyFill="1" applyBorder="1" applyAlignment="1">
      <alignment horizontal="center" vertical="center" wrapText="1"/>
    </xf>
    <xf numFmtId="0" fontId="110" fillId="0" borderId="73" xfId="51" applyNumberFormat="1" applyFont="1" applyFill="1" applyBorder="1" applyAlignment="1">
      <alignment horizontal="right" vertical="center"/>
    </xf>
    <xf numFmtId="0" fontId="4" fillId="0" borderId="73" xfId="53" applyFont="1" applyBorder="1" applyAlignment="1">
      <alignment horizontal="right" vertical="center"/>
    </xf>
    <xf numFmtId="0" fontId="4" fillId="0" borderId="73" xfId="53" applyFont="1" applyBorder="1" applyAlignment="1">
      <alignment horizontal="center" vertical="center" wrapText="1"/>
    </xf>
    <xf numFmtId="0" fontId="47" fillId="0" borderId="73" xfId="53" applyFont="1" applyBorder="1" applyAlignment="1">
      <alignment horizontal="right" vertical="center"/>
    </xf>
    <xf numFmtId="164" fontId="4" fillId="0" borderId="73" xfId="53" applyNumberFormat="1" applyFont="1" applyBorder="1" applyAlignment="1">
      <alignment horizontal="right" vertical="center"/>
    </xf>
    <xf numFmtId="0" fontId="122" fillId="0" borderId="73" xfId="83" applyFill="1" applyBorder="1" applyAlignment="1">
      <alignment horizontal="center" vertical="center" wrapText="1"/>
    </xf>
    <xf numFmtId="0" fontId="28" fillId="2" borderId="73" xfId="53" applyNumberFormat="1" applyFont="1" applyFill="1" applyBorder="1" applyAlignment="1">
      <alignment horizontal="center" vertical="center"/>
    </xf>
    <xf numFmtId="167" fontId="28" fillId="2" borderId="73" xfId="53" applyNumberFormat="1" applyFont="1" applyFill="1" applyBorder="1" applyAlignment="1">
      <alignment horizontal="center" vertical="center"/>
    </xf>
    <xf numFmtId="0" fontId="15" fillId="2" borderId="73" xfId="0" applyFont="1" applyFill="1" applyBorder="1" applyAlignment="1">
      <alignment horizontal="left" vertical="center" wrapText="1"/>
    </xf>
    <xf numFmtId="0" fontId="15" fillId="2" borderId="73" xfId="0" applyFont="1" applyFill="1" applyBorder="1" applyAlignment="1">
      <alignment horizontal="center" vertical="center" wrapText="1"/>
    </xf>
    <xf numFmtId="2" fontId="15" fillId="2" borderId="73" xfId="0" applyNumberFormat="1" applyFont="1" applyFill="1" applyBorder="1" applyAlignment="1">
      <alignment horizontal="center" vertical="center" wrapText="1"/>
    </xf>
    <xf numFmtId="180" fontId="28" fillId="2" borderId="73" xfId="44" applyNumberFormat="1" applyFont="1" applyFill="1" applyBorder="1" applyAlignment="1">
      <alignment horizontal="center" vertical="center"/>
    </xf>
    <xf numFmtId="0" fontId="13" fillId="0" borderId="0" xfId="74" applyNumberFormat="1" applyFont="1" applyFill="1" applyBorder="1" applyAlignment="1" applyProtection="1">
      <alignment horizontal="center"/>
    </xf>
    <xf numFmtId="0" fontId="65" fillId="0" borderId="0" xfId="74" applyNumberFormat="1" applyFont="1" applyFill="1" applyBorder="1" applyAlignment="1" applyProtection="1">
      <alignment vertical="top"/>
    </xf>
    <xf numFmtId="0" fontId="65" fillId="0" borderId="0" xfId="74" applyNumberFormat="1" applyFont="1" applyFill="1" applyBorder="1" applyAlignment="1" applyProtection="1">
      <alignment horizontal="center"/>
    </xf>
    <xf numFmtId="0" fontId="66" fillId="0" borderId="0" xfId="74" applyNumberFormat="1" applyFont="1" applyFill="1" applyBorder="1" applyAlignment="1" applyProtection="1">
      <alignment horizontal="left"/>
    </xf>
    <xf numFmtId="0" fontId="56" fillId="0" borderId="58" xfId="74" applyNumberFormat="1" applyFont="1" applyFill="1" applyBorder="1" applyAlignment="1" applyProtection="1">
      <alignment wrapText="1"/>
    </xf>
    <xf numFmtId="0" fontId="56" fillId="0" borderId="73" xfId="74" applyNumberFormat="1" applyFont="1" applyFill="1" applyBorder="1" applyAlignment="1" applyProtection="1">
      <alignment horizontal="center" vertical="top" wrapText="1"/>
    </xf>
    <xf numFmtId="0" fontId="123" fillId="0" borderId="0" xfId="74" applyNumberFormat="1" applyFont="1" applyFill="1" applyBorder="1" applyAlignment="1" applyProtection="1">
      <alignment wrapText="1"/>
    </xf>
    <xf numFmtId="0" fontId="67" fillId="0" borderId="0" xfId="74" applyNumberFormat="1" applyFont="1" applyFill="1" applyBorder="1" applyAlignment="1" applyProtection="1">
      <alignment wrapText="1"/>
    </xf>
    <xf numFmtId="0" fontId="123" fillId="0" borderId="0" xfId="74" applyNumberFormat="1" applyFont="1" applyFill="1" applyBorder="1" applyAlignment="1" applyProtection="1"/>
    <xf numFmtId="49" fontId="56" fillId="6" borderId="73" xfId="74" applyNumberFormat="1" applyFont="1" applyFill="1" applyBorder="1" applyAlignment="1" applyProtection="1">
      <alignment horizontal="center" vertical="top" wrapText="1"/>
    </xf>
    <xf numFmtId="0" fontId="56" fillId="6" borderId="73" xfId="74" applyNumberFormat="1" applyFont="1" applyFill="1" applyBorder="1" applyAlignment="1" applyProtection="1">
      <alignment horizontal="left" vertical="top" wrapText="1"/>
    </xf>
    <xf numFmtId="4" fontId="56" fillId="6" borderId="73" xfId="74" applyNumberFormat="1" applyFont="1" applyFill="1" applyBorder="1" applyAlignment="1" applyProtection="1">
      <alignment horizontal="right" vertical="top" wrapText="1"/>
    </xf>
    <xf numFmtId="0" fontId="68" fillId="6" borderId="73" xfId="74" applyNumberFormat="1" applyFont="1" applyFill="1" applyBorder="1" applyAlignment="1" applyProtection="1"/>
    <xf numFmtId="4" fontId="68" fillId="6" borderId="73" xfId="74" applyNumberFormat="1" applyFont="1" applyFill="1" applyBorder="1" applyAlignment="1" applyProtection="1">
      <alignment horizontal="right" vertical="top" wrapText="1"/>
    </xf>
    <xf numFmtId="4" fontId="68" fillId="6" borderId="73" xfId="74" applyNumberFormat="1" applyFont="1" applyFill="1" applyBorder="1" applyAlignment="1" applyProtection="1">
      <alignment horizontal="right" vertical="top"/>
    </xf>
    <xf numFmtId="0" fontId="68" fillId="0" borderId="0" xfId="74" applyNumberFormat="1" applyFont="1" applyFill="1" applyBorder="1" applyAlignment="1" applyProtection="1">
      <alignment wrapText="1"/>
    </xf>
    <xf numFmtId="0" fontId="56" fillId="0" borderId="93" xfId="74" applyNumberFormat="1" applyFont="1" applyFill="1" applyBorder="1" applyAlignment="1" applyProtection="1">
      <alignment horizontal="left" vertical="center" wrapText="1"/>
    </xf>
    <xf numFmtId="4" fontId="56" fillId="0" borderId="93" xfId="74" applyNumberFormat="1" applyFont="1" applyFill="1" applyBorder="1" applyAlignment="1" applyProtection="1">
      <alignment horizontal="right" vertical="center" wrapText="1"/>
    </xf>
    <xf numFmtId="0" fontId="56" fillId="0" borderId="73" xfId="74" applyNumberFormat="1" applyFont="1" applyFill="1" applyBorder="1" applyAlignment="1" applyProtection="1">
      <alignment vertical="center"/>
    </xf>
    <xf numFmtId="2" fontId="56" fillId="0" borderId="73" xfId="74" applyNumberFormat="1" applyFont="1" applyFill="1" applyBorder="1" applyAlignment="1" applyProtection="1">
      <alignment vertical="center"/>
    </xf>
    <xf numFmtId="4" fontId="56" fillId="0" borderId="73" xfId="74" applyNumberFormat="1" applyFont="1" applyFill="1" applyBorder="1" applyAlignment="1" applyProtection="1">
      <alignment vertical="center"/>
    </xf>
    <xf numFmtId="4" fontId="56" fillId="0" borderId="73" xfId="74" applyNumberFormat="1" applyFont="1" applyFill="1" applyBorder="1" applyAlignment="1" applyProtection="1">
      <alignment horizontal="center" vertical="center"/>
    </xf>
    <xf numFmtId="0" fontId="124" fillId="0" borderId="73" xfId="74" applyNumberFormat="1" applyFont="1" applyFill="1" applyBorder="1" applyAlignment="1" applyProtection="1">
      <alignment horizontal="left" vertical="top" wrapText="1"/>
    </xf>
    <xf numFmtId="4" fontId="124" fillId="0" borderId="73" xfId="74" applyNumberFormat="1" applyFont="1" applyFill="1" applyBorder="1" applyAlignment="1" applyProtection="1">
      <alignment horizontal="right" vertical="top" wrapText="1"/>
    </xf>
    <xf numFmtId="2" fontId="124" fillId="0" borderId="73" xfId="74" applyNumberFormat="1" applyFont="1" applyFill="1" applyBorder="1" applyAlignment="1" applyProtection="1">
      <alignment vertical="center"/>
    </xf>
    <xf numFmtId="4" fontId="124" fillId="0" borderId="73" xfId="74" applyNumberFormat="1" applyFont="1" applyFill="1" applyBorder="1" applyAlignment="1" applyProtection="1">
      <alignment vertical="center"/>
    </xf>
    <xf numFmtId="0" fontId="124" fillId="0" borderId="73" xfId="74" applyNumberFormat="1" applyFont="1" applyFill="1" applyBorder="1" applyAlignment="1" applyProtection="1"/>
    <xf numFmtId="0" fontId="56" fillId="0" borderId="73" xfId="74" applyNumberFormat="1" applyFont="1" applyFill="1" applyBorder="1" applyAlignment="1" applyProtection="1"/>
    <xf numFmtId="0" fontId="67" fillId="6" borderId="83" xfId="74" applyNumberFormat="1" applyFont="1" applyFill="1" applyBorder="1" applyAlignment="1" applyProtection="1">
      <alignment horizontal="left" vertical="center" wrapText="1"/>
    </xf>
    <xf numFmtId="0" fontId="67" fillId="6" borderId="41" xfId="74" applyNumberFormat="1" applyFont="1" applyFill="1" applyBorder="1" applyAlignment="1" applyProtection="1">
      <alignment horizontal="left" vertical="center" wrapText="1"/>
    </xf>
    <xf numFmtId="0" fontId="67" fillId="6" borderId="90" xfId="74" applyNumberFormat="1" applyFont="1" applyFill="1" applyBorder="1" applyAlignment="1" applyProtection="1">
      <alignment horizontal="left" vertical="center" wrapText="1"/>
    </xf>
    <xf numFmtId="0" fontId="56" fillId="2" borderId="73" xfId="74" applyNumberFormat="1" applyFont="1" applyFill="1" applyBorder="1" applyAlignment="1" applyProtection="1"/>
    <xf numFmtId="0" fontId="124" fillId="0" borderId="73" xfId="74" applyNumberFormat="1" applyFont="1" applyFill="1" applyBorder="1" applyAlignment="1" applyProtection="1">
      <alignment wrapText="1"/>
    </xf>
    <xf numFmtId="0" fontId="68" fillId="0" borderId="73" xfId="74" applyNumberFormat="1" applyFont="1" applyFill="1" applyBorder="1" applyAlignment="1" applyProtection="1"/>
    <xf numFmtId="4" fontId="68" fillId="0" borderId="73" xfId="74" applyNumberFormat="1" applyFont="1" applyFill="1" applyBorder="1" applyAlignment="1" applyProtection="1">
      <alignment horizontal="right" vertical="top" wrapText="1"/>
    </xf>
    <xf numFmtId="4" fontId="68" fillId="0" borderId="73" xfId="74" applyNumberFormat="1" applyFont="1" applyFill="1" applyBorder="1" applyAlignment="1" applyProtection="1">
      <alignment horizontal="right" vertical="top"/>
    </xf>
    <xf numFmtId="0" fontId="56" fillId="0" borderId="73" xfId="74" applyNumberFormat="1" applyFont="1" applyFill="1" applyBorder="1" applyAlignment="1" applyProtection="1">
      <alignment horizontal="left" vertical="center" wrapText="1"/>
    </xf>
    <xf numFmtId="4" fontId="56" fillId="0" borderId="73" xfId="74" applyNumberFormat="1" applyFont="1" applyFill="1" applyBorder="1" applyAlignment="1" applyProtection="1">
      <alignment horizontal="right" vertical="center" wrapText="1"/>
    </xf>
    <xf numFmtId="0" fontId="66" fillId="0" borderId="0" xfId="74" applyNumberFormat="1" applyFont="1" applyFill="1" applyBorder="1" applyAlignment="1" applyProtection="1">
      <alignment wrapText="1"/>
    </xf>
    <xf numFmtId="0" fontId="124" fillId="0" borderId="73" xfId="74" applyNumberFormat="1" applyFont="1" applyFill="1" applyBorder="1" applyAlignment="1" applyProtection="1">
      <alignment vertical="center"/>
    </xf>
    <xf numFmtId="49" fontId="56" fillId="0" borderId="73" xfId="74" applyNumberFormat="1" applyFont="1" applyFill="1" applyBorder="1" applyAlignment="1" applyProtection="1">
      <alignment horizontal="center" vertical="top" wrapText="1"/>
    </xf>
    <xf numFmtId="0" fontId="56" fillId="0" borderId="73" xfId="74" applyNumberFormat="1" applyFont="1" applyFill="1" applyBorder="1" applyAlignment="1" applyProtection="1">
      <alignment horizontal="left" vertical="top" wrapText="1"/>
    </xf>
    <xf numFmtId="4" fontId="56" fillId="0" borderId="73" xfId="74" applyNumberFormat="1" applyFont="1" applyFill="1" applyBorder="1" applyAlignment="1" applyProtection="1">
      <alignment horizontal="right" vertical="top" wrapText="1"/>
    </xf>
    <xf numFmtId="0" fontId="124" fillId="0" borderId="73" xfId="74" applyNumberFormat="1" applyFont="1" applyFill="1" applyBorder="1" applyAlignment="1" applyProtection="1">
      <alignment horizontal="center" vertical="center"/>
    </xf>
    <xf numFmtId="0" fontId="125" fillId="0" borderId="73" xfId="74" applyNumberFormat="1" applyFont="1" applyFill="1" applyBorder="1" applyAlignment="1" applyProtection="1">
      <alignment horizontal="center" vertical="center"/>
    </xf>
    <xf numFmtId="0" fontId="56" fillId="0" borderId="73" xfId="74" applyNumberFormat="1" applyFont="1" applyFill="1" applyBorder="1" applyAlignment="1" applyProtection="1">
      <alignment vertical="center" wrapText="1"/>
    </xf>
    <xf numFmtId="0" fontId="56" fillId="0" borderId="44" xfId="74" applyNumberFormat="1" applyFont="1" applyFill="1" applyBorder="1" applyAlignment="1" applyProtection="1">
      <alignment horizontal="left" vertical="center" wrapText="1"/>
    </xf>
    <xf numFmtId="4" fontId="56" fillId="0" borderId="44" xfId="74" applyNumberFormat="1" applyFont="1" applyFill="1" applyBorder="1" applyAlignment="1" applyProtection="1">
      <alignment horizontal="right" vertical="center" wrapText="1"/>
    </xf>
    <xf numFmtId="0" fontId="56" fillId="7" borderId="73" xfId="74" applyNumberFormat="1" applyFont="1" applyFill="1" applyBorder="1" applyAlignment="1" applyProtection="1">
      <alignment vertical="center"/>
    </xf>
    <xf numFmtId="4" fontId="56" fillId="7" borderId="73" xfId="74" applyNumberFormat="1" applyFont="1" applyFill="1" applyBorder="1" applyAlignment="1" applyProtection="1">
      <alignment vertical="center"/>
    </xf>
    <xf numFmtId="0" fontId="56" fillId="7" borderId="73" xfId="74" applyNumberFormat="1" applyFont="1" applyFill="1" applyBorder="1" applyAlignment="1" applyProtection="1"/>
    <xf numFmtId="0" fontId="68" fillId="0" borderId="73" xfId="74" applyNumberFormat="1" applyFont="1" applyFill="1" applyBorder="1" applyAlignment="1" applyProtection="1">
      <alignment horizontal="right" vertical="top" wrapText="1"/>
    </xf>
    <xf numFmtId="0" fontId="56" fillId="0" borderId="0" xfId="74" applyNumberFormat="1" applyFont="1" applyFill="1" applyBorder="1" applyAlignment="1" applyProtection="1">
      <alignment vertical="top"/>
    </xf>
    <xf numFmtId="0" fontId="56" fillId="0" borderId="0" xfId="74" applyNumberFormat="1" applyFont="1" applyFill="1" applyBorder="1" applyAlignment="1" applyProtection="1">
      <alignment horizontal="center" vertical="top"/>
    </xf>
    <xf numFmtId="0" fontId="49" fillId="0" borderId="91" xfId="74" applyNumberFormat="1" applyFont="1" applyFill="1" applyBorder="1" applyAlignment="1" applyProtection="1">
      <alignment horizontal="left" vertical="top"/>
    </xf>
    <xf numFmtId="0" fontId="15" fillId="0" borderId="73" xfId="0" applyFont="1" applyBorder="1" applyAlignment="1">
      <alignment horizontal="left" vertical="center" wrapText="1"/>
    </xf>
    <xf numFmtId="0" fontId="15" fillId="0" borderId="73" xfId="0" applyFont="1" applyBorder="1" applyAlignment="1">
      <alignment horizontal="center" vertical="center" wrapText="1"/>
    </xf>
    <xf numFmtId="1" fontId="15" fillId="0" borderId="73" xfId="0" applyNumberFormat="1" applyFont="1" applyBorder="1" applyAlignment="1">
      <alignment horizontal="center" vertical="center" wrapText="1"/>
    </xf>
    <xf numFmtId="184" fontId="110" fillId="0" borderId="90" xfId="53" applyNumberFormat="1" applyFont="1" applyFill="1" applyBorder="1"/>
    <xf numFmtId="4" fontId="1" fillId="0" borderId="73" xfId="28" applyNumberFormat="1" applyFont="1" applyFill="1" applyBorder="1" applyAlignment="1">
      <alignment horizontal="center" vertical="center"/>
    </xf>
    <xf numFmtId="0" fontId="2" fillId="0" borderId="106" xfId="53" applyNumberFormat="1" applyFont="1" applyFill="1" applyBorder="1" applyAlignment="1">
      <alignment horizontal="center" vertical="center"/>
    </xf>
    <xf numFmtId="0" fontId="23" fillId="5" borderId="106" xfId="53" applyFont="1" applyFill="1" applyBorder="1" applyAlignment="1">
      <alignment vertical="center" wrapText="1"/>
    </xf>
    <xf numFmtId="0" fontId="2" fillId="0" borderId="106" xfId="53" applyFont="1" applyFill="1" applyBorder="1" applyAlignment="1">
      <alignment horizontal="center" vertical="center" wrapText="1"/>
    </xf>
    <xf numFmtId="3" fontId="2" fillId="0" borderId="106" xfId="53" applyNumberFormat="1" applyFont="1" applyFill="1" applyBorder="1" applyAlignment="1">
      <alignment horizontal="center" vertical="center" wrapText="1"/>
    </xf>
    <xf numFmtId="14" fontId="2" fillId="0" borderId="106" xfId="53" applyNumberFormat="1" applyFont="1" applyFill="1" applyBorder="1" applyAlignment="1">
      <alignment horizontal="center" vertical="center" wrapText="1"/>
    </xf>
    <xf numFmtId="43" fontId="2" fillId="0" borderId="106" xfId="44" applyFont="1" applyFill="1" applyBorder="1" applyAlignment="1">
      <alignment horizontal="center" vertical="center"/>
    </xf>
    <xf numFmtId="0" fontId="4" fillId="0" borderId="106" xfId="53" applyFont="1" applyBorder="1"/>
    <xf numFmtId="43" fontId="3" fillId="0" borderId="106" xfId="44" applyFont="1" applyFill="1" applyBorder="1" applyAlignment="1">
      <alignment horizontal="center" vertical="center"/>
    </xf>
    <xf numFmtId="180" fontId="2" fillId="0" borderId="106" xfId="44" applyNumberFormat="1" applyFont="1" applyFill="1" applyBorder="1" applyAlignment="1">
      <alignment horizontal="center" vertical="center"/>
    </xf>
    <xf numFmtId="167" fontId="23" fillId="0" borderId="106" xfId="53" applyNumberFormat="1" applyFont="1" applyFill="1" applyBorder="1" applyAlignment="1">
      <alignment horizontal="center" vertical="center"/>
    </xf>
    <xf numFmtId="43" fontId="2" fillId="2" borderId="106" xfId="44" applyFont="1" applyFill="1" applyBorder="1" applyAlignment="1">
      <alignment horizontal="center" vertical="center"/>
    </xf>
    <xf numFmtId="0" fontId="2" fillId="0" borderId="106" xfId="53" applyFont="1" applyFill="1" applyBorder="1" applyAlignment="1">
      <alignment wrapText="1"/>
    </xf>
    <xf numFmtId="0" fontId="23" fillId="0" borderId="106" xfId="53" applyNumberFormat="1" applyFont="1" applyFill="1" applyBorder="1" applyAlignment="1">
      <alignment horizontal="center" vertical="center"/>
    </xf>
    <xf numFmtId="0" fontId="2" fillId="0" borderId="106" xfId="53" applyFont="1" applyBorder="1"/>
    <xf numFmtId="0" fontId="115" fillId="0" borderId="106" xfId="0" applyFont="1" applyBorder="1" applyAlignment="1">
      <alignment horizontal="left" vertical="center" wrapText="1"/>
    </xf>
    <xf numFmtId="0" fontId="115" fillId="0" borderId="106" xfId="0" applyFont="1" applyBorder="1" applyAlignment="1">
      <alignment horizontal="center" vertical="center" wrapText="1"/>
    </xf>
    <xf numFmtId="0" fontId="23" fillId="0" borderId="106" xfId="53" applyFont="1" applyFill="1" applyBorder="1" applyAlignment="1">
      <alignment horizontal="center" vertical="center" wrapText="1"/>
    </xf>
    <xf numFmtId="14" fontId="23" fillId="0" borderId="106" xfId="53" applyNumberFormat="1" applyFont="1" applyFill="1" applyBorder="1" applyAlignment="1">
      <alignment horizontal="center" vertical="center" wrapText="1"/>
    </xf>
    <xf numFmtId="43" fontId="23" fillId="0" borderId="106" xfId="51" applyFont="1" applyFill="1" applyBorder="1" applyAlignment="1">
      <alignment horizontal="center" vertical="center"/>
    </xf>
    <xf numFmtId="43" fontId="110" fillId="0" borderId="106" xfId="51" applyFont="1" applyFill="1" applyBorder="1" applyAlignment="1">
      <alignment vertical="center"/>
    </xf>
    <xf numFmtId="43" fontId="23" fillId="0" borderId="106" xfId="44" applyFont="1" applyFill="1" applyBorder="1" applyAlignment="1">
      <alignment horizontal="center" vertical="center"/>
    </xf>
    <xf numFmtId="164" fontId="23" fillId="0" borderId="106" xfId="53" applyNumberFormat="1" applyFont="1" applyFill="1" applyBorder="1" applyAlignment="1">
      <alignment wrapText="1"/>
    </xf>
    <xf numFmtId="43" fontId="110" fillId="0" borderId="106" xfId="51" applyFont="1" applyFill="1" applyBorder="1" applyAlignment="1">
      <alignment horizontal="right" vertical="center"/>
    </xf>
    <xf numFmtId="0" fontId="110" fillId="0" borderId="106" xfId="53" applyFont="1" applyFill="1" applyBorder="1" applyAlignment="1">
      <alignment horizontal="center" vertical="center" wrapText="1"/>
    </xf>
    <xf numFmtId="0" fontId="23" fillId="0" borderId="106" xfId="53" applyFont="1" applyFill="1" applyBorder="1" applyAlignment="1">
      <alignment vertical="top" wrapText="1"/>
    </xf>
    <xf numFmtId="164" fontId="23" fillId="0" borderId="106" xfId="53" applyNumberFormat="1" applyFont="1" applyFill="1" applyBorder="1" applyAlignment="1">
      <alignment horizontal="right" vertical="center" wrapText="1"/>
    </xf>
    <xf numFmtId="0" fontId="3" fillId="0" borderId="106" xfId="53" applyFont="1" applyBorder="1" applyAlignment="1">
      <alignment horizontal="center" vertical="center"/>
    </xf>
    <xf numFmtId="164" fontId="3" fillId="0" borderId="106" xfId="53" applyNumberFormat="1" applyFont="1" applyFill="1" applyBorder="1" applyAlignment="1">
      <alignment horizontal="right" vertical="center" wrapText="1"/>
    </xf>
    <xf numFmtId="0" fontId="3" fillId="0" borderId="106" xfId="53" applyFont="1" applyFill="1" applyBorder="1" applyAlignment="1">
      <alignment horizontal="right" vertical="center" wrapText="1"/>
    </xf>
    <xf numFmtId="164" fontId="3" fillId="0" borderId="106" xfId="53" applyNumberFormat="1" applyFont="1" applyBorder="1" applyAlignment="1">
      <alignment horizontal="right" vertical="center"/>
    </xf>
    <xf numFmtId="164" fontId="2" fillId="0" borderId="106" xfId="53" applyNumberFormat="1" applyFont="1" applyFill="1" applyBorder="1" applyAlignment="1">
      <alignment horizontal="right" vertical="center" wrapText="1"/>
    </xf>
    <xf numFmtId="0" fontId="2" fillId="0" borderId="106" xfId="53" applyFont="1" applyFill="1" applyBorder="1" applyAlignment="1">
      <alignment horizontal="right" vertical="center" wrapText="1"/>
    </xf>
    <xf numFmtId="164" fontId="2" fillId="0" borderId="106" xfId="53" applyNumberFormat="1" applyFont="1" applyBorder="1" applyAlignment="1">
      <alignment horizontal="right" vertical="center"/>
    </xf>
    <xf numFmtId="0" fontId="115" fillId="0" borderId="106" xfId="0" applyFont="1" applyFill="1" applyBorder="1" applyAlignment="1">
      <alignment horizontal="center" vertical="center" wrapText="1"/>
    </xf>
    <xf numFmtId="0" fontId="126" fillId="0" borderId="0" xfId="84"/>
    <xf numFmtId="0" fontId="127" fillId="0" borderId="0" xfId="84" applyFont="1" applyAlignment="1">
      <alignment horizontal="left" vertical="top" wrapText="1"/>
    </xf>
    <xf numFmtId="0" fontId="129" fillId="0" borderId="39" xfId="84" applyFont="1" applyBorder="1" applyAlignment="1">
      <alignment horizontal="left" vertical="top" wrapText="1"/>
    </xf>
    <xf numFmtId="0" fontId="127" fillId="0" borderId="140" xfId="84" applyFont="1" applyBorder="1" applyAlignment="1">
      <alignment horizontal="left" vertical="top" wrapText="1"/>
    </xf>
    <xf numFmtId="0" fontId="129" fillId="0" borderId="140" xfId="84" applyFont="1" applyBorder="1" applyAlignment="1">
      <alignment horizontal="left" vertical="top" wrapText="1"/>
    </xf>
    <xf numFmtId="0" fontId="129" fillId="0" borderId="44" xfId="84" applyFont="1" applyBorder="1" applyAlignment="1">
      <alignment horizontal="left" vertical="top" wrapText="1"/>
    </xf>
    <xf numFmtId="0" fontId="127" fillId="0" borderId="39" xfId="84" applyFont="1" applyBorder="1" applyAlignment="1">
      <alignment horizontal="center" vertical="center" wrapText="1"/>
    </xf>
    <xf numFmtId="0" fontId="4" fillId="0" borderId="106" xfId="53" applyFont="1" applyFill="1" applyBorder="1"/>
    <xf numFmtId="0" fontId="28" fillId="2" borderId="44" xfId="53" applyNumberFormat="1" applyFont="1" applyFill="1" applyBorder="1" applyAlignment="1">
      <alignment horizontal="center" vertical="center"/>
    </xf>
    <xf numFmtId="0" fontId="116" fillId="2" borderId="44" xfId="0" applyFont="1" applyFill="1" applyBorder="1" applyAlignment="1">
      <alignment horizontal="left" vertical="center" wrapText="1"/>
    </xf>
    <xf numFmtId="0" fontId="116" fillId="2" borderId="44" xfId="0" applyFont="1" applyFill="1" applyBorder="1" applyAlignment="1">
      <alignment horizontal="center" vertical="center" wrapText="1"/>
    </xf>
    <xf numFmtId="1" fontId="116" fillId="2" borderId="44" xfId="0" applyNumberFormat="1" applyFont="1" applyFill="1" applyBorder="1" applyAlignment="1">
      <alignment horizontal="center" vertical="center" wrapText="1"/>
    </xf>
    <xf numFmtId="0" fontId="28" fillId="2" borderId="44" xfId="53" applyFont="1" applyFill="1" applyBorder="1" applyAlignment="1">
      <alignment horizontal="center" vertical="center" wrapText="1"/>
    </xf>
    <xf numFmtId="14" fontId="28" fillId="2" borderId="44" xfId="53" applyNumberFormat="1" applyFont="1" applyFill="1" applyBorder="1" applyAlignment="1">
      <alignment horizontal="center" vertical="center" wrapText="1"/>
    </xf>
    <xf numFmtId="43" fontId="28" fillId="2" borderId="44" xfId="51" applyFont="1" applyFill="1" applyBorder="1" applyAlignment="1">
      <alignment horizontal="center" vertical="center"/>
    </xf>
    <xf numFmtId="43" fontId="40" fillId="2" borderId="44" xfId="51" applyFont="1" applyFill="1" applyBorder="1" applyAlignment="1">
      <alignment vertical="center"/>
    </xf>
    <xf numFmtId="43" fontId="28" fillId="2" borderId="44" xfId="44" applyFont="1" applyFill="1" applyBorder="1" applyAlignment="1">
      <alignment horizontal="center" vertical="center"/>
    </xf>
    <xf numFmtId="43" fontId="23" fillId="2" borderId="44" xfId="51" applyFont="1" applyFill="1" applyBorder="1" applyAlignment="1">
      <alignment horizontal="center" vertical="center"/>
    </xf>
    <xf numFmtId="180" fontId="3" fillId="2" borderId="44" xfId="44" applyNumberFormat="1" applyFont="1" applyFill="1" applyBorder="1" applyAlignment="1">
      <alignment horizontal="center" vertical="center"/>
    </xf>
    <xf numFmtId="43" fontId="3" fillId="2" borderId="44" xfId="51" applyFont="1" applyFill="1" applyBorder="1" applyAlignment="1">
      <alignment horizontal="center" vertical="center"/>
    </xf>
    <xf numFmtId="167" fontId="28" fillId="2" borderId="44" xfId="53" applyNumberFormat="1" applyFont="1" applyFill="1" applyBorder="1" applyAlignment="1">
      <alignment horizontal="center" vertical="center"/>
    </xf>
    <xf numFmtId="43" fontId="23" fillId="0" borderId="44" xfId="51" applyFont="1" applyFill="1" applyBorder="1" applyAlignment="1">
      <alignment horizontal="center" vertical="center"/>
    </xf>
    <xf numFmtId="0" fontId="28" fillId="0" borderId="44" xfId="53" applyFont="1" applyFill="1" applyBorder="1" applyAlignment="1">
      <alignment wrapText="1"/>
    </xf>
    <xf numFmtId="164" fontId="28" fillId="0" borderId="44" xfId="53" applyNumberFormat="1" applyFont="1" applyFill="1" applyBorder="1" applyAlignment="1">
      <alignment wrapText="1"/>
    </xf>
    <xf numFmtId="43" fontId="40" fillId="0" borderId="44" xfId="51" applyFont="1" applyFill="1" applyBorder="1" applyAlignment="1">
      <alignment horizontal="right" vertical="center"/>
    </xf>
    <xf numFmtId="0" fontId="40" fillId="0" borderId="44" xfId="53" applyFont="1" applyFill="1" applyBorder="1" applyAlignment="1">
      <alignment horizontal="center" vertical="center" wrapText="1"/>
    </xf>
    <xf numFmtId="0" fontId="2" fillId="0" borderId="39" xfId="53" applyNumberFormat="1" applyFont="1" applyFill="1" applyBorder="1" applyAlignment="1">
      <alignment horizontal="center" vertical="center"/>
    </xf>
    <xf numFmtId="0" fontId="23" fillId="5" borderId="39" xfId="53" applyFont="1" applyFill="1" applyBorder="1" applyAlignment="1">
      <alignment vertical="center" wrapText="1"/>
    </xf>
    <xf numFmtId="0" fontId="2" fillId="0" borderId="39" xfId="53" applyFont="1" applyFill="1" applyBorder="1" applyAlignment="1">
      <alignment horizontal="center" vertical="center" wrapText="1"/>
    </xf>
    <xf numFmtId="3" fontId="2" fillId="0" borderId="39" xfId="53" applyNumberFormat="1" applyFont="1" applyFill="1" applyBorder="1" applyAlignment="1">
      <alignment horizontal="center" vertical="center" wrapText="1"/>
    </xf>
    <xf numFmtId="14" fontId="2" fillId="0" borderId="39" xfId="53" applyNumberFormat="1" applyFont="1" applyFill="1" applyBorder="1" applyAlignment="1">
      <alignment horizontal="center" vertical="center" wrapText="1"/>
    </xf>
    <xf numFmtId="43" fontId="2" fillId="0" borderId="39" xfId="44" applyFont="1" applyFill="1" applyBorder="1" applyAlignment="1">
      <alignment horizontal="center" vertical="center"/>
    </xf>
    <xf numFmtId="0" fontId="4" fillId="0" borderId="39" xfId="53" applyFont="1" applyBorder="1"/>
    <xf numFmtId="43" fontId="3" fillId="0" borderId="39" xfId="44" applyFont="1" applyFill="1" applyBorder="1" applyAlignment="1">
      <alignment horizontal="center" vertical="center"/>
    </xf>
    <xf numFmtId="180" fontId="2" fillId="0" borderId="39" xfId="44" applyNumberFormat="1" applyFont="1" applyFill="1" applyBorder="1" applyAlignment="1">
      <alignment horizontal="center" vertical="center"/>
    </xf>
    <xf numFmtId="167" fontId="23" fillId="0" borderId="39" xfId="53" applyNumberFormat="1" applyFont="1" applyFill="1" applyBorder="1" applyAlignment="1">
      <alignment horizontal="center" vertical="center"/>
    </xf>
    <xf numFmtId="43" fontId="2" fillId="2" borderId="39" xfId="44" applyFont="1" applyFill="1" applyBorder="1" applyAlignment="1">
      <alignment horizontal="center" vertical="center"/>
    </xf>
    <xf numFmtId="0" fontId="2" fillId="0" borderId="39" xfId="53" applyFont="1" applyFill="1" applyBorder="1" applyAlignment="1">
      <alignment wrapText="1"/>
    </xf>
    <xf numFmtId="0" fontId="3" fillId="0" borderId="39" xfId="53" applyFont="1" applyFill="1" applyBorder="1" applyAlignment="1">
      <alignment wrapText="1"/>
    </xf>
    <xf numFmtId="0" fontId="3" fillId="0" borderId="39" xfId="53" applyFont="1" applyBorder="1"/>
    <xf numFmtId="164" fontId="3" fillId="0" borderId="39" xfId="53" applyNumberFormat="1" applyFont="1" applyFill="1" applyBorder="1" applyAlignment="1">
      <alignment wrapText="1"/>
    </xf>
    <xf numFmtId="164" fontId="3" fillId="0" borderId="39" xfId="53" applyNumberFormat="1" applyFont="1" applyBorder="1"/>
    <xf numFmtId="14" fontId="28" fillId="2" borderId="106" xfId="0" applyNumberFormat="1" applyFont="1" applyFill="1" applyBorder="1"/>
    <xf numFmtId="165" fontId="28" fillId="0" borderId="106" xfId="0" applyNumberFormat="1" applyFont="1" applyBorder="1"/>
    <xf numFmtId="2" fontId="28" fillId="0" borderId="106" xfId="0" applyNumberFormat="1" applyFont="1" applyBorder="1"/>
    <xf numFmtId="10" fontId="28" fillId="0" borderId="106" xfId="0" applyNumberFormat="1" applyFont="1" applyBorder="1" applyAlignment="1">
      <alignment vertical="center"/>
    </xf>
    <xf numFmtId="10" fontId="28" fillId="5" borderId="108" xfId="0" applyNumberFormat="1" applyFont="1" applyFill="1" applyBorder="1" applyAlignment="1">
      <alignment vertical="center"/>
    </xf>
    <xf numFmtId="0" fontId="28" fillId="5" borderId="109" xfId="0" applyFont="1" applyFill="1" applyBorder="1" applyAlignment="1">
      <alignment vertical="center"/>
    </xf>
    <xf numFmtId="167" fontId="28" fillId="20" borderId="106" xfId="0" applyNumberFormat="1" applyFont="1" applyFill="1" applyBorder="1" applyAlignment="1">
      <alignment vertical="center"/>
    </xf>
    <xf numFmtId="0" fontId="28" fillId="5" borderId="106" xfId="0" applyFont="1" applyFill="1" applyBorder="1" applyAlignment="1">
      <alignment vertical="center"/>
    </xf>
    <xf numFmtId="167" fontId="28" fillId="2" borderId="106" xfId="0" applyNumberFormat="1" applyFont="1" applyFill="1" applyBorder="1"/>
    <xf numFmtId="175" fontId="28" fillId="0" borderId="0" xfId="0" applyNumberFormat="1" applyFont="1"/>
    <xf numFmtId="167" fontId="28" fillId="0" borderId="0" xfId="0" applyNumberFormat="1" applyFont="1"/>
    <xf numFmtId="0" fontId="28" fillId="0" borderId="106" xfId="67" applyFont="1" applyBorder="1" applyAlignment="1">
      <alignment horizontal="center" vertical="center"/>
    </xf>
    <xf numFmtId="0" fontId="28" fillId="0" borderId="106" xfId="67" applyFont="1" applyBorder="1"/>
    <xf numFmtId="0" fontId="28" fillId="0" borderId="106" xfId="0" applyFont="1" applyBorder="1" applyAlignment="1">
      <alignment horizontal="center" vertical="center"/>
    </xf>
    <xf numFmtId="0" fontId="28" fillId="0" borderId="106" xfId="0" applyFont="1" applyBorder="1" applyAlignment="1">
      <alignment vertical="center"/>
    </xf>
    <xf numFmtId="14" fontId="1" fillId="0" borderId="0" xfId="36" applyNumberFormat="1" applyAlignment="1">
      <alignment horizontal="center"/>
    </xf>
    <xf numFmtId="0" fontId="8" fillId="0" borderId="0" xfId="0" applyFont="1" applyAlignment="1">
      <alignment horizontal="left" vertical="center" wrapText="1"/>
    </xf>
    <xf numFmtId="0" fontId="43" fillId="0" borderId="8" xfId="28" applyFont="1" applyBorder="1" applyAlignment="1">
      <alignment horizontal="center" vertical="center"/>
    </xf>
    <xf numFmtId="0" fontId="41" fillId="0" borderId="0" xfId="28" applyFont="1" applyAlignment="1">
      <alignment horizontal="center" wrapText="1"/>
    </xf>
    <xf numFmtId="0" fontId="41" fillId="0" borderId="1" xfId="28" applyFont="1" applyBorder="1" applyAlignment="1">
      <alignment horizontal="center" wrapText="1"/>
    </xf>
    <xf numFmtId="0" fontId="44" fillId="0" borderId="2" xfId="0" applyFont="1" applyBorder="1" applyAlignment="1">
      <alignment horizontal="center" vertical="center" wrapText="1"/>
    </xf>
    <xf numFmtId="0" fontId="44" fillId="0" borderId="6" xfId="0" applyFont="1" applyBorder="1" applyAlignment="1">
      <alignment horizontal="center" vertical="center" wrapText="1"/>
    </xf>
    <xf numFmtId="0" fontId="44" fillId="0" borderId="3" xfId="0" applyFont="1" applyBorder="1" applyAlignment="1">
      <alignment horizontal="center" vertical="center" wrapText="1"/>
    </xf>
    <xf numFmtId="0" fontId="44" fillId="0" borderId="2" xfId="0" applyFont="1" applyBorder="1" applyAlignment="1">
      <alignment horizontal="center" vertical="center"/>
    </xf>
    <xf numFmtId="0" fontId="44" fillId="0" borderId="6" xfId="0" applyFont="1" applyBorder="1" applyAlignment="1">
      <alignment horizontal="center" vertical="center"/>
    </xf>
    <xf numFmtId="0" fontId="44" fillId="0" borderId="3" xfId="0" applyFont="1" applyBorder="1" applyAlignment="1">
      <alignment horizontal="center" vertical="center"/>
    </xf>
    <xf numFmtId="0" fontId="44" fillId="0" borderId="18" xfId="0" applyFont="1" applyBorder="1" applyAlignment="1">
      <alignment horizontal="center" vertical="center" wrapText="1"/>
    </xf>
    <xf numFmtId="0" fontId="44" fillId="0" borderId="4" xfId="0" applyFont="1" applyBorder="1" applyAlignment="1">
      <alignment horizontal="center" vertical="center" wrapText="1"/>
    </xf>
    <xf numFmtId="0" fontId="44" fillId="0" borderId="33" xfId="0" applyFont="1" applyBorder="1" applyAlignment="1">
      <alignment horizontal="center" vertical="center" wrapText="1"/>
    </xf>
    <xf numFmtId="0" fontId="44" fillId="0" borderId="5" xfId="0" applyFont="1" applyBorder="1" applyAlignment="1">
      <alignment horizontal="center" vertical="center" wrapText="1"/>
    </xf>
    <xf numFmtId="0" fontId="32" fillId="0" borderId="0" xfId="0" applyFont="1" applyAlignment="1">
      <alignment horizontal="center" vertical="center"/>
    </xf>
    <xf numFmtId="0" fontId="32" fillId="0" borderId="19" xfId="0" applyFont="1" applyBorder="1" applyAlignment="1">
      <alignment horizontal="center" vertical="center"/>
    </xf>
    <xf numFmtId="0" fontId="42" fillId="0" borderId="8" xfId="28" applyFont="1" applyBorder="1" applyAlignment="1">
      <alignment horizontal="center" vertical="center" wrapText="1"/>
    </xf>
    <xf numFmtId="0" fontId="42" fillId="0" borderId="8" xfId="28" applyFont="1" applyBorder="1" applyAlignment="1">
      <alignment horizontal="center" vertical="center"/>
    </xf>
    <xf numFmtId="0" fontId="23" fillId="0" borderId="0" xfId="81" applyFont="1" applyBorder="1" applyAlignment="1">
      <alignment horizontal="center" vertical="center" wrapText="1"/>
    </xf>
    <xf numFmtId="0" fontId="28" fillId="0" borderId="0" xfId="81" applyFont="1" applyBorder="1" applyAlignment="1">
      <alignment horizontal="left" vertical="center" wrapText="1"/>
    </xf>
    <xf numFmtId="0" fontId="28" fillId="0" borderId="0" xfId="81" applyFont="1" applyAlignment="1">
      <alignment horizontal="left" vertical="center" wrapText="1"/>
    </xf>
    <xf numFmtId="0" fontId="3" fillId="0" borderId="0" xfId="28" applyFont="1" applyBorder="1" applyAlignment="1">
      <alignment horizontal="justify" vertical="center" wrapText="1"/>
    </xf>
    <xf numFmtId="0" fontId="2" fillId="0" borderId="0" xfId="28" applyFont="1" applyBorder="1" applyAlignment="1">
      <alignment horizontal="center" vertical="center" wrapText="1"/>
    </xf>
    <xf numFmtId="0" fontId="28" fillId="0" borderId="0" xfId="28" applyFont="1" applyBorder="1" applyAlignment="1">
      <alignment horizontal="justify" vertical="center" wrapText="1"/>
    </xf>
    <xf numFmtId="0" fontId="2" fillId="0" borderId="0" xfId="28" applyFont="1" applyAlignment="1">
      <alignment horizontal="center"/>
    </xf>
    <xf numFmtId="0" fontId="2" fillId="0" borderId="0" xfId="28" applyFont="1" applyAlignment="1">
      <alignment horizontal="center" vertical="center" wrapText="1"/>
    </xf>
    <xf numFmtId="0" fontId="28" fillId="0" borderId="0" xfId="0" applyFont="1" applyAlignment="1">
      <alignment horizontal="left" wrapText="1"/>
    </xf>
    <xf numFmtId="0" fontId="28" fillId="0" borderId="0" xfId="28" applyFont="1" applyAlignment="1">
      <alignment horizontal="center" vertical="center" wrapText="1"/>
    </xf>
    <xf numFmtId="0" fontId="3" fillId="0" borderId="0" xfId="28" applyFont="1" applyAlignment="1">
      <alignment horizontal="center" vertical="center" wrapText="1"/>
    </xf>
    <xf numFmtId="0" fontId="28" fillId="0" borderId="0" xfId="28" applyFont="1" applyBorder="1" applyAlignment="1">
      <alignment horizontal="justify" vertical="top" wrapText="1"/>
    </xf>
    <xf numFmtId="0" fontId="3" fillId="0" borderId="0" xfId="28" applyFont="1" applyBorder="1" applyAlignment="1">
      <alignment horizontal="justify" vertical="top" wrapText="1"/>
    </xf>
    <xf numFmtId="49" fontId="3" fillId="0" borderId="0" xfId="28" applyNumberFormat="1" applyFont="1" applyFill="1" applyBorder="1" applyAlignment="1">
      <alignment horizontal="justify" vertical="center" wrapText="1"/>
    </xf>
    <xf numFmtId="0" fontId="23" fillId="0" borderId="0" xfId="28" applyFont="1" applyBorder="1" applyAlignment="1">
      <alignment horizontal="center" vertical="top" wrapText="1"/>
    </xf>
    <xf numFmtId="0" fontId="28" fillId="0" borderId="0" xfId="80" applyFont="1" applyAlignment="1">
      <alignment horizontal="left" vertical="center" wrapText="1"/>
    </xf>
    <xf numFmtId="0" fontId="23" fillId="0" borderId="0" xfId="15" applyFont="1" applyAlignment="1">
      <alignment horizontal="center"/>
    </xf>
    <xf numFmtId="0" fontId="23" fillId="0" borderId="0" xfId="15" applyFont="1" applyAlignment="1">
      <alignment horizontal="left" vertical="center" wrapText="1"/>
    </xf>
    <xf numFmtId="0" fontId="93" fillId="0" borderId="0" xfId="15" applyFont="1" applyFill="1" applyAlignment="1">
      <alignment horizontal="left" vertical="center" wrapText="1"/>
    </xf>
    <xf numFmtId="0" fontId="23" fillId="0" borderId="0" xfId="15" applyFont="1" applyAlignment="1">
      <alignment horizontal="center" vertical="center" wrapText="1"/>
    </xf>
    <xf numFmtId="0" fontId="28" fillId="0" borderId="0" xfId="15" applyFont="1" applyAlignment="1">
      <alignment horizontal="center" vertical="center"/>
    </xf>
    <xf numFmtId="0" fontId="28" fillId="0" borderId="0" xfId="0" applyFont="1" applyAlignment="1">
      <alignment horizontal="left" vertical="center" wrapText="1"/>
    </xf>
    <xf numFmtId="0" fontId="5" fillId="0" borderId="0" xfId="28" applyFont="1" applyBorder="1" applyAlignment="1">
      <alignment horizontal="left" vertical="center" wrapText="1"/>
    </xf>
    <xf numFmtId="49" fontId="28" fillId="0" borderId="0" xfId="28" applyNumberFormat="1" applyFont="1" applyFill="1" applyBorder="1" applyAlignment="1">
      <alignment horizontal="justify" vertical="center" wrapText="1"/>
    </xf>
    <xf numFmtId="0" fontId="102" fillId="0" borderId="0" xfId="28" applyFont="1" applyBorder="1" applyAlignment="1">
      <alignment horizontal="center" vertical="top" wrapText="1"/>
    </xf>
    <xf numFmtId="0" fontId="2" fillId="0" borderId="0" xfId="28" applyFont="1" applyAlignment="1">
      <alignment horizontal="center" vertical="center"/>
    </xf>
    <xf numFmtId="0" fontId="3" fillId="0" borderId="0" xfId="45" applyFont="1" applyBorder="1" applyAlignment="1">
      <alignment horizontal="right" vertical="center"/>
    </xf>
    <xf numFmtId="49" fontId="28" fillId="0" borderId="0" xfId="15" applyNumberFormat="1" applyFont="1" applyAlignment="1">
      <alignment horizontal="left" vertical="center" wrapText="1"/>
    </xf>
    <xf numFmtId="49" fontId="5" fillId="2" borderId="0" xfId="15" applyNumberFormat="1" applyFont="1" applyFill="1" applyAlignment="1">
      <alignment horizontal="left" wrapText="1"/>
    </xf>
    <xf numFmtId="0" fontId="28" fillId="0" borderId="0" xfId="15" applyFont="1" applyAlignment="1">
      <alignment horizontal="center"/>
    </xf>
    <xf numFmtId="0" fontId="5" fillId="0" borderId="0" xfId="28" applyFont="1" applyFill="1" applyBorder="1" applyAlignment="1">
      <alignment horizontal="left" indent="3"/>
    </xf>
    <xf numFmtId="49" fontId="5" fillId="0" borderId="0" xfId="15" applyNumberFormat="1" applyFont="1" applyAlignment="1">
      <alignment horizontal="left" vertical="top" wrapText="1"/>
    </xf>
    <xf numFmtId="49" fontId="5" fillId="2" borderId="0" xfId="15" applyNumberFormat="1" applyFont="1" applyFill="1" applyAlignment="1">
      <alignment horizontal="left" vertical="center" wrapText="1"/>
    </xf>
    <xf numFmtId="49" fontId="5" fillId="2" borderId="0" xfId="15" quotePrefix="1" applyNumberFormat="1" applyFont="1" applyFill="1" applyAlignment="1">
      <alignment horizontal="left" vertical="center" wrapText="1"/>
    </xf>
    <xf numFmtId="0" fontId="21" fillId="0" borderId="58" xfId="28" applyBorder="1" applyAlignment="1">
      <alignment horizontal="center" vertical="center"/>
    </xf>
    <xf numFmtId="0" fontId="21" fillId="0" borderId="0" xfId="28" applyAlignment="1">
      <alignment horizontal="center" vertical="center"/>
    </xf>
    <xf numFmtId="0" fontId="2" fillId="0" borderId="0" xfId="28" quotePrefix="1" applyFont="1" applyAlignment="1">
      <alignment horizontal="center" vertical="center" wrapText="1"/>
    </xf>
    <xf numFmtId="0" fontId="3" fillId="8" borderId="8" xfId="28" applyFont="1" applyFill="1" applyBorder="1" applyAlignment="1">
      <alignment horizontal="center" vertical="center" wrapText="1"/>
    </xf>
    <xf numFmtId="0" fontId="21" fillId="0" borderId="73" xfId="28" applyBorder="1" applyAlignment="1">
      <alignment horizontal="center" vertical="center" wrapText="1"/>
    </xf>
    <xf numFmtId="0" fontId="21" fillId="0" borderId="44" xfId="28" applyBorder="1" applyAlignment="1">
      <alignment horizontal="center" vertical="center"/>
    </xf>
    <xf numFmtId="0" fontId="21" fillId="0" borderId="107" xfId="28" applyBorder="1" applyAlignment="1">
      <alignment horizontal="center" vertical="center"/>
    </xf>
    <xf numFmtId="0" fontId="21" fillId="0" borderId="88" xfId="28" applyBorder="1" applyAlignment="1">
      <alignment horizontal="center" vertical="center"/>
    </xf>
    <xf numFmtId="0" fontId="3" fillId="8" borderId="73" xfId="28" applyFont="1" applyFill="1" applyBorder="1" applyAlignment="1">
      <alignment horizontal="center" vertical="center" wrapText="1"/>
    </xf>
    <xf numFmtId="0" fontId="28" fillId="0" borderId="0" xfId="28" applyFont="1" applyAlignment="1">
      <alignment horizontal="left" vertical="top" wrapText="1"/>
    </xf>
    <xf numFmtId="0" fontId="28" fillId="0" borderId="91" xfId="28" applyFont="1" applyBorder="1" applyAlignment="1">
      <alignment horizontal="center" vertical="center" wrapText="1"/>
    </xf>
    <xf numFmtId="0" fontId="28" fillId="0" borderId="106" xfId="0" applyFont="1" applyBorder="1" applyAlignment="1">
      <alignment horizontal="center"/>
    </xf>
    <xf numFmtId="0" fontId="28" fillId="0" borderId="108" xfId="0" applyFont="1" applyBorder="1" applyAlignment="1">
      <alignment horizontal="center"/>
    </xf>
    <xf numFmtId="0" fontId="28" fillId="0" borderId="110" xfId="0" applyFont="1" applyBorder="1" applyAlignment="1">
      <alignment horizontal="center"/>
    </xf>
    <xf numFmtId="0" fontId="28" fillId="0" borderId="109" xfId="0" applyFont="1" applyBorder="1" applyAlignment="1">
      <alignment horizontal="center"/>
    </xf>
    <xf numFmtId="0" fontId="28" fillId="5" borderId="106" xfId="0" applyFont="1" applyFill="1" applyBorder="1" applyAlignment="1">
      <alignment horizontal="left" vertical="top" wrapText="1"/>
    </xf>
    <xf numFmtId="0" fontId="28" fillId="0" borderId="106" xfId="0" applyFont="1" applyBorder="1" applyAlignment="1">
      <alignment horizontal="left" wrapText="1"/>
    </xf>
    <xf numFmtId="0" fontId="28" fillId="5" borderId="106" xfId="0" applyFont="1" applyFill="1" applyBorder="1" applyAlignment="1">
      <alignment horizontal="left" vertical="center"/>
    </xf>
    <xf numFmtId="0" fontId="28" fillId="7" borderId="73" xfId="28" applyFont="1" applyFill="1" applyBorder="1" applyAlignment="1">
      <alignment horizontal="center" vertical="center" wrapText="1"/>
    </xf>
    <xf numFmtId="0" fontId="23" fillId="0" borderId="0" xfId="28" applyFont="1" applyAlignment="1">
      <alignment horizontal="center" vertical="center" wrapText="1"/>
    </xf>
    <xf numFmtId="0" fontId="23" fillId="0" borderId="0" xfId="28" quotePrefix="1" applyFont="1" applyAlignment="1">
      <alignment horizontal="left" vertical="center" wrapText="1"/>
    </xf>
    <xf numFmtId="0" fontId="28" fillId="0" borderId="0" xfId="28" applyFont="1" applyAlignment="1">
      <alignment horizontal="left" vertical="center" wrapText="1"/>
    </xf>
    <xf numFmtId="0" fontId="3" fillId="0" borderId="0" xfId="28" applyFont="1" applyAlignment="1">
      <alignment horizontal="center" wrapText="1"/>
    </xf>
    <xf numFmtId="0" fontId="28" fillId="0" borderId="0" xfId="28" applyFont="1" applyAlignment="1">
      <alignment horizontal="left" wrapText="1"/>
    </xf>
    <xf numFmtId="0" fontId="28" fillId="7" borderId="44" xfId="28" applyFont="1" applyFill="1" applyBorder="1" applyAlignment="1">
      <alignment horizontal="center" vertical="center"/>
    </xf>
    <xf numFmtId="0" fontId="28" fillId="7" borderId="88" xfId="28" applyFont="1" applyFill="1" applyBorder="1" applyAlignment="1">
      <alignment horizontal="center" vertical="center"/>
    </xf>
    <xf numFmtId="0" fontId="28" fillId="7" borderId="44" xfId="28" applyFont="1" applyFill="1" applyBorder="1" applyAlignment="1">
      <alignment horizontal="center" vertical="center" wrapText="1"/>
    </xf>
    <xf numFmtId="0" fontId="28" fillId="7" borderId="88" xfId="28" applyFont="1" applyFill="1" applyBorder="1" applyAlignment="1">
      <alignment horizontal="center" vertical="center" wrapText="1"/>
    </xf>
    <xf numFmtId="0" fontId="28" fillId="2" borderId="108" xfId="0" applyFont="1" applyFill="1" applyBorder="1" applyAlignment="1">
      <alignment horizontal="center" vertical="center" wrapText="1"/>
    </xf>
    <xf numFmtId="0" fontId="28" fillId="2" borderId="110" xfId="0" applyFont="1" applyFill="1" applyBorder="1" applyAlignment="1">
      <alignment horizontal="center" vertical="center" wrapText="1"/>
    </xf>
    <xf numFmtId="0" fontId="28" fillId="2" borderId="109" xfId="0" applyFont="1" applyFill="1" applyBorder="1" applyAlignment="1">
      <alignment horizontal="center" vertical="center" wrapText="1"/>
    </xf>
    <xf numFmtId="0" fontId="28" fillId="5" borderId="108" xfId="0" applyFont="1" applyFill="1" applyBorder="1" applyAlignment="1">
      <alignment horizontal="left" vertical="center" wrapText="1"/>
    </xf>
    <xf numFmtId="0" fontId="28" fillId="5" borderId="109" xfId="0" applyFont="1" applyFill="1" applyBorder="1" applyAlignment="1">
      <alignment horizontal="left" vertical="center" wrapText="1"/>
    </xf>
    <xf numFmtId="0" fontId="23" fillId="6" borderId="0" xfId="15" applyFont="1" applyFill="1" applyAlignment="1">
      <alignment horizontal="center" vertical="center" wrapText="1"/>
    </xf>
    <xf numFmtId="0" fontId="28" fillId="6" borderId="0" xfId="15" applyFont="1" applyFill="1" applyAlignment="1">
      <alignment horizontal="left" vertical="top" wrapText="1"/>
    </xf>
    <xf numFmtId="0" fontId="28" fillId="6" borderId="0" xfId="15" applyFont="1" applyFill="1" applyAlignment="1">
      <alignment horizontal="left" vertical="top"/>
    </xf>
    <xf numFmtId="0" fontId="23" fillId="6" borderId="0" xfId="15" quotePrefix="1" applyFont="1" applyFill="1" applyAlignment="1">
      <alignment horizontal="left" vertical="top" wrapText="1"/>
    </xf>
    <xf numFmtId="0" fontId="23" fillId="6" borderId="0" xfId="15" applyFont="1" applyFill="1" applyAlignment="1">
      <alignment horizontal="left" vertical="top" wrapText="1"/>
    </xf>
    <xf numFmtId="0" fontId="28" fillId="6" borderId="0" xfId="15" applyFont="1" applyFill="1" applyAlignment="1">
      <alignment horizontal="left" vertical="center" wrapText="1"/>
    </xf>
    <xf numFmtId="0" fontId="23" fillId="6" borderId="0" xfId="15" applyFont="1" applyFill="1" applyAlignment="1">
      <alignment horizontal="left" vertical="center" wrapText="1"/>
    </xf>
    <xf numFmtId="0" fontId="2" fillId="6" borderId="0" xfId="10" applyFont="1" applyFill="1" applyAlignment="1">
      <alignment horizontal="left" vertical="center"/>
    </xf>
    <xf numFmtId="49" fontId="23" fillId="7" borderId="11" xfId="15" applyNumberFormat="1" applyFont="1" applyFill="1" applyBorder="1" applyAlignment="1">
      <alignment horizontal="center" vertical="center" wrapText="1"/>
    </xf>
    <xf numFmtId="49" fontId="23" fillId="7" borderId="13" xfId="15" applyNumberFormat="1" applyFont="1" applyFill="1" applyBorder="1" applyAlignment="1">
      <alignment horizontal="center" vertical="center" wrapText="1"/>
    </xf>
    <xf numFmtId="49" fontId="23" fillId="7" borderId="12" xfId="15" applyNumberFormat="1" applyFont="1" applyFill="1" applyBorder="1" applyAlignment="1">
      <alignment horizontal="center" vertical="center" wrapText="1"/>
    </xf>
    <xf numFmtId="0" fontId="23" fillId="7" borderId="8" xfId="15" applyFont="1" applyFill="1" applyBorder="1" applyAlignment="1">
      <alignment horizontal="center"/>
    </xf>
    <xf numFmtId="0" fontId="23" fillId="6" borderId="27" xfId="15" applyFont="1" applyFill="1" applyBorder="1" applyAlignment="1">
      <alignment horizontal="center" vertical="center" wrapText="1"/>
    </xf>
    <xf numFmtId="0" fontId="23" fillId="6" borderId="14" xfId="15" applyFont="1" applyFill="1" applyBorder="1" applyAlignment="1">
      <alignment horizontal="center" vertical="center" wrapText="1"/>
    </xf>
    <xf numFmtId="0" fontId="23" fillId="6" borderId="20" xfId="15" applyFont="1" applyFill="1" applyBorder="1" applyAlignment="1">
      <alignment horizontal="center" vertical="center" wrapText="1"/>
    </xf>
    <xf numFmtId="49" fontId="23" fillId="6" borderId="9" xfId="15" applyNumberFormat="1" applyFont="1" applyFill="1" applyBorder="1" applyAlignment="1">
      <alignment horizontal="right" vertical="center" wrapText="1"/>
    </xf>
    <xf numFmtId="49" fontId="23" fillId="6" borderId="28" xfId="15" applyNumberFormat="1" applyFont="1" applyFill="1" applyBorder="1" applyAlignment="1">
      <alignment horizontal="right" vertical="center" wrapText="1"/>
    </xf>
    <xf numFmtId="49" fontId="23" fillId="6" borderId="26" xfId="15" applyNumberFormat="1" applyFont="1" applyFill="1" applyBorder="1" applyAlignment="1">
      <alignment horizontal="right" vertical="center" wrapText="1"/>
    </xf>
    <xf numFmtId="0" fontId="23" fillId="6" borderId="106" xfId="15" applyFont="1" applyFill="1" applyBorder="1" applyAlignment="1">
      <alignment horizontal="center" vertical="center" wrapText="1"/>
    </xf>
    <xf numFmtId="49" fontId="23" fillId="7" borderId="9" xfId="15" applyNumberFormat="1" applyFont="1" applyFill="1" applyBorder="1" applyAlignment="1">
      <alignment horizontal="right" vertical="center" wrapText="1"/>
    </xf>
    <xf numFmtId="49" fontId="23" fillId="7" borderId="28" xfId="15" applyNumberFormat="1" applyFont="1" applyFill="1" applyBorder="1" applyAlignment="1">
      <alignment horizontal="right" vertical="center" wrapText="1"/>
    </xf>
    <xf numFmtId="49" fontId="23" fillId="7" borderId="26" xfId="15" applyNumberFormat="1" applyFont="1" applyFill="1" applyBorder="1" applyAlignment="1">
      <alignment horizontal="right" vertical="center" wrapText="1"/>
    </xf>
    <xf numFmtId="0" fontId="23" fillId="6" borderId="9" xfId="15" applyFont="1" applyFill="1" applyBorder="1" applyAlignment="1">
      <alignment horizontal="center" vertical="center" wrapText="1"/>
    </xf>
    <xf numFmtId="0" fontId="23" fillId="6" borderId="28" xfId="15" applyFont="1" applyFill="1" applyBorder="1" applyAlignment="1">
      <alignment horizontal="center" vertical="center" wrapText="1"/>
    </xf>
    <xf numFmtId="0" fontId="2" fillId="0" borderId="0" xfId="17" quotePrefix="1" applyFont="1" applyFill="1" applyAlignment="1">
      <alignment horizontal="center" vertical="center" wrapText="1"/>
    </xf>
    <xf numFmtId="0" fontId="3" fillId="0" borderId="0" xfId="16" applyFont="1" applyFill="1" applyAlignment="1">
      <alignment wrapText="1"/>
    </xf>
    <xf numFmtId="0" fontId="3" fillId="0" borderId="0" xfId="18" quotePrefix="1" applyFont="1" applyFill="1" applyAlignment="1">
      <alignment horizontal="center" vertical="top" wrapText="1"/>
    </xf>
    <xf numFmtId="0" fontId="2" fillId="0" borderId="0" xfId="19" quotePrefix="1" applyFont="1" applyFill="1" applyAlignment="1">
      <alignment horizontal="left" vertical="top" wrapText="1"/>
    </xf>
    <xf numFmtId="0" fontId="2" fillId="0" borderId="0" xfId="20" quotePrefix="1" applyFont="1" applyFill="1" applyAlignment="1">
      <alignment horizontal="left" vertical="top" wrapText="1"/>
    </xf>
    <xf numFmtId="0" fontId="2" fillId="0" borderId="0" xfId="16" applyFont="1" applyFill="1" applyAlignment="1">
      <alignment wrapText="1"/>
    </xf>
    <xf numFmtId="0" fontId="3" fillId="0" borderId="0" xfId="21" quotePrefix="1" applyFont="1" applyFill="1" applyAlignment="1">
      <alignment horizontal="left" vertical="center" wrapText="1"/>
    </xf>
    <xf numFmtId="4" fontId="3" fillId="0" borderId="11" xfId="26" applyNumberFormat="1" applyFont="1" applyFill="1" applyBorder="1" applyAlignment="1">
      <alignment horizontal="center" vertical="center" wrapText="1"/>
    </xf>
    <xf numFmtId="4" fontId="3" fillId="0" borderId="13" xfId="26" applyNumberFormat="1" applyFont="1" applyFill="1" applyBorder="1" applyAlignment="1">
      <alignment horizontal="center" vertical="center" wrapText="1"/>
    </xf>
    <xf numFmtId="4" fontId="3" fillId="0" borderId="12" xfId="26" applyNumberFormat="1" applyFont="1" applyFill="1" applyBorder="1" applyAlignment="1">
      <alignment horizontal="center" vertical="center" wrapText="1"/>
    </xf>
    <xf numFmtId="0" fontId="3" fillId="0" borderId="8" xfId="24" quotePrefix="1" applyFont="1" applyFill="1" applyBorder="1" applyAlignment="1">
      <alignment horizontal="center" vertical="center" wrapText="1"/>
    </xf>
    <xf numFmtId="0" fontId="3" fillId="0" borderId="8" xfId="10" applyFont="1" applyBorder="1" applyAlignment="1">
      <alignment horizontal="center" wrapText="1"/>
    </xf>
    <xf numFmtId="0" fontId="3" fillId="0" borderId="8" xfId="24" quotePrefix="1" applyFont="1" applyFill="1" applyBorder="1" applyAlignment="1">
      <alignment horizontal="left" vertical="center" wrapText="1"/>
    </xf>
    <xf numFmtId="0" fontId="3" fillId="0" borderId="8" xfId="10" applyFont="1" applyBorder="1" applyAlignment="1">
      <alignment horizontal="left" vertical="center" wrapText="1"/>
    </xf>
    <xf numFmtId="0" fontId="3" fillId="0" borderId="9" xfId="25" quotePrefix="1" applyFont="1" applyFill="1" applyBorder="1" applyAlignment="1">
      <alignment horizontal="left" vertical="top" wrapText="1"/>
    </xf>
    <xf numFmtId="0" fontId="3" fillId="0" borderId="28" xfId="25" quotePrefix="1" applyFont="1" applyFill="1" applyBorder="1" applyAlignment="1">
      <alignment horizontal="left" vertical="top" wrapText="1"/>
    </xf>
    <xf numFmtId="0" fontId="3" fillId="0" borderId="26" xfId="25" quotePrefix="1" applyFont="1" applyFill="1" applyBorder="1" applyAlignment="1">
      <alignment horizontal="left" vertical="top" wrapText="1"/>
    </xf>
    <xf numFmtId="0" fontId="2" fillId="0" borderId="0" xfId="22" quotePrefix="1" applyFont="1" applyFill="1" applyAlignment="1">
      <alignment horizontal="left" vertical="center" wrapText="1"/>
    </xf>
    <xf numFmtId="0" fontId="3" fillId="0" borderId="0" xfId="20" quotePrefix="1" applyFont="1" applyFill="1" applyAlignment="1">
      <alignment horizontal="left" vertical="top" wrapText="1"/>
    </xf>
    <xf numFmtId="0" fontId="3" fillId="0" borderId="8" xfId="23" quotePrefix="1" applyFont="1" applyFill="1" applyBorder="1" applyAlignment="1">
      <alignment horizontal="center" vertical="center" wrapText="1"/>
    </xf>
    <xf numFmtId="0" fontId="3" fillId="0" borderId="8" xfId="10" applyFont="1" applyBorder="1" applyAlignment="1">
      <alignment horizontal="center" vertical="center" wrapText="1"/>
    </xf>
    <xf numFmtId="0" fontId="3" fillId="0" borderId="11" xfId="24" quotePrefix="1" applyFont="1" applyFill="1" applyBorder="1" applyAlignment="1">
      <alignment horizontal="center" vertical="center" wrapText="1"/>
    </xf>
    <xf numFmtId="0" fontId="3" fillId="0" borderId="13" xfId="24" quotePrefix="1" applyFont="1" applyFill="1" applyBorder="1" applyAlignment="1">
      <alignment horizontal="center" vertical="center" wrapText="1"/>
    </xf>
    <xf numFmtId="0" fontId="3" fillId="0" borderId="12" xfId="24" quotePrefix="1" applyFont="1" applyFill="1" applyBorder="1" applyAlignment="1">
      <alignment horizontal="center" vertical="center" wrapText="1"/>
    </xf>
    <xf numFmtId="0" fontId="57" fillId="0" borderId="35" xfId="52" applyNumberFormat="1" applyFont="1" applyFill="1" applyBorder="1" applyAlignment="1" applyProtection="1">
      <alignment horizontal="left" vertical="top" wrapText="1"/>
    </xf>
    <xf numFmtId="0" fontId="53" fillId="0" borderId="35" xfId="52" applyNumberFormat="1" applyFont="1" applyFill="1" applyBorder="1" applyAlignment="1" applyProtection="1">
      <alignment horizontal="left" vertical="top" wrapText="1"/>
    </xf>
    <xf numFmtId="0" fontId="60" fillId="0" borderId="37" xfId="52" applyNumberFormat="1" applyFont="1" applyFill="1" applyBorder="1" applyAlignment="1" applyProtection="1">
      <alignment horizontal="left" vertical="top" wrapText="1"/>
    </xf>
    <xf numFmtId="0" fontId="54" fillId="0" borderId="35" xfId="52" applyNumberFormat="1" applyFont="1" applyFill="1" applyBorder="1" applyAlignment="1" applyProtection="1">
      <alignment horizontal="left" vertical="top" wrapText="1"/>
    </xf>
    <xf numFmtId="0" fontId="54" fillId="0" borderId="44" xfId="52" applyNumberFormat="1" applyFont="1" applyFill="1" applyBorder="1" applyAlignment="1" applyProtection="1">
      <alignment vertical="top" wrapText="1"/>
    </xf>
    <xf numFmtId="0" fontId="54" fillId="0" borderId="37" xfId="52" applyNumberFormat="1" applyFont="1" applyFill="1" applyBorder="1" applyAlignment="1" applyProtection="1">
      <alignment vertical="top" wrapText="1"/>
    </xf>
    <xf numFmtId="0" fontId="57" fillId="0" borderId="42" xfId="52" applyNumberFormat="1" applyFont="1" applyFill="1" applyBorder="1" applyAlignment="1" applyProtection="1">
      <alignment horizontal="left" vertical="top" wrapText="1"/>
    </xf>
    <xf numFmtId="0" fontId="54" fillId="0" borderId="13" xfId="52" applyNumberFormat="1" applyFont="1" applyFill="1" applyBorder="1" applyAlignment="1" applyProtection="1">
      <alignment vertical="top" wrapText="1"/>
    </xf>
    <xf numFmtId="0" fontId="53" fillId="0" borderId="36" xfId="52" applyNumberFormat="1" applyFont="1" applyFill="1" applyBorder="1" applyAlignment="1" applyProtection="1">
      <alignment horizontal="left" vertical="top" wrapText="1"/>
    </xf>
    <xf numFmtId="0" fontId="60" fillId="0" borderId="39" xfId="52" applyNumberFormat="1" applyFont="1" applyFill="1" applyBorder="1" applyAlignment="1" applyProtection="1">
      <alignment horizontal="left" vertical="top" wrapText="1"/>
    </xf>
    <xf numFmtId="0" fontId="54" fillId="0" borderId="42" xfId="52" applyNumberFormat="1" applyFont="1" applyFill="1" applyBorder="1" applyAlignment="1" applyProtection="1">
      <alignment horizontal="left" vertical="top" wrapText="1"/>
    </xf>
    <xf numFmtId="0" fontId="58" fillId="0" borderId="0" xfId="52" applyNumberFormat="1" applyFont="1" applyFill="1" applyBorder="1" applyAlignment="1" applyProtection="1">
      <alignment horizontal="center" vertical="top"/>
    </xf>
    <xf numFmtId="0" fontId="53" fillId="0" borderId="0" xfId="52" applyNumberFormat="1" applyFont="1" applyFill="1" applyBorder="1" applyAlignment="1" applyProtection="1">
      <alignment horizontal="left" vertical="top" wrapText="1"/>
    </xf>
    <xf numFmtId="0" fontId="56" fillId="0" borderId="38" xfId="52" applyNumberFormat="1" applyFont="1" applyFill="1" applyBorder="1" applyAlignment="1" applyProtection="1">
      <alignment horizontal="center" vertical="top" wrapText="1"/>
    </xf>
    <xf numFmtId="0" fontId="56" fillId="0" borderId="0" xfId="52" applyNumberFormat="1" applyFont="1" applyFill="1" applyBorder="1" applyAlignment="1" applyProtection="1">
      <alignment horizontal="center" vertical="top" wrapText="1"/>
    </xf>
    <xf numFmtId="0" fontId="57" fillId="0" borderId="0" xfId="52" applyNumberFormat="1" applyFont="1" applyFill="1" applyBorder="1" applyAlignment="1" applyProtection="1">
      <alignment horizontal="center" wrapText="1"/>
    </xf>
    <xf numFmtId="0" fontId="57" fillId="0" borderId="0" xfId="52" applyNumberFormat="1" applyFont="1" applyFill="1" applyBorder="1" applyAlignment="1" applyProtection="1">
      <alignment horizontal="center"/>
    </xf>
    <xf numFmtId="0" fontId="53" fillId="0" borderId="0" xfId="52" applyNumberFormat="1" applyFont="1" applyFill="1" applyBorder="1" applyAlignment="1" applyProtection="1">
      <alignment horizontal="center"/>
    </xf>
    <xf numFmtId="0" fontId="57" fillId="0" borderId="36" xfId="52" applyNumberFormat="1" applyFont="1" applyFill="1" applyBorder="1" applyAlignment="1" applyProtection="1">
      <alignment horizontal="center" vertical="top" wrapText="1"/>
    </xf>
    <xf numFmtId="0" fontId="11" fillId="0" borderId="0" xfId="81" applyFont="1" applyAlignment="1">
      <alignment horizontal="center" vertical="top" wrapText="1"/>
    </xf>
    <xf numFmtId="0" fontId="17" fillId="0" borderId="106" xfId="81" applyFont="1" applyBorder="1" applyAlignment="1">
      <alignment horizontal="left" vertical="top" wrapText="1"/>
    </xf>
    <xf numFmtId="4" fontId="17" fillId="0" borderId="106" xfId="81" applyNumberFormat="1" applyFont="1" applyBorder="1" applyAlignment="1">
      <alignment horizontal="right" vertical="top" wrapText="1"/>
    </xf>
    <xf numFmtId="0" fontId="10" fillId="0" borderId="0" xfId="81" applyFont="1" applyAlignment="1">
      <alignment horizontal="left" vertical="top" wrapText="1"/>
    </xf>
    <xf numFmtId="4" fontId="10" fillId="0" borderId="0" xfId="81" applyNumberFormat="1" applyFont="1" applyAlignment="1">
      <alignment horizontal="left" vertical="top" wrapText="1"/>
    </xf>
    <xf numFmtId="0" fontId="10" fillId="0" borderId="91" xfId="81" applyFont="1" applyBorder="1" applyAlignment="1">
      <alignment horizontal="center" vertical="top" wrapText="1"/>
    </xf>
    <xf numFmtId="0" fontId="10" fillId="0" borderId="0" xfId="81" applyFont="1" applyAlignment="1">
      <alignment horizontal="center" vertical="top" wrapText="1"/>
    </xf>
    <xf numFmtId="0" fontId="17" fillId="0" borderId="44" xfId="81" applyFont="1" applyBorder="1" applyAlignment="1">
      <alignment horizontal="left" vertical="top" wrapText="1"/>
    </xf>
    <xf numFmtId="0" fontId="10" fillId="0" borderId="44" xfId="81" applyFont="1" applyBorder="1" applyAlignment="1">
      <alignment horizontal="left" vertical="top" wrapText="1"/>
    </xf>
    <xf numFmtId="4" fontId="10" fillId="0" borderId="44" xfId="81" applyNumberFormat="1" applyFont="1" applyBorder="1" applyAlignment="1">
      <alignment horizontal="right" vertical="top" wrapText="1"/>
    </xf>
    <xf numFmtId="0" fontId="17" fillId="0" borderId="102" xfId="81" applyFont="1" applyBorder="1" applyAlignment="1">
      <alignment horizontal="left" vertical="top" wrapText="1"/>
    </xf>
    <xf numFmtId="0" fontId="10" fillId="0" borderId="102" xfId="81" applyFont="1" applyBorder="1" applyAlignment="1">
      <alignment horizontal="left" vertical="top" wrapText="1"/>
    </xf>
    <xf numFmtId="0" fontId="10" fillId="0" borderId="106" xfId="81" applyFont="1" applyBorder="1" applyAlignment="1">
      <alignment horizontal="center" vertical="center" wrapText="1"/>
    </xf>
    <xf numFmtId="0" fontId="119" fillId="0" borderId="0" xfId="81" applyFont="1" applyAlignment="1">
      <alignment horizontal="left" vertical="top" wrapText="1"/>
    </xf>
    <xf numFmtId="0" fontId="10" fillId="0" borderId="0" xfId="81" applyFont="1" applyAlignment="1">
      <alignment horizontal="right" vertical="top" wrapText="1"/>
    </xf>
    <xf numFmtId="0" fontId="17" fillId="0" borderId="0" xfId="81" applyFont="1" applyAlignment="1">
      <alignment horizontal="center" vertical="top" wrapText="1"/>
    </xf>
    <xf numFmtId="0" fontId="10" fillId="0" borderId="73" xfId="81" applyFont="1" applyBorder="1" applyAlignment="1">
      <alignment horizontal="center" vertical="center" wrapText="1"/>
    </xf>
    <xf numFmtId="0" fontId="17" fillId="0" borderId="73" xfId="81" applyFont="1" applyBorder="1" applyAlignment="1">
      <alignment horizontal="left" vertical="top" wrapText="1"/>
    </xf>
    <xf numFmtId="0" fontId="17" fillId="0" borderId="107" xfId="81" applyFont="1" applyBorder="1" applyAlignment="1">
      <alignment horizontal="left" vertical="top" wrapText="1"/>
    </xf>
    <xf numFmtId="0" fontId="10" fillId="0" borderId="107" xfId="81" applyFont="1" applyBorder="1" applyAlignment="1">
      <alignment horizontal="left" vertical="top" wrapText="1"/>
    </xf>
    <xf numFmtId="4" fontId="17" fillId="0" borderId="73" xfId="81" applyNumberFormat="1" applyFont="1" applyBorder="1" applyAlignment="1">
      <alignment horizontal="right" vertical="top" wrapText="1"/>
    </xf>
    <xf numFmtId="0" fontId="10" fillId="0" borderId="73" xfId="81" applyFont="1" applyBorder="1" applyAlignment="1">
      <alignment horizontal="left" vertical="top" wrapText="1"/>
    </xf>
    <xf numFmtId="0" fontId="17" fillId="0" borderId="0" xfId="81" applyFont="1" applyAlignment="1">
      <alignment horizontal="center" vertical="center" wrapText="1"/>
    </xf>
    <xf numFmtId="0" fontId="10" fillId="0" borderId="0" xfId="81" applyFont="1" applyAlignment="1">
      <alignment horizontal="center" vertical="center" wrapText="1"/>
    </xf>
    <xf numFmtId="0" fontId="86" fillId="0" borderId="0" xfId="81" applyFont="1" applyAlignment="1">
      <alignment horizontal="left" vertical="top" wrapText="1"/>
    </xf>
    <xf numFmtId="0" fontId="10" fillId="0" borderId="106" xfId="81" applyFont="1" applyBorder="1" applyAlignment="1">
      <alignment horizontal="left" vertical="top" wrapText="1"/>
    </xf>
    <xf numFmtId="4" fontId="10" fillId="0" borderId="106" xfId="81" applyNumberFormat="1" applyFont="1" applyBorder="1" applyAlignment="1">
      <alignment horizontal="right" vertical="top" wrapText="1"/>
    </xf>
    <xf numFmtId="0" fontId="10" fillId="0" borderId="0" xfId="61" applyAlignment="1">
      <alignment horizontal="left" vertical="top" wrapText="1"/>
    </xf>
    <xf numFmtId="0" fontId="86" fillId="0" borderId="0" xfId="61" applyFont="1" applyAlignment="1">
      <alignment horizontal="left" vertical="top" wrapText="1"/>
    </xf>
    <xf numFmtId="0" fontId="17" fillId="0" borderId="0" xfId="61" applyFont="1" applyFill="1" applyAlignment="1">
      <alignment horizontal="center" vertical="top" wrapText="1"/>
    </xf>
    <xf numFmtId="0" fontId="85" fillId="0" borderId="0" xfId="61" applyFont="1" applyAlignment="1">
      <alignment horizontal="center" vertical="center"/>
    </xf>
    <xf numFmtId="0" fontId="17" fillId="0" borderId="0" xfId="61" applyFont="1" applyAlignment="1">
      <alignment horizontal="center" wrapText="1"/>
    </xf>
    <xf numFmtId="0" fontId="17" fillId="0" borderId="83" xfId="61" applyFont="1" applyFill="1" applyBorder="1" applyAlignment="1">
      <alignment horizontal="left" vertical="top" wrapText="1"/>
    </xf>
    <xf numFmtId="0" fontId="17" fillId="0" borderId="89" xfId="61" applyFont="1" applyFill="1" applyBorder="1" applyAlignment="1">
      <alignment horizontal="left" vertical="top" wrapText="1"/>
    </xf>
    <xf numFmtId="0" fontId="17" fillId="0" borderId="90" xfId="61" applyFont="1" applyFill="1" applyBorder="1" applyAlignment="1">
      <alignment horizontal="left" vertical="top" wrapText="1"/>
    </xf>
    <xf numFmtId="0" fontId="10" fillId="0" borderId="0" xfId="61" applyAlignment="1">
      <alignment horizontal="left" vertical="top"/>
    </xf>
    <xf numFmtId="0" fontId="10" fillId="0" borderId="76" xfId="61" applyBorder="1" applyAlignment="1">
      <alignment horizontal="center" vertical="center" wrapText="1"/>
    </xf>
    <xf numFmtId="0" fontId="10" fillId="0" borderId="80" xfId="61" applyBorder="1" applyAlignment="1">
      <alignment horizontal="center" vertical="center" wrapText="1"/>
    </xf>
    <xf numFmtId="0" fontId="10" fillId="0" borderId="77" xfId="61" applyBorder="1" applyAlignment="1">
      <alignment horizontal="center" vertical="center" wrapText="1"/>
    </xf>
    <xf numFmtId="0" fontId="10" fillId="0" borderId="78" xfId="61" applyBorder="1" applyAlignment="1">
      <alignment horizontal="center" vertical="center" wrapText="1"/>
    </xf>
    <xf numFmtId="0" fontId="10" fillId="0" borderId="79" xfId="61" applyBorder="1" applyAlignment="1">
      <alignment horizontal="center" vertical="center" wrapText="1"/>
    </xf>
    <xf numFmtId="0" fontId="10" fillId="0" borderId="91" xfId="74" applyNumberFormat="1" applyFont="1" applyFill="1" applyBorder="1" applyAlignment="1" applyProtection="1">
      <alignment horizontal="left" vertical="top" wrapText="1"/>
    </xf>
    <xf numFmtId="0" fontId="46" fillId="0" borderId="39" xfId="74" applyNumberFormat="1" applyFont="1" applyFill="1" applyBorder="1" applyAlignment="1" applyProtection="1">
      <alignment horizontal="left" vertical="top" wrapText="1"/>
    </xf>
    <xf numFmtId="0" fontId="9" fillId="0" borderId="39" xfId="74" applyNumberFormat="1" applyFont="1" applyFill="1" applyBorder="1" applyAlignment="1" applyProtection="1">
      <alignment horizontal="left" vertical="top" wrapText="1"/>
    </xf>
    <xf numFmtId="0" fontId="10" fillId="0" borderId="39" xfId="74" applyNumberFormat="1" applyFont="1" applyFill="1" applyBorder="1" applyAlignment="1" applyProtection="1">
      <alignment horizontal="left" vertical="top" wrapText="1"/>
    </xf>
    <xf numFmtId="0" fontId="80" fillId="0" borderId="39" xfId="74" applyNumberFormat="1" applyFont="1" applyFill="1" applyBorder="1" applyAlignment="1" applyProtection="1">
      <alignment horizontal="left" vertical="top" wrapText="1"/>
    </xf>
    <xf numFmtId="0" fontId="10" fillId="0" borderId="0" xfId="74" applyNumberFormat="1" applyFont="1" applyFill="1" applyBorder="1" applyAlignment="1" applyProtection="1">
      <alignment horizontal="left" vertical="top" wrapText="1"/>
    </xf>
    <xf numFmtId="0" fontId="49" fillId="0" borderId="38" xfId="74" applyNumberFormat="1" applyFont="1" applyFill="1" applyBorder="1" applyAlignment="1" applyProtection="1">
      <alignment horizontal="center" vertical="top" wrapText="1"/>
    </xf>
    <xf numFmtId="0" fontId="49" fillId="0" borderId="0" xfId="74" applyNumberFormat="1" applyFont="1" applyFill="1" applyBorder="1" applyAlignment="1" applyProtection="1">
      <alignment horizontal="center" vertical="top" wrapText="1"/>
    </xf>
    <xf numFmtId="0" fontId="17" fillId="0" borderId="0" xfId="74" applyNumberFormat="1" applyFont="1" applyFill="1" applyBorder="1" applyAlignment="1" applyProtection="1">
      <alignment horizontal="center" wrapText="1"/>
    </xf>
    <xf numFmtId="0" fontId="17" fillId="0" borderId="0" xfId="74" applyNumberFormat="1" applyFont="1" applyFill="1" applyBorder="1" applyAlignment="1" applyProtection="1">
      <alignment horizontal="center"/>
    </xf>
    <xf numFmtId="0" fontId="10" fillId="0" borderId="0" xfId="74" applyNumberFormat="1" applyFont="1" applyFill="1" applyBorder="1" applyAlignment="1" applyProtection="1">
      <alignment horizontal="center"/>
    </xf>
    <xf numFmtId="0" fontId="17" fillId="0" borderId="91" xfId="74" applyNumberFormat="1" applyFont="1" applyFill="1" applyBorder="1" applyAlignment="1" applyProtection="1">
      <alignment horizontal="center" vertical="top" wrapText="1"/>
    </xf>
    <xf numFmtId="0" fontId="58" fillId="0" borderId="0" xfId="74" applyNumberFormat="1" applyFont="1" applyFill="1" applyBorder="1" applyAlignment="1" applyProtection="1">
      <alignment horizontal="center" vertical="top"/>
    </xf>
    <xf numFmtId="0" fontId="9" fillId="0" borderId="44" xfId="74" applyNumberFormat="1" applyFont="1" applyFill="1" applyBorder="1" applyAlignment="1" applyProtection="1">
      <alignment vertical="top" wrapText="1"/>
    </xf>
    <xf numFmtId="0" fontId="9" fillId="0" borderId="65" xfId="74" applyNumberFormat="1" applyFont="1" applyFill="1" applyBorder="1" applyAlignment="1" applyProtection="1">
      <alignment vertical="top" wrapText="1"/>
    </xf>
    <xf numFmtId="0" fontId="9" fillId="0" borderId="93" xfId="74" applyNumberFormat="1" applyFont="1" applyFill="1" applyBorder="1" applyAlignment="1" applyProtection="1">
      <alignment vertical="top" wrapText="1"/>
    </xf>
    <xf numFmtId="0" fontId="17" fillId="0" borderId="39" xfId="74" applyNumberFormat="1" applyFont="1" applyFill="1" applyBorder="1" applyAlignment="1" applyProtection="1">
      <alignment horizontal="left" vertical="top" wrapText="1"/>
    </xf>
    <xf numFmtId="0" fontId="0" fillId="0" borderId="0" xfId="0" applyNumberFormat="1" applyFont="1" applyFill="1" applyBorder="1" applyAlignment="1">
      <alignment horizontal="left" wrapText="1"/>
    </xf>
    <xf numFmtId="0" fontId="17" fillId="0" borderId="0" xfId="0" applyNumberFormat="1" applyFont="1" applyFill="1" applyBorder="1" applyAlignment="1">
      <alignment horizontal="center" vertical="top" wrapText="1"/>
    </xf>
    <xf numFmtId="0" fontId="17" fillId="0" borderId="63" xfId="0" applyNumberFormat="1" applyFont="1" applyFill="1" applyBorder="1" applyAlignment="1">
      <alignment horizontal="center" vertical="center" wrapText="1"/>
    </xf>
    <xf numFmtId="0" fontId="10" fillId="13" borderId="8" xfId="0" applyNumberFormat="1" applyFont="1" applyFill="1" applyBorder="1" applyAlignment="1">
      <alignment horizontal="center" vertical="top" wrapText="1"/>
    </xf>
    <xf numFmtId="0" fontId="10" fillId="13" borderId="8" xfId="0" applyNumberFormat="1" applyFont="1" applyFill="1" applyBorder="1" applyAlignment="1">
      <alignment horizontal="center" vertical="center" wrapText="1"/>
    </xf>
    <xf numFmtId="0" fontId="96" fillId="0" borderId="108" xfId="46" applyFont="1" applyFill="1" applyBorder="1" applyAlignment="1">
      <alignment horizontal="right" vertical="center" wrapText="1"/>
    </xf>
    <xf numFmtId="0" fontId="96" fillId="0" borderId="110" xfId="46" applyFont="1" applyFill="1" applyBorder="1" applyAlignment="1">
      <alignment horizontal="right" vertical="center" wrapText="1"/>
    </xf>
    <xf numFmtId="0" fontId="96" fillId="0" borderId="109" xfId="46" applyFont="1" applyFill="1" applyBorder="1" applyAlignment="1">
      <alignment horizontal="right" vertical="center" wrapText="1"/>
    </xf>
    <xf numFmtId="0" fontId="95" fillId="0" borderId="106" xfId="46" applyFont="1" applyFill="1" applyBorder="1" applyAlignment="1">
      <alignment horizontal="center" vertical="center" wrapText="1"/>
    </xf>
    <xf numFmtId="0" fontId="120" fillId="0" borderId="0" xfId="46" applyFont="1" applyAlignment="1">
      <alignment vertical="top" wrapText="1"/>
    </xf>
    <xf numFmtId="0" fontId="17" fillId="0" borderId="106" xfId="46" applyFont="1" applyFill="1" applyBorder="1" applyAlignment="1">
      <alignment horizontal="right" vertical="center" wrapText="1"/>
    </xf>
    <xf numFmtId="0" fontId="96" fillId="0" borderId="106" xfId="46" applyFont="1" applyFill="1" applyBorder="1" applyAlignment="1">
      <alignment horizontal="right" vertical="center" wrapText="1"/>
    </xf>
    <xf numFmtId="0" fontId="96" fillId="0" borderId="108" xfId="46" applyFont="1" applyFill="1" applyBorder="1" applyAlignment="1">
      <alignment horizontal="center" vertical="center" wrapText="1"/>
    </xf>
    <xf numFmtId="0" fontId="96" fillId="0" borderId="110" xfId="46" applyFont="1" applyFill="1" applyBorder="1" applyAlignment="1">
      <alignment horizontal="center" vertical="center" wrapText="1"/>
    </xf>
    <xf numFmtId="0" fontId="96" fillId="0" borderId="109" xfId="46" applyFont="1" applyFill="1" applyBorder="1" applyAlignment="1">
      <alignment horizontal="center" vertical="center" wrapText="1"/>
    </xf>
    <xf numFmtId="0" fontId="99" fillId="0" borderId="115" xfId="46" applyFont="1" applyFill="1" applyBorder="1" applyAlignment="1">
      <alignment horizontal="center" vertical="center" wrapText="1"/>
    </xf>
    <xf numFmtId="0" fontId="99" fillId="0" borderId="102" xfId="46" applyFont="1" applyFill="1" applyBorder="1" applyAlignment="1">
      <alignment horizontal="center" vertical="center" wrapText="1"/>
    </xf>
    <xf numFmtId="0" fontId="99" fillId="0" borderId="88" xfId="46" applyFont="1" applyFill="1" applyBorder="1" applyAlignment="1">
      <alignment horizontal="center" vertical="center" wrapText="1"/>
    </xf>
    <xf numFmtId="0" fontId="17" fillId="0" borderId="108" xfId="46" applyFont="1" applyFill="1" applyBorder="1" applyAlignment="1">
      <alignment horizontal="center" vertical="center" wrapText="1"/>
    </xf>
    <xf numFmtId="0" fontId="17" fillId="0" borderId="110" xfId="46" applyFont="1" applyFill="1" applyBorder="1" applyAlignment="1">
      <alignment horizontal="center" vertical="center" wrapText="1"/>
    </xf>
    <xf numFmtId="0" fontId="17" fillId="0" borderId="109" xfId="46" applyFont="1" applyFill="1" applyBorder="1" applyAlignment="1">
      <alignment horizontal="center" vertical="center" wrapText="1"/>
    </xf>
    <xf numFmtId="0" fontId="99" fillId="0" borderId="108" xfId="46" applyFont="1" applyFill="1" applyBorder="1" applyAlignment="1">
      <alignment horizontal="center" vertical="center" wrapText="1"/>
    </xf>
    <xf numFmtId="0" fontId="99" fillId="0" borderId="110" xfId="46" applyFont="1" applyFill="1" applyBorder="1" applyAlignment="1">
      <alignment horizontal="center" vertical="center" wrapText="1"/>
    </xf>
    <xf numFmtId="0" fontId="99" fillId="0" borderId="109" xfId="46" applyFont="1" applyFill="1" applyBorder="1" applyAlignment="1">
      <alignment horizontal="center" vertical="center" wrapText="1"/>
    </xf>
    <xf numFmtId="0" fontId="17" fillId="0" borderId="106" xfId="46" applyFont="1" applyFill="1" applyBorder="1" applyAlignment="1">
      <alignment horizontal="center" vertical="center" wrapText="1"/>
    </xf>
    <xf numFmtId="0" fontId="10" fillId="4" borderId="106" xfId="46" applyFont="1" applyFill="1" applyBorder="1" applyAlignment="1">
      <alignment horizontal="center" vertical="center" wrapText="1"/>
    </xf>
    <xf numFmtId="0" fontId="96" fillId="0" borderId="106" xfId="46" applyFont="1" applyFill="1" applyBorder="1" applyAlignment="1">
      <alignment horizontal="center" vertical="center" wrapText="1"/>
    </xf>
    <xf numFmtId="0" fontId="99" fillId="0" borderId="106" xfId="46" applyFont="1" applyFill="1" applyBorder="1" applyAlignment="1">
      <alignment horizontal="center" vertical="center" wrapText="1"/>
    </xf>
    <xf numFmtId="2" fontId="17" fillId="0" borderId="0" xfId="46" applyNumberFormat="1" applyFont="1" applyAlignment="1">
      <alignment horizontal="center"/>
    </xf>
    <xf numFmtId="0" fontId="17" fillId="0" borderId="0" xfId="46" applyFont="1" applyAlignment="1">
      <alignment horizontal="center"/>
    </xf>
    <xf numFmtId="0" fontId="10" fillId="0" borderId="108" xfId="46" applyFont="1" applyBorder="1" applyAlignment="1">
      <alignment horizontal="center" vertical="center"/>
    </xf>
    <xf numFmtId="0" fontId="10" fillId="0" borderId="109" xfId="46" applyFont="1" applyBorder="1" applyAlignment="1">
      <alignment horizontal="center" vertical="center"/>
    </xf>
    <xf numFmtId="0" fontId="95" fillId="0" borderId="110" xfId="72" applyFont="1" applyFill="1" applyBorder="1" applyAlignment="1" applyProtection="1">
      <alignment horizontal="center" vertical="center" wrapText="1"/>
      <protection locked="0"/>
    </xf>
    <xf numFmtId="0" fontId="95" fillId="0" borderId="109" xfId="72" applyFont="1" applyFill="1" applyBorder="1" applyAlignment="1" applyProtection="1">
      <alignment horizontal="center" vertical="center" wrapText="1"/>
      <protection locked="0"/>
    </xf>
    <xf numFmtId="0" fontId="95" fillId="0" borderId="0" xfId="72" applyFont="1" applyFill="1" applyAlignment="1" applyProtection="1">
      <alignment horizontal="left" vertical="center" wrapText="1"/>
      <protection locked="0"/>
    </xf>
    <xf numFmtId="0" fontId="10" fillId="0" borderId="110" xfId="46" applyFont="1" applyBorder="1" applyAlignment="1">
      <alignment horizontal="center" vertical="center"/>
    </xf>
    <xf numFmtId="0" fontId="95" fillId="0" borderId="108" xfId="72" applyFont="1" applyFill="1" applyBorder="1" applyAlignment="1" applyProtection="1">
      <alignment horizontal="left" vertical="top" wrapText="1"/>
      <protection locked="0"/>
    </xf>
    <xf numFmtId="0" fontId="95" fillId="0" borderId="110" xfId="72" applyFont="1" applyFill="1" applyBorder="1" applyAlignment="1" applyProtection="1">
      <alignment horizontal="left" vertical="top" wrapText="1"/>
      <protection locked="0"/>
    </xf>
    <xf numFmtId="0" fontId="95" fillId="0" borderId="109" xfId="72" applyFont="1" applyFill="1" applyBorder="1" applyAlignment="1" applyProtection="1">
      <alignment horizontal="left" vertical="top" wrapText="1"/>
      <protection locked="0"/>
    </xf>
    <xf numFmtId="0" fontId="10" fillId="0" borderId="111" xfId="46" applyFont="1" applyBorder="1" applyAlignment="1">
      <alignment horizontal="center" vertical="center" wrapText="1"/>
    </xf>
    <xf numFmtId="0" fontId="10" fillId="0" borderId="112" xfId="46" applyFont="1" applyBorder="1" applyAlignment="1">
      <alignment horizontal="center" vertical="center" wrapText="1"/>
    </xf>
    <xf numFmtId="0" fontId="10" fillId="0" borderId="113" xfId="46" applyFont="1" applyBorder="1" applyAlignment="1">
      <alignment horizontal="center" vertical="center" wrapText="1"/>
    </xf>
    <xf numFmtId="0" fontId="10" fillId="0" borderId="114" xfId="46" applyFont="1" applyBorder="1" applyAlignment="1">
      <alignment horizontal="center" vertical="center" wrapText="1"/>
    </xf>
    <xf numFmtId="0" fontId="10" fillId="0" borderId="91" xfId="46" applyFont="1" applyBorder="1" applyAlignment="1">
      <alignment horizontal="center" vertical="center" wrapText="1"/>
    </xf>
    <xf numFmtId="0" fontId="10" fillId="0" borderId="64" xfId="46" applyFont="1" applyBorder="1" applyAlignment="1">
      <alignment horizontal="center" vertical="center" wrapText="1"/>
    </xf>
    <xf numFmtId="0" fontId="95" fillId="0" borderId="111" xfId="72" applyFont="1" applyFill="1" applyBorder="1" applyAlignment="1" applyProtection="1">
      <alignment horizontal="left" vertical="center" wrapText="1"/>
      <protection locked="0"/>
    </xf>
    <xf numFmtId="0" fontId="95" fillId="0" borderId="112" xfId="72" applyFont="1" applyFill="1" applyBorder="1" applyAlignment="1" applyProtection="1">
      <alignment horizontal="left" vertical="center" wrapText="1"/>
      <protection locked="0"/>
    </xf>
    <xf numFmtId="0" fontId="95" fillId="0" borderId="113" xfId="72" applyFont="1" applyFill="1" applyBorder="1" applyAlignment="1" applyProtection="1">
      <alignment horizontal="left" vertical="center" wrapText="1"/>
      <protection locked="0"/>
    </xf>
    <xf numFmtId="0" fontId="95" fillId="0" borderId="114" xfId="72" applyFont="1" applyFill="1" applyBorder="1" applyAlignment="1" applyProtection="1">
      <alignment horizontal="left" vertical="center" wrapText="1"/>
      <protection locked="0"/>
    </xf>
    <xf numFmtId="0" fontId="95" fillId="0" borderId="91" xfId="72" applyFont="1" applyFill="1" applyBorder="1" applyAlignment="1" applyProtection="1">
      <alignment horizontal="left" vertical="center" wrapText="1"/>
      <protection locked="0"/>
    </xf>
    <xf numFmtId="0" fontId="95" fillId="0" borderId="64" xfId="72" applyFont="1" applyFill="1" applyBorder="1" applyAlignment="1" applyProtection="1">
      <alignment horizontal="left" vertical="center" wrapText="1"/>
      <protection locked="0"/>
    </xf>
    <xf numFmtId="0" fontId="95" fillId="0" borderId="108" xfId="72" applyFont="1" applyFill="1" applyBorder="1" applyAlignment="1" applyProtection="1">
      <alignment horizontal="left" vertical="center" wrapText="1"/>
      <protection locked="0"/>
    </xf>
    <xf numFmtId="0" fontId="95" fillId="0" borderId="110" xfId="72" applyFont="1" applyFill="1" applyBorder="1" applyAlignment="1" applyProtection="1">
      <alignment horizontal="left" vertical="center" wrapText="1"/>
      <protection locked="0"/>
    </xf>
    <xf numFmtId="0" fontId="95" fillId="0" borderId="109" xfId="72" applyFont="1" applyFill="1" applyBorder="1" applyAlignment="1" applyProtection="1">
      <alignment horizontal="left" vertical="center" wrapText="1"/>
      <protection locked="0"/>
    </xf>
    <xf numFmtId="0" fontId="10" fillId="0" borderId="110" xfId="46" applyBorder="1" applyAlignment="1">
      <alignment horizontal="center" vertical="top" wrapText="1"/>
    </xf>
    <xf numFmtId="0" fontId="10" fillId="0" borderId="109" xfId="46" applyBorder="1" applyAlignment="1">
      <alignment horizontal="center" vertical="top" wrapText="1"/>
    </xf>
    <xf numFmtId="0" fontId="13" fillId="0" borderId="128" xfId="58" applyFont="1" applyBorder="1" applyAlignment="1">
      <alignment horizontal="left" vertical="center" wrapText="1"/>
    </xf>
    <xf numFmtId="0" fontId="13" fillId="0" borderId="108" xfId="58" applyFont="1" applyBorder="1" applyAlignment="1">
      <alignment horizontal="left"/>
    </xf>
    <xf numFmtId="0" fontId="13" fillId="0" borderId="110" xfId="58" applyFont="1" applyBorder="1" applyAlignment="1">
      <alignment horizontal="left"/>
    </xf>
    <xf numFmtId="0" fontId="13" fillId="0" borderId="109" xfId="58" applyFont="1" applyBorder="1" applyAlignment="1">
      <alignment horizontal="left"/>
    </xf>
    <xf numFmtId="0" fontId="13" fillId="0" borderId="131" xfId="58" applyFont="1" applyFill="1" applyBorder="1" applyAlignment="1">
      <alignment horizontal="left" vertical="center" wrapText="1"/>
    </xf>
    <xf numFmtId="0" fontId="121" fillId="0" borderId="132" xfId="58" applyFont="1" applyFill="1" applyBorder="1" applyAlignment="1">
      <alignment horizontal="center" vertical="center" wrapText="1"/>
    </xf>
    <xf numFmtId="0" fontId="13" fillId="0" borderId="127" xfId="58" applyFont="1" applyBorder="1" applyAlignment="1">
      <alignment horizontal="left" vertical="center" wrapText="1"/>
    </xf>
    <xf numFmtId="0" fontId="121" fillId="0" borderId="130" xfId="58" applyFont="1" applyBorder="1" applyAlignment="1">
      <alignment horizontal="center" vertical="center" wrapText="1"/>
    </xf>
    <xf numFmtId="0" fontId="121" fillId="0" borderId="134" xfId="58" applyFont="1" applyBorder="1" applyAlignment="1">
      <alignment horizontal="center" vertical="center" wrapText="1"/>
    </xf>
    <xf numFmtId="0" fontId="16" fillId="0" borderId="130" xfId="58" applyFont="1" applyBorder="1" applyAlignment="1">
      <alignment horizontal="center" vertical="center" wrapText="1"/>
    </xf>
    <xf numFmtId="0" fontId="13" fillId="0" borderId="135" xfId="58" applyFont="1" applyBorder="1" applyAlignment="1">
      <alignment horizontal="center" vertical="center" wrapText="1"/>
    </xf>
    <xf numFmtId="0" fontId="13" fillId="0" borderId="134" xfId="58" applyFont="1" applyBorder="1" applyAlignment="1">
      <alignment horizontal="center" vertical="center" wrapText="1"/>
    </xf>
    <xf numFmtId="0" fontId="13" fillId="0" borderId="0" xfId="58" applyFont="1" applyBorder="1" applyAlignment="1">
      <alignment horizontal="center"/>
    </xf>
    <xf numFmtId="0" fontId="13" fillId="0" borderId="0" xfId="58" applyFont="1" applyBorder="1" applyAlignment="1">
      <alignment horizontal="left" vertical="top" wrapText="1"/>
    </xf>
    <xf numFmtId="0" fontId="121" fillId="0" borderId="0" xfId="58" applyFont="1" applyBorder="1" applyAlignment="1">
      <alignment horizontal="left" vertical="top" wrapText="1"/>
    </xf>
    <xf numFmtId="0" fontId="13" fillId="0" borderId="130" xfId="58" applyFont="1" applyBorder="1" applyAlignment="1">
      <alignment horizontal="left" vertical="center" wrapText="1"/>
    </xf>
    <xf numFmtId="0" fontId="121" fillId="0" borderId="131" xfId="58" applyFont="1" applyBorder="1" applyAlignment="1">
      <alignment horizontal="center" vertical="center" wrapText="1"/>
    </xf>
    <xf numFmtId="0" fontId="13" fillId="0" borderId="119" xfId="58" applyFont="1" applyBorder="1" applyAlignment="1">
      <alignment horizontal="center" vertical="center" wrapText="1"/>
    </xf>
    <xf numFmtId="0" fontId="13" fillId="0" borderId="120" xfId="58" applyFont="1" applyBorder="1" applyAlignment="1">
      <alignment horizontal="left" vertical="center" wrapText="1"/>
    </xf>
    <xf numFmtId="0" fontId="13" fillId="0" borderId="127" xfId="58" applyFont="1" applyBorder="1" applyAlignment="1">
      <alignment horizontal="center" vertical="center" wrapText="1"/>
    </xf>
    <xf numFmtId="3" fontId="10" fillId="0" borderId="44" xfId="81" applyNumberFormat="1" applyFont="1" applyBorder="1" applyAlignment="1">
      <alignment horizontal="right" vertical="top" wrapText="1"/>
    </xf>
    <xf numFmtId="3" fontId="17" fillId="0" borderId="73" xfId="81" applyNumberFormat="1" applyFont="1" applyBorder="1" applyAlignment="1">
      <alignment horizontal="right" vertical="top" wrapText="1"/>
    </xf>
    <xf numFmtId="3" fontId="10" fillId="0" borderId="73" xfId="81" applyNumberFormat="1" applyFont="1" applyBorder="1" applyAlignment="1">
      <alignment horizontal="right" vertical="top" wrapText="1"/>
    </xf>
    <xf numFmtId="3" fontId="10" fillId="0" borderId="0" xfId="81" applyNumberFormat="1" applyFont="1" applyAlignment="1">
      <alignment horizontal="left" vertical="top" wrapText="1"/>
    </xf>
    <xf numFmtId="0" fontId="10" fillId="0" borderId="91" xfId="81" applyFont="1" applyBorder="1" applyAlignment="1">
      <alignment horizontal="left" vertical="top" wrapText="1"/>
    </xf>
    <xf numFmtId="0" fontId="127" fillId="0" borderId="39" xfId="84" applyFont="1" applyBorder="1" applyAlignment="1">
      <alignment horizontal="left" vertical="top" wrapText="1"/>
    </xf>
    <xf numFmtId="3" fontId="127" fillId="0" borderId="39" xfId="84" applyNumberFormat="1" applyFont="1" applyBorder="1" applyAlignment="1">
      <alignment horizontal="right" vertical="top" wrapText="1"/>
    </xf>
    <xf numFmtId="0" fontId="127" fillId="0" borderId="0" xfId="84" applyFont="1" applyAlignment="1">
      <alignment horizontal="left" vertical="top" wrapText="1"/>
    </xf>
    <xf numFmtId="3" fontId="127" fillId="0" borderId="0" xfId="84" applyNumberFormat="1" applyFont="1" applyAlignment="1">
      <alignment horizontal="left" vertical="top" wrapText="1"/>
    </xf>
    <xf numFmtId="0" fontId="127" fillId="0" borderId="91" xfId="84" applyFont="1" applyBorder="1" applyAlignment="1">
      <alignment horizontal="left" vertical="top" wrapText="1"/>
    </xf>
    <xf numFmtId="0" fontId="129" fillId="0" borderId="39" xfId="84" applyFont="1" applyBorder="1" applyAlignment="1">
      <alignment horizontal="left" vertical="top" wrapText="1"/>
    </xf>
    <xf numFmtId="3" fontId="129" fillId="0" borderId="39" xfId="84" applyNumberFormat="1" applyFont="1" applyBorder="1" applyAlignment="1">
      <alignment horizontal="right" vertical="top" wrapText="1"/>
    </xf>
    <xf numFmtId="0" fontId="128" fillId="0" borderId="0" xfId="84" applyFont="1" applyAlignment="1">
      <alignment horizontal="center" vertical="top" wrapText="1"/>
    </xf>
    <xf numFmtId="0" fontId="129" fillId="0" borderId="140" xfId="84" applyFont="1" applyBorder="1" applyAlignment="1">
      <alignment horizontal="left" vertical="top" wrapText="1"/>
    </xf>
    <xf numFmtId="0" fontId="127" fillId="0" borderId="140" xfId="84" applyFont="1" applyBorder="1" applyAlignment="1">
      <alignment horizontal="left" vertical="top" wrapText="1"/>
    </xf>
    <xf numFmtId="0" fontId="129" fillId="0" borderId="44" xfId="84" applyFont="1" applyBorder="1" applyAlignment="1">
      <alignment horizontal="left" vertical="top" wrapText="1"/>
    </xf>
    <xf numFmtId="0" fontId="127" fillId="0" borderId="44" xfId="84" applyFont="1" applyBorder="1" applyAlignment="1">
      <alignment horizontal="left" vertical="top" wrapText="1"/>
    </xf>
    <xf numFmtId="3" fontId="127" fillId="0" borderId="44" xfId="84" applyNumberFormat="1" applyFont="1" applyBorder="1" applyAlignment="1">
      <alignment horizontal="right" vertical="top" wrapText="1"/>
    </xf>
    <xf numFmtId="0" fontId="130" fillId="0" borderId="0" xfId="84" applyFont="1" applyAlignment="1">
      <alignment horizontal="left" vertical="top" wrapText="1"/>
    </xf>
    <xf numFmtId="0" fontId="131" fillId="0" borderId="0" xfId="84" applyFont="1" applyAlignment="1">
      <alignment horizontal="left" vertical="top" wrapText="1"/>
    </xf>
    <xf numFmtId="0" fontId="127" fillId="0" borderId="0" xfId="84" applyFont="1" applyAlignment="1">
      <alignment horizontal="right" vertical="top" wrapText="1"/>
    </xf>
    <xf numFmtId="0" fontId="129" fillId="0" borderId="0" xfId="84" applyFont="1" applyAlignment="1">
      <alignment horizontal="center" vertical="center" wrapText="1"/>
    </xf>
    <xf numFmtId="0" fontId="127" fillId="0" borderId="0" xfId="84" applyFont="1" applyAlignment="1">
      <alignment horizontal="center" vertical="center" wrapText="1"/>
    </xf>
    <xf numFmtId="0" fontId="127" fillId="0" borderId="39" xfId="84" applyFont="1" applyBorder="1" applyAlignment="1">
      <alignment horizontal="center" vertical="center" wrapText="1"/>
    </xf>
    <xf numFmtId="0" fontId="3" fillId="0" borderId="44" xfId="24" quotePrefix="1" applyFont="1" applyFill="1" applyBorder="1" applyAlignment="1">
      <alignment horizontal="center" vertical="center" wrapText="1"/>
    </xf>
    <xf numFmtId="0" fontId="3" fillId="0" borderId="107" xfId="24" quotePrefix="1" applyFont="1" applyFill="1" applyBorder="1" applyAlignment="1">
      <alignment horizontal="center" vertical="center" wrapText="1"/>
    </xf>
    <xf numFmtId="0" fontId="3" fillId="0" borderId="88" xfId="24" quotePrefix="1" applyFont="1" applyFill="1" applyBorder="1" applyAlignment="1">
      <alignment horizontal="center" vertical="center" wrapText="1"/>
    </xf>
    <xf numFmtId="4" fontId="3" fillId="0" borderId="13" xfId="44" applyNumberFormat="1" applyFont="1" applyFill="1" applyBorder="1" applyAlignment="1">
      <alignment horizontal="center" vertical="center" wrapText="1"/>
    </xf>
    <xf numFmtId="4" fontId="3" fillId="0" borderId="12" xfId="44" applyNumberFormat="1" applyFont="1" applyFill="1" applyBorder="1" applyAlignment="1">
      <alignment horizontal="center" vertical="center" wrapText="1"/>
    </xf>
    <xf numFmtId="0" fontId="3" fillId="7" borderId="8" xfId="23" quotePrefix="1" applyFont="1" applyFill="1" applyBorder="1" applyAlignment="1">
      <alignment horizontal="center" vertical="center" wrapText="1"/>
    </xf>
    <xf numFmtId="0" fontId="3" fillId="7" borderId="8" xfId="0" applyFont="1" applyFill="1" applyBorder="1" applyAlignment="1">
      <alignment horizontal="center" vertical="center" wrapText="1"/>
    </xf>
    <xf numFmtId="0" fontId="2" fillId="0" borderId="0" xfId="20" quotePrefix="1" applyFont="1" applyFill="1" applyAlignment="1">
      <alignment horizontal="left" vertical="center" wrapText="1"/>
    </xf>
    <xf numFmtId="0" fontId="2" fillId="0" borderId="0" xfId="16" applyFont="1" applyFill="1" applyAlignment="1">
      <alignment vertical="center" wrapText="1"/>
    </xf>
    <xf numFmtId="0" fontId="66" fillId="0" borderId="0" xfId="53" applyNumberFormat="1" applyFont="1" applyFill="1" applyBorder="1" applyAlignment="1" applyProtection="1">
      <alignment horizontal="center" vertical="center" wrapText="1"/>
    </xf>
    <xf numFmtId="0" fontId="49" fillId="0" borderId="36" xfId="53" applyNumberFormat="1" applyFont="1" applyFill="1" applyBorder="1" applyAlignment="1" applyProtection="1">
      <alignment horizontal="left" wrapText="1"/>
    </xf>
    <xf numFmtId="0" fontId="65" fillId="0" borderId="38" xfId="53" applyNumberFormat="1" applyFont="1" applyFill="1" applyBorder="1" applyAlignment="1" applyProtection="1">
      <alignment horizontal="center"/>
    </xf>
    <xf numFmtId="0" fontId="49" fillId="0" borderId="0" xfId="53" applyNumberFormat="1" applyFont="1" applyFill="1" applyBorder="1" applyAlignment="1" applyProtection="1">
      <alignment horizontal="center"/>
    </xf>
    <xf numFmtId="0" fontId="14" fillId="0" borderId="0" xfId="53" applyNumberFormat="1" applyFont="1" applyFill="1" applyBorder="1" applyAlignment="1" applyProtection="1">
      <alignment horizontal="center"/>
    </xf>
    <xf numFmtId="0" fontId="65" fillId="0" borderId="38" xfId="53" applyNumberFormat="1" applyFont="1" applyFill="1" applyBorder="1" applyAlignment="1" applyProtection="1">
      <alignment horizontal="center" vertical="top"/>
    </xf>
    <xf numFmtId="0" fontId="49" fillId="0" borderId="0" xfId="53" applyNumberFormat="1" applyFont="1" applyFill="1" applyBorder="1" applyAlignment="1" applyProtection="1">
      <alignment vertical="center" wrapText="1"/>
    </xf>
    <xf numFmtId="0" fontId="49" fillId="0" borderId="7" xfId="53" applyNumberFormat="1" applyFont="1" applyFill="1" applyBorder="1" applyAlignment="1" applyProtection="1">
      <alignment vertical="center" wrapText="1"/>
    </xf>
    <xf numFmtId="0" fontId="56" fillId="7" borderId="47" xfId="53" applyNumberFormat="1" applyFont="1" applyFill="1" applyBorder="1" applyAlignment="1" applyProtection="1">
      <alignment horizontal="center" vertical="center" wrapText="1"/>
    </xf>
    <xf numFmtId="0" fontId="56" fillId="7" borderId="49" xfId="53" applyNumberFormat="1" applyFont="1" applyFill="1" applyBorder="1" applyAlignment="1" applyProtection="1">
      <alignment horizontal="center" vertical="center" wrapText="1"/>
    </xf>
    <xf numFmtId="0" fontId="56" fillId="7" borderId="17" xfId="53" applyNumberFormat="1" applyFont="1" applyFill="1" applyBorder="1" applyAlignment="1" applyProtection="1">
      <alignment horizontal="center" vertical="center" wrapText="1"/>
    </xf>
    <xf numFmtId="0" fontId="56" fillId="7" borderId="44" xfId="53" applyNumberFormat="1" applyFont="1" applyFill="1" applyBorder="1" applyAlignment="1" applyProtection="1">
      <alignment horizontal="center" vertical="center" wrapText="1"/>
    </xf>
    <xf numFmtId="0" fontId="56" fillId="7" borderId="13" xfId="53" applyNumberFormat="1" applyFont="1" applyFill="1" applyBorder="1" applyAlignment="1" applyProtection="1">
      <alignment horizontal="center" vertical="center" wrapText="1"/>
    </xf>
    <xf numFmtId="0" fontId="56" fillId="7" borderId="37" xfId="53" applyNumberFormat="1" applyFont="1" applyFill="1" applyBorder="1" applyAlignment="1" applyProtection="1">
      <alignment horizontal="center" vertical="center" wrapText="1"/>
    </xf>
    <xf numFmtId="0" fontId="56" fillId="7" borderId="40" xfId="53" applyNumberFormat="1" applyFont="1" applyFill="1" applyBorder="1" applyAlignment="1" applyProtection="1">
      <alignment horizontal="center" vertical="center" wrapText="1"/>
    </xf>
    <xf numFmtId="0" fontId="56" fillId="7" borderId="41" xfId="53" applyNumberFormat="1" applyFont="1" applyFill="1" applyBorder="1" applyAlignment="1" applyProtection="1">
      <alignment horizontal="center" vertical="center" wrapText="1"/>
    </xf>
    <xf numFmtId="0" fontId="56" fillId="7" borderId="48" xfId="53" applyNumberFormat="1" applyFont="1" applyFill="1" applyBorder="1" applyAlignment="1" applyProtection="1">
      <alignment horizontal="center" vertical="center" wrapText="1"/>
    </xf>
    <xf numFmtId="0" fontId="56" fillId="7" borderId="50" xfId="53" applyNumberFormat="1" applyFont="1" applyFill="1" applyBorder="1" applyAlignment="1" applyProtection="1">
      <alignment horizontal="center" vertical="center" wrapText="1"/>
    </xf>
    <xf numFmtId="0" fontId="56" fillId="7" borderId="51" xfId="53" applyNumberFormat="1" applyFont="1" applyFill="1" applyBorder="1" applyAlignment="1" applyProtection="1">
      <alignment horizontal="center" vertical="center" wrapText="1"/>
    </xf>
    <xf numFmtId="0" fontId="67" fillId="0" borderId="52" xfId="53" applyNumberFormat="1" applyFont="1" applyFill="1" applyBorder="1" applyAlignment="1" applyProtection="1">
      <alignment horizontal="left" vertical="center" wrapText="1"/>
    </xf>
    <xf numFmtId="0" fontId="67" fillId="0" borderId="41" xfId="53" applyNumberFormat="1" applyFont="1" applyFill="1" applyBorder="1" applyAlignment="1" applyProtection="1">
      <alignment horizontal="left" vertical="center" wrapText="1"/>
    </xf>
    <xf numFmtId="0" fontId="67" fillId="0" borderId="48" xfId="53" applyNumberFormat="1" applyFont="1" applyFill="1" applyBorder="1" applyAlignment="1" applyProtection="1">
      <alignment horizontal="left" vertical="center" wrapText="1"/>
    </xf>
    <xf numFmtId="0" fontId="52" fillId="0" borderId="0" xfId="53" applyNumberFormat="1" applyFont="1" applyFill="1" applyBorder="1" applyAlignment="1" applyProtection="1">
      <alignment horizontal="center"/>
    </xf>
    <xf numFmtId="0" fontId="68" fillId="7" borderId="40" xfId="53" applyNumberFormat="1" applyFont="1" applyFill="1" applyBorder="1" applyAlignment="1" applyProtection="1">
      <alignment horizontal="right" vertical="top" wrapText="1"/>
    </xf>
    <xf numFmtId="0" fontId="68" fillId="7" borderId="42" xfId="53" applyNumberFormat="1" applyFont="1" applyFill="1" applyBorder="1" applyAlignment="1" applyProtection="1">
      <alignment horizontal="right" vertical="top" wrapText="1"/>
    </xf>
    <xf numFmtId="0" fontId="52" fillId="3" borderId="35" xfId="53" applyNumberFormat="1" applyFont="1" applyFill="1" applyBorder="1" applyAlignment="1" applyProtection="1">
      <alignment horizontal="center" vertical="center" wrapText="1"/>
    </xf>
    <xf numFmtId="0" fontId="52" fillId="3" borderId="37" xfId="53" applyNumberFormat="1" applyFont="1" applyFill="1" applyBorder="1" applyAlignment="1" applyProtection="1">
      <alignment horizontal="center" vertical="center" wrapText="1"/>
    </xf>
    <xf numFmtId="0" fontId="52" fillId="2" borderId="37" xfId="53" applyNumberFormat="1" applyFont="1" applyFill="1" applyBorder="1" applyAlignment="1" applyProtection="1">
      <alignment horizontal="center" vertical="center"/>
    </xf>
    <xf numFmtId="0" fontId="52" fillId="10" borderId="37" xfId="53" applyNumberFormat="1" applyFont="1" applyFill="1" applyBorder="1" applyAlignment="1" applyProtection="1">
      <alignment horizontal="center" vertical="center" wrapText="1"/>
    </xf>
    <xf numFmtId="0" fontId="52" fillId="11" borderId="34" xfId="53" applyNumberFormat="1" applyFont="1" applyFill="1" applyBorder="1" applyAlignment="1" applyProtection="1">
      <alignment horizontal="center" vertical="center" wrapText="1"/>
    </xf>
    <xf numFmtId="0" fontId="52" fillId="11" borderId="36" xfId="53" applyNumberFormat="1" applyFont="1" applyFill="1" applyBorder="1" applyAlignment="1" applyProtection="1">
      <alignment horizontal="center" vertical="center" wrapText="1"/>
    </xf>
    <xf numFmtId="0" fontId="66" fillId="7" borderId="40" xfId="53" applyNumberFormat="1" applyFont="1" applyFill="1" applyBorder="1" applyAlignment="1" applyProtection="1">
      <alignment horizontal="right" vertical="top" wrapText="1"/>
    </xf>
    <xf numFmtId="0" fontId="66" fillId="7" borderId="42" xfId="53" applyNumberFormat="1" applyFont="1" applyFill="1" applyBorder="1" applyAlignment="1" applyProtection="1">
      <alignment horizontal="right" vertical="top" wrapText="1"/>
    </xf>
    <xf numFmtId="0" fontId="66" fillId="8" borderId="39" xfId="53" applyFont="1" applyFill="1" applyBorder="1" applyAlignment="1">
      <alignment horizontal="center" vertical="center"/>
    </xf>
    <xf numFmtId="0" fontId="66" fillId="7" borderId="54" xfId="53" applyNumberFormat="1" applyFont="1" applyFill="1" applyBorder="1" applyAlignment="1" applyProtection="1">
      <alignment horizontal="right" vertical="top" wrapText="1"/>
    </xf>
    <xf numFmtId="0" fontId="66" fillId="7" borderId="55" xfId="53" applyNumberFormat="1" applyFont="1" applyFill="1" applyBorder="1" applyAlignment="1" applyProtection="1">
      <alignment horizontal="right" vertical="top" wrapText="1"/>
    </xf>
    <xf numFmtId="0" fontId="68" fillId="0" borderId="0" xfId="53" applyNumberFormat="1" applyFont="1" applyFill="1" applyBorder="1" applyAlignment="1" applyProtection="1">
      <alignment horizontal="center" vertical="center" wrapText="1"/>
    </xf>
    <xf numFmtId="179" fontId="18" fillId="0" borderId="8" xfId="11" applyNumberFormat="1" applyFont="1" applyBorder="1" applyAlignment="1">
      <alignment horizontal="left" vertical="top" wrapText="1"/>
    </xf>
    <xf numFmtId="0" fontId="9" fillId="0" borderId="8" xfId="11" applyBorder="1" applyAlignment="1">
      <alignment vertical="top" wrapText="1"/>
    </xf>
    <xf numFmtId="0" fontId="9" fillId="0" borderId="22" xfId="11" applyBorder="1" applyAlignment="1">
      <alignment vertical="top" wrapText="1"/>
    </xf>
    <xf numFmtId="0" fontId="18" fillId="0" borderId="21" xfId="11" applyNumberFormat="1" applyFont="1" applyBorder="1" applyAlignment="1">
      <alignment horizontal="left" vertical="top" wrapText="1"/>
    </xf>
    <xf numFmtId="0" fontId="15" fillId="0" borderId="0" xfId="11" applyFont="1" applyBorder="1" applyAlignment="1">
      <alignment horizontal="right"/>
    </xf>
    <xf numFmtId="0" fontId="9" fillId="0" borderId="0" xfId="11" applyAlignment="1">
      <alignment horizontal="right"/>
    </xf>
    <xf numFmtId="0" fontId="15" fillId="0" borderId="59" xfId="11" applyFont="1" applyBorder="1" applyAlignment="1">
      <alignment horizontal="center" vertical="top"/>
    </xf>
    <xf numFmtId="0" fontId="18" fillId="0" borderId="8" xfId="11" applyNumberFormat="1" applyFont="1" applyBorder="1" applyAlignment="1">
      <alignment horizontal="center" vertical="center" wrapText="1"/>
    </xf>
    <xf numFmtId="49" fontId="18" fillId="0" borderId="8" xfId="11" applyNumberFormat="1" applyFont="1" applyBorder="1" applyAlignment="1">
      <alignment horizontal="center" vertical="center" wrapText="1"/>
    </xf>
    <xf numFmtId="0" fontId="18" fillId="0" borderId="8" xfId="11" applyFont="1" applyBorder="1" applyAlignment="1">
      <alignment horizontal="center" vertical="center" wrapText="1"/>
    </xf>
    <xf numFmtId="0" fontId="17" fillId="0" borderId="11" xfId="11" applyNumberFormat="1" applyFont="1" applyBorder="1" applyAlignment="1">
      <alignment horizontal="left" vertical="top" wrapText="1"/>
    </xf>
    <xf numFmtId="0" fontId="9" fillId="0" borderId="11" xfId="11" applyBorder="1" applyAlignment="1">
      <alignment vertical="top" wrapText="1"/>
    </xf>
    <xf numFmtId="0" fontId="18" fillId="0" borderId="24" xfId="11" applyNumberFormat="1" applyFont="1" applyBorder="1" applyAlignment="1">
      <alignment horizontal="left" vertical="top" wrapText="1"/>
    </xf>
    <xf numFmtId="0" fontId="9" fillId="0" borderId="15" xfId="11" applyBorder="1" applyAlignment="1">
      <alignment vertical="top" wrapText="1"/>
    </xf>
    <xf numFmtId="0" fontId="9" fillId="0" borderId="16" xfId="11" applyBorder="1" applyAlignment="1">
      <alignment vertical="top" wrapText="1"/>
    </xf>
    <xf numFmtId="0" fontId="18" fillId="0" borderId="8" xfId="11" applyNumberFormat="1" applyFont="1" applyBorder="1" applyAlignment="1">
      <alignment horizontal="left" vertical="top" wrapText="1"/>
    </xf>
    <xf numFmtId="0" fontId="14" fillId="0" borderId="8" xfId="11" applyNumberFormat="1" applyFont="1" applyBorder="1" applyAlignment="1">
      <alignment horizontal="left" vertical="top" wrapText="1"/>
    </xf>
    <xf numFmtId="0" fontId="17" fillId="0" borderId="8" xfId="11" applyNumberFormat="1" applyFont="1" applyBorder="1" applyAlignment="1">
      <alignment horizontal="left" vertical="top" wrapText="1"/>
    </xf>
    <xf numFmtId="0" fontId="18" fillId="0" borderId="61" xfId="11" applyNumberFormat="1" applyFont="1" applyBorder="1" applyAlignment="1">
      <alignment horizontal="left" vertical="top" wrapText="1"/>
    </xf>
    <xf numFmtId="0" fontId="9" fillId="0" borderId="61" xfId="11" applyBorder="1" applyAlignment="1">
      <alignment vertical="top" wrapText="1"/>
    </xf>
    <xf numFmtId="0" fontId="14" fillId="0" borderId="8" xfId="11" applyNumberFormat="1" applyFont="1" applyBorder="1" applyAlignment="1">
      <alignment horizontal="center" vertical="top"/>
    </xf>
    <xf numFmtId="0" fontId="9" fillId="0" borderId="8" xfId="11" applyBorder="1" applyAlignment="1">
      <alignment vertical="top"/>
    </xf>
    <xf numFmtId="0" fontId="18" fillId="0" borderId="0" xfId="11" applyNumberFormat="1" applyFont="1" applyAlignment="1">
      <alignment horizontal="center" vertical="top" wrapText="1"/>
    </xf>
    <xf numFmtId="0" fontId="9" fillId="0" borderId="0" xfId="11" applyAlignment="1">
      <alignment vertical="top" wrapText="1"/>
    </xf>
    <xf numFmtId="0" fontId="12" fillId="0" borderId="0" xfId="11" applyNumberFormat="1" applyFont="1" applyAlignment="1">
      <alignment horizontal="center" vertical="top" wrapText="1"/>
    </xf>
    <xf numFmtId="0" fontId="49" fillId="0" borderId="59" xfId="52" applyNumberFormat="1" applyFont="1" applyFill="1" applyBorder="1" applyAlignment="1" applyProtection="1">
      <alignment horizontal="left" wrapText="1"/>
    </xf>
    <xf numFmtId="0" fontId="49" fillId="0" borderId="0" xfId="52" applyNumberFormat="1" applyFont="1" applyFill="1" applyBorder="1" applyAlignment="1" applyProtection="1">
      <alignment horizontal="left" wrapText="1"/>
    </xf>
    <xf numFmtId="49" fontId="59" fillId="0" borderId="8" xfId="52" applyNumberFormat="1" applyFont="1" applyFill="1" applyBorder="1" applyAlignment="1" applyProtection="1">
      <alignment horizontal="center" vertical="center" wrapText="1"/>
    </xf>
    <xf numFmtId="49" fontId="59" fillId="0" borderId="9" xfId="52" applyNumberFormat="1" applyFont="1" applyFill="1" applyBorder="1" applyAlignment="1" applyProtection="1">
      <alignment horizontal="center" vertical="center" wrapText="1"/>
    </xf>
    <xf numFmtId="49" fontId="59" fillId="0" borderId="26" xfId="52" applyNumberFormat="1" applyFont="1" applyFill="1" applyBorder="1" applyAlignment="1" applyProtection="1">
      <alignment horizontal="center" vertical="center" wrapText="1"/>
    </xf>
    <xf numFmtId="49" fontId="59" fillId="0" borderId="28" xfId="52" applyNumberFormat="1" applyFont="1" applyFill="1" applyBorder="1" applyAlignment="1" applyProtection="1">
      <alignment horizontal="center" vertical="center" wrapText="1"/>
    </xf>
    <xf numFmtId="49" fontId="59" fillId="0" borderId="57" xfId="52" applyNumberFormat="1" applyFont="1" applyFill="1" applyBorder="1" applyAlignment="1" applyProtection="1">
      <alignment horizontal="center" vertical="center" wrapText="1"/>
    </xf>
    <xf numFmtId="49" fontId="59" fillId="0" borderId="45" xfId="52" applyNumberFormat="1" applyFont="1" applyFill="1" applyBorder="1" applyAlignment="1" applyProtection="1">
      <alignment horizontal="center" vertical="center" wrapText="1"/>
    </xf>
    <xf numFmtId="49" fontId="59" fillId="0" borderId="34" xfId="52" applyNumberFormat="1" applyFont="1" applyFill="1" applyBorder="1" applyAlignment="1" applyProtection="1">
      <alignment horizontal="center" vertical="center" wrapText="1"/>
    </xf>
    <xf numFmtId="49" fontId="59" fillId="0" borderId="60" xfId="52" applyNumberFormat="1" applyFont="1" applyFill="1" applyBorder="1" applyAlignment="1" applyProtection="1">
      <alignment horizontal="center" vertical="center" wrapText="1"/>
    </xf>
    <xf numFmtId="0" fontId="10" fillId="0" borderId="59" xfId="52" applyNumberFormat="1" applyFont="1" applyFill="1" applyBorder="1" applyAlignment="1" applyProtection="1">
      <alignment horizontal="center" wrapText="1"/>
    </xf>
    <xf numFmtId="49" fontId="65" fillId="0" borderId="38" xfId="52" applyNumberFormat="1" applyFont="1" applyFill="1" applyBorder="1" applyAlignment="1" applyProtection="1">
      <alignment horizontal="center" vertical="top"/>
    </xf>
    <xf numFmtId="49" fontId="13" fillId="0" borderId="59" xfId="52" applyNumberFormat="1" applyFont="1" applyFill="1" applyBorder="1" applyAlignment="1" applyProtection="1">
      <alignment horizontal="center"/>
    </xf>
    <xf numFmtId="49" fontId="68" fillId="0" borderId="0" xfId="52" applyNumberFormat="1" applyFont="1" applyFill="1" applyBorder="1" applyAlignment="1" applyProtection="1">
      <alignment horizontal="center" vertical="top"/>
    </xf>
    <xf numFmtId="49" fontId="56" fillId="0" borderId="0" xfId="52" applyNumberFormat="1" applyFont="1" applyFill="1" applyBorder="1" applyAlignment="1" applyProtection="1">
      <alignment horizontal="left" vertical="top"/>
    </xf>
    <xf numFmtId="49" fontId="56" fillId="0" borderId="0" xfId="52" applyNumberFormat="1" applyFont="1" applyFill="1" applyBorder="1" applyAlignment="1" applyProtection="1">
      <alignment vertical="top" wrapText="1"/>
    </xf>
    <xf numFmtId="49" fontId="56" fillId="0" borderId="0" xfId="52" applyNumberFormat="1" applyFont="1" applyFill="1" applyBorder="1" applyAlignment="1" applyProtection="1">
      <alignment horizontal="left" vertical="top" wrapText="1"/>
    </xf>
    <xf numFmtId="0" fontId="56" fillId="0" borderId="28" xfId="52" applyNumberFormat="1" applyFont="1" applyFill="1" applyBorder="1" applyAlignment="1" applyProtection="1">
      <alignment horizontal="left" vertical="top" wrapText="1"/>
    </xf>
    <xf numFmtId="0" fontId="56" fillId="0" borderId="26" xfId="52" applyNumberFormat="1" applyFont="1" applyFill="1" applyBorder="1" applyAlignment="1" applyProtection="1">
      <alignment horizontal="left" vertical="top" wrapText="1"/>
    </xf>
    <xf numFmtId="49" fontId="49" fillId="0" borderId="28" xfId="52" applyNumberFormat="1" applyFont="1" applyFill="1" applyBorder="1" applyAlignment="1" applyProtection="1">
      <alignment horizontal="left" vertical="top" wrapText="1"/>
    </xf>
    <xf numFmtId="0" fontId="68" fillId="0" borderId="8" xfId="52" applyNumberFormat="1" applyFont="1" applyFill="1" applyBorder="1" applyAlignment="1" applyProtection="1">
      <alignment horizontal="left" vertical="top" wrapText="1"/>
    </xf>
    <xf numFmtId="49" fontId="59" fillId="0" borderId="11" xfId="52" applyNumberFormat="1" applyFont="1" applyFill="1" applyBorder="1" applyAlignment="1" applyProtection="1">
      <alignment horizontal="center" vertical="center" wrapText="1"/>
    </xf>
    <xf numFmtId="49" fontId="59" fillId="0" borderId="61" xfId="52" applyNumberFormat="1" applyFont="1" applyFill="1" applyBorder="1" applyAlignment="1" applyProtection="1">
      <alignment horizontal="center" vertical="center" wrapText="1"/>
    </xf>
    <xf numFmtId="49" fontId="59" fillId="0" borderId="8" xfId="52" applyNumberFormat="1" applyFont="1" applyFill="1" applyBorder="1" applyAlignment="1" applyProtection="1">
      <alignment horizontal="center" vertical="center"/>
    </xf>
    <xf numFmtId="49" fontId="57" fillId="0" borderId="9" xfId="52" applyNumberFormat="1" applyFont="1" applyFill="1" applyBorder="1" applyAlignment="1" applyProtection="1">
      <alignment horizontal="left" vertical="center" wrapText="1"/>
    </xf>
    <xf numFmtId="49" fontId="57" fillId="0" borderId="28" xfId="52" applyNumberFormat="1" applyFont="1" applyFill="1" applyBorder="1" applyAlignment="1" applyProtection="1">
      <alignment horizontal="left" vertical="center" wrapText="1"/>
    </xf>
    <xf numFmtId="49" fontId="57" fillId="0" borderId="26" xfId="52" applyNumberFormat="1" applyFont="1" applyFill="1" applyBorder="1" applyAlignment="1" applyProtection="1">
      <alignment horizontal="left" vertical="center" wrapText="1"/>
    </xf>
    <xf numFmtId="49" fontId="59" fillId="0" borderId="9" xfId="52" applyNumberFormat="1" applyFont="1" applyFill="1" applyBorder="1" applyAlignment="1" applyProtection="1">
      <alignment horizontal="left" vertical="center" wrapText="1"/>
    </xf>
    <xf numFmtId="49" fontId="59" fillId="0" borderId="28" xfId="52" applyNumberFormat="1" applyFont="1" applyFill="1" applyBorder="1" applyAlignment="1" applyProtection="1">
      <alignment horizontal="left" vertical="center" wrapText="1"/>
    </xf>
    <xf numFmtId="49" fontId="59" fillId="0" borderId="26" xfId="52" applyNumberFormat="1" applyFont="1" applyFill="1" applyBorder="1" applyAlignment="1" applyProtection="1">
      <alignment horizontal="left" vertical="center" wrapText="1"/>
    </xf>
    <xf numFmtId="49" fontId="65" fillId="0" borderId="28" xfId="52" applyNumberFormat="1" applyFont="1" applyFill="1" applyBorder="1" applyAlignment="1" applyProtection="1">
      <alignment horizontal="left" vertical="top" wrapText="1"/>
    </xf>
    <xf numFmtId="49" fontId="76" fillId="0" borderId="28" xfId="52" applyNumberFormat="1" applyFont="1" applyFill="1" applyBorder="1" applyAlignment="1" applyProtection="1">
      <alignment horizontal="left" vertical="top" wrapText="1"/>
    </xf>
    <xf numFmtId="49" fontId="68" fillId="0" borderId="9" xfId="52" applyNumberFormat="1" applyFont="1" applyFill="1" applyBorder="1" applyAlignment="1" applyProtection="1">
      <alignment horizontal="left" vertical="top" wrapText="1"/>
    </xf>
    <xf numFmtId="49" fontId="68" fillId="0" borderId="28" xfId="52" applyNumberFormat="1" applyFont="1" applyFill="1" applyBorder="1" applyAlignment="1" applyProtection="1">
      <alignment horizontal="left" vertical="top" wrapText="1"/>
    </xf>
    <xf numFmtId="49" fontId="68" fillId="0" borderId="26" xfId="52" applyNumberFormat="1" applyFont="1" applyFill="1" applyBorder="1" applyAlignment="1" applyProtection="1">
      <alignment horizontal="left" vertical="top" wrapText="1"/>
    </xf>
    <xf numFmtId="49" fontId="56" fillId="0" borderId="9" xfId="52" applyNumberFormat="1" applyFont="1" applyFill="1" applyBorder="1" applyAlignment="1" applyProtection="1">
      <alignment horizontal="left" vertical="top" wrapText="1"/>
    </xf>
    <xf numFmtId="49" fontId="56" fillId="0" borderId="28" xfId="52" applyNumberFormat="1" applyFont="1" applyFill="1" applyBorder="1" applyAlignment="1" applyProtection="1">
      <alignment horizontal="left" vertical="top" wrapText="1"/>
    </xf>
    <xf numFmtId="49" fontId="56" fillId="0" borderId="26" xfId="52" applyNumberFormat="1" applyFont="1" applyFill="1" applyBorder="1" applyAlignment="1" applyProtection="1">
      <alignment horizontal="left" vertical="top" wrapText="1"/>
    </xf>
    <xf numFmtId="49" fontId="55" fillId="0" borderId="0" xfId="52" applyNumberFormat="1" applyFont="1" applyFill="1" applyBorder="1" applyAlignment="1" applyProtection="1">
      <alignment horizontal="center"/>
    </xf>
    <xf numFmtId="49" fontId="75" fillId="0" borderId="0" xfId="52" applyNumberFormat="1" applyFont="1" applyFill="1" applyBorder="1" applyAlignment="1" applyProtection="1">
      <alignment horizontal="center"/>
    </xf>
    <xf numFmtId="49" fontId="65" fillId="0" borderId="0" xfId="52" applyNumberFormat="1" applyFont="1" applyFill="1" applyBorder="1" applyAlignment="1" applyProtection="1">
      <alignment horizontal="center" vertical="center"/>
    </xf>
    <xf numFmtId="49" fontId="59" fillId="0" borderId="44" xfId="52" applyNumberFormat="1" applyFont="1" applyFill="1" applyBorder="1" applyAlignment="1" applyProtection="1">
      <alignment horizontal="center" vertical="center" wrapText="1"/>
    </xf>
    <xf numFmtId="49" fontId="49" fillId="0" borderId="59" xfId="52" applyNumberFormat="1" applyFont="1" applyFill="1" applyBorder="1" applyAlignment="1" applyProtection="1">
      <alignment horizontal="left" wrapText="1"/>
    </xf>
    <xf numFmtId="0" fontId="49" fillId="0" borderId="28" xfId="52" applyNumberFormat="1" applyFont="1" applyFill="1" applyBorder="1" applyAlignment="1" applyProtection="1">
      <alignment horizontal="left" wrapText="1"/>
    </xf>
    <xf numFmtId="49" fontId="49" fillId="0" borderId="0" xfId="52" applyNumberFormat="1" applyFont="1" applyFill="1" applyBorder="1" applyAlignment="1" applyProtection="1">
      <alignment horizontal="left" vertical="top" wrapText="1"/>
    </xf>
    <xf numFmtId="0" fontId="49" fillId="0" borderId="0" xfId="52" applyNumberFormat="1" applyFont="1" applyFill="1" applyBorder="1" applyAlignment="1" applyProtection="1">
      <alignment horizontal="left" vertical="top" wrapText="1"/>
    </xf>
    <xf numFmtId="49" fontId="49" fillId="0" borderId="0" xfId="52" applyNumberFormat="1" applyFont="1" applyFill="1" applyBorder="1" applyAlignment="1" applyProtection="1">
      <alignment horizontal="center" wrapText="1"/>
    </xf>
    <xf numFmtId="49" fontId="13" fillId="0" borderId="0" xfId="52" applyNumberFormat="1" applyFont="1" applyFill="1" applyBorder="1" applyAlignment="1" applyProtection="1">
      <alignment horizontal="center"/>
    </xf>
    <xf numFmtId="49" fontId="49" fillId="0" borderId="59" xfId="52" applyNumberFormat="1" applyFont="1" applyFill="1" applyBorder="1" applyAlignment="1" applyProtection="1">
      <alignment horizontal="center" wrapText="1"/>
    </xf>
    <xf numFmtId="49" fontId="49" fillId="0" borderId="0" xfId="52" applyNumberFormat="1" applyFont="1" applyFill="1" applyBorder="1" applyAlignment="1" applyProtection="1">
      <alignment horizontal="left" vertical="top"/>
    </xf>
    <xf numFmtId="0" fontId="49" fillId="0" borderId="28" xfId="52" applyNumberFormat="1" applyFont="1" applyFill="1" applyBorder="1" applyAlignment="1" applyProtection="1">
      <alignment horizontal="center"/>
    </xf>
    <xf numFmtId="49" fontId="56" fillId="0" borderId="8" xfId="52" applyNumberFormat="1" applyFont="1" applyFill="1" applyBorder="1" applyAlignment="1" applyProtection="1">
      <alignment horizontal="center" vertical="center" wrapText="1"/>
    </xf>
    <xf numFmtId="0" fontId="56" fillId="0" borderId="8" xfId="52" applyNumberFormat="1" applyFont="1" applyFill="1" applyBorder="1" applyAlignment="1" applyProtection="1">
      <alignment horizontal="center" vertical="center" wrapText="1"/>
    </xf>
    <xf numFmtId="49" fontId="65" fillId="0" borderId="38" xfId="52" applyNumberFormat="1" applyFont="1" applyFill="1" applyBorder="1" applyAlignment="1" applyProtection="1">
      <alignment horizontal="center"/>
    </xf>
    <xf numFmtId="49" fontId="49" fillId="0" borderId="59" xfId="52" applyNumberFormat="1" applyFont="1" applyFill="1" applyBorder="1" applyAlignment="1" applyProtection="1">
      <alignment wrapText="1"/>
    </xf>
    <xf numFmtId="4" fontId="49" fillId="0" borderId="28" xfId="52" applyNumberFormat="1" applyFont="1" applyFill="1" applyBorder="1" applyAlignment="1" applyProtection="1">
      <alignment horizontal="right"/>
    </xf>
    <xf numFmtId="0" fontId="56" fillId="0" borderId="0" xfId="52" applyNumberFormat="1" applyFont="1" applyFill="1" applyBorder="1" applyAlignment="1" applyProtection="1">
      <alignment horizontal="left" vertical="top" wrapText="1"/>
    </xf>
    <xf numFmtId="0" fontId="56" fillId="0" borderId="43" xfId="52" applyNumberFormat="1" applyFont="1" applyFill="1" applyBorder="1" applyAlignment="1" applyProtection="1">
      <alignment horizontal="left" vertical="top" wrapText="1"/>
    </xf>
    <xf numFmtId="49" fontId="56" fillId="0" borderId="38" xfId="52" applyNumberFormat="1" applyFont="1" applyFill="1" applyBorder="1" applyAlignment="1" applyProtection="1">
      <alignment horizontal="left" vertical="top" wrapText="1"/>
    </xf>
    <xf numFmtId="0" fontId="56" fillId="0" borderId="8" xfId="52" applyNumberFormat="1" applyFont="1" applyFill="1" applyBorder="1" applyAlignment="1" applyProtection="1">
      <alignment horizontal="center" vertical="center"/>
    </xf>
    <xf numFmtId="49" fontId="67" fillId="0" borderId="9" xfId="52" applyNumberFormat="1" applyFont="1" applyFill="1" applyBorder="1" applyAlignment="1" applyProtection="1">
      <alignment horizontal="left" vertical="center" wrapText="1"/>
    </xf>
    <xf numFmtId="49" fontId="67" fillId="0" borderId="28" xfId="52" applyNumberFormat="1" applyFont="1" applyFill="1" applyBorder="1" applyAlignment="1" applyProtection="1">
      <alignment horizontal="left" vertical="center" wrapText="1"/>
    </xf>
    <xf numFmtId="49" fontId="67" fillId="0" borderId="26" xfId="52" applyNumberFormat="1" applyFont="1" applyFill="1" applyBorder="1" applyAlignment="1" applyProtection="1">
      <alignment horizontal="left" vertical="center" wrapText="1"/>
    </xf>
    <xf numFmtId="49" fontId="68" fillId="0" borderId="9" xfId="52" applyNumberFormat="1" applyFont="1" applyFill="1" applyBorder="1" applyAlignment="1" applyProtection="1">
      <alignment horizontal="left" vertical="center" wrapText="1"/>
    </xf>
    <xf numFmtId="49" fontId="68" fillId="0" borderId="28" xfId="52" applyNumberFormat="1" applyFont="1" applyFill="1" applyBorder="1" applyAlignment="1" applyProtection="1">
      <alignment horizontal="left" vertical="center" wrapText="1"/>
    </xf>
    <xf numFmtId="49" fontId="68" fillId="0" borderId="26" xfId="52" applyNumberFormat="1" applyFont="1" applyFill="1" applyBorder="1" applyAlignment="1" applyProtection="1">
      <alignment horizontal="left" vertical="center" wrapText="1"/>
    </xf>
    <xf numFmtId="49" fontId="56" fillId="0" borderId="9" xfId="52" applyNumberFormat="1" applyFont="1" applyFill="1" applyBorder="1" applyAlignment="1" applyProtection="1">
      <alignment horizontal="left" vertical="center" wrapText="1"/>
    </xf>
    <xf numFmtId="49" fontId="56" fillId="0" borderId="28" xfId="52" applyNumberFormat="1" applyFont="1" applyFill="1" applyBorder="1" applyAlignment="1" applyProtection="1">
      <alignment horizontal="left" vertical="center" wrapText="1"/>
    </xf>
    <xf numFmtId="49" fontId="56" fillId="0" borderId="26" xfId="52" applyNumberFormat="1" applyFont="1" applyFill="1" applyBorder="1" applyAlignment="1" applyProtection="1">
      <alignment horizontal="left" vertical="center" wrapText="1"/>
    </xf>
    <xf numFmtId="49" fontId="68" fillId="0" borderId="38" xfId="52" applyNumberFormat="1" applyFont="1" applyFill="1" applyBorder="1" applyAlignment="1" applyProtection="1">
      <alignment horizontal="left" vertical="top" wrapText="1"/>
    </xf>
    <xf numFmtId="49" fontId="77" fillId="0" borderId="38" xfId="52" applyNumberFormat="1" applyFont="1" applyFill="1" applyBorder="1" applyAlignment="1" applyProtection="1">
      <alignment horizontal="left" vertical="top" wrapText="1"/>
    </xf>
    <xf numFmtId="0" fontId="76" fillId="0" borderId="0" xfId="52" applyNumberFormat="1" applyFont="1" applyFill="1" applyBorder="1" applyAlignment="1" applyProtection="1">
      <alignment horizontal="left" vertical="top" wrapText="1"/>
    </xf>
    <xf numFmtId="0" fontId="76" fillId="0" borderId="43" xfId="52" applyNumberFormat="1" applyFont="1" applyFill="1" applyBorder="1" applyAlignment="1" applyProtection="1">
      <alignment horizontal="left" vertical="top" wrapText="1"/>
    </xf>
    <xf numFmtId="49" fontId="76" fillId="0" borderId="0" xfId="52" applyNumberFormat="1" applyFont="1" applyFill="1" applyBorder="1" applyAlignment="1" applyProtection="1">
      <alignment horizontal="left" vertical="top" wrapText="1"/>
    </xf>
    <xf numFmtId="49" fontId="76" fillId="0" borderId="38" xfId="52" applyNumberFormat="1" applyFont="1" applyFill="1" applyBorder="1" applyAlignment="1" applyProtection="1">
      <alignment horizontal="left" vertical="top" wrapText="1"/>
    </xf>
    <xf numFmtId="49" fontId="76" fillId="0" borderId="43" xfId="52" applyNumberFormat="1" applyFont="1" applyFill="1" applyBorder="1" applyAlignment="1" applyProtection="1">
      <alignment horizontal="left" vertical="top" wrapText="1"/>
    </xf>
    <xf numFmtId="49" fontId="68" fillId="0" borderId="0" xfId="52" applyNumberFormat="1" applyFont="1" applyFill="1" applyBorder="1" applyAlignment="1" applyProtection="1">
      <alignment horizontal="left" vertical="top" wrapText="1"/>
    </xf>
    <xf numFmtId="49" fontId="56" fillId="0" borderId="43" xfId="52" applyNumberFormat="1" applyFont="1" applyFill="1" applyBorder="1" applyAlignment="1" applyProtection="1">
      <alignment horizontal="left" vertical="top" wrapText="1"/>
    </xf>
    <xf numFmtId="49" fontId="49" fillId="0" borderId="59" xfId="52" applyNumberFormat="1" applyFont="1" applyFill="1" applyBorder="1" applyAlignment="1" applyProtection="1">
      <alignment vertical="top" wrapText="1"/>
    </xf>
    <xf numFmtId="49" fontId="49" fillId="0" borderId="59" xfId="52" applyNumberFormat="1" applyFont="1" applyFill="1" applyBorder="1" applyAlignment="1" applyProtection="1">
      <alignment horizontal="right" vertical="top" wrapText="1"/>
    </xf>
    <xf numFmtId="0" fontId="65" fillId="0" borderId="38" xfId="52" applyNumberFormat="1" applyFont="1" applyFill="1" applyBorder="1" applyAlignment="1" applyProtection="1">
      <alignment horizontal="center" vertical="top"/>
    </xf>
    <xf numFmtId="0" fontId="49" fillId="0" borderId="63" xfId="52" applyNumberFormat="1" applyFont="1" applyFill="1" applyBorder="1" applyAlignment="1" applyProtection="1">
      <alignment horizontal="left" wrapText="1"/>
    </xf>
    <xf numFmtId="49" fontId="49" fillId="0" borderId="63" xfId="52" applyNumberFormat="1" applyFont="1" applyFill="1" applyBorder="1" applyAlignment="1" applyProtection="1">
      <alignment horizontal="center" wrapText="1"/>
    </xf>
    <xf numFmtId="49" fontId="49" fillId="0" borderId="63" xfId="52" applyNumberFormat="1" applyFont="1" applyFill="1" applyBorder="1" applyAlignment="1" applyProtection="1">
      <alignment horizontal="left" wrapText="1"/>
    </xf>
    <xf numFmtId="0" fontId="56" fillId="0" borderId="57" xfId="52" applyNumberFormat="1" applyFont="1" applyFill="1" applyBorder="1" applyAlignment="1" applyProtection="1">
      <alignment horizontal="center" vertical="center" wrapText="1"/>
    </xf>
    <xf numFmtId="0" fontId="56" fillId="0" borderId="38" xfId="52" applyNumberFormat="1" applyFont="1" applyFill="1" applyBorder="1" applyAlignment="1" applyProtection="1">
      <alignment horizontal="center" vertical="center" wrapText="1"/>
    </xf>
    <xf numFmtId="0" fontId="56" fillId="0" borderId="45" xfId="52" applyNumberFormat="1" applyFont="1" applyFill="1" applyBorder="1" applyAlignment="1" applyProtection="1">
      <alignment horizontal="center" vertical="center" wrapText="1"/>
    </xf>
    <xf numFmtId="0" fontId="56" fillId="0" borderId="34" xfId="52" applyNumberFormat="1" applyFont="1" applyFill="1" applyBorder="1" applyAlignment="1" applyProtection="1">
      <alignment horizontal="center" vertical="center" wrapText="1"/>
    </xf>
    <xf numFmtId="0" fontId="56" fillId="0" borderId="63" xfId="52" applyNumberFormat="1" applyFont="1" applyFill="1" applyBorder="1" applyAlignment="1" applyProtection="1">
      <alignment horizontal="center" vertical="center" wrapText="1"/>
    </xf>
    <xf numFmtId="0" fontId="56" fillId="0" borderId="64" xfId="52" applyNumberFormat="1" applyFont="1" applyFill="1" applyBorder="1" applyAlignment="1" applyProtection="1">
      <alignment horizontal="center" vertical="center" wrapText="1"/>
    </xf>
    <xf numFmtId="0" fontId="56" fillId="0" borderId="9" xfId="52" applyNumberFormat="1" applyFont="1" applyFill="1" applyBorder="1" applyAlignment="1" applyProtection="1">
      <alignment horizontal="center" vertical="center"/>
    </xf>
    <xf numFmtId="0" fontId="56" fillId="0" borderId="28" xfId="52" applyNumberFormat="1" applyFont="1" applyFill="1" applyBorder="1" applyAlignment="1" applyProtection="1">
      <alignment horizontal="center" vertical="center"/>
    </xf>
    <xf numFmtId="0" fontId="56" fillId="0" borderId="26" xfId="52" applyNumberFormat="1" applyFont="1" applyFill="1" applyBorder="1" applyAlignment="1" applyProtection="1">
      <alignment horizontal="center" vertical="center"/>
    </xf>
    <xf numFmtId="0" fontId="68" fillId="0" borderId="38" xfId="52" applyNumberFormat="1" applyFont="1" applyFill="1" applyBorder="1" applyAlignment="1" applyProtection="1">
      <alignment horizontal="left" vertical="top" wrapText="1"/>
    </xf>
    <xf numFmtId="0" fontId="49" fillId="0" borderId="63" xfId="52" applyNumberFormat="1" applyFont="1" applyFill="1" applyBorder="1" applyAlignment="1" applyProtection="1">
      <alignment wrapText="1"/>
    </xf>
    <xf numFmtId="0" fontId="56" fillId="0" borderId="58" xfId="52" applyNumberFormat="1" applyFont="1" applyFill="1" applyBorder="1" applyAlignment="1" applyProtection="1">
      <alignment horizontal="center" vertical="center" wrapText="1"/>
    </xf>
    <xf numFmtId="0" fontId="56" fillId="0" borderId="0" xfId="52" applyNumberFormat="1" applyFont="1" applyFill="1" applyBorder="1" applyAlignment="1" applyProtection="1">
      <alignment horizontal="center" vertical="center" wrapText="1"/>
    </xf>
    <xf numFmtId="0" fontId="56" fillId="0" borderId="43" xfId="52" applyNumberFormat="1" applyFont="1" applyFill="1" applyBorder="1" applyAlignment="1" applyProtection="1">
      <alignment horizontal="center" vertical="center" wrapText="1"/>
    </xf>
    <xf numFmtId="49" fontId="65" fillId="0" borderId="0" xfId="52" applyNumberFormat="1" applyFont="1" applyFill="1" applyBorder="1" applyAlignment="1" applyProtection="1">
      <alignment horizontal="left" vertical="top" wrapText="1"/>
    </xf>
    <xf numFmtId="49" fontId="49" fillId="0" borderId="63" xfId="52" applyNumberFormat="1" applyFont="1" applyFill="1" applyBorder="1" applyAlignment="1" applyProtection="1">
      <alignment vertical="top" wrapText="1"/>
    </xf>
    <xf numFmtId="49" fontId="49" fillId="0" borderId="63" xfId="52" applyNumberFormat="1" applyFont="1" applyFill="1" applyBorder="1" applyAlignment="1" applyProtection="1">
      <alignment horizontal="right" vertical="top" wrapText="1"/>
    </xf>
    <xf numFmtId="0" fontId="56" fillId="0" borderId="0" xfId="52" applyNumberFormat="1" applyFont="1" applyFill="1" applyBorder="1" applyAlignment="1" applyProtection="1">
      <alignment horizontal="left" vertical="top"/>
    </xf>
    <xf numFmtId="0" fontId="8" fillId="8" borderId="85" xfId="0" applyFont="1" applyFill="1" applyBorder="1" applyAlignment="1">
      <alignment horizontal="center" vertical="center" wrapText="1"/>
    </xf>
    <xf numFmtId="0" fontId="8" fillId="8" borderId="45" xfId="0" applyFont="1" applyFill="1" applyBorder="1" applyAlignment="1">
      <alignment horizontal="center" vertical="center" wrapText="1"/>
    </xf>
    <xf numFmtId="0" fontId="6" fillId="8" borderId="73" xfId="79" applyFont="1" applyFill="1" applyBorder="1" applyAlignment="1">
      <alignment horizontal="center" vertical="center"/>
    </xf>
    <xf numFmtId="0" fontId="2" fillId="0" borderId="0" xfId="53" applyFont="1" applyBorder="1" applyAlignment="1">
      <alignment horizontal="center" vertical="center" wrapText="1"/>
    </xf>
    <xf numFmtId="0" fontId="23" fillId="0" borderId="0" xfId="53" applyFont="1" applyBorder="1" applyAlignment="1">
      <alignment horizontal="center"/>
    </xf>
    <xf numFmtId="0" fontId="3" fillId="0" borderId="0" xfId="53" applyFont="1" applyBorder="1" applyAlignment="1">
      <alignment horizontal="left" wrapText="1"/>
    </xf>
    <xf numFmtId="0" fontId="3" fillId="0" borderId="0" xfId="53" applyFont="1" applyBorder="1" applyAlignment="1">
      <alignment horizontal="center" vertical="center" textRotation="90"/>
    </xf>
    <xf numFmtId="0" fontId="3" fillId="8" borderId="84" xfId="53" applyFont="1" applyFill="1" applyBorder="1" applyAlignment="1">
      <alignment horizontal="center" vertical="center" wrapText="1"/>
    </xf>
    <xf numFmtId="0" fontId="3" fillId="8" borderId="88" xfId="53" applyFont="1" applyFill="1" applyBorder="1" applyAlignment="1">
      <alignment horizontal="center" vertical="center" wrapText="1"/>
    </xf>
    <xf numFmtId="0" fontId="3" fillId="8" borderId="84" xfId="53" applyFont="1" applyFill="1" applyBorder="1" applyAlignment="1">
      <alignment horizontal="center" vertical="center"/>
    </xf>
    <xf numFmtId="0" fontId="3" fillId="8" borderId="88" xfId="53" applyFont="1" applyFill="1" applyBorder="1" applyAlignment="1">
      <alignment horizontal="center" vertical="center"/>
    </xf>
    <xf numFmtId="0" fontId="3" fillId="8" borderId="65" xfId="53" applyFont="1" applyFill="1" applyBorder="1" applyAlignment="1">
      <alignment horizontal="center" vertical="center" wrapText="1"/>
    </xf>
    <xf numFmtId="0" fontId="3" fillId="8" borderId="93" xfId="53" applyFont="1" applyFill="1" applyBorder="1" applyAlignment="1">
      <alignment horizontal="center" vertical="center" wrapText="1"/>
    </xf>
    <xf numFmtId="0" fontId="3" fillId="8" borderId="65" xfId="53" applyFont="1" applyFill="1" applyBorder="1" applyAlignment="1">
      <alignment horizontal="center" vertical="center"/>
    </xf>
    <xf numFmtId="0" fontId="3" fillId="8" borderId="93" xfId="53" applyFont="1" applyFill="1" applyBorder="1" applyAlignment="1">
      <alignment horizontal="center" vertical="center"/>
    </xf>
    <xf numFmtId="0" fontId="2" fillId="8" borderId="84" xfId="53" applyFont="1" applyFill="1" applyBorder="1" applyAlignment="1">
      <alignment horizontal="center" vertical="center" wrapText="1"/>
    </xf>
    <xf numFmtId="0" fontId="2" fillId="8" borderId="65" xfId="53" applyFont="1" applyFill="1" applyBorder="1" applyAlignment="1">
      <alignment horizontal="center" vertical="center" wrapText="1"/>
    </xf>
    <xf numFmtId="0" fontId="2" fillId="8" borderId="93" xfId="53" applyFont="1" applyFill="1" applyBorder="1" applyAlignment="1">
      <alignment horizontal="center" vertical="center" wrapText="1"/>
    </xf>
    <xf numFmtId="0" fontId="2" fillId="0" borderId="0" xfId="53" applyFont="1" applyBorder="1" applyAlignment="1">
      <alignment horizontal="center" vertical="center"/>
    </xf>
    <xf numFmtId="0" fontId="28" fillId="8" borderId="84" xfId="53" applyFont="1" applyFill="1" applyBorder="1" applyAlignment="1">
      <alignment horizontal="center" vertical="center" wrapText="1"/>
    </xf>
    <xf numFmtId="0" fontId="28" fillId="8" borderId="65" xfId="53" applyFont="1" applyFill="1" applyBorder="1" applyAlignment="1">
      <alignment horizontal="center" vertical="center" wrapText="1"/>
    </xf>
    <xf numFmtId="0" fontId="28" fillId="8" borderId="93" xfId="53" applyFont="1" applyFill="1" applyBorder="1" applyAlignment="1">
      <alignment horizontal="center" vertical="center" wrapText="1"/>
    </xf>
    <xf numFmtId="0" fontId="47" fillId="8" borderId="73" xfId="53" applyFont="1" applyFill="1" applyBorder="1" applyAlignment="1">
      <alignment horizontal="center" vertical="center"/>
    </xf>
    <xf numFmtId="0" fontId="3" fillId="8" borderId="73" xfId="53" applyFont="1" applyFill="1" applyBorder="1" applyAlignment="1">
      <alignment horizontal="center" vertical="center" wrapText="1"/>
    </xf>
    <xf numFmtId="0" fontId="47" fillId="0" borderId="83" xfId="53" applyFont="1" applyBorder="1" applyAlignment="1">
      <alignment horizontal="center"/>
    </xf>
    <xf numFmtId="0" fontId="47" fillId="0" borderId="90" xfId="53" applyFont="1" applyBorder="1" applyAlignment="1">
      <alignment horizontal="center"/>
    </xf>
    <xf numFmtId="0" fontId="107" fillId="8" borderId="84" xfId="0" applyFont="1" applyFill="1" applyBorder="1" applyAlignment="1">
      <alignment horizontal="center" vertical="center" wrapText="1"/>
    </xf>
    <xf numFmtId="0" fontId="107" fillId="8" borderId="93" xfId="0" applyFont="1" applyFill="1" applyBorder="1" applyAlignment="1">
      <alignment horizontal="center" vertical="center" wrapText="1"/>
    </xf>
    <xf numFmtId="0" fontId="108" fillId="8" borderId="84" xfId="0" applyFont="1" applyFill="1" applyBorder="1" applyAlignment="1">
      <alignment horizontal="center" vertical="center" wrapText="1"/>
    </xf>
    <xf numFmtId="0" fontId="108" fillId="8" borderId="93" xfId="0" applyFont="1" applyFill="1" applyBorder="1" applyAlignment="1">
      <alignment horizontal="center" vertical="center" wrapText="1"/>
    </xf>
    <xf numFmtId="0" fontId="3" fillId="8" borderId="57" xfId="53" applyFont="1" applyFill="1" applyBorder="1" applyAlignment="1">
      <alignment horizontal="center" vertical="center" wrapText="1"/>
    </xf>
    <xf numFmtId="0" fontId="3" fillId="8" borderId="58" xfId="53" applyFont="1" applyFill="1" applyBorder="1" applyAlignment="1">
      <alignment horizontal="center" vertical="center" wrapText="1"/>
    </xf>
    <xf numFmtId="0" fontId="3" fillId="8" borderId="94" xfId="53" applyFont="1" applyFill="1" applyBorder="1" applyAlignment="1">
      <alignment horizontal="center" vertical="center" wrapText="1"/>
    </xf>
    <xf numFmtId="0" fontId="28" fillId="8" borderId="73" xfId="53" applyFont="1" applyFill="1" applyBorder="1" applyAlignment="1">
      <alignment horizontal="center" vertical="center" wrapText="1"/>
    </xf>
    <xf numFmtId="0" fontId="107" fillId="8" borderId="73" xfId="0" applyFont="1" applyFill="1" applyBorder="1" applyAlignment="1">
      <alignment horizontal="center" vertical="center" wrapText="1"/>
    </xf>
    <xf numFmtId="0" fontId="3" fillId="8" borderId="73" xfId="53" applyFont="1" applyFill="1" applyBorder="1" applyAlignment="1">
      <alignment horizontal="center" vertical="center"/>
    </xf>
    <xf numFmtId="0" fontId="3" fillId="8" borderId="41" xfId="53" applyFont="1" applyFill="1" applyBorder="1" applyAlignment="1">
      <alignment horizontal="center" vertical="center" wrapText="1"/>
    </xf>
    <xf numFmtId="0" fontId="108" fillId="8" borderId="73" xfId="0" applyFont="1" applyFill="1" applyBorder="1" applyAlignment="1">
      <alignment horizontal="center" vertical="center" wrapText="1"/>
    </xf>
    <xf numFmtId="0" fontId="2" fillId="8" borderId="73" xfId="53" applyFont="1" applyFill="1" applyBorder="1" applyAlignment="1">
      <alignment horizontal="center" vertical="center" wrapText="1"/>
    </xf>
    <xf numFmtId="0" fontId="47" fillId="0" borderId="41" xfId="53" applyFont="1" applyBorder="1" applyAlignment="1">
      <alignment horizontal="center"/>
    </xf>
    <xf numFmtId="0" fontId="47" fillId="0" borderId="73" xfId="53" applyFont="1" applyBorder="1" applyAlignment="1">
      <alignment horizontal="center" vertical="center" wrapText="1"/>
    </xf>
    <xf numFmtId="0" fontId="47" fillId="0" borderId="73" xfId="53" applyFont="1" applyBorder="1" applyAlignment="1">
      <alignment horizontal="center" vertical="center"/>
    </xf>
    <xf numFmtId="49" fontId="49" fillId="0" borderId="91" xfId="74" applyNumberFormat="1" applyFont="1" applyFill="1" applyBorder="1" applyAlignment="1" applyProtection="1">
      <alignment vertical="top" wrapText="1"/>
    </xf>
    <xf numFmtId="49" fontId="49" fillId="0" borderId="91" xfId="74" applyNumberFormat="1" applyFont="1" applyFill="1" applyBorder="1" applyAlignment="1" applyProtection="1">
      <alignment horizontal="right" vertical="top" wrapText="1"/>
    </xf>
    <xf numFmtId="0" fontId="65" fillId="0" borderId="38" xfId="74" applyNumberFormat="1" applyFont="1" applyFill="1" applyBorder="1" applyAlignment="1" applyProtection="1">
      <alignment horizontal="center" vertical="top"/>
    </xf>
    <xf numFmtId="0" fontId="56" fillId="0" borderId="0" xfId="74" applyNumberFormat="1" applyFont="1" applyFill="1" applyBorder="1" applyAlignment="1" applyProtection="1">
      <alignment horizontal="left" wrapText="1"/>
    </xf>
    <xf numFmtId="49" fontId="56" fillId="0" borderId="0" xfId="74" applyNumberFormat="1" applyFont="1" applyFill="1" applyBorder="1" applyAlignment="1" applyProtection="1">
      <alignment vertical="top" wrapText="1"/>
    </xf>
    <xf numFmtId="49" fontId="68" fillId="0" borderId="0" xfId="74" applyNumberFormat="1" applyFont="1" applyFill="1" applyBorder="1" applyAlignment="1" applyProtection="1">
      <alignment vertical="top" wrapText="1"/>
    </xf>
    <xf numFmtId="49" fontId="68" fillId="0" borderId="38" xfId="74" applyNumberFormat="1" applyFont="1" applyFill="1" applyBorder="1" applyAlignment="1" applyProtection="1">
      <alignment horizontal="left" vertical="top" wrapText="1"/>
    </xf>
    <xf numFmtId="0" fontId="68" fillId="0" borderId="38" xfId="74" applyNumberFormat="1" applyFont="1" applyFill="1" applyBorder="1" applyAlignment="1" applyProtection="1">
      <alignment horizontal="left" vertical="top" wrapText="1"/>
    </xf>
    <xf numFmtId="49" fontId="56" fillId="0" borderId="0" xfId="74" applyNumberFormat="1" applyFont="1" applyFill="1" applyBorder="1" applyAlignment="1" applyProtection="1">
      <alignment horizontal="left" vertical="top" wrapText="1"/>
    </xf>
    <xf numFmtId="49" fontId="56" fillId="0" borderId="43" xfId="74" applyNumberFormat="1" applyFont="1" applyFill="1" applyBorder="1" applyAlignment="1" applyProtection="1">
      <alignment horizontal="left" vertical="top" wrapText="1"/>
    </xf>
    <xf numFmtId="49" fontId="49" fillId="0" borderId="0" xfId="74" applyNumberFormat="1" applyFont="1" applyFill="1" applyBorder="1" applyAlignment="1" applyProtection="1">
      <alignment horizontal="left" vertical="top" wrapText="1"/>
    </xf>
    <xf numFmtId="49" fontId="65" fillId="0" borderId="0" xfId="74" applyNumberFormat="1" applyFont="1" applyFill="1" applyBorder="1" applyAlignment="1" applyProtection="1">
      <alignment horizontal="left" vertical="top" wrapText="1"/>
    </xf>
    <xf numFmtId="0" fontId="56" fillId="0" borderId="0" xfId="74" applyNumberFormat="1" applyFont="1" applyFill="1" applyBorder="1" applyAlignment="1" applyProtection="1">
      <alignment horizontal="left" vertical="top" wrapText="1"/>
    </xf>
    <xf numFmtId="0" fontId="56" fillId="0" borderId="43" xfId="74" applyNumberFormat="1" applyFont="1" applyFill="1" applyBorder="1" applyAlignment="1" applyProtection="1">
      <alignment horizontal="left" vertical="top" wrapText="1"/>
    </xf>
    <xf numFmtId="49" fontId="68" fillId="0" borderId="83" xfId="74" applyNumberFormat="1" applyFont="1" applyFill="1" applyBorder="1" applyAlignment="1" applyProtection="1">
      <alignment horizontal="left" vertical="center" wrapText="1"/>
    </xf>
    <xf numFmtId="49" fontId="68" fillId="0" borderId="41" xfId="74" applyNumberFormat="1" applyFont="1" applyFill="1" applyBorder="1" applyAlignment="1" applyProtection="1">
      <alignment horizontal="left" vertical="center" wrapText="1"/>
    </xf>
    <xf numFmtId="49" fontId="68" fillId="0" borderId="90" xfId="74" applyNumberFormat="1" applyFont="1" applyFill="1" applyBorder="1" applyAlignment="1" applyProtection="1">
      <alignment horizontal="left" vertical="center" wrapText="1"/>
    </xf>
    <xf numFmtId="0" fontId="56" fillId="0" borderId="83" xfId="74" applyNumberFormat="1" applyFont="1" applyFill="1" applyBorder="1" applyAlignment="1" applyProtection="1">
      <alignment horizontal="center" vertical="center"/>
    </xf>
    <xf numFmtId="0" fontId="56" fillId="0" borderId="41" xfId="74" applyNumberFormat="1" applyFont="1" applyFill="1" applyBorder="1" applyAlignment="1" applyProtection="1">
      <alignment horizontal="center" vertical="center"/>
    </xf>
    <xf numFmtId="0" fontId="56" fillId="0" borderId="90" xfId="74" applyNumberFormat="1" applyFont="1" applyFill="1" applyBorder="1" applyAlignment="1" applyProtection="1">
      <alignment horizontal="center" vertical="center"/>
    </xf>
    <xf numFmtId="49" fontId="65" fillId="0" borderId="38" xfId="74" applyNumberFormat="1" applyFont="1" applyFill="1" applyBorder="1" applyAlignment="1" applyProtection="1">
      <alignment horizontal="center" vertical="top"/>
    </xf>
    <xf numFmtId="49" fontId="49" fillId="0" borderId="91" xfId="74" applyNumberFormat="1" applyFont="1" applyFill="1" applyBorder="1" applyAlignment="1" applyProtection="1">
      <alignment horizontal="left" wrapText="1"/>
    </xf>
    <xf numFmtId="49" fontId="65" fillId="0" borderId="38" xfId="74" applyNumberFormat="1" applyFont="1" applyFill="1" applyBorder="1" applyAlignment="1" applyProtection="1">
      <alignment horizontal="center"/>
    </xf>
    <xf numFmtId="0" fontId="49" fillId="0" borderId="91" xfId="74" applyNumberFormat="1" applyFont="1" applyFill="1" applyBorder="1" applyAlignment="1" applyProtection="1">
      <alignment wrapText="1"/>
    </xf>
    <xf numFmtId="49" fontId="56" fillId="0" borderId="73" xfId="74" applyNumberFormat="1" applyFont="1" applyFill="1" applyBorder="1" applyAlignment="1" applyProtection="1">
      <alignment horizontal="center" vertical="center" wrapText="1"/>
    </xf>
    <xf numFmtId="49" fontId="49" fillId="0" borderId="91" xfId="74" applyNumberFormat="1" applyFont="1" applyFill="1" applyBorder="1" applyAlignment="1" applyProtection="1">
      <alignment horizontal="center" wrapText="1"/>
    </xf>
    <xf numFmtId="0" fontId="49" fillId="0" borderId="0" xfId="74" applyNumberFormat="1" applyFont="1" applyFill="1" applyBorder="1" applyAlignment="1" applyProtection="1">
      <alignment horizontal="left" vertical="top" wrapText="1"/>
    </xf>
    <xf numFmtId="0" fontId="49" fillId="0" borderId="41" xfId="74" applyNumberFormat="1" applyFont="1" applyFill="1" applyBorder="1" applyAlignment="1" applyProtection="1">
      <alignment horizontal="left" wrapText="1"/>
    </xf>
    <xf numFmtId="0" fontId="56" fillId="0" borderId="73" xfId="74" applyNumberFormat="1" applyFont="1" applyFill="1" applyBorder="1" applyAlignment="1" applyProtection="1">
      <alignment horizontal="center" vertical="center" wrapText="1"/>
    </xf>
    <xf numFmtId="0" fontId="56" fillId="0" borderId="57" xfId="74" applyNumberFormat="1" applyFont="1" applyFill="1" applyBorder="1" applyAlignment="1" applyProtection="1">
      <alignment horizontal="center" vertical="center" wrapText="1"/>
    </xf>
    <xf numFmtId="0" fontId="56" fillId="0" borderId="38" xfId="74" applyNumberFormat="1" applyFont="1" applyFill="1" applyBorder="1" applyAlignment="1" applyProtection="1">
      <alignment horizontal="center" vertical="center" wrapText="1"/>
    </xf>
    <xf numFmtId="0" fontId="56" fillId="0" borderId="45" xfId="74" applyNumberFormat="1" applyFont="1" applyFill="1" applyBorder="1" applyAlignment="1" applyProtection="1">
      <alignment horizontal="center" vertical="center" wrapText="1"/>
    </xf>
    <xf numFmtId="0" fontId="56" fillId="0" borderId="58" xfId="74" applyNumberFormat="1" applyFont="1" applyFill="1" applyBorder="1" applyAlignment="1" applyProtection="1">
      <alignment horizontal="center" vertical="center" wrapText="1"/>
    </xf>
    <xf numFmtId="0" fontId="56" fillId="0" borderId="0" xfId="74" applyNumberFormat="1" applyFont="1" applyFill="1" applyBorder="1" applyAlignment="1" applyProtection="1">
      <alignment horizontal="center" vertical="center" wrapText="1"/>
    </xf>
    <xf numFmtId="0" fontId="56" fillId="0" borderId="43" xfId="74" applyNumberFormat="1" applyFont="1" applyFill="1" applyBorder="1" applyAlignment="1" applyProtection="1">
      <alignment horizontal="center" vertical="center" wrapText="1"/>
    </xf>
    <xf numFmtId="0" fontId="56" fillId="0" borderId="94" xfId="74" applyNumberFormat="1" applyFont="1" applyFill="1" applyBorder="1" applyAlignment="1" applyProtection="1">
      <alignment horizontal="center" vertical="center" wrapText="1"/>
    </xf>
    <xf numFmtId="0" fontId="56" fillId="0" borderId="91" xfId="74" applyNumberFormat="1" applyFont="1" applyFill="1" applyBorder="1" applyAlignment="1" applyProtection="1">
      <alignment horizontal="center" vertical="center" wrapText="1"/>
    </xf>
    <xf numFmtId="0" fontId="56" fillId="0" borderId="92" xfId="74" applyNumberFormat="1" applyFont="1" applyFill="1" applyBorder="1" applyAlignment="1" applyProtection="1">
      <alignment horizontal="center" vertical="center" wrapText="1"/>
    </xf>
    <xf numFmtId="49" fontId="13" fillId="0" borderId="0" xfId="74" applyNumberFormat="1" applyFont="1" applyFill="1" applyBorder="1" applyAlignment="1" applyProtection="1">
      <alignment horizontal="center"/>
    </xf>
    <xf numFmtId="0" fontId="49" fillId="0" borderId="91" xfId="74" applyNumberFormat="1" applyFont="1" applyFill="1" applyBorder="1" applyAlignment="1" applyProtection="1">
      <alignment horizontal="left" wrapText="1"/>
    </xf>
    <xf numFmtId="0" fontId="28" fillId="5" borderId="73" xfId="53" applyFont="1" applyFill="1" applyBorder="1" applyAlignment="1">
      <alignment horizontal="left" vertical="center"/>
    </xf>
    <xf numFmtId="0" fontId="28" fillId="5" borderId="73" xfId="53" applyFont="1" applyFill="1" applyBorder="1" applyAlignment="1">
      <alignment horizontal="left" vertical="center" wrapText="1"/>
    </xf>
    <xf numFmtId="0" fontId="28" fillId="2" borderId="73" xfId="53" applyFont="1" applyFill="1" applyBorder="1" applyAlignment="1">
      <alignment horizontal="center" vertical="center"/>
    </xf>
    <xf numFmtId="0" fontId="0" fillId="0" borderId="73" xfId="0" applyBorder="1" applyAlignment="1">
      <alignment horizontal="center"/>
    </xf>
    <xf numFmtId="0" fontId="28" fillId="0" borderId="83" xfId="0" applyFont="1" applyBorder="1" applyAlignment="1">
      <alignment horizontal="center"/>
    </xf>
    <xf numFmtId="0" fontId="28" fillId="0" borderId="89" xfId="0" applyFont="1" applyBorder="1" applyAlignment="1">
      <alignment horizontal="center"/>
    </xf>
    <xf numFmtId="0" fontId="28" fillId="0" borderId="90" xfId="0" applyFont="1" applyBorder="1" applyAlignment="1">
      <alignment horizontal="center"/>
    </xf>
    <xf numFmtId="0" fontId="28" fillId="0" borderId="83" xfId="53" applyFont="1" applyBorder="1" applyAlignment="1">
      <alignment horizontal="center"/>
    </xf>
    <xf numFmtId="0" fontId="28" fillId="0" borderId="89" xfId="53" applyFont="1" applyBorder="1" applyAlignment="1">
      <alignment horizontal="center"/>
    </xf>
    <xf numFmtId="0" fontId="28" fillId="0" borderId="90" xfId="53" applyFont="1" applyBorder="1" applyAlignment="1">
      <alignment horizontal="center"/>
    </xf>
    <xf numFmtId="0" fontId="28" fillId="0" borderId="73" xfId="53" applyFont="1" applyBorder="1" applyAlignment="1">
      <alignment horizontal="left" wrapText="1"/>
    </xf>
    <xf numFmtId="0" fontId="21" fillId="0" borderId="73" xfId="53" applyBorder="1" applyAlignment="1">
      <alignment horizontal="center"/>
    </xf>
    <xf numFmtId="0" fontId="82" fillId="14" borderId="72" xfId="48" applyFont="1" applyFill="1" applyBorder="1" applyAlignment="1">
      <alignment horizontal="left" vertical="top" wrapText="1"/>
    </xf>
    <xf numFmtId="0" fontId="17" fillId="0" borderId="0" xfId="48" applyFont="1"/>
    <xf numFmtId="0" fontId="10" fillId="0" borderId="0" xfId="48"/>
    <xf numFmtId="0" fontId="82" fillId="14" borderId="138" xfId="48" applyFont="1" applyFill="1" applyBorder="1" applyAlignment="1">
      <alignment horizontal="center" vertical="top" wrapText="1"/>
    </xf>
    <xf numFmtId="0" fontId="82" fillId="14" borderId="0" xfId="48" applyFont="1" applyFill="1" applyBorder="1" applyAlignment="1">
      <alignment horizontal="center" vertical="top" wrapText="1"/>
    </xf>
    <xf numFmtId="0" fontId="82" fillId="14" borderId="19" xfId="48" applyFont="1" applyFill="1" applyBorder="1" applyAlignment="1">
      <alignment horizontal="center" vertical="top" wrapText="1"/>
    </xf>
    <xf numFmtId="0" fontId="82" fillId="14" borderId="104" xfId="48" applyFont="1" applyFill="1" applyBorder="1" applyAlignment="1">
      <alignment horizontal="center" vertical="top" wrapText="1"/>
    </xf>
    <xf numFmtId="0" fontId="82" fillId="14" borderId="105" xfId="48" applyFont="1" applyFill="1" applyBorder="1" applyAlignment="1">
      <alignment horizontal="center" vertical="top" wrapText="1"/>
    </xf>
    <xf numFmtId="0" fontId="82" fillId="14" borderId="103" xfId="48" applyFont="1" applyFill="1" applyBorder="1" applyAlignment="1">
      <alignment horizontal="center" vertical="top" wrapText="1"/>
    </xf>
    <xf numFmtId="0" fontId="28" fillId="0" borderId="73" xfId="0" applyFont="1" applyBorder="1" applyAlignment="1">
      <alignment horizontal="left" wrapText="1"/>
    </xf>
    <xf numFmtId="0" fontId="50" fillId="0" borderId="0" xfId="67" applyFont="1" applyAlignment="1">
      <alignment horizontal="center"/>
    </xf>
    <xf numFmtId="0" fontId="28" fillId="0" borderId="73" xfId="0" applyFont="1" applyBorder="1" applyAlignment="1">
      <alignment horizontal="center"/>
    </xf>
    <xf numFmtId="0" fontId="28" fillId="0" borderId="41" xfId="0" applyFont="1" applyBorder="1" applyAlignment="1">
      <alignment horizontal="center"/>
    </xf>
    <xf numFmtId="0" fontId="28" fillId="5" borderId="73" xfId="0" applyFont="1" applyFill="1" applyBorder="1" applyAlignment="1">
      <alignment horizontal="left" vertical="center"/>
    </xf>
    <xf numFmtId="0" fontId="28" fillId="5" borderId="83" xfId="0" applyFont="1" applyFill="1" applyBorder="1" applyAlignment="1">
      <alignment horizontal="left" vertical="center" wrapText="1"/>
    </xf>
    <xf numFmtId="0" fontId="28" fillId="5" borderId="90" xfId="0" applyFont="1" applyFill="1" applyBorder="1" applyAlignment="1">
      <alignment horizontal="left" vertical="center" wrapText="1"/>
    </xf>
    <xf numFmtId="0" fontId="28" fillId="2" borderId="83" xfId="0" applyFont="1" applyFill="1" applyBorder="1" applyAlignment="1">
      <alignment horizontal="center" vertical="center"/>
    </xf>
    <xf numFmtId="0" fontId="28" fillId="2" borderId="41" xfId="0" applyFont="1" applyFill="1" applyBorder="1" applyAlignment="1">
      <alignment horizontal="center" vertical="center"/>
    </xf>
    <xf numFmtId="0" fontId="28" fillId="2" borderId="90" xfId="0" applyFont="1" applyFill="1" applyBorder="1" applyAlignment="1">
      <alignment horizontal="center" vertical="center"/>
    </xf>
    <xf numFmtId="167" fontId="28" fillId="0" borderId="0" xfId="0" applyNumberFormat="1" applyFont="1" applyFill="1" applyBorder="1" applyAlignment="1">
      <alignment horizontal="center" vertical="center"/>
    </xf>
    <xf numFmtId="0" fontId="28" fillId="2" borderId="83" xfId="0" applyFont="1" applyFill="1" applyBorder="1" applyAlignment="1">
      <alignment horizontal="center" vertical="center" wrapText="1"/>
    </xf>
    <xf numFmtId="0" fontId="28" fillId="2" borderId="41" xfId="0" applyFont="1" applyFill="1" applyBorder="1" applyAlignment="1">
      <alignment horizontal="center" vertical="center" wrapText="1"/>
    </xf>
    <xf numFmtId="0" fontId="28" fillId="2" borderId="90" xfId="0" applyFont="1" applyFill="1" applyBorder="1" applyAlignment="1">
      <alignment horizontal="center" vertical="center" wrapText="1"/>
    </xf>
    <xf numFmtId="0" fontId="3" fillId="0" borderId="73" xfId="4" applyFont="1" applyBorder="1" applyAlignment="1">
      <alignment horizontal="center"/>
    </xf>
    <xf numFmtId="0" fontId="28" fillId="0" borderId="83" xfId="4" applyFont="1" applyBorder="1" applyAlignment="1">
      <alignment horizontal="center"/>
    </xf>
    <xf numFmtId="0" fontId="28" fillId="0" borderId="41" xfId="4" applyFont="1" applyBorder="1" applyAlignment="1">
      <alignment horizontal="center"/>
    </xf>
    <xf numFmtId="0" fontId="28" fillId="0" borderId="90" xfId="4" applyFont="1" applyBorder="1" applyAlignment="1">
      <alignment horizontal="center"/>
    </xf>
    <xf numFmtId="0" fontId="28" fillId="5" borderId="38" xfId="4" applyFont="1" applyFill="1" applyBorder="1" applyAlignment="1">
      <alignment horizontal="left" vertical="top"/>
    </xf>
    <xf numFmtId="0" fontId="28" fillId="5" borderId="91" xfId="4" applyFont="1" applyFill="1" applyBorder="1" applyAlignment="1">
      <alignment horizontal="left" vertical="top"/>
    </xf>
    <xf numFmtId="0" fontId="28" fillId="2" borderId="83" xfId="4" applyFont="1" applyFill="1" applyBorder="1" applyAlignment="1">
      <alignment horizontal="center" vertical="center" wrapText="1"/>
    </xf>
    <xf numFmtId="0" fontId="28" fillId="2" borderId="41" xfId="4" applyFont="1" applyFill="1" applyBorder="1" applyAlignment="1">
      <alignment horizontal="center" vertical="center" wrapText="1"/>
    </xf>
    <xf numFmtId="0" fontId="28" fillId="2" borderId="90" xfId="4" applyFont="1" applyFill="1" applyBorder="1" applyAlignment="1">
      <alignment horizontal="center" vertical="center" wrapText="1"/>
    </xf>
    <xf numFmtId="0" fontId="28" fillId="5" borderId="83" xfId="4" applyFont="1" applyFill="1" applyBorder="1" applyAlignment="1">
      <alignment horizontal="left" vertical="center" wrapText="1"/>
    </xf>
    <xf numFmtId="0" fontId="28" fillId="5" borderId="90" xfId="4" applyFont="1" applyFill="1" applyBorder="1" applyAlignment="1">
      <alignment horizontal="left" vertical="center" wrapText="1"/>
    </xf>
    <xf numFmtId="0" fontId="28" fillId="0" borderId="57" xfId="67" applyFont="1" applyBorder="1" applyAlignment="1">
      <alignment horizontal="left" vertical="top" wrapText="1"/>
    </xf>
    <xf numFmtId="0" fontId="28" fillId="0" borderId="38" xfId="67" applyFont="1" applyBorder="1" applyAlignment="1">
      <alignment horizontal="left" vertical="top" wrapText="1"/>
    </xf>
    <xf numFmtId="0" fontId="28" fillId="0" borderId="45" xfId="67" applyFont="1" applyBorder="1" applyAlignment="1">
      <alignment horizontal="left" vertical="top" wrapText="1"/>
    </xf>
    <xf numFmtId="0" fontId="50" fillId="0" borderId="83" xfId="67" applyFont="1" applyBorder="1" applyAlignment="1">
      <alignment horizontal="center"/>
    </xf>
    <xf numFmtId="0" fontId="50" fillId="0" borderId="41" xfId="67" applyFont="1" applyBorder="1" applyAlignment="1">
      <alignment horizontal="center"/>
    </xf>
    <xf numFmtId="0" fontId="50" fillId="0" borderId="90" xfId="67" applyFont="1" applyBorder="1" applyAlignment="1">
      <alignment horizontal="center"/>
    </xf>
    <xf numFmtId="0" fontId="28" fillId="0" borderId="83" xfId="67" applyFont="1" applyBorder="1" applyAlignment="1">
      <alignment horizontal="left" vertical="center" wrapText="1"/>
    </xf>
    <xf numFmtId="0" fontId="28" fillId="0" borderId="41" xfId="67" applyFont="1" applyBorder="1" applyAlignment="1">
      <alignment horizontal="left" vertical="center" wrapText="1"/>
    </xf>
    <xf numFmtId="0" fontId="28" fillId="0" borderId="90" xfId="67" applyFont="1" applyBorder="1" applyAlignment="1">
      <alignment horizontal="left" vertical="center" wrapText="1"/>
    </xf>
    <xf numFmtId="0" fontId="28" fillId="0" borderId="38" xfId="67" applyFont="1" applyBorder="1" applyAlignment="1">
      <alignment horizontal="left" vertical="center" wrapText="1"/>
    </xf>
    <xf numFmtId="0" fontId="28" fillId="0" borderId="45" xfId="67" applyFont="1" applyBorder="1" applyAlignment="1">
      <alignment horizontal="left" vertical="center" wrapText="1"/>
    </xf>
    <xf numFmtId="0" fontId="28" fillId="0" borderId="57" xfId="67" applyFont="1" applyBorder="1" applyAlignment="1">
      <alignment horizontal="left" vertical="center" wrapText="1"/>
    </xf>
    <xf numFmtId="0" fontId="28" fillId="0" borderId="106" xfId="67" applyFont="1" applyBorder="1" applyAlignment="1">
      <alignment horizontal="left" vertical="top" wrapText="1"/>
    </xf>
    <xf numFmtId="0" fontId="10" fillId="2" borderId="84" xfId="11" applyFont="1" applyFill="1" applyBorder="1" applyAlignment="1">
      <alignment horizontal="center" vertical="center" wrapText="1"/>
    </xf>
    <xf numFmtId="0" fontId="10" fillId="2" borderId="65" xfId="11" applyFont="1" applyFill="1" applyBorder="1" applyAlignment="1">
      <alignment horizontal="center" vertical="center" wrapText="1"/>
    </xf>
    <xf numFmtId="0" fontId="10" fillId="2" borderId="93" xfId="11" applyFont="1" applyFill="1" applyBorder="1" applyAlignment="1">
      <alignment horizontal="center" vertical="center" wrapText="1"/>
    </xf>
    <xf numFmtId="0" fontId="10" fillId="0" borderId="84" xfId="11" applyFont="1" applyBorder="1" applyAlignment="1">
      <alignment horizontal="center" vertical="center" wrapText="1"/>
    </xf>
    <xf numFmtId="0" fontId="10" fillId="0" borderId="65" xfId="11" applyFont="1" applyBorder="1" applyAlignment="1">
      <alignment horizontal="center" vertical="center" wrapText="1"/>
    </xf>
    <xf numFmtId="0" fontId="10" fillId="0" borderId="93" xfId="11" applyFont="1" applyBorder="1" applyAlignment="1">
      <alignment horizontal="center" vertical="center" wrapText="1"/>
    </xf>
    <xf numFmtId="49" fontId="10" fillId="0" borderId="84" xfId="11" applyNumberFormat="1" applyFont="1" applyBorder="1" applyAlignment="1">
      <alignment horizontal="center" vertical="center" wrapText="1"/>
    </xf>
    <xf numFmtId="49" fontId="10" fillId="0" borderId="65" xfId="11" applyNumberFormat="1" applyFont="1" applyBorder="1" applyAlignment="1">
      <alignment horizontal="center" vertical="center" wrapText="1"/>
    </xf>
    <xf numFmtId="49" fontId="10" fillId="0" borderId="93" xfId="11" applyNumberFormat="1" applyFont="1" applyBorder="1" applyAlignment="1">
      <alignment horizontal="center" vertical="center" wrapText="1"/>
    </xf>
    <xf numFmtId="0" fontId="11" fillId="0" borderId="84" xfId="11" applyFont="1" applyFill="1" applyBorder="1" applyAlignment="1">
      <alignment horizontal="center" vertical="center" wrapText="1"/>
    </xf>
    <xf numFmtId="0" fontId="11" fillId="0" borderId="65" xfId="11" applyFont="1" applyFill="1" applyBorder="1" applyAlignment="1">
      <alignment horizontal="center" vertical="center" wrapText="1"/>
    </xf>
    <xf numFmtId="0" fontId="11" fillId="0" borderId="93" xfId="11" applyFont="1" applyFill="1" applyBorder="1" applyAlignment="1">
      <alignment horizontal="center" vertical="center" wrapText="1"/>
    </xf>
    <xf numFmtId="0" fontId="10" fillId="0" borderId="84" xfId="11" applyFont="1" applyFill="1" applyBorder="1" applyAlignment="1">
      <alignment horizontal="center" vertical="center" wrapText="1"/>
    </xf>
    <xf numFmtId="0" fontId="10" fillId="0" borderId="65" xfId="11" applyFont="1" applyFill="1" applyBorder="1" applyAlignment="1">
      <alignment horizontal="center" vertical="center" wrapText="1"/>
    </xf>
    <xf numFmtId="0" fontId="10" fillId="0" borderId="93" xfId="11" applyFont="1" applyFill="1" applyBorder="1" applyAlignment="1">
      <alignment horizontal="center" vertical="center" wrapText="1"/>
    </xf>
    <xf numFmtId="0" fontId="17" fillId="0" borderId="84" xfId="11" applyFont="1" applyBorder="1" applyAlignment="1">
      <alignment horizontal="center" vertical="center" wrapText="1"/>
    </xf>
    <xf numFmtId="0" fontId="17" fillId="0" borderId="65" xfId="11" applyFont="1" applyBorder="1" applyAlignment="1">
      <alignment horizontal="center" vertical="center" wrapText="1"/>
    </xf>
    <xf numFmtId="0" fontId="17" fillId="0" borderId="93" xfId="11" applyFont="1" applyBorder="1" applyAlignment="1">
      <alignment horizontal="center" vertical="center" wrapText="1"/>
    </xf>
    <xf numFmtId="0" fontId="10" fillId="0" borderId="84" xfId="11" applyFont="1" applyBorder="1" applyAlignment="1">
      <alignment horizontal="center" vertical="center"/>
    </xf>
    <xf numFmtId="0" fontId="10" fillId="0" borderId="65" xfId="11" applyFont="1" applyBorder="1" applyAlignment="1">
      <alignment horizontal="center" vertical="center"/>
    </xf>
    <xf numFmtId="0" fontId="10" fillId="0" borderId="93" xfId="11" applyFont="1" applyBorder="1" applyAlignment="1">
      <alignment horizontal="center" vertical="center"/>
    </xf>
    <xf numFmtId="49" fontId="56" fillId="0" borderId="38" xfId="74" applyNumberFormat="1" applyFont="1" applyFill="1" applyBorder="1" applyAlignment="1" applyProtection="1">
      <alignment horizontal="left" vertical="top" wrapText="1"/>
    </xf>
    <xf numFmtId="49" fontId="67" fillId="0" borderId="83" xfId="74" applyNumberFormat="1" applyFont="1" applyFill="1" applyBorder="1" applyAlignment="1" applyProtection="1">
      <alignment horizontal="left" vertical="center" wrapText="1"/>
    </xf>
    <xf numFmtId="49" fontId="67" fillId="0" borderId="41" xfId="74" applyNumberFormat="1" applyFont="1" applyFill="1" applyBorder="1" applyAlignment="1" applyProtection="1">
      <alignment horizontal="left" vertical="center" wrapText="1"/>
    </xf>
    <xf numFmtId="49" fontId="67" fillId="0" borderId="90" xfId="74" applyNumberFormat="1" applyFont="1" applyFill="1" applyBorder="1" applyAlignment="1" applyProtection="1">
      <alignment horizontal="left" vertical="center" wrapText="1"/>
    </xf>
    <xf numFmtId="4" fontId="49" fillId="0" borderId="41" xfId="74" applyNumberFormat="1" applyFont="1" applyFill="1" applyBorder="1" applyAlignment="1" applyProtection="1">
      <alignment horizontal="right"/>
    </xf>
    <xf numFmtId="0" fontId="49" fillId="0" borderId="41" xfId="74" applyNumberFormat="1" applyFont="1" applyFill="1" applyBorder="1" applyAlignment="1" applyProtection="1">
      <alignment horizontal="center"/>
    </xf>
    <xf numFmtId="0" fontId="56" fillId="0" borderId="73" xfId="74" applyNumberFormat="1" applyFont="1" applyFill="1" applyBorder="1" applyAlignment="1" applyProtection="1">
      <alignment horizontal="center" vertical="center"/>
    </xf>
    <xf numFmtId="49" fontId="49" fillId="0" borderId="0" xfId="74" applyNumberFormat="1" applyFont="1" applyFill="1" applyBorder="1" applyAlignment="1" applyProtection="1">
      <alignment horizontal="left" vertical="top"/>
    </xf>
    <xf numFmtId="49" fontId="49" fillId="0" borderId="91" xfId="74" applyNumberFormat="1" applyFont="1" applyFill="1" applyBorder="1" applyAlignment="1" applyProtection="1">
      <alignment wrapText="1"/>
    </xf>
    <xf numFmtId="49" fontId="49" fillId="0" borderId="0" xfId="74" applyNumberFormat="1" applyFont="1" applyFill="1" applyBorder="1" applyAlignment="1" applyProtection="1">
      <alignment horizontal="center" wrapText="1"/>
    </xf>
    <xf numFmtId="0" fontId="49" fillId="0" borderId="0" xfId="74" applyNumberFormat="1" applyFont="1" applyFill="1" applyBorder="1" applyAlignment="1" applyProtection="1">
      <alignment horizontal="center" wrapText="1"/>
    </xf>
    <xf numFmtId="0" fontId="65" fillId="0" borderId="38" xfId="74" applyNumberFormat="1" applyFont="1" applyFill="1" applyBorder="1" applyAlignment="1" applyProtection="1">
      <alignment horizontal="center"/>
    </xf>
    <xf numFmtId="0" fontId="49" fillId="0" borderId="0" xfId="74" applyNumberFormat="1" applyFont="1" applyFill="1" applyBorder="1" applyAlignment="1" applyProtection="1">
      <alignment horizontal="center"/>
    </xf>
    <xf numFmtId="0" fontId="14" fillId="0" borderId="0" xfId="74" applyNumberFormat="1" applyFont="1" applyFill="1" applyBorder="1" applyAlignment="1" applyProtection="1">
      <alignment horizontal="center"/>
    </xf>
    <xf numFmtId="0" fontId="49" fillId="0" borderId="0" xfId="74" applyNumberFormat="1" applyFont="1" applyFill="1" applyBorder="1" applyAlignment="1" applyProtection="1">
      <alignment wrapText="1"/>
    </xf>
    <xf numFmtId="0" fontId="56" fillId="0" borderId="44" xfId="74" applyNumberFormat="1" applyFont="1" applyFill="1" applyBorder="1" applyAlignment="1" applyProtection="1">
      <alignment horizontal="center" vertical="center" wrapText="1"/>
    </xf>
    <xf numFmtId="0" fontId="56" fillId="0" borderId="102" xfId="74" applyNumberFormat="1" applyFont="1" applyFill="1" applyBorder="1" applyAlignment="1" applyProtection="1">
      <alignment horizontal="center" vertical="center" wrapText="1"/>
    </xf>
    <xf numFmtId="0" fontId="56" fillId="0" borderId="93" xfId="74" applyNumberFormat="1" applyFont="1" applyFill="1" applyBorder="1" applyAlignment="1" applyProtection="1">
      <alignment horizontal="center" vertical="center" wrapText="1"/>
    </xf>
    <xf numFmtId="0" fontId="56" fillId="0" borderId="83" xfId="74" applyNumberFormat="1" applyFont="1" applyFill="1" applyBorder="1" applyAlignment="1" applyProtection="1">
      <alignment horizontal="center" vertical="center" wrapText="1"/>
    </xf>
    <xf numFmtId="0" fontId="56" fillId="0" borderId="41" xfId="74" applyNumberFormat="1" applyFont="1" applyFill="1" applyBorder="1" applyAlignment="1" applyProtection="1">
      <alignment horizontal="center" vertical="center" wrapText="1"/>
    </xf>
    <xf numFmtId="0" fontId="56" fillId="0" borderId="90" xfId="74" applyNumberFormat="1" applyFont="1" applyFill="1" applyBorder="1" applyAlignment="1" applyProtection="1">
      <alignment horizontal="center" vertical="center" wrapText="1"/>
    </xf>
    <xf numFmtId="0" fontId="56" fillId="7" borderId="44" xfId="74" applyNumberFormat="1" applyFont="1" applyFill="1" applyBorder="1" applyAlignment="1" applyProtection="1">
      <alignment horizontal="center" vertical="center" wrapText="1"/>
    </xf>
    <xf numFmtId="0" fontId="56" fillId="7" borderId="102" xfId="74" applyNumberFormat="1" applyFont="1" applyFill="1" applyBorder="1" applyAlignment="1" applyProtection="1">
      <alignment horizontal="center" vertical="center" wrapText="1"/>
    </xf>
    <xf numFmtId="0" fontId="56" fillId="7" borderId="93" xfId="74" applyNumberFormat="1" applyFont="1" applyFill="1" applyBorder="1" applyAlignment="1" applyProtection="1">
      <alignment horizontal="center" vertical="center" wrapText="1"/>
    </xf>
    <xf numFmtId="0" fontId="56" fillId="7" borderId="44" xfId="74" applyNumberFormat="1" applyFont="1" applyFill="1" applyBorder="1" applyAlignment="1" applyProtection="1">
      <alignment horizontal="center" vertical="center"/>
    </xf>
    <xf numFmtId="0" fontId="56" fillId="7" borderId="102" xfId="74" applyNumberFormat="1" applyFont="1" applyFill="1" applyBorder="1" applyAlignment="1" applyProtection="1">
      <alignment horizontal="center" vertical="center"/>
    </xf>
    <xf numFmtId="0" fontId="56" fillId="7" borderId="93" xfId="74" applyNumberFormat="1" applyFont="1" applyFill="1" applyBorder="1" applyAlignment="1" applyProtection="1">
      <alignment horizontal="center" vertical="center"/>
    </xf>
    <xf numFmtId="0" fontId="67" fillId="0" borderId="83" xfId="74" applyNumberFormat="1" applyFont="1" applyFill="1" applyBorder="1" applyAlignment="1" applyProtection="1">
      <alignment horizontal="left" vertical="center" wrapText="1"/>
    </xf>
    <xf numFmtId="0" fontId="67" fillId="0" borderId="41" xfId="74" applyNumberFormat="1" applyFont="1" applyFill="1" applyBorder="1" applyAlignment="1" applyProtection="1">
      <alignment horizontal="left" vertical="center" wrapText="1"/>
    </xf>
    <xf numFmtId="0" fontId="67" fillId="0" borderId="90" xfId="74" applyNumberFormat="1" applyFont="1" applyFill="1" applyBorder="1" applyAlignment="1" applyProtection="1">
      <alignment horizontal="left" vertical="center" wrapText="1"/>
    </xf>
    <xf numFmtId="0" fontId="56" fillId="7" borderId="73" xfId="74" applyNumberFormat="1" applyFont="1" applyFill="1" applyBorder="1" applyAlignment="1" applyProtection="1">
      <alignment horizontal="center" vertical="center" wrapText="1"/>
    </xf>
    <xf numFmtId="0" fontId="56" fillId="7" borderId="44" xfId="74" applyNumberFormat="1" applyFont="1" applyFill="1" applyBorder="1" applyAlignment="1" applyProtection="1">
      <alignment horizontal="center" wrapText="1"/>
    </xf>
    <xf numFmtId="0" fontId="56" fillId="7" borderId="102" xfId="74" applyNumberFormat="1" applyFont="1" applyFill="1" applyBorder="1" applyAlignment="1" applyProtection="1">
      <alignment horizontal="center" wrapText="1"/>
    </xf>
    <xf numFmtId="0" fontId="56" fillId="7" borderId="93" xfId="74" applyNumberFormat="1" applyFont="1" applyFill="1" applyBorder="1" applyAlignment="1" applyProtection="1">
      <alignment horizontal="center" wrapText="1"/>
    </xf>
    <xf numFmtId="0" fontId="68" fillId="6" borderId="83" xfId="74" applyNumberFormat="1" applyFont="1" applyFill="1" applyBorder="1" applyAlignment="1" applyProtection="1">
      <alignment horizontal="right" vertical="top" wrapText="1"/>
    </xf>
    <xf numFmtId="0" fontId="68" fillId="6" borderId="90" xfId="74" applyNumberFormat="1" applyFont="1" applyFill="1" applyBorder="1" applyAlignment="1" applyProtection="1">
      <alignment horizontal="right" vertical="top" wrapText="1"/>
    </xf>
    <xf numFmtId="0" fontId="67" fillId="6" borderId="83" xfId="74" applyNumberFormat="1" applyFont="1" applyFill="1" applyBorder="1" applyAlignment="1" applyProtection="1">
      <alignment horizontal="left" vertical="center" wrapText="1"/>
    </xf>
    <xf numFmtId="0" fontId="67" fillId="6" borderId="41" xfId="74" applyNumberFormat="1" applyFont="1" applyFill="1" applyBorder="1" applyAlignment="1" applyProtection="1">
      <alignment horizontal="left" vertical="center" wrapText="1"/>
    </xf>
    <xf numFmtId="0" fontId="67" fillId="6" borderId="90" xfId="74" applyNumberFormat="1" applyFont="1" applyFill="1" applyBorder="1" applyAlignment="1" applyProtection="1">
      <alignment horizontal="left" vertical="center" wrapText="1"/>
    </xf>
    <xf numFmtId="0" fontId="68" fillId="0" borderId="83" xfId="74" applyNumberFormat="1" applyFont="1" applyFill="1" applyBorder="1" applyAlignment="1" applyProtection="1">
      <alignment horizontal="right" vertical="top" wrapText="1"/>
    </xf>
    <xf numFmtId="0" fontId="68" fillId="0" borderId="90" xfId="74" applyNumberFormat="1" applyFont="1" applyFill="1" applyBorder="1" applyAlignment="1" applyProtection="1">
      <alignment horizontal="right" vertical="top" wrapText="1"/>
    </xf>
    <xf numFmtId="0" fontId="66" fillId="0" borderId="83" xfId="74" applyNumberFormat="1" applyFont="1" applyFill="1" applyBorder="1" applyAlignment="1" applyProtection="1">
      <alignment horizontal="right" vertical="top" wrapText="1"/>
    </xf>
    <xf numFmtId="0" fontId="66" fillId="0" borderId="90" xfId="74" applyNumberFormat="1" applyFont="1" applyFill="1" applyBorder="1" applyAlignment="1" applyProtection="1">
      <alignment horizontal="right" vertical="top" wrapText="1"/>
    </xf>
    <xf numFmtId="0" fontId="56" fillId="0" borderId="83" xfId="74" applyNumberFormat="1" applyFont="1" applyFill="1" applyBorder="1" applyAlignment="1" applyProtection="1">
      <alignment horizontal="right" indent="1"/>
    </xf>
    <xf numFmtId="0" fontId="56" fillId="0" borderId="90" xfId="74" applyNumberFormat="1" applyFont="1" applyFill="1" applyBorder="1" applyAlignment="1" applyProtection="1">
      <alignment horizontal="right" indent="1"/>
    </xf>
    <xf numFmtId="0" fontId="75" fillId="0" borderId="83" xfId="74" applyNumberFormat="1" applyFont="1" applyFill="1" applyBorder="1" applyAlignment="1" applyProtection="1">
      <alignment horizontal="right"/>
    </xf>
    <xf numFmtId="0" fontId="75" fillId="0" borderId="90" xfId="74" applyNumberFormat="1" applyFont="1" applyFill="1" applyBorder="1" applyAlignment="1" applyProtection="1">
      <alignment horizontal="right"/>
    </xf>
    <xf numFmtId="0" fontId="56" fillId="0" borderId="73" xfId="74" applyNumberFormat="1" applyFont="1" applyFill="1" applyBorder="1" applyAlignment="1" applyProtection="1">
      <alignment horizontal="right" indent="1"/>
    </xf>
    <xf numFmtId="0" fontId="56" fillId="0" borderId="91" xfId="74" applyNumberFormat="1" applyFont="1" applyFill="1" applyBorder="1" applyAlignment="1" applyProtection="1">
      <alignment horizontal="left" vertical="top" wrapText="1"/>
    </xf>
    <xf numFmtId="0" fontId="49" fillId="0" borderId="91" xfId="74" applyNumberFormat="1" applyFont="1" applyFill="1" applyBorder="1" applyAlignment="1" applyProtection="1">
      <alignment horizontal="right" vertical="top" wrapText="1"/>
    </xf>
    <xf numFmtId="0" fontId="49" fillId="0" borderId="91" xfId="74" applyNumberFormat="1" applyFont="1" applyFill="1" applyBorder="1" applyAlignment="1" applyProtection="1">
      <alignment horizontal="left" vertical="top" wrapText="1"/>
    </xf>
    <xf numFmtId="0" fontId="10" fillId="0" borderId="0" xfId="11" applyFont="1" applyAlignment="1">
      <alignment horizontal="center" vertical="top" wrapText="1"/>
    </xf>
    <xf numFmtId="0" fontId="11" fillId="0" borderId="0" xfId="11" applyFont="1" applyAlignment="1">
      <alignment horizontal="center" vertical="top" wrapText="1"/>
    </xf>
    <xf numFmtId="49" fontId="17" fillId="0" borderId="73" xfId="11" applyNumberFormat="1" applyFont="1" applyBorder="1" applyAlignment="1">
      <alignment horizontal="right" vertical="top" wrapText="1"/>
    </xf>
    <xf numFmtId="0" fontId="9" fillId="0" borderId="73" xfId="11" applyBorder="1" applyAlignment="1">
      <alignment vertical="top" wrapText="1"/>
    </xf>
    <xf numFmtId="0" fontId="17" fillId="0" borderId="73" xfId="11" applyFont="1" applyBorder="1" applyAlignment="1">
      <alignment horizontal="left" vertical="top" wrapText="1"/>
    </xf>
    <xf numFmtId="0" fontId="9" fillId="0" borderId="73" xfId="11" applyBorder="1" applyAlignment="1">
      <alignment horizontal="left" vertical="top" wrapText="1"/>
    </xf>
    <xf numFmtId="49" fontId="17" fillId="2" borderId="73" xfId="11" applyNumberFormat="1" applyFont="1" applyFill="1" applyBorder="1" applyAlignment="1">
      <alignment horizontal="right" vertical="top" wrapText="1"/>
    </xf>
    <xf numFmtId="0" fontId="9" fillId="2" borderId="73" xfId="11" applyFill="1" applyBorder="1" applyAlignment="1">
      <alignment vertical="top" wrapText="1"/>
    </xf>
    <xf numFmtId="0" fontId="10" fillId="0" borderId="73" xfId="11" applyFont="1" applyBorder="1" applyAlignment="1">
      <alignment horizontal="center" vertical="center" wrapText="1"/>
    </xf>
    <xf numFmtId="49" fontId="10" fillId="0" borderId="0" xfId="11" applyNumberFormat="1" applyFont="1" applyBorder="1" applyAlignment="1">
      <alignment horizontal="center" vertical="top" wrapText="1"/>
    </xf>
    <xf numFmtId="0" fontId="9" fillId="0" borderId="0" xfId="11" applyBorder="1" applyAlignment="1">
      <alignment horizontal="center" wrapText="1"/>
    </xf>
    <xf numFmtId="49" fontId="10" fillId="0" borderId="91" xfId="11" applyNumberFormat="1" applyFont="1" applyBorder="1" applyAlignment="1">
      <alignment horizontal="left" vertical="top" wrapText="1"/>
    </xf>
    <xf numFmtId="0" fontId="9" fillId="0" borderId="91" xfId="11" applyBorder="1" applyAlignment="1">
      <alignment wrapText="1"/>
    </xf>
    <xf numFmtId="49" fontId="17" fillId="0" borderId="91" xfId="11" applyNumberFormat="1" applyFont="1" applyBorder="1" applyAlignment="1">
      <alignment horizontal="center" vertical="top" wrapText="1"/>
    </xf>
    <xf numFmtId="0" fontId="50" fillId="0" borderId="91" xfId="11" applyFont="1" applyBorder="1" applyAlignment="1">
      <alignment horizontal="center" wrapText="1"/>
    </xf>
    <xf numFmtId="49" fontId="10" fillId="0" borderId="73" xfId="11" applyNumberFormat="1" applyFont="1" applyBorder="1" applyAlignment="1">
      <alignment horizontal="center" vertical="center" wrapText="1"/>
    </xf>
    <xf numFmtId="0" fontId="10" fillId="0" borderId="73" xfId="11" applyFont="1" applyBorder="1" applyAlignment="1">
      <alignment horizontal="center" vertical="center"/>
    </xf>
    <xf numFmtId="0" fontId="10" fillId="0" borderId="8" xfId="8" applyFont="1" applyFill="1" applyBorder="1" applyAlignment="1">
      <alignment horizontal="left" vertical="center" wrapText="1"/>
    </xf>
    <xf numFmtId="0" fontId="17" fillId="0" borderId="8" xfId="8" applyFont="1" applyFill="1" applyBorder="1" applyAlignment="1">
      <alignment horizontal="left" vertical="center" wrapText="1"/>
    </xf>
    <xf numFmtId="0" fontId="17" fillId="0" borderId="8" xfId="4" applyFont="1" applyFill="1" applyBorder="1" applyAlignment="1">
      <alignment horizontal="left" vertical="center" wrapText="1"/>
    </xf>
    <xf numFmtId="0" fontId="9" fillId="0" borderId="0" xfId="4" applyFill="1" applyBorder="1" applyAlignment="1">
      <alignment horizontal="left" wrapText="1"/>
    </xf>
    <xf numFmtId="0" fontId="10" fillId="0" borderId="0" xfId="9" applyFont="1" applyFill="1" applyBorder="1" applyAlignment="1">
      <alignment horizontal="center" vertical="center"/>
    </xf>
    <xf numFmtId="0" fontId="12" fillId="0" borderId="0" xfId="5" applyFont="1" applyFill="1" applyBorder="1" applyAlignment="1">
      <alignment horizontal="center" vertical="center"/>
    </xf>
    <xf numFmtId="0" fontId="13" fillId="0" borderId="0" xfId="4" applyFont="1" applyFill="1" applyBorder="1" applyAlignment="1">
      <alignment horizontal="center" vertical="center" wrapText="1"/>
    </xf>
    <xf numFmtId="0" fontId="13" fillId="0" borderId="1" xfId="4" applyFont="1" applyFill="1" applyBorder="1" applyAlignment="1">
      <alignment horizontal="center" vertical="center" wrapText="1"/>
    </xf>
    <xf numFmtId="0" fontId="12" fillId="0" borderId="0" xfId="4" applyFont="1" applyFill="1" applyBorder="1" applyAlignment="1">
      <alignment horizontal="center" vertical="center"/>
    </xf>
    <xf numFmtId="0" fontId="10" fillId="0" borderId="11" xfId="4" applyFont="1" applyFill="1" applyBorder="1" applyAlignment="1">
      <alignment horizontal="center" vertical="center" wrapText="1"/>
    </xf>
    <xf numFmtId="0" fontId="10" fillId="0" borderId="12" xfId="4" applyFont="1" applyFill="1" applyBorder="1" applyAlignment="1">
      <alignment horizontal="center" vertical="center" wrapText="1"/>
    </xf>
    <xf numFmtId="0" fontId="2" fillId="0" borderId="0" xfId="0" applyFont="1" applyAlignment="1">
      <alignment horizontal="center" vertical="center"/>
    </xf>
    <xf numFmtId="0" fontId="5" fillId="3" borderId="4" xfId="0" applyNumberFormat="1" applyFont="1" applyFill="1" applyBorder="1" applyAlignment="1">
      <alignment vertical="center" wrapText="1"/>
    </xf>
    <xf numFmtId="0" fontId="5" fillId="3" borderId="5" xfId="0" applyNumberFormat="1" applyFont="1" applyFill="1" applyBorder="1" applyAlignment="1">
      <alignment vertical="center" wrapText="1"/>
    </xf>
    <xf numFmtId="0" fontId="3" fillId="3" borderId="4" xfId="0" applyNumberFormat="1" applyFont="1" applyFill="1" applyBorder="1" applyAlignment="1">
      <alignment horizontal="center" vertical="center" wrapText="1"/>
    </xf>
    <xf numFmtId="0" fontId="3" fillId="3" borderId="7" xfId="0" applyNumberFormat="1" applyFont="1" applyFill="1" applyBorder="1" applyAlignment="1">
      <alignment horizontal="center" vertical="center" wrapText="1"/>
    </xf>
    <xf numFmtId="0" fontId="2" fillId="5" borderId="12" xfId="0" applyFont="1" applyFill="1" applyBorder="1" applyAlignment="1">
      <alignment vertical="center"/>
    </xf>
    <xf numFmtId="0" fontId="2" fillId="5" borderId="22" xfId="0" applyFont="1" applyFill="1" applyBorder="1" applyAlignment="1">
      <alignment vertical="center"/>
    </xf>
    <xf numFmtId="49" fontId="3" fillId="5" borderId="25" xfId="0" applyNumberFormat="1" applyFont="1" applyFill="1" applyBorder="1" applyAlignment="1">
      <alignment horizontal="center" vertical="center"/>
    </xf>
    <xf numFmtId="0" fontId="2" fillId="5" borderId="8" xfId="0" applyFont="1" applyFill="1" applyBorder="1" applyAlignment="1">
      <alignment vertical="center"/>
    </xf>
    <xf numFmtId="0" fontId="3" fillId="5" borderId="25" xfId="0" applyFont="1" applyFill="1" applyBorder="1" applyAlignment="1">
      <alignment vertical="center" wrapText="1"/>
    </xf>
    <xf numFmtId="0" fontId="3" fillId="5" borderId="25" xfId="0" applyFont="1" applyFill="1" applyBorder="1" applyAlignment="1">
      <alignment horizontal="center" vertical="center" wrapText="1"/>
    </xf>
    <xf numFmtId="49" fontId="3" fillId="9" borderId="21" xfId="0" applyNumberFormat="1" applyFont="1" applyFill="1" applyBorder="1" applyAlignment="1">
      <alignment horizontal="center" vertical="center"/>
    </xf>
    <xf numFmtId="0" fontId="3" fillId="9" borderId="8" xfId="0" applyFont="1" applyFill="1" applyBorder="1" applyAlignment="1">
      <alignment horizontal="center" vertical="center"/>
    </xf>
    <xf numFmtId="0" fontId="3" fillId="5" borderId="22" xfId="0" applyFont="1" applyFill="1" applyBorder="1" applyAlignment="1">
      <alignment vertical="center"/>
    </xf>
    <xf numFmtId="0" fontId="3" fillId="9" borderId="8" xfId="0" applyFont="1" applyFill="1" applyBorder="1" applyAlignment="1">
      <alignment horizontal="center" vertical="center" wrapText="1"/>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2" fillId="5" borderId="15" xfId="0" applyFont="1" applyFill="1" applyBorder="1" applyAlignment="1">
      <alignment vertical="center"/>
    </xf>
    <xf numFmtId="0" fontId="2" fillId="5" borderId="16" xfId="0" applyFont="1" applyFill="1" applyBorder="1" applyAlignment="1">
      <alignment vertical="center"/>
    </xf>
    <xf numFmtId="0" fontId="4" fillId="5" borderId="8" xfId="0" applyFont="1" applyFill="1" applyBorder="1" applyAlignment="1">
      <alignment vertical="center"/>
    </xf>
    <xf numFmtId="0" fontId="4" fillId="5" borderId="22" xfId="0" applyFont="1" applyFill="1" applyBorder="1" applyAlignment="1">
      <alignment vertical="center"/>
    </xf>
  </cellXfs>
  <cellStyles count="85">
    <cellStyle name="Excel Built-in Normal" xfId="77"/>
    <cellStyle name="S10 5" xfId="24"/>
    <cellStyle name="S12 4" xfId="25"/>
    <cellStyle name="S13 2" xfId="2"/>
    <cellStyle name="S2 6" xfId="21"/>
    <cellStyle name="S3 3" xfId="17"/>
    <cellStyle name="S4 4" xfId="18"/>
    <cellStyle name="S5 4" xfId="19"/>
    <cellStyle name="S6 4" xfId="20"/>
    <cellStyle name="S7 3" xfId="22"/>
    <cellStyle name="S8 3" xfId="23"/>
    <cellStyle name="Гиперссылка" xfId="83" builtinId="8"/>
    <cellStyle name="Денежный 2" xfId="78"/>
    <cellStyle name="Денежный 2 2" xfId="40"/>
    <cellStyle name="Итоги" xfId="8"/>
    <cellStyle name="ЛокСмета" xfId="7"/>
    <cellStyle name="Обычный" xfId="0" builtinId="0"/>
    <cellStyle name="Обычный 10" xfId="79"/>
    <cellStyle name="Обычный 10 12" xfId="48"/>
    <cellStyle name="Обычный 10 12 2" xfId="61"/>
    <cellStyle name="Обычный 100" xfId="11"/>
    <cellStyle name="Обычный 11" xfId="84"/>
    <cellStyle name="Обычный 13 4 2" xfId="50"/>
    <cellStyle name="Обычный 140 3" xfId="13"/>
    <cellStyle name="Обычный 15" xfId="3"/>
    <cellStyle name="Обычный 18" xfId="16"/>
    <cellStyle name="Обычный 2" xfId="4"/>
    <cellStyle name="Обычный 2 2" xfId="5"/>
    <cellStyle name="Обычный 2 2 2" xfId="53"/>
    <cellStyle name="Обычный 2 2 2 2" xfId="46"/>
    <cellStyle name="Обычный 2 2 3" xfId="67"/>
    <cellStyle name="Обычный 2 2 4" xfId="34"/>
    <cellStyle name="Обычный 2 3" xfId="37"/>
    <cellStyle name="Обычный 2 3 2" xfId="55"/>
    <cellStyle name="Обычный 2 7" xfId="74"/>
    <cellStyle name="Обычный 25 2" xfId="12"/>
    <cellStyle name="Обычный 27" xfId="36"/>
    <cellStyle name="Обычный 28 4" xfId="31"/>
    <cellStyle name="Обычный 28 4 2" xfId="38"/>
    <cellStyle name="Обычный 28 4 2 2" xfId="75"/>
    <cellStyle name="Обычный 28 4 3" xfId="73"/>
    <cellStyle name="Обычный 3" xfId="15"/>
    <cellStyle name="Обычный 3 2" xfId="42"/>
    <cellStyle name="Обычный 3 2 3" xfId="45"/>
    <cellStyle name="Обычный 3 3" xfId="28"/>
    <cellStyle name="Обычный 3 3 4" xfId="80"/>
    <cellStyle name="Обычный 3 4" xfId="54"/>
    <cellStyle name="Обычный 32" xfId="39"/>
    <cellStyle name="Обычный 35" xfId="49"/>
    <cellStyle name="Обычный 4" xfId="14"/>
    <cellStyle name="Обычный 4 3 2" xfId="81"/>
    <cellStyle name="Обычный 40" xfId="47"/>
    <cellStyle name="Обычный 41" xfId="62"/>
    <cellStyle name="Обычный 49" xfId="10"/>
    <cellStyle name="Обычный 5" xfId="52"/>
    <cellStyle name="Обычный 6" xfId="56"/>
    <cellStyle name="Обычный 7" xfId="58"/>
    <cellStyle name="Обычный 8" xfId="64"/>
    <cellStyle name="Обычный 8 2" xfId="70"/>
    <cellStyle name="Обычный 9" xfId="68"/>
    <cellStyle name="Обычный_6200_PRT" xfId="72"/>
    <cellStyle name="Обычный_6200РД" xfId="71"/>
    <cellStyle name="Обычный_Лист3" xfId="82"/>
    <cellStyle name="ПИР" xfId="41"/>
    <cellStyle name="ПИР 2" xfId="57"/>
    <cellStyle name="Процентный" xfId="1" builtinId="5"/>
    <cellStyle name="Процентный 10" xfId="35"/>
    <cellStyle name="Процентный 2" xfId="27"/>
    <cellStyle name="Процентный 2 2" xfId="29"/>
    <cellStyle name="Титул" xfId="6"/>
    <cellStyle name="Финансовый" xfId="51" builtinId="3"/>
    <cellStyle name="Финансовый [0] 2 2" xfId="30"/>
    <cellStyle name="Финансовый 12" xfId="69"/>
    <cellStyle name="Финансовый 13" xfId="44"/>
    <cellStyle name="Финансовый 2" xfId="26"/>
    <cellStyle name="Финансовый 2 2" xfId="60"/>
    <cellStyle name="Финансовый 3" xfId="43"/>
    <cellStyle name="Финансовый 3 4" xfId="32"/>
    <cellStyle name="Финансовый 4" xfId="59"/>
    <cellStyle name="Финансовый 5" xfId="63"/>
    <cellStyle name="Финансовый 6" xfId="65"/>
    <cellStyle name="Финансовый 7" xfId="76"/>
    <cellStyle name="Финансовый 7 2" xfId="33"/>
    <cellStyle name="Финансовый 8" xfId="66"/>
    <cellStyle name="Хвост"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1.xml"/><Relationship Id="rId63" Type="http://schemas.openxmlformats.org/officeDocument/2006/relationships/externalLink" Target="externalLinks/externalLink17.xml"/><Relationship Id="rId68" Type="http://schemas.openxmlformats.org/officeDocument/2006/relationships/externalLink" Target="externalLinks/externalLink2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7.xml"/><Relationship Id="rId58" Type="http://schemas.openxmlformats.org/officeDocument/2006/relationships/externalLink" Target="externalLinks/externalLink12.xml"/><Relationship Id="rId74" Type="http://schemas.openxmlformats.org/officeDocument/2006/relationships/externalLink" Target="externalLinks/externalLink28.xml"/><Relationship Id="rId79" Type="http://schemas.openxmlformats.org/officeDocument/2006/relationships/externalLink" Target="externalLinks/externalLink33.xml"/><Relationship Id="rId5" Type="http://schemas.openxmlformats.org/officeDocument/2006/relationships/worksheet" Target="worksheets/sheet5.xml"/><Relationship Id="rId61" Type="http://schemas.openxmlformats.org/officeDocument/2006/relationships/externalLink" Target="externalLinks/externalLink15.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56" Type="http://schemas.openxmlformats.org/officeDocument/2006/relationships/externalLink" Target="externalLinks/externalLink10.xml"/><Relationship Id="rId64" Type="http://schemas.openxmlformats.org/officeDocument/2006/relationships/externalLink" Target="externalLinks/externalLink18.xml"/><Relationship Id="rId69" Type="http://schemas.openxmlformats.org/officeDocument/2006/relationships/externalLink" Target="externalLinks/externalLink23.xml"/><Relationship Id="rId77" Type="http://schemas.openxmlformats.org/officeDocument/2006/relationships/externalLink" Target="externalLinks/externalLink31.xml"/><Relationship Id="rId8" Type="http://schemas.openxmlformats.org/officeDocument/2006/relationships/worksheet" Target="worksheets/sheet8.xml"/><Relationship Id="rId51" Type="http://schemas.openxmlformats.org/officeDocument/2006/relationships/externalLink" Target="externalLinks/externalLink5.xml"/><Relationship Id="rId72" Type="http://schemas.openxmlformats.org/officeDocument/2006/relationships/externalLink" Target="externalLinks/externalLink26.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3.xml"/><Relationship Id="rId67" Type="http://schemas.openxmlformats.org/officeDocument/2006/relationships/externalLink" Target="externalLinks/externalLink2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8.xml"/><Relationship Id="rId62" Type="http://schemas.openxmlformats.org/officeDocument/2006/relationships/externalLink" Target="externalLinks/externalLink16.xml"/><Relationship Id="rId70" Type="http://schemas.openxmlformats.org/officeDocument/2006/relationships/externalLink" Target="externalLinks/externalLink24.xml"/><Relationship Id="rId75" Type="http://schemas.openxmlformats.org/officeDocument/2006/relationships/externalLink" Target="externalLinks/externalLink29.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 Id="rId57" Type="http://schemas.openxmlformats.org/officeDocument/2006/relationships/externalLink" Target="externalLinks/externalLink1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6.xml"/><Relationship Id="rId60" Type="http://schemas.openxmlformats.org/officeDocument/2006/relationships/externalLink" Target="externalLinks/externalLink14.xml"/><Relationship Id="rId65" Type="http://schemas.openxmlformats.org/officeDocument/2006/relationships/externalLink" Target="externalLinks/externalLink19.xml"/><Relationship Id="rId73" Type="http://schemas.openxmlformats.org/officeDocument/2006/relationships/externalLink" Target="externalLinks/externalLink27.xml"/><Relationship Id="rId78" Type="http://schemas.openxmlformats.org/officeDocument/2006/relationships/externalLink" Target="externalLinks/externalLink32.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4.xml"/><Relationship Id="rId55" Type="http://schemas.openxmlformats.org/officeDocument/2006/relationships/externalLink" Target="externalLinks/externalLink9.xml"/><Relationship Id="rId76" Type="http://schemas.openxmlformats.org/officeDocument/2006/relationships/externalLink" Target="externalLinks/externalLink30.xml"/><Relationship Id="rId7" Type="http://schemas.openxmlformats.org/officeDocument/2006/relationships/worksheet" Target="worksheets/sheet7.xml"/><Relationship Id="rId71" Type="http://schemas.openxmlformats.org/officeDocument/2006/relationships/externalLink" Target="externalLinks/externalLink25.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externalLink" Target="externalLinks/externalLink20.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7327</xdr:colOff>
      <xdr:row>6</xdr:row>
      <xdr:rowOff>168519</xdr:rowOff>
    </xdr:from>
    <xdr:to>
      <xdr:col>5</xdr:col>
      <xdr:colOff>351693</xdr:colOff>
      <xdr:row>6</xdr:row>
      <xdr:rowOff>175846</xdr:rowOff>
    </xdr:to>
    <xdr:cxnSp macro="">
      <xdr:nvCxnSpPr>
        <xdr:cNvPr id="2" name="Прямая со стрелкой 1">
          <a:extLst>
            <a:ext uri="{FF2B5EF4-FFF2-40B4-BE49-F238E27FC236}">
              <a16:creationId xmlns:a16="http://schemas.microsoft.com/office/drawing/2014/main" id="{00000000-0008-0000-0000-000006000000}"/>
            </a:ext>
          </a:extLst>
        </xdr:cNvPr>
        <xdr:cNvCxnSpPr>
          <a:cxnSpLocks noChangeShapeType="1"/>
        </xdr:cNvCxnSpPr>
      </xdr:nvCxnSpPr>
      <xdr:spPr bwMode="auto">
        <a:xfrm>
          <a:off x="6726115" y="2271346"/>
          <a:ext cx="344366" cy="7327"/>
        </a:xfrm>
        <a:prstGeom prst="straightConnector1">
          <a:avLst/>
        </a:prstGeom>
        <a:noFill/>
        <a:ln w="63500">
          <a:solidFill>
            <a:srgbClr val="0070C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7327</xdr:colOff>
      <xdr:row>7</xdr:row>
      <xdr:rowOff>161192</xdr:rowOff>
    </xdr:from>
    <xdr:to>
      <xdr:col>6</xdr:col>
      <xdr:colOff>131885</xdr:colOff>
      <xdr:row>7</xdr:row>
      <xdr:rowOff>175846</xdr:rowOff>
    </xdr:to>
    <xdr:cxnSp macro="">
      <xdr:nvCxnSpPr>
        <xdr:cNvPr id="3" name="Прямая со стрелкой 2">
          <a:extLst>
            <a:ext uri="{FF2B5EF4-FFF2-40B4-BE49-F238E27FC236}">
              <a16:creationId xmlns:a16="http://schemas.microsoft.com/office/drawing/2014/main" id="{00000000-0008-0000-0000-00000C000000}"/>
            </a:ext>
          </a:extLst>
        </xdr:cNvPr>
        <xdr:cNvCxnSpPr>
          <a:cxnSpLocks noChangeShapeType="1"/>
        </xdr:cNvCxnSpPr>
      </xdr:nvCxnSpPr>
      <xdr:spPr bwMode="auto">
        <a:xfrm flipV="1">
          <a:off x="6726115" y="2769577"/>
          <a:ext cx="791308" cy="14654"/>
        </a:xfrm>
        <a:prstGeom prst="straightConnector1">
          <a:avLst/>
        </a:prstGeom>
        <a:noFill/>
        <a:ln w="63500">
          <a:solidFill>
            <a:srgbClr val="0070C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1267557</xdr:colOff>
      <xdr:row>9</xdr:row>
      <xdr:rowOff>131886</xdr:rowOff>
    </xdr:from>
    <xdr:to>
      <xdr:col>8</xdr:col>
      <xdr:colOff>263769</xdr:colOff>
      <xdr:row>9</xdr:row>
      <xdr:rowOff>139212</xdr:rowOff>
    </xdr:to>
    <xdr:cxnSp macro="">
      <xdr:nvCxnSpPr>
        <xdr:cNvPr id="6" name="Прямая со стрелкой 5">
          <a:extLst>
            <a:ext uri="{FF2B5EF4-FFF2-40B4-BE49-F238E27FC236}">
              <a16:creationId xmlns:a16="http://schemas.microsoft.com/office/drawing/2014/main" id="{00000000-0008-0000-0000-00000E000000}"/>
            </a:ext>
          </a:extLst>
        </xdr:cNvPr>
        <xdr:cNvCxnSpPr>
          <a:cxnSpLocks noChangeShapeType="1"/>
        </xdr:cNvCxnSpPr>
      </xdr:nvCxnSpPr>
      <xdr:spPr bwMode="auto">
        <a:xfrm flipV="1">
          <a:off x="6718788" y="3538905"/>
          <a:ext cx="1487366" cy="7326"/>
        </a:xfrm>
        <a:prstGeom prst="straightConnector1">
          <a:avLst/>
        </a:prstGeom>
        <a:noFill/>
        <a:ln w="63500">
          <a:solidFill>
            <a:srgbClr val="0070C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7327</xdr:colOff>
      <xdr:row>10</xdr:row>
      <xdr:rowOff>123779</xdr:rowOff>
    </xdr:from>
    <xdr:to>
      <xdr:col>8</xdr:col>
      <xdr:colOff>249115</xdr:colOff>
      <xdr:row>10</xdr:row>
      <xdr:rowOff>134921</xdr:rowOff>
    </xdr:to>
    <xdr:cxnSp macro="">
      <xdr:nvCxnSpPr>
        <xdr:cNvPr id="21" name="Прямая со стрелкой 20">
          <a:extLst>
            <a:ext uri="{FF2B5EF4-FFF2-40B4-BE49-F238E27FC236}">
              <a16:creationId xmlns:a16="http://schemas.microsoft.com/office/drawing/2014/main" id="{00000000-0008-0000-0000-000006000000}"/>
            </a:ext>
          </a:extLst>
        </xdr:cNvPr>
        <xdr:cNvCxnSpPr>
          <a:cxnSpLocks noChangeShapeType="1"/>
        </xdr:cNvCxnSpPr>
      </xdr:nvCxnSpPr>
      <xdr:spPr bwMode="auto">
        <a:xfrm>
          <a:off x="6726115" y="3845856"/>
          <a:ext cx="1465385" cy="11142"/>
        </a:xfrm>
        <a:prstGeom prst="straightConnector1">
          <a:avLst/>
        </a:prstGeom>
        <a:noFill/>
        <a:ln w="63500">
          <a:solidFill>
            <a:srgbClr val="0070C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1267557</xdr:colOff>
      <xdr:row>14</xdr:row>
      <xdr:rowOff>175847</xdr:rowOff>
    </xdr:from>
    <xdr:to>
      <xdr:col>8</xdr:col>
      <xdr:colOff>256442</xdr:colOff>
      <xdr:row>14</xdr:row>
      <xdr:rowOff>212480</xdr:rowOff>
    </xdr:to>
    <xdr:cxnSp macro="">
      <xdr:nvCxnSpPr>
        <xdr:cNvPr id="25" name="Прямая со стрелкой 24">
          <a:extLst>
            <a:ext uri="{FF2B5EF4-FFF2-40B4-BE49-F238E27FC236}">
              <a16:creationId xmlns:a16="http://schemas.microsoft.com/office/drawing/2014/main" id="{00000000-0008-0000-0000-000006000000}"/>
            </a:ext>
          </a:extLst>
        </xdr:cNvPr>
        <xdr:cNvCxnSpPr>
          <a:cxnSpLocks noChangeShapeType="1"/>
        </xdr:cNvCxnSpPr>
      </xdr:nvCxnSpPr>
      <xdr:spPr bwMode="auto">
        <a:xfrm flipV="1">
          <a:off x="6718788" y="5158155"/>
          <a:ext cx="1480039" cy="36633"/>
        </a:xfrm>
        <a:prstGeom prst="straightConnector1">
          <a:avLst/>
        </a:prstGeom>
        <a:noFill/>
        <a:ln w="63500">
          <a:solidFill>
            <a:srgbClr val="0070C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7327</xdr:colOff>
      <xdr:row>15</xdr:row>
      <xdr:rowOff>168520</xdr:rowOff>
    </xdr:from>
    <xdr:to>
      <xdr:col>10</xdr:col>
      <xdr:colOff>212481</xdr:colOff>
      <xdr:row>15</xdr:row>
      <xdr:rowOff>183173</xdr:rowOff>
    </xdr:to>
    <xdr:cxnSp macro="">
      <xdr:nvCxnSpPr>
        <xdr:cNvPr id="26" name="Прямая со стрелкой 25">
          <a:extLst>
            <a:ext uri="{FF2B5EF4-FFF2-40B4-BE49-F238E27FC236}">
              <a16:creationId xmlns:a16="http://schemas.microsoft.com/office/drawing/2014/main" id="{00000000-0008-0000-0000-00000C000000}"/>
            </a:ext>
          </a:extLst>
        </xdr:cNvPr>
        <xdr:cNvCxnSpPr>
          <a:cxnSpLocks noChangeShapeType="1"/>
        </xdr:cNvCxnSpPr>
      </xdr:nvCxnSpPr>
      <xdr:spPr bwMode="auto">
        <a:xfrm flipV="1">
          <a:off x="6726115" y="5465885"/>
          <a:ext cx="1985597" cy="14653"/>
        </a:xfrm>
        <a:prstGeom prst="straightConnector1">
          <a:avLst/>
        </a:prstGeom>
        <a:noFill/>
        <a:ln w="63500">
          <a:solidFill>
            <a:srgbClr val="0070C0"/>
          </a:solidFill>
          <a:round/>
          <a:headEnd/>
          <a:tailEnd/>
        </a:ln>
        <a:extLst>
          <a:ext uri="{909E8E84-426E-40DD-AFC4-6F175D3DCCD1}">
            <a14:hiddenFill xmlns:a14="http://schemas.microsoft.com/office/drawing/2010/main">
              <a:noFill/>
            </a14:hiddenFill>
          </a:ext>
        </a:extLst>
      </xdr:spPr>
    </xdr:cxnSp>
    <xdr:clientData/>
  </xdr:twoCellAnchor>
  <xdr:twoCellAnchor>
    <xdr:from>
      <xdr:col>11</xdr:col>
      <xdr:colOff>128346</xdr:colOff>
      <xdr:row>16</xdr:row>
      <xdr:rowOff>146539</xdr:rowOff>
    </xdr:from>
    <xdr:to>
      <xdr:col>13</xdr:col>
      <xdr:colOff>373673</xdr:colOff>
      <xdr:row>16</xdr:row>
      <xdr:rowOff>156897</xdr:rowOff>
    </xdr:to>
    <xdr:cxnSp macro="">
      <xdr:nvCxnSpPr>
        <xdr:cNvPr id="27" name="Прямая со стрелкой 26">
          <a:extLst>
            <a:ext uri="{FF2B5EF4-FFF2-40B4-BE49-F238E27FC236}">
              <a16:creationId xmlns:a16="http://schemas.microsoft.com/office/drawing/2014/main" id="{00000000-0008-0000-0000-000007000000}"/>
            </a:ext>
          </a:extLst>
        </xdr:cNvPr>
        <xdr:cNvCxnSpPr>
          <a:cxnSpLocks noChangeShapeType="1"/>
        </xdr:cNvCxnSpPr>
      </xdr:nvCxnSpPr>
      <xdr:spPr bwMode="auto">
        <a:xfrm flipV="1">
          <a:off x="8906000" y="5758962"/>
          <a:ext cx="860788" cy="10358"/>
        </a:xfrm>
        <a:prstGeom prst="straightConnector1">
          <a:avLst/>
        </a:prstGeom>
        <a:noFill/>
        <a:ln w="63500">
          <a:solidFill>
            <a:srgbClr val="0070C0"/>
          </a:solidFill>
          <a:round/>
          <a:headEnd/>
          <a:tailEnd/>
        </a:ln>
        <a:extLst>
          <a:ext uri="{909E8E84-426E-40DD-AFC4-6F175D3DCCD1}">
            <a14:hiddenFill xmlns:a14="http://schemas.microsoft.com/office/drawing/2010/main">
              <a:noFill/>
            </a14:hiddenFill>
          </a:ext>
        </a:extLst>
      </xdr:spPr>
    </xdr:cxnSp>
    <xdr:clientData/>
  </xdr:twoCellAnchor>
  <xdr:twoCellAnchor>
    <xdr:from>
      <xdr:col>11</xdr:col>
      <xdr:colOff>131885</xdr:colOff>
      <xdr:row>17</xdr:row>
      <xdr:rowOff>87923</xdr:rowOff>
    </xdr:from>
    <xdr:to>
      <xdr:col>13</xdr:col>
      <xdr:colOff>381000</xdr:colOff>
      <xdr:row>17</xdr:row>
      <xdr:rowOff>95250</xdr:rowOff>
    </xdr:to>
    <xdr:cxnSp macro="">
      <xdr:nvCxnSpPr>
        <xdr:cNvPr id="28" name="Прямая со стрелкой 27">
          <a:extLst>
            <a:ext uri="{FF2B5EF4-FFF2-40B4-BE49-F238E27FC236}">
              <a16:creationId xmlns:a16="http://schemas.microsoft.com/office/drawing/2014/main" id="{00000000-0008-0000-0000-00000E000000}"/>
            </a:ext>
          </a:extLst>
        </xdr:cNvPr>
        <xdr:cNvCxnSpPr>
          <a:cxnSpLocks noChangeShapeType="1"/>
        </xdr:cNvCxnSpPr>
      </xdr:nvCxnSpPr>
      <xdr:spPr bwMode="auto">
        <a:xfrm flipV="1">
          <a:off x="8909539" y="6022731"/>
          <a:ext cx="864576" cy="7327"/>
        </a:xfrm>
        <a:prstGeom prst="straightConnector1">
          <a:avLst/>
        </a:prstGeom>
        <a:noFill/>
        <a:ln w="63500">
          <a:solidFill>
            <a:srgbClr val="0070C0"/>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7327</xdr:colOff>
      <xdr:row>11</xdr:row>
      <xdr:rowOff>146541</xdr:rowOff>
    </xdr:from>
    <xdr:to>
      <xdr:col>8</xdr:col>
      <xdr:colOff>241788</xdr:colOff>
      <xdr:row>11</xdr:row>
      <xdr:rowOff>146541</xdr:rowOff>
    </xdr:to>
    <xdr:cxnSp macro="">
      <xdr:nvCxnSpPr>
        <xdr:cNvPr id="40" name="Прямая со стрелкой 39">
          <a:extLst>
            <a:ext uri="{FF2B5EF4-FFF2-40B4-BE49-F238E27FC236}">
              <a16:creationId xmlns:a16="http://schemas.microsoft.com/office/drawing/2014/main" id="{00000000-0008-0000-0000-00000E000000}"/>
            </a:ext>
          </a:extLst>
        </xdr:cNvPr>
        <xdr:cNvCxnSpPr>
          <a:cxnSpLocks noChangeShapeType="1"/>
        </xdr:cNvCxnSpPr>
      </xdr:nvCxnSpPr>
      <xdr:spPr bwMode="auto">
        <a:xfrm>
          <a:off x="6726115" y="4183676"/>
          <a:ext cx="1458058" cy="0"/>
        </a:xfrm>
        <a:prstGeom prst="straightConnector1">
          <a:avLst/>
        </a:prstGeom>
        <a:noFill/>
        <a:ln w="63500">
          <a:solidFill>
            <a:srgbClr val="0070C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1267557</xdr:colOff>
      <xdr:row>12</xdr:row>
      <xdr:rowOff>161193</xdr:rowOff>
    </xdr:from>
    <xdr:to>
      <xdr:col>8</xdr:col>
      <xdr:colOff>249115</xdr:colOff>
      <xdr:row>12</xdr:row>
      <xdr:rowOff>161194</xdr:rowOff>
    </xdr:to>
    <xdr:cxnSp macro="">
      <xdr:nvCxnSpPr>
        <xdr:cNvPr id="41" name="Прямая со стрелкой 40">
          <a:extLst>
            <a:ext uri="{FF2B5EF4-FFF2-40B4-BE49-F238E27FC236}">
              <a16:creationId xmlns:a16="http://schemas.microsoft.com/office/drawing/2014/main" id="{00000000-0008-0000-0000-00000E000000}"/>
            </a:ext>
          </a:extLst>
        </xdr:cNvPr>
        <xdr:cNvCxnSpPr>
          <a:cxnSpLocks noChangeShapeType="1"/>
        </xdr:cNvCxnSpPr>
      </xdr:nvCxnSpPr>
      <xdr:spPr bwMode="auto">
        <a:xfrm>
          <a:off x="6718788" y="4513385"/>
          <a:ext cx="1472712" cy="1"/>
        </a:xfrm>
        <a:prstGeom prst="straightConnector1">
          <a:avLst/>
        </a:prstGeom>
        <a:noFill/>
        <a:ln w="63500">
          <a:solidFill>
            <a:srgbClr val="0070C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39</xdr:row>
      <xdr:rowOff>0</xdr:rowOff>
    </xdr:from>
    <xdr:to>
      <xdr:col>1</xdr:col>
      <xdr:colOff>304800</xdr:colOff>
      <xdr:row>39</xdr:row>
      <xdr:rowOff>190500</xdr:rowOff>
    </xdr:to>
    <xdr:sp macro="" textlink="">
      <xdr:nvSpPr>
        <xdr:cNvPr id="2"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3"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4"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5"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39</xdr:row>
      <xdr:rowOff>0</xdr:rowOff>
    </xdr:from>
    <xdr:to>
      <xdr:col>1</xdr:col>
      <xdr:colOff>304800</xdr:colOff>
      <xdr:row>39</xdr:row>
      <xdr:rowOff>190500</xdr:rowOff>
    </xdr:to>
    <xdr:sp macro="" textlink="">
      <xdr:nvSpPr>
        <xdr:cNvPr id="6"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7"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8"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9"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39</xdr:row>
      <xdr:rowOff>0</xdr:rowOff>
    </xdr:from>
    <xdr:to>
      <xdr:col>1</xdr:col>
      <xdr:colOff>304800</xdr:colOff>
      <xdr:row>39</xdr:row>
      <xdr:rowOff>190500</xdr:rowOff>
    </xdr:to>
    <xdr:sp macro="" textlink="">
      <xdr:nvSpPr>
        <xdr:cNvPr id="10"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11"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12"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13"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39</xdr:row>
      <xdr:rowOff>0</xdr:rowOff>
    </xdr:from>
    <xdr:to>
      <xdr:col>1</xdr:col>
      <xdr:colOff>304800</xdr:colOff>
      <xdr:row>39</xdr:row>
      <xdr:rowOff>190500</xdr:rowOff>
    </xdr:to>
    <xdr:sp macro="" textlink="">
      <xdr:nvSpPr>
        <xdr:cNvPr id="14"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15"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16"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17"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39</xdr:row>
      <xdr:rowOff>0</xdr:rowOff>
    </xdr:from>
    <xdr:to>
      <xdr:col>1</xdr:col>
      <xdr:colOff>304800</xdr:colOff>
      <xdr:row>39</xdr:row>
      <xdr:rowOff>190500</xdr:rowOff>
    </xdr:to>
    <xdr:sp macro="" textlink="">
      <xdr:nvSpPr>
        <xdr:cNvPr id="18"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19"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20"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21"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39</xdr:row>
      <xdr:rowOff>0</xdr:rowOff>
    </xdr:from>
    <xdr:to>
      <xdr:col>1</xdr:col>
      <xdr:colOff>304800</xdr:colOff>
      <xdr:row>39</xdr:row>
      <xdr:rowOff>190500</xdr:rowOff>
    </xdr:to>
    <xdr:sp macro="" textlink="">
      <xdr:nvSpPr>
        <xdr:cNvPr id="22"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23"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24"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25"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39</xdr:row>
      <xdr:rowOff>0</xdr:rowOff>
    </xdr:from>
    <xdr:to>
      <xdr:col>1</xdr:col>
      <xdr:colOff>304800</xdr:colOff>
      <xdr:row>39</xdr:row>
      <xdr:rowOff>190500</xdr:rowOff>
    </xdr:to>
    <xdr:sp macro="" textlink="">
      <xdr:nvSpPr>
        <xdr:cNvPr id="26"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27"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28"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29"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39</xdr:row>
      <xdr:rowOff>0</xdr:rowOff>
    </xdr:from>
    <xdr:to>
      <xdr:col>1</xdr:col>
      <xdr:colOff>304800</xdr:colOff>
      <xdr:row>39</xdr:row>
      <xdr:rowOff>190500</xdr:rowOff>
    </xdr:to>
    <xdr:sp macro="" textlink="">
      <xdr:nvSpPr>
        <xdr:cNvPr id="30"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31"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32"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33"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39</xdr:row>
      <xdr:rowOff>0</xdr:rowOff>
    </xdr:from>
    <xdr:to>
      <xdr:col>1</xdr:col>
      <xdr:colOff>304800</xdr:colOff>
      <xdr:row>39</xdr:row>
      <xdr:rowOff>190500</xdr:rowOff>
    </xdr:to>
    <xdr:sp macro="" textlink="">
      <xdr:nvSpPr>
        <xdr:cNvPr id="34"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35"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36"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37"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39</xdr:row>
      <xdr:rowOff>0</xdr:rowOff>
    </xdr:from>
    <xdr:to>
      <xdr:col>1</xdr:col>
      <xdr:colOff>304800</xdr:colOff>
      <xdr:row>39</xdr:row>
      <xdr:rowOff>190500</xdr:rowOff>
    </xdr:to>
    <xdr:sp macro="" textlink="">
      <xdr:nvSpPr>
        <xdr:cNvPr id="38"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39"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40"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41"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39</xdr:row>
      <xdr:rowOff>0</xdr:rowOff>
    </xdr:from>
    <xdr:to>
      <xdr:col>1</xdr:col>
      <xdr:colOff>304800</xdr:colOff>
      <xdr:row>39</xdr:row>
      <xdr:rowOff>190500</xdr:rowOff>
    </xdr:to>
    <xdr:sp macro="" textlink="">
      <xdr:nvSpPr>
        <xdr:cNvPr id="42"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43"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44"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45"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39</xdr:row>
      <xdr:rowOff>0</xdr:rowOff>
    </xdr:from>
    <xdr:to>
      <xdr:col>1</xdr:col>
      <xdr:colOff>304800</xdr:colOff>
      <xdr:row>39</xdr:row>
      <xdr:rowOff>190500</xdr:rowOff>
    </xdr:to>
    <xdr:sp macro="" textlink="">
      <xdr:nvSpPr>
        <xdr:cNvPr id="46"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47"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48"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49"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39</xdr:row>
      <xdr:rowOff>0</xdr:rowOff>
    </xdr:from>
    <xdr:to>
      <xdr:col>1</xdr:col>
      <xdr:colOff>304800</xdr:colOff>
      <xdr:row>39</xdr:row>
      <xdr:rowOff>190500</xdr:rowOff>
    </xdr:to>
    <xdr:sp macro="" textlink="">
      <xdr:nvSpPr>
        <xdr:cNvPr id="50"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51"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52"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53"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39</xdr:row>
      <xdr:rowOff>0</xdr:rowOff>
    </xdr:from>
    <xdr:to>
      <xdr:col>1</xdr:col>
      <xdr:colOff>304800</xdr:colOff>
      <xdr:row>39</xdr:row>
      <xdr:rowOff>190500</xdr:rowOff>
    </xdr:to>
    <xdr:sp macro="" textlink="">
      <xdr:nvSpPr>
        <xdr:cNvPr id="54" name="AutoShape 9" descr="https://www.garant.ru/files/0/6/1373660/pict0-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55" name="AutoShape 10" descr="https://www.garant.ru/files/0/6/1373660/pict1-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39</xdr:row>
      <xdr:rowOff>190500</xdr:rowOff>
    </xdr:to>
    <xdr:sp macro="" textlink="">
      <xdr:nvSpPr>
        <xdr:cNvPr id="56"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39</xdr:row>
      <xdr:rowOff>0</xdr:rowOff>
    </xdr:from>
    <xdr:ext cx="304800" cy="190500"/>
    <xdr:sp macro="" textlink="">
      <xdr:nvSpPr>
        <xdr:cNvPr id="57" name="AutoShape 11" descr="https://www.garant.ru/files/0/6/1373660/pict2-73760104.png"/>
        <xdr:cNvSpPr>
          <a:spLocks noChangeAspect="1" noChangeArrowheads="1"/>
        </xdr:cNvSpPr>
      </xdr:nvSpPr>
      <xdr:spPr bwMode="auto">
        <a:xfrm>
          <a:off x="3181350" y="85725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351000</xdr:colOff>
      <xdr:row>47</xdr:row>
      <xdr:rowOff>65715</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1943100"/>
          <a:ext cx="11400000" cy="76761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erp.tomsknipineft:8080/1922/&#1044;&#1086;&#1075;&#1086;&#1074;&#1086;&#1088;/&#1055;&#1088;&#1080;&#1083;&#1086;&#1078;&#1077;&#1085;&#1080;&#1077;%20&#1055;&#1057;&#1044;192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crc.local\share\&#1082;&#1086;&#1084;&#1087;&#1100;&#1102;&#1090;&#1077;&#1088;\&#1051;&#1077;&#1085;&#1072;\&#1044;&#1086;&#1083;&#1075;&#1080;\123\&#1044;&#1086;&#1075;&#1086;&#1074;&#1086;&#1088;&#1072;\&#1048;&#1085;&#1078;&#1043;&#1077;&#1086;&#1055;&#1088;&#1086;&#1077;&#1082;&#1090;\2010\&#1057;&#1086;&#1095;&#1080;\&#1044;&#1054;&#1053;&#1048;&#1053;&#1042;&#1045;&#1057;&#1058;\&#1057;&#1052;&#1045;&#1058;&#1067;\&#1057;&#1084;&#1077;&#1090;&#1099;%20&#1088;&#1072;&#1073;&#1086;&#1095;&#1080;&#1077;\2008\&#1089;&#1084;&#1077;&#1090;&#1072;%20&#1075;&#1077;&#1086;&#1083;%20&#1042;&#1086;&#1083;&#1075;&#107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082;&#1086;&#1084;&#1087;&#1100;&#1102;&#1090;&#1077;&#1088;\&#1051;&#1077;&#1085;&#1072;\&#1044;&#1086;&#1083;&#1075;&#1080;\123\&#1044;&#1086;&#1075;&#1086;&#1074;&#1086;&#1088;&#1072;\&#1048;&#1085;&#1078;&#1043;&#1077;&#1086;&#1055;&#1088;&#1086;&#1077;&#1082;&#1090;\2010\&#1057;&#1086;&#1095;&#1080;\&#1044;&#1054;&#1053;&#1048;&#1053;&#1042;&#1045;&#1057;&#1058;\&#1057;&#1052;&#1045;&#1058;&#1067;\&#1057;&#1084;&#1077;&#1090;&#1099;%20&#1088;&#1072;&#1073;&#1086;&#1095;&#1080;&#1077;\2008\&#1089;&#1084;&#1077;&#1090;&#1072;%20&#1075;&#1077;&#1086;&#1083;%20&#1042;&#1086;&#1083;&#1075;&#107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Zarplata_1\&#1044;&#1077;&#1085;&#1080;&#1089;\&#1089;&#1086;&#1093;&#1088;&#1072;&#1085;&#1080;&#1090;&#11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igma\110.&#1059;&#1044;&#1044;\Docs\Zarplata_1\&#1044;&#1077;&#1085;&#1080;&#1089;\&#1089;&#1086;&#1093;&#1088;&#1072;&#1085;&#1080;&#1090;&#11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DELIVERY\&#1052;&#1086;&#1080;%20&#1076;&#1086;&#1082;&#1091;&#1084;&#1077;&#1085;&#1090;&#1099;\&#1050;&#1085;&#1080;&#1075;&#1072;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ipi\pir\PROJECTS\GIP\Office4\1980\&#1044;&#1086;&#1075;&#1086;&#1074;&#1086;&#1088;\&#1080;&#1089;&#1087;&#1086;&#1083;&#1085;&#1080;&#1090;&#1077;&#1083;&#1100;&#1085;&#1099;&#1077;%20&#1089;&#1084;&#1077;&#1090;&#1099;\DELIVERY\&#1052;&#1086;&#1080;%20&#1076;&#1086;&#1082;&#1091;&#1084;&#1077;&#1085;&#1090;&#1099;\&#1050;&#1085;&#1080;&#1075;&#1072;1.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1055;&#1083;&#1072;&#1090;&#1077;&#1078;&#1085;&#1099;&#1077;%20&#1092;&#1086;&#1088;&#1084;&#1099;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ffice1\Netwrkng\WORK\Project_Price_1-99.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polikw2k\BLANK\&#1054;&#1073;&#1097;&#1080;&#1077;%20&#1076;&#1072;&#1085;&#1085;&#1099;&#1077;%20_format%20(electr)_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erp.tomsknipineft:8080/Documents%20and%20Settings/user.KLG0043/&#1056;&#1072;&#1073;&#1086;&#1095;&#1080;&#1081;%20&#1089;&#1090;&#1086;&#1083;/&#1044;&#1080;&#1085;&#1072;&#1088;&#1072;/Documents%20and%20Settings/afismagilov/Local%20Settings/Temporary%20Internet%20Files/OLK164/&#1055;&#1044;&#1056;+&#1041;&#1102;&#1076;&#1078;&#1077;&#1090;%20&#1070;&#1053;&#1043;%20&#1053;&#1058;&#1062;%20&#1059;&#1092;&#1072;%20(2005-2006)v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isdc2\&#1076;&#1077;&#1087;&#1072;&#1088;&#1090;&#1072;&#1084;&#1077;&#1085;&#1090;%20&#1089;&#1080;&#1073;\&#1054;&#1090;&#1076;&#1077;&#1083;%20&#1087;&#1088;&#1086;&#1077;&#1082;&#1090;&#1080;&#1088;&#1086;&#1074;&#1072;&#1085;&#1080;&#1103;\01.%20&#1055;&#1088;&#1086;&#1077;&#1082;&#1090;&#1099;%20&#1074;%20&#1088;&#1072;&#1079;&#1088;&#1072;&#1073;&#1086;&#1090;&#1082;&#1077;\&#1057;&#1072;&#1084;&#1072;&#1088;&#1072;&#1090;&#1088;&#1072;&#1085;&#1089;&#1075;&#1072;&#1079;\07.%20&#1055;&#1088;&#1086;&#1077;&#1082;&#1090;&#1080;&#1088;&#1086;&#1074;&#1072;&#1085;&#1080;&#1077;\01.&#1058;&#1077;&#1093;&#1085;&#1080;&#1095;&#1077;&#1089;&#1082;&#1080;&#1081;%20&#1087;&#1088;&#1086;&#1077;&#1082;&#1090;\&#1057;&#1087;&#1077;&#1094;&#1080;&#1092;&#1080;&#1082;&#1072;&#1094;&#1080;&#1103;\1807200716462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1054;&#1073;&#1097;&#1080;&#1077;%20&#1087;&#1072;&#1087;&#1082;&#1080;\Documents%20and%20Settings\&#1040;&#1076;&#1084;&#1080;&#1085;&#1080;&#1089;&#1090;&#1088;&#1072;&#1090;&#1086;&#1088;\&#1056;&#1072;&#1073;&#1086;&#1095;&#1080;&#1081;%20&#1089;&#1090;&#1086;&#1083;\&#1050;&#1086;&#1084;&#1084;%20&#1087;&#1088;&#1077;&#1076;&#1083;%20&#1087;&#1086;%20&#1057;&#1077;&#1088;&#1086;&#1086;&#1095;&#1080;&#1089;&#1090;&#1082;&#1077;-%20&#1040;&#1083;&#1072;&#1090;&#1086;&#1088;&#1082;&#1072;\&#1050;&#1086;&#1084;%20%20&#1087;&#1088;&#1077;&#1076;&#1083;%20&#1087;&#1086;%20&#1057;&#1077;&#1088;&#1086;&#1086;&#1095;&#1080;&#1089;&#1090;&#1082;&#1077;%20&#1040;&#1083;&#1072;&#1090;&#1086;&#1088;&#1082;&#107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igma\110.&#1059;&#1044;&#1044;\Documents%20and%20Settings\904\Local%20Settings\Temporary%20Internet%20Files\OLK2\&#1057;&#1074;&#1086;&#1076;&#1085;&#1072;&#1103;%20&#1075;&#1072;&#1079;&#1086;&#1087;&#1088;&#1086;&#1074;&#1086;&#107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DELIVERY\&#1044;&#1054;&#1043;&#1054;&#1042;&#1054;&#1056;&#1040;\&#1044;&#1054;&#1043;&#1054;&#1042;&#1054;&#1056;&#1040;%202000\07_&#1059;&#1093;&#1090;&#1072;\107-07_00\&#1048;&#1089;&#1093;&#1086;&#1076;&#1085;&#1080;&#1082;&#1080;\&#1064;&#1082;&#1072;&#1092;&#1099;_end.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crc.local\share\&#1082;&#1086;&#1084;&#1087;&#1100;&#1102;&#1090;&#1077;&#1088;\&#1051;&#1077;&#1085;&#1072;\&#1044;&#1086;&#1083;&#1075;&#1080;\123\&#1044;&#1086;&#1075;&#1086;&#1074;&#1086;&#1088;&#1072;\&#1048;&#1085;&#1078;&#1043;&#1077;&#1086;&#1055;&#1088;&#1086;&#1077;&#1082;&#1090;\2010\&#1057;&#1086;&#1095;&#1080;\&#1044;&#1054;&#1053;&#1048;&#1053;&#1042;&#1045;&#1057;&#1058;\&#1057;&#1052;&#1045;&#1058;&#1067;\Temp\Rar$DI00.781\&#1048;&#1079;&#1099;&#1089;&#1082;&#1072;&#1085;&#1080;&#1103;\&#1075;&#1077;&#1086;&#1083;-&#1048;&#108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1082;&#1086;&#1084;&#1087;&#1100;&#1102;&#1090;&#1077;&#1088;\&#1051;&#1077;&#1085;&#1072;\&#1044;&#1086;&#1083;&#1075;&#1080;\123\&#1044;&#1086;&#1075;&#1086;&#1074;&#1086;&#1088;&#1072;\&#1048;&#1085;&#1078;&#1043;&#1077;&#1086;&#1055;&#1088;&#1086;&#1077;&#1082;&#1090;\2010\&#1057;&#1086;&#1095;&#1080;\&#1044;&#1054;&#1053;&#1048;&#1053;&#1042;&#1045;&#1057;&#1058;\&#1057;&#1052;&#1045;&#1058;&#1067;\Temp\Rar$DI00.781\&#1048;&#1079;&#1099;&#1089;&#1082;&#1072;&#1085;&#1080;&#1103;\&#1075;&#1077;&#1086;&#1083;-&#1048;&#108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d\&#1059;&#1087;&#1088;&#1072;&#1074;&#1083;&#1077;&#1085;&#1080;&#1077;%20&#1080;&#1079;&#1099;&#1089;&#1082;&#1072;&#1090;&#1077;&#1083;&#1100;&#1089;&#1082;&#1080;&#1093;%20&#1088;&#1072;&#1073;&#1086;&#1090;\Temp\Rar$DI00.781\&#1048;&#1079;&#1099;&#1089;&#1082;&#1072;&#1085;&#1080;&#1103;\&#1075;&#1077;&#1086;&#1083;-&#1048;&#108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erver1\&#1056;&#1072;&#1073;&#1086;&#1095;&#1080;&#1081;%20&#1089;&#1090;&#1086;&#1083;\&#1056;&#1072;&#1073;&#1086;&#1095;&#1072;&#1103;\&#1056;&#1040;&#1057;&#1063;&#1045;&#1058;%20%20&#1055;&#1048;&#1056;%20&#1087;&#1086;%20&#1062;&#1055;&#1054;\&#1040;&#1069;&#1056;&#1054;&#1044;&#1056;&#1054;&#1052;&#1067;\&#1061;&#1091;&#1088;&#1073;&#1072;,%20&#1061;&#1072;&#1073;&#1072;&#1088;&#1086;&#1074;&#1089;&#1082;&#1080;&#1081;%20&#1082;&#1088;&#1072;&#1081;\&#1056;&#1053;&#1062;\&#1054;&#1090;&#1074;&#1077;&#1090;%20&#1085;&#1072;%20&#1079;&#1072;&#1084;&#1077;&#1095;&#1072;&#1085;&#1080;&#1103;\Temp\Rar$DI00.781\&#1048;&#1079;&#1099;&#1089;&#1082;&#1072;&#1085;&#1080;&#1103;\&#1075;&#1077;&#1086;&#1083;-&#1048;&#108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ncrc.local\share\&#1082;&#1086;&#1084;&#1087;&#1100;&#1102;&#1090;&#1077;&#1088;\&#1051;&#1077;&#1085;&#1072;\&#1044;&#1086;&#1083;&#1075;&#1080;\123\&#1044;&#1086;&#1075;&#1086;&#1074;&#1086;&#1088;&#1072;\&#1048;&#1085;&#1078;&#1043;&#1077;&#1086;&#1055;&#1088;&#1086;&#1077;&#1082;&#1090;\2010\&#1057;&#1086;&#1095;&#1080;\&#1044;&#1054;&#1053;&#1048;&#1053;&#1042;&#1045;&#1057;&#1058;\&#1057;&#1052;&#1045;&#1058;&#1067;\&#1043;&#1045;&#1054;&#1057;&#1052;&#1045;&#1058;&#1040;\&#1056;&#1040;&#1057;&#1063;&#1045;&#1058;%20&#1057;&#1052;&#1045;&#1058;&#106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1082;&#1086;&#1084;&#1087;&#1100;&#1102;&#1090;&#1077;&#1088;\&#1051;&#1077;&#1085;&#1072;\&#1044;&#1086;&#1083;&#1075;&#1080;\123\&#1044;&#1086;&#1075;&#1086;&#1074;&#1086;&#1088;&#1072;\&#1048;&#1085;&#1078;&#1043;&#1077;&#1086;&#1055;&#1088;&#1086;&#1077;&#1082;&#1090;\2010\&#1057;&#1086;&#1095;&#1080;\&#1044;&#1054;&#1053;&#1048;&#1053;&#1042;&#1045;&#1057;&#1058;\&#1057;&#1052;&#1045;&#1058;&#1067;\&#1043;&#1045;&#1054;&#1057;&#1052;&#1045;&#1058;&#1040;\&#1056;&#1040;&#1057;&#1063;&#1045;&#1058;%20&#1057;&#1052;&#1045;&#1058;&#106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d\&#1059;&#1087;&#1088;&#1072;&#1074;&#1083;&#1077;&#1085;&#1080;&#1077;%20&#1080;&#1079;&#1099;&#1089;&#1082;&#1072;&#1090;&#1077;&#1083;&#1100;&#1089;&#1082;&#1080;&#1093;%20&#1088;&#1072;&#1073;&#1086;&#1090;\&#1043;&#1045;&#1054;&#1057;&#1052;&#1045;&#1058;&#1040;\&#1056;&#1040;&#1057;&#1063;&#1045;&#1058;%20&#1057;&#1052;&#1045;&#1058;&#106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erver1\&#1056;&#1072;&#1073;&#1086;&#1095;&#1080;&#1081;%20&#1089;&#1090;&#1086;&#1083;\&#1056;&#1072;&#1073;&#1086;&#1095;&#1072;&#1103;\&#1056;&#1040;&#1057;&#1063;&#1045;&#1058;%20%20&#1055;&#1048;&#1056;%20&#1087;&#1086;%20&#1062;&#1055;&#1054;\&#1040;&#1069;&#1056;&#1054;&#1044;&#1056;&#1054;&#1052;&#1067;\&#1061;&#1091;&#1088;&#1073;&#1072;,%20&#1061;&#1072;&#1073;&#1072;&#1088;&#1086;&#1074;&#1089;&#1082;&#1080;&#1081;%20&#1082;&#1088;&#1072;&#1081;\&#1056;&#1053;&#1062;\&#1054;&#1090;&#1074;&#1077;&#1090;%20&#1085;&#1072;%20&#1079;&#1072;&#1084;&#1077;&#1095;&#1072;&#1085;&#1080;&#1103;\&#1043;&#1045;&#1054;&#1057;&#1052;&#1045;&#1058;&#1040;\&#1056;&#1040;&#1057;&#1063;&#1045;&#1058;%20&#1057;&#1052;&#1045;&#1058;&#106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Sigma\110.&#1059;&#1044;&#1044;\Documents%20and%20Settings\428\My%20Documents\&#1090;&#1088;&#1072;&#1085;&#1089;&#1085;&#1077;&#1092;&#1090;&#1077;&#1084;&#1072;&#1096;\mail\&#1043;&#1077;&#1086;&#1057;&#1084;&#1077;&#1090;&#1072;\&#1040;&#1088;&#1093;&#1080;&#1074;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erver2\&#1089;&#1084;&#1077;&#1090;&#1085;&#1099;&#1081;\&#1040;&#1083;&#1077;&#1082;&#1089;&#1072;&#1085;&#1076;&#1088;%20&#1040;&#1083;&#1077;&#1082;&#1089;&#1077;&#1077;&#1074;&#1080;&#1095;\&#1057;&#1057;&#1056;%20&#1089;&#1085;&#1077;&#1075;&#1086;&#1074;&#1072;&#1103;%20&#1087;&#1072;&#1076;&#1100;\&#1059;&#1050;&#1057;&#1048;%20&#1057;&#1090;&#1088;&#1102;&#1082;&#1086;&#1074;\&#1056;&#1072;&#1079;&#1085;&#1086;&#1077;%20Excel\&#1057;&#1057;&#1056;\&#1059;&#1050;&#1057;&#1048;\&#1056;&#1045;&#1057;&#1058;&#1056;&#1059;&#1050;&#1058;&#1059;&#1056;&#1048;&#1047;&#1040;&#1062;&#1048;&#1071;\&#1057;&#1086;&#1089;&#1085;&#1086;&#1074;&#1086;&#1077;\&#1052;&#1086;&#1080;%20&#1076;&#1086;&#1082;&#1091;&#1084;&#1077;&#1085;&#1090;&#1099;\&#1041;&#1102;&#1076;&#1078;&#1077;&#1090;\&#1060;&#1062;&#1055;\&#1056;&#1077;&#1089;&#1090;&#1088;&#1091;&#1082;&#1090;&#1091;&#1088;&#1080;&#1079;&#1072;&#1094;&#1080;&#1103;\&#1057;"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soduws2003\&#1060;&#1080;&#1083;&#1080;&#1072;&#1083;%20&#1040;&#1057;&#1054;&#1044;&#1059;\&#1047;&#1072;&#1082;&#1072;&#1079;&#1095;&#1080;&#1082;&#1080;\&#1051;&#1059;&#1050;&#1054;&#1049;&#1051;-&#1055;&#1045;&#1056;&#1052;&#1053;&#1045;&#1060;&#1058;&#1068;\&#1050;&#1059;&#1059;&#1053;%20276%20&#1054;&#1089;&#1072;\&#1044;&#1086;&#1075;&#1086;&#1074;&#1086;&#1088;%20310%20&#1086;&#1090;%2006.02.03%20(&#1088;&#1077;&#1082;&#1086;&#1085;&#1089;&#1090;&#1088;&#1091;&#1082;&#1094;&#1080;&#1103;)\&#1044;&#1086;&#1087;.%20&#1089;&#1086;&#1075;&#1083;.%20&#8470;2%20&#1086;&#1090;%2001.09.04\&#1055;&#1088;&#1080;&#1083;&#1086;&#1078;.%20&#1076;.&#1089;.%202%20&#1082;%20&#1076;&#1086;&#1075;.%2031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evo-d\d\&#1042;&#1080;&#1083;&#1099;\GEODESIA\Natasha\&#1042;&#1053;&#1048;&#1048;&#1056;\&#1057;&#1084;&#1077;&#1090;&#107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crc.local\share\Users\Narozhnyj\Downloads\&#1042;&#1040;&#1057;&#1048;&#1051;&#1048;&#1049;\&#1055;&#1048;&#1056;%20&#1057;&#1090;&#1072;&#1076;&#1080;&#1086;&#1085;\DOCUME~1\TEMP\LOCALS~1\Temp\Xl000026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Users\Narozhnyj\Downloads\&#1042;&#1040;&#1057;&#1048;&#1051;&#1048;&#1049;\&#1055;&#1048;&#1056;%20&#1057;&#1090;&#1072;&#1076;&#1080;&#1086;&#1085;\DOCUME~1\TEMP\LOCALS~1\Temp\Xl000026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10.0.0.4\tmpfolder\!exchange\23%20&#1086;&#1090;&#1076;&#1077;&#1083;\&#1045;&#1088;&#1105;&#1084;&#1080;&#1085;\&#1089;&#1084;&#1047;&#1045;&#1052;&#1086;&#1076;&#108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portachev\Analitzapiska\Documents%20and%20Settings\Nahimovskay\Local%20Settings\Temporary%20Internet%20Files\OLK35\&#1050;&#1086;&#1087;&#1080;&#1103;%20V2.200721&#1072;&#1087;&#1088;&#1077;&#1083;&#1103;&#1091;&#1090;&#1086;&#1095;&#1085;..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Documents%20and%20Settings\voronina.PGBUH\&#1052;&#1086;&#1080;%20&#1076;&#1086;&#1082;&#1091;&#1084;&#1077;&#1085;&#1090;&#1099;\&#1057;&#1084;&#1077;&#1090;&#1099;\&#1041;&#1072;&#1081;&#1076;&#1072;&#1088;&#1072;&#1094;&#1082;&#1072;&#1103;%20&#1075;&#1091;&#1073;&#1072;%202007\&#1048;&#1079;&#1099;&#1089;&#1082;&#1072;&#1085;&#1080;&#1103;\&#1071;&#1043;&#1048;\&#1050;&#1055;+C&#1084;&#1077;&#1090;&#1072;%202007%20&#1071;&#1043;&#1048;%20%20(14.03.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Users\tatarinov\AppData\Roaming\Microsoft\AddIns\sumprop.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
      <sheetName val="СС"/>
      <sheetName val="Топографо-геодезические работы"/>
      <sheetName val=" Инженерно-геологические работы"/>
      <sheetName val=" Инженерно-гидрологически работ"/>
      <sheetName val="Смета №4"/>
      <sheetName val="Смета №5"/>
      <sheetName val="Обследование"/>
      <sheetName val="Экспертизы"/>
      <sheetName val="Сводная сммета_ИСП"/>
      <sheetName val="топография"/>
      <sheetName val="См-2 проектн"/>
      <sheetName val="Приложение ПСД1922"/>
      <sheetName val="топо"/>
      <sheetName val="Зап-3- СЦБ"/>
      <sheetName val="Данные для расчёта сметы"/>
      <sheetName val="RSOILBAL"/>
      <sheetName val="3.1 Проект на стр.скв."/>
      <sheetName val="Смета"/>
      <sheetName val="К.рын"/>
      <sheetName val="Суточная"/>
      <sheetName val="Коэфф1."/>
      <sheetName val="Шкаф"/>
      <sheetName val="Прайс лист"/>
      <sheetName val="ПДР"/>
      <sheetName val="Обновление"/>
      <sheetName val="Цена"/>
      <sheetName val="Product"/>
      <sheetName val="Лист1"/>
      <sheetName val="Кварт"/>
      <sheetName val=""/>
      <sheetName val="Ссылки"/>
      <sheetName val="Смета 1"/>
      <sheetName val="Справочная"/>
      <sheetName val="Сокращения"/>
      <sheetName val="2.3"/>
      <sheetName val="Приложение 1. Смета РД"/>
      <sheetName val="Расчет ставок"/>
      <sheetName val="list"/>
      <sheetName val="База"/>
      <sheetName val="МРР "/>
      <sheetName val="Индексы"/>
      <sheetName val="ис.смета"/>
      <sheetName val="Пример расчета"/>
      <sheetName val="Договоры"/>
      <sheetName val="Категории"/>
      <sheetName val="13.02.2023"/>
      <sheetName val="Сводный"/>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опография"/>
      <sheetName val="геология"/>
      <sheetName val="гидрология"/>
      <sheetName val="эл.химз."/>
      <sheetName val="геология "/>
      <sheetName val="ТИТУЛ"/>
      <sheetName val="6.14"/>
      <sheetName val="ОБЩЕСТВА"/>
      <sheetName val="6.3.1"/>
      <sheetName val="6.20"/>
      <sheetName val="6.4.1"/>
      <sheetName val="ПРОГНОЗ_1"/>
      <sheetName val="Смета"/>
      <sheetName val="Лист1"/>
      <sheetName val="6_11_1  сторонние"/>
      <sheetName val="установки"/>
      <sheetName val="8.14 КР (списание)ОПСТИКР"/>
      <sheetName val="Стр1"/>
      <sheetName val="Список"/>
      <sheetName val="топо"/>
      <sheetName val="эл_химз_"/>
      <sheetName val="геология_"/>
      <sheetName val="6_14"/>
      <sheetName val="6_3_1"/>
      <sheetName val="6_20"/>
      <sheetName val="6_4_1"/>
      <sheetName val="6_11_1__сторонние"/>
      <sheetName val="8_14_КР_(списание)ОПСТИКР"/>
      <sheetName val="Данные для расчёта сметы"/>
      <sheetName val="Списки"/>
      <sheetName val="ПДР"/>
      <sheetName val="6.14_КР"/>
      <sheetName val="Прилож"/>
      <sheetName val="см8"/>
      <sheetName val="DATA"/>
      <sheetName val="Нормы"/>
      <sheetName val="вариант"/>
      <sheetName val="Обновление"/>
      <sheetName val="Цена"/>
      <sheetName val="Product"/>
      <sheetName val="Текущие цены"/>
      <sheetName val="рабочий"/>
      <sheetName val="окраска"/>
      <sheetName val="Summary"/>
      <sheetName val="свод 2"/>
      <sheetName val="все"/>
      <sheetName val="Табл38-7"/>
      <sheetName val="Зап-3- СЦБ"/>
      <sheetName val="Кредиты"/>
      <sheetName val="информация"/>
      <sheetName val="13.1"/>
      <sheetName val="Пример расчета"/>
      <sheetName val="СметаСводная Рыб"/>
      <sheetName val="отчет эл_эн  2000"/>
      <sheetName val="к.84-к.83"/>
      <sheetName val="Счет-Фактура"/>
      <sheetName val="Коэфф1."/>
      <sheetName val="эл_химз_1"/>
      <sheetName val="геология_1"/>
      <sheetName val="6_141"/>
      <sheetName val="6_3_11"/>
      <sheetName val="6_201"/>
      <sheetName val="6_4_11"/>
      <sheetName val="6_11_1__сторонние1"/>
      <sheetName val="8_14_КР_(списание)ОПСТИКР1"/>
      <sheetName val="Данные_для_расчёта_сметы"/>
      <sheetName val="6_14_КР"/>
      <sheetName val="свод_2"/>
      <sheetName val="Зап-3-_СЦБ"/>
      <sheetName val="13_1"/>
      <sheetName val="Пример_расчета"/>
      <sheetName val="СметаСводная_Рыб"/>
      <sheetName val="ПОДПИСИ"/>
      <sheetName val="РАСЧЕТ"/>
      <sheetName val="График"/>
      <sheetName val="КП (2)"/>
      <sheetName val="Бюджет"/>
      <sheetName val="Norm"/>
      <sheetName val="sapactivexlhiddensheet"/>
      <sheetName val="Текущие_цены"/>
      <sheetName val="отчет_эл_эн__2000"/>
      <sheetName val="к_84-к_83"/>
      <sheetName val="6.3"/>
      <sheetName val="6.7"/>
      <sheetName val="6.3.1.3"/>
      <sheetName val="Лист2"/>
      <sheetName val="свод 3"/>
      <sheetName val="ID"/>
      <sheetName val="СС"/>
      <sheetName val="ЭХЗ"/>
      <sheetName val="РасчетКомандир1"/>
      <sheetName val="РасчетКомандир2"/>
      <sheetName val="Коэфф"/>
      <sheetName val="Смета2 проект. раб."/>
      <sheetName val="Суточная"/>
      <sheetName val="Смета 1"/>
      <sheetName val="РП"/>
      <sheetName val="данные"/>
      <sheetName val="Баланс"/>
      <sheetName val="Смета2_проект__раб_"/>
      <sheetName val="Смета_1"/>
      <sheetName val="СМЕТА проект"/>
      <sheetName val="Production and Spend"/>
      <sheetName val="OCK1"/>
      <sheetName val="Шкаф"/>
      <sheetName val="Прайс лист"/>
      <sheetName val="1.3"/>
      <sheetName val="ИГ1"/>
      <sheetName val="К.рын"/>
      <sheetName val="Сводная смета"/>
      <sheetName val="Землеотвод"/>
      <sheetName val="шаблон"/>
      <sheetName val="См 1 наруж.водопровод"/>
      <sheetName val="Восстановл_Лист7"/>
      <sheetName val="Восстановл_Лист13"/>
      <sheetName val="Восстановл_Лист15"/>
      <sheetName val="Восстановл_Лист19"/>
      <sheetName val="Восстановл_Лист44"/>
      <sheetName val="Восстановл_Лист6"/>
      <sheetName val="Восстановл_Лист4"/>
      <sheetName val="Восстановл_Лист45"/>
      <sheetName val="Восстановл_Лист9"/>
      <sheetName val="Восстановл_Лист10"/>
      <sheetName val="Восстановл_Лист46"/>
      <sheetName val="Восстановл_Лист11"/>
      <sheetName val="Восстановл_Лист47"/>
      <sheetName val="Восстановл_Лист20"/>
      <sheetName val="Восстановл_Лист49"/>
      <sheetName val="Восстановл_Лист21"/>
      <sheetName val="свод"/>
      <sheetName val="сводная"/>
      <sheetName val="Разработка проекта"/>
      <sheetName val="КП НовоКов"/>
      <sheetName val="СметаСводная 1 оч"/>
      <sheetName val="Коэфф1_"/>
      <sheetName val="Прайс_лист"/>
      <sheetName val="См_1_наруж_водопровод"/>
      <sheetName val="Разработка_проекта"/>
      <sheetName val="КП_НовоКов"/>
      <sheetName val="СметаСводная_1_оч"/>
      <sheetName val="Переменные и константы"/>
      <sheetName val="пятилетка"/>
      <sheetName val="мониторинг"/>
      <sheetName val="свод (2)"/>
      <sheetName val="Калплан ОИ2 Макм крестики"/>
      <sheetName val="СметаСводная павильон"/>
      <sheetName val="93-110"/>
      <sheetName val="Св. смета"/>
      <sheetName val="РБС ИЗМ1"/>
      <sheetName val="СметаСводная снег"/>
      <sheetName val="Лист опроса"/>
      <sheetName val="Исполнение _освоение по закупк_"/>
      <sheetName val="Исполнение для Ускова"/>
      <sheetName val="Выборка по отсыпкам"/>
      <sheetName val="ИП _отсыпки_"/>
      <sheetName val="ИП _отсыпки_ФОТ_диз_т_"/>
      <sheetName val="ИП _отсыпки_ _выборка_"/>
      <sheetName val="Исполнение по оборуд_"/>
      <sheetName val="Исполнение по оборуд_ _2_"/>
      <sheetName val="Исполнение сжато"/>
      <sheetName val="Форма для бурения"/>
      <sheetName val="Форма для КС"/>
      <sheetName val="Форма для ГР"/>
      <sheetName val="Корректировка"/>
      <sheetName val="Смета 1свод"/>
      <sheetName val="таблица руководству"/>
      <sheetName val="Суточная добыча за неделю"/>
      <sheetName val="list"/>
      <sheetName val="Прибыль опл"/>
      <sheetName val="Вспомогательный"/>
      <sheetName val="сохранить"/>
      <sheetName val="5ОборРабМест(HP)"/>
      <sheetName val="№5 СУБ Инж защ"/>
      <sheetName val="HP и оргтехника"/>
      <sheetName val="Calc"/>
      <sheetName val="История"/>
      <sheetName val="Р1"/>
      <sheetName val="Параметры_i"/>
      <sheetName val="Таблица 2"/>
      <sheetName val="свод1"/>
      <sheetName val="Таблица 4 АСУТП"/>
      <sheetName val="Input"/>
      <sheetName val="Calculation"/>
      <sheetName val="ст ГТМ"/>
      <sheetName val="ПДР ООО &quot;Юкос ФБЦ&quot;"/>
      <sheetName val="исходные данные"/>
      <sheetName val="расчетные таблицы"/>
      <sheetName val="Амур ДОН"/>
      <sheetName val="кп ГК"/>
      <sheetName val="Справочные данные"/>
      <sheetName val="Б.Сатка"/>
      <sheetName val="total"/>
      <sheetName val="Комплектация"/>
      <sheetName val="трубы"/>
      <sheetName val="СМР"/>
      <sheetName val="дороги"/>
      <sheetName val="2002(v2)"/>
      <sheetName val="справ."/>
      <sheetName val="справ_"/>
      <sheetName val="2002_v2_"/>
      <sheetName val="СметаСводная"/>
      <sheetName val="оборудован"/>
      <sheetName val="Упр"/>
      <sheetName val="Перечень ИУ"/>
      <sheetName val="РН-ПНГ"/>
      <sheetName val="влад-таблица"/>
      <sheetName val="2002(v1)"/>
      <sheetName val="3.1 ТХ"/>
      <sheetName val="ЗП_ЮНГ"/>
      <sheetName val="НМА"/>
      <sheetName val="оператор"/>
      <sheetName val="исх_данные"/>
      <sheetName val="СметаСводная Колпино"/>
      <sheetName val="Подрядчики"/>
      <sheetName val="Январь"/>
      <sheetName val="Итог"/>
      <sheetName val="мсн"/>
      <sheetName val="мат"/>
      <sheetName val="3.5"/>
      <sheetName val="справка"/>
      <sheetName val="суб.подряд"/>
      <sheetName val="ПСБ - ОЭ"/>
      <sheetName val="суб_подряд"/>
      <sheetName val="ПСБ_-_ОЭ"/>
      <sheetName val="Смета 2"/>
      <sheetName val="D"/>
      <sheetName val="Ачинский НПЗ"/>
      <sheetName val="4"/>
      <sheetName val="ИД"/>
      <sheetName val="См3 СЦБ-зап"/>
      <sheetName val="Хаттон 90.90 Femco"/>
      <sheetName val="ИД1"/>
      <sheetName val="свод общ"/>
      <sheetName val="Смета 5.2. Кусты25,29,31,65"/>
      <sheetName val="смета СИД"/>
      <sheetName val="часы"/>
      <sheetName val="ресурсная вед."/>
      <sheetName val="ИДвалка"/>
      <sheetName val="р.Волхов"/>
      <sheetName val="КП к ГК"/>
      <sheetName val="изыскания 2"/>
      <sheetName val="Калплан Кра"/>
      <sheetName val="Материалы"/>
      <sheetName val="6.11 новый"/>
      <sheetName val="Opex personnel (Term facs)"/>
      <sheetName val="накладная"/>
      <sheetName val="Акт"/>
      <sheetName val="Капитальные затраты"/>
      <sheetName val="1"/>
      <sheetName val="Пояснение "/>
      <sheetName val="3.1"/>
      <sheetName val="Коммерческие расходы"/>
      <sheetName val="RSOILBAL"/>
      <sheetName val="смета 2 проект. работы"/>
      <sheetName val="4сд"/>
      <sheetName val="2сд"/>
      <sheetName val="7сд"/>
      <sheetName val="MAIN_PARAMETERS"/>
      <sheetName val="СС замеч с ответами"/>
      <sheetName val="начало"/>
      <sheetName val="Main"/>
      <sheetName val="УП _2004"/>
      <sheetName val="в работу"/>
      <sheetName val="1ПС"/>
      <sheetName val="Курсы"/>
      <sheetName val="3.2"/>
      <sheetName val="3.3"/>
      <sheetName val="Р2.1"/>
      <sheetName val="Р2.2"/>
      <sheetName val="Р3"/>
      <sheetName val="Р4"/>
      <sheetName val="Р5"/>
      <sheetName val="Р7"/>
      <sheetName val="Удельные(проф.)"/>
      <sheetName val="Спецификация"/>
      <sheetName val="Константы и результаты"/>
      <sheetName val="Лизинг"/>
      <sheetName val="расчет №3"/>
      <sheetName val="20_Кредиты краткосрочные"/>
      <sheetName val="Перечень Заказчиков"/>
      <sheetName val="2.2 "/>
      <sheetName val="Хар_"/>
      <sheetName val="С1_"/>
      <sheetName val="СтрЗапасов (2)"/>
      <sheetName val="Lim"/>
      <sheetName val="Справочник"/>
      <sheetName val="PwC Copies from old models --&gt;&gt;"/>
      <sheetName val="Справочники"/>
      <sheetName val="Journals"/>
      <sheetName val="ц_1991"/>
      <sheetName val="rvldmrv"/>
      <sheetName val="Сравнение ДПН факт 06-07"/>
      <sheetName val="Параметры"/>
      <sheetName val="трансформация1"/>
      <sheetName val="НМ расчеты"/>
      <sheetName val="Names"/>
      <sheetName val="breakdown"/>
      <sheetName val="Destination"/>
      <sheetName val="ДКС"/>
      <sheetName val="Етыпур"/>
      <sheetName val="НВГПЗ"/>
      <sheetName val="НГКХ"/>
      <sheetName val="ПСП"/>
      <sheetName val="Тобольск"/>
      <sheetName val="УПН"/>
      <sheetName val="ПСПавтодор"/>
      <sheetName val="НГХК"/>
      <sheetName val="КП к снег Рыбинская"/>
      <sheetName val="EKDEB90"/>
      <sheetName val="Коэф КВ"/>
      <sheetName val="К"/>
      <sheetName val="Смета терзем"/>
      <sheetName val="Кал.план Жукова даты - не надо"/>
      <sheetName val="кп"/>
      <sheetName val="матер."/>
      <sheetName val="КП Прим (3)"/>
      <sheetName val="Лист3"/>
      <sheetName val="АЧ"/>
      <sheetName val="кп (3)"/>
      <sheetName val="СП"/>
      <sheetName val="фонтан разбитый2"/>
      <sheetName val="Баланс (Ф1)"/>
      <sheetName val="Смета-Т"/>
      <sheetName val=""/>
      <sheetName val="Смета 3 Гидролог"/>
      <sheetName val="Записка СЦБ"/>
      <sheetName val="ИПЦ2002-2004"/>
      <sheetName val="РС "/>
      <sheetName val="Восстановл_Лист75"/>
      <sheetName val="Восстановл_Лист76"/>
      <sheetName val="Восстановл_Лист77"/>
      <sheetName val="Восстановл_Лист78"/>
      <sheetName val="Восстановл_Лист79"/>
      <sheetName val="Восстановл_Лист80"/>
      <sheetName val="Восстановл_Лист81"/>
      <sheetName val="Восстановл_Лист82"/>
      <sheetName val="Восстановл_Лист83"/>
      <sheetName val="Восстановл_Лист84"/>
      <sheetName val="Восстановл_Лист85"/>
      <sheetName val="Восстановл_Лист88"/>
      <sheetName val="Восстановл_Лист91"/>
      <sheetName val="Восстановл_Лист92"/>
      <sheetName val="Восстановл_Лист86"/>
      <sheetName val="Восстановл_Лист89"/>
      <sheetName val="Восстановл_Лист87"/>
      <sheetName val="Восстановл_Лист90"/>
      <sheetName val="Восстановл_Лист93"/>
      <sheetName val="Восстановл_Лист94"/>
      <sheetName val="Восстановл_Лист95"/>
      <sheetName val="Восстановл_Лист38"/>
      <sheetName val="Восстановл_Лист40"/>
      <sheetName val="Восстановл_Лист39"/>
      <sheetName val="Восстановл_Лист41"/>
      <sheetName val="Восстановл_Лист8"/>
      <sheetName val="Восстановл_Лист17"/>
      <sheetName val="Общая часть"/>
      <sheetName val="Табл.5"/>
      <sheetName val="Табл.2"/>
      <sheetName val="Исх.данные"/>
      <sheetName val="ВКЕ"/>
      <sheetName val="Additives"/>
      <sheetName val="Ryazan"/>
      <sheetName val="Assumpt"/>
      <sheetName val="Control"/>
      <sheetName val="См №3 ОПР"/>
      <sheetName val="см.№6 АВЗУ и ГПЗУ"/>
      <sheetName val="Геофизика"/>
      <sheetName val="Геодезия"/>
      <sheetName val="Экология1"/>
      <sheetName val="АУП"/>
      <sheetName val="CENTR"/>
      <sheetName val="Input Assumptions"/>
      <sheetName val="DMTR_BP_03"/>
      <sheetName val="см №1.1 Геодезические работы "/>
      <sheetName val="см №1.4 Экология "/>
      <sheetName val="АСУ ТП 1 этап ПД"/>
      <sheetName val="Расчет курса"/>
      <sheetName val="XLR_NoRangeSheet"/>
      <sheetName val="НЕДЕЛИ"/>
      <sheetName val="GD"/>
      <sheetName val="Source lists"/>
      <sheetName val="Восстановл_Лист37"/>
      <sheetName val="геолог"/>
      <sheetName val="Курс доллара"/>
      <sheetName val="Календарь новый"/>
      <sheetName val="Смета № 1 ИИ линия"/>
      <sheetName val="Дополнительные параметры"/>
      <sheetName val="ЛЧ"/>
      <sheetName val="Leistungsakt"/>
      <sheetName val="Свод объем"/>
      <sheetName val="Дог цена"/>
      <sheetName val="SakhNIPI5"/>
      <sheetName val="ПИР"/>
      <sheetName val="выборка на22 июня"/>
      <sheetName val="HP_и_оргтехника"/>
      <sheetName val="СМЕТА_проект"/>
      <sheetName val="Лист_опроса"/>
      <sheetName val="ОПС"/>
      <sheetName val="СметаСводная_снег"/>
      <sheetName val="Хаттон_90_90_Femco"/>
      <sheetName val="1155"/>
      <sheetName val="свод_общ"/>
      <sheetName val="таблица_руководству"/>
      <sheetName val="Суточная_добыча_за_неделю"/>
      <sheetName val="СметаСводная_павильон"/>
      <sheetName val="3труба (П)"/>
      <sheetName val="15"/>
      <sheetName val="Объемы работ по ПВ"/>
      <sheetName val="16"/>
      <sheetName val="Таблица 5"/>
      <sheetName val="Таблица 3"/>
      <sheetName val="1.401.2"/>
      <sheetName val="PO Data"/>
      <sheetName val="Rub"/>
      <sheetName val="ПД"/>
      <sheetName val="РСС_АУ"/>
      <sheetName val="Раб.АУ"/>
      <sheetName val="Коэф"/>
      <sheetName val="Исходные"/>
      <sheetName val="Капвложения"/>
      <sheetName val="259-290"/>
      <sheetName val="р.Нева"/>
      <sheetName val="р.Молога"/>
      <sheetName val="518-540"/>
      <sheetName val="470-518"/>
      <sheetName val="365-405"/>
      <sheetName val="290-365"/>
      <sheetName val="157-259"/>
      <sheetName val="132-157"/>
      <sheetName val="405-470"/>
      <sheetName val="111-132"/>
      <sheetName val="111"/>
      <sheetName val="Сахалин"/>
      <sheetName val="Чумляк"/>
      <sheetName val="18 рек Ю-Х"/>
      <sheetName val="нпс Палкино"/>
      <sheetName val="Россия - Китай"/>
      <sheetName val="КМ 210-238"/>
      <sheetName val="БТС-2 км 405-459"/>
      <sheetName val="БТС-2 км 405-453"/>
      <sheetName val="БТС-2 км 313-352"/>
      <sheetName val="БТС-2 км326-352"/>
      <sheetName val="Улейма И"/>
      <sheetName val="Белая УБКА"/>
      <sheetName val="Уфа"/>
      <sheetName val="км 72-75р.Левоннька"/>
      <sheetName val="dgghg"/>
      <sheetName val="бтс-2"/>
      <sheetName val="колва"/>
      <sheetName val="Чермасан"/>
      <sheetName val="Корожечна"/>
      <sheetName val="Колтасы-Куйбышев"/>
      <sheetName val="Самара"/>
      <sheetName val="Мишуга"/>
      <sheetName val="киенгоп-н.Челны км 104-206"/>
      <sheetName val="ВЛ Урдома"/>
      <sheetName val="Вл Микунь Урдома"/>
      <sheetName val="ВЛ Синдор-Микунь"/>
      <sheetName val="Тон Чермасан"/>
      <sheetName val="Трасса км 16-147"/>
      <sheetName val="Тверца"/>
      <sheetName val="трасса 0-76"/>
      <sheetName val="Колва 78"/>
      <sheetName val="Гидрология .р.Колва км 38"/>
      <sheetName val="Восстановл_Лист5"/>
      <sheetName val="Восстановл_Лист29"/>
      <sheetName val="Восстановл_Лист2"/>
      <sheetName val="Восстановл_Лист27"/>
      <sheetName val="Восстановл_Лист28"/>
      <sheetName val="Восстановл_Лист12"/>
      <sheetName val="Восстановл_Лист14"/>
      <sheetName val="Восстановл_Лист1"/>
      <sheetName val="Восстановл_Лист18"/>
      <sheetName val="Восстановл_Лист25"/>
      <sheetName val="ГПК"/>
      <sheetName val="Западн"/>
      <sheetName val="ПСП "/>
      <sheetName val="Спр_общий"/>
      <sheetName val="р_Волхов"/>
      <sheetName val="р_Нева"/>
      <sheetName val="р_Молога"/>
      <sheetName val="18_рек_Ю-Х"/>
      <sheetName val="нпс_Палкино"/>
      <sheetName val="Россия_-_Китай"/>
      <sheetName val="КМ_210-238"/>
      <sheetName val="БТС-2_км_405-459"/>
      <sheetName val="БТС-2_км_405-453"/>
      <sheetName val="БТС-2_км_313-352"/>
      <sheetName val="БТС-2_км326-352"/>
      <sheetName val="Улейма_И"/>
      <sheetName val="Белая_УБКА"/>
      <sheetName val="км_72-75р_Левоннька"/>
      <sheetName val="Б_Сатка"/>
      <sheetName val="киенгоп-н_Челны_км_104-206"/>
      <sheetName val="ВЛ_Урдома"/>
      <sheetName val="Вл_Микунь_Урдома"/>
      <sheetName val="ВЛ_Синдор-Микунь"/>
      <sheetName val="Тон_Чермасан"/>
      <sheetName val="Трасса_км_16-147"/>
      <sheetName val="трасса_0-76"/>
      <sheetName val="Колва_78"/>
      <sheetName val="Гидрология__р_Колва_км_38"/>
      <sheetName val="свод_3"/>
      <sheetName val="ПСП_"/>
      <sheetName val="Сводная_смета"/>
      <sheetName val="Стр1По"/>
      <sheetName val="Новая сводка (до бюджета) (2)"/>
      <sheetName val="Что пришло"/>
      <sheetName val="влад-таблица (2)"/>
      <sheetName val="Новая сводка (до бюджета)"/>
      <sheetName val="Сводка"/>
      <sheetName val="Новая сводка"/>
      <sheetName val="Бю-т"/>
      <sheetName val="ПерехОстатки"/>
      <sheetName val="Общие расходы"/>
      <sheetName val="Новая сводка (по бюджету)"/>
      <sheetName val="âëàä-òàáëèöà"/>
      <sheetName val="Íîâàÿ ñâîäêà (äî áþäæåòà) (2)"/>
      <sheetName val="×òî ïðèøëî"/>
      <sheetName val="âëàä-òàáëèöà (2)"/>
      <sheetName val="Íîâàÿ ñâîäêà (äî áþäæåòà)"/>
      <sheetName val="Ñâîäêà"/>
      <sheetName val="Íîâàÿ ñâîäêà"/>
      <sheetName val="Áþ-ò"/>
      <sheetName val="ÏåðåõÎñòàòêè"/>
      <sheetName val="Îáùèå ðàñõîäû"/>
      <sheetName val="Íîâàÿ ñâîäêà (ïî áþäæåòó)"/>
      <sheetName val="влад_таблица"/>
      <sheetName val="6.10.1"/>
      <sheetName val="Восстановл_Лист16"/>
      <sheetName val="6.7.3_ТН"/>
      <sheetName val="6.1"/>
      <sheetName val="НДС"/>
      <sheetName val="Гр5(о)"/>
      <sheetName val="пр_5_1"/>
      <sheetName val="Россия"/>
      <sheetName val="Украина"/>
      <sheetName val="Белорусия"/>
      <sheetName val="6.52-свод"/>
      <sheetName val="Новая_сводка_(до_бюджета)_(2)"/>
      <sheetName val="Что_пришло"/>
      <sheetName val="влад-таблица_(2)"/>
      <sheetName val="Новая_сводка_(до_бюджета)"/>
      <sheetName val="Новая_сводка"/>
      <sheetName val="Общие_расходы"/>
      <sheetName val="Новая_сводка_(по_бюджету)"/>
      <sheetName val="Íîâàÿ_ñâîäêà_(äî_áþäæåòà)_(2)"/>
      <sheetName val="×òî_ïðèøëî"/>
      <sheetName val="âëàä-òàáëèöà_(2)"/>
      <sheetName val="Íîâàÿ_ñâîäêà_(äî_áþäæåòà)"/>
      <sheetName val="Íîâàÿ_ñâîäêà"/>
      <sheetName val="Îáùèå_ðàñõîäû"/>
      <sheetName val="Íîâàÿ_ñâîäêà_(ïî_áþäæåòó)"/>
      <sheetName val="6_10_1"/>
      <sheetName val="6_7_3_ТН"/>
      <sheetName val="6_1"/>
      <sheetName val="ЦО"/>
      <sheetName val="Статьи"/>
      <sheetName val="2"/>
      <sheetName val="Новая_сводка_(до_бюджета)_(2)1"/>
      <sheetName val="Что_пришло1"/>
      <sheetName val="влад-таблица_(2)1"/>
      <sheetName val="Новая_сводка_(до_бюджета)1"/>
      <sheetName val="Новая_сводка1"/>
      <sheetName val="Общие_расходы1"/>
      <sheetName val="Новая_сводка_(по_бюджету)1"/>
      <sheetName val="Íîâàÿ_ñâîäêà_(äî_áþäæåòà)_(2)1"/>
      <sheetName val="×òî_ïðèøëî1"/>
      <sheetName val="âëàä-òàáëèöà_(2)1"/>
      <sheetName val="Íîâàÿ_ñâîäêà_(äî_áþäæåòà)1"/>
      <sheetName val="Íîâàÿ_ñâîäêà1"/>
      <sheetName val="Îáùèå_ðàñõîäû1"/>
      <sheetName val="Íîâàÿ_ñâîäêà_(ïî_áþäæåòó)1"/>
      <sheetName val="6_10_11"/>
      <sheetName val="6_7_3_ТН1"/>
      <sheetName val="6_11"/>
      <sheetName val="6_52-свод"/>
      <sheetName val="ДДС (Форма №3)"/>
      <sheetName val="09-07"/>
      <sheetName val="Титул1"/>
      <sheetName val="Титул2"/>
      <sheetName val="Титул3"/>
      <sheetName val="Info"/>
      <sheetName val="Сводная "/>
      <sheetName val="7.ТХ Сети (кор)"/>
      <sheetName val="Tier 311208"/>
      <sheetName val="3_1"/>
      <sheetName val="Коммерческие_расходы"/>
      <sheetName val="СС_замеч_с_ответами"/>
      <sheetName val="ПДР_ООО_&quot;Юкос_ФБЦ&quot;"/>
      <sheetName val="УП__2004"/>
      <sheetName val="Ачинский_НПЗ"/>
      <sheetName val="3_2"/>
      <sheetName val="3_3"/>
      <sheetName val="Р2_1"/>
      <sheetName val="Р2_2"/>
      <sheetName val="Удельные(проф_)"/>
      <sheetName val="Константы_и_результаты"/>
      <sheetName val="расчет_№3"/>
      <sheetName val="в_работу"/>
      <sheetName val="№5_СУБ_Инж_защ"/>
      <sheetName val="исходные_данные"/>
      <sheetName val="расчетные_таблицы"/>
      <sheetName val="Исполнение__освоение_по_закупк_"/>
      <sheetName val="Исполнение_для_Ускова"/>
      <sheetName val="Выборка_по_отсыпкам"/>
      <sheetName val="ИП__отсыпки_"/>
      <sheetName val="ИП__отсыпки_ФОТ_диз_т_"/>
      <sheetName val="ИП__отсыпки___выборка_"/>
      <sheetName val="Исполнение_по_оборуд_"/>
      <sheetName val="Исполнение_по_оборуд___2_"/>
      <sheetName val="Исполнение_сжато"/>
      <sheetName val="Форма_для_бурения"/>
      <sheetName val="Форма_для_КС"/>
      <sheetName val="Форма_для_ГР"/>
      <sheetName val="Смета_1свод"/>
      <sheetName val="Прибыль_опл"/>
      <sheetName val="Амур_ДОН"/>
      <sheetName val="справ_1"/>
      <sheetName val="Перечень_ИУ"/>
      <sheetName val="3_1_ТХ"/>
      <sheetName val="1_3"/>
      <sheetName val="К_рын"/>
      <sheetName val="3_5"/>
      <sheetName val="См3_СЦБ-зап"/>
      <sheetName val="СметаСводная_Колпино"/>
      <sheetName val="Смета_2"/>
      <sheetName val="Таблица_4_АСУТП"/>
      <sheetName val="20_Кредиты_краткосрочные"/>
      <sheetName val="Перечень_Заказчиков"/>
      <sheetName val="Переменные_и_константы"/>
      <sheetName val="КП_к_снег_Рыбинская"/>
      <sheetName val="Смета_5_2__Кусты25,29,31,65"/>
      <sheetName val="Табл_5"/>
      <sheetName val="Табл_2"/>
      <sheetName val="Капитальные_затраты"/>
      <sheetName val="Opex_personnel_(Term_facs)"/>
      <sheetName val="КП_(2)"/>
      <sheetName val="2_2_"/>
      <sheetName val="свод_ИИР"/>
      <sheetName val="М_1"/>
      <sheetName val="Акт выбора"/>
      <sheetName val="См.№7 Эл."/>
      <sheetName val="См.№8 Пож."/>
      <sheetName val="См.№3 ВиК"/>
      <sheetName val="Восстановл_Лист42"/>
      <sheetName val="Восстановл_Лист22"/>
      <sheetName val="Восстановл_Лист43"/>
      <sheetName val="Восстановл_Лист24"/>
      <sheetName val="Восстановл_Лист48"/>
      <sheetName val="Восстановл_Лист50"/>
      <sheetName val="Восстановл_Лист30"/>
      <sheetName val="Восстановл_Лист51"/>
      <sheetName val="Восстановл_Лист23"/>
      <sheetName val="Восстановл_Лист32"/>
      <sheetName val="Восстановл_Лист52"/>
      <sheetName val="Восстановл_Лист53"/>
      <sheetName val="Восстановл_Лист55"/>
      <sheetName val="Восстановл_Лист56"/>
      <sheetName val="Восстановл_Лист26"/>
      <sheetName val="Восстановл_Лист57"/>
      <sheetName val="Восстановл_Лист58"/>
      <sheetName val="Восстановл_Лист59"/>
      <sheetName val="Восстановл_Лист60"/>
      <sheetName val="Восстановл_Лист61"/>
      <sheetName val="Восстановл_Лист3"/>
      <sheetName val="Восстановл_Лист62"/>
      <sheetName val="Восстановл_Лист63"/>
      <sheetName val="Восстановл_Лист64"/>
      <sheetName val="Восстановл_Лист35"/>
      <sheetName val="Восстановл_Лист67"/>
      <sheetName val="Восстановл_Лист68"/>
      <sheetName val="Восстановл_Лист65"/>
      <sheetName val="Восстановл_Лист69"/>
      <sheetName val="Восстановл_Лист66"/>
      <sheetName val="Восстановл_Лист97"/>
      <sheetName val="Восстановл_Лист54"/>
      <sheetName val="Восстановл_Лист70"/>
      <sheetName val="Восстановл_Лист96"/>
      <sheetName val="Восстановл_Лист33"/>
      <sheetName val="Восстановл_Лист71"/>
      <sheetName val="Восстановл_Лист36"/>
      <sheetName val="Восстановл_Лист98"/>
      <sheetName val="Восстановл_Лист34"/>
      <sheetName val="Восстановл_Лист72"/>
      <sheetName val="Восстановл_Лист73"/>
      <sheetName val="Восстановл_Лист74"/>
      <sheetName val="Восстановл_Лист31"/>
      <sheetName val="№1"/>
      <sheetName val="Сметы за сопровождение"/>
      <sheetName val="КБК ДПК"/>
      <sheetName val="Lucent"/>
      <sheetName val="СМ_x000b__x0011__x0012__x000c__x0011__x0011__x0011__x0011__x0011__x0011_"/>
      <sheetName val="ᄀᄀᄀᄀᄀᄀᄀᄀᄀᄀᄀᄀᄀᄀᄀᄀᄀ"/>
      <sheetName val="См.3_АСУ"/>
      <sheetName val="Полигон - ИЭИ "/>
      <sheetName val="Ком"/>
      <sheetName val="Смета ТЗ АСУ-16"/>
      <sheetName val="База Геодезия"/>
      <sheetName val="База Геология"/>
      <sheetName val="База Геофизика"/>
      <sheetName val="4.1.1"/>
      <sheetName val="исп.1.1.1"/>
      <sheetName val="База Гидро"/>
      <sheetName val="4.2.1"/>
      <sheetName val="исп.1.1.2"/>
      <sheetName val="Исп. смета этап 1.1, 1.2"/>
      <sheetName val="Экология-3"/>
      <sheetName val="BACT"/>
      <sheetName val="АСУ-линия-1"/>
      <sheetName val="ТЗ АСУ-1"/>
      <sheetName val="2-stage"/>
      <sheetName val="лч и кам"/>
      <sheetName val="Бл.электр."/>
      <sheetName val="2 Геология"/>
      <sheetName val="Объем работ"/>
      <sheetName val="MararashAA"/>
      <sheetName val="ПРОЦЕНТЫ"/>
      <sheetName val="Виды работ АСО"/>
      <sheetName val="таблица_руко_x0019__x0015__x0009__x0003__x000c__x0011__x0011_"/>
      <sheetName val="Норм"/>
      <sheetName val="ИД СМР"/>
      <sheetName val="ФОТ для смет"/>
      <sheetName val="ЛС_РЕС"/>
      <sheetName val="Общ"/>
      <sheetName val="_x0000__x0000_"/>
      <sheetName val="таблица_руко_x0019__x0015_ _x0003__x000c__x0011__x0011_"/>
      <sheetName val="эл_химз_2"/>
      <sheetName val="ПС_x0000__x0000__x0000__x0000__x0000__x0000_"/>
      <sheetName val="Исх1"/>
      <sheetName val="ПС"/>
      <sheetName val="геология_2"/>
      <sheetName val="6_142"/>
      <sheetName val="6_3_12"/>
      <sheetName val="6_202"/>
      <sheetName val="6_4_12"/>
      <sheetName val="6_11_1__сторонние2"/>
      <sheetName val="8_14_КР_(списание)ОПСТИКР2"/>
      <sheetName val="6_14_КР1"/>
      <sheetName val="Данные_для_расчёта_сметы1"/>
      <sheetName val="Пример_расчета1"/>
      <sheetName val="свод_21"/>
      <sheetName val="Зап-3-_СЦБ1"/>
      <sheetName val="СметаСводная_Рыб1"/>
      <sheetName val="Текущие_цены1"/>
      <sheetName val="отчет_эл_эн__20001"/>
      <sheetName val="к_84-к_831"/>
      <sheetName val="Коэфф1_1"/>
      <sheetName val="6_3"/>
      <sheetName val="6_7"/>
      <sheetName val="6_3_1_3"/>
      <sheetName val="Смета2_проект__раб_1"/>
      <sheetName val="Смета_11"/>
      <sheetName val="Production_and_Spend"/>
      <sheetName val="Прайс_лист1"/>
      <sheetName val="См_1_наруж_водопровод1"/>
      <sheetName val="Разработка_проекта1"/>
      <sheetName val="КП_НовоКов1"/>
      <sheetName val="СметаСводная_1_оч1"/>
      <sheetName val="свод_(2)"/>
      <sheetName val="Калплан_ОИ2_Макм_крестики"/>
      <sheetName val="Св__смета"/>
      <sheetName val="РБС_ИЗМ1"/>
      <sheetName val="Таблица_2"/>
      <sheetName val="ст_ГТМ"/>
      <sheetName val="кп_ГК"/>
      <sheetName val="Справочные_данные"/>
      <sheetName val="суб_подряд1"/>
      <sheetName val="ПСБ_-_ОЭ1"/>
      <sheetName val="смета_СИД"/>
      <sheetName val="ресурсная_вед_"/>
      <sheetName val="КП_к_ГК"/>
      <sheetName val="изыскания_2"/>
      <sheetName val="Калплан_Кра"/>
      <sheetName val="6_11_новый"/>
      <sheetName val="Main list"/>
      <sheetName val="ПД-2.2"/>
      <sheetName val="6"/>
      <sheetName val="1.14"/>
      <sheetName val="1.7"/>
      <sheetName val="#ССЫЛКА"/>
      <sheetName val="СМ"/>
      <sheetName val="СМИС"/>
      <sheetName val="Вспом."/>
      <sheetName val="УКП"/>
      <sheetName val="БД"/>
      <sheetName val="Лист4"/>
      <sheetName val="Общий"/>
      <sheetName val="ТабР"/>
      <sheetName val="исх-данные"/>
      <sheetName val="3_гидромет"/>
      <sheetName val="Имя"/>
      <sheetName val="Пра_x0000_с_лист"/>
      <sheetName val="исключ ЭХЗ"/>
      <sheetName val="БДР"/>
      <sheetName val="3 Сл.-структура затрат"/>
      <sheetName val="геол"/>
      <sheetName val="ЕТС (ф)"/>
      <sheetName val="база"/>
      <sheetName val="эл_химз_3"/>
      <sheetName val="геология_3"/>
      <sheetName val="6_143"/>
      <sheetName val="6_3_13"/>
      <sheetName val="6_203"/>
      <sheetName val="6_4_13"/>
      <sheetName val="6_11_1__сторонние3"/>
      <sheetName val="8_14_КР_(списание)ОПСТИКР3"/>
      <sheetName val="Данные_для_расчёта_сметы2"/>
      <sheetName val="6_14_КР2"/>
      <sheetName val="Пример_расчета2"/>
      <sheetName val="свод_22"/>
      <sheetName val="Зап-3-_СЦБ2"/>
      <sheetName val="СметаСводная_Рыб2"/>
      <sheetName val="13_11"/>
      <sheetName val="Текущие_цены2"/>
      <sheetName val="отчет_эл_эн__20002"/>
      <sheetName val="к_84-к_832"/>
      <sheetName val="Коэфф1_2"/>
      <sheetName val="КП_(2)1"/>
      <sheetName val="6_31"/>
      <sheetName val="6_71"/>
      <sheetName val="6_3_1_31"/>
      <sheetName val="свод_31"/>
      <sheetName val="Смета2_проект__раб_2"/>
      <sheetName val="Смета_12"/>
      <sheetName val="СМЕТА_проект1"/>
      <sheetName val="Production_and_Spend1"/>
      <sheetName val="Прайс_лист2"/>
      <sheetName val="1_31"/>
      <sheetName val="К_рын1"/>
      <sheetName val="Сводная_смета1"/>
      <sheetName val="См_1_наруж_водопровод2"/>
      <sheetName val="Разработка_проекта2"/>
      <sheetName val="КП_НовоКов2"/>
      <sheetName val="СметаСводная_1_оч2"/>
      <sheetName val="Переменные_и_константы1"/>
      <sheetName val="свод_(2)1"/>
      <sheetName val="Калплан_ОИ2_Макм_крестики1"/>
      <sheetName val="СметаСводная_павильон1"/>
      <sheetName val="Св__смета1"/>
      <sheetName val="РБС_ИЗМ11"/>
      <sheetName val="СметаСводная_снег1"/>
      <sheetName val="Лист_опроса1"/>
      <sheetName val="Исполнение__освоение_по_закупк1"/>
      <sheetName val="Исполнение_для_Ускова1"/>
      <sheetName val="Выборка_по_отсыпкам1"/>
      <sheetName val="ИП__отсыпки_1"/>
      <sheetName val="ИП__отсыпки_ФОТ_диз_т_1"/>
      <sheetName val="ИП__отсыпки___выборка_1"/>
      <sheetName val="Исполнение_по_оборуд_1"/>
      <sheetName val="Исполнение_по_оборуд___2_1"/>
      <sheetName val="Исполнение_сжато1"/>
      <sheetName val="Форма_для_бурения1"/>
      <sheetName val="Форма_для_КС1"/>
      <sheetName val="Форма_для_ГР1"/>
      <sheetName val="Смета_1свод1"/>
      <sheetName val="таблица_руководству1"/>
      <sheetName val="Суточная_добыча_за_неделю1"/>
      <sheetName val="Прибыль_опл1"/>
      <sheetName val="№5_СУБ_Инж_защ1"/>
      <sheetName val="HP_и_оргтехника1"/>
      <sheetName val="Таблица_21"/>
      <sheetName val="Таблица_4_АСУТП1"/>
      <sheetName val="ст_ГТМ1"/>
      <sheetName val="ПДР_ООО_&quot;Юкос_ФБЦ&quot;1"/>
      <sheetName val="исходные_данные1"/>
      <sheetName val="расчетные_таблицы1"/>
      <sheetName val="Амур_ДОН1"/>
      <sheetName val="кп_ГК1"/>
      <sheetName val="Справочные_данные1"/>
      <sheetName val="Б_Сатка1"/>
      <sheetName val="справ_2"/>
      <sheetName val="Перечень_ИУ1"/>
      <sheetName val="3_1_ТХ1"/>
      <sheetName val="СметаСводная_Колпино1"/>
      <sheetName val="3_51"/>
      <sheetName val="суб_подряд2"/>
      <sheetName val="ПСБ_-_ОЭ2"/>
      <sheetName val="Смета_21"/>
      <sheetName val="Ачинский_НПЗ1"/>
      <sheetName val="См3_СЦБ-зап1"/>
      <sheetName val="Хаттон_90_90_Femco1"/>
      <sheetName val="свод_общ1"/>
      <sheetName val="Смета_5_2__Кусты25,29,31,651"/>
      <sheetName val="смета_СИД1"/>
      <sheetName val="ресурсная_вед_1"/>
      <sheetName val="р_Волхов1"/>
      <sheetName val="КП_к_ГК1"/>
      <sheetName val="изыскания_21"/>
      <sheetName val="Калплан_Кра1"/>
      <sheetName val="6_11_новый1"/>
      <sheetName val="Opex_personnel_(Term_facs)1"/>
      <sheetName val="Капитальные_затраты1"/>
      <sheetName val="Пояснение_"/>
      <sheetName val="3_11"/>
      <sheetName val="Коммерческие_расходы1"/>
      <sheetName val="смета_2_проект__работы"/>
      <sheetName val="СС_замеч_с_ответами1"/>
      <sheetName val="УП__20041"/>
      <sheetName val="в_работу1"/>
      <sheetName val="3_21"/>
      <sheetName val="3_31"/>
      <sheetName val="Р2_11"/>
      <sheetName val="Р2_21"/>
      <sheetName val="Удельные(проф_)1"/>
      <sheetName val="Константы_и_результаты1"/>
      <sheetName val="расчет_№31"/>
      <sheetName val="20_Кредиты_краткосрочные1"/>
      <sheetName val="Перечень_Заказчиков1"/>
      <sheetName val="2_2_1"/>
      <sheetName val="СтрЗапасов_(2)"/>
      <sheetName val="PwC_Copies_from_old_models_--&gt;&gt;"/>
      <sheetName val="Сравнение_ДПН_факт_06-07"/>
      <sheetName val="НМ_расчеты"/>
      <sheetName val="КП_к_снег_Рыбинская1"/>
      <sheetName val="Коэф_КВ"/>
      <sheetName val="Смета_терзем"/>
      <sheetName val="Кал_план_Жукова_даты_-_не_надо"/>
      <sheetName val="матер_"/>
      <sheetName val="КП_Прим_(3)"/>
      <sheetName val="кп_(3)"/>
      <sheetName val="фонтан_разбитый2"/>
      <sheetName val="Баланс_(Ф1)"/>
      <sheetName val="Смета_3_Гидролог"/>
      <sheetName val="Записка_СЦБ"/>
      <sheetName val="РС_"/>
      <sheetName val="Source_lists"/>
      <sheetName val="Общая_часть"/>
      <sheetName val="Табл_51"/>
      <sheetName val="Табл_21"/>
      <sheetName val="См_№3_ОПР"/>
      <sheetName val="см_№6_АВЗУ_и_ГПЗУ"/>
      <sheetName val="Input_Assumptions"/>
      <sheetName val="см_№1_1_Геодезические_работы_"/>
      <sheetName val="см_№1_4_Экология_"/>
      <sheetName val="АСУ_ТП_1_этап_ПД"/>
      <sheetName val="Расчет_курса"/>
      <sheetName val="Курс_доллара"/>
      <sheetName val="Календарь_новый"/>
      <sheetName val="Смета_№_1_ИИ_линия"/>
      <sheetName val="Дополнительные_параметры"/>
      <sheetName val="Свод_объем"/>
      <sheetName val="Дог_цена"/>
      <sheetName val="выборка_на22_июня"/>
      <sheetName val="3труба_(П)"/>
      <sheetName val="Объемы_работ_по_ПВ"/>
      <sheetName val="Таблица_5"/>
      <sheetName val="Таблица_3"/>
      <sheetName val="1_401_2"/>
      <sheetName val="PO_Data"/>
      <sheetName val="Раб_АУ"/>
      <sheetName val="р_Нева1"/>
      <sheetName val="р_Молога1"/>
      <sheetName val="18_рек_Ю-Х1"/>
      <sheetName val="нпс_Палкино1"/>
      <sheetName val="Россия_-_Китай1"/>
      <sheetName val="КМ_210-2381"/>
      <sheetName val="БТС-2_км_405-4591"/>
      <sheetName val="БТС-2_км_405-4531"/>
      <sheetName val="БТС-2_км_313-3521"/>
      <sheetName val="БТС-2_км326-3521"/>
      <sheetName val="Улейма_И1"/>
      <sheetName val="Белая_УБКА1"/>
      <sheetName val="км_72-75р_Левоннька1"/>
      <sheetName val="киенгоп-н_Челны_км_104-2061"/>
      <sheetName val="ВЛ_Урдома1"/>
      <sheetName val="Вл_Микунь_Урдома1"/>
      <sheetName val="ВЛ_Синдор-Микунь1"/>
      <sheetName val="Тон_Чермасан1"/>
      <sheetName val="Трасса_км_16-1471"/>
      <sheetName val="трасса_0-761"/>
      <sheetName val="Колва_781"/>
      <sheetName val="Гидрология__р_Колва_км_381"/>
      <sheetName val="ПСП_1"/>
      <sheetName val="Новая_сводка_(до_бюджета)_(2)2"/>
      <sheetName val="Что_пришло2"/>
      <sheetName val="влад-таблица_(2)2"/>
      <sheetName val="Новая_сводка_(до_бюджета)2"/>
      <sheetName val="Новая_сводка2"/>
      <sheetName val="Общие_расходы2"/>
      <sheetName val="Новая_сводка_(по_бюджету)2"/>
      <sheetName val="Íîâàÿ_ñâîäêà_(äî_áþäæåòà)_(2)2"/>
      <sheetName val="×òî_ïðèøëî2"/>
      <sheetName val="âëàä-òàáëèöà_(2)2"/>
      <sheetName val="Íîâàÿ_ñâîäêà_(äî_áþäæåòà)2"/>
      <sheetName val="Íîâàÿ_ñâîäêà2"/>
      <sheetName val="Îáùèå_ðàñõîäû2"/>
      <sheetName val="Íîâàÿ_ñâîäêà_(ïî_áþäæåòó)2"/>
      <sheetName val="6_10_12"/>
      <sheetName val="6_7_3_ТН2"/>
      <sheetName val="6_12"/>
      <sheetName val="6_52-свод1"/>
      <sheetName val="ДДС_(Форма_№3)"/>
      <sheetName val="Сводная_"/>
      <sheetName val="7_ТХ_Сети_(кор)"/>
      <sheetName val="Tier_311208"/>
      <sheetName val="Акт_выбора"/>
      <sheetName val="См_№7_Эл_"/>
      <sheetName val="См_№8_Пож_"/>
      <sheetName val="См_№3_ВиК"/>
      <sheetName val="Сметы_за_сопровождение"/>
      <sheetName val="См_3_АСУ"/>
      <sheetName val="Полигон_-_ИЭИ_"/>
      <sheetName val="Смета_ТЗ_АСУ-16"/>
      <sheetName val="База_Геодезия"/>
      <sheetName val="База_Геология"/>
      <sheetName val="База_Геофизика"/>
      <sheetName val="4_1_1"/>
      <sheetName val="исп_1_1_1"/>
      <sheetName val="База_Гидро"/>
      <sheetName val="4_2_1"/>
      <sheetName val="исп_1_1_2"/>
      <sheetName val="Исп__смета_этап_1_1,_1_2"/>
      <sheetName val="Исх. данные"/>
      <sheetName val="8"/>
      <sheetName val="basa"/>
      <sheetName val="СВ 2"/>
      <sheetName val="1.2_"/>
      <sheetName val="Base"/>
      <sheetName val="Настр"/>
      <sheetName val="Распределение_затрат"/>
      <sheetName val="ЗАТ_ПОДР"/>
      <sheetName val="ПРОЧИЕ_ЗАТР"/>
      <sheetName val="ПОКУП_ВОДА"/>
      <sheetName val="РАСПРЕД ПО ПРОЦЕСС"/>
      <sheetName val="РЕАГ_КАТАЛ"/>
      <sheetName val="СЫРЬЕ"/>
      <sheetName val="СМЕТА_ТЕКРЕМ"/>
      <sheetName val="УСЛУГИ_ПРОМХАР"/>
      <sheetName val="Исх."/>
      <sheetName val="ИД ПНР"/>
      <sheetName val="кап.ремонт"/>
      <sheetName val="Обор"/>
      <sheetName val="пофакторный"/>
      <sheetName val="РАСШИФ_ЦЕХ_РАСХ"/>
      <sheetName val="топ"/>
      <sheetName val="Дог_рас"/>
      <sheetName val="Ограничения шаблон"/>
      <sheetName val="Лист"/>
      <sheetName val="Исх"/>
      <sheetName val="Причины отклонений"/>
      <sheetName val="Статус работы"/>
      <sheetName val="Уровень графика"/>
      <sheetName val="Технический лист"/>
      <sheetName val="анализ 2003_2004исполнение МТО"/>
      <sheetName val="Приложение 2"/>
      <sheetName val="41"/>
      <sheetName val=" Свод"/>
      <sheetName val="Договорная цена"/>
      <sheetName val="ГАЗ_камаз"/>
      <sheetName val="Пра"/>
      <sheetName val="Промер глуб"/>
      <sheetName val="SENSITIVITY"/>
      <sheetName val="аванс по ОС"/>
      <sheetName val="Авансы выданные"/>
      <sheetName val="Кред"/>
      <sheetName val="ДЗ"/>
      <sheetName val="Кред. задолж."/>
      <sheetName val="Прочие"/>
      <sheetName val="Должности"/>
      <sheetName val="Исходная"/>
      <sheetName val="Сводный"/>
      <sheetName val="ПС 110 кВ (доп)"/>
      <sheetName val="эл_химз_4"/>
      <sheetName val="13_12"/>
      <sheetName val="КП_(2)2"/>
      <sheetName val="свод_32"/>
      <sheetName val="СМЕТА_проект2"/>
      <sheetName val="1_32"/>
      <sheetName val="К_рын2"/>
      <sheetName val="Сводная_смета2"/>
      <sheetName val="Переменные_и_константы2"/>
      <sheetName val="СметаСводная_павильон2"/>
      <sheetName val="СметаСводная_снег2"/>
      <sheetName val="Лист_опроса2"/>
      <sheetName val="Исполнение__освоение_по_закупк2"/>
      <sheetName val="Исполнение_для_Ускова2"/>
      <sheetName val="Выборка_по_отсыпкам2"/>
      <sheetName val="ИП__отсыпки_2"/>
      <sheetName val="ИП__отсыпки_ФОТ_диз_т_2"/>
      <sheetName val="ИП__отсыпки___выборка_2"/>
      <sheetName val="Исполнение_по_оборуд_2"/>
      <sheetName val="Исполнение_по_оборуд___2_2"/>
      <sheetName val="Исполнение_сжато2"/>
      <sheetName val="Форма_для_бурения2"/>
      <sheetName val="Форма_для_КС2"/>
      <sheetName val="Форма_для_ГР2"/>
      <sheetName val="Смета_1свод2"/>
      <sheetName val="таблица_руководству2"/>
      <sheetName val="Суточная_добыча_за_неделю2"/>
      <sheetName val="Прибыль_опл2"/>
      <sheetName val="№5_СУБ_Инж_защ2"/>
      <sheetName val="HP_и_оргтехника2"/>
      <sheetName val="Таблица_4_АСУТП2"/>
      <sheetName val="ПДР_ООО_&quot;Юкос_ФБЦ&quot;2"/>
      <sheetName val="исходные_данные2"/>
      <sheetName val="расчетные_таблицы2"/>
      <sheetName val="Амур_ДОН2"/>
      <sheetName val="Б_Сатка2"/>
      <sheetName val="справ_3"/>
      <sheetName val="Перечень_ИУ2"/>
      <sheetName val="3_1_ТХ2"/>
      <sheetName val="СметаСводная_Колпино2"/>
      <sheetName val="3_52"/>
      <sheetName val="Смета_22"/>
      <sheetName val="Ачинский_НПЗ2"/>
      <sheetName val="См3_СЦБ-зап2"/>
      <sheetName val="Хаттон_90_90_Femco2"/>
      <sheetName val="свод_общ2"/>
      <sheetName val="Смета_5_2__Кусты25,29,31,652"/>
      <sheetName val="р_Волхов2"/>
      <sheetName val="Opex_personnel_(Term_facs)2"/>
      <sheetName val="Капитальные_затраты2"/>
      <sheetName val="Пояснение_1"/>
      <sheetName val="3_12"/>
      <sheetName val="Коммерческие_расходы2"/>
      <sheetName val="смета_2_проект__работы1"/>
      <sheetName val="СС_замеч_с_ответами2"/>
      <sheetName val="УП__20042"/>
      <sheetName val="в_работу2"/>
      <sheetName val="3_22"/>
      <sheetName val="3_32"/>
      <sheetName val="Р2_12"/>
      <sheetName val="Р2_22"/>
      <sheetName val="Удельные(проф_)2"/>
      <sheetName val="Константы_и_результаты2"/>
      <sheetName val="расчет_№32"/>
      <sheetName val="20_Кредиты_краткосрочные2"/>
      <sheetName val="Перечень_Заказчиков2"/>
      <sheetName val="2_2_2"/>
      <sheetName val="СтрЗапасов_(2)1"/>
      <sheetName val="PwC_Copies_from_old_models_--&gt;1"/>
      <sheetName val="Сравнение_ДПН_факт_06-071"/>
      <sheetName val="НМ_расчеты1"/>
      <sheetName val="КП_к_снег_Рыбинская2"/>
      <sheetName val="Коэф_КВ1"/>
      <sheetName val="Смета_терзем1"/>
      <sheetName val="Кал_план_Жукова_даты_-_не_надо1"/>
      <sheetName val="матер_1"/>
      <sheetName val="КП_Прим_(3)1"/>
      <sheetName val="кп_(3)1"/>
      <sheetName val="фонтан_разбитый21"/>
      <sheetName val="Баланс_(Ф1)1"/>
      <sheetName val="Смета_3_Гидролог1"/>
      <sheetName val="Записка_СЦБ1"/>
      <sheetName val="РС_1"/>
      <sheetName val="Раб_АУ1"/>
      <sheetName val="Source_lists1"/>
      <sheetName val="Общая_часть1"/>
      <sheetName val="Табл_52"/>
      <sheetName val="Табл_22"/>
      <sheetName val="См_№3_ОПР1"/>
      <sheetName val="см_№6_АВЗУ_и_ГПЗУ1"/>
      <sheetName val="Input_Assumptions1"/>
      <sheetName val="см_№1_1_Геодезические_работы_1"/>
      <sheetName val="см_№1_4_Экология_1"/>
      <sheetName val="АСУ_ТП_1_этап_ПД1"/>
      <sheetName val="Расчет_курса1"/>
      <sheetName val="ДДС_(Форма_№3)1"/>
      <sheetName val="Курс_доллара1"/>
      <sheetName val="Календарь_новый1"/>
      <sheetName val="Смета_№_1_ИИ_линия1"/>
      <sheetName val="Дополнительные_параметры1"/>
      <sheetName val="Свод_объем1"/>
      <sheetName val="Дог_цена1"/>
      <sheetName val="выборка_на22_июня1"/>
      <sheetName val="3труба_(П)1"/>
      <sheetName val="Объемы_работ_по_ПВ1"/>
      <sheetName val="Таблица_51"/>
      <sheetName val="Таблица_31"/>
      <sheetName val="1_401_21"/>
      <sheetName val="PO_Data1"/>
      <sheetName val="р_Нева2"/>
      <sheetName val="р_Молога2"/>
      <sheetName val="18_рек_Ю-Х2"/>
      <sheetName val="нпс_Палкино2"/>
      <sheetName val="Россия_-_Китай2"/>
      <sheetName val="КМ_210-2382"/>
      <sheetName val="БТС-2_км_405-4592"/>
      <sheetName val="БТС-2_км_405-4532"/>
      <sheetName val="БТС-2_км_313-3522"/>
      <sheetName val="БТС-2_км326-3522"/>
      <sheetName val="Улейма_И2"/>
      <sheetName val="Белая_УБКА2"/>
      <sheetName val="км_72-75р_Левоннька2"/>
      <sheetName val="киенгоп-н_Челны_км_104-2062"/>
      <sheetName val="ВЛ_Урдома2"/>
      <sheetName val="Вл_Микунь_Урдома2"/>
      <sheetName val="ВЛ_Синдор-Микунь2"/>
      <sheetName val="Тон_Чермасан2"/>
      <sheetName val="Трасса_км_16-1472"/>
      <sheetName val="трасса_0-762"/>
      <sheetName val="Колва_782"/>
      <sheetName val="Гидрология__р_Колва_км_382"/>
      <sheetName val="ПСП_2"/>
      <sheetName val="Новая_сводка_(до_бюджета)_(2)3"/>
      <sheetName val="Что_пришло3"/>
      <sheetName val="влад-таблица_(2)3"/>
      <sheetName val="Новая_сводка_(до_бюджета)3"/>
      <sheetName val="Новая_сводка3"/>
      <sheetName val="Общие_расходы3"/>
      <sheetName val="Новая_сводка_(по_бюджету)3"/>
      <sheetName val="Íîâàÿ_ñâîäêà_(äî_áþäæåòà)_(2)3"/>
      <sheetName val="×òî_ïðèøëî3"/>
      <sheetName val="âëàä-òàáëèöà_(2)3"/>
      <sheetName val="Íîâàÿ_ñâîäêà_(äî_áþäæåòà)3"/>
      <sheetName val="Íîâàÿ_ñâîäêà3"/>
      <sheetName val="Îáùèå_ðàñõîäû3"/>
      <sheetName val="Íîâàÿ_ñâîäêà_(ïî_áþäæåòó)3"/>
      <sheetName val="6_10_13"/>
      <sheetName val="6_7_3_ТН3"/>
      <sheetName val="6_13"/>
      <sheetName val="6_52-свод2"/>
      <sheetName val="Сводная_1"/>
      <sheetName val="7_ТХ_Сети_(кор)1"/>
      <sheetName val="Tier_3112081"/>
      <sheetName val="Акт_выбора1"/>
      <sheetName val="См_№7_Эл_1"/>
      <sheetName val="См_№8_Пож_1"/>
      <sheetName val="См_№3_ВиК1"/>
      <sheetName val="Сметы_за_сопровождение1"/>
      <sheetName val="ЕТС_(ф)"/>
      <sheetName val="телемехан"/>
      <sheetName val="Тестовый"/>
      <sheetName val="Panduit"/>
      <sheetName val="№2Гидромет."/>
      <sheetName val="№2Геолог"/>
      <sheetName val="№2Геолог с.п."/>
      <sheetName val="№3Экологи (2этап)"/>
      <sheetName val="const"/>
      <sheetName val="расчеты"/>
      <sheetName val="ПД-2.1"/>
      <sheetName val="Смета 7"/>
      <sheetName val="Бл_электр_"/>
      <sheetName val="Прил.5 СС"/>
      <sheetName val="расчет вязкости"/>
      <sheetName val="Сравнение с Finder - ДНС-5"/>
      <sheetName val="Расчет №1.1"/>
      <sheetName val="Расчет №2.1"/>
      <sheetName val="Акт-Смета_30"/>
      <sheetName val="W28"/>
      <sheetName val="см 5 ОДД "/>
      <sheetName val="геология_4"/>
      <sheetName val="6_144"/>
      <sheetName val="6_3_14"/>
      <sheetName val="6_204"/>
      <sheetName val="6_4_14"/>
      <sheetName val="6_11_1__сторонние4"/>
      <sheetName val="8_14_КР_(списание)ОПСТИКР4"/>
      <sheetName val="Данные_для_расчёта_сметы3"/>
      <sheetName val="6_14_КР3"/>
      <sheetName val="Текущие_цены3"/>
      <sheetName val="отчет_эл_эн__20003"/>
      <sheetName val="к_84-к_833"/>
      <sheetName val="свод_23"/>
      <sheetName val="Зап-3-_СЦБ3"/>
      <sheetName val="Пример_расчета3"/>
      <sheetName val="СметаСводная_Рыб3"/>
      <sheetName val="Коэфф1_3"/>
      <sheetName val="6_32"/>
      <sheetName val="6_72"/>
      <sheetName val="6_3_1_32"/>
      <sheetName val="Смета2_проект__раб_3"/>
      <sheetName val="Смета_13"/>
      <sheetName val="Production_and_Spend2"/>
      <sheetName val="Прайс_лист3"/>
      <sheetName val="См_1_наруж_водопровод3"/>
      <sheetName val="Разработка_проекта3"/>
      <sheetName val="КП_НовоКов3"/>
      <sheetName val="СметаСводная_1_оч3"/>
      <sheetName val="свод_(2)2"/>
      <sheetName val="Калплан_ОИ2_Макм_крестики2"/>
      <sheetName val="Св__смета2"/>
      <sheetName val="РБС_ИЗМ12"/>
      <sheetName val="Таблица_22"/>
      <sheetName val="ст_ГТМ2"/>
      <sheetName val="кп_ГК2"/>
      <sheetName val="Справочные_данные2"/>
      <sheetName val="суб_подряд3"/>
      <sheetName val="ПСБ_-_ОЭ3"/>
      <sheetName val="смета_СИД2"/>
      <sheetName val="ресурсная_вед_2"/>
      <sheetName val="КП_к_ГК2"/>
      <sheetName val="изыскания_22"/>
      <sheetName val="Калплан_Кра2"/>
      <sheetName val="6_11_новый2"/>
      <sheetName val="См_3_АСУ1"/>
      <sheetName val="Полигон_-_ИЭИ_1"/>
      <sheetName val="Смета_ТЗ_АСУ-161"/>
      <sheetName val="База_Геодезия1"/>
      <sheetName val="База_Геология1"/>
      <sheetName val="База_Геофизика1"/>
      <sheetName val="4_1_11"/>
      <sheetName val="исп_1_1_11"/>
      <sheetName val="База_Гидро1"/>
      <sheetName val="4_2_11"/>
      <sheetName val="исп_1_1_21"/>
      <sheetName val="Исп__смета_этап_1_1,_1_21"/>
      <sheetName val="КБК_ДПК"/>
      <sheetName val="ТЗ_АСУ-1"/>
      <sheetName val="лч_и_кам"/>
      <sheetName val="ИД_СМР"/>
      <sheetName val="Вспом_"/>
      <sheetName val="2_Геология"/>
      <sheetName val="Объем_работ"/>
      <sheetName val="Виды_работ_АСО"/>
      <sheetName val="таблица_руко_1"/>
      <sheetName val="ФОТ_для_смет"/>
      <sheetName val="таблица_руко_"/>
      <sheetName val="Исх__данные"/>
      <sheetName val="Main_list"/>
      <sheetName val="ПД-2_2"/>
      <sheetName val="1_14"/>
      <sheetName val="1_7"/>
      <sheetName val="Промер_глуб"/>
      <sheetName val="таблица_руко "/>
      <sheetName val="ТЗ_АСУ-11"/>
      <sheetName val="лч_и_кам1"/>
      <sheetName val="Бл_электр_1"/>
      <sheetName val="2_Геология1"/>
      <sheetName val="Объем_работ1"/>
      <sheetName val="Виды_работ_АСО1"/>
      <sheetName val="ИД_СМР1"/>
      <sheetName val="ФОТ_для_смет1"/>
      <sheetName val="КБК_ДПК1"/>
      <sheetName val="Main_list1"/>
      <sheetName val="ПД-2_21"/>
      <sheetName val="1_141"/>
      <sheetName val="1_71"/>
      <sheetName val="Вспом_1"/>
      <sheetName val="ЕТС_(ф)1"/>
      <sheetName val="Восстановл_Л_x0000__x0000__x0000__x0000__x0000_"/>
      <sheetName val="сводная (2)"/>
      <sheetName val="Расч(подряд)"/>
      <sheetName val="Восстановл_Л_x0000__x0000_Ԁ_x0000_ "/>
      <sheetName val="Восстановл_Л_x0000__x0000_Ԁ_x0000_"/>
      <sheetName val="Восстановл_Л_x0000__x0000_Ԁ_x0000_退"/>
      <sheetName val="Восстановл_Л_x0000__x0000_Ԁ_x0000_쀀"/>
      <sheetName val="Восстановл_Л_x0000__x0000_Ԁ_x0000_倀"/>
      <sheetName val="Восстановл_Л_x0000__x0000_Ԁ_x0000_耀"/>
      <sheetName val="Форма 2.1"/>
      <sheetName val="ДЦ"/>
      <sheetName val=" Оборудование  end"/>
      <sheetName val="автоматизация РД"/>
      <sheetName val="Смета 2 эл.монтаж"/>
      <sheetName val="Смета 1 общестроит"/>
      <sheetName val="GLOBAL"/>
      <sheetName val="Прочее"/>
      <sheetName val="ИНСТРУКЦИЯ"/>
      <sheetName val="темп"/>
      <sheetName val="ЛЧ Р"/>
      <sheetName val="2.1"/>
      <sheetName val="Акт выполненных работ 46"/>
      <sheetName val="SMW_Служебная"/>
      <sheetName val="Восстановл_Л"/>
      <sheetName val="исключ_ЭХЗ"/>
      <sheetName val="эл_химз_5"/>
      <sheetName val="геология_5"/>
      <sheetName val="6_145"/>
      <sheetName val="6_3_15"/>
      <sheetName val="6_205"/>
      <sheetName val="6_4_15"/>
      <sheetName val="6_11_1__сторонние5"/>
      <sheetName val="8_14_КР_(списание)ОПСТИКР5"/>
      <sheetName val="6_14_КР4"/>
      <sheetName val="Данные_для_расчёта_сметы4"/>
      <sheetName val="Текущие_цены4"/>
      <sheetName val="свод_24"/>
      <sheetName val="к_84-к_834"/>
      <sheetName val="отчет_эл_эн__20004"/>
      <sheetName val="Зап-3-_СЦБ4"/>
      <sheetName val="Пример_расчета4"/>
      <sheetName val="СметаСводная_Рыб4"/>
      <sheetName val="13_13"/>
      <sheetName val="Коэфф1_4"/>
      <sheetName val="КП_(2)3"/>
      <sheetName val="6_33"/>
      <sheetName val="6_73"/>
      <sheetName val="6_3_1_33"/>
      <sheetName val="свод_33"/>
      <sheetName val="Смета2_проект__раб_4"/>
      <sheetName val="Смета_14"/>
      <sheetName val="СМЕТА_проект3"/>
      <sheetName val="Production_and_Spend3"/>
      <sheetName val="Прайс_лист4"/>
      <sheetName val="1_33"/>
      <sheetName val="К_рын3"/>
      <sheetName val="Сводная_смета3"/>
      <sheetName val="См_1_наруж_водопровод4"/>
      <sheetName val="Разработка_проекта4"/>
      <sheetName val="КП_НовоКов4"/>
      <sheetName val="СметаСводная_1_оч4"/>
      <sheetName val="Переменные_и_константы3"/>
      <sheetName val="свод_(2)3"/>
      <sheetName val="Калплан_ОИ2_Макм_крестики3"/>
      <sheetName val="СметаСводная_павильон3"/>
      <sheetName val="Св__смета3"/>
      <sheetName val="РБС_ИЗМ13"/>
      <sheetName val="СметаСводная_снег3"/>
      <sheetName val="Лист_опроса3"/>
      <sheetName val="Исполнение__освоение_по_закупк3"/>
      <sheetName val="Исполнение_для_Ускова3"/>
      <sheetName val="Выборка_по_отсыпкам3"/>
      <sheetName val="ИП__отсыпки_3"/>
      <sheetName val="ИП__отсыпки_ФОТ_диз_т_3"/>
      <sheetName val="ИП__отсыпки___выборка_3"/>
      <sheetName val="Исполнение_по_оборуд_3"/>
      <sheetName val="Исполнение_по_оборуд___2_3"/>
      <sheetName val="Исполнение_сжато3"/>
      <sheetName val="Форма_для_бурения3"/>
      <sheetName val="Форма_для_КС3"/>
      <sheetName val="Форма_для_ГР3"/>
      <sheetName val="Смета_1свод3"/>
      <sheetName val="таблица_руководству3"/>
      <sheetName val="Суточная_добыча_за_неделю3"/>
      <sheetName val="Прибыль_опл3"/>
      <sheetName val="№5_СУБ_Инж_защ3"/>
      <sheetName val="HP_и_оргтехника3"/>
      <sheetName val="Таблица_23"/>
      <sheetName val="Таблица_4_АСУТП3"/>
      <sheetName val="ст_ГТМ3"/>
      <sheetName val="ПДР_ООО_&quot;Юкос_ФБЦ&quot;3"/>
      <sheetName val="исходные_данные3"/>
      <sheetName val="расчетные_таблицы3"/>
      <sheetName val="Амур_ДОН3"/>
      <sheetName val="кп_ГК3"/>
      <sheetName val="Справочные_данные3"/>
      <sheetName val="Б_Сатка3"/>
      <sheetName val="справ_4"/>
      <sheetName val="Перечень_ИУ3"/>
      <sheetName val="3_1_ТХ3"/>
      <sheetName val="СметаСводная_Колпино3"/>
      <sheetName val="3_53"/>
      <sheetName val="суб_подряд4"/>
      <sheetName val="ПСБ_-_ОЭ4"/>
      <sheetName val="Смета_23"/>
      <sheetName val="Ачинский_НПЗ3"/>
      <sheetName val="См3_СЦБ-зап3"/>
      <sheetName val="Хаттон_90_90_Femco3"/>
      <sheetName val="свод_общ3"/>
      <sheetName val="Смета_5_2__Кусты25,29,31,653"/>
      <sheetName val="смета_СИД3"/>
      <sheetName val="ресурсная_вед_3"/>
      <sheetName val="р_Волхов3"/>
      <sheetName val="КП_к_ГК3"/>
      <sheetName val="изыскания_23"/>
      <sheetName val="Калплан_Кра3"/>
      <sheetName val="6_11_новый3"/>
      <sheetName val="Opex_personnel_(Term_facs)3"/>
      <sheetName val="Капитальные_затраты3"/>
      <sheetName val="Пояснение_2"/>
      <sheetName val="3_13"/>
      <sheetName val="Коммерческие_расходы3"/>
      <sheetName val="смета_2_проект__работы2"/>
      <sheetName val="СС_замеч_с_ответами3"/>
      <sheetName val="УП__20043"/>
      <sheetName val="в_работу3"/>
      <sheetName val="3_23"/>
      <sheetName val="3_33"/>
      <sheetName val="Р2_13"/>
      <sheetName val="Р2_23"/>
      <sheetName val="Удельные(проф_)3"/>
      <sheetName val="Константы_и_результаты3"/>
      <sheetName val="расчет_№33"/>
      <sheetName val="20_Кредиты_краткосрочные3"/>
      <sheetName val="Перечень_Заказчиков3"/>
      <sheetName val="2_2_3"/>
      <sheetName val="СтрЗапасов_(2)2"/>
      <sheetName val="PwC_Copies_from_old_models_--&gt;2"/>
      <sheetName val="Сравнение_ДПН_факт_06-072"/>
      <sheetName val="НМ_расчеты2"/>
      <sheetName val="КП_к_снег_Рыбинская3"/>
      <sheetName val="Коэф_КВ2"/>
      <sheetName val="Смета_терзем2"/>
      <sheetName val="Кал_план_Жукова_даты_-_не_надо2"/>
      <sheetName val="матер_2"/>
      <sheetName val="КП_Прим_(3)2"/>
      <sheetName val="кп_(3)2"/>
      <sheetName val="фонтан_разбитый22"/>
      <sheetName val="Баланс_(Ф1)2"/>
      <sheetName val="Смета_3_Гидролог2"/>
      <sheetName val="Записка_СЦБ2"/>
      <sheetName val="РС_2"/>
      <sheetName val="Общая_часть2"/>
      <sheetName val="Табл_53"/>
      <sheetName val="Табл_23"/>
      <sheetName val="См_№3_ОПР2"/>
      <sheetName val="см_№6_АВЗУ_и_ГПЗУ2"/>
      <sheetName val="Input_Assumptions2"/>
      <sheetName val="см_№1_1_Геодезические_работы_2"/>
      <sheetName val="см_№1_4_Экология_2"/>
      <sheetName val="АСУ_ТП_1_этап_ПД2"/>
      <sheetName val="Расчет_курса2"/>
      <sheetName val="Source_lists2"/>
      <sheetName val="Курс_доллара2"/>
      <sheetName val="Календарь_новый2"/>
      <sheetName val="Смета_№_1_ИИ_линия2"/>
      <sheetName val="Дополнительные_параметры2"/>
      <sheetName val="Свод_объем2"/>
      <sheetName val="Дог_цена2"/>
      <sheetName val="выборка_на22_июня2"/>
      <sheetName val="3труба_(П)2"/>
      <sheetName val="Объемы_работ_по_ПВ2"/>
      <sheetName val="Таблица_52"/>
      <sheetName val="Таблица_32"/>
      <sheetName val="1_401_22"/>
      <sheetName val="PO_Data2"/>
      <sheetName val="Раб_АУ2"/>
      <sheetName val="р_Нева3"/>
      <sheetName val="р_Молога3"/>
      <sheetName val="18_рек_Ю-Х3"/>
      <sheetName val="нпс_Палкино3"/>
      <sheetName val="Россия_-_Китай3"/>
      <sheetName val="КМ_210-2383"/>
      <sheetName val="БТС-2_км_405-4593"/>
      <sheetName val="БТС-2_км_405-4533"/>
      <sheetName val="БТС-2_км_313-3523"/>
      <sheetName val="БТС-2_км326-3523"/>
      <sheetName val="Улейма_И3"/>
      <sheetName val="Белая_УБКА3"/>
      <sheetName val="км_72-75р_Левоннька3"/>
      <sheetName val="киенгоп-н_Челны_км_104-2063"/>
      <sheetName val="ВЛ_Урдома3"/>
      <sheetName val="Вл_Микунь_Урдома3"/>
      <sheetName val="ВЛ_Синдор-Микунь3"/>
      <sheetName val="Тон_Чермасан3"/>
      <sheetName val="Трасса_км_16-1473"/>
      <sheetName val="трасса_0-763"/>
      <sheetName val="Колва_783"/>
      <sheetName val="Гидрология__р_Колва_км_383"/>
      <sheetName val="ПСП_3"/>
      <sheetName val="Новая_сводка_(до_бюджета)_(2)4"/>
      <sheetName val="Что_пришло4"/>
      <sheetName val="влад-таблица_(2)4"/>
      <sheetName val="Новая_сводка_(до_бюджета)4"/>
      <sheetName val="Новая_сводка4"/>
      <sheetName val="Общие_расходы4"/>
      <sheetName val="Новая_сводка_(по_бюджету)4"/>
      <sheetName val="Íîâàÿ_ñâîäêà_(äî_áþäæåòà)_(2)4"/>
      <sheetName val="×òî_ïðèøëî4"/>
      <sheetName val="âëàä-òàáëèöà_(2)4"/>
      <sheetName val="Íîâàÿ_ñâîäêà_(äî_áþäæåòà)4"/>
      <sheetName val="Íîâàÿ_ñâîäêà4"/>
      <sheetName val="Îáùèå_ðàñõîäû4"/>
      <sheetName val="Íîâàÿ_ñâîäêà_(ïî_áþäæåòó)4"/>
      <sheetName val="6_10_14"/>
      <sheetName val="6_7_3_ТН4"/>
      <sheetName val="6_15"/>
      <sheetName val="6_52-свод3"/>
      <sheetName val="ДДС_(Форма_№3)2"/>
      <sheetName val="Сводная_2"/>
      <sheetName val="7_ТХ_Сети_(кор)2"/>
      <sheetName val="Tier_3112082"/>
      <sheetName val="Акт_выбора2"/>
      <sheetName val="См_№7_Эл_2"/>
      <sheetName val="См_№8_Пож_2"/>
      <sheetName val="См_№3_ВиК2"/>
      <sheetName val="Сметы_за_сопровождение2"/>
      <sheetName val="См_3_АСУ2"/>
      <sheetName val="Полигон_-_ИЭИ_2"/>
      <sheetName val="Смета_ТЗ_АСУ-162"/>
      <sheetName val="База_Геодезия2"/>
      <sheetName val="База_Геология2"/>
      <sheetName val="База_Геофизика2"/>
      <sheetName val="4_1_12"/>
      <sheetName val="исп_1_1_12"/>
      <sheetName val="База_Гидро2"/>
      <sheetName val="4_2_12"/>
      <sheetName val="исп_1_1_22"/>
      <sheetName val="Исп__смета_этап_1_1,_1_22"/>
      <sheetName val="Промер_глуб1"/>
      <sheetName val="таблица_руко_2"/>
      <sheetName val="Исх__данные1"/>
      <sheetName val="исключ_ЭХЗ1"/>
      <sheetName val="эл_химз_6"/>
      <sheetName val="геология_6"/>
      <sheetName val="6_146"/>
      <sheetName val="6_3_16"/>
      <sheetName val="6_206"/>
      <sheetName val="6_4_16"/>
      <sheetName val="6_11_1__сторонние6"/>
      <sheetName val="8_14_КР_(списание)ОПСТИКР6"/>
      <sheetName val="6_14_КР5"/>
      <sheetName val="Данные_для_расчёта_сметы5"/>
      <sheetName val="Текущие_цены5"/>
      <sheetName val="свод_25"/>
      <sheetName val="к_84-к_835"/>
      <sheetName val="отчет_эл_эн__20005"/>
      <sheetName val="Зап-3-_СЦБ5"/>
      <sheetName val="Пример_расчета5"/>
      <sheetName val="СметаСводная_Рыб5"/>
      <sheetName val="13_14"/>
      <sheetName val="Коэфф1_5"/>
      <sheetName val="КП_(2)4"/>
      <sheetName val="6_34"/>
      <sheetName val="6_74"/>
      <sheetName val="6_3_1_34"/>
      <sheetName val="свод_34"/>
      <sheetName val="Смета2_проект__раб_5"/>
      <sheetName val="Смета_15"/>
      <sheetName val="СМЕТА_проект4"/>
      <sheetName val="Production_and_Spend4"/>
      <sheetName val="Прайс_лист5"/>
      <sheetName val="1_34"/>
      <sheetName val="К_рын4"/>
      <sheetName val="Сводная_смета4"/>
      <sheetName val="См_1_наруж_водопровод5"/>
      <sheetName val="Разработка_проекта5"/>
      <sheetName val="КП_НовоКов5"/>
      <sheetName val="СметаСводная_1_оч5"/>
      <sheetName val="Переменные_и_константы4"/>
      <sheetName val="свод_(2)4"/>
      <sheetName val="Калплан_ОИ2_Макм_крестики4"/>
      <sheetName val="СметаСводная_павильон4"/>
      <sheetName val="Св__смета4"/>
      <sheetName val="РБС_ИЗМ14"/>
      <sheetName val="СметаСводная_снег4"/>
      <sheetName val="Лист_опроса4"/>
      <sheetName val="Исполнение__освоение_по_закупк4"/>
      <sheetName val="Исполнение_для_Ускова4"/>
      <sheetName val="Выборка_по_отсыпкам4"/>
      <sheetName val="ИП__отсыпки_4"/>
      <sheetName val="ИП__отсыпки_ФОТ_диз_т_4"/>
      <sheetName val="ИП__отсыпки___выборка_4"/>
      <sheetName val="Исполнение_по_оборуд_4"/>
      <sheetName val="Исполнение_по_оборуд___2_4"/>
      <sheetName val="Исполнение_сжато4"/>
      <sheetName val="Форма_для_бурения4"/>
      <sheetName val="Форма_для_КС4"/>
      <sheetName val="Форма_для_ГР4"/>
      <sheetName val="Смета_1свод4"/>
      <sheetName val="таблица_руководству4"/>
      <sheetName val="Суточная_добыча_за_неделю4"/>
      <sheetName val="Прибыль_опл4"/>
      <sheetName val="№5_СУБ_Инж_защ4"/>
      <sheetName val="HP_и_оргтехника4"/>
      <sheetName val="Таблица_24"/>
      <sheetName val="Таблица_4_АСУТП4"/>
      <sheetName val="ст_ГТМ4"/>
      <sheetName val="ПДР_ООО_&quot;Юкос_ФБЦ&quot;4"/>
      <sheetName val="исходные_данные4"/>
      <sheetName val="расчетные_таблицы4"/>
      <sheetName val="Амур_ДОН4"/>
      <sheetName val="кп_ГК4"/>
      <sheetName val="Справочные_данные4"/>
      <sheetName val="Б_Сатка4"/>
      <sheetName val="справ_5"/>
      <sheetName val="Перечень_ИУ4"/>
      <sheetName val="3_1_ТХ4"/>
      <sheetName val="СметаСводная_Колпино4"/>
      <sheetName val="3_54"/>
      <sheetName val="суб_подряд5"/>
      <sheetName val="ПСБ_-_ОЭ5"/>
      <sheetName val="Смета_24"/>
      <sheetName val="Ачинский_НПЗ4"/>
      <sheetName val="См3_СЦБ-зап4"/>
      <sheetName val="Хаттон_90_90_Femco4"/>
      <sheetName val="свод_общ4"/>
      <sheetName val="Смета_5_2__Кусты25,29,31,654"/>
      <sheetName val="смета_СИД4"/>
      <sheetName val="ресурсная_вед_4"/>
      <sheetName val="р_Волхов4"/>
      <sheetName val="КП_к_ГК4"/>
      <sheetName val="изыскания_24"/>
      <sheetName val="Калплан_Кра4"/>
      <sheetName val="6_11_новый4"/>
      <sheetName val="Opex_personnel_(Term_facs)4"/>
      <sheetName val="Капитальные_затраты4"/>
      <sheetName val="Пояснение_3"/>
      <sheetName val="3_14"/>
      <sheetName val="Коммерческие_расходы4"/>
      <sheetName val="смета_2_проект__работы3"/>
      <sheetName val="СС_замеч_с_ответами4"/>
      <sheetName val="УП__20044"/>
      <sheetName val="в_работу4"/>
      <sheetName val="3_24"/>
      <sheetName val="3_34"/>
      <sheetName val="Р2_14"/>
      <sheetName val="Р2_24"/>
      <sheetName val="Удельные(проф_)4"/>
      <sheetName val="Константы_и_результаты4"/>
      <sheetName val="расчет_№34"/>
      <sheetName val="20_Кредиты_краткосрочные4"/>
      <sheetName val="Перечень_Заказчиков4"/>
      <sheetName val="2_2_4"/>
      <sheetName val="СтрЗапасов_(2)3"/>
      <sheetName val="PwC_Copies_from_old_models_--&gt;3"/>
      <sheetName val="Сравнение_ДПН_факт_06-073"/>
      <sheetName val="НМ_расчеты3"/>
      <sheetName val="КП_к_снег_Рыбинская4"/>
      <sheetName val="Коэф_КВ3"/>
      <sheetName val="Смета_терзем3"/>
      <sheetName val="Кал_план_Жукова_даты_-_не_надо3"/>
      <sheetName val="матер_3"/>
      <sheetName val="КП_Прим_(3)3"/>
      <sheetName val="кп_(3)3"/>
      <sheetName val="фонтан_разбитый23"/>
      <sheetName val="Баланс_(Ф1)3"/>
      <sheetName val="Смета_3_Гидролог3"/>
      <sheetName val="Записка_СЦБ3"/>
      <sheetName val="РС_3"/>
      <sheetName val="Общая_часть3"/>
      <sheetName val="Табл_54"/>
      <sheetName val="Табл_24"/>
      <sheetName val="См_№3_ОПР3"/>
      <sheetName val="см_№6_АВЗУ_и_ГПЗУ3"/>
      <sheetName val="Input_Assumptions3"/>
      <sheetName val="см_№1_1_Геодезические_работы_3"/>
      <sheetName val="см_№1_4_Экология_3"/>
      <sheetName val="АСУ_ТП_1_этап_ПД3"/>
      <sheetName val="Расчет_курса3"/>
      <sheetName val="Source_lists3"/>
      <sheetName val="Курс_доллара3"/>
      <sheetName val="Календарь_новый3"/>
      <sheetName val="Смета_№_1_ИИ_линия3"/>
      <sheetName val="Дополнительные_параметры3"/>
      <sheetName val="Свод_объем3"/>
      <sheetName val="Дог_цена3"/>
      <sheetName val="выборка_на22_июня3"/>
      <sheetName val="3труба_(П)3"/>
      <sheetName val="Объемы_работ_по_ПВ3"/>
      <sheetName val="Таблица_53"/>
      <sheetName val="Таблица_33"/>
      <sheetName val="1_401_23"/>
      <sheetName val="PO_Data3"/>
      <sheetName val="Раб_АУ3"/>
      <sheetName val="р_Нева4"/>
      <sheetName val="р_Молога4"/>
      <sheetName val="18_рек_Ю-Х4"/>
      <sheetName val="нпс_Палкино4"/>
      <sheetName val="Россия_-_Китай4"/>
      <sheetName val="КМ_210-2384"/>
      <sheetName val="БТС-2_км_405-4594"/>
      <sheetName val="БТС-2_км_405-4534"/>
      <sheetName val="БТС-2_км_313-3524"/>
      <sheetName val="БТС-2_км326-3524"/>
      <sheetName val="Улейма_И4"/>
      <sheetName val="Белая_УБКА4"/>
      <sheetName val="км_72-75р_Левоннька4"/>
      <sheetName val="киенгоп-н_Челны_км_104-2064"/>
      <sheetName val="ВЛ_Урдома4"/>
      <sheetName val="Вл_Микунь_Урдома4"/>
      <sheetName val="ВЛ_Синдор-Микунь4"/>
      <sheetName val="Тон_Чермасан4"/>
      <sheetName val="Трасса_км_16-1474"/>
      <sheetName val="трасса_0-764"/>
      <sheetName val="Колва_784"/>
      <sheetName val="Гидрология__р_Колва_км_384"/>
      <sheetName val="ПСП_4"/>
      <sheetName val="Новая_сводка_(до_бюджета)_(2)5"/>
      <sheetName val="Что_пришло5"/>
      <sheetName val="влад-таблица_(2)5"/>
      <sheetName val="Новая_сводка_(до_бюджета)5"/>
      <sheetName val="Новая_сводка5"/>
      <sheetName val="Общие_расходы5"/>
      <sheetName val="Новая_сводка_(по_бюджету)5"/>
      <sheetName val="Íîâàÿ_ñâîäêà_(äî_áþäæåòà)_(2)5"/>
      <sheetName val="×òî_ïðèøëî5"/>
      <sheetName val="âëàä-òàáëèöà_(2)5"/>
      <sheetName val="Íîâàÿ_ñâîäêà_(äî_áþäæåòà)5"/>
      <sheetName val="Íîâàÿ_ñâîäêà5"/>
      <sheetName val="Îáùèå_ðàñõîäû5"/>
      <sheetName val="Íîâàÿ_ñâîäêà_(ïî_áþäæåòó)5"/>
      <sheetName val="6_10_15"/>
      <sheetName val="6_7_3_ТН5"/>
      <sheetName val="6_16"/>
      <sheetName val="6_52-свод4"/>
      <sheetName val="ДДС_(Форма_№3)3"/>
      <sheetName val="Сводная_3"/>
      <sheetName val="7_ТХ_Сети_(кор)3"/>
      <sheetName val="Tier_3112083"/>
      <sheetName val="Акт_выбора3"/>
      <sheetName val="См_№7_Эл_3"/>
      <sheetName val="См_№8_Пож_3"/>
      <sheetName val="См_№3_ВиК3"/>
      <sheetName val="Сметы_за_сопровождение3"/>
      <sheetName val="Смета _4ПР ЭХЗ"/>
      <sheetName val="РабПр"/>
      <sheetName val="Расчет_№1_1"/>
      <sheetName val="Расчет_№2_1"/>
      <sheetName val="СМ          "/>
      <sheetName val="таблица_руко       "/>
      <sheetName val="таблица_руко  _x0009_    "/>
      <sheetName val="Индексы"/>
      <sheetName val="Бл_электр_2"/>
      <sheetName val="лч_и_кам2"/>
      <sheetName val="ТЗ_АСУ-12"/>
      <sheetName val="ИД_СМР2"/>
      <sheetName val="Вспом_2"/>
      <sheetName val="2_Геология2"/>
      <sheetName val="Объем_работ2"/>
      <sheetName val="Виды_работ_АСО2"/>
      <sheetName val="ФОТ_для_смет2"/>
      <sheetName val="КБК_ДПК2"/>
      <sheetName val="ЕТС_(ф)2"/>
      <sheetName val="таблица_руко_3"/>
      <sheetName val="13_15"/>
      <sheetName val="Пояснение_4"/>
      <sheetName val="смета_2_проект__работы4"/>
      <sheetName val="СтрЗапасов_(2)4"/>
      <sheetName val="PwC_Copies_from_old_models_--&gt;4"/>
      <sheetName val="Сравнение_ДПН_факт_06-074"/>
      <sheetName val="НМ_расчеты4"/>
      <sheetName val="Коэф_КВ4"/>
      <sheetName val="Смета_терзем4"/>
      <sheetName val="Кал_план_Жукова_даты_-_не_надо4"/>
      <sheetName val="матер_4"/>
      <sheetName val="КП_Прим_(3)4"/>
      <sheetName val="кп_(3)4"/>
      <sheetName val="фонтан_разбитый24"/>
      <sheetName val="Баланс_(Ф1)4"/>
      <sheetName val="Смета_3_Гидролог4"/>
      <sheetName val="Записка_СЦБ4"/>
      <sheetName val="РС_4"/>
      <sheetName val="См_3_АСУ3"/>
      <sheetName val="Полигон_-_ИЭИ_3"/>
      <sheetName val="Смета_ТЗ_АСУ-163"/>
      <sheetName val="База_Геодезия3"/>
      <sheetName val="База_Геология3"/>
      <sheetName val="База_Геофизика3"/>
      <sheetName val="4_1_13"/>
      <sheetName val="исп_1_1_13"/>
      <sheetName val="База_Гидро3"/>
      <sheetName val="4_2_13"/>
      <sheetName val="исп_1_1_23"/>
      <sheetName val="Исп__смета_этап_1_1,_1_23"/>
      <sheetName val="Бл_электр_3"/>
      <sheetName val="лч_и_кам3"/>
      <sheetName val="ТЗ_АСУ-13"/>
      <sheetName val="ИД_СМР3"/>
      <sheetName val="Вспом_3"/>
      <sheetName val="2_Геология3"/>
      <sheetName val="Объем_работ3"/>
      <sheetName val="Виды_работ_АСО3"/>
      <sheetName val="ФОТ_для_смет3"/>
      <sheetName val="КБК_ДПК3"/>
      <sheetName val="ЕТС_(ф)3"/>
      <sheetName val="таблица_руко_4"/>
      <sheetName val="Исх__данные2"/>
      <sheetName val="Main_list2"/>
      <sheetName val="ПД-2_22"/>
      <sheetName val="1_142"/>
      <sheetName val="1_72"/>
      <sheetName val="кап_ремонт"/>
      <sheetName val="СВ_2"/>
      <sheetName val="1_2_"/>
      <sheetName val="РАСПРЕД_ПО_ПРОЦЕСС"/>
      <sheetName val="Приложение_2"/>
      <sheetName val="Исх_"/>
      <sheetName val="Ограничения_шаблон"/>
      <sheetName val="Причины_отклонений"/>
      <sheetName val="Статус_работы"/>
      <sheetName val="Уровень_графика"/>
      <sheetName val="ИД_ПНР"/>
      <sheetName val="Технический_лист"/>
      <sheetName val="анализ_2003_2004исполнение_МТО"/>
      <sheetName val="эл_химз_7"/>
      <sheetName val="геология_7"/>
      <sheetName val="6_147"/>
      <sheetName val="6_3_17"/>
      <sheetName val="6_207"/>
      <sheetName val="6_4_17"/>
      <sheetName val="6_11_1__сторонние7"/>
      <sheetName val="8_14_КР_(списание)ОПСТИКР7"/>
      <sheetName val="6_14_КР6"/>
      <sheetName val="Данные_для_расчёта_сметы6"/>
      <sheetName val="Текущие_цены6"/>
      <sheetName val="свод_26"/>
      <sheetName val="к_84-к_836"/>
      <sheetName val="отчет_эл_эн__20006"/>
      <sheetName val="Зап-3-_СЦБ6"/>
      <sheetName val="Пример_расчета6"/>
      <sheetName val="СметаСводная_Рыб6"/>
      <sheetName val="Коэфф1_6"/>
      <sheetName val="КП_(2)5"/>
      <sheetName val="6_35"/>
      <sheetName val="6_75"/>
      <sheetName val="6_3_1_35"/>
      <sheetName val="свод_35"/>
      <sheetName val="Смета2_проект__раб_6"/>
      <sheetName val="Смета_16"/>
      <sheetName val="СМЕТА_проект5"/>
      <sheetName val="Production_and_Spend5"/>
      <sheetName val="Прайс_лист6"/>
      <sheetName val="1_35"/>
      <sheetName val="К_рын5"/>
      <sheetName val="Сводная_смета5"/>
      <sheetName val="См_1_наруж_водопровод6"/>
      <sheetName val="Разработка_проекта6"/>
      <sheetName val="КП_НовоКов6"/>
      <sheetName val="СметаСводная_1_оч6"/>
      <sheetName val="Переменные_и_константы5"/>
      <sheetName val="свод_(2)5"/>
      <sheetName val="Калплан_ОИ2_Макм_крестики5"/>
      <sheetName val="СметаСводная_павильон5"/>
      <sheetName val="Св__смета5"/>
      <sheetName val="РБС_ИЗМ15"/>
      <sheetName val="СметаСводная_снег5"/>
      <sheetName val="Лист_опроса5"/>
      <sheetName val="Исполнение__освоение_по_закупк5"/>
      <sheetName val="Исполнение_для_Ускова5"/>
      <sheetName val="Выборка_по_отсыпкам5"/>
      <sheetName val="ИП__отсыпки_5"/>
      <sheetName val="ИП__отсыпки_ФОТ_диз_т_5"/>
      <sheetName val="ИП__отсыпки___выборка_5"/>
      <sheetName val="Исполнение_по_оборуд_5"/>
      <sheetName val="Исполнение_по_оборуд___2_5"/>
      <sheetName val="Исполнение_сжато5"/>
      <sheetName val="Форма_для_бурения5"/>
      <sheetName val="Форма_для_КС5"/>
      <sheetName val="Форма_для_ГР5"/>
      <sheetName val="Смета_1свод5"/>
      <sheetName val="таблица_руководству5"/>
      <sheetName val="Суточная_добыча_за_неделю5"/>
      <sheetName val="Прибыль_опл5"/>
      <sheetName val="№5_СУБ_Инж_защ5"/>
      <sheetName val="HP_и_оргтехника5"/>
      <sheetName val="Таблица_25"/>
      <sheetName val="Таблица_4_АСУТП5"/>
      <sheetName val="ст_ГТМ5"/>
      <sheetName val="ПДР_ООО_&quot;Юкос_ФБЦ&quot;5"/>
      <sheetName val="исходные_данные5"/>
      <sheetName val="расчетные_таблицы5"/>
      <sheetName val="Амур_ДОН5"/>
      <sheetName val="кп_ГК5"/>
      <sheetName val="Справочные_данные5"/>
      <sheetName val="Б_Сатка5"/>
      <sheetName val="справ_6"/>
      <sheetName val="Перечень_ИУ5"/>
      <sheetName val="3_1_ТХ5"/>
      <sheetName val="СметаСводная_Колпино5"/>
      <sheetName val="3_55"/>
      <sheetName val="суб_подряд6"/>
      <sheetName val="ПСБ_-_ОЭ6"/>
      <sheetName val="Смета_25"/>
      <sheetName val="Ачинский_НПЗ5"/>
      <sheetName val="См3_СЦБ-зап5"/>
      <sheetName val="Хаттон_90_90_Femco5"/>
      <sheetName val="свод_общ5"/>
      <sheetName val="Смета_5_2__Кусты25,29,31,655"/>
      <sheetName val="смета_СИД5"/>
      <sheetName val="ресурсная_вед_5"/>
      <sheetName val="р_Волхов5"/>
      <sheetName val="КП_к_ГК5"/>
      <sheetName val="изыскания_25"/>
      <sheetName val="Калплан_Кра5"/>
      <sheetName val="6_11_новый5"/>
      <sheetName val="Opex_personnel_(Term_facs)5"/>
      <sheetName val="Капитальные_затраты5"/>
      <sheetName val="3_15"/>
      <sheetName val="Коммерческие_расходы5"/>
      <sheetName val="СС_замеч_с_ответами5"/>
      <sheetName val="УП__20045"/>
      <sheetName val="в_работу5"/>
      <sheetName val="3_25"/>
      <sheetName val="3_35"/>
      <sheetName val="Р2_15"/>
      <sheetName val="Р2_25"/>
      <sheetName val="Удельные(проф_)5"/>
      <sheetName val="Константы_и_результаты5"/>
      <sheetName val="расчет_№35"/>
      <sheetName val="20_Кредиты_краткосрочные5"/>
      <sheetName val="Перечень_Заказчиков5"/>
      <sheetName val="2_2_5"/>
      <sheetName val="КП_к_снег_Рыбинская5"/>
      <sheetName val="Общая_часть4"/>
      <sheetName val="Табл_55"/>
      <sheetName val="Табл_25"/>
      <sheetName val="См_№3_ОПР4"/>
      <sheetName val="см_№6_АВЗУ_и_ГПЗУ4"/>
      <sheetName val="Input_Assumptions4"/>
      <sheetName val="см_№1_1_Геодезические_работы_4"/>
      <sheetName val="см_№1_4_Экология_4"/>
      <sheetName val="АСУ_ТП_1_этап_ПД4"/>
      <sheetName val="Расчет_курса4"/>
      <sheetName val="Source_lists4"/>
      <sheetName val="Курс_доллара4"/>
      <sheetName val="Календарь_новый4"/>
      <sheetName val="Смета_№_1_ИИ_линия4"/>
      <sheetName val="Дополнительные_параметры4"/>
      <sheetName val="Свод_объем4"/>
      <sheetName val="Дог_цена4"/>
      <sheetName val="выборка_на22_июня4"/>
      <sheetName val="3труба_(П)4"/>
      <sheetName val="Объемы_работ_по_ПВ4"/>
      <sheetName val="Таблица_54"/>
      <sheetName val="Таблица_34"/>
      <sheetName val="1_401_24"/>
      <sheetName val="PO_Data4"/>
      <sheetName val="Раб_АУ4"/>
      <sheetName val="р_Нева5"/>
      <sheetName val="р_Молога5"/>
      <sheetName val="18_рек_Ю-Х5"/>
      <sheetName val="нпс_Палкино5"/>
      <sheetName val="Россия_-_Китай5"/>
      <sheetName val="КМ_210-2385"/>
      <sheetName val="БТС-2_км_405-4595"/>
      <sheetName val="БТС-2_км_405-4535"/>
      <sheetName val="БТС-2_км_313-3525"/>
      <sheetName val="БТС-2_км326-3525"/>
      <sheetName val="Улейма_И5"/>
      <sheetName val="Белая_УБКА5"/>
      <sheetName val="км_72-75р_Левоннька5"/>
      <sheetName val="киенгоп-н_Челны_км_104-2065"/>
      <sheetName val="ВЛ_Урдома5"/>
      <sheetName val="Вл_Микунь_Урдома5"/>
      <sheetName val="ВЛ_Синдор-Микунь5"/>
      <sheetName val="Тон_Чермасан5"/>
      <sheetName val="Трасса_км_16-1475"/>
      <sheetName val="трасса_0-765"/>
      <sheetName val="Колва_785"/>
      <sheetName val="Гидрология__р_Колва_км_385"/>
      <sheetName val="ПСП_5"/>
      <sheetName val="Новая_сводка_(до_бюджета)_(2)6"/>
      <sheetName val="Что_пришло6"/>
      <sheetName val="влад-таблица_(2)6"/>
      <sheetName val="Новая_сводка_(до_бюджета)6"/>
      <sheetName val="Новая_сводка6"/>
      <sheetName val="Общие_расходы6"/>
      <sheetName val="Новая_сводка_(по_бюджету)6"/>
      <sheetName val="Íîâàÿ_ñâîäêà_(äî_áþäæåòà)_(2)6"/>
      <sheetName val="×òî_ïðèøëî6"/>
      <sheetName val="âëàä-òàáëèöà_(2)6"/>
      <sheetName val="Íîâàÿ_ñâîäêà_(äî_áþäæåòà)6"/>
      <sheetName val="Íîâàÿ_ñâîäêà6"/>
      <sheetName val="Îáùèå_ðàñõîäû6"/>
      <sheetName val="Íîâàÿ_ñâîäêà_(ïî_áþäæåòó)6"/>
      <sheetName val="6_10_16"/>
      <sheetName val="6_7_3_ТН6"/>
      <sheetName val="6_17"/>
      <sheetName val="6_52-свод5"/>
      <sheetName val="ДДС_(Форма_№3)4"/>
      <sheetName val="Сводная_4"/>
      <sheetName val="7_ТХ_Сети_(кор)4"/>
      <sheetName val="Tier_3112084"/>
      <sheetName val="Акт_выбора4"/>
      <sheetName val="См_№7_Эл_4"/>
      <sheetName val="См_№8_Пож_4"/>
      <sheetName val="См_№3_ВиК4"/>
      <sheetName val="Сметы_за_сопровождение4"/>
      <sheetName val="Промер_глуб2"/>
      <sheetName val="исключ_ЭХЗ2"/>
      <sheetName val="_Свод"/>
      <sheetName val="аванс_по_ОС"/>
      <sheetName val="Авансы_выданные"/>
      <sheetName val="Кред__задолж_"/>
      <sheetName val="Договорная_цена"/>
      <sheetName val="№2Гидромет_"/>
      <sheetName val="№2Геолог_с_п_"/>
      <sheetName val="№3Экологи_(2этап)"/>
      <sheetName val="3_Сл_-структура_затрат"/>
      <sheetName val="ПС_110_кВ_(доп)"/>
      <sheetName val="ПД-2_1"/>
      <sheetName val="Смета_7"/>
      <sheetName val="Прил_5_СС"/>
      <sheetName val="расчет_вязкости"/>
      <sheetName val="Сравнение_с_Finder_-_ДНС-5"/>
      <sheetName val="эл_химз_8"/>
      <sheetName val="геология_8"/>
      <sheetName val="6_148"/>
      <sheetName val="6_3_18"/>
      <sheetName val="6_208"/>
      <sheetName val="6_4_18"/>
      <sheetName val="6_11_1__сторонние8"/>
      <sheetName val="8_14_КР_(списание)ОПСТИКР8"/>
      <sheetName val="Данные_для_расчёта_сметы7"/>
      <sheetName val="6_14_КР7"/>
      <sheetName val="Текущие_цены7"/>
      <sheetName val="отчет_эл_эн__20007"/>
      <sheetName val="к_84-к_837"/>
      <sheetName val="свод_27"/>
      <sheetName val="Зап-3-_СЦБ7"/>
      <sheetName val="Пример_расчета7"/>
      <sheetName val="СметаСводная_Рыб7"/>
      <sheetName val="13_16"/>
      <sheetName val="Коэфф1_7"/>
      <sheetName val="КП_(2)6"/>
      <sheetName val="6_36"/>
      <sheetName val="6_76"/>
      <sheetName val="6_3_1_36"/>
      <sheetName val="свод_36"/>
      <sheetName val="Opex_personnel_(Term_facs)6"/>
      <sheetName val="Смета2_проект__раб_7"/>
      <sheetName val="Смета_17"/>
      <sheetName val="СМЕТА_проект6"/>
      <sheetName val="Production_and_Spend6"/>
      <sheetName val="Прайс_лист7"/>
      <sheetName val="1_36"/>
      <sheetName val="К_рын6"/>
      <sheetName val="Сводная_смета6"/>
      <sheetName val="См_1_наруж_водопровод7"/>
      <sheetName val="Разработка_проекта7"/>
      <sheetName val="КП_НовоКов7"/>
      <sheetName val="СметаСводная_1_оч7"/>
      <sheetName val="Переменные_и_константы6"/>
      <sheetName val="свод_(2)6"/>
      <sheetName val="Калплан_ОИ2_Макм_крестики6"/>
      <sheetName val="СметаСводная_павильон6"/>
      <sheetName val="Св__смета6"/>
      <sheetName val="РБС_ИЗМ16"/>
      <sheetName val="СметаСводная_снег6"/>
      <sheetName val="Лист_опроса6"/>
      <sheetName val="Исполнение__освоение_по_закупк6"/>
      <sheetName val="Исполнение_для_Ускова6"/>
      <sheetName val="Выборка_по_отсыпкам6"/>
      <sheetName val="ИП__отсыпки_6"/>
      <sheetName val="ИП__отсыпки_ФОТ_диз_т_6"/>
      <sheetName val="ИП__отсыпки___выборка_6"/>
      <sheetName val="Исполнение_по_оборуд_6"/>
      <sheetName val="Исполнение_по_оборуд___2_6"/>
      <sheetName val="Исполнение_сжато6"/>
      <sheetName val="Форма_для_бурения6"/>
      <sheetName val="Форма_для_КС6"/>
      <sheetName val="Форма_для_ГР6"/>
      <sheetName val="Смета_1свод6"/>
      <sheetName val="таблица_руководству6"/>
      <sheetName val="Суточная_добыча_за_неделю6"/>
      <sheetName val="Прибыль_опл6"/>
      <sheetName val="№5_СУБ_Инж_защ6"/>
      <sheetName val="HP_и_оргтехника6"/>
      <sheetName val="Таблица_26"/>
      <sheetName val="Таблица_4_АСУТП6"/>
      <sheetName val="ст_ГТМ6"/>
      <sheetName val="ПДР_ООО_&quot;Юкос_ФБЦ&quot;6"/>
      <sheetName val="исходные_данные6"/>
      <sheetName val="расчетные_таблицы6"/>
      <sheetName val="Амур_ДОН6"/>
      <sheetName val="кп_ГК6"/>
      <sheetName val="Справочные_данные6"/>
      <sheetName val="Б_Сатка6"/>
      <sheetName val="справ_7"/>
      <sheetName val="Перечень_ИУ6"/>
      <sheetName val="3_1_ТХ6"/>
      <sheetName val="СметаСводная_Колпино6"/>
      <sheetName val="3_56"/>
      <sheetName val="суб_подряд7"/>
      <sheetName val="ПСБ_-_ОЭ7"/>
      <sheetName val="Смета_26"/>
      <sheetName val="Ачинский_НПЗ6"/>
      <sheetName val="См3_СЦБ-зап6"/>
      <sheetName val="Хаттон_90_90_Femco6"/>
      <sheetName val="свод_общ6"/>
      <sheetName val="Смета_5_2__Кусты25,29,31,656"/>
      <sheetName val="смета_СИД6"/>
      <sheetName val="ресурсная_вед_6"/>
      <sheetName val="р_Волхов6"/>
      <sheetName val="КП_к_ГК6"/>
      <sheetName val="изыскания_26"/>
      <sheetName val="Калплан_Кра6"/>
      <sheetName val="6_11_новый6"/>
      <sheetName val="Капитальные_затраты6"/>
      <sheetName val="Пояснение_5"/>
      <sheetName val="3_16"/>
      <sheetName val="Коммерческие_расходы6"/>
      <sheetName val="смета_2_проект__работы5"/>
      <sheetName val="СС_замеч_с_ответами6"/>
      <sheetName val="УП__20046"/>
      <sheetName val="в_работу6"/>
      <sheetName val="3_26"/>
      <sheetName val="3_36"/>
      <sheetName val="Р2_16"/>
      <sheetName val="Р2_26"/>
      <sheetName val="Удельные(проф_)6"/>
      <sheetName val="Константы_и_результаты6"/>
      <sheetName val="расчет_№36"/>
      <sheetName val="20_Кредиты_краткосрочные6"/>
      <sheetName val="Перечень_Заказчиков6"/>
      <sheetName val="2_2_6"/>
      <sheetName val="СтрЗапасов_(2)5"/>
      <sheetName val="PwC_Copies_from_old_models_--&gt;5"/>
      <sheetName val="Сравнение_ДПН_факт_06-075"/>
      <sheetName val="НМ_расчеты5"/>
      <sheetName val="КП_к_снег_Рыбинская6"/>
      <sheetName val="Коэф_КВ5"/>
      <sheetName val="Смета_терзем5"/>
      <sheetName val="Кал_план_Жукова_даты_-_не_надо5"/>
      <sheetName val="матер_5"/>
      <sheetName val="КП_Прим_(3)5"/>
      <sheetName val="кп_(3)5"/>
      <sheetName val="фонтан_разбитый25"/>
      <sheetName val="Баланс_(Ф1)5"/>
      <sheetName val="Смета_3_Гидролог5"/>
      <sheetName val="Записка_СЦБ5"/>
      <sheetName val="РС_5"/>
      <sheetName val="Общая_часть5"/>
      <sheetName val="Табл_56"/>
      <sheetName val="Табл_26"/>
      <sheetName val="См_№3_ОПР5"/>
      <sheetName val="см_№6_АВЗУ_и_ГПЗУ5"/>
      <sheetName val="Input_Assumptions5"/>
      <sheetName val="см_№1_1_Геодезические_работы_5"/>
      <sheetName val="см_№1_4_Экология_5"/>
      <sheetName val="АСУ_ТП_1_этап_ПД5"/>
      <sheetName val="Расчет_курса5"/>
      <sheetName val="Source_lists5"/>
      <sheetName val="Курс_доллара5"/>
      <sheetName val="Календарь_новый5"/>
      <sheetName val="Смета_№_1_ИИ_линия5"/>
      <sheetName val="Дополнительные_параметры5"/>
      <sheetName val="Свод_объем5"/>
      <sheetName val="Дог_цена5"/>
      <sheetName val="выборка_на22_июня5"/>
      <sheetName val="3труба_(П)5"/>
      <sheetName val="Объемы_работ_по_ПВ5"/>
      <sheetName val="Таблица_55"/>
      <sheetName val="Таблица_35"/>
      <sheetName val="1_401_25"/>
      <sheetName val="PO_Data5"/>
      <sheetName val="Раб_АУ5"/>
      <sheetName val="р_Нева6"/>
      <sheetName val="р_Молога6"/>
      <sheetName val="18_рек_Ю-Х6"/>
      <sheetName val="нпс_Палкино6"/>
      <sheetName val="Россия_-_Китай6"/>
      <sheetName val="КМ_210-2386"/>
      <sheetName val="БТС-2_км_405-4596"/>
      <sheetName val="БТС-2_км_405-4536"/>
      <sheetName val="БТС-2_км_313-3526"/>
      <sheetName val="БТС-2_км326-3526"/>
      <sheetName val="Улейма_И6"/>
      <sheetName val="Белая_УБКА6"/>
      <sheetName val="км_72-75р_Левоннька6"/>
      <sheetName val="киенгоп-н_Челны_км_104-2066"/>
      <sheetName val="ВЛ_Урдома6"/>
      <sheetName val="Вл_Микунь_Урдома6"/>
      <sheetName val="ВЛ_Синдор-Микунь6"/>
      <sheetName val="Тон_Чермасан6"/>
      <sheetName val="Трасса_км_16-1476"/>
      <sheetName val="трасса_0-766"/>
      <sheetName val="Колва_786"/>
      <sheetName val="Гидрология__р_Колва_км_386"/>
      <sheetName val="ПСП_6"/>
      <sheetName val="Новая_сводка_(до_бюджета)_(2)7"/>
      <sheetName val="Что_пришло7"/>
      <sheetName val="влад-таблица_(2)7"/>
      <sheetName val="Новая_сводка_(до_бюджета)7"/>
      <sheetName val="Новая_сводка7"/>
      <sheetName val="Общие_расходы7"/>
      <sheetName val="Новая_сводка_(по_бюджету)7"/>
      <sheetName val="Íîâàÿ_ñâîäêà_(äî_áþäæåòà)_(2)7"/>
      <sheetName val="×òî_ïðèøëî7"/>
      <sheetName val="âëàä-òàáëèöà_(2)7"/>
      <sheetName val="Íîâàÿ_ñâîäêà_(äî_áþäæåòà)7"/>
      <sheetName val="Íîâàÿ_ñâîäêà7"/>
      <sheetName val="Îáùèå_ðàñõîäû7"/>
      <sheetName val="Íîâàÿ_ñâîäêà_(ïî_áþäæåòó)7"/>
      <sheetName val="6_10_17"/>
      <sheetName val="6_7_3_ТН7"/>
      <sheetName val="6_18"/>
      <sheetName val="6_52-свод6"/>
      <sheetName val="ДДС_(Форма_№3)5"/>
      <sheetName val="Сводная_5"/>
      <sheetName val="7_ТХ_Сети_(кор)5"/>
      <sheetName val="Tier_3112085"/>
      <sheetName val="Акт_выбора5"/>
      <sheetName val="См_№7_Эл_5"/>
      <sheetName val="См_№8_Пож_5"/>
      <sheetName val="См_№3_ВиК5"/>
      <sheetName val="Сметы_за_сопровождение5"/>
      <sheetName val="См_3_АСУ4"/>
      <sheetName val="Полигон_-_ИЭИ_4"/>
      <sheetName val="Смета_ТЗ_АСУ-164"/>
      <sheetName val="База_Геодезия4"/>
      <sheetName val="База_Геология4"/>
      <sheetName val="База_Геофизика4"/>
      <sheetName val="4_1_14"/>
      <sheetName val="исп_1_1_14"/>
      <sheetName val="База_Гидро4"/>
      <sheetName val="4_2_14"/>
      <sheetName val="исп_1_1_24"/>
      <sheetName val="Исп__смета_этап_1_1,_1_24"/>
      <sheetName val="Промер_глуб3"/>
      <sheetName val="Main_list3"/>
      <sheetName val="ПД-2_23"/>
      <sheetName val="1_143"/>
      <sheetName val="1_73"/>
      <sheetName val="Исх__данные3"/>
      <sheetName val="эл_химз_10"/>
      <sheetName val="геология_10"/>
      <sheetName val="6_1410"/>
      <sheetName val="6_3_110"/>
      <sheetName val="6_2010"/>
      <sheetName val="6_4_110"/>
      <sheetName val="6_11_1__сторонние10"/>
      <sheetName val="8_14_КР_(списание)ОПСТИКР10"/>
      <sheetName val="6_14_КР9"/>
      <sheetName val="Данные_для_расчёта_сметы9"/>
      <sheetName val="Текущие_цены9"/>
      <sheetName val="свод_29"/>
      <sheetName val="к_84-к_839"/>
      <sheetName val="отчет_эл_эн__20009"/>
      <sheetName val="Зап-3-_СЦБ9"/>
      <sheetName val="Пример_расчета9"/>
      <sheetName val="СметаСводная_Рыб9"/>
      <sheetName val="13_18"/>
      <sheetName val="Коэфф1_9"/>
      <sheetName val="КП_(2)8"/>
      <sheetName val="6_38"/>
      <sheetName val="6_78"/>
      <sheetName val="6_3_1_38"/>
      <sheetName val="свод_38"/>
      <sheetName val="Смета2_проект__раб_9"/>
      <sheetName val="Смета_19"/>
      <sheetName val="СМЕТА_проект8"/>
      <sheetName val="Production_and_Spend8"/>
      <sheetName val="Прайс_лист9"/>
      <sheetName val="1_38"/>
      <sheetName val="К_рын8"/>
      <sheetName val="Сводная_смета8"/>
      <sheetName val="См_1_наруж_водопровод9"/>
      <sheetName val="Разработка_проекта9"/>
      <sheetName val="КП_НовоКов9"/>
      <sheetName val="СметаСводная_1_оч9"/>
      <sheetName val="Переменные_и_константы8"/>
      <sheetName val="свод_(2)8"/>
      <sheetName val="Калплан_ОИ2_Макм_крестики8"/>
      <sheetName val="СметаСводная_павильон8"/>
      <sheetName val="Св__смета8"/>
      <sheetName val="РБС_ИЗМ18"/>
      <sheetName val="СметаСводная_снег8"/>
      <sheetName val="Лист_опроса8"/>
      <sheetName val="Исполнение__освоение_по_закупк8"/>
      <sheetName val="Исполнение_для_Ускова8"/>
      <sheetName val="Выборка_по_отсыпкам8"/>
      <sheetName val="ИП__отсыпки_8"/>
      <sheetName val="ИП__отсыпки_ФОТ_диз_т_8"/>
      <sheetName val="ИП__отсыпки___выборка_8"/>
      <sheetName val="Исполнение_по_оборуд_8"/>
      <sheetName val="Исполнение_по_оборуд___2_8"/>
      <sheetName val="Исполнение_сжато8"/>
      <sheetName val="Форма_для_бурения8"/>
      <sheetName val="Форма_для_КС8"/>
      <sheetName val="Форма_для_ГР8"/>
      <sheetName val="Смета_1свод8"/>
      <sheetName val="таблица_руководству8"/>
      <sheetName val="Суточная_добыча_за_неделю8"/>
      <sheetName val="Прибыль_опл8"/>
      <sheetName val="№5_СУБ_Инж_защ8"/>
      <sheetName val="HP_и_оргтехника8"/>
      <sheetName val="Таблица_28"/>
      <sheetName val="Таблица_4_АСУТП8"/>
      <sheetName val="ст_ГТМ8"/>
      <sheetName val="ПДР_ООО_&quot;Юкос_ФБЦ&quot;8"/>
      <sheetName val="исходные_данные8"/>
      <sheetName val="расчетные_таблицы8"/>
      <sheetName val="Амур_ДОН8"/>
      <sheetName val="кп_ГК8"/>
      <sheetName val="Справочные_данные8"/>
      <sheetName val="Б_Сатка8"/>
      <sheetName val="справ_9"/>
      <sheetName val="Перечень_ИУ8"/>
      <sheetName val="3_1_ТХ8"/>
      <sheetName val="СметаСводная_Колпино8"/>
      <sheetName val="3_58"/>
      <sheetName val="суб_подряд9"/>
      <sheetName val="ПСБ_-_ОЭ9"/>
      <sheetName val="Смета_28"/>
      <sheetName val="Ачинский_НПЗ8"/>
      <sheetName val="См3_СЦБ-зап8"/>
      <sheetName val="Хаттон_90_90_Femco8"/>
      <sheetName val="свод_общ8"/>
      <sheetName val="Смета_5_2__Кусты25,29,31,658"/>
      <sheetName val="смета_СИД8"/>
      <sheetName val="ресурсная_вед_8"/>
      <sheetName val="р_Волхов8"/>
      <sheetName val="КП_к_ГК8"/>
      <sheetName val="изыскания_28"/>
      <sheetName val="Калплан_Кра8"/>
      <sheetName val="6_11_новый8"/>
      <sheetName val="Opex_personnel_(Term_facs)8"/>
      <sheetName val="Капитальные_затраты8"/>
      <sheetName val="Пояснение_7"/>
      <sheetName val="3_18"/>
      <sheetName val="Коммерческие_расходы8"/>
      <sheetName val="смета_2_проект__работы7"/>
      <sheetName val="СС_замеч_с_ответами8"/>
      <sheetName val="УП__20048"/>
      <sheetName val="в_работу8"/>
      <sheetName val="3_28"/>
      <sheetName val="3_38"/>
      <sheetName val="Р2_18"/>
      <sheetName val="Р2_28"/>
      <sheetName val="Удельные(проф_)8"/>
      <sheetName val="Константы_и_результаты8"/>
      <sheetName val="расчет_№38"/>
      <sheetName val="20_Кредиты_краткосрочные8"/>
      <sheetName val="Перечень_Заказчиков8"/>
      <sheetName val="2_2_8"/>
      <sheetName val="СтрЗапасов_(2)7"/>
      <sheetName val="PwC_Copies_from_old_models_--&gt;7"/>
      <sheetName val="Сравнение_ДПН_факт_06-077"/>
      <sheetName val="НМ_расчеты7"/>
      <sheetName val="КП_к_снег_Рыбинская8"/>
      <sheetName val="Коэф_КВ7"/>
      <sheetName val="Смета_терзем7"/>
      <sheetName val="Кал_план_Жукова_даты_-_не_надо7"/>
      <sheetName val="матер_7"/>
      <sheetName val="КП_Прим_(3)7"/>
      <sheetName val="кп_(3)7"/>
      <sheetName val="фонтан_разбитый27"/>
      <sheetName val="Баланс_(Ф1)7"/>
      <sheetName val="Смета_3_Гидролог7"/>
      <sheetName val="Записка_СЦБ7"/>
      <sheetName val="РС_7"/>
      <sheetName val="Общая_часть7"/>
      <sheetName val="Табл_58"/>
      <sheetName val="Табл_28"/>
      <sheetName val="См_№3_ОПР7"/>
      <sheetName val="см_№6_АВЗУ_и_ГПЗУ7"/>
      <sheetName val="Input_Assumptions7"/>
      <sheetName val="см_№1_1_Геодезические_работы_7"/>
      <sheetName val="см_№1_4_Экология_7"/>
      <sheetName val="АСУ_ТП_1_этап_ПД7"/>
      <sheetName val="Расчет_курса7"/>
      <sheetName val="Source_lists7"/>
      <sheetName val="Курс_доллара7"/>
      <sheetName val="Календарь_новый7"/>
      <sheetName val="Смета_№_1_ИИ_линия7"/>
      <sheetName val="Дополнительные_параметры7"/>
      <sheetName val="Свод_объем7"/>
      <sheetName val="Дог_цена7"/>
      <sheetName val="выборка_на22_июня7"/>
      <sheetName val="3труба_(П)7"/>
      <sheetName val="Объемы_работ_по_ПВ7"/>
      <sheetName val="Таблица_57"/>
      <sheetName val="Таблица_37"/>
      <sheetName val="1_401_27"/>
      <sheetName val="PO_Data7"/>
      <sheetName val="Раб_АУ7"/>
      <sheetName val="р_Нева8"/>
      <sheetName val="р_Молога8"/>
      <sheetName val="18_рек_Ю-Х8"/>
      <sheetName val="нпс_Палкино8"/>
      <sheetName val="Россия_-_Китай8"/>
      <sheetName val="КМ_210-2388"/>
      <sheetName val="БТС-2_км_405-4598"/>
      <sheetName val="БТС-2_км_405-4538"/>
      <sheetName val="БТС-2_км_313-3528"/>
      <sheetName val="БТС-2_км326-3528"/>
      <sheetName val="Улейма_И8"/>
      <sheetName val="Белая_УБКА8"/>
      <sheetName val="км_72-75р_Левоннька8"/>
      <sheetName val="киенгоп-н_Челны_км_104-2068"/>
      <sheetName val="ВЛ_Урдома8"/>
      <sheetName val="Вл_Микунь_Урдома8"/>
      <sheetName val="ВЛ_Синдор-Микунь8"/>
      <sheetName val="Тон_Чермасан8"/>
      <sheetName val="Трасса_км_16-1478"/>
      <sheetName val="трасса_0-768"/>
      <sheetName val="Колва_788"/>
      <sheetName val="Гидрология__р_Колва_км_388"/>
      <sheetName val="ПСП_8"/>
      <sheetName val="Новая_сводка_(до_бюджета)_(2)9"/>
      <sheetName val="Что_пришло9"/>
      <sheetName val="влад-таблица_(2)9"/>
      <sheetName val="Новая_сводка_(до_бюджета)9"/>
      <sheetName val="Новая_сводка9"/>
      <sheetName val="Общие_расходы9"/>
      <sheetName val="Новая_сводка_(по_бюджету)9"/>
      <sheetName val="Íîâàÿ_ñâîäêà_(äî_áþäæåòà)_(2)9"/>
      <sheetName val="×òî_ïðèøëî9"/>
      <sheetName val="âëàä-òàáëèöà_(2)9"/>
      <sheetName val="Íîâàÿ_ñâîäêà_(äî_áþäæåòà)9"/>
      <sheetName val="Íîâàÿ_ñâîäêà9"/>
      <sheetName val="Îáùèå_ðàñõîäû9"/>
      <sheetName val="Íîâàÿ_ñâîäêà_(ïî_áþäæåòó)9"/>
      <sheetName val="6_10_19"/>
      <sheetName val="6_7_3_ТН9"/>
      <sheetName val="6_110"/>
      <sheetName val="6_52-свод8"/>
      <sheetName val="ДДС_(Форма_№3)7"/>
      <sheetName val="Сводная_7"/>
      <sheetName val="7_ТХ_Сети_(кор)7"/>
      <sheetName val="Tier_3112087"/>
      <sheetName val="Акт_выбора7"/>
      <sheetName val="См_№7_Эл_7"/>
      <sheetName val="См_№8_Пож_7"/>
      <sheetName val="См_№3_ВиК7"/>
      <sheetName val="Сметы_за_сопровождение7"/>
      <sheetName val="См_3_АСУ6"/>
      <sheetName val="Полигон_-_ИЭИ_6"/>
      <sheetName val="Смета_ТЗ_АСУ-166"/>
      <sheetName val="База_Геодезия6"/>
      <sheetName val="База_Геология6"/>
      <sheetName val="База_Геофизика6"/>
      <sheetName val="4_1_16"/>
      <sheetName val="исп_1_1_16"/>
      <sheetName val="База_Гидро6"/>
      <sheetName val="4_2_16"/>
      <sheetName val="исп_1_1_26"/>
      <sheetName val="Исп__смета_этап_1_1,_1_26"/>
      <sheetName val="Бл_электр_5"/>
      <sheetName val="лч_и_кам5"/>
      <sheetName val="Промер_глуб5"/>
      <sheetName val="КБК_ДПК5"/>
      <sheetName val="ТЗ_АСУ-15"/>
      <sheetName val="2_Геология5"/>
      <sheetName val="Объем_работ5"/>
      <sheetName val="Виды_работ_АСО5"/>
      <sheetName val="таблица_руко_6"/>
      <sheetName val="ИД_СМР5"/>
      <sheetName val="ФОТ_для_смет5"/>
      <sheetName val="Вспом_5"/>
      <sheetName val="ЕТС_(ф)5"/>
      <sheetName val="Main_list5"/>
      <sheetName val="ПД-2_25"/>
      <sheetName val="1_145"/>
      <sheetName val="1_75"/>
      <sheetName val="Исх__данные5"/>
      <sheetName val="исключ_ЭХЗ4"/>
      <sheetName val="эл_химз_9"/>
      <sheetName val="геология_9"/>
      <sheetName val="6_149"/>
      <sheetName val="6_3_19"/>
      <sheetName val="6_209"/>
      <sheetName val="6_4_19"/>
      <sheetName val="6_11_1__сторонние9"/>
      <sheetName val="8_14_КР_(списание)ОПСТИКР9"/>
      <sheetName val="6_14_КР8"/>
      <sheetName val="Данные_для_расчёта_сметы8"/>
      <sheetName val="Текущие_цены8"/>
      <sheetName val="свод_28"/>
      <sheetName val="к_84-к_838"/>
      <sheetName val="отчет_эл_эн__20008"/>
      <sheetName val="Зап-3-_СЦБ8"/>
      <sheetName val="Пример_расчета8"/>
      <sheetName val="СметаСводная_Рыб8"/>
      <sheetName val="13_17"/>
      <sheetName val="Коэфф1_8"/>
      <sheetName val="КП_(2)7"/>
      <sheetName val="6_37"/>
      <sheetName val="6_77"/>
      <sheetName val="6_3_1_37"/>
      <sheetName val="свод_37"/>
      <sheetName val="Смета2_проект__раб_8"/>
      <sheetName val="Смета_18"/>
      <sheetName val="СМЕТА_проект7"/>
      <sheetName val="Production_and_Spend7"/>
      <sheetName val="Прайс_лист8"/>
      <sheetName val="1_37"/>
      <sheetName val="К_рын7"/>
      <sheetName val="Сводная_смета7"/>
      <sheetName val="См_1_наруж_водопровод8"/>
      <sheetName val="Разработка_проекта8"/>
      <sheetName val="КП_НовоКов8"/>
      <sheetName val="СметаСводная_1_оч8"/>
      <sheetName val="Переменные_и_константы7"/>
      <sheetName val="свод_(2)7"/>
      <sheetName val="Калплан_ОИ2_Макм_крестики7"/>
      <sheetName val="СметаСводная_павильон7"/>
      <sheetName val="Св__смета7"/>
      <sheetName val="РБС_ИЗМ17"/>
      <sheetName val="СметаСводная_снег7"/>
      <sheetName val="Лист_опроса7"/>
      <sheetName val="Исполнение__освоение_по_закупк7"/>
      <sheetName val="Исполнение_для_Ускова7"/>
      <sheetName val="Выборка_по_отсыпкам7"/>
      <sheetName val="ИП__отсыпки_7"/>
      <sheetName val="ИП__отсыпки_ФОТ_диз_т_7"/>
      <sheetName val="ИП__отсыпки___выборка_7"/>
      <sheetName val="Исполнение_по_оборуд_7"/>
      <sheetName val="Исполнение_по_оборуд___2_7"/>
      <sheetName val="Исполнение_сжато7"/>
      <sheetName val="Форма_для_бурения7"/>
      <sheetName val="Форма_для_КС7"/>
      <sheetName val="Форма_для_ГР7"/>
      <sheetName val="Смета_1свод7"/>
      <sheetName val="таблица_руководству7"/>
      <sheetName val="Суточная_добыча_за_неделю7"/>
      <sheetName val="Прибыль_опл7"/>
      <sheetName val="№5_СУБ_Инж_защ7"/>
      <sheetName val="HP_и_оргтехника7"/>
      <sheetName val="Таблица_27"/>
      <sheetName val="Таблица_4_АСУТП7"/>
      <sheetName val="ст_ГТМ7"/>
      <sheetName val="ПДР_ООО_&quot;Юкос_ФБЦ&quot;7"/>
      <sheetName val="исходные_данные7"/>
      <sheetName val="расчетные_таблицы7"/>
      <sheetName val="Амур_ДОН7"/>
      <sheetName val="кп_ГК7"/>
      <sheetName val="Справочные_данные7"/>
      <sheetName val="Б_Сатка7"/>
      <sheetName val="справ_8"/>
      <sheetName val="Перечень_ИУ7"/>
      <sheetName val="3_1_ТХ7"/>
      <sheetName val="СметаСводная_Колпино7"/>
      <sheetName val="3_57"/>
      <sheetName val="суб_подряд8"/>
      <sheetName val="ПСБ_-_ОЭ8"/>
      <sheetName val="Смета_27"/>
      <sheetName val="Ачинский_НПЗ7"/>
      <sheetName val="См3_СЦБ-зап7"/>
      <sheetName val="Хаттон_90_90_Femco7"/>
      <sheetName val="свод_общ7"/>
      <sheetName val="Смета_5_2__Кусты25,29,31,657"/>
      <sheetName val="смета_СИД7"/>
      <sheetName val="ресурсная_вед_7"/>
      <sheetName val="р_Волхов7"/>
      <sheetName val="КП_к_ГК7"/>
      <sheetName val="изыскания_27"/>
      <sheetName val="Калплан_Кра7"/>
      <sheetName val="6_11_новый7"/>
      <sheetName val="Opex_personnel_(Term_facs)7"/>
      <sheetName val="Капитальные_затраты7"/>
      <sheetName val="Пояснение_6"/>
      <sheetName val="3_17"/>
      <sheetName val="Коммерческие_расходы7"/>
      <sheetName val="смета_2_проект__работы6"/>
      <sheetName val="СС_замеч_с_ответами7"/>
      <sheetName val="УП__20047"/>
      <sheetName val="в_работу7"/>
      <sheetName val="3_27"/>
      <sheetName val="3_37"/>
      <sheetName val="Р2_17"/>
      <sheetName val="Р2_27"/>
      <sheetName val="Удельные(проф_)7"/>
      <sheetName val="Константы_и_результаты7"/>
      <sheetName val="расчет_№37"/>
      <sheetName val="20_Кредиты_краткосрочные7"/>
      <sheetName val="Перечень_Заказчиков7"/>
      <sheetName val="2_2_7"/>
      <sheetName val="СтрЗапасов_(2)6"/>
      <sheetName val="PwC_Copies_from_old_models_--&gt;6"/>
      <sheetName val="Сравнение_ДПН_факт_06-076"/>
      <sheetName val="НМ_расчеты6"/>
      <sheetName val="КП_к_снег_Рыбинская7"/>
      <sheetName val="Коэф_КВ6"/>
      <sheetName val="Смета_терзем6"/>
      <sheetName val="Кал_план_Жукова_даты_-_не_надо6"/>
      <sheetName val="матер_6"/>
      <sheetName val="КП_Прим_(3)6"/>
      <sheetName val="кп_(3)6"/>
      <sheetName val="фонтан_разбитый26"/>
      <sheetName val="Баланс_(Ф1)6"/>
      <sheetName val="Смета_3_Гидролог6"/>
      <sheetName val="Записка_СЦБ6"/>
      <sheetName val="РС_6"/>
      <sheetName val="Общая_часть6"/>
      <sheetName val="Табл_57"/>
      <sheetName val="Табл_27"/>
      <sheetName val="См_№3_ОПР6"/>
      <sheetName val="см_№6_АВЗУ_и_ГПЗУ6"/>
      <sheetName val="Input_Assumptions6"/>
      <sheetName val="см_№1_1_Геодезические_работы_6"/>
      <sheetName val="см_№1_4_Экология_6"/>
      <sheetName val="АСУ_ТП_1_этап_ПД6"/>
      <sheetName val="Расчет_курса6"/>
      <sheetName val="Source_lists6"/>
      <sheetName val="Курс_доллара6"/>
      <sheetName val="Календарь_новый6"/>
      <sheetName val="Смета_№_1_ИИ_линия6"/>
      <sheetName val="Дополнительные_параметры6"/>
      <sheetName val="Свод_объем6"/>
      <sheetName val="Дог_цена6"/>
      <sheetName val="выборка_на22_июня6"/>
      <sheetName val="3труба_(П)6"/>
      <sheetName val="Объемы_работ_по_ПВ6"/>
      <sheetName val="Таблица_56"/>
      <sheetName val="Таблица_36"/>
      <sheetName val="1_401_26"/>
      <sheetName val="PO_Data6"/>
      <sheetName val="Раб_АУ6"/>
      <sheetName val="р_Нева7"/>
      <sheetName val="р_Молога7"/>
      <sheetName val="18_рек_Ю-Х7"/>
      <sheetName val="нпс_Палкино7"/>
      <sheetName val="Россия_-_Китай7"/>
      <sheetName val="КМ_210-2387"/>
      <sheetName val="БТС-2_км_405-4597"/>
      <sheetName val="БТС-2_км_405-4537"/>
      <sheetName val="БТС-2_км_313-3527"/>
      <sheetName val="БТС-2_км326-3527"/>
      <sheetName val="Улейма_И7"/>
      <sheetName val="Белая_УБКА7"/>
      <sheetName val="км_72-75р_Левоннька7"/>
      <sheetName val="киенгоп-н_Челны_км_104-2067"/>
      <sheetName val="ВЛ_Урдома7"/>
      <sheetName val="Вл_Микунь_Урдома7"/>
      <sheetName val="ВЛ_Синдор-Микунь7"/>
      <sheetName val="Тон_Чермасан7"/>
      <sheetName val="Трасса_км_16-1477"/>
      <sheetName val="трасса_0-767"/>
      <sheetName val="Колва_787"/>
      <sheetName val="Гидрология__р_Колва_км_387"/>
      <sheetName val="ПСП_7"/>
      <sheetName val="Новая_сводка_(до_бюджета)_(2)8"/>
      <sheetName val="Что_пришло8"/>
      <sheetName val="влад-таблица_(2)8"/>
      <sheetName val="Новая_сводка_(до_бюджета)8"/>
      <sheetName val="Новая_сводка8"/>
      <sheetName val="Общие_расходы8"/>
      <sheetName val="Новая_сводка_(по_бюджету)8"/>
      <sheetName val="Íîâàÿ_ñâîäêà_(äî_áþäæåòà)_(2)8"/>
      <sheetName val="×òî_ïðèøëî8"/>
      <sheetName val="âëàä-òàáëèöà_(2)8"/>
      <sheetName val="Íîâàÿ_ñâîäêà_(äî_áþäæåòà)8"/>
      <sheetName val="Íîâàÿ_ñâîäêà8"/>
      <sheetName val="Îáùèå_ðàñõîäû8"/>
      <sheetName val="Íîâàÿ_ñâîäêà_(ïî_áþäæåòó)8"/>
      <sheetName val="6_10_18"/>
      <sheetName val="6_7_3_ТН8"/>
      <sheetName val="6_19"/>
      <sheetName val="6_52-свод7"/>
      <sheetName val="ДДС_(Форма_№3)6"/>
      <sheetName val="Сводная_6"/>
      <sheetName val="7_ТХ_Сети_(кор)6"/>
      <sheetName val="Tier_3112086"/>
      <sheetName val="Акт_выбора6"/>
      <sheetName val="См_№7_Эл_6"/>
      <sheetName val="См_№8_Пож_6"/>
      <sheetName val="См_№3_ВиК6"/>
      <sheetName val="Сметы_за_сопровождение6"/>
      <sheetName val="См_3_АСУ5"/>
      <sheetName val="Полигон_-_ИЭИ_5"/>
      <sheetName val="Смета_ТЗ_АСУ-165"/>
      <sheetName val="База_Геодезия5"/>
      <sheetName val="База_Геология5"/>
      <sheetName val="База_Геофизика5"/>
      <sheetName val="4_1_15"/>
      <sheetName val="исп_1_1_15"/>
      <sheetName val="База_Гидро5"/>
      <sheetName val="4_2_15"/>
      <sheetName val="исп_1_1_25"/>
      <sheetName val="Исп__смета_этап_1_1,_1_25"/>
      <sheetName val="Бл_электр_4"/>
      <sheetName val="лч_и_кам4"/>
      <sheetName val="Промер_глуб4"/>
      <sheetName val="КБК_ДПК4"/>
      <sheetName val="ТЗ_АСУ-14"/>
      <sheetName val="2_Геология4"/>
      <sheetName val="Объем_работ4"/>
      <sheetName val="Виды_работ_АСО4"/>
      <sheetName val="таблица_руко_5"/>
      <sheetName val="ИД_СМР4"/>
      <sheetName val="ФОТ_для_смет4"/>
      <sheetName val="Вспом_4"/>
      <sheetName val="ЕТС_(ф)4"/>
      <sheetName val="Main_list4"/>
      <sheetName val="ПД-2_24"/>
      <sheetName val="1_144"/>
      <sheetName val="1_74"/>
      <sheetName val="Исх__данные4"/>
      <sheetName val="исключ_ЭХЗ3"/>
      <sheetName val="СВ"/>
      <sheetName val="Настройки"/>
      <sheetName val="Производство электроэнергии"/>
      <sheetName val="Т11"/>
      <sheetName val="Т12"/>
      <sheetName val="Т7"/>
      <sheetName val="выборка "/>
      <sheetName val="выборка раб"/>
      <sheetName val="См_2 Шатурс сети  проект работы"/>
      <sheetName val="Ref"/>
      <sheetName val="Список_объектов"/>
      <sheetName val="Коэффициенты"/>
      <sheetName val="РС"/>
      <sheetName val="1.1"/>
      <sheetName val="1.2-1"/>
      <sheetName val="1.2-2"/>
      <sheetName val="1.2-3"/>
      <sheetName val="1.2-4"/>
      <sheetName val="1.2-5"/>
      <sheetName val="1.3.1"/>
      <sheetName val="1.3.2"/>
      <sheetName val="1.3.3"/>
      <sheetName val="1.4.1.1"/>
      <sheetName val="1.4.1.2"/>
      <sheetName val="1.4.1.3"/>
      <sheetName val="1.4.1.5"/>
      <sheetName val="1.5"/>
      <sheetName val="№2.1"/>
      <sheetName val="№2.2-1"/>
      <sheetName val="№2.2-2"/>
      <sheetName val="№2.2-3 "/>
      <sheetName val="2.2-5 "/>
      <sheetName val="№2.3.1"/>
      <sheetName val="№2.3.2"/>
      <sheetName val="2.3.3"/>
      <sheetName val="2.4.1.1"/>
      <sheetName val="2.4.1.3"/>
      <sheetName val="№3.1"/>
      <sheetName val="№3.2-1"/>
      <sheetName val="№3.2-2"/>
      <sheetName val="№3.2-3"/>
      <sheetName val="3.2-5 "/>
      <sheetName val="3.3.1"/>
      <sheetName val="3.3.2"/>
      <sheetName val="3.3.3"/>
      <sheetName val="3.4.1.3"/>
      <sheetName val="2.6"/>
      <sheetName val="2.7"/>
      <sheetName val="4.1"/>
      <sheetName val="4.2"/>
      <sheetName val="4.3"/>
      <sheetName val="4.4"/>
      <sheetName val="4.5"/>
      <sheetName val="4.6"/>
      <sheetName val="4.7"/>
      <sheetName val="4.9"/>
      <sheetName val="4.10"/>
      <sheetName val="4.10 (3)"/>
      <sheetName val="4.10 (2)"/>
      <sheetName val="4.11"/>
      <sheetName val="4.12"/>
      <sheetName val="4.13"/>
      <sheetName val="4.14"/>
      <sheetName val="4.15"/>
      <sheetName val="4.16"/>
      <sheetName val="4.17"/>
      <sheetName val="4.18"/>
      <sheetName val="4.19"/>
      <sheetName val="5.1"/>
      <sheetName val="5.2"/>
      <sheetName val="5.3"/>
      <sheetName val="5.4"/>
      <sheetName val="5.5"/>
      <sheetName val="5.6"/>
      <sheetName val="5.7"/>
      <sheetName val="5.8"/>
      <sheetName val="Настройка"/>
      <sheetName val="База ВОП"/>
      <sheetName val="База ПИР"/>
      <sheetName val="2.2"/>
      <sheetName val="2.3"/>
      <sheetName val="2.3.2"/>
      <sheetName val="2.4"/>
      <sheetName val="2.5"/>
      <sheetName val=" Ком"/>
      <sheetName val="2.3.лаб"/>
      <sheetName val="3.1земля"/>
      <sheetName val="6.1-7.1"/>
      <sheetName val="рекульт"/>
      <sheetName val="ГО и ЧС"/>
      <sheetName val="ДПБ"/>
      <sheetName val="№3"/>
      <sheetName val="№1 СИД"/>
      <sheetName val="№2 Ком дьяк"/>
      <sheetName val="№3.2"/>
      <sheetName val="№3.3"/>
      <sheetName val="СВ смета"/>
      <sheetName val="№3.4"/>
      <sheetName val="№4 ПДЛУ и ЗУ"/>
      <sheetName val="№5 ППиМТ"/>
      <sheetName val="№6.1 ТГВ"/>
      <sheetName val="№6.2 ЭХЗ"/>
      <sheetName val="№6.3 ЭС (согл )"/>
      <sheetName val="№6.4 КИП"/>
      <sheetName val="№6.5 Согл (КИП) "/>
      <sheetName val="№6.6 МЕО "/>
      <sheetName val="№6.7 ПожБ (ПД)"/>
      <sheetName val="№6.8 Пром без (ПД)"/>
      <sheetName val="№6.9 эк аспект"/>
      <sheetName val="№6.10 ОВОС"/>
      <sheetName val="№6.11 отвод"/>
      <sheetName val="№6.12 рекул"/>
      <sheetName val="№6.13 отход"/>
      <sheetName val="№6.14 выброс"/>
      <sheetName val="№6.15 ИБ (ПД)"/>
      <sheetName val="№6.16 ИБ (РД)"/>
      <sheetName val="Акты"/>
      <sheetName val="ЛС_БИ"/>
      <sheetName val="1-1"/>
      <sheetName val="1-2"/>
      <sheetName val="1-4"/>
      <sheetName val="изм2-1"/>
      <sheetName val="2-2"/>
      <sheetName val="2-3"/>
      <sheetName val="изм7-1"/>
      <sheetName val="изм9-1"/>
      <sheetName val="проектные роли"/>
      <sheetName val="СС1"/>
      <sheetName val="Свод2006"/>
      <sheetName val="1 кв"/>
      <sheetName val="aeaa-oaaeeoa"/>
      <sheetName val="Iiaay naiaea (ai a?a?aoa) (2)"/>
      <sheetName val="?oi i?eoei"/>
      <sheetName val="aeaa-oaaeeoa (2)"/>
      <sheetName val="Iiaay naiaea (ai a?a?aoa)"/>
      <sheetName val="Naiaea"/>
      <sheetName val="Iiaay naiaea"/>
      <sheetName val="A?-o"/>
      <sheetName val="Ia?aoInoaoee"/>
      <sheetName val="Iauea ?anoiau"/>
      <sheetName val="Iiaay naiaea (ii a?a?aoo)"/>
      <sheetName val="Iiaay_naiaea_(ai_a?a?aoa)_(2)"/>
      <sheetName val="?oi_i?eoei"/>
      <sheetName val="aeaa-oaaeeoa_(2)"/>
      <sheetName val="Iiaay_naiaea_(ai_a?a?aoa)"/>
      <sheetName val="Iiaay_naiaea"/>
      <sheetName val="Iauea_?anoiau"/>
      <sheetName val="Iiaay_naiaea_(ii_a?a?aoo)"/>
      <sheetName val="Iiaay_naiaea_(ai_a?a?aoa)_(2)1"/>
      <sheetName val="?oi_i?eoei1"/>
      <sheetName val="aeaa-oaaeeoa_(2)1"/>
      <sheetName val="Iiaay_naiaea_(ai_a?a?aoa)1"/>
      <sheetName val="Iiaay_naiaea1"/>
      <sheetName val="Iauea_?anoiau1"/>
      <sheetName val="Iiaay_naiaea_(ii_a?a?aoo)1"/>
      <sheetName val="?????????????????"/>
      <sheetName val="ЖД 3.1"/>
      <sheetName val="УСР"/>
      <sheetName val="Объемы"/>
      <sheetName val="СметаСводная п54"/>
      <sheetName val="СметаСводная пуш"/>
      <sheetName val="Восстановл_Лис礊め_x0005_"/>
      <sheetName val="7"/>
      <sheetName val="См_2_Шатурс_сети__проект_работы"/>
      <sheetName val="Форма 9"/>
      <sheetName val="Форма 10"/>
      <sheetName val="СмРучБур"/>
      <sheetName val="Локальная смета 6-3-2"/>
      <sheetName val="Смета180"/>
      <sheetName val="ДКСС от МПС"/>
      <sheetName val="см_5_ОДД_"/>
      <sheetName val="сммашбур"/>
      <sheetName val="ОбмОбслЗемОд"/>
      <sheetName val="Поставка"/>
      <sheetName val="Расчет работы"/>
      <sheetName val="3_Сл_-структура_затрат1"/>
      <sheetName val="ПС_110_кВ_(доп)1"/>
      <sheetName val="См_2_Шатурс_сети__проект_работ1"/>
      <sheetName val="PLиюль04"/>
      <sheetName val="PL СКР"/>
      <sheetName val="обслед 1"/>
      <sheetName val="Смета__4ПР_ЭХЗ"/>
      <sheetName val="ЖД_3_1"/>
      <sheetName val="11Землеустр"/>
      <sheetName val="сводная_(2)"/>
      <sheetName val="автоматизация_РД"/>
      <sheetName val="Восстановл_Лис礊め"/>
      <sheetName val="Акт_выполненных_работ_46"/>
      <sheetName val="ВПР"/>
      <sheetName val="Таблица"/>
      <sheetName val="rankout"/>
      <sheetName val="Прил 6.57"/>
      <sheetName val="Проект"/>
      <sheetName val="основа"/>
      <sheetName val="Пр2 Р. стоимости"/>
      <sheetName val="ОП쌅"/>
      <sheetName val="ОП쌉"/>
      <sheetName val="АРХ гл.1"/>
      <sheetName val="выборка_"/>
      <sheetName val="сводная_(2)1"/>
      <sheetName val="автоматизация_РД1"/>
      <sheetName val="Смета_71"/>
      <sheetName val="выборка_1"/>
      <sheetName val="Обложка"/>
      <sheetName val="Содержание тома"/>
      <sheetName val="01-01-01 "/>
      <sheetName val="02-01-01.1 "/>
      <sheetName val="02-01-01.2"/>
      <sheetName val="02-01-02.1"/>
      <sheetName val="02-01-02.2"/>
      <sheetName val="02-01-03.1 "/>
      <sheetName val="02-01-03.2 "/>
      <sheetName val="02-01-04  "/>
      <sheetName val="01-01-05"/>
      <sheetName val="02-01-06.1 "/>
      <sheetName val="02-01-06.2 "/>
      <sheetName val="02-01-07 "/>
      <sheetName val="02-01-08 "/>
      <sheetName val="02-01-09 "/>
      <sheetName val="02-01-10.1"/>
      <sheetName val="02-01-10.2"/>
      <sheetName val="02-01-11 "/>
      <sheetName val="02-01-12 "/>
      <sheetName val="02-01-13 "/>
      <sheetName val="02-01-15 "/>
      <sheetName val="02-01-16 "/>
      <sheetName val="02-01-17.1"/>
      <sheetName val="02-01-17.2 "/>
      <sheetName val="02-01-18.1."/>
      <sheetName val="02-01-18.2"/>
      <sheetName val="02-01-19.1 "/>
      <sheetName val="02-01-19.2 "/>
      <sheetName val="02-01-20"/>
      <sheetName val="02-01-21.1"/>
      <sheetName val="02-01-22 "/>
      <sheetName val="02-01-23"/>
      <sheetName val="02-01-21.2"/>
      <sheetName val="02-01-24"/>
      <sheetName val="09-01-02"/>
      <sheetName val="02-01-25"/>
      <sheetName val="02-01-26 "/>
      <sheetName val="02-01-27"/>
      <sheetName val="02-01-28."/>
      <sheetName val="02-01-29."/>
      <sheetName val="02-01-30"/>
      <sheetName val="02-01-31 "/>
      <sheetName val="02-01-32 "/>
      <sheetName val="02-01-33"/>
      <sheetName val="02-01-34."/>
      <sheetName val="02-01-35"/>
      <sheetName val="02-01-36"/>
      <sheetName val="04-01-01 "/>
      <sheetName val="07-01-01 "/>
      <sheetName val="09-01-01 "/>
      <sheetName val="09-01-03"/>
      <sheetName val="09-01-04"/>
      <sheetName val="09-01-05"/>
      <sheetName val="09-01-06"/>
      <sheetName val="09-01-07"/>
      <sheetName val="09-01-08"/>
      <sheetName val="02-01-34"/>
      <sheetName val="02-01-33 (2)"/>
      <sheetName val="02-01-32"/>
      <sheetName val="02-01-28"/>
      <sheetName val="02-01-26"/>
      <sheetName val="02-01-01.1"/>
      <sheetName val="02-01-03.2"/>
      <sheetName val="02-01-04 "/>
      <sheetName val="02-01-06.1"/>
      <sheetName val="02-01-06.2"/>
      <sheetName val="02-01-18.1"/>
      <sheetName val="02-01-23 "/>
      <sheetName val="Ф"/>
      <sheetName val="Объём"/>
      <sheetName val="К.С.М."/>
      <sheetName val="Хаттон_90_礊め_x0005__x0000__x0000__x0000__x0000_"/>
      <sheetName val="Хаттон_90_礊め"/>
      <sheetName val="Макро"/>
      <sheetName val="см_5_ОДД_1"/>
      <sheetName val="см_5_ОДД_2"/>
      <sheetName val="СВ_21"/>
      <sheetName val="Смета__4ПР_ЭХЗ1"/>
      <sheetName val="СВ_22"/>
      <sheetName val="Смета__4ПР_ЭХЗ2"/>
      <sheetName val="АД"/>
      <sheetName val="зимП"/>
      <sheetName val="Тр."/>
      <sheetName val="Акт_выполненных_работ_461"/>
      <sheetName val="Акт_выполненных_работ_462"/>
      <sheetName val="Смета_72"/>
      <sheetName val="09-01"/>
      <sheetName val="09-02"/>
      <sheetName val="09-03"/>
      <sheetName val="09-04"/>
      <sheetName val="09-05"/>
      <sheetName val="Сводка пог.м "/>
      <sheetName val="по объекту"/>
      <sheetName val="Settings"/>
      <sheetName val="РАСПРЕД_ПО_ПРОЦЕСС1"/>
      <sheetName val="Исх_1"/>
      <sheetName val="ИД_ПНР1"/>
      <sheetName val="РАСПРЕД_ПО_ПРОЦЕСС2"/>
      <sheetName val="Исх_2"/>
      <sheetName val="ИД_ПНР2"/>
      <sheetName val="Смета_2_эл_монтаж"/>
      <sheetName val="Смета_1_общестроит"/>
      <sheetName val="материалы Портовая"/>
      <sheetName val="Выборка Заказчик"/>
      <sheetName val="Накоп.Итог"/>
      <sheetName val="Ханты"/>
      <sheetName val="Характеристические ФО"/>
      <sheetName val="Спец И"/>
      <sheetName val="Спец_И"/>
      <sheetName val="КП "/>
      <sheetName val="1.1 эт1"/>
      <sheetName val="1.1.1 эт2"/>
      <sheetName val="1.1.2 эт3"/>
      <sheetName val="1.1.0 обн"/>
      <sheetName val="1.2 ИГЛИ1"/>
      <sheetName val="1.2.1 ИГЛИ2"/>
      <sheetName val="1.2.2 ИГЛИ3"/>
      <sheetName val="1.3 ГФ 1"/>
      <sheetName val="1.3.1 ГФ 2"/>
      <sheetName val="1.3.2 гф3"/>
      <sheetName val="1.4 "/>
      <sheetName val="экол 1.5. 1 эт"/>
      <sheetName val="экол 1.5.1 (эт2)"/>
      <sheetName val="экол 1.5.2"/>
      <sheetName val="экол 1.6"/>
      <sheetName val="1.6.1"/>
      <sheetName val="экол 1.6.2"/>
      <sheetName val="2 ИП 1эт (ПД)"/>
      <sheetName val="2.1 ИП РД"/>
      <sheetName val="2.3 ИП 3 эт ПД"/>
      <sheetName val="2.4 ИП  РД"/>
      <sheetName val="3 Дор ПД 1 эт"/>
      <sheetName val="3.1 Дор РД"/>
      <sheetName val="4 ПД"/>
      <sheetName val="4.1 РД"/>
      <sheetName val="5"/>
      <sheetName val="7.2 "/>
      <sheetName val="7.3"/>
      <sheetName val="8ГОиЧС"/>
      <sheetName val="9 АСУТП"/>
      <sheetName val="9.1 АСТУЭ"/>
      <sheetName val="10 МБП"/>
      <sheetName val="10.2 2 эт"/>
      <sheetName val="10.3 3 эт"/>
      <sheetName val="11 ЭЭ 1 этап"/>
      <sheetName val="11.2 ЭЭ"/>
      <sheetName val="11.3 ЭЭ 3 этап"/>
      <sheetName val="12 ТБЭ 1этап"/>
      <sheetName val="12.2 ТБЭ 2 этап"/>
      <sheetName val="12.3 ТБЭ 3 этап"/>
      <sheetName val="13 ЗУ "/>
      <sheetName val="14 ППТиМТ"/>
      <sheetName val="15 ООС"/>
      <sheetName val="15.2"/>
      <sheetName val="15.3"/>
      <sheetName val="16 ТСГ ПД "/>
      <sheetName val="16.2 "/>
      <sheetName val="16.3 "/>
      <sheetName val="17 ТСГ РД "/>
      <sheetName val="18 ГТМ ПД"/>
      <sheetName val="18.1 ГТМ РД"/>
      <sheetName val="18.2"/>
      <sheetName val="20"/>
      <sheetName val="21.2 СЗЗ "/>
      <sheetName val="22 РХР"/>
      <sheetName val="22.2РХР"/>
      <sheetName val="22.3РХР"/>
      <sheetName val="23АРХ"/>
      <sheetName val="ком.арх."/>
      <sheetName val="24"/>
      <sheetName val="24.3"/>
      <sheetName val="25"/>
      <sheetName val="25.1"/>
      <sheetName val="26.1"/>
      <sheetName val="26.2"/>
      <sheetName val="26.3"/>
      <sheetName val="26.4"/>
      <sheetName val="27 ГГЭ"/>
      <sheetName val="27.2 ГГЭ 2 эт"/>
      <sheetName val="27.3 ГГЭ 3 эт"/>
      <sheetName val="28 ГЭЭ"/>
      <sheetName val="28.2"/>
      <sheetName val="28.3"/>
      <sheetName val="29 ПТА"/>
      <sheetName val="31.1"/>
      <sheetName val="31.2"/>
      <sheetName val="32.1"/>
      <sheetName val="32.2"/>
      <sheetName val="ком 1"/>
      <sheetName val="ком 2"/>
      <sheetName val="ком 3"/>
      <sheetName val="33 НВЛ"/>
      <sheetName val="33.1 ВОР"/>
      <sheetName val="34"/>
      <sheetName val="35"/>
      <sheetName val="37.1"/>
      <sheetName val="38"/>
      <sheetName val="Drop-down"/>
      <sheetName val="31.08.2004"/>
      <sheetName val="Курс $"/>
      <sheetName val="труд"/>
      <sheetName val="9 глава"/>
      <sheetName val="_Оборудование__end"/>
      <sheetName val="Хаттон_90_礊め_x0005_"/>
      <sheetName val="Расчет_№1_11"/>
      <sheetName val="Расчет_№2_11"/>
      <sheetName val="кап_ремонт1"/>
      <sheetName val="1_2_1"/>
      <sheetName val="Приложение_21"/>
      <sheetName val="Ограничения_шаблон1"/>
      <sheetName val="Причины_отклонений1"/>
      <sheetName val="Статус_работы1"/>
      <sheetName val="Уровень_графика1"/>
      <sheetName val="Технический_лист1"/>
      <sheetName val="анализ_2003_2004исполнение_МТО1"/>
      <sheetName val="Iiaay_naiaea_(ai_a?a?aoa)_(2)2"/>
      <sheetName val="?oi_i?eoei2"/>
      <sheetName val="aeaa-oaaeeoa_(2)2"/>
      <sheetName val="Iiaay_naiaea_(ai_a?a?aoa)2"/>
      <sheetName val="Iiaay_naiaea2"/>
      <sheetName val="Iauea_?anoiau2"/>
      <sheetName val="Iiaay_naiaea_(ii_a?a?aoo)2"/>
      <sheetName val="СметаСводная_п54"/>
      <sheetName val="СметаСводная_пуш"/>
      <sheetName val="выборка_раб"/>
      <sheetName val="ЛЧ_Р"/>
      <sheetName val="Форма_2_1"/>
      <sheetName val="2_1"/>
      <sheetName val="СМ__________"/>
      <sheetName val="таблица_руко_______"/>
      <sheetName val="таблица_руко_______1"/>
      <sheetName val="Пр2_Р__стоимости"/>
      <sheetName val="Прил_6_57"/>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sheetData sheetId="22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sheetData sheetId="395"/>
      <sheetData sheetId="396"/>
      <sheetData sheetId="397" refreshError="1"/>
      <sheetData sheetId="398"/>
      <sheetData sheetId="399"/>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ow r="1">
          <cell r="B1">
            <v>0</v>
          </cell>
        </row>
      </sheetData>
      <sheetData sheetId="800">
        <row r="1">
          <cell r="B1">
            <v>0</v>
          </cell>
        </row>
      </sheetData>
      <sheetData sheetId="801">
        <row r="1">
          <cell r="B1">
            <v>0</v>
          </cell>
        </row>
      </sheetData>
      <sheetData sheetId="802">
        <row r="1">
          <cell r="B1">
            <v>0</v>
          </cell>
        </row>
      </sheetData>
      <sheetData sheetId="803">
        <row r="1">
          <cell r="B1">
            <v>0</v>
          </cell>
        </row>
      </sheetData>
      <sheetData sheetId="804">
        <row r="1">
          <cell r="B1">
            <v>0</v>
          </cell>
        </row>
      </sheetData>
      <sheetData sheetId="805">
        <row r="1">
          <cell r="B1">
            <v>0</v>
          </cell>
        </row>
      </sheetData>
      <sheetData sheetId="806">
        <row r="1">
          <cell r="B1">
            <v>0</v>
          </cell>
        </row>
      </sheetData>
      <sheetData sheetId="807">
        <row r="1">
          <cell r="B1">
            <v>0</v>
          </cell>
        </row>
      </sheetData>
      <sheetData sheetId="808">
        <row r="1">
          <cell r="B1">
            <v>0</v>
          </cell>
        </row>
      </sheetData>
      <sheetData sheetId="809">
        <row r="1">
          <cell r="B1">
            <v>0</v>
          </cell>
        </row>
      </sheetData>
      <sheetData sheetId="810">
        <row r="1">
          <cell r="B1">
            <v>0</v>
          </cell>
        </row>
      </sheetData>
      <sheetData sheetId="811">
        <row r="1">
          <cell r="B1">
            <v>0</v>
          </cell>
        </row>
      </sheetData>
      <sheetData sheetId="812">
        <row r="1">
          <cell r="B1">
            <v>0</v>
          </cell>
        </row>
      </sheetData>
      <sheetData sheetId="813">
        <row r="1">
          <cell r="B1">
            <v>0</v>
          </cell>
        </row>
      </sheetData>
      <sheetData sheetId="814">
        <row r="1">
          <cell r="B1">
            <v>0</v>
          </cell>
        </row>
      </sheetData>
      <sheetData sheetId="815">
        <row r="1">
          <cell r="B1">
            <v>0</v>
          </cell>
        </row>
      </sheetData>
      <sheetData sheetId="816">
        <row r="1">
          <cell r="B1">
            <v>0</v>
          </cell>
        </row>
      </sheetData>
      <sheetData sheetId="817">
        <row r="1">
          <cell r="B1">
            <v>0</v>
          </cell>
        </row>
      </sheetData>
      <sheetData sheetId="818">
        <row r="1">
          <cell r="B1">
            <v>0</v>
          </cell>
        </row>
      </sheetData>
      <sheetData sheetId="819">
        <row r="1">
          <cell r="B1">
            <v>0</v>
          </cell>
        </row>
      </sheetData>
      <sheetData sheetId="820">
        <row r="1">
          <cell r="B1">
            <v>0</v>
          </cell>
        </row>
      </sheetData>
      <sheetData sheetId="821">
        <row r="1">
          <cell r="B1">
            <v>0</v>
          </cell>
        </row>
      </sheetData>
      <sheetData sheetId="822">
        <row r="1">
          <cell r="B1">
            <v>0</v>
          </cell>
        </row>
      </sheetData>
      <sheetData sheetId="823">
        <row r="1">
          <cell r="B1">
            <v>0</v>
          </cell>
        </row>
      </sheetData>
      <sheetData sheetId="824">
        <row r="1">
          <cell r="B1">
            <v>0</v>
          </cell>
        </row>
      </sheetData>
      <sheetData sheetId="825">
        <row r="1">
          <cell r="B1">
            <v>0</v>
          </cell>
        </row>
      </sheetData>
      <sheetData sheetId="826">
        <row r="1">
          <cell r="B1">
            <v>0</v>
          </cell>
        </row>
      </sheetData>
      <sheetData sheetId="827">
        <row r="1">
          <cell r="B1">
            <v>0</v>
          </cell>
        </row>
      </sheetData>
      <sheetData sheetId="828">
        <row r="1">
          <cell r="B1">
            <v>0</v>
          </cell>
        </row>
      </sheetData>
      <sheetData sheetId="829">
        <row r="1">
          <cell r="B1">
            <v>0</v>
          </cell>
        </row>
      </sheetData>
      <sheetData sheetId="830">
        <row r="1">
          <cell r="B1">
            <v>0</v>
          </cell>
        </row>
      </sheetData>
      <sheetData sheetId="831">
        <row r="1">
          <cell r="B1">
            <v>0</v>
          </cell>
        </row>
      </sheetData>
      <sheetData sheetId="832">
        <row r="1">
          <cell r="B1">
            <v>0</v>
          </cell>
        </row>
      </sheetData>
      <sheetData sheetId="833">
        <row r="1">
          <cell r="B1">
            <v>0</v>
          </cell>
        </row>
      </sheetData>
      <sheetData sheetId="834">
        <row r="1">
          <cell r="B1">
            <v>0</v>
          </cell>
        </row>
      </sheetData>
      <sheetData sheetId="835">
        <row r="1">
          <cell r="B1">
            <v>0</v>
          </cell>
        </row>
      </sheetData>
      <sheetData sheetId="836">
        <row r="1">
          <cell r="B1">
            <v>0</v>
          </cell>
        </row>
      </sheetData>
      <sheetData sheetId="837">
        <row r="1">
          <cell r="B1">
            <v>0</v>
          </cell>
        </row>
      </sheetData>
      <sheetData sheetId="838">
        <row r="1">
          <cell r="B1">
            <v>0</v>
          </cell>
        </row>
      </sheetData>
      <sheetData sheetId="839">
        <row r="1">
          <cell r="B1">
            <v>0</v>
          </cell>
        </row>
      </sheetData>
      <sheetData sheetId="840">
        <row r="1">
          <cell r="B1">
            <v>0</v>
          </cell>
        </row>
      </sheetData>
      <sheetData sheetId="841">
        <row r="1">
          <cell r="B1">
            <v>0</v>
          </cell>
        </row>
      </sheetData>
      <sheetData sheetId="842">
        <row r="1">
          <cell r="B1">
            <v>0</v>
          </cell>
        </row>
      </sheetData>
      <sheetData sheetId="843">
        <row r="1">
          <cell r="B1">
            <v>0</v>
          </cell>
        </row>
      </sheetData>
      <sheetData sheetId="844">
        <row r="1">
          <cell r="B1">
            <v>0</v>
          </cell>
        </row>
      </sheetData>
      <sheetData sheetId="845">
        <row r="1">
          <cell r="B1">
            <v>0</v>
          </cell>
        </row>
      </sheetData>
      <sheetData sheetId="846">
        <row r="1">
          <cell r="B1">
            <v>0</v>
          </cell>
        </row>
      </sheetData>
      <sheetData sheetId="847">
        <row r="1">
          <cell r="B1">
            <v>0</v>
          </cell>
        </row>
      </sheetData>
      <sheetData sheetId="848">
        <row r="1">
          <cell r="B1">
            <v>0</v>
          </cell>
        </row>
      </sheetData>
      <sheetData sheetId="849">
        <row r="1">
          <cell r="B1">
            <v>0</v>
          </cell>
        </row>
      </sheetData>
      <sheetData sheetId="850">
        <row r="1">
          <cell r="B1">
            <v>0</v>
          </cell>
        </row>
      </sheetData>
      <sheetData sheetId="851">
        <row r="1">
          <cell r="B1">
            <v>0</v>
          </cell>
        </row>
      </sheetData>
      <sheetData sheetId="852">
        <row r="1">
          <cell r="B1">
            <v>0</v>
          </cell>
        </row>
      </sheetData>
      <sheetData sheetId="853">
        <row r="1">
          <cell r="B1">
            <v>0</v>
          </cell>
        </row>
      </sheetData>
      <sheetData sheetId="854">
        <row r="1">
          <cell r="B1">
            <v>0</v>
          </cell>
        </row>
      </sheetData>
      <sheetData sheetId="855">
        <row r="1">
          <cell r="B1">
            <v>0</v>
          </cell>
        </row>
      </sheetData>
      <sheetData sheetId="856">
        <row r="1">
          <cell r="B1">
            <v>0</v>
          </cell>
        </row>
      </sheetData>
      <sheetData sheetId="857">
        <row r="1">
          <cell r="B1">
            <v>0</v>
          </cell>
        </row>
      </sheetData>
      <sheetData sheetId="858">
        <row r="1">
          <cell r="B1">
            <v>0</v>
          </cell>
        </row>
      </sheetData>
      <sheetData sheetId="859">
        <row r="1">
          <cell r="B1">
            <v>0</v>
          </cell>
        </row>
      </sheetData>
      <sheetData sheetId="860">
        <row r="1">
          <cell r="B1">
            <v>0</v>
          </cell>
        </row>
      </sheetData>
      <sheetData sheetId="861">
        <row r="1">
          <cell r="B1">
            <v>0</v>
          </cell>
        </row>
      </sheetData>
      <sheetData sheetId="862">
        <row r="1">
          <cell r="B1">
            <v>0</v>
          </cell>
        </row>
      </sheetData>
      <sheetData sheetId="863">
        <row r="1">
          <cell r="B1">
            <v>0</v>
          </cell>
        </row>
      </sheetData>
      <sheetData sheetId="864">
        <row r="1">
          <cell r="B1">
            <v>0</v>
          </cell>
        </row>
      </sheetData>
      <sheetData sheetId="865">
        <row r="1">
          <cell r="B1">
            <v>0</v>
          </cell>
        </row>
      </sheetData>
      <sheetData sheetId="866">
        <row r="1">
          <cell r="B1">
            <v>0</v>
          </cell>
        </row>
      </sheetData>
      <sheetData sheetId="867">
        <row r="1">
          <cell r="B1">
            <v>0</v>
          </cell>
        </row>
      </sheetData>
      <sheetData sheetId="868">
        <row r="1">
          <cell r="B1">
            <v>0</v>
          </cell>
        </row>
      </sheetData>
      <sheetData sheetId="869">
        <row r="1">
          <cell r="B1">
            <v>0</v>
          </cell>
        </row>
      </sheetData>
      <sheetData sheetId="870">
        <row r="1">
          <cell r="B1">
            <v>0</v>
          </cell>
        </row>
      </sheetData>
      <sheetData sheetId="871">
        <row r="1">
          <cell r="B1">
            <v>0</v>
          </cell>
        </row>
      </sheetData>
      <sheetData sheetId="872">
        <row r="1">
          <cell r="B1">
            <v>0</v>
          </cell>
        </row>
      </sheetData>
      <sheetData sheetId="873">
        <row r="1">
          <cell r="B1">
            <v>0</v>
          </cell>
        </row>
      </sheetData>
      <sheetData sheetId="874">
        <row r="1">
          <cell r="B1">
            <v>0</v>
          </cell>
        </row>
      </sheetData>
      <sheetData sheetId="875">
        <row r="1">
          <cell r="B1">
            <v>0</v>
          </cell>
        </row>
      </sheetData>
      <sheetData sheetId="876">
        <row r="1">
          <cell r="B1">
            <v>0</v>
          </cell>
        </row>
      </sheetData>
      <sheetData sheetId="877">
        <row r="1">
          <cell r="B1">
            <v>0</v>
          </cell>
        </row>
      </sheetData>
      <sheetData sheetId="878">
        <row r="1">
          <cell r="B1">
            <v>0</v>
          </cell>
        </row>
      </sheetData>
      <sheetData sheetId="879">
        <row r="1">
          <cell r="B1">
            <v>0</v>
          </cell>
        </row>
      </sheetData>
      <sheetData sheetId="880">
        <row r="1">
          <cell r="B1">
            <v>0</v>
          </cell>
        </row>
      </sheetData>
      <sheetData sheetId="881">
        <row r="1">
          <cell r="B1">
            <v>0</v>
          </cell>
        </row>
      </sheetData>
      <sheetData sheetId="882">
        <row r="1">
          <cell r="B1">
            <v>0</v>
          </cell>
        </row>
      </sheetData>
      <sheetData sheetId="883">
        <row r="1">
          <cell r="B1">
            <v>0</v>
          </cell>
        </row>
      </sheetData>
      <sheetData sheetId="884">
        <row r="1">
          <cell r="B1">
            <v>0</v>
          </cell>
        </row>
      </sheetData>
      <sheetData sheetId="885">
        <row r="1">
          <cell r="B1">
            <v>0</v>
          </cell>
        </row>
      </sheetData>
      <sheetData sheetId="886">
        <row r="1">
          <cell r="B1">
            <v>0</v>
          </cell>
        </row>
      </sheetData>
      <sheetData sheetId="887">
        <row r="1">
          <cell r="B1">
            <v>0</v>
          </cell>
        </row>
      </sheetData>
      <sheetData sheetId="888">
        <row r="1">
          <cell r="B1">
            <v>0</v>
          </cell>
        </row>
      </sheetData>
      <sheetData sheetId="889">
        <row r="1">
          <cell r="B1">
            <v>0</v>
          </cell>
        </row>
      </sheetData>
      <sheetData sheetId="890">
        <row r="1">
          <cell r="B1">
            <v>0</v>
          </cell>
        </row>
      </sheetData>
      <sheetData sheetId="891">
        <row r="1">
          <cell r="B1">
            <v>0</v>
          </cell>
        </row>
      </sheetData>
      <sheetData sheetId="892">
        <row r="1">
          <cell r="B1">
            <v>0</v>
          </cell>
        </row>
      </sheetData>
      <sheetData sheetId="893">
        <row r="1">
          <cell r="B1">
            <v>0</v>
          </cell>
        </row>
      </sheetData>
      <sheetData sheetId="894">
        <row r="1">
          <cell r="B1">
            <v>0</v>
          </cell>
        </row>
      </sheetData>
      <sheetData sheetId="895">
        <row r="1">
          <cell r="B1">
            <v>0</v>
          </cell>
        </row>
      </sheetData>
      <sheetData sheetId="896">
        <row r="1">
          <cell r="B1">
            <v>0</v>
          </cell>
        </row>
      </sheetData>
      <sheetData sheetId="897">
        <row r="1">
          <cell r="B1">
            <v>0</v>
          </cell>
        </row>
      </sheetData>
      <sheetData sheetId="898">
        <row r="1">
          <cell r="B1">
            <v>0</v>
          </cell>
        </row>
      </sheetData>
      <sheetData sheetId="899">
        <row r="1">
          <cell r="B1">
            <v>0</v>
          </cell>
        </row>
      </sheetData>
      <sheetData sheetId="900">
        <row r="1">
          <cell r="B1">
            <v>0</v>
          </cell>
        </row>
      </sheetData>
      <sheetData sheetId="901">
        <row r="1">
          <cell r="B1">
            <v>0</v>
          </cell>
        </row>
      </sheetData>
      <sheetData sheetId="902">
        <row r="1">
          <cell r="B1">
            <v>0</v>
          </cell>
        </row>
      </sheetData>
      <sheetData sheetId="903">
        <row r="1">
          <cell r="B1">
            <v>0</v>
          </cell>
        </row>
      </sheetData>
      <sheetData sheetId="904">
        <row r="1">
          <cell r="B1">
            <v>0</v>
          </cell>
        </row>
      </sheetData>
      <sheetData sheetId="905">
        <row r="1">
          <cell r="B1">
            <v>0</v>
          </cell>
        </row>
      </sheetData>
      <sheetData sheetId="906">
        <row r="1">
          <cell r="B1">
            <v>0</v>
          </cell>
        </row>
      </sheetData>
      <sheetData sheetId="907">
        <row r="1">
          <cell r="B1">
            <v>0</v>
          </cell>
        </row>
      </sheetData>
      <sheetData sheetId="908">
        <row r="1">
          <cell r="B1">
            <v>0</v>
          </cell>
        </row>
      </sheetData>
      <sheetData sheetId="909">
        <row r="1">
          <cell r="B1">
            <v>0</v>
          </cell>
        </row>
      </sheetData>
      <sheetData sheetId="910">
        <row r="1">
          <cell r="B1">
            <v>0</v>
          </cell>
        </row>
      </sheetData>
      <sheetData sheetId="911">
        <row r="1">
          <cell r="B1">
            <v>0</v>
          </cell>
        </row>
      </sheetData>
      <sheetData sheetId="912">
        <row r="1">
          <cell r="B1">
            <v>0</v>
          </cell>
        </row>
      </sheetData>
      <sheetData sheetId="913">
        <row r="1">
          <cell r="B1">
            <v>0</v>
          </cell>
        </row>
      </sheetData>
      <sheetData sheetId="914">
        <row r="1">
          <cell r="B1">
            <v>0</v>
          </cell>
        </row>
      </sheetData>
      <sheetData sheetId="915">
        <row r="1">
          <cell r="B1">
            <v>0</v>
          </cell>
        </row>
      </sheetData>
      <sheetData sheetId="916">
        <row r="1">
          <cell r="B1">
            <v>0</v>
          </cell>
        </row>
      </sheetData>
      <sheetData sheetId="917">
        <row r="1">
          <cell r="B1">
            <v>0</v>
          </cell>
        </row>
      </sheetData>
      <sheetData sheetId="918">
        <row r="1">
          <cell r="B1">
            <v>0</v>
          </cell>
        </row>
      </sheetData>
      <sheetData sheetId="919">
        <row r="1">
          <cell r="B1">
            <v>0</v>
          </cell>
        </row>
      </sheetData>
      <sheetData sheetId="920">
        <row r="1">
          <cell r="B1">
            <v>0</v>
          </cell>
        </row>
      </sheetData>
      <sheetData sheetId="921">
        <row r="1">
          <cell r="B1">
            <v>0</v>
          </cell>
        </row>
      </sheetData>
      <sheetData sheetId="922">
        <row r="1">
          <cell r="B1">
            <v>0</v>
          </cell>
        </row>
      </sheetData>
      <sheetData sheetId="923">
        <row r="1">
          <cell r="B1">
            <v>0</v>
          </cell>
        </row>
      </sheetData>
      <sheetData sheetId="924">
        <row r="1">
          <cell r="B1">
            <v>0</v>
          </cell>
        </row>
      </sheetData>
      <sheetData sheetId="925">
        <row r="1">
          <cell r="B1">
            <v>0</v>
          </cell>
        </row>
      </sheetData>
      <sheetData sheetId="926">
        <row r="1">
          <cell r="B1">
            <v>0</v>
          </cell>
        </row>
      </sheetData>
      <sheetData sheetId="927">
        <row r="1">
          <cell r="B1">
            <v>0</v>
          </cell>
        </row>
      </sheetData>
      <sheetData sheetId="928">
        <row r="1">
          <cell r="B1">
            <v>0</v>
          </cell>
        </row>
      </sheetData>
      <sheetData sheetId="929">
        <row r="1">
          <cell r="B1">
            <v>0</v>
          </cell>
        </row>
      </sheetData>
      <sheetData sheetId="930">
        <row r="1">
          <cell r="B1">
            <v>0</v>
          </cell>
        </row>
      </sheetData>
      <sheetData sheetId="931">
        <row r="1">
          <cell r="B1">
            <v>0</v>
          </cell>
        </row>
      </sheetData>
      <sheetData sheetId="932">
        <row r="1">
          <cell r="B1">
            <v>0</v>
          </cell>
        </row>
      </sheetData>
      <sheetData sheetId="933">
        <row r="1">
          <cell r="B1">
            <v>0</v>
          </cell>
        </row>
      </sheetData>
      <sheetData sheetId="934">
        <row r="1">
          <cell r="B1">
            <v>0</v>
          </cell>
        </row>
      </sheetData>
      <sheetData sheetId="935">
        <row r="1">
          <cell r="B1">
            <v>0</v>
          </cell>
        </row>
      </sheetData>
      <sheetData sheetId="936"/>
      <sheetData sheetId="937"/>
      <sheetData sheetId="938">
        <row r="1">
          <cell r="B1">
            <v>0</v>
          </cell>
        </row>
      </sheetData>
      <sheetData sheetId="939"/>
      <sheetData sheetId="940"/>
      <sheetData sheetId="941"/>
      <sheetData sheetId="942"/>
      <sheetData sheetId="943"/>
      <sheetData sheetId="944"/>
      <sheetData sheetId="945"/>
      <sheetData sheetId="946">
        <row r="1">
          <cell r="B1">
            <v>0</v>
          </cell>
        </row>
      </sheetData>
      <sheetData sheetId="947"/>
      <sheetData sheetId="948"/>
      <sheetData sheetId="949"/>
      <sheetData sheetId="950">
        <row r="1">
          <cell r="B1">
            <v>0</v>
          </cell>
        </row>
      </sheetData>
      <sheetData sheetId="951"/>
      <sheetData sheetId="952"/>
      <sheetData sheetId="953">
        <row r="1">
          <cell r="B1">
            <v>0</v>
          </cell>
        </row>
      </sheetData>
      <sheetData sheetId="954"/>
      <sheetData sheetId="955">
        <row r="1">
          <cell r="B1">
            <v>0</v>
          </cell>
        </row>
      </sheetData>
      <sheetData sheetId="956"/>
      <sheetData sheetId="957"/>
      <sheetData sheetId="958"/>
      <sheetData sheetId="959">
        <row r="1">
          <cell r="B1">
            <v>0</v>
          </cell>
        </row>
      </sheetData>
      <sheetData sheetId="960"/>
      <sheetData sheetId="961">
        <row r="1">
          <cell r="B1">
            <v>0</v>
          </cell>
        </row>
      </sheetData>
      <sheetData sheetId="962"/>
      <sheetData sheetId="963"/>
      <sheetData sheetId="964"/>
      <sheetData sheetId="965"/>
      <sheetData sheetId="966"/>
      <sheetData sheetId="967">
        <row r="1">
          <cell r="B1">
            <v>0</v>
          </cell>
        </row>
      </sheetData>
      <sheetData sheetId="968"/>
      <sheetData sheetId="969">
        <row r="1">
          <cell r="B1">
            <v>0</v>
          </cell>
        </row>
      </sheetData>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row r="1">
          <cell r="B1">
            <v>0</v>
          </cell>
        </row>
      </sheetData>
      <sheetData sheetId="996">
        <row r="1">
          <cell r="B1">
            <v>0</v>
          </cell>
        </row>
      </sheetData>
      <sheetData sheetId="997">
        <row r="1">
          <cell r="B1">
            <v>0</v>
          </cell>
        </row>
      </sheetData>
      <sheetData sheetId="998">
        <row r="1">
          <cell r="B1">
            <v>0</v>
          </cell>
        </row>
      </sheetData>
      <sheetData sheetId="999">
        <row r="1">
          <cell r="B1">
            <v>0</v>
          </cell>
        </row>
      </sheetData>
      <sheetData sheetId="1000">
        <row r="1">
          <cell r="B1">
            <v>0</v>
          </cell>
        </row>
      </sheetData>
      <sheetData sheetId="1001">
        <row r="1">
          <cell r="B1">
            <v>0</v>
          </cell>
        </row>
      </sheetData>
      <sheetData sheetId="1002">
        <row r="1">
          <cell r="B1">
            <v>0</v>
          </cell>
        </row>
      </sheetData>
      <sheetData sheetId="1003">
        <row r="1">
          <cell r="B1">
            <v>0</v>
          </cell>
        </row>
      </sheetData>
      <sheetData sheetId="1004">
        <row r="1">
          <cell r="B1">
            <v>0</v>
          </cell>
        </row>
      </sheetData>
      <sheetData sheetId="1005">
        <row r="1">
          <cell r="B1">
            <v>0</v>
          </cell>
        </row>
      </sheetData>
      <sheetData sheetId="1006">
        <row r="1">
          <cell r="B1">
            <v>0</v>
          </cell>
        </row>
      </sheetData>
      <sheetData sheetId="1007">
        <row r="1">
          <cell r="B1">
            <v>0</v>
          </cell>
        </row>
      </sheetData>
      <sheetData sheetId="1008">
        <row r="1">
          <cell r="B1">
            <v>0</v>
          </cell>
        </row>
      </sheetData>
      <sheetData sheetId="1009">
        <row r="1">
          <cell r="B1">
            <v>0</v>
          </cell>
        </row>
      </sheetData>
      <sheetData sheetId="1010">
        <row r="1">
          <cell r="B1">
            <v>0</v>
          </cell>
        </row>
      </sheetData>
      <sheetData sheetId="1011">
        <row r="1">
          <cell r="B1">
            <v>0</v>
          </cell>
        </row>
      </sheetData>
      <sheetData sheetId="1012">
        <row r="1">
          <cell r="B1">
            <v>0</v>
          </cell>
        </row>
      </sheetData>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sheetData sheetId="1048" refreshError="1"/>
      <sheetData sheetId="1049"/>
      <sheetData sheetId="1050" refreshError="1"/>
      <sheetData sheetId="1051" refreshError="1"/>
      <sheetData sheetId="1052" refreshError="1"/>
      <sheetData sheetId="1053">
        <row r="1">
          <cell r="B1">
            <v>0</v>
          </cell>
        </row>
      </sheetData>
      <sheetData sheetId="1054">
        <row r="1">
          <cell r="B1">
            <v>0</v>
          </cell>
        </row>
      </sheetData>
      <sheetData sheetId="1055">
        <row r="1">
          <cell r="B1">
            <v>0</v>
          </cell>
        </row>
      </sheetData>
      <sheetData sheetId="1056">
        <row r="1">
          <cell r="B1">
            <v>0</v>
          </cell>
        </row>
      </sheetData>
      <sheetData sheetId="1057">
        <row r="1">
          <cell r="B1">
            <v>0</v>
          </cell>
        </row>
      </sheetData>
      <sheetData sheetId="1058">
        <row r="1">
          <cell r="B1">
            <v>0</v>
          </cell>
        </row>
      </sheetData>
      <sheetData sheetId="1059" refreshError="1"/>
      <sheetData sheetId="1060" refreshError="1"/>
      <sheetData sheetId="1061" refreshError="1"/>
      <sheetData sheetId="1062" refreshError="1"/>
      <sheetData sheetId="1063">
        <row r="1">
          <cell r="B1">
            <v>0</v>
          </cell>
        </row>
      </sheetData>
      <sheetData sheetId="1064">
        <row r="1">
          <cell r="B1">
            <v>0</v>
          </cell>
        </row>
      </sheetData>
      <sheetData sheetId="1065">
        <row r="1">
          <cell r="B1">
            <v>0</v>
          </cell>
        </row>
      </sheetData>
      <sheetData sheetId="1066">
        <row r="1">
          <cell r="B1">
            <v>0</v>
          </cell>
        </row>
      </sheetData>
      <sheetData sheetId="1067">
        <row r="1">
          <cell r="B1">
            <v>0</v>
          </cell>
        </row>
      </sheetData>
      <sheetData sheetId="1068">
        <row r="1">
          <cell r="B1">
            <v>0</v>
          </cell>
        </row>
      </sheetData>
      <sheetData sheetId="1069">
        <row r="1">
          <cell r="B1">
            <v>0</v>
          </cell>
        </row>
      </sheetData>
      <sheetData sheetId="1070">
        <row r="1">
          <cell r="B1">
            <v>0</v>
          </cell>
        </row>
      </sheetData>
      <sheetData sheetId="1071">
        <row r="1">
          <cell r="B1">
            <v>0</v>
          </cell>
        </row>
      </sheetData>
      <sheetData sheetId="1072">
        <row r="1">
          <cell r="B1">
            <v>0</v>
          </cell>
        </row>
      </sheetData>
      <sheetData sheetId="1073">
        <row r="1">
          <cell r="B1">
            <v>0</v>
          </cell>
        </row>
      </sheetData>
      <sheetData sheetId="1074">
        <row r="1">
          <cell r="B1">
            <v>0</v>
          </cell>
        </row>
      </sheetData>
      <sheetData sheetId="1075">
        <row r="1">
          <cell r="B1">
            <v>0</v>
          </cell>
        </row>
      </sheetData>
      <sheetData sheetId="1076">
        <row r="1">
          <cell r="B1">
            <v>0</v>
          </cell>
        </row>
      </sheetData>
      <sheetData sheetId="1077">
        <row r="1">
          <cell r="B1">
            <v>0</v>
          </cell>
        </row>
      </sheetData>
      <sheetData sheetId="1078">
        <row r="1">
          <cell r="B1">
            <v>0</v>
          </cell>
        </row>
      </sheetData>
      <sheetData sheetId="1079">
        <row r="1">
          <cell r="B1">
            <v>0</v>
          </cell>
        </row>
      </sheetData>
      <sheetData sheetId="1080">
        <row r="1">
          <cell r="B1">
            <v>0</v>
          </cell>
        </row>
      </sheetData>
      <sheetData sheetId="1081">
        <row r="1">
          <cell r="B1">
            <v>0</v>
          </cell>
        </row>
      </sheetData>
      <sheetData sheetId="1082">
        <row r="1">
          <cell r="B1">
            <v>0</v>
          </cell>
        </row>
      </sheetData>
      <sheetData sheetId="1083">
        <row r="1">
          <cell r="B1">
            <v>0</v>
          </cell>
        </row>
      </sheetData>
      <sheetData sheetId="1084">
        <row r="1">
          <cell r="B1">
            <v>0</v>
          </cell>
        </row>
      </sheetData>
      <sheetData sheetId="1085">
        <row r="1">
          <cell r="B1">
            <v>0</v>
          </cell>
        </row>
      </sheetData>
      <sheetData sheetId="1086">
        <row r="1">
          <cell r="B1">
            <v>0</v>
          </cell>
        </row>
      </sheetData>
      <sheetData sheetId="1087">
        <row r="1">
          <cell r="B1">
            <v>0</v>
          </cell>
        </row>
      </sheetData>
      <sheetData sheetId="1088">
        <row r="1">
          <cell r="B1">
            <v>0</v>
          </cell>
        </row>
      </sheetData>
      <sheetData sheetId="1089">
        <row r="1">
          <cell r="B1">
            <v>0</v>
          </cell>
        </row>
      </sheetData>
      <sheetData sheetId="1090">
        <row r="1">
          <cell r="B1">
            <v>0</v>
          </cell>
        </row>
      </sheetData>
      <sheetData sheetId="1091">
        <row r="1">
          <cell r="B1">
            <v>0</v>
          </cell>
        </row>
      </sheetData>
      <sheetData sheetId="1092">
        <row r="1">
          <cell r="B1">
            <v>0</v>
          </cell>
        </row>
      </sheetData>
      <sheetData sheetId="1093">
        <row r="1">
          <cell r="B1">
            <v>0</v>
          </cell>
        </row>
      </sheetData>
      <sheetData sheetId="1094">
        <row r="1">
          <cell r="B1">
            <v>0</v>
          </cell>
        </row>
      </sheetData>
      <sheetData sheetId="1095">
        <row r="1">
          <cell r="B1">
            <v>0</v>
          </cell>
        </row>
      </sheetData>
      <sheetData sheetId="1096">
        <row r="1">
          <cell r="B1">
            <v>0</v>
          </cell>
        </row>
      </sheetData>
      <sheetData sheetId="1097">
        <row r="1">
          <cell r="B1">
            <v>0</v>
          </cell>
        </row>
      </sheetData>
      <sheetData sheetId="1098">
        <row r="1">
          <cell r="B1">
            <v>0</v>
          </cell>
        </row>
      </sheetData>
      <sheetData sheetId="1099">
        <row r="1">
          <cell r="B1">
            <v>0</v>
          </cell>
        </row>
      </sheetData>
      <sheetData sheetId="1100">
        <row r="1">
          <cell r="B1">
            <v>0</v>
          </cell>
        </row>
      </sheetData>
      <sheetData sheetId="1101">
        <row r="1">
          <cell r="B1">
            <v>0</v>
          </cell>
        </row>
      </sheetData>
      <sheetData sheetId="1102">
        <row r="1">
          <cell r="B1">
            <v>0</v>
          </cell>
        </row>
      </sheetData>
      <sheetData sheetId="1103">
        <row r="1">
          <cell r="B1">
            <v>0</v>
          </cell>
        </row>
      </sheetData>
      <sheetData sheetId="1104">
        <row r="1">
          <cell r="B1">
            <v>0</v>
          </cell>
        </row>
      </sheetData>
      <sheetData sheetId="1105">
        <row r="1">
          <cell r="B1">
            <v>0</v>
          </cell>
        </row>
      </sheetData>
      <sheetData sheetId="1106">
        <row r="1">
          <cell r="B1">
            <v>0</v>
          </cell>
        </row>
      </sheetData>
      <sheetData sheetId="1107">
        <row r="1">
          <cell r="B1">
            <v>0</v>
          </cell>
        </row>
      </sheetData>
      <sheetData sheetId="1108">
        <row r="1">
          <cell r="B1">
            <v>0</v>
          </cell>
        </row>
      </sheetData>
      <sheetData sheetId="1109">
        <row r="1">
          <cell r="B1">
            <v>0</v>
          </cell>
        </row>
      </sheetData>
      <sheetData sheetId="1110">
        <row r="1">
          <cell r="B1">
            <v>0</v>
          </cell>
        </row>
      </sheetData>
      <sheetData sheetId="1111">
        <row r="1">
          <cell r="B1">
            <v>0</v>
          </cell>
        </row>
      </sheetData>
      <sheetData sheetId="1112">
        <row r="1">
          <cell r="B1">
            <v>0</v>
          </cell>
        </row>
      </sheetData>
      <sheetData sheetId="1113">
        <row r="1">
          <cell r="B1">
            <v>0</v>
          </cell>
        </row>
      </sheetData>
      <sheetData sheetId="1114">
        <row r="1">
          <cell r="B1">
            <v>0</v>
          </cell>
        </row>
      </sheetData>
      <sheetData sheetId="1115">
        <row r="1">
          <cell r="B1">
            <v>0</v>
          </cell>
        </row>
      </sheetData>
      <sheetData sheetId="1116">
        <row r="1">
          <cell r="B1">
            <v>0</v>
          </cell>
        </row>
      </sheetData>
      <sheetData sheetId="1117">
        <row r="1">
          <cell r="B1">
            <v>0</v>
          </cell>
        </row>
      </sheetData>
      <sheetData sheetId="1118">
        <row r="1">
          <cell r="B1">
            <v>0</v>
          </cell>
        </row>
      </sheetData>
      <sheetData sheetId="1119">
        <row r="1">
          <cell r="B1">
            <v>0</v>
          </cell>
        </row>
      </sheetData>
      <sheetData sheetId="1120">
        <row r="1">
          <cell r="B1">
            <v>0</v>
          </cell>
        </row>
      </sheetData>
      <sheetData sheetId="1121">
        <row r="1">
          <cell r="B1">
            <v>0</v>
          </cell>
        </row>
      </sheetData>
      <sheetData sheetId="1122">
        <row r="1">
          <cell r="B1">
            <v>0</v>
          </cell>
        </row>
      </sheetData>
      <sheetData sheetId="1123">
        <row r="1">
          <cell r="B1">
            <v>0</v>
          </cell>
        </row>
      </sheetData>
      <sheetData sheetId="1124">
        <row r="1">
          <cell r="B1">
            <v>0</v>
          </cell>
        </row>
      </sheetData>
      <sheetData sheetId="1125">
        <row r="1">
          <cell r="B1">
            <v>0</v>
          </cell>
        </row>
      </sheetData>
      <sheetData sheetId="1126">
        <row r="1">
          <cell r="B1">
            <v>0</v>
          </cell>
        </row>
      </sheetData>
      <sheetData sheetId="1127">
        <row r="1">
          <cell r="B1">
            <v>0</v>
          </cell>
        </row>
      </sheetData>
      <sheetData sheetId="1128">
        <row r="1">
          <cell r="B1">
            <v>0</v>
          </cell>
        </row>
      </sheetData>
      <sheetData sheetId="1129">
        <row r="1">
          <cell r="B1">
            <v>0</v>
          </cell>
        </row>
      </sheetData>
      <sheetData sheetId="1130">
        <row r="1">
          <cell r="B1">
            <v>0</v>
          </cell>
        </row>
      </sheetData>
      <sheetData sheetId="1131">
        <row r="1">
          <cell r="B1">
            <v>0</v>
          </cell>
        </row>
      </sheetData>
      <sheetData sheetId="1132">
        <row r="1">
          <cell r="B1">
            <v>0</v>
          </cell>
        </row>
      </sheetData>
      <sheetData sheetId="1133">
        <row r="1">
          <cell r="B1">
            <v>0</v>
          </cell>
        </row>
      </sheetData>
      <sheetData sheetId="1134">
        <row r="1">
          <cell r="B1">
            <v>0</v>
          </cell>
        </row>
      </sheetData>
      <sheetData sheetId="1135">
        <row r="1">
          <cell r="B1">
            <v>0</v>
          </cell>
        </row>
      </sheetData>
      <sheetData sheetId="1136">
        <row r="1">
          <cell r="B1">
            <v>0</v>
          </cell>
        </row>
      </sheetData>
      <sheetData sheetId="1137">
        <row r="1">
          <cell r="B1">
            <v>0</v>
          </cell>
        </row>
      </sheetData>
      <sheetData sheetId="1138">
        <row r="1">
          <cell r="B1">
            <v>0</v>
          </cell>
        </row>
      </sheetData>
      <sheetData sheetId="1139">
        <row r="1">
          <cell r="B1">
            <v>0</v>
          </cell>
        </row>
      </sheetData>
      <sheetData sheetId="1140">
        <row r="1">
          <cell r="B1">
            <v>0</v>
          </cell>
        </row>
      </sheetData>
      <sheetData sheetId="1141">
        <row r="1">
          <cell r="B1">
            <v>0</v>
          </cell>
        </row>
      </sheetData>
      <sheetData sheetId="1142">
        <row r="1">
          <cell r="B1">
            <v>0</v>
          </cell>
        </row>
      </sheetData>
      <sheetData sheetId="1143">
        <row r="1">
          <cell r="B1">
            <v>0</v>
          </cell>
        </row>
      </sheetData>
      <sheetData sheetId="1144">
        <row r="1">
          <cell r="B1">
            <v>0</v>
          </cell>
        </row>
      </sheetData>
      <sheetData sheetId="1145">
        <row r="1">
          <cell r="B1">
            <v>0</v>
          </cell>
        </row>
      </sheetData>
      <sheetData sheetId="1146">
        <row r="1">
          <cell r="B1">
            <v>0</v>
          </cell>
        </row>
      </sheetData>
      <sheetData sheetId="1147">
        <row r="1">
          <cell r="B1">
            <v>0</v>
          </cell>
        </row>
      </sheetData>
      <sheetData sheetId="1148">
        <row r="1">
          <cell r="B1">
            <v>0</v>
          </cell>
        </row>
      </sheetData>
      <sheetData sheetId="1149">
        <row r="1">
          <cell r="B1">
            <v>0</v>
          </cell>
        </row>
      </sheetData>
      <sheetData sheetId="1150">
        <row r="1">
          <cell r="B1">
            <v>0</v>
          </cell>
        </row>
      </sheetData>
      <sheetData sheetId="1151">
        <row r="1">
          <cell r="B1">
            <v>0</v>
          </cell>
        </row>
      </sheetData>
      <sheetData sheetId="1152">
        <row r="1">
          <cell r="B1">
            <v>0</v>
          </cell>
        </row>
      </sheetData>
      <sheetData sheetId="1153">
        <row r="1">
          <cell r="B1">
            <v>0</v>
          </cell>
        </row>
      </sheetData>
      <sheetData sheetId="1154">
        <row r="1">
          <cell r="B1">
            <v>0</v>
          </cell>
        </row>
      </sheetData>
      <sheetData sheetId="1155">
        <row r="1">
          <cell r="B1">
            <v>0</v>
          </cell>
        </row>
      </sheetData>
      <sheetData sheetId="1156">
        <row r="1">
          <cell r="B1">
            <v>0</v>
          </cell>
        </row>
      </sheetData>
      <sheetData sheetId="1157">
        <row r="1">
          <cell r="B1">
            <v>0</v>
          </cell>
        </row>
      </sheetData>
      <sheetData sheetId="1158">
        <row r="1">
          <cell r="B1">
            <v>0</v>
          </cell>
        </row>
      </sheetData>
      <sheetData sheetId="1159">
        <row r="1">
          <cell r="B1">
            <v>0</v>
          </cell>
        </row>
      </sheetData>
      <sheetData sheetId="1160">
        <row r="1">
          <cell r="B1">
            <v>0</v>
          </cell>
        </row>
      </sheetData>
      <sheetData sheetId="1161">
        <row r="1">
          <cell r="B1">
            <v>0</v>
          </cell>
        </row>
      </sheetData>
      <sheetData sheetId="1162">
        <row r="1">
          <cell r="B1">
            <v>0</v>
          </cell>
        </row>
      </sheetData>
      <sheetData sheetId="1163">
        <row r="1">
          <cell r="B1">
            <v>0</v>
          </cell>
        </row>
      </sheetData>
      <sheetData sheetId="1164">
        <row r="1">
          <cell r="B1">
            <v>0</v>
          </cell>
        </row>
      </sheetData>
      <sheetData sheetId="1165">
        <row r="1">
          <cell r="B1">
            <v>0</v>
          </cell>
        </row>
      </sheetData>
      <sheetData sheetId="1166">
        <row r="1">
          <cell r="B1">
            <v>0</v>
          </cell>
        </row>
      </sheetData>
      <sheetData sheetId="1167">
        <row r="1">
          <cell r="B1">
            <v>0</v>
          </cell>
        </row>
      </sheetData>
      <sheetData sheetId="1168">
        <row r="1">
          <cell r="B1">
            <v>0</v>
          </cell>
        </row>
      </sheetData>
      <sheetData sheetId="1169">
        <row r="1">
          <cell r="B1">
            <v>0</v>
          </cell>
        </row>
      </sheetData>
      <sheetData sheetId="1170">
        <row r="1">
          <cell r="B1">
            <v>0</v>
          </cell>
        </row>
      </sheetData>
      <sheetData sheetId="1171">
        <row r="1">
          <cell r="B1">
            <v>0</v>
          </cell>
        </row>
      </sheetData>
      <sheetData sheetId="1172">
        <row r="1">
          <cell r="B1">
            <v>0</v>
          </cell>
        </row>
      </sheetData>
      <sheetData sheetId="1173">
        <row r="1">
          <cell r="B1">
            <v>0</v>
          </cell>
        </row>
      </sheetData>
      <sheetData sheetId="1174">
        <row r="1">
          <cell r="B1">
            <v>0</v>
          </cell>
        </row>
      </sheetData>
      <sheetData sheetId="1175">
        <row r="1">
          <cell r="B1">
            <v>0</v>
          </cell>
        </row>
      </sheetData>
      <sheetData sheetId="1176">
        <row r="1">
          <cell r="B1">
            <v>0</v>
          </cell>
        </row>
      </sheetData>
      <sheetData sheetId="1177">
        <row r="1">
          <cell r="B1">
            <v>0</v>
          </cell>
        </row>
      </sheetData>
      <sheetData sheetId="1178">
        <row r="1">
          <cell r="B1">
            <v>0</v>
          </cell>
        </row>
      </sheetData>
      <sheetData sheetId="1179">
        <row r="1">
          <cell r="B1">
            <v>0</v>
          </cell>
        </row>
      </sheetData>
      <sheetData sheetId="1180">
        <row r="1">
          <cell r="B1">
            <v>0</v>
          </cell>
        </row>
      </sheetData>
      <sheetData sheetId="1181">
        <row r="1">
          <cell r="B1">
            <v>0</v>
          </cell>
        </row>
      </sheetData>
      <sheetData sheetId="1182">
        <row r="1">
          <cell r="B1">
            <v>0</v>
          </cell>
        </row>
      </sheetData>
      <sheetData sheetId="1183">
        <row r="1">
          <cell r="B1">
            <v>0</v>
          </cell>
        </row>
      </sheetData>
      <sheetData sheetId="1184">
        <row r="1">
          <cell r="B1">
            <v>0</v>
          </cell>
        </row>
      </sheetData>
      <sheetData sheetId="1185">
        <row r="1">
          <cell r="B1">
            <v>0</v>
          </cell>
        </row>
      </sheetData>
      <sheetData sheetId="1186">
        <row r="1">
          <cell r="B1">
            <v>0</v>
          </cell>
        </row>
      </sheetData>
      <sheetData sheetId="1187">
        <row r="1">
          <cell r="B1">
            <v>0</v>
          </cell>
        </row>
      </sheetData>
      <sheetData sheetId="1188">
        <row r="1">
          <cell r="B1">
            <v>0</v>
          </cell>
        </row>
      </sheetData>
      <sheetData sheetId="1189">
        <row r="1">
          <cell r="B1">
            <v>0</v>
          </cell>
        </row>
      </sheetData>
      <sheetData sheetId="1190">
        <row r="1">
          <cell r="B1">
            <v>0</v>
          </cell>
        </row>
      </sheetData>
      <sheetData sheetId="1191">
        <row r="1">
          <cell r="B1">
            <v>0</v>
          </cell>
        </row>
      </sheetData>
      <sheetData sheetId="1192">
        <row r="1">
          <cell r="B1">
            <v>0</v>
          </cell>
        </row>
      </sheetData>
      <sheetData sheetId="1193">
        <row r="1">
          <cell r="B1">
            <v>0</v>
          </cell>
        </row>
      </sheetData>
      <sheetData sheetId="1194">
        <row r="1">
          <cell r="B1">
            <v>0</v>
          </cell>
        </row>
      </sheetData>
      <sheetData sheetId="1195">
        <row r="1">
          <cell r="B1">
            <v>0</v>
          </cell>
        </row>
      </sheetData>
      <sheetData sheetId="1196">
        <row r="1">
          <cell r="B1">
            <v>0</v>
          </cell>
        </row>
      </sheetData>
      <sheetData sheetId="1197">
        <row r="1">
          <cell r="B1">
            <v>0</v>
          </cell>
        </row>
      </sheetData>
      <sheetData sheetId="1198">
        <row r="1">
          <cell r="B1">
            <v>0</v>
          </cell>
        </row>
      </sheetData>
      <sheetData sheetId="1199">
        <row r="1">
          <cell r="B1">
            <v>0</v>
          </cell>
        </row>
      </sheetData>
      <sheetData sheetId="1200">
        <row r="1">
          <cell r="B1">
            <v>0</v>
          </cell>
        </row>
      </sheetData>
      <sheetData sheetId="1201">
        <row r="1">
          <cell r="B1">
            <v>0</v>
          </cell>
        </row>
      </sheetData>
      <sheetData sheetId="1202">
        <row r="1">
          <cell r="B1">
            <v>0</v>
          </cell>
        </row>
      </sheetData>
      <sheetData sheetId="1203">
        <row r="1">
          <cell r="B1">
            <v>0</v>
          </cell>
        </row>
      </sheetData>
      <sheetData sheetId="1204">
        <row r="1">
          <cell r="B1">
            <v>0</v>
          </cell>
        </row>
      </sheetData>
      <sheetData sheetId="1205">
        <row r="1">
          <cell r="B1">
            <v>0</v>
          </cell>
        </row>
      </sheetData>
      <sheetData sheetId="1206">
        <row r="1">
          <cell r="B1">
            <v>0</v>
          </cell>
        </row>
      </sheetData>
      <sheetData sheetId="1207">
        <row r="1">
          <cell r="B1">
            <v>0</v>
          </cell>
        </row>
      </sheetData>
      <sheetData sheetId="1208">
        <row r="1">
          <cell r="B1">
            <v>0</v>
          </cell>
        </row>
      </sheetData>
      <sheetData sheetId="1209">
        <row r="1">
          <cell r="B1">
            <v>0</v>
          </cell>
        </row>
      </sheetData>
      <sheetData sheetId="1210">
        <row r="1">
          <cell r="B1">
            <v>0</v>
          </cell>
        </row>
      </sheetData>
      <sheetData sheetId="1211">
        <row r="1">
          <cell r="B1">
            <v>0</v>
          </cell>
        </row>
      </sheetData>
      <sheetData sheetId="1212">
        <row r="1">
          <cell r="B1">
            <v>0</v>
          </cell>
        </row>
      </sheetData>
      <sheetData sheetId="1213">
        <row r="1">
          <cell r="B1">
            <v>0</v>
          </cell>
        </row>
      </sheetData>
      <sheetData sheetId="1214">
        <row r="1">
          <cell r="B1">
            <v>0</v>
          </cell>
        </row>
      </sheetData>
      <sheetData sheetId="1215">
        <row r="1">
          <cell r="B1">
            <v>0</v>
          </cell>
        </row>
      </sheetData>
      <sheetData sheetId="1216">
        <row r="1">
          <cell r="B1">
            <v>0</v>
          </cell>
        </row>
      </sheetData>
      <sheetData sheetId="1217">
        <row r="1">
          <cell r="B1">
            <v>0</v>
          </cell>
        </row>
      </sheetData>
      <sheetData sheetId="1218">
        <row r="1">
          <cell r="B1">
            <v>0</v>
          </cell>
        </row>
      </sheetData>
      <sheetData sheetId="1219">
        <row r="1">
          <cell r="B1">
            <v>0</v>
          </cell>
        </row>
      </sheetData>
      <sheetData sheetId="1220">
        <row r="1">
          <cell r="B1">
            <v>0</v>
          </cell>
        </row>
      </sheetData>
      <sheetData sheetId="1221">
        <row r="1">
          <cell r="B1">
            <v>0</v>
          </cell>
        </row>
      </sheetData>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ow r="1">
          <cell r="B1">
            <v>0</v>
          </cell>
        </row>
      </sheetData>
      <sheetData sheetId="1231">
        <row r="1">
          <cell r="B1">
            <v>0</v>
          </cell>
        </row>
      </sheetData>
      <sheetData sheetId="1232" refreshError="1"/>
      <sheetData sheetId="1233" refreshError="1"/>
      <sheetData sheetId="1234">
        <row r="1">
          <cell r="B1">
            <v>0</v>
          </cell>
        </row>
      </sheetData>
      <sheetData sheetId="1235" refreshError="1"/>
      <sheetData sheetId="1236" refreshError="1"/>
      <sheetData sheetId="1237" refreshError="1"/>
      <sheetData sheetId="1238" refreshError="1"/>
      <sheetData sheetId="1239" refreshError="1"/>
      <sheetData sheetId="1240" refreshError="1"/>
      <sheetData sheetId="1241" refreshError="1"/>
      <sheetData sheetId="1242">
        <row r="1">
          <cell r="B1">
            <v>0</v>
          </cell>
        </row>
      </sheetData>
      <sheetData sheetId="1243">
        <row r="1">
          <cell r="B1">
            <v>0</v>
          </cell>
        </row>
      </sheetData>
      <sheetData sheetId="1244">
        <row r="1">
          <cell r="B1">
            <v>0</v>
          </cell>
        </row>
      </sheetData>
      <sheetData sheetId="1245">
        <row r="1">
          <cell r="B1">
            <v>0</v>
          </cell>
        </row>
      </sheetData>
      <sheetData sheetId="1246">
        <row r="1">
          <cell r="B1">
            <v>0</v>
          </cell>
        </row>
      </sheetData>
      <sheetData sheetId="1247">
        <row r="1">
          <cell r="B1">
            <v>0</v>
          </cell>
        </row>
      </sheetData>
      <sheetData sheetId="1248">
        <row r="1">
          <cell r="B1">
            <v>0</v>
          </cell>
        </row>
      </sheetData>
      <sheetData sheetId="1249">
        <row r="1">
          <cell r="B1">
            <v>0</v>
          </cell>
        </row>
      </sheetData>
      <sheetData sheetId="1250">
        <row r="1">
          <cell r="B1">
            <v>0</v>
          </cell>
        </row>
      </sheetData>
      <sheetData sheetId="1251">
        <row r="1">
          <cell r="B1">
            <v>0</v>
          </cell>
        </row>
      </sheetData>
      <sheetData sheetId="1252">
        <row r="1">
          <cell r="B1">
            <v>0</v>
          </cell>
        </row>
      </sheetData>
      <sheetData sheetId="1253">
        <row r="1">
          <cell r="B1">
            <v>0</v>
          </cell>
        </row>
      </sheetData>
      <sheetData sheetId="1254">
        <row r="1">
          <cell r="B1">
            <v>0</v>
          </cell>
        </row>
      </sheetData>
      <sheetData sheetId="1255">
        <row r="1">
          <cell r="B1">
            <v>0</v>
          </cell>
        </row>
      </sheetData>
      <sheetData sheetId="1256">
        <row r="1">
          <cell r="B1">
            <v>0</v>
          </cell>
        </row>
      </sheetData>
      <sheetData sheetId="1257">
        <row r="1">
          <cell r="B1">
            <v>0</v>
          </cell>
        </row>
      </sheetData>
      <sheetData sheetId="1258">
        <row r="1">
          <cell r="B1">
            <v>0</v>
          </cell>
        </row>
      </sheetData>
      <sheetData sheetId="1259">
        <row r="1">
          <cell r="B1">
            <v>0</v>
          </cell>
        </row>
      </sheetData>
      <sheetData sheetId="1260">
        <row r="1">
          <cell r="B1">
            <v>0</v>
          </cell>
        </row>
      </sheetData>
      <sheetData sheetId="1261">
        <row r="1">
          <cell r="B1">
            <v>0</v>
          </cell>
        </row>
      </sheetData>
      <sheetData sheetId="1262">
        <row r="1">
          <cell r="B1">
            <v>0</v>
          </cell>
        </row>
      </sheetData>
      <sheetData sheetId="1263">
        <row r="1">
          <cell r="B1">
            <v>0</v>
          </cell>
        </row>
      </sheetData>
      <sheetData sheetId="1264">
        <row r="1">
          <cell r="B1">
            <v>0</v>
          </cell>
        </row>
      </sheetData>
      <sheetData sheetId="1265">
        <row r="1">
          <cell r="B1">
            <v>0</v>
          </cell>
        </row>
      </sheetData>
      <sheetData sheetId="1266">
        <row r="1">
          <cell r="B1">
            <v>0</v>
          </cell>
        </row>
      </sheetData>
      <sheetData sheetId="1267">
        <row r="1">
          <cell r="B1">
            <v>0</v>
          </cell>
        </row>
      </sheetData>
      <sheetData sheetId="1268">
        <row r="1">
          <cell r="B1">
            <v>0</v>
          </cell>
        </row>
      </sheetData>
      <sheetData sheetId="1269">
        <row r="1">
          <cell r="B1">
            <v>0</v>
          </cell>
        </row>
      </sheetData>
      <sheetData sheetId="1270">
        <row r="1">
          <cell r="B1">
            <v>0</v>
          </cell>
        </row>
      </sheetData>
      <sheetData sheetId="1271">
        <row r="1">
          <cell r="B1">
            <v>0</v>
          </cell>
        </row>
      </sheetData>
      <sheetData sheetId="1272">
        <row r="1">
          <cell r="B1">
            <v>0</v>
          </cell>
        </row>
      </sheetData>
      <sheetData sheetId="1273">
        <row r="1">
          <cell r="B1">
            <v>0</v>
          </cell>
        </row>
      </sheetData>
      <sheetData sheetId="1274">
        <row r="1">
          <cell r="B1">
            <v>0</v>
          </cell>
        </row>
      </sheetData>
      <sheetData sheetId="1275">
        <row r="1">
          <cell r="B1">
            <v>0</v>
          </cell>
        </row>
      </sheetData>
      <sheetData sheetId="1276">
        <row r="1">
          <cell r="B1">
            <v>0</v>
          </cell>
        </row>
      </sheetData>
      <sheetData sheetId="1277">
        <row r="1">
          <cell r="B1">
            <v>0</v>
          </cell>
        </row>
      </sheetData>
      <sheetData sheetId="1278">
        <row r="1">
          <cell r="B1">
            <v>0</v>
          </cell>
        </row>
      </sheetData>
      <sheetData sheetId="1279">
        <row r="1">
          <cell r="B1">
            <v>0</v>
          </cell>
        </row>
      </sheetData>
      <sheetData sheetId="1280">
        <row r="1">
          <cell r="B1">
            <v>0</v>
          </cell>
        </row>
      </sheetData>
      <sheetData sheetId="1281">
        <row r="1">
          <cell r="B1">
            <v>0</v>
          </cell>
        </row>
      </sheetData>
      <sheetData sheetId="1282">
        <row r="1">
          <cell r="B1">
            <v>0</v>
          </cell>
        </row>
      </sheetData>
      <sheetData sheetId="1283">
        <row r="1">
          <cell r="B1">
            <v>0</v>
          </cell>
        </row>
      </sheetData>
      <sheetData sheetId="1284">
        <row r="1">
          <cell r="B1">
            <v>0</v>
          </cell>
        </row>
      </sheetData>
      <sheetData sheetId="1285">
        <row r="1">
          <cell r="B1">
            <v>0</v>
          </cell>
        </row>
      </sheetData>
      <sheetData sheetId="1286">
        <row r="1">
          <cell r="B1">
            <v>0</v>
          </cell>
        </row>
      </sheetData>
      <sheetData sheetId="1287">
        <row r="1">
          <cell r="B1">
            <v>0</v>
          </cell>
        </row>
      </sheetData>
      <sheetData sheetId="1288">
        <row r="1">
          <cell r="B1">
            <v>0</v>
          </cell>
        </row>
      </sheetData>
      <sheetData sheetId="1289">
        <row r="1">
          <cell r="B1">
            <v>0</v>
          </cell>
        </row>
      </sheetData>
      <sheetData sheetId="1290">
        <row r="1">
          <cell r="B1">
            <v>0</v>
          </cell>
        </row>
      </sheetData>
      <sheetData sheetId="1291">
        <row r="1">
          <cell r="B1">
            <v>0</v>
          </cell>
        </row>
      </sheetData>
      <sheetData sheetId="1292">
        <row r="1">
          <cell r="B1">
            <v>0</v>
          </cell>
        </row>
      </sheetData>
      <sheetData sheetId="1293">
        <row r="1">
          <cell r="B1">
            <v>0</v>
          </cell>
        </row>
      </sheetData>
      <sheetData sheetId="1294">
        <row r="1">
          <cell r="B1">
            <v>0</v>
          </cell>
        </row>
      </sheetData>
      <sheetData sheetId="1295">
        <row r="1">
          <cell r="B1">
            <v>0</v>
          </cell>
        </row>
      </sheetData>
      <sheetData sheetId="1296">
        <row r="1">
          <cell r="B1">
            <v>0</v>
          </cell>
        </row>
      </sheetData>
      <sheetData sheetId="1297">
        <row r="1">
          <cell r="B1">
            <v>0</v>
          </cell>
        </row>
      </sheetData>
      <sheetData sheetId="1298">
        <row r="1">
          <cell r="B1">
            <v>0</v>
          </cell>
        </row>
      </sheetData>
      <sheetData sheetId="1299">
        <row r="1">
          <cell r="B1">
            <v>0</v>
          </cell>
        </row>
      </sheetData>
      <sheetData sheetId="1300">
        <row r="1">
          <cell r="B1">
            <v>0</v>
          </cell>
        </row>
      </sheetData>
      <sheetData sheetId="1301">
        <row r="1">
          <cell r="B1">
            <v>0</v>
          </cell>
        </row>
      </sheetData>
      <sheetData sheetId="1302">
        <row r="1">
          <cell r="B1">
            <v>0</v>
          </cell>
        </row>
      </sheetData>
      <sheetData sheetId="1303">
        <row r="1">
          <cell r="B1">
            <v>0</v>
          </cell>
        </row>
      </sheetData>
      <sheetData sheetId="1304">
        <row r="1">
          <cell r="B1">
            <v>0</v>
          </cell>
        </row>
      </sheetData>
      <sheetData sheetId="1305">
        <row r="1">
          <cell r="B1">
            <v>0</v>
          </cell>
        </row>
      </sheetData>
      <sheetData sheetId="1306">
        <row r="1">
          <cell r="B1">
            <v>0</v>
          </cell>
        </row>
      </sheetData>
      <sheetData sheetId="1307">
        <row r="1">
          <cell r="B1">
            <v>0</v>
          </cell>
        </row>
      </sheetData>
      <sheetData sheetId="1308">
        <row r="1">
          <cell r="B1">
            <v>0</v>
          </cell>
        </row>
      </sheetData>
      <sheetData sheetId="1309">
        <row r="1">
          <cell r="B1">
            <v>0</v>
          </cell>
        </row>
      </sheetData>
      <sheetData sheetId="1310">
        <row r="1">
          <cell r="B1">
            <v>0</v>
          </cell>
        </row>
      </sheetData>
      <sheetData sheetId="1311">
        <row r="1">
          <cell r="B1">
            <v>0</v>
          </cell>
        </row>
      </sheetData>
      <sheetData sheetId="1312">
        <row r="1">
          <cell r="B1">
            <v>0</v>
          </cell>
        </row>
      </sheetData>
      <sheetData sheetId="1313">
        <row r="1">
          <cell r="B1">
            <v>0</v>
          </cell>
        </row>
      </sheetData>
      <sheetData sheetId="1314">
        <row r="1">
          <cell r="B1">
            <v>0</v>
          </cell>
        </row>
      </sheetData>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ow r="1">
          <cell r="B1">
            <v>0</v>
          </cell>
        </row>
      </sheetData>
      <sheetData sheetId="1332" refreshError="1"/>
      <sheetData sheetId="1333" refreshError="1"/>
      <sheetData sheetId="1334">
        <row r="1">
          <cell r="B1">
            <v>0</v>
          </cell>
        </row>
      </sheetData>
      <sheetData sheetId="1335">
        <row r="1">
          <cell r="B1">
            <v>0</v>
          </cell>
        </row>
      </sheetData>
      <sheetData sheetId="1336">
        <row r="1">
          <cell r="B1">
            <v>0</v>
          </cell>
        </row>
      </sheetData>
      <sheetData sheetId="1337">
        <row r="1">
          <cell r="B1">
            <v>0</v>
          </cell>
        </row>
      </sheetData>
      <sheetData sheetId="1338">
        <row r="1">
          <cell r="B1">
            <v>0</v>
          </cell>
        </row>
      </sheetData>
      <sheetData sheetId="1339">
        <row r="1">
          <cell r="B1">
            <v>0</v>
          </cell>
        </row>
      </sheetData>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ow r="1">
          <cell r="B1">
            <v>0</v>
          </cell>
        </row>
      </sheetData>
      <sheetData sheetId="1355">
        <row r="1">
          <cell r="B1">
            <v>0</v>
          </cell>
        </row>
      </sheetData>
      <sheetData sheetId="1356">
        <row r="1">
          <cell r="B1">
            <v>0</v>
          </cell>
        </row>
      </sheetData>
      <sheetData sheetId="1357">
        <row r="1">
          <cell r="B1">
            <v>0</v>
          </cell>
        </row>
      </sheetData>
      <sheetData sheetId="1358">
        <row r="1">
          <cell r="B1">
            <v>0</v>
          </cell>
        </row>
      </sheetData>
      <sheetData sheetId="1359">
        <row r="1">
          <cell r="B1">
            <v>0</v>
          </cell>
        </row>
      </sheetData>
      <sheetData sheetId="1360">
        <row r="1">
          <cell r="B1">
            <v>0</v>
          </cell>
        </row>
      </sheetData>
      <sheetData sheetId="1361">
        <row r="1">
          <cell r="B1">
            <v>0</v>
          </cell>
        </row>
      </sheetData>
      <sheetData sheetId="1362">
        <row r="1">
          <cell r="B1">
            <v>0</v>
          </cell>
        </row>
      </sheetData>
      <sheetData sheetId="1363">
        <row r="1">
          <cell r="B1">
            <v>0</v>
          </cell>
        </row>
      </sheetData>
      <sheetData sheetId="1364">
        <row r="1">
          <cell r="B1">
            <v>0</v>
          </cell>
        </row>
      </sheetData>
      <sheetData sheetId="1365">
        <row r="1">
          <cell r="B1">
            <v>0</v>
          </cell>
        </row>
      </sheetData>
      <sheetData sheetId="1366">
        <row r="1">
          <cell r="B1">
            <v>0</v>
          </cell>
        </row>
      </sheetData>
      <sheetData sheetId="1367">
        <row r="1">
          <cell r="B1">
            <v>0</v>
          </cell>
        </row>
      </sheetData>
      <sheetData sheetId="1368">
        <row r="1">
          <cell r="B1">
            <v>0</v>
          </cell>
        </row>
      </sheetData>
      <sheetData sheetId="1369">
        <row r="1">
          <cell r="B1">
            <v>0</v>
          </cell>
        </row>
      </sheetData>
      <sheetData sheetId="1370">
        <row r="1">
          <cell r="B1">
            <v>0</v>
          </cell>
        </row>
      </sheetData>
      <sheetData sheetId="1371">
        <row r="1">
          <cell r="B1">
            <v>0</v>
          </cell>
        </row>
      </sheetData>
      <sheetData sheetId="1372">
        <row r="1">
          <cell r="B1">
            <v>0</v>
          </cell>
        </row>
      </sheetData>
      <sheetData sheetId="1373">
        <row r="1">
          <cell r="B1">
            <v>0</v>
          </cell>
        </row>
      </sheetData>
      <sheetData sheetId="1374">
        <row r="1">
          <cell r="B1">
            <v>0</v>
          </cell>
        </row>
      </sheetData>
      <sheetData sheetId="1375">
        <row r="1">
          <cell r="B1">
            <v>0</v>
          </cell>
        </row>
      </sheetData>
      <sheetData sheetId="1376">
        <row r="1">
          <cell r="B1">
            <v>0</v>
          </cell>
        </row>
      </sheetData>
      <sheetData sheetId="1377">
        <row r="1">
          <cell r="B1">
            <v>0</v>
          </cell>
        </row>
      </sheetData>
      <sheetData sheetId="1378">
        <row r="1">
          <cell r="B1">
            <v>0</v>
          </cell>
        </row>
      </sheetData>
      <sheetData sheetId="1379">
        <row r="1">
          <cell r="B1">
            <v>0</v>
          </cell>
        </row>
      </sheetData>
      <sheetData sheetId="1380">
        <row r="1">
          <cell r="B1">
            <v>0</v>
          </cell>
        </row>
      </sheetData>
      <sheetData sheetId="1381">
        <row r="1">
          <cell r="B1">
            <v>0</v>
          </cell>
        </row>
      </sheetData>
      <sheetData sheetId="1382">
        <row r="1">
          <cell r="B1">
            <v>0</v>
          </cell>
        </row>
      </sheetData>
      <sheetData sheetId="1383">
        <row r="1">
          <cell r="B1">
            <v>0</v>
          </cell>
        </row>
      </sheetData>
      <sheetData sheetId="1384">
        <row r="1">
          <cell r="B1">
            <v>0</v>
          </cell>
        </row>
      </sheetData>
      <sheetData sheetId="1385">
        <row r="1">
          <cell r="B1">
            <v>0</v>
          </cell>
        </row>
      </sheetData>
      <sheetData sheetId="1386">
        <row r="1">
          <cell r="B1">
            <v>0</v>
          </cell>
        </row>
      </sheetData>
      <sheetData sheetId="1387">
        <row r="1">
          <cell r="B1">
            <v>0</v>
          </cell>
        </row>
      </sheetData>
      <sheetData sheetId="1388">
        <row r="1">
          <cell r="B1">
            <v>0</v>
          </cell>
        </row>
      </sheetData>
      <sheetData sheetId="1389">
        <row r="1">
          <cell r="B1">
            <v>0</v>
          </cell>
        </row>
      </sheetData>
      <sheetData sheetId="1390">
        <row r="1">
          <cell r="B1">
            <v>0</v>
          </cell>
        </row>
      </sheetData>
      <sheetData sheetId="1391">
        <row r="1">
          <cell r="B1">
            <v>0</v>
          </cell>
        </row>
      </sheetData>
      <sheetData sheetId="1392">
        <row r="1">
          <cell r="B1">
            <v>0</v>
          </cell>
        </row>
      </sheetData>
      <sheetData sheetId="1393">
        <row r="1">
          <cell r="B1">
            <v>0</v>
          </cell>
        </row>
      </sheetData>
      <sheetData sheetId="1394">
        <row r="1">
          <cell r="B1">
            <v>0</v>
          </cell>
        </row>
      </sheetData>
      <sheetData sheetId="1395">
        <row r="1">
          <cell r="B1">
            <v>0</v>
          </cell>
        </row>
      </sheetData>
      <sheetData sheetId="1396">
        <row r="1">
          <cell r="B1">
            <v>0</v>
          </cell>
        </row>
      </sheetData>
      <sheetData sheetId="1397">
        <row r="1">
          <cell r="B1">
            <v>0</v>
          </cell>
        </row>
      </sheetData>
      <sheetData sheetId="1398">
        <row r="1">
          <cell r="B1">
            <v>0</v>
          </cell>
        </row>
      </sheetData>
      <sheetData sheetId="1399">
        <row r="1">
          <cell r="B1">
            <v>0</v>
          </cell>
        </row>
      </sheetData>
      <sheetData sheetId="1400">
        <row r="1">
          <cell r="B1">
            <v>0</v>
          </cell>
        </row>
      </sheetData>
      <sheetData sheetId="1401">
        <row r="1">
          <cell r="B1">
            <v>0</v>
          </cell>
        </row>
      </sheetData>
      <sheetData sheetId="1402">
        <row r="1">
          <cell r="B1">
            <v>0</v>
          </cell>
        </row>
      </sheetData>
      <sheetData sheetId="1403">
        <row r="1">
          <cell r="B1">
            <v>0</v>
          </cell>
        </row>
      </sheetData>
      <sheetData sheetId="1404">
        <row r="1">
          <cell r="B1">
            <v>0</v>
          </cell>
        </row>
      </sheetData>
      <sheetData sheetId="1405">
        <row r="1">
          <cell r="B1">
            <v>0</v>
          </cell>
        </row>
      </sheetData>
      <sheetData sheetId="1406">
        <row r="1">
          <cell r="B1">
            <v>0</v>
          </cell>
        </row>
      </sheetData>
      <sheetData sheetId="1407">
        <row r="1">
          <cell r="B1">
            <v>0</v>
          </cell>
        </row>
      </sheetData>
      <sheetData sheetId="1408">
        <row r="1">
          <cell r="B1">
            <v>0</v>
          </cell>
        </row>
      </sheetData>
      <sheetData sheetId="1409">
        <row r="1">
          <cell r="B1">
            <v>0</v>
          </cell>
        </row>
      </sheetData>
      <sheetData sheetId="1410">
        <row r="1">
          <cell r="B1">
            <v>0</v>
          </cell>
        </row>
      </sheetData>
      <sheetData sheetId="1411">
        <row r="1">
          <cell r="B1">
            <v>0</v>
          </cell>
        </row>
      </sheetData>
      <sheetData sheetId="1412">
        <row r="1">
          <cell r="B1">
            <v>0</v>
          </cell>
        </row>
      </sheetData>
      <sheetData sheetId="1413">
        <row r="1">
          <cell r="B1">
            <v>0</v>
          </cell>
        </row>
      </sheetData>
      <sheetData sheetId="1414">
        <row r="1">
          <cell r="B1">
            <v>0</v>
          </cell>
        </row>
      </sheetData>
      <sheetData sheetId="1415">
        <row r="1">
          <cell r="B1">
            <v>0</v>
          </cell>
        </row>
      </sheetData>
      <sheetData sheetId="1416">
        <row r="1">
          <cell r="B1">
            <v>0</v>
          </cell>
        </row>
      </sheetData>
      <sheetData sheetId="1417">
        <row r="1">
          <cell r="B1">
            <v>0</v>
          </cell>
        </row>
      </sheetData>
      <sheetData sheetId="1418">
        <row r="1">
          <cell r="B1">
            <v>0</v>
          </cell>
        </row>
      </sheetData>
      <sheetData sheetId="1419">
        <row r="1">
          <cell r="B1">
            <v>0</v>
          </cell>
        </row>
      </sheetData>
      <sheetData sheetId="1420">
        <row r="1">
          <cell r="B1">
            <v>0</v>
          </cell>
        </row>
      </sheetData>
      <sheetData sheetId="1421">
        <row r="1">
          <cell r="B1">
            <v>0</v>
          </cell>
        </row>
      </sheetData>
      <sheetData sheetId="1422">
        <row r="1">
          <cell r="B1">
            <v>0</v>
          </cell>
        </row>
      </sheetData>
      <sheetData sheetId="1423">
        <row r="1">
          <cell r="B1">
            <v>0</v>
          </cell>
        </row>
      </sheetData>
      <sheetData sheetId="1424">
        <row r="1">
          <cell r="B1">
            <v>0</v>
          </cell>
        </row>
      </sheetData>
      <sheetData sheetId="1425">
        <row r="1">
          <cell r="B1">
            <v>0</v>
          </cell>
        </row>
      </sheetData>
      <sheetData sheetId="1426">
        <row r="1">
          <cell r="B1">
            <v>0</v>
          </cell>
        </row>
      </sheetData>
      <sheetData sheetId="1427">
        <row r="1">
          <cell r="B1">
            <v>0</v>
          </cell>
        </row>
      </sheetData>
      <sheetData sheetId="1428">
        <row r="1">
          <cell r="B1">
            <v>0</v>
          </cell>
        </row>
      </sheetData>
      <sheetData sheetId="1429">
        <row r="1">
          <cell r="B1">
            <v>0</v>
          </cell>
        </row>
      </sheetData>
      <sheetData sheetId="1430">
        <row r="1">
          <cell r="B1">
            <v>0</v>
          </cell>
        </row>
      </sheetData>
      <sheetData sheetId="1431">
        <row r="1">
          <cell r="B1">
            <v>0</v>
          </cell>
        </row>
      </sheetData>
      <sheetData sheetId="1432">
        <row r="1">
          <cell r="B1">
            <v>0</v>
          </cell>
        </row>
      </sheetData>
      <sheetData sheetId="1433">
        <row r="1">
          <cell r="B1">
            <v>0</v>
          </cell>
        </row>
      </sheetData>
      <sheetData sheetId="1434">
        <row r="1">
          <cell r="B1">
            <v>0</v>
          </cell>
        </row>
      </sheetData>
      <sheetData sheetId="1435">
        <row r="1">
          <cell r="B1">
            <v>0</v>
          </cell>
        </row>
      </sheetData>
      <sheetData sheetId="1436">
        <row r="1">
          <cell r="B1">
            <v>0</v>
          </cell>
        </row>
      </sheetData>
      <sheetData sheetId="1437">
        <row r="1">
          <cell r="B1">
            <v>0</v>
          </cell>
        </row>
      </sheetData>
      <sheetData sheetId="1438">
        <row r="1">
          <cell r="B1">
            <v>0</v>
          </cell>
        </row>
      </sheetData>
      <sheetData sheetId="1439">
        <row r="1">
          <cell r="B1">
            <v>0</v>
          </cell>
        </row>
      </sheetData>
      <sheetData sheetId="1440">
        <row r="1">
          <cell r="B1">
            <v>0</v>
          </cell>
        </row>
      </sheetData>
      <sheetData sheetId="1441">
        <row r="1">
          <cell r="B1">
            <v>0</v>
          </cell>
        </row>
      </sheetData>
      <sheetData sheetId="1442">
        <row r="1">
          <cell r="B1">
            <v>0</v>
          </cell>
        </row>
      </sheetData>
      <sheetData sheetId="1443">
        <row r="1">
          <cell r="B1">
            <v>0</v>
          </cell>
        </row>
      </sheetData>
      <sheetData sheetId="1444">
        <row r="1">
          <cell r="B1">
            <v>0</v>
          </cell>
        </row>
      </sheetData>
      <sheetData sheetId="1445">
        <row r="1">
          <cell r="B1">
            <v>0</v>
          </cell>
        </row>
      </sheetData>
      <sheetData sheetId="1446">
        <row r="1">
          <cell r="B1">
            <v>0</v>
          </cell>
        </row>
      </sheetData>
      <sheetData sheetId="1447">
        <row r="1">
          <cell r="B1">
            <v>0</v>
          </cell>
        </row>
      </sheetData>
      <sheetData sheetId="1448">
        <row r="1">
          <cell r="B1">
            <v>0</v>
          </cell>
        </row>
      </sheetData>
      <sheetData sheetId="1449">
        <row r="1">
          <cell r="B1">
            <v>0</v>
          </cell>
        </row>
      </sheetData>
      <sheetData sheetId="1450">
        <row r="1">
          <cell r="B1">
            <v>0</v>
          </cell>
        </row>
      </sheetData>
      <sheetData sheetId="1451">
        <row r="1">
          <cell r="B1">
            <v>0</v>
          </cell>
        </row>
      </sheetData>
      <sheetData sheetId="1452">
        <row r="1">
          <cell r="B1">
            <v>0</v>
          </cell>
        </row>
      </sheetData>
      <sheetData sheetId="1453">
        <row r="1">
          <cell r="B1">
            <v>0</v>
          </cell>
        </row>
      </sheetData>
      <sheetData sheetId="1454">
        <row r="1">
          <cell r="B1">
            <v>0</v>
          </cell>
        </row>
      </sheetData>
      <sheetData sheetId="1455">
        <row r="1">
          <cell r="B1">
            <v>0</v>
          </cell>
        </row>
      </sheetData>
      <sheetData sheetId="1456">
        <row r="1">
          <cell r="B1">
            <v>0</v>
          </cell>
        </row>
      </sheetData>
      <sheetData sheetId="1457">
        <row r="1">
          <cell r="B1">
            <v>0</v>
          </cell>
        </row>
      </sheetData>
      <sheetData sheetId="1458">
        <row r="1">
          <cell r="B1">
            <v>0</v>
          </cell>
        </row>
      </sheetData>
      <sheetData sheetId="1459">
        <row r="1">
          <cell r="B1">
            <v>0</v>
          </cell>
        </row>
      </sheetData>
      <sheetData sheetId="1460">
        <row r="1">
          <cell r="B1">
            <v>0</v>
          </cell>
        </row>
      </sheetData>
      <sheetData sheetId="1461">
        <row r="1">
          <cell r="B1">
            <v>0</v>
          </cell>
        </row>
      </sheetData>
      <sheetData sheetId="1462">
        <row r="1">
          <cell r="B1">
            <v>0</v>
          </cell>
        </row>
      </sheetData>
      <sheetData sheetId="1463">
        <row r="1">
          <cell r="B1">
            <v>0</v>
          </cell>
        </row>
      </sheetData>
      <sheetData sheetId="1464">
        <row r="1">
          <cell r="B1">
            <v>0</v>
          </cell>
        </row>
      </sheetData>
      <sheetData sheetId="1465">
        <row r="1">
          <cell r="B1">
            <v>0</v>
          </cell>
        </row>
      </sheetData>
      <sheetData sheetId="1466">
        <row r="1">
          <cell r="B1">
            <v>0</v>
          </cell>
        </row>
      </sheetData>
      <sheetData sheetId="1467">
        <row r="1">
          <cell r="B1">
            <v>0</v>
          </cell>
        </row>
      </sheetData>
      <sheetData sheetId="1468">
        <row r="1">
          <cell r="B1">
            <v>0</v>
          </cell>
        </row>
      </sheetData>
      <sheetData sheetId="1469">
        <row r="1">
          <cell r="B1">
            <v>0</v>
          </cell>
        </row>
      </sheetData>
      <sheetData sheetId="1470">
        <row r="1">
          <cell r="B1">
            <v>0</v>
          </cell>
        </row>
      </sheetData>
      <sheetData sheetId="1471">
        <row r="1">
          <cell r="B1">
            <v>0</v>
          </cell>
        </row>
      </sheetData>
      <sheetData sheetId="1472">
        <row r="1">
          <cell r="B1">
            <v>0</v>
          </cell>
        </row>
      </sheetData>
      <sheetData sheetId="1473">
        <row r="1">
          <cell r="B1">
            <v>0</v>
          </cell>
        </row>
      </sheetData>
      <sheetData sheetId="1474">
        <row r="1">
          <cell r="B1">
            <v>0</v>
          </cell>
        </row>
      </sheetData>
      <sheetData sheetId="1475">
        <row r="1">
          <cell r="B1">
            <v>0</v>
          </cell>
        </row>
      </sheetData>
      <sheetData sheetId="1476">
        <row r="1">
          <cell r="B1">
            <v>0</v>
          </cell>
        </row>
      </sheetData>
      <sheetData sheetId="1477">
        <row r="1">
          <cell r="B1">
            <v>0</v>
          </cell>
        </row>
      </sheetData>
      <sheetData sheetId="1478">
        <row r="1">
          <cell r="B1">
            <v>0</v>
          </cell>
        </row>
      </sheetData>
      <sheetData sheetId="1479">
        <row r="1">
          <cell r="B1">
            <v>0</v>
          </cell>
        </row>
      </sheetData>
      <sheetData sheetId="1480">
        <row r="1">
          <cell r="B1">
            <v>0</v>
          </cell>
        </row>
      </sheetData>
      <sheetData sheetId="1481">
        <row r="1">
          <cell r="B1">
            <v>0</v>
          </cell>
        </row>
      </sheetData>
      <sheetData sheetId="1482">
        <row r="1">
          <cell r="B1">
            <v>0</v>
          </cell>
        </row>
      </sheetData>
      <sheetData sheetId="1483">
        <row r="1">
          <cell r="B1">
            <v>0</v>
          </cell>
        </row>
      </sheetData>
      <sheetData sheetId="1484">
        <row r="1">
          <cell r="B1">
            <v>0</v>
          </cell>
        </row>
      </sheetData>
      <sheetData sheetId="1485">
        <row r="1">
          <cell r="B1">
            <v>0</v>
          </cell>
        </row>
      </sheetData>
      <sheetData sheetId="1486" refreshError="1"/>
      <sheetData sheetId="1487" refreshError="1"/>
      <sheetData sheetId="1488" refreshError="1"/>
      <sheetData sheetId="1489" refreshError="1"/>
      <sheetData sheetId="1490" refreshError="1"/>
      <sheetData sheetId="1491" refreshError="1"/>
      <sheetData sheetId="1492" refreshError="1"/>
      <sheetData sheetId="1493">
        <row r="1">
          <cell r="B1">
            <v>0</v>
          </cell>
        </row>
      </sheetData>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sheetData sheetId="1571">
        <row r="1">
          <cell r="B1">
            <v>0</v>
          </cell>
        </row>
      </sheetData>
      <sheetData sheetId="1572" refreshError="1"/>
      <sheetData sheetId="1573"/>
      <sheetData sheetId="1574"/>
      <sheetData sheetId="1575">
        <row r="1">
          <cell r="B1">
            <v>0</v>
          </cell>
        </row>
      </sheetData>
      <sheetData sheetId="1576"/>
      <sheetData sheetId="1577">
        <row r="1">
          <cell r="B1">
            <v>0</v>
          </cell>
        </row>
      </sheetData>
      <sheetData sheetId="1578">
        <row r="1">
          <cell r="B1">
            <v>0</v>
          </cell>
        </row>
      </sheetData>
      <sheetData sheetId="1579"/>
      <sheetData sheetId="1580"/>
      <sheetData sheetId="1581"/>
      <sheetData sheetId="1582">
        <row r="1">
          <cell r="B1">
            <v>0</v>
          </cell>
        </row>
      </sheetData>
      <sheetData sheetId="1583">
        <row r="1">
          <cell r="B1">
            <v>0</v>
          </cell>
        </row>
      </sheetData>
      <sheetData sheetId="1584"/>
      <sheetData sheetId="1585">
        <row r="1">
          <cell r="B1">
            <v>0</v>
          </cell>
        </row>
      </sheetData>
      <sheetData sheetId="1586">
        <row r="1">
          <cell r="B1">
            <v>0</v>
          </cell>
        </row>
      </sheetData>
      <sheetData sheetId="1587">
        <row r="1">
          <cell r="B1">
            <v>0</v>
          </cell>
        </row>
      </sheetData>
      <sheetData sheetId="1588"/>
      <sheetData sheetId="1589">
        <row r="1">
          <cell r="B1">
            <v>0</v>
          </cell>
        </row>
      </sheetData>
      <sheetData sheetId="1590"/>
      <sheetData sheetId="1591">
        <row r="1">
          <cell r="B1">
            <v>0</v>
          </cell>
        </row>
      </sheetData>
      <sheetData sheetId="1592"/>
      <sheetData sheetId="1593">
        <row r="1">
          <cell r="B1">
            <v>0</v>
          </cell>
        </row>
      </sheetData>
      <sheetData sheetId="1594"/>
      <sheetData sheetId="1595">
        <row r="1">
          <cell r="B1">
            <v>0</v>
          </cell>
        </row>
      </sheetData>
      <sheetData sheetId="1596"/>
      <sheetData sheetId="1597"/>
      <sheetData sheetId="1598">
        <row r="1">
          <cell r="B1">
            <v>0</v>
          </cell>
        </row>
      </sheetData>
      <sheetData sheetId="1599">
        <row r="1">
          <cell r="B1">
            <v>0</v>
          </cell>
        </row>
      </sheetData>
      <sheetData sheetId="1600"/>
      <sheetData sheetId="1601">
        <row r="1">
          <cell r="B1">
            <v>0</v>
          </cell>
        </row>
      </sheetData>
      <sheetData sheetId="1602"/>
      <sheetData sheetId="1603">
        <row r="1">
          <cell r="B1">
            <v>0</v>
          </cell>
        </row>
      </sheetData>
      <sheetData sheetId="1604"/>
      <sheetData sheetId="1605">
        <row r="1">
          <cell r="B1">
            <v>0</v>
          </cell>
        </row>
      </sheetData>
      <sheetData sheetId="1606"/>
      <sheetData sheetId="1607">
        <row r="1">
          <cell r="B1">
            <v>0</v>
          </cell>
        </row>
      </sheetData>
      <sheetData sheetId="1608"/>
      <sheetData sheetId="1609">
        <row r="1">
          <cell r="B1">
            <v>0</v>
          </cell>
        </row>
      </sheetData>
      <sheetData sheetId="1610">
        <row r="1">
          <cell r="B1">
            <v>0</v>
          </cell>
        </row>
      </sheetData>
      <sheetData sheetId="1611"/>
      <sheetData sheetId="1612">
        <row r="1">
          <cell r="B1">
            <v>0</v>
          </cell>
        </row>
      </sheetData>
      <sheetData sheetId="1613">
        <row r="1">
          <cell r="B1">
            <v>0</v>
          </cell>
        </row>
      </sheetData>
      <sheetData sheetId="1614">
        <row r="1">
          <cell r="B1">
            <v>0</v>
          </cell>
        </row>
      </sheetData>
      <sheetData sheetId="1615"/>
      <sheetData sheetId="1616">
        <row r="1">
          <cell r="B1">
            <v>0</v>
          </cell>
        </row>
      </sheetData>
      <sheetData sheetId="1617">
        <row r="1">
          <cell r="B1">
            <v>0</v>
          </cell>
        </row>
      </sheetData>
      <sheetData sheetId="1618">
        <row r="1">
          <cell r="B1">
            <v>0</v>
          </cell>
        </row>
      </sheetData>
      <sheetData sheetId="1619"/>
      <sheetData sheetId="1620">
        <row r="1">
          <cell r="B1">
            <v>0</v>
          </cell>
        </row>
      </sheetData>
      <sheetData sheetId="1621">
        <row r="1">
          <cell r="B1">
            <v>0</v>
          </cell>
        </row>
      </sheetData>
      <sheetData sheetId="1622"/>
      <sheetData sheetId="1623">
        <row r="1">
          <cell r="B1">
            <v>0</v>
          </cell>
        </row>
      </sheetData>
      <sheetData sheetId="1624"/>
      <sheetData sheetId="1625">
        <row r="1">
          <cell r="B1">
            <v>0</v>
          </cell>
        </row>
      </sheetData>
      <sheetData sheetId="1626"/>
      <sheetData sheetId="1627">
        <row r="1">
          <cell r="B1">
            <v>0</v>
          </cell>
        </row>
      </sheetData>
      <sheetData sheetId="1628"/>
      <sheetData sheetId="1629">
        <row r="1">
          <cell r="B1">
            <v>0</v>
          </cell>
        </row>
      </sheetData>
      <sheetData sheetId="1630"/>
      <sheetData sheetId="1631">
        <row r="1">
          <cell r="B1">
            <v>0</v>
          </cell>
        </row>
      </sheetData>
      <sheetData sheetId="1632">
        <row r="1">
          <cell r="B1">
            <v>0</v>
          </cell>
        </row>
      </sheetData>
      <sheetData sheetId="1633"/>
      <sheetData sheetId="1634">
        <row r="1">
          <cell r="B1">
            <v>0</v>
          </cell>
        </row>
      </sheetData>
      <sheetData sheetId="1635"/>
      <sheetData sheetId="1636">
        <row r="1">
          <cell r="B1">
            <v>0</v>
          </cell>
        </row>
      </sheetData>
      <sheetData sheetId="1637"/>
      <sheetData sheetId="1638">
        <row r="1">
          <cell r="B1">
            <v>0</v>
          </cell>
        </row>
      </sheetData>
      <sheetData sheetId="1639"/>
      <sheetData sheetId="1640">
        <row r="1">
          <cell r="B1">
            <v>0</v>
          </cell>
        </row>
      </sheetData>
      <sheetData sheetId="1641"/>
      <sheetData sheetId="1642">
        <row r="1">
          <cell r="B1">
            <v>0</v>
          </cell>
        </row>
      </sheetData>
      <sheetData sheetId="1643">
        <row r="1">
          <cell r="B1">
            <v>0</v>
          </cell>
        </row>
      </sheetData>
      <sheetData sheetId="1644">
        <row r="1">
          <cell r="B1">
            <v>0</v>
          </cell>
        </row>
      </sheetData>
      <sheetData sheetId="1645">
        <row r="1">
          <cell r="B1">
            <v>0</v>
          </cell>
        </row>
      </sheetData>
      <sheetData sheetId="1646">
        <row r="1">
          <cell r="B1">
            <v>0</v>
          </cell>
        </row>
      </sheetData>
      <sheetData sheetId="1647">
        <row r="1">
          <cell r="B1">
            <v>0</v>
          </cell>
        </row>
      </sheetData>
      <sheetData sheetId="1648">
        <row r="1">
          <cell r="B1">
            <v>0</v>
          </cell>
        </row>
      </sheetData>
      <sheetData sheetId="1649">
        <row r="1">
          <cell r="B1">
            <v>0</v>
          </cell>
        </row>
      </sheetData>
      <sheetData sheetId="1650"/>
      <sheetData sheetId="1651">
        <row r="1">
          <cell r="B1">
            <v>0</v>
          </cell>
        </row>
      </sheetData>
      <sheetData sheetId="1652">
        <row r="1">
          <cell r="B1">
            <v>0</v>
          </cell>
        </row>
      </sheetData>
      <sheetData sheetId="1653">
        <row r="1">
          <cell r="B1">
            <v>0</v>
          </cell>
        </row>
      </sheetData>
      <sheetData sheetId="1654">
        <row r="1">
          <cell r="B1">
            <v>0</v>
          </cell>
        </row>
      </sheetData>
      <sheetData sheetId="1655"/>
      <sheetData sheetId="1656">
        <row r="1">
          <cell r="B1">
            <v>0</v>
          </cell>
        </row>
      </sheetData>
      <sheetData sheetId="1657"/>
      <sheetData sheetId="1658">
        <row r="1">
          <cell r="B1">
            <v>0</v>
          </cell>
        </row>
      </sheetData>
      <sheetData sheetId="1659"/>
      <sheetData sheetId="1660">
        <row r="1">
          <cell r="B1">
            <v>0</v>
          </cell>
        </row>
      </sheetData>
      <sheetData sheetId="1661">
        <row r="1">
          <cell r="B1">
            <v>0</v>
          </cell>
        </row>
      </sheetData>
      <sheetData sheetId="1662">
        <row r="1">
          <cell r="B1">
            <v>0</v>
          </cell>
        </row>
      </sheetData>
      <sheetData sheetId="1663"/>
      <sheetData sheetId="1664">
        <row r="1">
          <cell r="B1">
            <v>0</v>
          </cell>
        </row>
      </sheetData>
      <sheetData sheetId="1665">
        <row r="1">
          <cell r="B1">
            <v>0</v>
          </cell>
        </row>
      </sheetData>
      <sheetData sheetId="1666"/>
      <sheetData sheetId="1667">
        <row r="1">
          <cell r="B1">
            <v>0</v>
          </cell>
        </row>
      </sheetData>
      <sheetData sheetId="1668">
        <row r="1">
          <cell r="B1">
            <v>0</v>
          </cell>
        </row>
      </sheetData>
      <sheetData sheetId="1669">
        <row r="1">
          <cell r="B1">
            <v>0</v>
          </cell>
        </row>
      </sheetData>
      <sheetData sheetId="1670"/>
      <sheetData sheetId="1671">
        <row r="1">
          <cell r="B1">
            <v>0</v>
          </cell>
        </row>
      </sheetData>
      <sheetData sheetId="1672"/>
      <sheetData sheetId="1673">
        <row r="1">
          <cell r="B1">
            <v>0</v>
          </cell>
        </row>
      </sheetData>
      <sheetData sheetId="1674"/>
      <sheetData sheetId="1675">
        <row r="1">
          <cell r="B1">
            <v>0</v>
          </cell>
        </row>
      </sheetData>
      <sheetData sheetId="1676">
        <row r="1">
          <cell r="B1">
            <v>0</v>
          </cell>
        </row>
      </sheetData>
      <sheetData sheetId="1677"/>
      <sheetData sheetId="1678">
        <row r="1">
          <cell r="B1">
            <v>0</v>
          </cell>
        </row>
      </sheetData>
      <sheetData sheetId="1679"/>
      <sheetData sheetId="1680">
        <row r="1">
          <cell r="B1">
            <v>0</v>
          </cell>
        </row>
      </sheetData>
      <sheetData sheetId="1681">
        <row r="1">
          <cell r="B1">
            <v>0</v>
          </cell>
        </row>
      </sheetData>
      <sheetData sheetId="1682">
        <row r="1">
          <cell r="B1">
            <v>0</v>
          </cell>
        </row>
      </sheetData>
      <sheetData sheetId="1683"/>
      <sheetData sheetId="1684">
        <row r="1">
          <cell r="B1">
            <v>0</v>
          </cell>
        </row>
      </sheetData>
      <sheetData sheetId="1685">
        <row r="1">
          <cell r="B1">
            <v>0</v>
          </cell>
        </row>
      </sheetData>
      <sheetData sheetId="1686">
        <row r="1">
          <cell r="B1">
            <v>0</v>
          </cell>
        </row>
      </sheetData>
      <sheetData sheetId="1687">
        <row r="1">
          <cell r="B1">
            <v>0</v>
          </cell>
        </row>
      </sheetData>
      <sheetData sheetId="1688">
        <row r="1">
          <cell r="B1">
            <v>0</v>
          </cell>
        </row>
      </sheetData>
      <sheetData sheetId="1689">
        <row r="1">
          <cell r="B1">
            <v>0</v>
          </cell>
        </row>
      </sheetData>
      <sheetData sheetId="1690">
        <row r="1">
          <cell r="B1">
            <v>0</v>
          </cell>
        </row>
      </sheetData>
      <sheetData sheetId="1691">
        <row r="1">
          <cell r="B1">
            <v>0</v>
          </cell>
        </row>
      </sheetData>
      <sheetData sheetId="1692">
        <row r="1">
          <cell r="B1">
            <v>0</v>
          </cell>
        </row>
      </sheetData>
      <sheetData sheetId="1693">
        <row r="1">
          <cell r="B1">
            <v>0</v>
          </cell>
        </row>
      </sheetData>
      <sheetData sheetId="1694">
        <row r="1">
          <cell r="B1">
            <v>0</v>
          </cell>
        </row>
      </sheetData>
      <sheetData sheetId="1695">
        <row r="1">
          <cell r="B1">
            <v>0</v>
          </cell>
        </row>
      </sheetData>
      <sheetData sheetId="1696"/>
      <sheetData sheetId="1697">
        <row r="1">
          <cell r="B1">
            <v>0</v>
          </cell>
        </row>
      </sheetData>
      <sheetData sheetId="1698">
        <row r="1">
          <cell r="B1">
            <v>0</v>
          </cell>
        </row>
      </sheetData>
      <sheetData sheetId="1699">
        <row r="1">
          <cell r="B1">
            <v>0</v>
          </cell>
        </row>
      </sheetData>
      <sheetData sheetId="1700">
        <row r="1">
          <cell r="B1">
            <v>0</v>
          </cell>
        </row>
      </sheetData>
      <sheetData sheetId="1701"/>
      <sheetData sheetId="1702">
        <row r="1">
          <cell r="B1">
            <v>0</v>
          </cell>
        </row>
      </sheetData>
      <sheetData sheetId="1703"/>
      <sheetData sheetId="1704">
        <row r="1">
          <cell r="B1">
            <v>0</v>
          </cell>
        </row>
      </sheetData>
      <sheetData sheetId="1705"/>
      <sheetData sheetId="1706">
        <row r="1">
          <cell r="B1">
            <v>0</v>
          </cell>
        </row>
      </sheetData>
      <sheetData sheetId="1707"/>
      <sheetData sheetId="1708">
        <row r="1">
          <cell r="B1">
            <v>0</v>
          </cell>
        </row>
      </sheetData>
      <sheetData sheetId="1709">
        <row r="1">
          <cell r="B1">
            <v>0</v>
          </cell>
        </row>
      </sheetData>
      <sheetData sheetId="1710"/>
      <sheetData sheetId="1711"/>
      <sheetData sheetId="1712">
        <row r="1">
          <cell r="B1">
            <v>0</v>
          </cell>
        </row>
      </sheetData>
      <sheetData sheetId="1713"/>
      <sheetData sheetId="1714">
        <row r="1">
          <cell r="B1">
            <v>0</v>
          </cell>
        </row>
      </sheetData>
      <sheetData sheetId="1715">
        <row r="1">
          <cell r="B1">
            <v>0</v>
          </cell>
        </row>
      </sheetData>
      <sheetData sheetId="1716">
        <row r="1">
          <cell r="B1">
            <v>0</v>
          </cell>
        </row>
      </sheetData>
      <sheetData sheetId="1717">
        <row r="1">
          <cell r="B1">
            <v>0</v>
          </cell>
        </row>
      </sheetData>
      <sheetData sheetId="1718">
        <row r="1">
          <cell r="B1">
            <v>0</v>
          </cell>
        </row>
      </sheetData>
      <sheetData sheetId="1719">
        <row r="1">
          <cell r="B1">
            <v>0</v>
          </cell>
        </row>
      </sheetData>
      <sheetData sheetId="1720">
        <row r="1">
          <cell r="B1">
            <v>0</v>
          </cell>
        </row>
      </sheetData>
      <sheetData sheetId="1721">
        <row r="1">
          <cell r="B1">
            <v>0</v>
          </cell>
        </row>
      </sheetData>
      <sheetData sheetId="1722">
        <row r="1">
          <cell r="B1">
            <v>0</v>
          </cell>
        </row>
      </sheetData>
      <sheetData sheetId="1723">
        <row r="1">
          <cell r="B1">
            <v>0</v>
          </cell>
        </row>
      </sheetData>
      <sheetData sheetId="1724">
        <row r="1">
          <cell r="B1">
            <v>0</v>
          </cell>
        </row>
      </sheetData>
      <sheetData sheetId="1725">
        <row r="1">
          <cell r="B1">
            <v>0</v>
          </cell>
        </row>
      </sheetData>
      <sheetData sheetId="1726">
        <row r="1">
          <cell r="B1">
            <v>0</v>
          </cell>
        </row>
      </sheetData>
      <sheetData sheetId="1727"/>
      <sheetData sheetId="1728">
        <row r="1">
          <cell r="B1">
            <v>0</v>
          </cell>
        </row>
      </sheetData>
      <sheetData sheetId="1729">
        <row r="1">
          <cell r="B1">
            <v>0</v>
          </cell>
        </row>
      </sheetData>
      <sheetData sheetId="1730"/>
      <sheetData sheetId="1731"/>
      <sheetData sheetId="1732">
        <row r="1">
          <cell r="B1">
            <v>0</v>
          </cell>
        </row>
      </sheetData>
      <sheetData sheetId="1733">
        <row r="1">
          <cell r="B1">
            <v>0</v>
          </cell>
        </row>
      </sheetData>
      <sheetData sheetId="1734">
        <row r="1">
          <cell r="B1">
            <v>0</v>
          </cell>
        </row>
      </sheetData>
      <sheetData sheetId="1735">
        <row r="1">
          <cell r="B1">
            <v>0</v>
          </cell>
        </row>
      </sheetData>
      <sheetData sheetId="1736">
        <row r="1">
          <cell r="B1">
            <v>0</v>
          </cell>
        </row>
      </sheetData>
      <sheetData sheetId="1737">
        <row r="1">
          <cell r="B1">
            <v>0</v>
          </cell>
        </row>
      </sheetData>
      <sheetData sheetId="1738">
        <row r="1">
          <cell r="B1">
            <v>0</v>
          </cell>
        </row>
      </sheetData>
      <sheetData sheetId="1739">
        <row r="1">
          <cell r="B1">
            <v>0</v>
          </cell>
        </row>
      </sheetData>
      <sheetData sheetId="1740">
        <row r="1">
          <cell r="B1">
            <v>0</v>
          </cell>
        </row>
      </sheetData>
      <sheetData sheetId="1741">
        <row r="1">
          <cell r="B1">
            <v>0</v>
          </cell>
        </row>
      </sheetData>
      <sheetData sheetId="1742">
        <row r="1">
          <cell r="B1">
            <v>0</v>
          </cell>
        </row>
      </sheetData>
      <sheetData sheetId="1743">
        <row r="1">
          <cell r="B1">
            <v>0</v>
          </cell>
        </row>
      </sheetData>
      <sheetData sheetId="1744">
        <row r="1">
          <cell r="B1">
            <v>0</v>
          </cell>
        </row>
      </sheetData>
      <sheetData sheetId="1745">
        <row r="1">
          <cell r="B1">
            <v>0</v>
          </cell>
        </row>
      </sheetData>
      <sheetData sheetId="1746">
        <row r="1">
          <cell r="B1">
            <v>0</v>
          </cell>
        </row>
      </sheetData>
      <sheetData sheetId="1747">
        <row r="1">
          <cell r="B1">
            <v>0</v>
          </cell>
        </row>
      </sheetData>
      <sheetData sheetId="1748">
        <row r="1">
          <cell r="B1">
            <v>0</v>
          </cell>
        </row>
      </sheetData>
      <sheetData sheetId="1749">
        <row r="1">
          <cell r="B1">
            <v>0</v>
          </cell>
        </row>
      </sheetData>
      <sheetData sheetId="1750">
        <row r="1">
          <cell r="B1">
            <v>0</v>
          </cell>
        </row>
      </sheetData>
      <sheetData sheetId="1751">
        <row r="1">
          <cell r="B1">
            <v>0</v>
          </cell>
        </row>
      </sheetData>
      <sheetData sheetId="1752">
        <row r="1">
          <cell r="B1">
            <v>0</v>
          </cell>
        </row>
      </sheetData>
      <sheetData sheetId="1753">
        <row r="1">
          <cell r="B1">
            <v>0</v>
          </cell>
        </row>
      </sheetData>
      <sheetData sheetId="1754">
        <row r="1">
          <cell r="B1">
            <v>0</v>
          </cell>
        </row>
      </sheetData>
      <sheetData sheetId="1755">
        <row r="1">
          <cell r="B1">
            <v>0</v>
          </cell>
        </row>
      </sheetData>
      <sheetData sheetId="1756">
        <row r="1">
          <cell r="B1">
            <v>0</v>
          </cell>
        </row>
      </sheetData>
      <sheetData sheetId="1757"/>
      <sheetData sheetId="1758">
        <row r="1">
          <cell r="B1">
            <v>0</v>
          </cell>
        </row>
      </sheetData>
      <sheetData sheetId="1759">
        <row r="1">
          <cell r="B1">
            <v>0</v>
          </cell>
        </row>
      </sheetData>
      <sheetData sheetId="1760"/>
      <sheetData sheetId="1761"/>
      <sheetData sheetId="1762">
        <row r="1">
          <cell r="B1">
            <v>0</v>
          </cell>
        </row>
      </sheetData>
      <sheetData sheetId="1763">
        <row r="1">
          <cell r="B1">
            <v>0</v>
          </cell>
        </row>
      </sheetData>
      <sheetData sheetId="1764"/>
      <sheetData sheetId="1765">
        <row r="1">
          <cell r="B1">
            <v>0</v>
          </cell>
        </row>
      </sheetData>
      <sheetData sheetId="1766">
        <row r="1">
          <cell r="B1">
            <v>0</v>
          </cell>
        </row>
      </sheetData>
      <sheetData sheetId="1767">
        <row r="1">
          <cell r="B1">
            <v>0</v>
          </cell>
        </row>
      </sheetData>
      <sheetData sheetId="1768">
        <row r="1">
          <cell r="B1">
            <v>0</v>
          </cell>
        </row>
      </sheetData>
      <sheetData sheetId="1769">
        <row r="1">
          <cell r="B1">
            <v>0</v>
          </cell>
        </row>
      </sheetData>
      <sheetData sheetId="1770">
        <row r="1">
          <cell r="B1">
            <v>0</v>
          </cell>
        </row>
      </sheetData>
      <sheetData sheetId="1771">
        <row r="1">
          <cell r="B1">
            <v>0</v>
          </cell>
        </row>
      </sheetData>
      <sheetData sheetId="1772">
        <row r="1">
          <cell r="B1">
            <v>0</v>
          </cell>
        </row>
      </sheetData>
      <sheetData sheetId="1773">
        <row r="1">
          <cell r="B1">
            <v>0</v>
          </cell>
        </row>
      </sheetData>
      <sheetData sheetId="1774">
        <row r="1">
          <cell r="B1">
            <v>0</v>
          </cell>
        </row>
      </sheetData>
      <sheetData sheetId="1775">
        <row r="1">
          <cell r="B1">
            <v>0</v>
          </cell>
        </row>
      </sheetData>
      <sheetData sheetId="1776" refreshError="1"/>
      <sheetData sheetId="1777" refreshError="1"/>
      <sheetData sheetId="1778"/>
      <sheetData sheetId="1779"/>
      <sheetData sheetId="1780">
        <row r="1">
          <cell r="B1">
            <v>0</v>
          </cell>
        </row>
      </sheetData>
      <sheetData sheetId="1781">
        <row r="1">
          <cell r="B1">
            <v>0</v>
          </cell>
        </row>
      </sheetData>
      <sheetData sheetId="1782">
        <row r="1">
          <cell r="B1">
            <v>0</v>
          </cell>
        </row>
      </sheetData>
      <sheetData sheetId="1783" refreshError="1"/>
      <sheetData sheetId="1784">
        <row r="1">
          <cell r="B1">
            <v>0</v>
          </cell>
        </row>
      </sheetData>
      <sheetData sheetId="1785">
        <row r="1">
          <cell r="B1">
            <v>0</v>
          </cell>
        </row>
      </sheetData>
      <sheetData sheetId="1786">
        <row r="1">
          <cell r="B1">
            <v>0</v>
          </cell>
        </row>
      </sheetData>
      <sheetData sheetId="1787">
        <row r="1">
          <cell r="B1">
            <v>0</v>
          </cell>
        </row>
      </sheetData>
      <sheetData sheetId="1788">
        <row r="1">
          <cell r="B1">
            <v>0</v>
          </cell>
        </row>
      </sheetData>
      <sheetData sheetId="1789"/>
      <sheetData sheetId="1790">
        <row r="1">
          <cell r="B1">
            <v>0</v>
          </cell>
        </row>
      </sheetData>
      <sheetData sheetId="1791">
        <row r="1">
          <cell r="B1">
            <v>0</v>
          </cell>
        </row>
      </sheetData>
      <sheetData sheetId="1792"/>
      <sheetData sheetId="1793"/>
      <sheetData sheetId="1794"/>
      <sheetData sheetId="1795">
        <row r="1">
          <cell r="B1">
            <v>0</v>
          </cell>
        </row>
      </sheetData>
      <sheetData sheetId="1796">
        <row r="1">
          <cell r="B1">
            <v>0</v>
          </cell>
        </row>
      </sheetData>
      <sheetData sheetId="1797"/>
      <sheetData sheetId="1798"/>
      <sheetData sheetId="1799">
        <row r="1">
          <cell r="B1">
            <v>0</v>
          </cell>
        </row>
      </sheetData>
      <sheetData sheetId="1800">
        <row r="1">
          <cell r="B1">
            <v>0</v>
          </cell>
        </row>
      </sheetData>
      <sheetData sheetId="1801">
        <row r="1">
          <cell r="B1">
            <v>0</v>
          </cell>
        </row>
      </sheetData>
      <sheetData sheetId="1802">
        <row r="1">
          <cell r="B1">
            <v>0</v>
          </cell>
        </row>
      </sheetData>
      <sheetData sheetId="1803">
        <row r="1">
          <cell r="B1">
            <v>0</v>
          </cell>
        </row>
      </sheetData>
      <sheetData sheetId="1804">
        <row r="1">
          <cell r="B1">
            <v>0</v>
          </cell>
        </row>
      </sheetData>
      <sheetData sheetId="1805">
        <row r="1">
          <cell r="B1">
            <v>0</v>
          </cell>
        </row>
      </sheetData>
      <sheetData sheetId="1806">
        <row r="1">
          <cell r="B1">
            <v>0</v>
          </cell>
        </row>
      </sheetData>
      <sheetData sheetId="1807">
        <row r="1">
          <cell r="B1">
            <v>0</v>
          </cell>
        </row>
      </sheetData>
      <sheetData sheetId="1808">
        <row r="1">
          <cell r="B1">
            <v>0</v>
          </cell>
        </row>
      </sheetData>
      <sheetData sheetId="1809"/>
      <sheetData sheetId="1810"/>
      <sheetData sheetId="1811">
        <row r="1">
          <cell r="B1">
            <v>0</v>
          </cell>
        </row>
      </sheetData>
      <sheetData sheetId="1812"/>
      <sheetData sheetId="1813"/>
      <sheetData sheetId="1814"/>
      <sheetData sheetId="1815">
        <row r="1">
          <cell r="B1">
            <v>0</v>
          </cell>
        </row>
      </sheetData>
      <sheetData sheetId="1816"/>
      <sheetData sheetId="1817">
        <row r="1">
          <cell r="B1">
            <v>0</v>
          </cell>
        </row>
      </sheetData>
      <sheetData sheetId="1818">
        <row r="1">
          <cell r="B1">
            <v>0</v>
          </cell>
        </row>
      </sheetData>
      <sheetData sheetId="1819">
        <row r="1">
          <cell r="B1">
            <v>0</v>
          </cell>
        </row>
      </sheetData>
      <sheetData sheetId="1820">
        <row r="1">
          <cell r="B1">
            <v>0</v>
          </cell>
        </row>
      </sheetData>
      <sheetData sheetId="1821">
        <row r="1">
          <cell r="B1">
            <v>0</v>
          </cell>
        </row>
      </sheetData>
      <sheetData sheetId="1822">
        <row r="1">
          <cell r="B1">
            <v>0</v>
          </cell>
        </row>
      </sheetData>
      <sheetData sheetId="1823">
        <row r="1">
          <cell r="B1">
            <v>0</v>
          </cell>
        </row>
      </sheetData>
      <sheetData sheetId="1824">
        <row r="1">
          <cell r="B1">
            <v>0</v>
          </cell>
        </row>
      </sheetData>
      <sheetData sheetId="1825">
        <row r="1">
          <cell r="B1">
            <v>0</v>
          </cell>
        </row>
      </sheetData>
      <sheetData sheetId="1826">
        <row r="1">
          <cell r="B1">
            <v>0</v>
          </cell>
        </row>
      </sheetData>
      <sheetData sheetId="1827"/>
      <sheetData sheetId="1828">
        <row r="1">
          <cell r="B1">
            <v>0</v>
          </cell>
        </row>
      </sheetData>
      <sheetData sheetId="1829">
        <row r="1">
          <cell r="B1">
            <v>0</v>
          </cell>
        </row>
      </sheetData>
      <sheetData sheetId="1830">
        <row r="1">
          <cell r="B1">
            <v>0</v>
          </cell>
        </row>
      </sheetData>
      <sheetData sheetId="1831">
        <row r="1">
          <cell r="B1">
            <v>0</v>
          </cell>
        </row>
      </sheetData>
      <sheetData sheetId="1832">
        <row r="1">
          <cell r="B1">
            <v>0</v>
          </cell>
        </row>
      </sheetData>
      <sheetData sheetId="1833">
        <row r="1">
          <cell r="B1">
            <v>0</v>
          </cell>
        </row>
      </sheetData>
      <sheetData sheetId="1834"/>
      <sheetData sheetId="1835"/>
      <sheetData sheetId="1836"/>
      <sheetData sheetId="1837">
        <row r="1">
          <cell r="B1">
            <v>0</v>
          </cell>
        </row>
      </sheetData>
      <sheetData sheetId="1838"/>
      <sheetData sheetId="1839"/>
      <sheetData sheetId="1840">
        <row r="1">
          <cell r="B1">
            <v>0</v>
          </cell>
        </row>
      </sheetData>
      <sheetData sheetId="1841"/>
      <sheetData sheetId="1842"/>
      <sheetData sheetId="1843"/>
      <sheetData sheetId="1844"/>
      <sheetData sheetId="1845"/>
      <sheetData sheetId="1846"/>
      <sheetData sheetId="1847"/>
      <sheetData sheetId="1848"/>
      <sheetData sheetId="1849"/>
      <sheetData sheetId="1850"/>
      <sheetData sheetId="1851"/>
      <sheetData sheetId="1852">
        <row r="1">
          <cell r="B1">
            <v>0</v>
          </cell>
        </row>
      </sheetData>
      <sheetData sheetId="1853"/>
      <sheetData sheetId="1854"/>
      <sheetData sheetId="1855">
        <row r="1">
          <cell r="B1">
            <v>0</v>
          </cell>
        </row>
      </sheetData>
      <sheetData sheetId="1856"/>
      <sheetData sheetId="1857"/>
      <sheetData sheetId="1858"/>
      <sheetData sheetId="1859"/>
      <sheetData sheetId="1860">
        <row r="1">
          <cell r="B1">
            <v>0</v>
          </cell>
        </row>
      </sheetData>
      <sheetData sheetId="1861"/>
      <sheetData sheetId="1862"/>
      <sheetData sheetId="1863"/>
      <sheetData sheetId="1864"/>
      <sheetData sheetId="1865"/>
      <sheetData sheetId="1866">
        <row r="1">
          <cell r="B1">
            <v>0</v>
          </cell>
        </row>
      </sheetData>
      <sheetData sheetId="1867"/>
      <sheetData sheetId="1868"/>
      <sheetData sheetId="1869"/>
      <sheetData sheetId="1870"/>
      <sheetData sheetId="1871">
        <row r="1">
          <cell r="B1">
            <v>0</v>
          </cell>
        </row>
      </sheetData>
      <sheetData sheetId="1872"/>
      <sheetData sheetId="1873"/>
      <sheetData sheetId="1874"/>
      <sheetData sheetId="1875"/>
      <sheetData sheetId="1876"/>
      <sheetData sheetId="1877">
        <row r="1">
          <cell r="B1">
            <v>0</v>
          </cell>
        </row>
      </sheetData>
      <sheetData sheetId="1878"/>
      <sheetData sheetId="1879"/>
      <sheetData sheetId="1880"/>
      <sheetData sheetId="1881"/>
      <sheetData sheetId="1882">
        <row r="1">
          <cell r="B1">
            <v>0</v>
          </cell>
        </row>
      </sheetData>
      <sheetData sheetId="1883"/>
      <sheetData sheetId="1884"/>
      <sheetData sheetId="1885"/>
      <sheetData sheetId="1886"/>
      <sheetData sheetId="1887"/>
      <sheetData sheetId="1888">
        <row r="1">
          <cell r="B1">
            <v>0</v>
          </cell>
        </row>
      </sheetData>
      <sheetData sheetId="1889"/>
      <sheetData sheetId="1890"/>
      <sheetData sheetId="1891"/>
      <sheetData sheetId="1892"/>
      <sheetData sheetId="1893">
        <row r="1">
          <cell r="B1">
            <v>0</v>
          </cell>
        </row>
      </sheetData>
      <sheetData sheetId="1894"/>
      <sheetData sheetId="1895"/>
      <sheetData sheetId="1896"/>
      <sheetData sheetId="1897"/>
      <sheetData sheetId="1898"/>
      <sheetData sheetId="1899">
        <row r="1">
          <cell r="B1">
            <v>0</v>
          </cell>
        </row>
      </sheetData>
      <sheetData sheetId="1900"/>
      <sheetData sheetId="1901"/>
      <sheetData sheetId="1902"/>
      <sheetData sheetId="1903"/>
      <sheetData sheetId="1904">
        <row r="1">
          <cell r="B1">
            <v>0</v>
          </cell>
        </row>
      </sheetData>
      <sheetData sheetId="1905"/>
      <sheetData sheetId="1906"/>
      <sheetData sheetId="1907"/>
      <sheetData sheetId="1908"/>
      <sheetData sheetId="1909"/>
      <sheetData sheetId="1910">
        <row r="1">
          <cell r="B1">
            <v>0</v>
          </cell>
        </row>
      </sheetData>
      <sheetData sheetId="1911"/>
      <sheetData sheetId="1912"/>
      <sheetData sheetId="1913"/>
      <sheetData sheetId="1914"/>
      <sheetData sheetId="1915">
        <row r="1">
          <cell r="B1">
            <v>0</v>
          </cell>
        </row>
      </sheetData>
      <sheetData sheetId="1916"/>
      <sheetData sheetId="1917"/>
      <sheetData sheetId="1918"/>
      <sheetData sheetId="1919"/>
      <sheetData sheetId="1920"/>
      <sheetData sheetId="1921">
        <row r="1">
          <cell r="B1">
            <v>0</v>
          </cell>
        </row>
      </sheetData>
      <sheetData sheetId="1922"/>
      <sheetData sheetId="1923"/>
      <sheetData sheetId="1924"/>
      <sheetData sheetId="1925"/>
      <sheetData sheetId="1926">
        <row r="1">
          <cell r="B1">
            <v>0</v>
          </cell>
        </row>
      </sheetData>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refreshError="1"/>
      <sheetData sheetId="2044" refreshError="1"/>
      <sheetData sheetId="2045" refreshError="1"/>
      <sheetData sheetId="2046"/>
      <sheetData sheetId="2047"/>
      <sheetData sheetId="2048"/>
      <sheetData sheetId="2049"/>
      <sheetData sheetId="2050" refreshError="1"/>
      <sheetData sheetId="2051" refreshError="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row r="1">
          <cell r="B1">
            <v>0</v>
          </cell>
        </row>
      </sheetData>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row r="1">
          <cell r="B1">
            <v>0</v>
          </cell>
        </row>
      </sheetData>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row r="1">
          <cell r="B1">
            <v>0</v>
          </cell>
        </row>
      </sheetData>
      <sheetData sheetId="2733"/>
      <sheetData sheetId="2734"/>
      <sheetData sheetId="2735"/>
      <sheetData sheetId="2736"/>
      <sheetData sheetId="2737"/>
      <sheetData sheetId="2738"/>
      <sheetData sheetId="2739"/>
      <sheetData sheetId="2740"/>
      <sheetData sheetId="2741"/>
      <sheetData sheetId="2742"/>
      <sheetData sheetId="2743">
        <row r="1">
          <cell r="B1">
            <v>0</v>
          </cell>
        </row>
      </sheetData>
      <sheetData sheetId="2744">
        <row r="1">
          <cell r="B1">
            <v>0</v>
          </cell>
        </row>
      </sheetData>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ow r="1">
          <cell r="B1">
            <v>0</v>
          </cell>
        </row>
      </sheetData>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ow r="1">
          <cell r="B1">
            <v>0</v>
          </cell>
        </row>
      </sheetData>
      <sheetData sheetId="2803">
        <row r="1">
          <cell r="B1">
            <v>0</v>
          </cell>
        </row>
      </sheetData>
      <sheetData sheetId="2804" refreshError="1"/>
      <sheetData sheetId="2805">
        <row r="1">
          <cell r="B1">
            <v>0</v>
          </cell>
        </row>
      </sheetData>
      <sheetData sheetId="2806">
        <row r="1">
          <cell r="B1">
            <v>0</v>
          </cell>
        </row>
      </sheetData>
      <sheetData sheetId="2807">
        <row r="1">
          <cell r="B1">
            <v>0</v>
          </cell>
        </row>
      </sheetData>
      <sheetData sheetId="2808">
        <row r="1">
          <cell r="B1">
            <v>0</v>
          </cell>
        </row>
      </sheetData>
      <sheetData sheetId="2809">
        <row r="1">
          <cell r="B1">
            <v>0</v>
          </cell>
        </row>
      </sheetData>
      <sheetData sheetId="2810">
        <row r="1">
          <cell r="B1">
            <v>0</v>
          </cell>
        </row>
      </sheetData>
      <sheetData sheetId="2811">
        <row r="1">
          <cell r="B1">
            <v>0</v>
          </cell>
        </row>
      </sheetData>
      <sheetData sheetId="2812" refreshError="1"/>
      <sheetData sheetId="2813" refreshError="1"/>
      <sheetData sheetId="2814" refreshError="1"/>
      <sheetData sheetId="2815" refreshError="1"/>
      <sheetData sheetId="2816" refreshError="1"/>
      <sheetData sheetId="2817" refreshError="1"/>
      <sheetData sheetId="2818" refreshError="1"/>
      <sheetData sheetId="2819">
        <row r="1">
          <cell r="B1">
            <v>0</v>
          </cell>
        </row>
      </sheetData>
      <sheetData sheetId="2820">
        <row r="1">
          <cell r="B1">
            <v>0</v>
          </cell>
        </row>
      </sheetData>
      <sheetData sheetId="2821">
        <row r="1">
          <cell r="B1">
            <v>0</v>
          </cell>
        </row>
      </sheetData>
      <sheetData sheetId="2822">
        <row r="1">
          <cell r="B1">
            <v>0</v>
          </cell>
        </row>
      </sheetData>
      <sheetData sheetId="2823">
        <row r="1">
          <cell r="B1">
            <v>0</v>
          </cell>
        </row>
      </sheetData>
      <sheetData sheetId="2824">
        <row r="1">
          <cell r="B1">
            <v>0</v>
          </cell>
        </row>
      </sheetData>
      <sheetData sheetId="2825">
        <row r="1">
          <cell r="B1">
            <v>0</v>
          </cell>
        </row>
      </sheetData>
      <sheetData sheetId="2826">
        <row r="1">
          <cell r="B1">
            <v>0</v>
          </cell>
        </row>
      </sheetData>
      <sheetData sheetId="2827">
        <row r="1">
          <cell r="B1">
            <v>0</v>
          </cell>
        </row>
      </sheetData>
      <sheetData sheetId="2828">
        <row r="1">
          <cell r="B1">
            <v>0</v>
          </cell>
        </row>
      </sheetData>
      <sheetData sheetId="2829">
        <row r="1">
          <cell r="B1">
            <v>0</v>
          </cell>
        </row>
      </sheetData>
      <sheetData sheetId="2830">
        <row r="1">
          <cell r="B1">
            <v>0</v>
          </cell>
        </row>
      </sheetData>
      <sheetData sheetId="2831">
        <row r="1">
          <cell r="B1">
            <v>0</v>
          </cell>
        </row>
      </sheetData>
      <sheetData sheetId="2832">
        <row r="1">
          <cell r="B1">
            <v>0</v>
          </cell>
        </row>
      </sheetData>
      <sheetData sheetId="2833">
        <row r="1">
          <cell r="B1">
            <v>0</v>
          </cell>
        </row>
      </sheetData>
      <sheetData sheetId="2834" refreshError="1"/>
      <sheetData sheetId="2835">
        <row r="1">
          <cell r="B1">
            <v>0</v>
          </cell>
        </row>
      </sheetData>
      <sheetData sheetId="2836">
        <row r="1">
          <cell r="B1">
            <v>0</v>
          </cell>
        </row>
      </sheetData>
      <sheetData sheetId="2837">
        <row r="1">
          <cell r="B1">
            <v>0</v>
          </cell>
        </row>
      </sheetData>
      <sheetData sheetId="2838">
        <row r="1">
          <cell r="B1">
            <v>0</v>
          </cell>
        </row>
      </sheetData>
      <sheetData sheetId="2839">
        <row r="1">
          <cell r="B1">
            <v>0</v>
          </cell>
        </row>
      </sheetData>
      <sheetData sheetId="2840">
        <row r="1">
          <cell r="B1">
            <v>0</v>
          </cell>
        </row>
      </sheetData>
      <sheetData sheetId="2841"/>
      <sheetData sheetId="2842"/>
      <sheetData sheetId="2843">
        <row r="1">
          <cell r="B1">
            <v>0</v>
          </cell>
        </row>
      </sheetData>
      <sheetData sheetId="2844">
        <row r="1">
          <cell r="B1">
            <v>0</v>
          </cell>
        </row>
      </sheetData>
      <sheetData sheetId="2845">
        <row r="1">
          <cell r="B1">
            <v>0</v>
          </cell>
        </row>
      </sheetData>
      <sheetData sheetId="2846">
        <row r="1">
          <cell r="B1">
            <v>0</v>
          </cell>
        </row>
      </sheetData>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refreshError="1"/>
      <sheetData sheetId="2860" refreshError="1"/>
      <sheetData sheetId="2861" refreshError="1"/>
      <sheetData sheetId="2862" refreshError="1"/>
      <sheetData sheetId="2863" refreshError="1"/>
      <sheetData sheetId="2864">
        <row r="1">
          <cell r="B1">
            <v>0</v>
          </cell>
        </row>
      </sheetData>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ow r="1">
          <cell r="B1">
            <v>0</v>
          </cell>
        </row>
      </sheetData>
      <sheetData sheetId="2900">
        <row r="1">
          <cell r="B1">
            <v>0</v>
          </cell>
        </row>
      </sheetData>
      <sheetData sheetId="2901">
        <row r="1">
          <cell r="B1">
            <v>0</v>
          </cell>
        </row>
      </sheetData>
      <sheetData sheetId="2902" refreshError="1"/>
      <sheetData sheetId="2903" refreshError="1"/>
      <sheetData sheetId="2904" refreshError="1"/>
      <sheetData sheetId="2905" refreshError="1"/>
      <sheetData sheetId="2906">
        <row r="1">
          <cell r="B1">
            <v>0</v>
          </cell>
        </row>
      </sheetData>
      <sheetData sheetId="2907" refreshError="1"/>
      <sheetData sheetId="2908" refreshError="1"/>
      <sheetData sheetId="2909" refreshError="1"/>
      <sheetData sheetId="2910" refreshError="1"/>
      <sheetData sheetId="2911" refreshError="1"/>
      <sheetData sheetId="2912" refreshError="1"/>
      <sheetData sheetId="2913"/>
      <sheetData sheetId="2914" refreshError="1"/>
      <sheetData sheetId="2915" refreshError="1"/>
      <sheetData sheetId="2916" refreshError="1"/>
      <sheetData sheetId="2917" refreshError="1"/>
      <sheetData sheetId="2918"/>
      <sheetData sheetId="2919"/>
      <sheetData sheetId="2920"/>
      <sheetData sheetId="2921" refreshError="1"/>
      <sheetData sheetId="2922" refreshError="1"/>
      <sheetData sheetId="2923" refreshError="1"/>
      <sheetData sheetId="2924">
        <row r="1">
          <cell r="B1">
            <v>0</v>
          </cell>
        </row>
      </sheetData>
      <sheetData sheetId="2925"/>
      <sheetData sheetId="2926" refreshError="1"/>
      <sheetData sheetId="2927"/>
      <sheetData sheetId="2928"/>
      <sheetData sheetId="2929"/>
      <sheetData sheetId="2930"/>
      <sheetData sheetId="2931" refreshError="1"/>
      <sheetData sheetId="2932" refreshError="1"/>
      <sheetData sheetId="2933" refreshError="1"/>
      <sheetData sheetId="2934" refreshError="1"/>
      <sheetData sheetId="2935" refreshError="1"/>
      <sheetData sheetId="2936" refreshError="1"/>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row r="1">
          <cell r="B1">
            <v>0</v>
          </cell>
        </row>
      </sheetData>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refreshError="1"/>
      <sheetData sheetId="3054" refreshError="1"/>
      <sheetData sheetId="3055"/>
      <sheetData sheetId="3056">
        <row r="1">
          <cell r="A1">
            <v>0</v>
          </cell>
        </row>
      </sheetData>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refreshError="1"/>
      <sheetData sheetId="3145" refreshError="1"/>
      <sheetData sheetId="3146" refreshError="1"/>
      <sheetData sheetId="3147" refreshError="1"/>
      <sheetData sheetId="3148" refreshError="1"/>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опография"/>
      <sheetName val="геология"/>
      <sheetName val="гидрология"/>
      <sheetName val="эл.химз."/>
      <sheetName val="геология "/>
      <sheetName val="93-110"/>
      <sheetName val="СметаСводная снег"/>
      <sheetName val="Смета 7"/>
      <sheetName val="ТИТУЛ"/>
      <sheetName val="6.14"/>
      <sheetName val="ОБЩЕСТВА"/>
      <sheetName val="6.3.1"/>
      <sheetName val="6.20"/>
      <sheetName val="6.4.1"/>
      <sheetName val="ПРОГНОЗ_1"/>
      <sheetName val="Смета"/>
      <sheetName val="Лист1"/>
      <sheetName val="6_11_1  сторонние"/>
      <sheetName val="установки"/>
      <sheetName val="8.14 КР (списание)ОПСТИКР"/>
      <sheetName val="Стр1"/>
      <sheetName val="Список"/>
      <sheetName val="топо"/>
      <sheetName val="эл_химз_"/>
      <sheetName val="геология_"/>
      <sheetName val="6_14"/>
      <sheetName val="6_3_1"/>
      <sheetName val="6_20"/>
      <sheetName val="6_4_1"/>
      <sheetName val="6_11_1__сторонние"/>
      <sheetName val="8_14_КР_(списание)ОПСТИКР"/>
      <sheetName val="Данные для расчёта сметы"/>
      <sheetName val="Списки"/>
      <sheetName val="6.14_КР"/>
      <sheetName val="Прилож"/>
      <sheetName val="ПДР"/>
      <sheetName val="см8"/>
      <sheetName val="DATA"/>
      <sheetName val="Нормы"/>
      <sheetName val="вариант"/>
      <sheetName val="Обновление"/>
      <sheetName val="Цена"/>
      <sheetName val="Product"/>
      <sheetName val="Текущие цены"/>
      <sheetName val="рабочий"/>
      <sheetName val="окраска"/>
      <sheetName val="отчет эл_эн  2000"/>
      <sheetName val="к.84-к.83"/>
      <sheetName val="Summary"/>
      <sheetName val="все"/>
      <sheetName val="свод 2"/>
      <sheetName val="Зап-3- СЦБ"/>
      <sheetName val="Кредиты"/>
      <sheetName val="Табл38-7"/>
      <sheetName val="Пример расчета"/>
      <sheetName val="СметаСводная Рыб"/>
      <sheetName val="ЭХЗ"/>
      <sheetName val="РасчетКомандир1"/>
      <sheetName val="РасчетКомандир2"/>
      <sheetName val="Коэфф"/>
      <sheetName val="Смета2 проект. раб."/>
      <sheetName val="График"/>
      <sheetName val="Счет-Фактура"/>
      <sheetName val="Суточная"/>
      <sheetName val="СС"/>
      <sheetName val="Шкаф"/>
      <sheetName val="Коэфф1."/>
      <sheetName val="Прайс лист"/>
      <sheetName val="СМЕТА проект"/>
      <sheetName val="Лист опроса"/>
      <sheetName val="сохранить"/>
      <sheetName val="5ОборРабМест(HP)"/>
      <sheetName val="№5 СУБ Инж защ"/>
      <sheetName val="HP и оргтехника"/>
      <sheetName val="13.1"/>
      <sheetName val="Лист2"/>
      <sheetName val="свод 3"/>
      <sheetName val="свод1"/>
      <sheetName val="СметаСводная 1 оч"/>
      <sheetName val="СметаСводная"/>
      <sheetName val="свод"/>
      <sheetName val="Хаттон 90.90 Femco"/>
      <sheetName val="ИД1"/>
      <sheetName val="шаблон"/>
      <sheetName val="ИГ1"/>
      <sheetName val="сводная"/>
      <sheetName val="свод общ"/>
      <sheetName val="таблица руководству"/>
      <sheetName val="Суточная добыча за неделю"/>
      <sheetName val="Смета 1"/>
      <sheetName val="РП"/>
      <sheetName val="данные"/>
      <sheetName val="Баланс"/>
      <sheetName val="информация"/>
      <sheetName val="ПОДПИСИ"/>
      <sheetName val="справка"/>
      <sheetName val="суб.подряд"/>
      <sheetName val="ПСБ - ОЭ"/>
      <sheetName val="См 1 наруж.водопровод"/>
      <sheetName val="Восстановл_Лист7"/>
      <sheetName val="Восстановл_Лист13"/>
      <sheetName val="Восстановл_Лист15"/>
      <sheetName val="Восстановл_Лист19"/>
      <sheetName val="Восстановл_Лист44"/>
      <sheetName val="Восстановл_Лист6"/>
      <sheetName val="Восстановл_Лист4"/>
      <sheetName val="Восстановл_Лист45"/>
      <sheetName val="Восстановл_Лист9"/>
      <sheetName val="Восстановл_Лист10"/>
      <sheetName val="Восстановл_Лист46"/>
      <sheetName val="Восстановл_Лист11"/>
      <sheetName val="Восстановл_Лист47"/>
      <sheetName val="Восстановл_Лист20"/>
      <sheetName val="Восстановл_Лист49"/>
      <sheetName val="Восстановл_Лист21"/>
      <sheetName val="Разработка проекта"/>
      <sheetName val="КП НовоКов"/>
      <sheetName val="СметаСводная павильон"/>
      <sheetName val="Таблица 4 АСУТП"/>
      <sheetName val="Смета 5.2. Кусты25,29,31,65"/>
      <sheetName val="НМА"/>
      <sheetName val="list"/>
      <sheetName val="Подрядчики"/>
      <sheetName val="3.1"/>
      <sheetName val="СС замеч с ответами"/>
      <sheetName val="Коммерческие расходы"/>
      <sheetName val="ИД"/>
      <sheetName val="ID"/>
      <sheetName val="ПДР ООО &quot;Юкос ФБЦ&quot;"/>
      <sheetName val="Calc"/>
      <sheetName val="1.3"/>
      <sheetName val="СметаСводная Колпино"/>
      <sheetName val="2002(v2)"/>
      <sheetName val="справ."/>
      <sheetName val="справ_"/>
      <sheetName val="Исполнение _освоение по закупк_"/>
      <sheetName val="Исполнение для Ускова"/>
      <sheetName val="Выборка по отсыпкам"/>
      <sheetName val="ИП _отсыпки_"/>
      <sheetName val="ИП _отсыпки_ФОТ_диз_т_"/>
      <sheetName val="ИП _отсыпки_ _выборка_"/>
      <sheetName val="Исполнение по оборуд_"/>
      <sheetName val="Исполнение по оборуд_ _2_"/>
      <sheetName val="Исполнение сжато"/>
      <sheetName val="Форма для бурения"/>
      <sheetName val="Форма для КС"/>
      <sheetName val="Форма для ГР"/>
      <sheetName val="Корректировка"/>
      <sheetName val="Production and Spend"/>
      <sheetName val="sapactivexlhiddensheet"/>
      <sheetName val="OCK1"/>
      <sheetName val="К.рын"/>
      <sheetName val="Сводная смета"/>
      <sheetName val="Землеотвод"/>
      <sheetName val="Смета2_проект__раб_"/>
      <sheetName val="Зап-3-_СЦБ"/>
      <sheetName val="свод_2"/>
      <sheetName val="Данные_для_расчёта_сметы"/>
      <sheetName val="Смета_1"/>
      <sheetName val="к_84-к_83"/>
      <sheetName val="HP_и_оргтехника"/>
      <sheetName val="Коэфф1_"/>
      <sheetName val="Прайс_лист"/>
      <sheetName val="СМЕТА_проект"/>
      <sheetName val="Лист_опроса"/>
      <sheetName val="13_1"/>
      <sheetName val="выборка на22 июня"/>
      <sheetName val="Амур ДОН"/>
      <sheetName val="кп ГК"/>
      <sheetName val="Б.Сатка"/>
      <sheetName val="Справочные данные"/>
      <sheetName val="total"/>
      <sheetName val="Комплектация"/>
      <sheetName val="трубы"/>
      <sheetName val="СМР"/>
      <sheetName val="дороги"/>
      <sheetName val="исходные данные"/>
      <sheetName val="расчетные таблицы"/>
      <sheetName val="свод_3"/>
      <sheetName val="РАСЧЕТ"/>
      <sheetName val="КП (2)"/>
      <sheetName val="Бюджет"/>
      <sheetName val="Norm"/>
      <sheetName val="эл_химз_1"/>
      <sheetName val="геология_1"/>
      <sheetName val="6_141"/>
      <sheetName val="6_3_11"/>
      <sheetName val="6_201"/>
      <sheetName val="6_4_11"/>
      <sheetName val="6_11_1__сторонние1"/>
      <sheetName val="8_14_КР_(списание)ОПСТИКР1"/>
      <sheetName val="6_14_КР"/>
      <sheetName val="Текущие_цены"/>
      <sheetName val="Пример_расчета"/>
      <sheetName val="СметаСводная_Рыб"/>
      <sheetName val="отчет_эл_эн__2000"/>
      <sheetName val="6.3"/>
      <sheetName val="6.7"/>
      <sheetName val="6.3.1.3"/>
      <sheetName val="Opex personnel (Term facs)"/>
      <sheetName val="См_1_наруж_водопровод"/>
      <sheetName val="Разработка_проекта"/>
      <sheetName val="КП_НовоКов"/>
      <sheetName val="СметаСводная_1_оч"/>
      <sheetName val="Переменные и константы"/>
      <sheetName val="пятилетка"/>
      <sheetName val="мониторинг"/>
      <sheetName val="свод (2)"/>
      <sheetName val="Калплан ОИ2 Макм крестики"/>
      <sheetName val="Св. смета"/>
      <sheetName val="РБС ИЗМ1"/>
      <sheetName val="Смета 1свод"/>
      <sheetName val="Прибыль опл"/>
      <sheetName val="Вспомогательный"/>
      <sheetName val="История"/>
      <sheetName val="Р1"/>
      <sheetName val="Параметры_i"/>
      <sheetName val="Таблица 2"/>
      <sheetName val="Input"/>
      <sheetName val="Calculation"/>
      <sheetName val="ст ГТМ"/>
      <sheetName val="2002_v2_"/>
      <sheetName val="оборудован"/>
      <sheetName val="Упр"/>
      <sheetName val="Перечень ИУ"/>
      <sheetName val="РН-ПНГ"/>
      <sheetName val="влад-таблица"/>
      <sheetName val="2002(v1)"/>
      <sheetName val="3.1 ТХ"/>
      <sheetName val="ЗП_ЮНГ"/>
      <sheetName val="оператор"/>
      <sheetName val="исх_данные"/>
      <sheetName val="Январь"/>
      <sheetName val="Итог"/>
      <sheetName val="мсн"/>
      <sheetName val="мат"/>
      <sheetName val="3.5"/>
      <sheetName val="суб_подряд"/>
      <sheetName val="ПСБ_-_ОЭ"/>
      <sheetName val="Смета 2"/>
      <sheetName val="D"/>
      <sheetName val="Ачинский НПЗ"/>
      <sheetName val="4"/>
      <sheetName val="См3 СЦБ-зап"/>
      <sheetName val="смета СИД"/>
      <sheetName val="часы"/>
      <sheetName val="ресурсная вед."/>
      <sheetName val="ИДвалка"/>
      <sheetName val="р.Волхов"/>
      <sheetName val="КП к ГК"/>
      <sheetName val="изыскания 2"/>
      <sheetName val="Калплан Кра"/>
      <sheetName val="Материалы"/>
      <sheetName val="6.11 новый"/>
      <sheetName val="1"/>
      <sheetName val="Пояснение "/>
      <sheetName val="смета 2 проект. работы"/>
      <sheetName val="Хар_"/>
      <sheetName val="С1_"/>
      <sheetName val="СтрЗапасов (2)"/>
      <sheetName val="НМ расчеты"/>
      <sheetName val="начало"/>
      <sheetName val="Main"/>
      <sheetName val="УП _2004"/>
      <sheetName val="Курсы"/>
      <sheetName val="3.2"/>
      <sheetName val="3.3"/>
      <sheetName val="Р2.1"/>
      <sheetName val="Р2.2"/>
      <sheetName val="Р3"/>
      <sheetName val="Р4"/>
      <sheetName val="Р5"/>
      <sheetName val="Р7"/>
      <sheetName val="Удельные(проф.)"/>
      <sheetName val="Спецификация"/>
      <sheetName val="Константы и результаты"/>
      <sheetName val="Лизинг"/>
      <sheetName val="расчет №3"/>
      <sheetName val="в работу"/>
      <sheetName val="1ПС"/>
      <sheetName val="20_Кредиты краткосрочные"/>
      <sheetName val="ц_1991"/>
      <sheetName val="ДКС"/>
      <sheetName val="Етыпур"/>
      <sheetName val="НВГПЗ"/>
      <sheetName val="НГКХ"/>
      <sheetName val="ПСП"/>
      <sheetName val="Тобольск"/>
      <sheetName val="УПН"/>
      <sheetName val="ПСПавтодор"/>
      <sheetName val="Лист3"/>
      <sheetName val="АЧ"/>
      <sheetName val="кп"/>
      <sheetName val="Общая часть"/>
      <sheetName val="Табл.5"/>
      <sheetName val="Табл.2"/>
      <sheetName val="Исх.данные"/>
      <sheetName val="MAIN_PARAMETERS"/>
      <sheetName val="RSOILBAL"/>
      <sheetName val="ВКЕ"/>
      <sheetName val="rvldmrv"/>
      <sheetName val="Additives"/>
      <sheetName val="Ryazan"/>
      <sheetName val="Assumpt"/>
      <sheetName val="Control"/>
      <sheetName val="Параметры"/>
      <sheetName val="См №3 ОПР"/>
      <sheetName val="см.№6 АВЗУ и ГПЗУ"/>
      <sheetName val="Геофизика"/>
      <sheetName val="Геодезия"/>
      <sheetName val="Экология1"/>
      <sheetName val="НГХК"/>
      <sheetName val="КП к снег Рыбинская"/>
      <sheetName val="АУП"/>
      <sheetName val="CENTR"/>
      <sheetName val="4сд"/>
      <sheetName val="2сд"/>
      <sheetName val="7сд"/>
      <sheetName val="Lim"/>
      <sheetName val="Справочник"/>
      <sheetName val="PwC Copies from old models --&gt;&gt;"/>
      <sheetName val="Справочники"/>
      <sheetName val="Сравнение ДПН факт 06-07"/>
      <sheetName val="Journals"/>
      <sheetName val="Names"/>
      <sheetName val="Input Assumptions"/>
      <sheetName val="DMTR_BP_03"/>
      <sheetName val="см №1.1 Геодезические работы "/>
      <sheetName val="см №1.4 Экология "/>
      <sheetName val="АСУ ТП 1 этап ПД"/>
      <sheetName val="2.2 "/>
      <sheetName val="Расчет курса"/>
      <sheetName val="XLR_NoRangeSheet"/>
      <sheetName val="НЕДЕЛИ"/>
      <sheetName val="GD"/>
      <sheetName val="Баланс (Ф1)"/>
      <sheetName val="Перечень Заказчиков"/>
      <sheetName val="Смета терзем"/>
      <sheetName val="СП"/>
      <sheetName val="Капитальные затраты"/>
      <sheetName val="трансформация1"/>
      <sheetName val="Destination"/>
      <sheetName val="breakdown"/>
      <sheetName val="EKDEB90"/>
      <sheetName val="Коэф КВ"/>
      <sheetName val="кп (3)"/>
      <sheetName val=""/>
      <sheetName val="К"/>
      <sheetName val="Кал.план Жукова даты - не надо"/>
      <sheetName val="матер."/>
      <sheetName val="КП Прим (3)"/>
      <sheetName val="фонтан разбитый2"/>
      <sheetName val="накладная"/>
      <sheetName val="Акт"/>
      <sheetName val="Смета-Т"/>
      <sheetName val="Смета 3 Гидролог"/>
      <sheetName val="Записка СЦБ"/>
      <sheetName val="РС "/>
      <sheetName val="геолог"/>
      <sheetName val="Курс доллара"/>
      <sheetName val="Календарь новый"/>
      <sheetName val="Смета № 1 ИИ линия"/>
      <sheetName val="Дополнительные параметры"/>
      <sheetName val="ЛЧ"/>
      <sheetName val="Leistungsakt"/>
      <sheetName val="Свод объем"/>
      <sheetName val="Дог цена"/>
      <sheetName val="1155"/>
      <sheetName val="ИПЦ2002-2004"/>
      <sheetName val="Восстановл_Лист75"/>
      <sheetName val="Восстановл_Лист76"/>
      <sheetName val="Восстановл_Лист77"/>
      <sheetName val="Восстановл_Лист78"/>
      <sheetName val="Восстановл_Лист79"/>
      <sheetName val="Восстановл_Лист80"/>
      <sheetName val="Восстановл_Лист81"/>
      <sheetName val="ОПС"/>
      <sheetName val="СметаСводная_снег"/>
      <sheetName val="Хаттон_90_90_Femco"/>
      <sheetName val="свод_общ"/>
      <sheetName val="таблица_руководству"/>
      <sheetName val="Суточная_добыча_за_неделю"/>
      <sheetName val="СметаСводная_павильон"/>
      <sheetName val="Восстановл_Лист82"/>
      <sheetName val="Таблица 5"/>
      <sheetName val="Восстановл_Лист83"/>
      <sheetName val="Восстановл_Лист84"/>
      <sheetName val="Восстановл_Лист85"/>
      <sheetName val="Восстановл_Лист88"/>
      <sheetName val="Восстановл_Лист91"/>
      <sheetName val="Восстановл_Лист92"/>
      <sheetName val="Восстановл_Лист86"/>
      <sheetName val="Восстановл_Лист89"/>
      <sheetName val="Восстановл_Лист87"/>
      <sheetName val="Восстановл_Лист90"/>
      <sheetName val="Восстановл_Лист93"/>
      <sheetName val="Восстановл_Лист94"/>
      <sheetName val="Восстановл_Лист95"/>
      <sheetName val="Восстановл_Лист38"/>
      <sheetName val="Восстановл_Лист40"/>
      <sheetName val="Восстановл_Лист39"/>
      <sheetName val="Восстановл_Лист41"/>
      <sheetName val="Восстановл_Лист8"/>
      <sheetName val="Восстановл_Лист17"/>
      <sheetName val="Таблица 3"/>
      <sheetName val="SakhNIPI5"/>
      <sheetName val="ПИР"/>
      <sheetName val="Исходные"/>
      <sheetName val="Капвложения"/>
      <sheetName val="259-290"/>
      <sheetName val="р.Нева"/>
      <sheetName val="р.Молога"/>
      <sheetName val="518-540"/>
      <sheetName val="470-518"/>
      <sheetName val="365-405"/>
      <sheetName val="290-365"/>
      <sheetName val="157-259"/>
      <sheetName val="132-157"/>
      <sheetName val="405-470"/>
      <sheetName val="111-132"/>
      <sheetName val="111"/>
      <sheetName val="Сахалин"/>
      <sheetName val="Чумляк"/>
      <sheetName val="3труба (П)"/>
      <sheetName val="Объемы работ по ПВ"/>
      <sheetName val="18 рек Ю-Х"/>
      <sheetName val="нпс Палкино"/>
      <sheetName val="Россия - Китай"/>
      <sheetName val="КМ 210-238"/>
      <sheetName val="БТС-2 км 405-459"/>
      <sheetName val="БТС-2 км 405-453"/>
      <sheetName val="БТС-2 км 313-352"/>
      <sheetName val="БТС-2 км326-352"/>
      <sheetName val="Улейма И"/>
      <sheetName val="Белая УБКА"/>
      <sheetName val="Уфа"/>
      <sheetName val="км 72-75р.Левоннька"/>
      <sheetName val="dgghg"/>
      <sheetName val="бтс-2"/>
      <sheetName val="колва"/>
      <sheetName val="Чермасан"/>
      <sheetName val="Корожечна"/>
      <sheetName val="Колтасы-Куйбышев"/>
      <sheetName val="Самара"/>
      <sheetName val="Мишуга"/>
      <sheetName val="киенгоп-н.Челны км 104-206"/>
      <sheetName val="ВЛ Урдома"/>
      <sheetName val="Вл Микунь Урдома"/>
      <sheetName val="ВЛ Синдор-Микунь"/>
      <sheetName val="Тон Чермасан"/>
      <sheetName val="Трасса км 16-147"/>
      <sheetName val="Тверца"/>
      <sheetName val="трасса 0-76"/>
      <sheetName val="Колва 78"/>
      <sheetName val="Гидрология .р.Колва км 38"/>
      <sheetName val="Восстановл_Лист5"/>
      <sheetName val="Восстановл_Лист29"/>
      <sheetName val="Восстановл_Лист2"/>
      <sheetName val="Восстановл_Лист27"/>
      <sheetName val="Восстановл_Лист28"/>
      <sheetName val="Восстановл_Лист12"/>
      <sheetName val="Восстановл_Лист14"/>
      <sheetName val="Восстановл_Лист1"/>
      <sheetName val="Восстановл_Лист18"/>
      <sheetName val="Восстановл_Лист25"/>
      <sheetName val="ГПК"/>
      <sheetName val="Западн"/>
      <sheetName val="ПСП "/>
      <sheetName val="Спр_общий"/>
      <sheetName val="р_Волхов"/>
      <sheetName val="р_Нева"/>
      <sheetName val="р_Молога"/>
      <sheetName val="18_рек_Ю-Х"/>
      <sheetName val="нпс_Палкино"/>
      <sheetName val="Россия_-_Китай"/>
      <sheetName val="КМ_210-238"/>
      <sheetName val="БТС-2_км_405-459"/>
      <sheetName val="БТС-2_км_405-453"/>
      <sheetName val="БТС-2_км_313-352"/>
      <sheetName val="БТС-2_км326-352"/>
      <sheetName val="Улейма_И"/>
      <sheetName val="Белая_УБКА"/>
      <sheetName val="км_72-75р_Левоннька"/>
      <sheetName val="Б_Сатка"/>
      <sheetName val="киенгоп-н_Челны_км_104-206"/>
      <sheetName val="ВЛ_Урдома"/>
      <sheetName val="Вл_Микунь_Урдома"/>
      <sheetName val="ВЛ_Синдор-Микунь"/>
      <sheetName val="Тон_Чермасан"/>
      <sheetName val="Трасса_км_16-147"/>
      <sheetName val="трасса_0-76"/>
      <sheetName val="Колва_78"/>
      <sheetName val="Гидрология__р_Колва_км_38"/>
      <sheetName val="ПСП_"/>
      <sheetName val="Сводная_смета"/>
      <sheetName val="Стр1По"/>
      <sheetName val="Новая сводка (до бюджета) (2)"/>
      <sheetName val="Что пришло"/>
      <sheetName val="влад-таблица (2)"/>
      <sheetName val="Новая сводка (до бюджета)"/>
      <sheetName val="Сводка"/>
      <sheetName val="Новая сводка"/>
      <sheetName val="Бю-т"/>
      <sheetName val="ПерехОстатки"/>
      <sheetName val="Общие расходы"/>
      <sheetName val="Новая сводка (по бюджету)"/>
      <sheetName val="âëàä-òàáëèöà"/>
      <sheetName val="Íîâàÿ ñâîäêà (äî áþäæåòà) (2)"/>
      <sheetName val="×òî ïðèøëî"/>
      <sheetName val="âëàä-òàáëèöà (2)"/>
      <sheetName val="Íîâàÿ ñâîäêà (äî áþäæåòà)"/>
      <sheetName val="Ñâîäêà"/>
      <sheetName val="Íîâàÿ ñâîäêà"/>
      <sheetName val="Áþ-ò"/>
      <sheetName val="ÏåðåõÎñòàòêè"/>
      <sheetName val="Îáùèå ðàñõîäû"/>
      <sheetName val="Íîâàÿ ñâîäêà (ïî áþäæåòó)"/>
      <sheetName val="влад_таблица"/>
      <sheetName val="6.10.1"/>
      <sheetName val="Восстановл_Лист16"/>
      <sheetName val="6.7.3_ТН"/>
      <sheetName val="6.1"/>
      <sheetName val="НДС"/>
      <sheetName val="Гр5(о)"/>
      <sheetName val="пр_5_1"/>
      <sheetName val="Россия"/>
      <sheetName val="Украина"/>
      <sheetName val="Белорусия"/>
      <sheetName val="6.52-свод"/>
      <sheetName val="Новая_сводка_(до_бюджета)_(2)"/>
      <sheetName val="Что_пришло"/>
      <sheetName val="влад-таблица_(2)"/>
      <sheetName val="Новая_сводка_(до_бюджета)"/>
      <sheetName val="Новая_сводка"/>
      <sheetName val="Общие_расходы"/>
      <sheetName val="Новая_сводка_(по_бюджету)"/>
      <sheetName val="Íîâàÿ_ñâîäêà_(äî_áþäæåòà)_(2)"/>
      <sheetName val="×òî_ïðèøëî"/>
      <sheetName val="âëàä-òàáëèöà_(2)"/>
      <sheetName val="Íîâàÿ_ñâîäêà_(äî_áþäæåòà)"/>
      <sheetName val="Íîâàÿ_ñâîäêà"/>
      <sheetName val="Îáùèå_ðàñõîäû"/>
      <sheetName val="Íîâàÿ_ñâîäêà_(ïî_áþäæåòó)"/>
      <sheetName val="6_10_1"/>
      <sheetName val="6_7_3_ТН"/>
      <sheetName val="6_1"/>
      <sheetName val="ЦО"/>
      <sheetName val="Статьи"/>
      <sheetName val="2"/>
      <sheetName val="Новая_сводка_(до_бюджета)_(2)1"/>
      <sheetName val="Что_пришло1"/>
      <sheetName val="влад-таблица_(2)1"/>
      <sheetName val="Новая_сводка_(до_бюджета)1"/>
      <sheetName val="Новая_сводка1"/>
      <sheetName val="Общие_расходы1"/>
      <sheetName val="Новая_сводка_(по_бюджету)1"/>
      <sheetName val="Íîâàÿ_ñâîäêà_(äî_áþäæåòà)_(2)1"/>
      <sheetName val="×òî_ïðèøëî1"/>
      <sheetName val="âëàä-òàáëèöà_(2)1"/>
      <sheetName val="Íîâàÿ_ñâîäêà_(äî_áþäæåòà)1"/>
      <sheetName val="Íîâàÿ_ñâîäêà1"/>
      <sheetName val="Îáùèå_ðàñõîäû1"/>
      <sheetName val="Íîâàÿ_ñâîäêà_(ïî_áþäæåòó)1"/>
      <sheetName val="6_10_11"/>
      <sheetName val="6_7_3_ТН1"/>
      <sheetName val="6_11"/>
      <sheetName val="6_52-свод"/>
      <sheetName val="ДДС (Форма №3)"/>
      <sheetName val="09-07"/>
      <sheetName val="Титул1"/>
      <sheetName val="Титул2"/>
      <sheetName val="Титул3"/>
      <sheetName val="Info"/>
      <sheetName val="15"/>
      <sheetName val="Восстановл_Лист37"/>
      <sheetName val="16"/>
      <sheetName val="Коэф"/>
      <sheetName val="1.401.2"/>
      <sheetName val="Source lists"/>
      <sheetName val="PO Data"/>
      <sheetName val="Rub"/>
      <sheetName val="свод_ИИР"/>
      <sheetName val="Сводная "/>
      <sheetName val="7.ТХ Сети (кор)"/>
      <sheetName val="Tier 311208"/>
      <sheetName val="3_1"/>
      <sheetName val="Коммерческие_расходы"/>
      <sheetName val="СС_замеч_с_ответами"/>
      <sheetName val="ПДР_ООО_&quot;Юкос_ФБЦ&quot;"/>
      <sheetName val="УП__2004"/>
      <sheetName val="Ачинский_НПЗ"/>
      <sheetName val="3_2"/>
      <sheetName val="3_3"/>
      <sheetName val="Р2_1"/>
      <sheetName val="Р2_2"/>
      <sheetName val="Удельные(проф_)"/>
      <sheetName val="Константы_и_результаты"/>
      <sheetName val="расчет_№3"/>
      <sheetName val="в_работу"/>
      <sheetName val="№5_СУБ_Инж_защ"/>
      <sheetName val="исходные_данные"/>
      <sheetName val="расчетные_таблицы"/>
      <sheetName val="Исполнение__освоение_по_закупк_"/>
      <sheetName val="Исполнение_для_Ускова"/>
      <sheetName val="Выборка_по_отсыпкам"/>
      <sheetName val="ИП__отсыпки_"/>
      <sheetName val="ИП__отсыпки_ФОТ_диз_т_"/>
      <sheetName val="ИП__отсыпки___выборка_"/>
      <sheetName val="Исполнение_по_оборуд_"/>
      <sheetName val="Исполнение_по_оборуд___2_"/>
      <sheetName val="Исполнение_сжато"/>
      <sheetName val="Форма_для_бурения"/>
      <sheetName val="Форма_для_КС"/>
      <sheetName val="Форма_для_ГР"/>
      <sheetName val="Смета_1свод"/>
      <sheetName val="Прибыль_опл"/>
      <sheetName val="Амур_ДОН"/>
      <sheetName val="справ_1"/>
      <sheetName val="Перечень_ИУ"/>
      <sheetName val="3_1_ТХ"/>
      <sheetName val="1_3"/>
      <sheetName val="К_рын"/>
      <sheetName val="3_5"/>
      <sheetName val="См3_СЦБ-зап"/>
      <sheetName val="СметаСводная_Колпино"/>
      <sheetName val="Смета_2"/>
      <sheetName val="Таблица_4_АСУТП"/>
      <sheetName val="20_Кредиты_краткосрочные"/>
      <sheetName val="Перечень_Заказчиков"/>
      <sheetName val="Переменные_и_константы"/>
      <sheetName val="КП_к_снег_Рыбинская"/>
      <sheetName val="Смета_5_2__Кусты25,29,31,65"/>
      <sheetName val="Табл_5"/>
      <sheetName val="Табл_2"/>
      <sheetName val="Капитальные_затраты"/>
      <sheetName val="Opex_personnel_(Term_facs)"/>
      <sheetName val="КП_(2)"/>
      <sheetName val="2_2_"/>
      <sheetName val="М_1"/>
      <sheetName val="Акт выбора"/>
      <sheetName val="ПД"/>
      <sheetName val="№1"/>
      <sheetName val="См.№7 Эл."/>
      <sheetName val="См.№8 Пож."/>
      <sheetName val="См.№3 ВиК"/>
      <sheetName val="Восстановл_Лист42"/>
      <sheetName val="Восстановл_Лист22"/>
      <sheetName val="Восстановл_Лист43"/>
      <sheetName val="Восстановл_Лист24"/>
      <sheetName val="Восстановл_Лист48"/>
      <sheetName val="Восстановл_Лист50"/>
      <sheetName val="Восстановл_Лист30"/>
      <sheetName val="Восстановл_Лист51"/>
      <sheetName val="Восстановл_Лист23"/>
      <sheetName val="Восстановл_Лист32"/>
      <sheetName val="Восстановл_Лист52"/>
      <sheetName val="Восстановл_Лист53"/>
      <sheetName val="Восстановл_Лист55"/>
      <sheetName val="Восстановл_Лист56"/>
      <sheetName val="Восстановл_Лист26"/>
      <sheetName val="Восстановл_Лист57"/>
      <sheetName val="Восстановл_Лист58"/>
      <sheetName val="Восстановл_Лист59"/>
      <sheetName val="Восстановл_Лист60"/>
      <sheetName val="Восстановл_Лист61"/>
      <sheetName val="Восстановл_Лист3"/>
      <sheetName val="Восстановл_Лист62"/>
      <sheetName val="Восстановл_Лист63"/>
      <sheetName val="Восстановл_Лист64"/>
      <sheetName val="Восстановл_Лист35"/>
      <sheetName val="Восстановл_Лист67"/>
      <sheetName val="Восстановл_Лист68"/>
      <sheetName val="Восстановл_Лист65"/>
      <sheetName val="Восстановл_Лист69"/>
      <sheetName val="Восстановл_Лист66"/>
      <sheetName val="Восстановл_Лист97"/>
      <sheetName val="Восстановл_Лист54"/>
      <sheetName val="Восстановл_Лист70"/>
      <sheetName val="Восстановл_Лист96"/>
      <sheetName val="Восстановл_Лист33"/>
      <sheetName val="Восстановл_Лист71"/>
      <sheetName val="Восстановл_Лист36"/>
      <sheetName val="Восстановл_Лист98"/>
      <sheetName val="Восстановл_Лист34"/>
      <sheetName val="Восстановл_Лист72"/>
      <sheetName val="Восстановл_Лист73"/>
      <sheetName val="Восстановл_Лист74"/>
      <sheetName val="Восстановл_Лист31"/>
      <sheetName val="РСС_АУ"/>
      <sheetName val="Раб.АУ"/>
      <sheetName val="Сметы за сопровождение"/>
      <sheetName val="СМ_x000b__x0011__x0012__x000c__x0011__x0011__x0011__x0011__x0011__x0011_"/>
      <sheetName val="ᄀᄀᄀᄀᄀᄀᄀᄀᄀᄀᄀᄀᄀᄀᄀᄀᄀ"/>
      <sheetName val="См.3_АСУ"/>
      <sheetName val="Полигон - ИЭИ "/>
      <sheetName val="Ком"/>
      <sheetName val="Смета ТЗ АСУ-16"/>
      <sheetName val="База Геодезия"/>
      <sheetName val="База Геология"/>
      <sheetName val="База Геофизика"/>
      <sheetName val="4.1.1"/>
      <sheetName val="исп.1.1.1"/>
      <sheetName val="База Гидро"/>
      <sheetName val="4.2.1"/>
      <sheetName val="исп.1.1.2"/>
      <sheetName val="Исп. смета этап 1.1, 1.2"/>
      <sheetName val="Экология-3"/>
      <sheetName val="Бл.электр."/>
      <sheetName val="2-stage"/>
      <sheetName val="лч и кам"/>
      <sheetName val="эл_химз_2"/>
      <sheetName val="геология_2"/>
      <sheetName val="6_142"/>
      <sheetName val="6_3_12"/>
      <sheetName val="6_202"/>
      <sheetName val="6_4_12"/>
      <sheetName val="6_11_1__сторонние2"/>
      <sheetName val="8_14_КР_(списание)ОПСТИКР2"/>
      <sheetName val="6_14_КР1"/>
      <sheetName val="Данные_для_расчёта_сметы1"/>
      <sheetName val="Пример_расчета1"/>
      <sheetName val="свод_21"/>
      <sheetName val="Зап-3-_СЦБ1"/>
      <sheetName val="СметаСводная_Рыб1"/>
      <sheetName val="Текущие_цены1"/>
      <sheetName val="отчет_эл_эн__20001"/>
      <sheetName val="к_84-к_831"/>
      <sheetName val="Коэфф1_1"/>
      <sheetName val="6_3"/>
      <sheetName val="6_7"/>
      <sheetName val="6_3_1_3"/>
      <sheetName val="Смета2_проект__раб_1"/>
      <sheetName val="Смета_11"/>
      <sheetName val="Production_and_Spend"/>
      <sheetName val="Прайс_лист1"/>
      <sheetName val="См_1_наруж_водопровод1"/>
      <sheetName val="Разработка_проекта1"/>
      <sheetName val="КП_НовоКов1"/>
      <sheetName val="СметаСводная_1_оч1"/>
      <sheetName val="свод_(2)"/>
      <sheetName val="Калплан_ОИ2_Макм_крестики"/>
      <sheetName val="Св__смета"/>
      <sheetName val="РБС_ИЗМ1"/>
      <sheetName val="Таблица_2"/>
      <sheetName val="ст_ГТМ"/>
      <sheetName val="кп_ГК"/>
      <sheetName val="Справочные_данные"/>
      <sheetName val="суб_подряд1"/>
      <sheetName val="ПСБ_-_ОЭ1"/>
      <sheetName val="смета_СИД"/>
      <sheetName val="ресурсная_вед_"/>
      <sheetName val="КП_к_ГК"/>
      <sheetName val="изыскания_2"/>
      <sheetName val="Калплан_Кра"/>
      <sheetName val="6_11_новый"/>
      <sheetName val="ПС_x0000__x0000__x0000__x0000__x0000__x0000_"/>
      <sheetName val="3_гидромет"/>
      <sheetName val="ПРОЦЕНТЫ"/>
      <sheetName val="MararashAA"/>
      <sheetName val="ПС"/>
      <sheetName val="АСУ-линия-1"/>
      <sheetName val="ТЗ АСУ-1"/>
      <sheetName val="ИД СМР"/>
      <sheetName val="Вспом."/>
      <sheetName val="УКП"/>
      <sheetName val="БД"/>
      <sheetName val="Норм"/>
      <sheetName val="Лист4"/>
      <sheetName val="Общий"/>
      <sheetName val="ТабР"/>
      <sheetName val="Lucent"/>
      <sheetName val="BACT"/>
      <sheetName val="Общ"/>
      <sheetName val="СМ"/>
      <sheetName val="Пра_x0000_с_лист"/>
      <sheetName val="2 Геология"/>
      <sheetName val="Объем работ"/>
      <sheetName val="Виды работ АСО"/>
      <sheetName val="таблица_руко_x0019__x0015__x0009__x0003__x000c__x0011__x0011_"/>
      <sheetName val="ФОТ для смет"/>
      <sheetName val="ЛС_РЕС"/>
      <sheetName val="_x0000__x0000_"/>
      <sheetName val="таблица_руко_x0019__x0015_ _x0003__x000c__x0011__x0011_"/>
      <sheetName val="КБК ДПК"/>
      <sheetName val="8"/>
      <sheetName val="исх-данные"/>
      <sheetName val="Сводный"/>
      <sheetName val="6"/>
      <sheetName val="СМИС"/>
      <sheetName val="basa"/>
      <sheetName val="ПД-2.2"/>
      <sheetName val="1.14"/>
      <sheetName val="1.7"/>
      <sheetName val="Имя"/>
      <sheetName val="кап.ремонт"/>
      <sheetName val="База"/>
      <sheetName val="СВ 2"/>
      <sheetName val="1.2_"/>
      <sheetName val="Base"/>
      <sheetName val="Настр"/>
      <sheetName val="Распределение_затрат"/>
      <sheetName val="ЗАТ_ПОДР"/>
      <sheetName val="ПРОЧИЕ_ЗАТР"/>
      <sheetName val="ПОКУП_ВОДА"/>
      <sheetName val="РАСПРЕД ПО ПРОЦЕСС"/>
      <sheetName val="РЕАГ_КАТАЛ"/>
      <sheetName val="СЫРЬЕ"/>
      <sheetName val="СМЕТА_ТЕКРЕМ"/>
      <sheetName val="УСЛУГИ_ПРОМХАР"/>
      <sheetName val="Обор"/>
      <sheetName val="Приложение 2"/>
      <sheetName val="Должности"/>
      <sheetName val="Лист"/>
      <sheetName val="Исх"/>
      <sheetName val="Исх."/>
      <sheetName val="#ССЫЛКА"/>
      <sheetName val="пофакторный"/>
      <sheetName val="РАСШИФ_ЦЕХ_РАСХ"/>
      <sheetName val="топ"/>
      <sheetName val="Дог_рас"/>
      <sheetName val="Ограничения шаблон"/>
      <sheetName val="Причины отклонений"/>
      <sheetName val="Статус работы"/>
      <sheetName val="Уровень графика"/>
      <sheetName val="ЕТС (ф)"/>
      <sheetName val="эл_химз_3"/>
      <sheetName val="геология_3"/>
      <sheetName val="6_143"/>
      <sheetName val="6_3_13"/>
      <sheetName val="6_203"/>
      <sheetName val="6_4_13"/>
      <sheetName val="6_11_1__сторонние3"/>
      <sheetName val="8_14_КР_(списание)ОПСТИКР3"/>
      <sheetName val="Данные_для_расчёта_сметы2"/>
      <sheetName val="6_14_КР2"/>
      <sheetName val="Пример_расчета2"/>
      <sheetName val="свод_22"/>
      <sheetName val="Зап-3-_СЦБ2"/>
      <sheetName val="СметаСводная_Рыб2"/>
      <sheetName val="13_11"/>
      <sheetName val="Текущие_цены2"/>
      <sheetName val="отчет_эл_эн__20002"/>
      <sheetName val="к_84-к_832"/>
      <sheetName val="Коэфф1_2"/>
      <sheetName val="КП_(2)1"/>
      <sheetName val="6_31"/>
      <sheetName val="6_71"/>
      <sheetName val="6_3_1_31"/>
      <sheetName val="свод_31"/>
      <sheetName val="Смета2_проект__раб_2"/>
      <sheetName val="Смета_12"/>
      <sheetName val="СМЕТА_проект1"/>
      <sheetName val="Production_and_Spend1"/>
      <sheetName val="Прайс_лист2"/>
      <sheetName val="1_31"/>
      <sheetName val="К_рын1"/>
      <sheetName val="Сводная_смета1"/>
      <sheetName val="См_1_наруж_водопровод2"/>
      <sheetName val="Разработка_проекта2"/>
      <sheetName val="КП_НовоКов2"/>
      <sheetName val="СметаСводная_1_оч2"/>
      <sheetName val="Переменные_и_константы1"/>
      <sheetName val="свод_(2)1"/>
      <sheetName val="Калплан_ОИ2_Макм_крестики1"/>
      <sheetName val="СметаСводная_павильон1"/>
      <sheetName val="Св__смета1"/>
      <sheetName val="РБС_ИЗМ11"/>
      <sheetName val="СметаСводная_снег1"/>
      <sheetName val="Лист_опроса1"/>
      <sheetName val="Исполнение__освоение_по_закупк1"/>
      <sheetName val="Исполнение_для_Ускова1"/>
      <sheetName val="Выборка_по_отсыпкам1"/>
      <sheetName val="ИП__отсыпки_1"/>
      <sheetName val="ИП__отсыпки_ФОТ_диз_т_1"/>
      <sheetName val="ИП__отсыпки___выборка_1"/>
      <sheetName val="Исполнение_по_оборуд_1"/>
      <sheetName val="Исполнение_по_оборуд___2_1"/>
      <sheetName val="Исполнение_сжато1"/>
      <sheetName val="Форма_для_бурения1"/>
      <sheetName val="Форма_для_КС1"/>
      <sheetName val="Форма_для_ГР1"/>
      <sheetName val="Смета_1свод1"/>
      <sheetName val="таблица_руководству1"/>
      <sheetName val="Суточная_добыча_за_неделю1"/>
      <sheetName val="Прибыль_опл1"/>
      <sheetName val="№5_СУБ_Инж_защ1"/>
      <sheetName val="HP_и_оргтехника1"/>
      <sheetName val="Таблица_21"/>
      <sheetName val="Таблица_4_АСУТП1"/>
      <sheetName val="ст_ГТМ1"/>
      <sheetName val="ПДР_ООО_&quot;Юкос_ФБЦ&quot;1"/>
      <sheetName val="исходные_данные1"/>
      <sheetName val="расчетные_таблицы1"/>
      <sheetName val="Амур_ДОН1"/>
      <sheetName val="кп_ГК1"/>
      <sheetName val="Справочные_данные1"/>
      <sheetName val="Б_Сатка1"/>
      <sheetName val="справ_2"/>
      <sheetName val="Перечень_ИУ1"/>
      <sheetName val="3_1_ТХ1"/>
      <sheetName val="СметаСводная_Колпино1"/>
      <sheetName val="3_51"/>
      <sheetName val="суб_подряд2"/>
      <sheetName val="ПСБ_-_ОЭ2"/>
      <sheetName val="Смета_21"/>
      <sheetName val="Ачинский_НПЗ1"/>
      <sheetName val="См3_СЦБ-зап1"/>
      <sheetName val="Хаттон_90_90_Femco1"/>
      <sheetName val="свод_общ1"/>
      <sheetName val="Смета_5_2__Кусты25,29,31,651"/>
      <sheetName val="смета_СИД1"/>
      <sheetName val="ресурсная_вед_1"/>
      <sheetName val="р_Волхов1"/>
      <sheetName val="КП_к_ГК1"/>
      <sheetName val="изыскания_21"/>
      <sheetName val="Калплан_Кра1"/>
      <sheetName val="6_11_новый1"/>
      <sheetName val="Opex_personnel_(Term_facs)1"/>
      <sheetName val="Капитальные_затраты1"/>
      <sheetName val="Пояснение_"/>
      <sheetName val="3_11"/>
      <sheetName val="Коммерческие_расходы1"/>
      <sheetName val="смета_2_проект__работы"/>
      <sheetName val="СС_замеч_с_ответами1"/>
      <sheetName val="УП__20041"/>
      <sheetName val="в_работу1"/>
      <sheetName val="3_21"/>
      <sheetName val="3_31"/>
      <sheetName val="Р2_11"/>
      <sheetName val="Р2_21"/>
      <sheetName val="Удельные(проф_)1"/>
      <sheetName val="Константы_и_результаты1"/>
      <sheetName val="расчет_№31"/>
      <sheetName val="20_Кредиты_краткосрочные1"/>
      <sheetName val="Перечень_Заказчиков1"/>
      <sheetName val="2_2_1"/>
      <sheetName val="СтрЗапасов_(2)"/>
      <sheetName val="PwC_Copies_from_old_models_--&gt;&gt;"/>
      <sheetName val="Сравнение_ДПН_факт_06-07"/>
      <sheetName val="НМ_расчеты"/>
      <sheetName val="КП_к_снег_Рыбинская1"/>
      <sheetName val="Коэф_КВ"/>
      <sheetName val="Смета_терзем"/>
      <sheetName val="Кал_план_Жукова_даты_-_не_надо"/>
      <sheetName val="матер_"/>
      <sheetName val="КП_Прим_(3)"/>
      <sheetName val="кп_(3)"/>
      <sheetName val="фонтан_разбитый2"/>
      <sheetName val="Баланс_(Ф1)"/>
      <sheetName val="Смета_3_Гидролог"/>
      <sheetName val="Записка_СЦБ"/>
      <sheetName val="РС_"/>
      <sheetName val="Source_lists"/>
      <sheetName val="Общая_часть"/>
      <sheetName val="Табл_51"/>
      <sheetName val="Табл_21"/>
      <sheetName val="См_№3_ОПР"/>
      <sheetName val="см_№6_АВЗУ_и_ГПЗУ"/>
      <sheetName val="Input_Assumptions"/>
      <sheetName val="см_№1_1_Геодезические_работы_"/>
      <sheetName val="см_№1_4_Экология_"/>
      <sheetName val="АСУ_ТП_1_этап_ПД"/>
      <sheetName val="Расчет_курса"/>
      <sheetName val="Курс_доллара"/>
      <sheetName val="Календарь_новый"/>
      <sheetName val="Смета_№_1_ИИ_линия"/>
      <sheetName val="Дополнительные_параметры"/>
      <sheetName val="Свод_объем"/>
      <sheetName val="Дог_цена"/>
      <sheetName val="выборка_на22_июня"/>
      <sheetName val="3труба_(П)"/>
      <sheetName val="Объемы_работ_по_ПВ"/>
      <sheetName val="Таблица_5"/>
      <sheetName val="Таблица_3"/>
      <sheetName val="1_401_2"/>
      <sheetName val="PO_Data"/>
      <sheetName val="Раб_АУ"/>
      <sheetName val="р_Нева1"/>
      <sheetName val="р_Молога1"/>
      <sheetName val="18_рек_Ю-Х1"/>
      <sheetName val="нпс_Палкино1"/>
      <sheetName val="Россия_-_Китай1"/>
      <sheetName val="КМ_210-2381"/>
      <sheetName val="БТС-2_км_405-4591"/>
      <sheetName val="БТС-2_км_405-4531"/>
      <sheetName val="БТС-2_км_313-3521"/>
      <sheetName val="БТС-2_км326-3521"/>
      <sheetName val="Улейма_И1"/>
      <sheetName val="Белая_УБКА1"/>
      <sheetName val="км_72-75р_Левоннька1"/>
      <sheetName val="киенгоп-н_Челны_км_104-2061"/>
      <sheetName val="ВЛ_Урдома1"/>
      <sheetName val="Вл_Микунь_Урдома1"/>
      <sheetName val="ВЛ_Синдор-Микунь1"/>
      <sheetName val="Тон_Чермасан1"/>
      <sheetName val="Трасса_км_16-1471"/>
      <sheetName val="трасса_0-761"/>
      <sheetName val="Колва_781"/>
      <sheetName val="Гидрология__р_Колва_км_381"/>
      <sheetName val="ПСП_1"/>
      <sheetName val="Новая_сводка_(до_бюджета)_(2)2"/>
      <sheetName val="Что_пришло2"/>
      <sheetName val="влад-таблица_(2)2"/>
      <sheetName val="Новая_сводка_(до_бюджета)2"/>
      <sheetName val="Новая_сводка2"/>
      <sheetName val="Общие_расходы2"/>
      <sheetName val="Новая_сводка_(по_бюджету)2"/>
      <sheetName val="Íîâàÿ_ñâîäêà_(äî_áþäæåòà)_(2)2"/>
      <sheetName val="×òî_ïðèøëî2"/>
      <sheetName val="âëàä-òàáëèöà_(2)2"/>
      <sheetName val="Íîâàÿ_ñâîäêà_(äî_áþäæåòà)2"/>
      <sheetName val="Íîâàÿ_ñâîäêà2"/>
      <sheetName val="Îáùèå_ðàñõîäû2"/>
      <sheetName val="Íîâàÿ_ñâîäêà_(ïî_áþäæåòó)2"/>
      <sheetName val="6_10_12"/>
      <sheetName val="6_7_3_ТН2"/>
      <sheetName val="6_12"/>
      <sheetName val="6_52-свод1"/>
      <sheetName val="ДДС_(Форма_№3)"/>
      <sheetName val="Сводная_"/>
      <sheetName val="7_ТХ_Сети_(кор)"/>
      <sheetName val="Tier_311208"/>
      <sheetName val="Акт_выбора"/>
      <sheetName val="См_№7_Эл_"/>
      <sheetName val="См_№8_Пож_"/>
      <sheetName val="См_№3_ВиК"/>
      <sheetName val="Сметы_за_сопровождение"/>
      <sheetName val="См_3_АСУ"/>
      <sheetName val="Полигон_-_ИЭИ_"/>
      <sheetName val="Смета_ТЗ_АСУ-16"/>
      <sheetName val="База_Геодезия"/>
      <sheetName val="База_Геология"/>
      <sheetName val="База_Геофизика"/>
      <sheetName val="4_1_1"/>
      <sheetName val="исп_1_1_1"/>
      <sheetName val="База_Гидро"/>
      <sheetName val="4_2_1"/>
      <sheetName val="исп_1_1_2"/>
      <sheetName val="Исп__смета_этап_1_1,_1_2"/>
      <sheetName val="Исх. данные"/>
      <sheetName val="Main list"/>
      <sheetName val="Исх1"/>
      <sheetName val="Пра"/>
      <sheetName val="Промер глуб"/>
      <sheetName val="Расчет №1.1"/>
      <sheetName val="Расчет №2.1"/>
      <sheetName val="ИД ПНР"/>
      <sheetName val="Технический лист"/>
      <sheetName val="анализ 2003_2004исполнение МТО"/>
      <sheetName val="Тестовый"/>
      <sheetName val="Panduit"/>
      <sheetName val=" Свод"/>
      <sheetName val="исключ ЭХЗ"/>
      <sheetName val="БДР"/>
      <sheetName val="геол"/>
      <sheetName val="аванс по ОС"/>
      <sheetName val="Авансы выданные"/>
      <sheetName val="Кред"/>
      <sheetName val="ДЗ"/>
      <sheetName val="Кред. задолж."/>
      <sheetName val="Прочие"/>
      <sheetName val="ГАЗ_камаз"/>
      <sheetName val="41"/>
      <sheetName val="Договорная цена"/>
      <sheetName val="№2Гидромет."/>
      <sheetName val="№2Геолог"/>
      <sheetName val="№2Геолог с.п."/>
      <sheetName val="№3Экологи (2этап)"/>
      <sheetName val="Исходная"/>
      <sheetName val="3 Сл.-структура затрат"/>
      <sheetName val="const"/>
      <sheetName val="расчеты"/>
      <sheetName val="ПС 110 кВ (доп)"/>
      <sheetName val="ПД-2.1"/>
      <sheetName val="Бл_электр_"/>
      <sheetName val="Прил.5 СС"/>
      <sheetName val="расчет вязкости"/>
      <sheetName val="Сравнение с Finder - ДНС-5"/>
      <sheetName val="сводная (2)"/>
      <sheetName val="Расч(подряд)"/>
      <sheetName val="эл_химз_4"/>
      <sheetName val="13_12"/>
      <sheetName val="КП_(2)2"/>
      <sheetName val="свод_32"/>
      <sheetName val="СМЕТА_проект2"/>
      <sheetName val="1_32"/>
      <sheetName val="К_рын2"/>
      <sheetName val="Сводная_смета2"/>
      <sheetName val="Переменные_и_константы2"/>
      <sheetName val="СметаСводная_павильон2"/>
      <sheetName val="СметаСводная_снег2"/>
      <sheetName val="Лист_опроса2"/>
      <sheetName val="Исполнение__освоение_по_закупк2"/>
      <sheetName val="Исполнение_для_Ускова2"/>
      <sheetName val="Выборка_по_отсыпкам2"/>
      <sheetName val="ИП__отсыпки_2"/>
      <sheetName val="ИП__отсыпки_ФОТ_диз_т_2"/>
      <sheetName val="ИП__отсыпки___выборка_2"/>
      <sheetName val="Исполнение_по_оборуд_2"/>
      <sheetName val="Исполнение_по_оборуд___2_2"/>
      <sheetName val="Исполнение_сжато2"/>
      <sheetName val="Форма_для_бурения2"/>
      <sheetName val="Форма_для_КС2"/>
      <sheetName val="Форма_для_ГР2"/>
      <sheetName val="Смета_1свод2"/>
      <sheetName val="таблица_руководству2"/>
      <sheetName val="Суточная_добыча_за_неделю2"/>
      <sheetName val="Прибыль_опл2"/>
      <sheetName val="№5_СУБ_Инж_защ2"/>
      <sheetName val="HP_и_оргтехника2"/>
      <sheetName val="Таблица_4_АСУТП2"/>
      <sheetName val="ПДР_ООО_&quot;Юкос_ФБЦ&quot;2"/>
      <sheetName val="исходные_данные2"/>
      <sheetName val="расчетные_таблицы2"/>
      <sheetName val="Амур_ДОН2"/>
      <sheetName val="Б_Сатка2"/>
      <sheetName val="справ_3"/>
      <sheetName val="Перечень_ИУ2"/>
      <sheetName val="3_1_ТХ2"/>
      <sheetName val="СметаСводная_Колпино2"/>
      <sheetName val="3_52"/>
      <sheetName val="Смета_22"/>
      <sheetName val="Ачинский_НПЗ2"/>
      <sheetName val="См3_СЦБ-зап2"/>
      <sheetName val="Хаттон_90_90_Femco2"/>
      <sheetName val="свод_общ2"/>
      <sheetName val="Смета_5_2__Кусты25,29,31,652"/>
      <sheetName val="р_Волхов2"/>
      <sheetName val="Opex_personnel_(Term_facs)2"/>
      <sheetName val="Капитальные_затраты2"/>
      <sheetName val="Пояснение_1"/>
      <sheetName val="3_12"/>
      <sheetName val="Коммерческие_расходы2"/>
      <sheetName val="смета_2_проект__работы1"/>
      <sheetName val="СС_замеч_с_ответами2"/>
      <sheetName val="УП__20042"/>
      <sheetName val="в_работу2"/>
      <sheetName val="3_22"/>
      <sheetName val="3_32"/>
      <sheetName val="Р2_12"/>
      <sheetName val="Р2_22"/>
      <sheetName val="Удельные(проф_)2"/>
      <sheetName val="Константы_и_результаты2"/>
      <sheetName val="расчет_№32"/>
      <sheetName val="20_Кредиты_краткосрочные2"/>
      <sheetName val="Перечень_Заказчиков2"/>
      <sheetName val="2_2_2"/>
      <sheetName val="СтрЗапасов_(2)1"/>
      <sheetName val="PwC_Copies_from_old_models_--&gt;1"/>
      <sheetName val="Сравнение_ДПН_факт_06-071"/>
      <sheetName val="НМ_расчеты1"/>
      <sheetName val="КП_к_снег_Рыбинская2"/>
      <sheetName val="Коэф_КВ1"/>
      <sheetName val="Смета_терзем1"/>
      <sheetName val="Кал_план_Жукова_даты_-_не_надо1"/>
      <sheetName val="матер_1"/>
      <sheetName val="КП_Прим_(3)1"/>
      <sheetName val="кп_(3)1"/>
      <sheetName val="фонтан_разбитый21"/>
      <sheetName val="Баланс_(Ф1)1"/>
      <sheetName val="Смета_3_Гидролог1"/>
      <sheetName val="Записка_СЦБ1"/>
      <sheetName val="РС_1"/>
      <sheetName val="Раб_АУ1"/>
      <sheetName val="Source_lists1"/>
      <sheetName val="Общая_часть1"/>
      <sheetName val="Табл_52"/>
      <sheetName val="Табл_22"/>
      <sheetName val="См_№3_ОПР1"/>
      <sheetName val="см_№6_АВЗУ_и_ГПЗУ1"/>
      <sheetName val="Input_Assumptions1"/>
      <sheetName val="см_№1_1_Геодезические_работы_1"/>
      <sheetName val="см_№1_4_Экология_1"/>
      <sheetName val="АСУ_ТП_1_этап_ПД1"/>
      <sheetName val="Расчет_курса1"/>
      <sheetName val="ДДС_(Форма_№3)1"/>
      <sheetName val="Курс_доллара1"/>
      <sheetName val="Календарь_новый1"/>
      <sheetName val="Смета_№_1_ИИ_линия1"/>
      <sheetName val="Дополнительные_параметры1"/>
      <sheetName val="Свод_объем1"/>
      <sheetName val="Дог_цена1"/>
      <sheetName val="выборка_на22_июня1"/>
      <sheetName val="3труба_(П)1"/>
      <sheetName val="Объемы_работ_по_ПВ1"/>
      <sheetName val="Таблица_51"/>
      <sheetName val="Таблица_31"/>
      <sheetName val="1_401_21"/>
      <sheetName val="PO_Data1"/>
      <sheetName val="р_Нева2"/>
      <sheetName val="р_Молога2"/>
      <sheetName val="18_рек_Ю-Х2"/>
      <sheetName val="нпс_Палкино2"/>
      <sheetName val="Россия_-_Китай2"/>
      <sheetName val="КМ_210-2382"/>
      <sheetName val="БТС-2_км_405-4592"/>
      <sheetName val="БТС-2_км_405-4532"/>
      <sheetName val="БТС-2_км_313-3522"/>
      <sheetName val="БТС-2_км326-3522"/>
      <sheetName val="Улейма_И2"/>
      <sheetName val="Белая_УБКА2"/>
      <sheetName val="км_72-75р_Левоннька2"/>
      <sheetName val="киенгоп-н_Челны_км_104-2062"/>
      <sheetName val="ВЛ_Урдома2"/>
      <sheetName val="Вл_Микунь_Урдома2"/>
      <sheetName val="ВЛ_Синдор-Микунь2"/>
      <sheetName val="Тон_Чермасан2"/>
      <sheetName val="Трасса_км_16-1472"/>
      <sheetName val="трасса_0-762"/>
      <sheetName val="Колва_782"/>
      <sheetName val="Гидрология__р_Колва_км_382"/>
      <sheetName val="ПСП_2"/>
      <sheetName val="Новая_сводка_(до_бюджета)_(2)3"/>
      <sheetName val="Что_пришло3"/>
      <sheetName val="влад-таблица_(2)3"/>
      <sheetName val="Новая_сводка_(до_бюджета)3"/>
      <sheetName val="Новая_сводка3"/>
      <sheetName val="Общие_расходы3"/>
      <sheetName val="Новая_сводка_(по_бюджету)3"/>
      <sheetName val="Íîâàÿ_ñâîäêà_(äî_áþäæåòà)_(2)3"/>
      <sheetName val="×òî_ïðèøëî3"/>
      <sheetName val="âëàä-òàáëèöà_(2)3"/>
      <sheetName val="Íîâàÿ_ñâîäêà_(äî_áþäæåòà)3"/>
      <sheetName val="Íîâàÿ_ñâîäêà3"/>
      <sheetName val="Îáùèå_ðàñõîäû3"/>
      <sheetName val="Íîâàÿ_ñâîäêà_(ïî_áþäæåòó)3"/>
      <sheetName val="6_10_13"/>
      <sheetName val="6_7_3_ТН3"/>
      <sheetName val="6_13"/>
      <sheetName val="6_52-свод2"/>
      <sheetName val="Сводная_1"/>
      <sheetName val="7_ТХ_Сети_(кор)1"/>
      <sheetName val="Tier_3112081"/>
      <sheetName val="Акт_выбора1"/>
      <sheetName val="См_№7_Эл_1"/>
      <sheetName val="См_№8_Пож_1"/>
      <sheetName val="См_№3_ВиК1"/>
      <sheetName val="Сметы_за_сопровождение1"/>
      <sheetName val="ЕТС_(ф)"/>
      <sheetName val="геология_4"/>
      <sheetName val="6_144"/>
      <sheetName val="6_3_14"/>
      <sheetName val="6_204"/>
      <sheetName val="6_4_14"/>
      <sheetName val="6_11_1__сторонние4"/>
      <sheetName val="8_14_КР_(списание)ОПСТИКР4"/>
      <sheetName val="Данные_для_расчёта_сметы3"/>
      <sheetName val="6_14_КР3"/>
      <sheetName val="Текущие_цены3"/>
      <sheetName val="отчет_эл_эн__20003"/>
      <sheetName val="к_84-к_833"/>
      <sheetName val="свод_23"/>
      <sheetName val="Зап-3-_СЦБ3"/>
      <sheetName val="Пример_расчета3"/>
      <sheetName val="СметаСводная_Рыб3"/>
      <sheetName val="Коэфф1_3"/>
      <sheetName val="6_32"/>
      <sheetName val="6_72"/>
      <sheetName val="6_3_1_32"/>
      <sheetName val="Смета2_проект__раб_3"/>
      <sheetName val="Смета_13"/>
      <sheetName val="Production_and_Spend2"/>
      <sheetName val="Прайс_лист3"/>
      <sheetName val="См_1_наруж_водопровод3"/>
      <sheetName val="Разработка_проекта3"/>
      <sheetName val="КП_НовоКов3"/>
      <sheetName val="СметаСводная_1_оч3"/>
      <sheetName val="свод_(2)2"/>
      <sheetName val="Калплан_ОИ2_Макм_крестики2"/>
      <sheetName val="Св__смета2"/>
      <sheetName val="РБС_ИЗМ12"/>
      <sheetName val="Таблица_22"/>
      <sheetName val="ст_ГТМ2"/>
      <sheetName val="кп_ГК2"/>
      <sheetName val="Справочные_данные2"/>
      <sheetName val="суб_подряд3"/>
      <sheetName val="ПСБ_-_ОЭ3"/>
      <sheetName val="смета_СИД2"/>
      <sheetName val="ресурсная_вед_2"/>
      <sheetName val="КП_к_ГК2"/>
      <sheetName val="изыскания_22"/>
      <sheetName val="Калплан_Кра2"/>
      <sheetName val="6_11_новый2"/>
      <sheetName val="См_3_АСУ1"/>
      <sheetName val="Полигон_-_ИЭИ_1"/>
      <sheetName val="Смета_ТЗ_АСУ-161"/>
      <sheetName val="База_Геодезия1"/>
      <sheetName val="База_Геология1"/>
      <sheetName val="База_Геофизика1"/>
      <sheetName val="4_1_11"/>
      <sheetName val="исп_1_1_11"/>
      <sheetName val="База_Гидро1"/>
      <sheetName val="4_2_11"/>
      <sheetName val="исп_1_1_21"/>
      <sheetName val="Исп__смета_этап_1_1,_1_21"/>
      <sheetName val="КБК_ДПК"/>
      <sheetName val="ТЗ_АСУ-1"/>
      <sheetName val="лч_и_кам"/>
      <sheetName val="ИД_СМР"/>
      <sheetName val="Вспом_"/>
      <sheetName val="2_Геология"/>
      <sheetName val="Объем_работ"/>
      <sheetName val="Виды_работ_АСО"/>
      <sheetName val="таблица_руко_1"/>
      <sheetName val="ФОТ_для_смет"/>
      <sheetName val="таблица_руко_"/>
      <sheetName val="Исх__данные"/>
      <sheetName val="Main_list"/>
      <sheetName val="ПД-2_2"/>
      <sheetName val="1_14"/>
      <sheetName val="1_7"/>
      <sheetName val="Промер_глуб"/>
      <sheetName val="Смета _4ПР ЭХЗ"/>
      <sheetName val="ЖД 3.1"/>
      <sheetName val="УСР"/>
      <sheetName val="Объемы"/>
      <sheetName val="СметаСводная п54"/>
      <sheetName val="СметаСводная пуш"/>
      <sheetName val="1-1"/>
      <sheetName val="1-2"/>
      <sheetName val="1-4"/>
      <sheetName val="изм2-1"/>
      <sheetName val="2-2"/>
      <sheetName val="2-3"/>
      <sheetName val="изм7-1"/>
      <sheetName val="изм9-1"/>
      <sheetName val="см 5 ОДД "/>
      <sheetName val="Коэффициенты"/>
      <sheetName val="Акт-Смета_30"/>
      <sheetName val="Смета 2 эл.монтаж"/>
      <sheetName val="Смета 1 общестроит"/>
      <sheetName val="ДЦ"/>
      <sheetName val=" Оборудование  end"/>
      <sheetName val="автоматизация РД"/>
      <sheetName val="РабПр"/>
      <sheetName val="Восстановл_Лис礊め_x0005_"/>
      <sheetName val="Акт выполненных работ 46"/>
      <sheetName val="SMW_Служебная"/>
      <sheetName val="См_2 Шатурс сети  проект работы"/>
      <sheetName val="W28"/>
      <sheetName val="Ref"/>
      <sheetName val="выборка "/>
      <sheetName val="выборка раб"/>
      <sheetName val="7"/>
      <sheetName val="Прочее"/>
      <sheetName val="ЛЧ Р"/>
      <sheetName val="GLOBAL"/>
      <sheetName val="темп"/>
      <sheetName val="Форма 2.1"/>
      <sheetName val="СВ"/>
      <sheetName val="2.1"/>
      <sheetName val="ИНСТРУКЦИЯ"/>
      <sheetName val="См_2_Шатурс_сети__проект_работы"/>
      <sheetName val="исключ_ЭХЗ"/>
      <sheetName val="Форма 9"/>
      <sheetName val="Форма 10"/>
      <sheetName val="Настройки"/>
      <sheetName val="СмРучБур"/>
      <sheetName val="Локальная смета 6-3-2"/>
      <sheetName val="Производство электроэнергии"/>
      <sheetName val="Т11"/>
      <sheetName val="Т12"/>
      <sheetName val="Т7"/>
      <sheetName val="1.1"/>
      <sheetName val="1.2-1"/>
      <sheetName val="1.2-2"/>
      <sheetName val="1.2-3"/>
      <sheetName val="1.2-4"/>
      <sheetName val="1.2-5"/>
      <sheetName val="1.3.1"/>
      <sheetName val="1.3.2"/>
      <sheetName val="1.3.3"/>
      <sheetName val="1.4.1.1"/>
      <sheetName val="1.4.1.2"/>
      <sheetName val="1.4.1.3"/>
      <sheetName val="1.4.1.5"/>
      <sheetName val="1.5"/>
      <sheetName val="№2.1"/>
      <sheetName val="№2.2-1"/>
      <sheetName val="№2.2-2"/>
      <sheetName val="№2.2-3 "/>
      <sheetName val="2.2-5 "/>
      <sheetName val="№2.3.1"/>
      <sheetName val="№2.3.2"/>
      <sheetName val="2.3.3"/>
      <sheetName val="2.4.1.1"/>
      <sheetName val="2.4.1.3"/>
      <sheetName val="№3.1"/>
      <sheetName val="№3.2-1"/>
      <sheetName val="№3.2-2"/>
      <sheetName val="№3.2-3"/>
      <sheetName val="3.2-5 "/>
      <sheetName val="3.3.1"/>
      <sheetName val="3.3.2"/>
      <sheetName val="3.3.3"/>
      <sheetName val="3.4.1.3"/>
      <sheetName val="2.6"/>
      <sheetName val="2.7"/>
      <sheetName val="4.1"/>
      <sheetName val="4.2"/>
      <sheetName val="4.3"/>
      <sheetName val="4.4"/>
      <sheetName val="4.5"/>
      <sheetName val="4.6"/>
      <sheetName val="4.7"/>
      <sheetName val="4.9"/>
      <sheetName val="4.10"/>
      <sheetName val="4.10 (3)"/>
      <sheetName val="4.10 (2)"/>
      <sheetName val="4.11"/>
      <sheetName val="4.12"/>
      <sheetName val="4.13"/>
      <sheetName val="4.14"/>
      <sheetName val="4.15"/>
      <sheetName val="4.16"/>
      <sheetName val="4.17"/>
      <sheetName val="4.18"/>
      <sheetName val="4.19"/>
      <sheetName val="5.1"/>
      <sheetName val="5.2"/>
      <sheetName val="5.3"/>
      <sheetName val="5.4"/>
      <sheetName val="5.5"/>
      <sheetName val="5.6"/>
      <sheetName val="5.7"/>
      <sheetName val="5.8"/>
      <sheetName val="Настройка"/>
      <sheetName val="База ВОП"/>
      <sheetName val="База ПИР"/>
      <sheetName val="2.2"/>
      <sheetName val="2.3"/>
      <sheetName val="2.3.2"/>
      <sheetName val="2.4"/>
      <sheetName val="2.5"/>
      <sheetName val=" Ком"/>
      <sheetName val="2.3.лаб"/>
      <sheetName val="3.1земля"/>
      <sheetName val="6.1-7.1"/>
      <sheetName val="рекульт"/>
      <sheetName val="ГО и ЧС"/>
      <sheetName val="ДПБ"/>
      <sheetName val="№3"/>
      <sheetName val="№1 СИД"/>
      <sheetName val="№2 Ком дьяк"/>
      <sheetName val="№3.2"/>
      <sheetName val="№3.3"/>
      <sheetName val="СВ смета"/>
      <sheetName val="№3.4"/>
      <sheetName val="№4 ПДЛУ и ЗУ"/>
      <sheetName val="№5 ППиМТ"/>
      <sheetName val="№6.1 ТГВ"/>
      <sheetName val="№6.2 ЭХЗ"/>
      <sheetName val="№6.3 ЭС (согл )"/>
      <sheetName val="№6.4 КИП"/>
      <sheetName val="№6.5 Согл (КИП) "/>
      <sheetName val="№6.6 МЕО "/>
      <sheetName val="№6.7 ПожБ (ПД)"/>
      <sheetName val="№6.8 Пром без (ПД)"/>
      <sheetName val="№6.9 эк аспект"/>
      <sheetName val="№6.10 ОВОС"/>
      <sheetName val="№6.11 отвод"/>
      <sheetName val="№6.12 рекул"/>
      <sheetName val="№6.13 отход"/>
      <sheetName val="№6.14 выброс"/>
      <sheetName val="№6.15 ИБ (ПД)"/>
      <sheetName val="№6.16 ИБ (РД)"/>
      <sheetName val="Список_объектов"/>
      <sheetName val="РС"/>
      <sheetName val="проектные роли"/>
      <sheetName val="Смета180"/>
      <sheetName val="ДКСС от МПС"/>
      <sheetName val="РАСПРЕД_ПО_ПРОЦЕСС"/>
      <sheetName val="Исх_"/>
      <sheetName val="ИД_ПНР"/>
      <sheetName val="см_5_ОДД_"/>
      <sheetName val="сммашбур"/>
      <sheetName val="ОбмОбслЗемОд"/>
      <sheetName val="Поставка"/>
      <sheetName val="Расчет работы"/>
      <sheetName val="ПС_110_кВ_(доп)"/>
      <sheetName val="3_Сл_-структура_затрат"/>
      <sheetName val="лч_и_кам1"/>
      <sheetName val="исключ_ЭХЗ1"/>
      <sheetName val="КБК_ДПК1"/>
      <sheetName val="ТЗ_АСУ-11"/>
      <sheetName val="3_Сл_-структура_затрат1"/>
      <sheetName val="ПС_110_кВ_(доп)1"/>
      <sheetName val="Бл_электр_1"/>
      <sheetName val="См_2_Шатурс_сети__проект_работ1"/>
      <sheetName val="SENSITIVITY"/>
      <sheetName val="таблица_руко "/>
      <sheetName val="эл_химз_5"/>
      <sheetName val="геология_5"/>
      <sheetName val="6_145"/>
      <sheetName val="6_3_15"/>
      <sheetName val="6_205"/>
      <sheetName val="6_4_15"/>
      <sheetName val="6_11_1__сторонние5"/>
      <sheetName val="8_14_КР_(списание)ОПСТИКР5"/>
      <sheetName val="Данные_для_расчёта_сметы4"/>
      <sheetName val="6_14_КР4"/>
      <sheetName val="Пример_расчета4"/>
      <sheetName val="свод_24"/>
      <sheetName val="Зап-3-_СЦБ4"/>
      <sheetName val="СметаСводная_Рыб4"/>
      <sheetName val="13_13"/>
      <sheetName val="Текущие_цены4"/>
      <sheetName val="отчет_эл_эн__20004"/>
      <sheetName val="к_84-к_834"/>
      <sheetName val="Коэфф1_4"/>
      <sheetName val="6_33"/>
      <sheetName val="6_73"/>
      <sheetName val="6_3_1_33"/>
      <sheetName val="КП_(2)3"/>
      <sheetName val="свод_33"/>
      <sheetName val="Смета2_проект__раб_4"/>
      <sheetName val="Смета_14"/>
      <sheetName val="СМЕТА_проект3"/>
      <sheetName val="Production_and_Spend3"/>
      <sheetName val="Прайс_лист4"/>
      <sheetName val="1_33"/>
      <sheetName val="К_рын3"/>
      <sheetName val="Сводная_смета3"/>
      <sheetName val="См_1_наруж_водопровод4"/>
      <sheetName val="Разработка_проекта4"/>
      <sheetName val="КП_НовоКов4"/>
      <sheetName val="СметаСводная_1_оч4"/>
      <sheetName val="Переменные_и_константы3"/>
      <sheetName val="свод_(2)3"/>
      <sheetName val="Калплан_ОИ2_Макм_крестики3"/>
      <sheetName val="СметаСводная_павильон3"/>
      <sheetName val="Св__смета3"/>
      <sheetName val="РБС_ИЗМ13"/>
      <sheetName val="СметаСводная_снег3"/>
      <sheetName val="Лист_опроса3"/>
      <sheetName val="Исполнение__освоение_по_закупк3"/>
      <sheetName val="Исполнение_для_Ускова3"/>
      <sheetName val="Выборка_по_отсыпкам3"/>
      <sheetName val="ИП__отсыпки_3"/>
      <sheetName val="ИП__отсыпки_ФОТ_диз_т_3"/>
      <sheetName val="ИП__отсыпки___выборка_3"/>
      <sheetName val="Исполнение_по_оборуд_3"/>
      <sheetName val="Исполнение_по_оборуд___2_3"/>
      <sheetName val="Исполнение_сжато3"/>
      <sheetName val="Форма_для_бурения3"/>
      <sheetName val="Форма_для_КС3"/>
      <sheetName val="Форма_для_ГР3"/>
      <sheetName val="Смета_1свод3"/>
      <sheetName val="таблица_руководству3"/>
      <sheetName val="Суточная_добыча_за_неделю3"/>
      <sheetName val="Прибыль_опл3"/>
      <sheetName val="№5_СУБ_Инж_защ3"/>
      <sheetName val="HP_и_оргтехника3"/>
      <sheetName val="Таблица_23"/>
      <sheetName val="Таблица_4_АСУТП3"/>
      <sheetName val="ст_ГТМ3"/>
      <sheetName val="ПДР_ООО_&quot;Юкос_ФБЦ&quot;3"/>
      <sheetName val="исходные_данные3"/>
      <sheetName val="расчетные_таблицы3"/>
      <sheetName val="Амур_ДОН3"/>
      <sheetName val="кп_ГК3"/>
      <sheetName val="Справочные_данные3"/>
      <sheetName val="Б_Сатка3"/>
      <sheetName val="справ_4"/>
      <sheetName val="Перечень_ИУ3"/>
      <sheetName val="3_1_ТХ3"/>
      <sheetName val="СметаСводная_Колпино3"/>
      <sheetName val="3_53"/>
      <sheetName val="суб_подряд4"/>
      <sheetName val="ПСБ_-_ОЭ4"/>
      <sheetName val="Смета_23"/>
      <sheetName val="Ачинский_НПЗ3"/>
      <sheetName val="См3_СЦБ-зап3"/>
      <sheetName val="Хаттон_90_90_Femco3"/>
      <sheetName val="свод_общ3"/>
      <sheetName val="Смета_5_2__Кусты25,29,31,653"/>
      <sheetName val="смета_СИД3"/>
      <sheetName val="ресурсная_вед_3"/>
      <sheetName val="р_Волхов3"/>
      <sheetName val="КП_к_ГК3"/>
      <sheetName val="изыскания_23"/>
      <sheetName val="Калплан_Кра3"/>
      <sheetName val="6_11_новый3"/>
      <sheetName val="Opex_personnel_(Term_facs)3"/>
      <sheetName val="Капитальные_затраты3"/>
      <sheetName val="Пояснение_2"/>
      <sheetName val="3_13"/>
      <sheetName val="Коммерческие_расходы3"/>
      <sheetName val="смета_2_проект__работы2"/>
      <sheetName val="СС_замеч_с_ответами3"/>
      <sheetName val="УП__20043"/>
      <sheetName val="в_работу3"/>
      <sheetName val="3_23"/>
      <sheetName val="3_33"/>
      <sheetName val="Р2_13"/>
      <sheetName val="Р2_23"/>
      <sheetName val="Удельные(проф_)3"/>
      <sheetName val="Константы_и_результаты3"/>
      <sheetName val="расчет_№33"/>
      <sheetName val="20_Кредиты_краткосрочные3"/>
      <sheetName val="Перечень_Заказчиков3"/>
      <sheetName val="2_2_3"/>
      <sheetName val="СтрЗапасов_(2)2"/>
      <sheetName val="PwC_Copies_from_old_models_--&gt;2"/>
      <sheetName val="Сравнение_ДПН_факт_06-072"/>
      <sheetName val="НМ_расчеты2"/>
      <sheetName val="КП_к_снег_Рыбинская3"/>
      <sheetName val="Коэф_КВ2"/>
      <sheetName val="Смета_терзем2"/>
      <sheetName val="Кал_план_Жукова_даты_-_не_надо2"/>
      <sheetName val="матер_2"/>
      <sheetName val="КП_Прим_(3)2"/>
      <sheetName val="кп_(3)2"/>
      <sheetName val="фонтан_разбитый22"/>
      <sheetName val="Баланс_(Ф1)2"/>
      <sheetName val="Смета_3_Гидролог2"/>
      <sheetName val="Записка_СЦБ2"/>
      <sheetName val="РС_2"/>
      <sheetName val="Source_lists2"/>
      <sheetName val="Общая_часть2"/>
      <sheetName val="Табл_53"/>
      <sheetName val="Табл_23"/>
      <sheetName val="См_№3_ОПР2"/>
      <sheetName val="см_№6_АВЗУ_и_ГПЗУ2"/>
      <sheetName val="Input_Assumptions2"/>
      <sheetName val="см_№1_1_Геодезические_работы_2"/>
      <sheetName val="см_№1_4_Экология_2"/>
      <sheetName val="АСУ_ТП_1_этап_ПД2"/>
      <sheetName val="Расчет_курса2"/>
      <sheetName val="Курс_доллара2"/>
      <sheetName val="Календарь_новый2"/>
      <sheetName val="Смета_№_1_ИИ_линия2"/>
      <sheetName val="Дополнительные_параметры2"/>
      <sheetName val="Свод_объем2"/>
      <sheetName val="Дог_цена2"/>
      <sheetName val="выборка_на22_июня2"/>
      <sheetName val="3труба_(П)2"/>
      <sheetName val="Объемы_работ_по_ПВ2"/>
      <sheetName val="Таблица_52"/>
      <sheetName val="Таблица_32"/>
      <sheetName val="1_401_22"/>
      <sheetName val="PO_Data2"/>
      <sheetName val="Раб_АУ2"/>
      <sheetName val="р_Нева3"/>
      <sheetName val="р_Молога3"/>
      <sheetName val="18_рек_Ю-Х3"/>
      <sheetName val="нпс_Палкино3"/>
      <sheetName val="Россия_-_Китай3"/>
      <sheetName val="КМ_210-2383"/>
      <sheetName val="БТС-2_км_405-4593"/>
      <sheetName val="БТС-2_км_405-4533"/>
      <sheetName val="БТС-2_км_313-3523"/>
      <sheetName val="БТС-2_км326-3523"/>
      <sheetName val="Улейма_И3"/>
      <sheetName val="Белая_УБКА3"/>
      <sheetName val="км_72-75р_Левоннька3"/>
      <sheetName val="киенгоп-н_Челны_км_104-2063"/>
      <sheetName val="ВЛ_Урдома3"/>
      <sheetName val="Вл_Микунь_Урдома3"/>
      <sheetName val="ВЛ_Синдор-Микунь3"/>
      <sheetName val="Тон_Чермасан3"/>
      <sheetName val="Трасса_км_16-1473"/>
      <sheetName val="трасса_0-763"/>
      <sheetName val="Колва_783"/>
      <sheetName val="Гидрология__р_Колва_км_383"/>
      <sheetName val="ПСП_3"/>
      <sheetName val="Новая_сводка_(до_бюджета)_(2)4"/>
      <sheetName val="Что_пришло4"/>
      <sheetName val="влад-таблица_(2)4"/>
      <sheetName val="Новая_сводка_(до_бюджета)4"/>
      <sheetName val="Новая_сводка4"/>
      <sheetName val="Общие_расходы4"/>
      <sheetName val="Новая_сводка_(по_бюджету)4"/>
      <sheetName val="Íîâàÿ_ñâîäêà_(äî_áþäæåòà)_(2)4"/>
      <sheetName val="×òî_ïðèøëî4"/>
      <sheetName val="âëàä-òàáëèöà_(2)4"/>
      <sheetName val="Íîâàÿ_ñâîäêà_(äî_áþäæåòà)4"/>
      <sheetName val="Íîâàÿ_ñâîäêà4"/>
      <sheetName val="Îáùèå_ðàñõîäû4"/>
      <sheetName val="Íîâàÿ_ñâîäêà_(ïî_áþäæåòó)4"/>
      <sheetName val="6_10_14"/>
      <sheetName val="6_7_3_ТН4"/>
      <sheetName val="6_15"/>
      <sheetName val="6_52-свод3"/>
      <sheetName val="ДДС_(Форма_№3)2"/>
      <sheetName val="Сводная_2"/>
      <sheetName val="7_ТХ_Сети_(кор)2"/>
      <sheetName val="Tier_3112082"/>
      <sheetName val="Акт_выбора2"/>
      <sheetName val="См_№7_Эл_2"/>
      <sheetName val="См_№8_Пож_2"/>
      <sheetName val="См_№3_ВиК2"/>
      <sheetName val="Сметы_за_сопровождение2"/>
      <sheetName val="См_3_АСУ2"/>
      <sheetName val="Полигон_-_ИЭИ_2"/>
      <sheetName val="Смета_ТЗ_АСУ-162"/>
      <sheetName val="База_Геодезия2"/>
      <sheetName val="База_Геология2"/>
      <sheetName val="База_Геофизика2"/>
      <sheetName val="4_1_12"/>
      <sheetName val="исп_1_1_12"/>
      <sheetName val="База_Гидро2"/>
      <sheetName val="4_2_12"/>
      <sheetName val="исп_1_1_22"/>
      <sheetName val="Исп__смета_этап_1_1,_1_22"/>
      <sheetName val="ИД_СМР1"/>
      <sheetName val="Вспом_1"/>
      <sheetName val="2_Геология1"/>
      <sheetName val="Объем_работ1"/>
      <sheetName val="Виды_работ_АСО1"/>
      <sheetName val="ФОТ_для_смет1"/>
      <sheetName val="ЕТС_(ф)1"/>
      <sheetName val="Исх__данные1"/>
      <sheetName val="Main_list1"/>
      <sheetName val="ПД-2_21"/>
      <sheetName val="1_141"/>
      <sheetName val="1_71"/>
      <sheetName val="13_14"/>
      <sheetName val="таблица_руко_2"/>
      <sheetName val="эл_химз_6"/>
      <sheetName val="геология_6"/>
      <sheetName val="6_146"/>
      <sheetName val="6_3_16"/>
      <sheetName val="6_206"/>
      <sheetName val="6_4_16"/>
      <sheetName val="6_11_1__сторонние6"/>
      <sheetName val="8_14_КР_(списание)ОПСТИКР6"/>
      <sheetName val="Данные_для_расчёта_сметы5"/>
      <sheetName val="6_14_КР5"/>
      <sheetName val="Текущие_цены5"/>
      <sheetName val="отчет_эл_эн__20005"/>
      <sheetName val="к_84-к_835"/>
      <sheetName val="свод_25"/>
      <sheetName val="Зап-3-_СЦБ5"/>
      <sheetName val="Пример_расчета5"/>
      <sheetName val="СметаСводная_Рыб5"/>
      <sheetName val="Коэфф1_5"/>
      <sheetName val="6_34"/>
      <sheetName val="6_74"/>
      <sheetName val="6_3_1_34"/>
      <sheetName val="КП_(2)4"/>
      <sheetName val="свод_34"/>
      <sheetName val="Смета2_проект__раб_5"/>
      <sheetName val="Смета_15"/>
      <sheetName val="СМЕТА_проект4"/>
      <sheetName val="Production_and_Spend4"/>
      <sheetName val="Прайс_лист5"/>
      <sheetName val="1_34"/>
      <sheetName val="К_рын4"/>
      <sheetName val="Сводная_смета4"/>
      <sheetName val="См_1_наруж_водопровод5"/>
      <sheetName val="Разработка_проекта5"/>
      <sheetName val="КП_НовоКов5"/>
      <sheetName val="СметаСводная_1_оч5"/>
      <sheetName val="Переменные_и_константы4"/>
      <sheetName val="свод_(2)4"/>
      <sheetName val="Калплан_ОИ2_Макм_крестики4"/>
      <sheetName val="СметаСводная_павильон4"/>
      <sheetName val="Св__смета4"/>
      <sheetName val="РБС_ИЗМ14"/>
      <sheetName val="СметаСводная_снег4"/>
      <sheetName val="Лист_опроса4"/>
      <sheetName val="Исполнение__освоение_по_закупк4"/>
      <sheetName val="Исполнение_для_Ускова4"/>
      <sheetName val="Выборка_по_отсыпкам4"/>
      <sheetName val="ИП__отсыпки_4"/>
      <sheetName val="ИП__отсыпки_ФОТ_диз_т_4"/>
      <sheetName val="ИП__отсыпки___выборка_4"/>
      <sheetName val="Исполнение_по_оборуд_4"/>
      <sheetName val="Исполнение_по_оборуд___2_4"/>
      <sheetName val="Исполнение_сжато4"/>
      <sheetName val="Форма_для_бурения4"/>
      <sheetName val="Форма_для_КС4"/>
      <sheetName val="Форма_для_ГР4"/>
      <sheetName val="Смета_1свод4"/>
      <sheetName val="таблица_руководству4"/>
      <sheetName val="Суточная_добыча_за_неделю4"/>
      <sheetName val="Прибыль_опл4"/>
      <sheetName val="№5_СУБ_Инж_защ4"/>
      <sheetName val="HP_и_оргтехника4"/>
      <sheetName val="Таблица_24"/>
      <sheetName val="Таблица_4_АСУТП4"/>
      <sheetName val="ст_ГТМ4"/>
      <sheetName val="ПДР_ООО_&quot;Юкос_ФБЦ&quot;4"/>
      <sheetName val="исходные_данные4"/>
      <sheetName val="расчетные_таблицы4"/>
      <sheetName val="Амур_ДОН4"/>
      <sheetName val="кп_ГК4"/>
      <sheetName val="Справочные_данные4"/>
      <sheetName val="Б_Сатка4"/>
      <sheetName val="справ_5"/>
      <sheetName val="Перечень_ИУ4"/>
      <sheetName val="3_1_ТХ4"/>
      <sheetName val="СметаСводная_Колпино4"/>
      <sheetName val="3_54"/>
      <sheetName val="суб_подряд5"/>
      <sheetName val="ПСБ_-_ОЭ5"/>
      <sheetName val="Смета_24"/>
      <sheetName val="Ачинский_НПЗ4"/>
      <sheetName val="См3_СЦБ-зап4"/>
      <sheetName val="Хаттон_90_90_Femco4"/>
      <sheetName val="свод_общ4"/>
      <sheetName val="Смета_5_2__Кусты25,29,31,654"/>
      <sheetName val="смета_СИД4"/>
      <sheetName val="ресурсная_вед_4"/>
      <sheetName val="р_Волхов4"/>
      <sheetName val="КП_к_ГК4"/>
      <sheetName val="изыскания_24"/>
      <sheetName val="Калплан_Кра4"/>
      <sheetName val="6_11_новый4"/>
      <sheetName val="Opex_personnel_(Term_facs)4"/>
      <sheetName val="Капитальные_затраты4"/>
      <sheetName val="Пояснение_3"/>
      <sheetName val="3_14"/>
      <sheetName val="Коммерческие_расходы4"/>
      <sheetName val="смета_2_проект__работы3"/>
      <sheetName val="СС_замеч_с_ответами4"/>
      <sheetName val="УП__20044"/>
      <sheetName val="в_работу4"/>
      <sheetName val="3_24"/>
      <sheetName val="3_34"/>
      <sheetName val="Р2_14"/>
      <sheetName val="Р2_24"/>
      <sheetName val="Удельные(проф_)4"/>
      <sheetName val="Константы_и_результаты4"/>
      <sheetName val="расчет_№34"/>
      <sheetName val="20_Кредиты_краткосрочные4"/>
      <sheetName val="Перечень_Заказчиков4"/>
      <sheetName val="2_2_4"/>
      <sheetName val="СтрЗапасов_(2)3"/>
      <sheetName val="PwC_Copies_from_old_models_--&gt;3"/>
      <sheetName val="Сравнение_ДПН_факт_06-073"/>
      <sheetName val="НМ_расчеты3"/>
      <sheetName val="КП_к_снег_Рыбинская4"/>
      <sheetName val="Коэф_КВ3"/>
      <sheetName val="Смета_терзем3"/>
      <sheetName val="Кал_план_Жукова_даты_-_не_надо3"/>
      <sheetName val="матер_3"/>
      <sheetName val="КП_Прим_(3)3"/>
      <sheetName val="кп_(3)3"/>
      <sheetName val="фонтан_разбитый23"/>
      <sheetName val="Баланс_(Ф1)3"/>
      <sheetName val="Смета_3_Гидролог3"/>
      <sheetName val="Записка_СЦБ3"/>
      <sheetName val="РС_3"/>
      <sheetName val="Source_lists3"/>
      <sheetName val="Общая_часть3"/>
      <sheetName val="Табл_54"/>
      <sheetName val="Табл_24"/>
      <sheetName val="См_№3_ОПР3"/>
      <sheetName val="см_№6_АВЗУ_и_ГПЗУ3"/>
      <sheetName val="Input_Assumptions3"/>
      <sheetName val="см_№1_1_Геодезические_работы_3"/>
      <sheetName val="см_№1_4_Экология_3"/>
      <sheetName val="АСУ_ТП_1_этап_ПД3"/>
      <sheetName val="Расчет_курса3"/>
      <sheetName val="Курс_доллара3"/>
      <sheetName val="Календарь_новый3"/>
      <sheetName val="Смета_№_1_ИИ_линия3"/>
      <sheetName val="Дополнительные_параметры3"/>
      <sheetName val="Свод_объем3"/>
      <sheetName val="Дог_цена3"/>
      <sheetName val="выборка_на22_июня3"/>
      <sheetName val="3труба_(П)3"/>
      <sheetName val="Объемы_работ_по_ПВ3"/>
      <sheetName val="Таблица_53"/>
      <sheetName val="Таблица_33"/>
      <sheetName val="1_401_23"/>
      <sheetName val="PO_Data3"/>
      <sheetName val="Раб_АУ3"/>
      <sheetName val="р_Нева4"/>
      <sheetName val="р_Молога4"/>
      <sheetName val="18_рек_Ю-Х4"/>
      <sheetName val="нпс_Палкино4"/>
      <sheetName val="Россия_-_Китай4"/>
      <sheetName val="КМ_210-2384"/>
      <sheetName val="БТС-2_км_405-4594"/>
      <sheetName val="БТС-2_км_405-4534"/>
      <sheetName val="БТС-2_км_313-3524"/>
      <sheetName val="БТС-2_км326-3524"/>
      <sheetName val="Улейма_И4"/>
      <sheetName val="Белая_УБКА4"/>
      <sheetName val="км_72-75р_Левоннька4"/>
      <sheetName val="киенгоп-н_Челны_км_104-2064"/>
      <sheetName val="ВЛ_Урдома4"/>
      <sheetName val="Вл_Микунь_Урдома4"/>
      <sheetName val="ВЛ_Синдор-Микунь4"/>
      <sheetName val="Тон_Чермасан4"/>
      <sheetName val="Трасса_км_16-1474"/>
      <sheetName val="трасса_0-764"/>
      <sheetName val="Колва_784"/>
      <sheetName val="Гидрология__р_Колва_км_384"/>
      <sheetName val="ПСП_4"/>
      <sheetName val="Новая_сводка_(до_бюджета)_(2)5"/>
      <sheetName val="Что_пришло5"/>
      <sheetName val="влад-таблица_(2)5"/>
      <sheetName val="Новая_сводка_(до_бюджета)5"/>
      <sheetName val="Новая_сводка5"/>
      <sheetName val="Общие_расходы5"/>
      <sheetName val="Новая_сводка_(по_бюджету)5"/>
      <sheetName val="Íîâàÿ_ñâîäêà_(äî_áþäæåòà)_(2)5"/>
      <sheetName val="×òî_ïðèøëî5"/>
      <sheetName val="âëàä-òàáëèöà_(2)5"/>
      <sheetName val="Íîâàÿ_ñâîäêà_(äî_áþäæåòà)5"/>
      <sheetName val="Íîâàÿ_ñâîäêà5"/>
      <sheetName val="Îáùèå_ðàñõîäû5"/>
      <sheetName val="Íîâàÿ_ñâîäêà_(ïî_áþäæåòó)5"/>
      <sheetName val="6_10_15"/>
      <sheetName val="6_7_3_ТН5"/>
      <sheetName val="6_16"/>
      <sheetName val="6_52-свод4"/>
      <sheetName val="ДДС_(Форма_№3)3"/>
      <sheetName val="Сводная_3"/>
      <sheetName val="7_ТХ_Сети_(кор)3"/>
      <sheetName val="Tier_3112083"/>
      <sheetName val="Акт_выбора3"/>
      <sheetName val="См_№7_Эл_3"/>
      <sheetName val="См_№8_Пож_3"/>
      <sheetName val="См_№3_ВиК3"/>
      <sheetName val="Сметы_за_сопровождение3"/>
      <sheetName val="См_3_АСУ3"/>
      <sheetName val="Полигон_-_ИЭИ_3"/>
      <sheetName val="Смета_ТЗ_АСУ-163"/>
      <sheetName val="База_Геодезия3"/>
      <sheetName val="База_Геология3"/>
      <sheetName val="База_Геофизика3"/>
      <sheetName val="4_1_13"/>
      <sheetName val="исп_1_1_13"/>
      <sheetName val="База_Гидро3"/>
      <sheetName val="4_2_13"/>
      <sheetName val="исп_1_1_23"/>
      <sheetName val="Исп__смета_этап_1_1,_1_23"/>
      <sheetName val="ТЗ_АСУ-12"/>
      <sheetName val="лч_и_кам2"/>
      <sheetName val="ИД_СМР2"/>
      <sheetName val="Вспом_2"/>
      <sheetName val="Бл_электр_2"/>
      <sheetName val="2_Геология2"/>
      <sheetName val="Объем_работ2"/>
      <sheetName val="Виды_работ_АСО2"/>
      <sheetName val="ФОТ_для_смет2"/>
      <sheetName val="КБК_ДПК2"/>
      <sheetName val="ЕТС_(ф)2"/>
      <sheetName val="Исх__данные2"/>
      <sheetName val="Main_list2"/>
      <sheetName val="ПД-2_22"/>
      <sheetName val="1_142"/>
      <sheetName val="1_72"/>
      <sheetName val="Промер_глуб1"/>
      <sheetName val="кап_ремонт"/>
      <sheetName val="СВ_2"/>
      <sheetName val="1_2_"/>
      <sheetName val="Приложение_2"/>
      <sheetName val="Ограничения_шаблон"/>
      <sheetName val="Причины_отклонений"/>
      <sheetName val="Статус_работы"/>
      <sheetName val="Уровень_графика"/>
      <sheetName val="Расчет_№1_1"/>
      <sheetName val="Расчет_№2_1"/>
      <sheetName val="Технический_лист"/>
      <sheetName val="анализ_2003_2004исполнение_МТО"/>
      <sheetName val="Индексы"/>
      <sheetName val="аванс_по_ОС"/>
      <sheetName val="Авансы_выданные"/>
      <sheetName val="Кред__задолж_"/>
      <sheetName val="PLиюль04"/>
      <sheetName val="PL СКР"/>
      <sheetName val="Акты"/>
      <sheetName val="ЛС_БИ"/>
      <sheetName val="обслед 1"/>
      <sheetName val="Смета__4ПР_ЭХЗ"/>
      <sheetName val="ЖД_3_1"/>
      <sheetName val="11Землеустр"/>
      <sheetName val="сводная_(2)"/>
      <sheetName val="автоматизация_РД"/>
      <sheetName val="Восстановл_Лис礊め"/>
      <sheetName val="Свод2006"/>
      <sheetName val="1 кв"/>
      <sheetName val="Акт_выполненных_работ_46"/>
      <sheetName val="Смета_7"/>
      <sheetName val="ВПР"/>
      <sheetName val="Проект"/>
      <sheetName val="основа"/>
      <sheetName val="_Свод"/>
      <sheetName val="Договорная_цена"/>
      <sheetName val="Смета_2_эл_монтаж"/>
      <sheetName val="Смета_1_общестроит"/>
      <sheetName val="№2Гидромет_"/>
      <sheetName val="№2Геолог_с_п_"/>
      <sheetName val="№3Экологи_(2этап)"/>
      <sheetName val="Прил_5_СС"/>
      <sheetName val="расчет_вязкости"/>
      <sheetName val="Сравнение_с_Finder_-_ДНС-5"/>
      <sheetName val="_Оборудование__end"/>
      <sheetName val="РАСПРЕД_ПО_ПРОЦЕСС1"/>
      <sheetName val="Исх_1"/>
      <sheetName val="ИД_ПНР1"/>
      <sheetName val="см_5_ОДД_1"/>
      <sheetName val="РАСПРЕД_ПО_ПРОЦЕСС2"/>
      <sheetName val="Исх_2"/>
      <sheetName val="ИД_ПНР2"/>
      <sheetName val="см_5_ОДД_2"/>
      <sheetName val="таблица_руко_3"/>
      <sheetName val="aeaa-oaaeeoa"/>
      <sheetName val="Iiaay naiaea (ai a?a?aoa) (2)"/>
      <sheetName val="?oi i?eoei"/>
      <sheetName val="aeaa-oaaeeoa (2)"/>
      <sheetName val="Iiaay naiaea (ai a?a?aoa)"/>
      <sheetName val="Naiaea"/>
      <sheetName val="Iiaay naiaea"/>
      <sheetName val="A?-o"/>
      <sheetName val="Ia?aoInoaoee"/>
      <sheetName val="Iauea ?anoiau"/>
      <sheetName val="Iiaay naiaea (ii a?a?aoo)"/>
      <sheetName val="Iiaay_naiaea_(ai_a?a?aoa)_(2)"/>
      <sheetName val="?oi_i?eoei"/>
      <sheetName val="aeaa-oaaeeoa_(2)"/>
      <sheetName val="Iiaay_naiaea_(ai_a?a?aoa)"/>
      <sheetName val="Iiaay_naiaea"/>
      <sheetName val="Iauea_?anoiau"/>
      <sheetName val="Iiaay_naiaea_(ii_a?a?aoo)"/>
      <sheetName val="Iiaay_naiaea_(ai_a?a?aoa)_(2)1"/>
      <sheetName val="?oi_i?eoei1"/>
      <sheetName val="aeaa-oaaeeoa_(2)1"/>
      <sheetName val="Iiaay_naiaea_(ai_a?a?aoa)1"/>
      <sheetName val="Iiaay_naiaea1"/>
      <sheetName val="Iauea_?anoiau1"/>
      <sheetName val="Iiaay_naiaea_(ii_a?a?aoo)1"/>
      <sheetName val="?????????????????"/>
      <sheetName val="Settings"/>
      <sheetName val="телемехан"/>
      <sheetName val="СС1"/>
      <sheetName val="материалы Портовая"/>
      <sheetName val="13_15"/>
      <sheetName val="Пояснение_4"/>
      <sheetName val="смета_2_проект__работы4"/>
      <sheetName val="СтрЗапасов_(2)4"/>
      <sheetName val="PwC_Copies_from_old_models_--&gt;4"/>
      <sheetName val="Сравнение_ДПН_факт_06-074"/>
      <sheetName val="НМ_расчеты4"/>
      <sheetName val="Коэф_КВ4"/>
      <sheetName val="Смета_терзем4"/>
      <sheetName val="Кал_план_Жукова_даты_-_не_надо4"/>
      <sheetName val="матер_4"/>
      <sheetName val="КП_Прим_(3)4"/>
      <sheetName val="кп_(3)4"/>
      <sheetName val="фонтан_разбитый24"/>
      <sheetName val="Баланс_(Ф1)4"/>
      <sheetName val="Смета_3_Гидролог4"/>
      <sheetName val="Записка_СЦБ4"/>
      <sheetName val="РС_4"/>
      <sheetName val="Бл_электр_3"/>
      <sheetName val="лч_и_кам3"/>
      <sheetName val="ТЗ_АСУ-13"/>
      <sheetName val="ИД_СМР3"/>
      <sheetName val="Вспом_3"/>
      <sheetName val="2_Геология3"/>
      <sheetName val="Объем_работ3"/>
      <sheetName val="Виды_работ_АСО3"/>
      <sheetName val="ФОТ_для_смет3"/>
      <sheetName val="КБК_ДПК3"/>
      <sheetName val="ЕТС_(ф)3"/>
      <sheetName val="таблица_руко_4"/>
      <sheetName val="Пр2 Р. стоимости"/>
      <sheetName val="СМ          "/>
      <sheetName val="таблица_руко       "/>
      <sheetName val="таблица_руко  _x0009_    "/>
      <sheetName val="Прил 6.57"/>
      <sheetName val="Хаттон_90_礊め_x0005__x0000__x0000__x0000__x0000_"/>
      <sheetName val="Хаттон_90_礊め"/>
      <sheetName val="АД"/>
      <sheetName val="СВ_21"/>
      <sheetName val="Смета__4ПР_ЭХЗ1"/>
      <sheetName val="СВ_22"/>
      <sheetName val="Смета__4ПР_ЭХЗ2"/>
      <sheetName val="зимП"/>
      <sheetName val="Накоп.Итог"/>
      <sheetName val="09-01"/>
      <sheetName val="09-02"/>
      <sheetName val="09-03"/>
      <sheetName val="09-04"/>
      <sheetName val="09-05"/>
      <sheetName val="Характеристические ФО"/>
      <sheetName val="Спец И"/>
      <sheetName val="Спец_И"/>
      <sheetName val="КП "/>
      <sheetName val="1.1 эт1"/>
      <sheetName val="1.1.1 эт2"/>
      <sheetName val="1.1.2 эт3"/>
      <sheetName val="1.1.0 обн"/>
      <sheetName val="1.2 ИГЛИ1"/>
      <sheetName val="1.2.1 ИГЛИ2"/>
      <sheetName val="1.2.2 ИГЛИ3"/>
      <sheetName val="1.3 ГФ 1"/>
      <sheetName val="1.3.1 ГФ 2"/>
      <sheetName val="1.3.2 гф3"/>
      <sheetName val="1.4 "/>
      <sheetName val="экол 1.5. 1 эт"/>
      <sheetName val="экол 1.5.1 (эт2)"/>
      <sheetName val="экол 1.5.2"/>
      <sheetName val="экол 1.6"/>
      <sheetName val="1.6.1"/>
      <sheetName val="экол 1.6.2"/>
      <sheetName val="2 ИП 1эт (ПД)"/>
      <sheetName val="2.1 ИП РД"/>
      <sheetName val="2.3 ИП 3 эт ПД"/>
      <sheetName val="2.4 ИП  РД"/>
      <sheetName val="3 Дор ПД 1 эт"/>
      <sheetName val="3.1 Дор РД"/>
      <sheetName val="4 ПД"/>
      <sheetName val="4.1 РД"/>
      <sheetName val="5"/>
      <sheetName val="7.2 "/>
      <sheetName val="7.3"/>
      <sheetName val="8ГОиЧС"/>
      <sheetName val="9 АСУТП"/>
      <sheetName val="9.1 АСТУЭ"/>
      <sheetName val="10 МБП"/>
      <sheetName val="10.2 2 эт"/>
      <sheetName val="10.3 3 эт"/>
      <sheetName val="11 ЭЭ 1 этап"/>
      <sheetName val="11.2 ЭЭ"/>
      <sheetName val="11.3 ЭЭ 3 этап"/>
      <sheetName val="12 ТБЭ 1этап"/>
      <sheetName val="12.2 ТБЭ 2 этап"/>
      <sheetName val="12.3 ТБЭ 3 этап"/>
      <sheetName val="13 ЗУ "/>
      <sheetName val="14 ППТиМТ"/>
      <sheetName val="15 ООС"/>
      <sheetName val="15.2"/>
      <sheetName val="15.3"/>
      <sheetName val="16 ТСГ ПД "/>
      <sheetName val="16.2 "/>
      <sheetName val="16.3 "/>
      <sheetName val="17 ТСГ РД "/>
      <sheetName val="18 ГТМ ПД"/>
      <sheetName val="18.1 ГТМ РД"/>
      <sheetName val="18.2"/>
      <sheetName val="20"/>
      <sheetName val="21.2 СЗЗ "/>
      <sheetName val="22 РХР"/>
      <sheetName val="22.2РХР"/>
      <sheetName val="22.3РХР"/>
      <sheetName val="23АРХ"/>
      <sheetName val="ком.арх."/>
      <sheetName val="24"/>
      <sheetName val="24.3"/>
      <sheetName val="25"/>
      <sheetName val="25.1"/>
      <sheetName val="26.1"/>
      <sheetName val="26.2"/>
      <sheetName val="26.3"/>
      <sheetName val="26.4"/>
      <sheetName val="27 ГГЭ"/>
      <sheetName val="27.2 ГГЭ 2 эт"/>
      <sheetName val="27.3 ГГЭ 3 эт"/>
      <sheetName val="28 ГЭЭ"/>
      <sheetName val="28.2"/>
      <sheetName val="28.3"/>
      <sheetName val="29 ПТА"/>
      <sheetName val="31.1"/>
      <sheetName val="31.2"/>
      <sheetName val="32.1"/>
      <sheetName val="32.2"/>
      <sheetName val="ком 1"/>
      <sheetName val="ком 2"/>
      <sheetName val="ком 3"/>
      <sheetName val="33 НВЛ"/>
      <sheetName val="33.1 ВОР"/>
      <sheetName val="34"/>
      <sheetName val="35"/>
      <sheetName val="37.1"/>
      <sheetName val="38"/>
      <sheetName val="Drop-down"/>
      <sheetName val="31.08.2004"/>
      <sheetName val="Курс $"/>
      <sheetName val="труд"/>
      <sheetName val="9 глава"/>
      <sheetName val="Таблица"/>
      <sheetName val="Акт_выполненных_работ_461"/>
      <sheetName val="Смета_71"/>
      <sheetName val="Акт_выполненных_работ_462"/>
      <sheetName val="Смета_72"/>
      <sheetName val="Восстановл_Л_x0000__x0000__x0000__x0000__x0000_"/>
      <sheetName val="Восстановл_Л_x0000__x0000_Ԁ_x0000_ "/>
      <sheetName val="Восстановл_Л_x0000__x0000_Ԁ_x0000_"/>
      <sheetName val="Восстановл_Л_x0000__x0000_Ԁ_x0000_退"/>
      <sheetName val="Восстановл_Л_x0000__x0000_Ԁ_x0000_쀀"/>
      <sheetName val="Восстановл_Л_x0000__x0000_Ԁ_x0000_倀"/>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row r="1">
          <cell r="B1">
            <v>0</v>
          </cell>
        </row>
      </sheetData>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row r="1">
          <cell r="B1">
            <v>0</v>
          </cell>
        </row>
      </sheetData>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row r="1">
          <cell r="B1">
            <v>0</v>
          </cell>
        </row>
      </sheetData>
      <sheetData sheetId="1036">
        <row r="1">
          <cell r="B1">
            <v>0</v>
          </cell>
        </row>
      </sheetData>
      <sheetData sheetId="1037"/>
      <sheetData sheetId="1038"/>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sheetData sheetId="1052" refreshError="1"/>
      <sheetData sheetId="1053" refreshError="1"/>
      <sheetData sheetId="1054" refreshError="1"/>
      <sheetData sheetId="1055"/>
      <sheetData sheetId="1056"/>
      <sheetData sheetId="1057"/>
      <sheetData sheetId="1058"/>
      <sheetData sheetId="1059"/>
      <sheetData sheetId="1060"/>
      <sheetData sheetId="106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ow r="1">
          <cell r="B1">
            <v>0</v>
          </cell>
        </row>
      </sheetData>
      <sheetData sheetId="1072" refreshError="1"/>
      <sheetData sheetId="1073">
        <row r="1">
          <cell r="B1">
            <v>0</v>
          </cell>
        </row>
      </sheetData>
      <sheetData sheetId="1074" refreshError="1"/>
      <sheetData sheetId="1075">
        <row r="1">
          <cell r="B1">
            <v>0</v>
          </cell>
        </row>
      </sheetData>
      <sheetData sheetId="1076" refreshError="1"/>
      <sheetData sheetId="1077" refreshError="1"/>
      <sheetData sheetId="1078" refreshError="1"/>
      <sheetData sheetId="1079" refreshError="1"/>
      <sheetData sheetId="1080">
        <row r="1">
          <cell r="B1">
            <v>0</v>
          </cell>
        </row>
      </sheetData>
      <sheetData sheetId="1081">
        <row r="1">
          <cell r="B1">
            <v>0</v>
          </cell>
        </row>
      </sheetData>
      <sheetData sheetId="1082">
        <row r="1">
          <cell r="B1">
            <v>0</v>
          </cell>
        </row>
      </sheetData>
      <sheetData sheetId="1083">
        <row r="1">
          <cell r="B1">
            <v>0</v>
          </cell>
        </row>
      </sheetData>
      <sheetData sheetId="1084">
        <row r="1">
          <cell r="B1">
            <v>0</v>
          </cell>
        </row>
      </sheetData>
      <sheetData sheetId="1085">
        <row r="1">
          <cell r="B1">
            <v>0</v>
          </cell>
        </row>
      </sheetData>
      <sheetData sheetId="1086">
        <row r="1">
          <cell r="B1">
            <v>0</v>
          </cell>
        </row>
      </sheetData>
      <sheetData sheetId="1087">
        <row r="1">
          <cell r="B1">
            <v>0</v>
          </cell>
        </row>
      </sheetData>
      <sheetData sheetId="1088">
        <row r="1">
          <cell r="B1">
            <v>0</v>
          </cell>
        </row>
      </sheetData>
      <sheetData sheetId="1089">
        <row r="1">
          <cell r="B1">
            <v>0</v>
          </cell>
        </row>
      </sheetData>
      <sheetData sheetId="1090">
        <row r="1">
          <cell r="B1">
            <v>0</v>
          </cell>
        </row>
      </sheetData>
      <sheetData sheetId="1091">
        <row r="1">
          <cell r="B1">
            <v>0</v>
          </cell>
        </row>
      </sheetData>
      <sheetData sheetId="1092">
        <row r="1">
          <cell r="B1">
            <v>0</v>
          </cell>
        </row>
      </sheetData>
      <sheetData sheetId="1093">
        <row r="1">
          <cell r="B1">
            <v>0</v>
          </cell>
        </row>
      </sheetData>
      <sheetData sheetId="1094">
        <row r="1">
          <cell r="B1">
            <v>0</v>
          </cell>
        </row>
      </sheetData>
      <sheetData sheetId="1095">
        <row r="1">
          <cell r="B1">
            <v>0</v>
          </cell>
        </row>
      </sheetData>
      <sheetData sheetId="1096">
        <row r="1">
          <cell r="B1">
            <v>0</v>
          </cell>
        </row>
      </sheetData>
      <sheetData sheetId="1097">
        <row r="1">
          <cell r="B1">
            <v>0</v>
          </cell>
        </row>
      </sheetData>
      <sheetData sheetId="1098">
        <row r="1">
          <cell r="B1">
            <v>0</v>
          </cell>
        </row>
      </sheetData>
      <sheetData sheetId="1099">
        <row r="1">
          <cell r="B1">
            <v>0</v>
          </cell>
        </row>
      </sheetData>
      <sheetData sheetId="1100">
        <row r="1">
          <cell r="B1">
            <v>0</v>
          </cell>
        </row>
      </sheetData>
      <sheetData sheetId="1101">
        <row r="1">
          <cell r="B1">
            <v>0</v>
          </cell>
        </row>
      </sheetData>
      <sheetData sheetId="1102">
        <row r="1">
          <cell r="B1">
            <v>0</v>
          </cell>
        </row>
      </sheetData>
      <sheetData sheetId="1103">
        <row r="1">
          <cell r="B1">
            <v>0</v>
          </cell>
        </row>
      </sheetData>
      <sheetData sheetId="1104">
        <row r="1">
          <cell r="B1">
            <v>0</v>
          </cell>
        </row>
      </sheetData>
      <sheetData sheetId="1105">
        <row r="1">
          <cell r="B1">
            <v>0</v>
          </cell>
        </row>
      </sheetData>
      <sheetData sheetId="1106">
        <row r="1">
          <cell r="B1">
            <v>0</v>
          </cell>
        </row>
      </sheetData>
      <sheetData sheetId="1107">
        <row r="1">
          <cell r="B1">
            <v>0</v>
          </cell>
        </row>
      </sheetData>
      <sheetData sheetId="1108">
        <row r="1">
          <cell r="B1">
            <v>0</v>
          </cell>
        </row>
      </sheetData>
      <sheetData sheetId="1109">
        <row r="1">
          <cell r="B1">
            <v>0</v>
          </cell>
        </row>
      </sheetData>
      <sheetData sheetId="1110">
        <row r="1">
          <cell r="B1">
            <v>0</v>
          </cell>
        </row>
      </sheetData>
      <sheetData sheetId="1111">
        <row r="1">
          <cell r="B1">
            <v>0</v>
          </cell>
        </row>
      </sheetData>
      <sheetData sheetId="1112">
        <row r="1">
          <cell r="B1">
            <v>0</v>
          </cell>
        </row>
      </sheetData>
      <sheetData sheetId="1113">
        <row r="1">
          <cell r="B1">
            <v>0</v>
          </cell>
        </row>
      </sheetData>
      <sheetData sheetId="1114">
        <row r="1">
          <cell r="B1">
            <v>0</v>
          </cell>
        </row>
      </sheetData>
      <sheetData sheetId="1115">
        <row r="1">
          <cell r="B1">
            <v>0</v>
          </cell>
        </row>
      </sheetData>
      <sheetData sheetId="1116">
        <row r="1">
          <cell r="B1">
            <v>0</v>
          </cell>
        </row>
      </sheetData>
      <sheetData sheetId="1117">
        <row r="1">
          <cell r="B1">
            <v>0</v>
          </cell>
        </row>
      </sheetData>
      <sheetData sheetId="1118">
        <row r="1">
          <cell r="B1">
            <v>0</v>
          </cell>
        </row>
      </sheetData>
      <sheetData sheetId="1119">
        <row r="1">
          <cell r="B1">
            <v>0</v>
          </cell>
        </row>
      </sheetData>
      <sheetData sheetId="1120">
        <row r="1">
          <cell r="B1">
            <v>0</v>
          </cell>
        </row>
      </sheetData>
      <sheetData sheetId="1121">
        <row r="1">
          <cell r="B1">
            <v>0</v>
          </cell>
        </row>
      </sheetData>
      <sheetData sheetId="1122">
        <row r="1">
          <cell r="B1">
            <v>0</v>
          </cell>
        </row>
      </sheetData>
      <sheetData sheetId="1123">
        <row r="1">
          <cell r="B1">
            <v>0</v>
          </cell>
        </row>
      </sheetData>
      <sheetData sheetId="1124">
        <row r="1">
          <cell r="B1">
            <v>0</v>
          </cell>
        </row>
      </sheetData>
      <sheetData sheetId="1125">
        <row r="1">
          <cell r="B1">
            <v>0</v>
          </cell>
        </row>
      </sheetData>
      <sheetData sheetId="1126">
        <row r="1">
          <cell r="B1">
            <v>0</v>
          </cell>
        </row>
      </sheetData>
      <sheetData sheetId="1127">
        <row r="1">
          <cell r="B1">
            <v>0</v>
          </cell>
        </row>
      </sheetData>
      <sheetData sheetId="1128">
        <row r="1">
          <cell r="B1">
            <v>0</v>
          </cell>
        </row>
      </sheetData>
      <sheetData sheetId="1129">
        <row r="1">
          <cell r="B1">
            <v>0</v>
          </cell>
        </row>
      </sheetData>
      <sheetData sheetId="1130">
        <row r="1">
          <cell r="B1">
            <v>0</v>
          </cell>
        </row>
      </sheetData>
      <sheetData sheetId="1131">
        <row r="1">
          <cell r="B1">
            <v>0</v>
          </cell>
        </row>
      </sheetData>
      <sheetData sheetId="1132">
        <row r="1">
          <cell r="B1">
            <v>0</v>
          </cell>
        </row>
      </sheetData>
      <sheetData sheetId="1133">
        <row r="1">
          <cell r="B1">
            <v>0</v>
          </cell>
        </row>
      </sheetData>
      <sheetData sheetId="1134">
        <row r="1">
          <cell r="B1">
            <v>0</v>
          </cell>
        </row>
      </sheetData>
      <sheetData sheetId="1135">
        <row r="1">
          <cell r="B1">
            <v>0</v>
          </cell>
        </row>
      </sheetData>
      <sheetData sheetId="1136">
        <row r="1">
          <cell r="B1">
            <v>0</v>
          </cell>
        </row>
      </sheetData>
      <sheetData sheetId="1137">
        <row r="1">
          <cell r="B1">
            <v>0</v>
          </cell>
        </row>
      </sheetData>
      <sheetData sheetId="1138">
        <row r="1">
          <cell r="B1">
            <v>0</v>
          </cell>
        </row>
      </sheetData>
      <sheetData sheetId="1139">
        <row r="1">
          <cell r="B1">
            <v>0</v>
          </cell>
        </row>
      </sheetData>
      <sheetData sheetId="1140">
        <row r="1">
          <cell r="B1">
            <v>0</v>
          </cell>
        </row>
      </sheetData>
      <sheetData sheetId="1141">
        <row r="1">
          <cell r="B1">
            <v>0</v>
          </cell>
        </row>
      </sheetData>
      <sheetData sheetId="1142">
        <row r="1">
          <cell r="B1">
            <v>0</v>
          </cell>
        </row>
      </sheetData>
      <sheetData sheetId="1143">
        <row r="1">
          <cell r="B1">
            <v>0</v>
          </cell>
        </row>
      </sheetData>
      <sheetData sheetId="1144">
        <row r="1">
          <cell r="B1">
            <v>0</v>
          </cell>
        </row>
      </sheetData>
      <sheetData sheetId="1145">
        <row r="1">
          <cell r="B1">
            <v>0</v>
          </cell>
        </row>
      </sheetData>
      <sheetData sheetId="1146">
        <row r="1">
          <cell r="B1">
            <v>0</v>
          </cell>
        </row>
      </sheetData>
      <sheetData sheetId="1147">
        <row r="1">
          <cell r="B1">
            <v>0</v>
          </cell>
        </row>
      </sheetData>
      <sheetData sheetId="1148">
        <row r="1">
          <cell r="B1">
            <v>0</v>
          </cell>
        </row>
      </sheetData>
      <sheetData sheetId="1149">
        <row r="1">
          <cell r="B1">
            <v>0</v>
          </cell>
        </row>
      </sheetData>
      <sheetData sheetId="1150">
        <row r="1">
          <cell r="B1">
            <v>0</v>
          </cell>
        </row>
      </sheetData>
      <sheetData sheetId="1151">
        <row r="1">
          <cell r="B1">
            <v>0</v>
          </cell>
        </row>
      </sheetData>
      <sheetData sheetId="1152">
        <row r="1">
          <cell r="B1">
            <v>0</v>
          </cell>
        </row>
      </sheetData>
      <sheetData sheetId="1153">
        <row r="1">
          <cell r="B1">
            <v>0</v>
          </cell>
        </row>
      </sheetData>
      <sheetData sheetId="1154">
        <row r="1">
          <cell r="B1">
            <v>0</v>
          </cell>
        </row>
      </sheetData>
      <sheetData sheetId="1155">
        <row r="1">
          <cell r="B1">
            <v>0</v>
          </cell>
        </row>
      </sheetData>
      <sheetData sheetId="1156">
        <row r="1">
          <cell r="B1">
            <v>0</v>
          </cell>
        </row>
      </sheetData>
      <sheetData sheetId="1157">
        <row r="1">
          <cell r="B1">
            <v>0</v>
          </cell>
        </row>
      </sheetData>
      <sheetData sheetId="1158">
        <row r="1">
          <cell r="B1">
            <v>0</v>
          </cell>
        </row>
      </sheetData>
      <sheetData sheetId="1159">
        <row r="1">
          <cell r="B1">
            <v>0</v>
          </cell>
        </row>
      </sheetData>
      <sheetData sheetId="1160">
        <row r="1">
          <cell r="B1">
            <v>0</v>
          </cell>
        </row>
      </sheetData>
      <sheetData sheetId="1161">
        <row r="1">
          <cell r="B1">
            <v>0</v>
          </cell>
        </row>
      </sheetData>
      <sheetData sheetId="1162">
        <row r="1">
          <cell r="B1">
            <v>0</v>
          </cell>
        </row>
      </sheetData>
      <sheetData sheetId="1163">
        <row r="1">
          <cell r="B1">
            <v>0</v>
          </cell>
        </row>
      </sheetData>
      <sheetData sheetId="1164">
        <row r="1">
          <cell r="B1">
            <v>0</v>
          </cell>
        </row>
      </sheetData>
      <sheetData sheetId="1165">
        <row r="1">
          <cell r="B1">
            <v>0</v>
          </cell>
        </row>
      </sheetData>
      <sheetData sheetId="1166">
        <row r="1">
          <cell r="B1">
            <v>0</v>
          </cell>
        </row>
      </sheetData>
      <sheetData sheetId="1167">
        <row r="1">
          <cell r="B1">
            <v>0</v>
          </cell>
        </row>
      </sheetData>
      <sheetData sheetId="1168">
        <row r="1">
          <cell r="B1">
            <v>0</v>
          </cell>
        </row>
      </sheetData>
      <sheetData sheetId="1169">
        <row r="1">
          <cell r="B1">
            <v>0</v>
          </cell>
        </row>
      </sheetData>
      <sheetData sheetId="1170">
        <row r="1">
          <cell r="B1">
            <v>0</v>
          </cell>
        </row>
      </sheetData>
      <sheetData sheetId="1171">
        <row r="1">
          <cell r="B1">
            <v>0</v>
          </cell>
        </row>
      </sheetData>
      <sheetData sheetId="1172">
        <row r="1">
          <cell r="B1">
            <v>0</v>
          </cell>
        </row>
      </sheetData>
      <sheetData sheetId="1173">
        <row r="1">
          <cell r="B1">
            <v>0</v>
          </cell>
        </row>
      </sheetData>
      <sheetData sheetId="1174">
        <row r="1">
          <cell r="B1">
            <v>0</v>
          </cell>
        </row>
      </sheetData>
      <sheetData sheetId="1175">
        <row r="1">
          <cell r="B1">
            <v>0</v>
          </cell>
        </row>
      </sheetData>
      <sheetData sheetId="1176">
        <row r="1">
          <cell r="B1">
            <v>0</v>
          </cell>
        </row>
      </sheetData>
      <sheetData sheetId="1177">
        <row r="1">
          <cell r="B1">
            <v>0</v>
          </cell>
        </row>
      </sheetData>
      <sheetData sheetId="1178">
        <row r="1">
          <cell r="B1">
            <v>0</v>
          </cell>
        </row>
      </sheetData>
      <sheetData sheetId="1179">
        <row r="1">
          <cell r="B1">
            <v>0</v>
          </cell>
        </row>
      </sheetData>
      <sheetData sheetId="1180">
        <row r="1">
          <cell r="B1">
            <v>0</v>
          </cell>
        </row>
      </sheetData>
      <sheetData sheetId="1181">
        <row r="1">
          <cell r="B1">
            <v>0</v>
          </cell>
        </row>
      </sheetData>
      <sheetData sheetId="1182">
        <row r="1">
          <cell r="B1">
            <v>0</v>
          </cell>
        </row>
      </sheetData>
      <sheetData sheetId="1183">
        <row r="1">
          <cell r="B1">
            <v>0</v>
          </cell>
        </row>
      </sheetData>
      <sheetData sheetId="1184">
        <row r="1">
          <cell r="B1">
            <v>0</v>
          </cell>
        </row>
      </sheetData>
      <sheetData sheetId="1185">
        <row r="1">
          <cell r="B1">
            <v>0</v>
          </cell>
        </row>
      </sheetData>
      <sheetData sheetId="1186">
        <row r="1">
          <cell r="B1">
            <v>0</v>
          </cell>
        </row>
      </sheetData>
      <sheetData sheetId="1187">
        <row r="1">
          <cell r="B1">
            <v>0</v>
          </cell>
        </row>
      </sheetData>
      <sheetData sheetId="1188">
        <row r="1">
          <cell r="B1">
            <v>0</v>
          </cell>
        </row>
      </sheetData>
      <sheetData sheetId="1189">
        <row r="1">
          <cell r="B1">
            <v>0</v>
          </cell>
        </row>
      </sheetData>
      <sheetData sheetId="1190">
        <row r="1">
          <cell r="B1">
            <v>0</v>
          </cell>
        </row>
      </sheetData>
      <sheetData sheetId="1191">
        <row r="1">
          <cell r="B1">
            <v>0</v>
          </cell>
        </row>
      </sheetData>
      <sheetData sheetId="1192">
        <row r="1">
          <cell r="B1">
            <v>0</v>
          </cell>
        </row>
      </sheetData>
      <sheetData sheetId="1193">
        <row r="1">
          <cell r="B1">
            <v>0</v>
          </cell>
        </row>
      </sheetData>
      <sheetData sheetId="1194">
        <row r="1">
          <cell r="B1">
            <v>0</v>
          </cell>
        </row>
      </sheetData>
      <sheetData sheetId="1195">
        <row r="1">
          <cell r="B1">
            <v>0</v>
          </cell>
        </row>
      </sheetData>
      <sheetData sheetId="1196">
        <row r="1">
          <cell r="B1">
            <v>0</v>
          </cell>
        </row>
      </sheetData>
      <sheetData sheetId="1197">
        <row r="1">
          <cell r="B1">
            <v>0</v>
          </cell>
        </row>
      </sheetData>
      <sheetData sheetId="1198">
        <row r="1">
          <cell r="B1">
            <v>0</v>
          </cell>
        </row>
      </sheetData>
      <sheetData sheetId="1199">
        <row r="1">
          <cell r="B1">
            <v>0</v>
          </cell>
        </row>
      </sheetData>
      <sheetData sheetId="1200">
        <row r="1">
          <cell r="B1">
            <v>0</v>
          </cell>
        </row>
      </sheetData>
      <sheetData sheetId="1201">
        <row r="1">
          <cell r="B1">
            <v>0</v>
          </cell>
        </row>
      </sheetData>
      <sheetData sheetId="1202">
        <row r="1">
          <cell r="B1">
            <v>0</v>
          </cell>
        </row>
      </sheetData>
      <sheetData sheetId="1203">
        <row r="1">
          <cell r="B1">
            <v>0</v>
          </cell>
        </row>
      </sheetData>
      <sheetData sheetId="1204">
        <row r="1">
          <cell r="B1">
            <v>0</v>
          </cell>
        </row>
      </sheetData>
      <sheetData sheetId="1205">
        <row r="1">
          <cell r="B1">
            <v>0</v>
          </cell>
        </row>
      </sheetData>
      <sheetData sheetId="1206">
        <row r="1">
          <cell r="B1">
            <v>0</v>
          </cell>
        </row>
      </sheetData>
      <sheetData sheetId="1207">
        <row r="1">
          <cell r="B1">
            <v>0</v>
          </cell>
        </row>
      </sheetData>
      <sheetData sheetId="1208">
        <row r="1">
          <cell r="B1">
            <v>0</v>
          </cell>
        </row>
      </sheetData>
      <sheetData sheetId="1209">
        <row r="1">
          <cell r="B1">
            <v>0</v>
          </cell>
        </row>
      </sheetData>
      <sheetData sheetId="1210">
        <row r="1">
          <cell r="B1">
            <v>0</v>
          </cell>
        </row>
      </sheetData>
      <sheetData sheetId="1211">
        <row r="1">
          <cell r="B1">
            <v>0</v>
          </cell>
        </row>
      </sheetData>
      <sheetData sheetId="1212">
        <row r="1">
          <cell r="B1">
            <v>0</v>
          </cell>
        </row>
      </sheetData>
      <sheetData sheetId="1213">
        <row r="1">
          <cell r="B1">
            <v>0</v>
          </cell>
        </row>
      </sheetData>
      <sheetData sheetId="1214">
        <row r="1">
          <cell r="B1">
            <v>0</v>
          </cell>
        </row>
      </sheetData>
      <sheetData sheetId="1215">
        <row r="1">
          <cell r="B1">
            <v>0</v>
          </cell>
        </row>
      </sheetData>
      <sheetData sheetId="1216">
        <row r="1">
          <cell r="B1">
            <v>0</v>
          </cell>
        </row>
      </sheetData>
      <sheetData sheetId="1217">
        <row r="1">
          <cell r="B1">
            <v>0</v>
          </cell>
        </row>
      </sheetData>
      <sheetData sheetId="1218">
        <row r="1">
          <cell r="B1">
            <v>0</v>
          </cell>
        </row>
      </sheetData>
      <sheetData sheetId="1219">
        <row r="1">
          <cell r="B1">
            <v>0</v>
          </cell>
        </row>
      </sheetData>
      <sheetData sheetId="1220">
        <row r="1">
          <cell r="B1">
            <v>0</v>
          </cell>
        </row>
      </sheetData>
      <sheetData sheetId="1221">
        <row r="1">
          <cell r="B1">
            <v>0</v>
          </cell>
        </row>
      </sheetData>
      <sheetData sheetId="1222">
        <row r="1">
          <cell r="B1">
            <v>0</v>
          </cell>
        </row>
      </sheetData>
      <sheetData sheetId="1223">
        <row r="1">
          <cell r="B1">
            <v>0</v>
          </cell>
        </row>
      </sheetData>
      <sheetData sheetId="1224">
        <row r="1">
          <cell r="B1">
            <v>0</v>
          </cell>
        </row>
      </sheetData>
      <sheetData sheetId="1225">
        <row r="1">
          <cell r="B1">
            <v>0</v>
          </cell>
        </row>
      </sheetData>
      <sheetData sheetId="1226">
        <row r="1">
          <cell r="B1">
            <v>0</v>
          </cell>
        </row>
      </sheetData>
      <sheetData sheetId="1227">
        <row r="1">
          <cell r="B1">
            <v>0</v>
          </cell>
        </row>
      </sheetData>
      <sheetData sheetId="1228">
        <row r="1">
          <cell r="B1">
            <v>0</v>
          </cell>
        </row>
      </sheetData>
      <sheetData sheetId="1229">
        <row r="1">
          <cell r="B1">
            <v>0</v>
          </cell>
        </row>
      </sheetData>
      <sheetData sheetId="1230">
        <row r="1">
          <cell r="B1">
            <v>0</v>
          </cell>
        </row>
      </sheetData>
      <sheetData sheetId="1231">
        <row r="1">
          <cell r="B1">
            <v>0</v>
          </cell>
        </row>
      </sheetData>
      <sheetData sheetId="1232">
        <row r="1">
          <cell r="B1">
            <v>0</v>
          </cell>
        </row>
      </sheetData>
      <sheetData sheetId="1233">
        <row r="1">
          <cell r="B1">
            <v>0</v>
          </cell>
        </row>
      </sheetData>
      <sheetData sheetId="1234">
        <row r="1">
          <cell r="B1">
            <v>0</v>
          </cell>
        </row>
      </sheetData>
      <sheetData sheetId="1235">
        <row r="1">
          <cell r="B1">
            <v>0</v>
          </cell>
        </row>
      </sheetData>
      <sheetData sheetId="1236">
        <row r="1">
          <cell r="B1">
            <v>0</v>
          </cell>
        </row>
      </sheetData>
      <sheetData sheetId="1237">
        <row r="1">
          <cell r="B1">
            <v>0</v>
          </cell>
        </row>
      </sheetData>
      <sheetData sheetId="1238">
        <row r="1">
          <cell r="B1">
            <v>0</v>
          </cell>
        </row>
      </sheetData>
      <sheetData sheetId="1239">
        <row r="1">
          <cell r="B1">
            <v>0</v>
          </cell>
        </row>
      </sheetData>
      <sheetData sheetId="1240">
        <row r="1">
          <cell r="B1">
            <v>0</v>
          </cell>
        </row>
      </sheetData>
      <sheetData sheetId="1241">
        <row r="1">
          <cell r="B1">
            <v>0</v>
          </cell>
        </row>
      </sheetData>
      <sheetData sheetId="1242">
        <row r="1">
          <cell r="B1">
            <v>0</v>
          </cell>
        </row>
      </sheetData>
      <sheetData sheetId="1243">
        <row r="1">
          <cell r="B1">
            <v>0</v>
          </cell>
        </row>
      </sheetData>
      <sheetData sheetId="1244">
        <row r="1">
          <cell r="B1">
            <v>0</v>
          </cell>
        </row>
      </sheetData>
      <sheetData sheetId="1245">
        <row r="1">
          <cell r="B1">
            <v>0</v>
          </cell>
        </row>
      </sheetData>
      <sheetData sheetId="1246">
        <row r="1">
          <cell r="B1">
            <v>0</v>
          </cell>
        </row>
      </sheetData>
      <sheetData sheetId="1247">
        <row r="1">
          <cell r="B1">
            <v>0</v>
          </cell>
        </row>
      </sheetData>
      <sheetData sheetId="1248">
        <row r="1">
          <cell r="B1">
            <v>0</v>
          </cell>
        </row>
      </sheetData>
      <sheetData sheetId="1249">
        <row r="1">
          <cell r="B1">
            <v>0</v>
          </cell>
        </row>
      </sheetData>
      <sheetData sheetId="1250">
        <row r="1">
          <cell r="B1">
            <v>0</v>
          </cell>
        </row>
      </sheetData>
      <sheetData sheetId="1251">
        <row r="1">
          <cell r="B1">
            <v>0</v>
          </cell>
        </row>
      </sheetData>
      <sheetData sheetId="1252">
        <row r="1">
          <cell r="B1">
            <v>0</v>
          </cell>
        </row>
      </sheetData>
      <sheetData sheetId="1253">
        <row r="1">
          <cell r="B1">
            <v>0</v>
          </cell>
        </row>
      </sheetData>
      <sheetData sheetId="1254">
        <row r="1">
          <cell r="B1">
            <v>0</v>
          </cell>
        </row>
      </sheetData>
      <sheetData sheetId="1255">
        <row r="1">
          <cell r="B1">
            <v>0</v>
          </cell>
        </row>
      </sheetData>
      <sheetData sheetId="1256">
        <row r="1">
          <cell r="B1">
            <v>0</v>
          </cell>
        </row>
      </sheetData>
      <sheetData sheetId="1257">
        <row r="1">
          <cell r="B1">
            <v>0</v>
          </cell>
        </row>
      </sheetData>
      <sheetData sheetId="1258">
        <row r="1">
          <cell r="B1">
            <v>0</v>
          </cell>
        </row>
      </sheetData>
      <sheetData sheetId="1259">
        <row r="1">
          <cell r="B1">
            <v>0</v>
          </cell>
        </row>
      </sheetData>
      <sheetData sheetId="1260">
        <row r="1">
          <cell r="B1">
            <v>0</v>
          </cell>
        </row>
      </sheetData>
      <sheetData sheetId="1261">
        <row r="1">
          <cell r="B1">
            <v>0</v>
          </cell>
        </row>
      </sheetData>
      <sheetData sheetId="1262">
        <row r="1">
          <cell r="B1">
            <v>0</v>
          </cell>
        </row>
      </sheetData>
      <sheetData sheetId="1263">
        <row r="1">
          <cell r="B1">
            <v>0</v>
          </cell>
        </row>
      </sheetData>
      <sheetData sheetId="1264">
        <row r="1">
          <cell r="B1">
            <v>0</v>
          </cell>
        </row>
      </sheetData>
      <sheetData sheetId="1265">
        <row r="1">
          <cell r="B1">
            <v>0</v>
          </cell>
        </row>
      </sheetData>
      <sheetData sheetId="1266">
        <row r="1">
          <cell r="B1">
            <v>0</v>
          </cell>
        </row>
      </sheetData>
      <sheetData sheetId="1267">
        <row r="1">
          <cell r="B1">
            <v>0</v>
          </cell>
        </row>
      </sheetData>
      <sheetData sheetId="1268">
        <row r="1">
          <cell r="B1">
            <v>0</v>
          </cell>
        </row>
      </sheetData>
      <sheetData sheetId="1269">
        <row r="1">
          <cell r="B1">
            <v>0</v>
          </cell>
        </row>
      </sheetData>
      <sheetData sheetId="1270">
        <row r="1">
          <cell r="B1">
            <v>0</v>
          </cell>
        </row>
      </sheetData>
      <sheetData sheetId="1271">
        <row r="1">
          <cell r="B1">
            <v>0</v>
          </cell>
        </row>
      </sheetData>
      <sheetData sheetId="1272">
        <row r="1">
          <cell r="B1">
            <v>0</v>
          </cell>
        </row>
      </sheetData>
      <sheetData sheetId="1273">
        <row r="1">
          <cell r="B1">
            <v>0</v>
          </cell>
        </row>
      </sheetData>
      <sheetData sheetId="1274">
        <row r="1">
          <cell r="B1">
            <v>0</v>
          </cell>
        </row>
      </sheetData>
      <sheetData sheetId="1275">
        <row r="1">
          <cell r="B1">
            <v>0</v>
          </cell>
        </row>
      </sheetData>
      <sheetData sheetId="1276">
        <row r="1">
          <cell r="B1">
            <v>0</v>
          </cell>
        </row>
      </sheetData>
      <sheetData sheetId="1277">
        <row r="1">
          <cell r="B1">
            <v>0</v>
          </cell>
        </row>
      </sheetData>
      <sheetData sheetId="1278">
        <row r="1">
          <cell r="B1">
            <v>0</v>
          </cell>
        </row>
      </sheetData>
      <sheetData sheetId="1279">
        <row r="1">
          <cell r="B1">
            <v>0</v>
          </cell>
        </row>
      </sheetData>
      <sheetData sheetId="1280">
        <row r="1">
          <cell r="B1">
            <v>0</v>
          </cell>
        </row>
      </sheetData>
      <sheetData sheetId="1281">
        <row r="1">
          <cell r="B1">
            <v>0</v>
          </cell>
        </row>
      </sheetData>
      <sheetData sheetId="1282">
        <row r="1">
          <cell r="B1">
            <v>0</v>
          </cell>
        </row>
      </sheetData>
      <sheetData sheetId="1283">
        <row r="1">
          <cell r="B1">
            <v>0</v>
          </cell>
        </row>
      </sheetData>
      <sheetData sheetId="1284">
        <row r="1">
          <cell r="B1">
            <v>0</v>
          </cell>
        </row>
      </sheetData>
      <sheetData sheetId="1285">
        <row r="1">
          <cell r="B1">
            <v>0</v>
          </cell>
        </row>
      </sheetData>
      <sheetData sheetId="1286">
        <row r="1">
          <cell r="B1">
            <v>0</v>
          </cell>
        </row>
      </sheetData>
      <sheetData sheetId="1287">
        <row r="1">
          <cell r="B1">
            <v>0</v>
          </cell>
        </row>
      </sheetData>
      <sheetData sheetId="1288">
        <row r="1">
          <cell r="B1">
            <v>0</v>
          </cell>
        </row>
      </sheetData>
      <sheetData sheetId="1289">
        <row r="1">
          <cell r="B1">
            <v>0</v>
          </cell>
        </row>
      </sheetData>
      <sheetData sheetId="1290">
        <row r="1">
          <cell r="B1">
            <v>0</v>
          </cell>
        </row>
      </sheetData>
      <sheetData sheetId="1291">
        <row r="1">
          <cell r="B1">
            <v>0</v>
          </cell>
        </row>
      </sheetData>
      <sheetData sheetId="1292">
        <row r="1">
          <cell r="B1">
            <v>0</v>
          </cell>
        </row>
      </sheetData>
      <sheetData sheetId="1293">
        <row r="1">
          <cell r="B1">
            <v>0</v>
          </cell>
        </row>
      </sheetData>
      <sheetData sheetId="1294">
        <row r="1">
          <cell r="B1">
            <v>0</v>
          </cell>
        </row>
      </sheetData>
      <sheetData sheetId="1295">
        <row r="1">
          <cell r="B1">
            <v>0</v>
          </cell>
        </row>
      </sheetData>
      <sheetData sheetId="1296">
        <row r="1">
          <cell r="B1">
            <v>0</v>
          </cell>
        </row>
      </sheetData>
      <sheetData sheetId="1297"/>
      <sheetData sheetId="1298">
        <row r="1">
          <cell r="B1">
            <v>0</v>
          </cell>
        </row>
      </sheetData>
      <sheetData sheetId="1299">
        <row r="1">
          <cell r="B1">
            <v>0</v>
          </cell>
        </row>
      </sheetData>
      <sheetData sheetId="1300">
        <row r="1">
          <cell r="B1">
            <v>0</v>
          </cell>
        </row>
      </sheetData>
      <sheetData sheetId="1301">
        <row r="1">
          <cell r="B1">
            <v>0</v>
          </cell>
        </row>
      </sheetData>
      <sheetData sheetId="1302">
        <row r="1">
          <cell r="B1">
            <v>0</v>
          </cell>
        </row>
      </sheetData>
      <sheetData sheetId="1303">
        <row r="1">
          <cell r="B1">
            <v>0</v>
          </cell>
        </row>
      </sheetData>
      <sheetData sheetId="1304">
        <row r="1">
          <cell r="B1">
            <v>0</v>
          </cell>
        </row>
      </sheetData>
      <sheetData sheetId="1305">
        <row r="1">
          <cell r="B1">
            <v>0</v>
          </cell>
        </row>
      </sheetData>
      <sheetData sheetId="1306">
        <row r="1">
          <cell r="B1">
            <v>0</v>
          </cell>
        </row>
      </sheetData>
      <sheetData sheetId="1307">
        <row r="1">
          <cell r="B1">
            <v>0</v>
          </cell>
        </row>
      </sheetData>
      <sheetData sheetId="1308">
        <row r="1">
          <cell r="B1">
            <v>0</v>
          </cell>
        </row>
      </sheetData>
      <sheetData sheetId="1309">
        <row r="1">
          <cell r="B1">
            <v>0</v>
          </cell>
        </row>
      </sheetData>
      <sheetData sheetId="1310">
        <row r="1">
          <cell r="B1">
            <v>0</v>
          </cell>
        </row>
      </sheetData>
      <sheetData sheetId="1311">
        <row r="1">
          <cell r="B1">
            <v>0</v>
          </cell>
        </row>
      </sheetData>
      <sheetData sheetId="1312" refreshError="1"/>
      <sheetData sheetId="1313">
        <row r="1">
          <cell r="B1">
            <v>0</v>
          </cell>
        </row>
      </sheetData>
      <sheetData sheetId="1314"/>
      <sheetData sheetId="1315"/>
      <sheetData sheetId="1316" refreshError="1"/>
      <sheetData sheetId="1317" refreshError="1"/>
      <sheetData sheetId="1318" refreshError="1"/>
      <sheetData sheetId="1319" refreshError="1"/>
      <sheetData sheetId="1320" refreshError="1"/>
      <sheetData sheetId="132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sheetData sheetId="1350"/>
      <sheetData sheetId="1351" refreshError="1"/>
      <sheetData sheetId="1352"/>
      <sheetData sheetId="1353"/>
      <sheetData sheetId="1354" refreshError="1"/>
      <sheetData sheetId="1355" refreshError="1"/>
      <sheetData sheetId="1356"/>
      <sheetData sheetId="1357" refreshError="1"/>
      <sheetData sheetId="1358" refreshError="1"/>
      <sheetData sheetId="1359" refreshError="1"/>
      <sheetData sheetId="1360" refreshError="1"/>
      <sheetData sheetId="1361" refreshError="1"/>
      <sheetData sheetId="1362" refreshError="1"/>
      <sheetData sheetId="1363"/>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sheetData sheetId="1410"/>
      <sheetData sheetId="1411" refreshError="1"/>
      <sheetData sheetId="1412"/>
      <sheetData sheetId="1413"/>
      <sheetData sheetId="1414"/>
      <sheetData sheetId="1415"/>
      <sheetData sheetId="1416"/>
      <sheetData sheetId="1417"/>
      <sheetData sheetId="1418"/>
      <sheetData sheetId="1419" refreshError="1"/>
      <sheetData sheetId="1420" refreshError="1"/>
      <sheetData sheetId="1421" refreshError="1"/>
      <sheetData sheetId="1422" refreshError="1"/>
      <sheetData sheetId="1423" refreshError="1"/>
      <sheetData sheetId="1424" refreshError="1"/>
      <sheetData sheetId="1425" refreshError="1"/>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refreshError="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sheetData sheetId="1475" refreshError="1"/>
      <sheetData sheetId="1476" refreshError="1"/>
      <sheetData sheetId="1477" refreshError="1"/>
      <sheetData sheetId="1478" refreshError="1"/>
      <sheetData sheetId="1479" refreshError="1"/>
      <sheetData sheetId="1480" refreshError="1"/>
      <sheetData sheetId="1481"/>
      <sheetData sheetId="1482"/>
      <sheetData sheetId="1483" refreshError="1"/>
      <sheetData sheetId="1484" refreshError="1"/>
      <sheetData sheetId="1485"/>
      <sheetData sheetId="1486"/>
      <sheetData sheetId="1487" refreshError="1"/>
      <sheetData sheetId="1488"/>
      <sheetData sheetId="1489" refreshError="1"/>
      <sheetData sheetId="1490" refreshError="1"/>
      <sheetData sheetId="1491">
        <row r="1">
          <cell r="B1">
            <v>0</v>
          </cell>
        </row>
      </sheetData>
      <sheetData sheetId="1492"/>
      <sheetData sheetId="1493">
        <row r="1">
          <cell r="B1">
            <v>0</v>
          </cell>
        </row>
      </sheetData>
      <sheetData sheetId="1494">
        <row r="1">
          <cell r="B1">
            <v>0</v>
          </cell>
        </row>
      </sheetData>
      <sheetData sheetId="1495">
        <row r="1">
          <cell r="B1">
            <v>0</v>
          </cell>
        </row>
      </sheetData>
      <sheetData sheetId="1496">
        <row r="1">
          <cell r="B1">
            <v>0</v>
          </cell>
        </row>
      </sheetData>
      <sheetData sheetId="1497">
        <row r="1">
          <cell r="B1">
            <v>0</v>
          </cell>
        </row>
      </sheetData>
      <sheetData sheetId="1498">
        <row r="1">
          <cell r="B1">
            <v>0</v>
          </cell>
        </row>
      </sheetData>
      <sheetData sheetId="1499">
        <row r="1">
          <cell r="B1">
            <v>0</v>
          </cell>
        </row>
      </sheetData>
      <sheetData sheetId="1500">
        <row r="1">
          <cell r="B1">
            <v>0</v>
          </cell>
        </row>
      </sheetData>
      <sheetData sheetId="1501">
        <row r="1">
          <cell r="B1">
            <v>0</v>
          </cell>
        </row>
      </sheetData>
      <sheetData sheetId="1502">
        <row r="1">
          <cell r="B1">
            <v>0</v>
          </cell>
        </row>
      </sheetData>
      <sheetData sheetId="1503">
        <row r="1">
          <cell r="B1">
            <v>0</v>
          </cell>
        </row>
      </sheetData>
      <sheetData sheetId="1504">
        <row r="1">
          <cell r="B1">
            <v>0</v>
          </cell>
        </row>
      </sheetData>
      <sheetData sheetId="1505">
        <row r="1">
          <cell r="B1">
            <v>0</v>
          </cell>
        </row>
      </sheetData>
      <sheetData sheetId="1506">
        <row r="1">
          <cell r="B1">
            <v>0</v>
          </cell>
        </row>
      </sheetData>
      <sheetData sheetId="1507">
        <row r="1">
          <cell r="B1">
            <v>0</v>
          </cell>
        </row>
      </sheetData>
      <sheetData sheetId="1508">
        <row r="1">
          <cell r="B1">
            <v>0</v>
          </cell>
        </row>
      </sheetData>
      <sheetData sheetId="1509">
        <row r="1">
          <cell r="B1">
            <v>0</v>
          </cell>
        </row>
      </sheetData>
      <sheetData sheetId="1510">
        <row r="1">
          <cell r="B1">
            <v>0</v>
          </cell>
        </row>
      </sheetData>
      <sheetData sheetId="1511"/>
      <sheetData sheetId="1512">
        <row r="1">
          <cell r="B1">
            <v>0</v>
          </cell>
        </row>
      </sheetData>
      <sheetData sheetId="1513">
        <row r="1">
          <cell r="B1">
            <v>0</v>
          </cell>
        </row>
      </sheetData>
      <sheetData sheetId="1514">
        <row r="1">
          <cell r="B1">
            <v>0</v>
          </cell>
        </row>
      </sheetData>
      <sheetData sheetId="1515">
        <row r="1">
          <cell r="B1">
            <v>0</v>
          </cell>
        </row>
      </sheetData>
      <sheetData sheetId="1516">
        <row r="1">
          <cell r="B1">
            <v>0</v>
          </cell>
        </row>
      </sheetData>
      <sheetData sheetId="1517">
        <row r="1">
          <cell r="B1">
            <v>0</v>
          </cell>
        </row>
      </sheetData>
      <sheetData sheetId="1518">
        <row r="1">
          <cell r="B1">
            <v>0</v>
          </cell>
        </row>
      </sheetData>
      <sheetData sheetId="1519"/>
      <sheetData sheetId="1520">
        <row r="1">
          <cell r="B1">
            <v>0</v>
          </cell>
        </row>
      </sheetData>
      <sheetData sheetId="1521">
        <row r="1">
          <cell r="B1">
            <v>0</v>
          </cell>
        </row>
      </sheetData>
      <sheetData sheetId="1522"/>
      <sheetData sheetId="1523"/>
      <sheetData sheetId="1524"/>
      <sheetData sheetId="1525"/>
      <sheetData sheetId="1526"/>
      <sheetData sheetId="1527"/>
      <sheetData sheetId="1528">
        <row r="1">
          <cell r="B1">
            <v>0</v>
          </cell>
        </row>
      </sheetData>
      <sheetData sheetId="1529"/>
      <sheetData sheetId="1530">
        <row r="1">
          <cell r="B1">
            <v>0</v>
          </cell>
        </row>
      </sheetData>
      <sheetData sheetId="1531"/>
      <sheetData sheetId="1532">
        <row r="1">
          <cell r="B1">
            <v>0</v>
          </cell>
        </row>
      </sheetData>
      <sheetData sheetId="1533">
        <row r="1">
          <cell r="B1">
            <v>0</v>
          </cell>
        </row>
      </sheetData>
      <sheetData sheetId="1534">
        <row r="1">
          <cell r="B1">
            <v>0</v>
          </cell>
        </row>
      </sheetData>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row r="1">
          <cell r="B1">
            <v>0</v>
          </cell>
        </row>
      </sheetData>
      <sheetData sheetId="1565"/>
      <sheetData sheetId="1566">
        <row r="1">
          <cell r="B1">
            <v>0</v>
          </cell>
        </row>
      </sheetData>
      <sheetData sheetId="1567"/>
      <sheetData sheetId="1568">
        <row r="1">
          <cell r="B1">
            <v>0</v>
          </cell>
        </row>
      </sheetData>
      <sheetData sheetId="1569"/>
      <sheetData sheetId="1570">
        <row r="1">
          <cell r="B1">
            <v>0</v>
          </cell>
        </row>
      </sheetData>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row r="1">
          <cell r="B1">
            <v>0</v>
          </cell>
        </row>
      </sheetData>
      <sheetData sheetId="1586"/>
      <sheetData sheetId="1587"/>
      <sheetData sheetId="1588"/>
      <sheetData sheetId="1589"/>
      <sheetData sheetId="1590"/>
      <sheetData sheetId="1591"/>
      <sheetData sheetId="1592"/>
      <sheetData sheetId="1593"/>
      <sheetData sheetId="1594"/>
      <sheetData sheetId="1595"/>
      <sheetData sheetId="1596"/>
      <sheetData sheetId="1597">
        <row r="1">
          <cell r="B1">
            <v>0</v>
          </cell>
        </row>
      </sheetData>
      <sheetData sheetId="1598"/>
      <sheetData sheetId="1599">
        <row r="1">
          <cell r="B1">
            <v>0</v>
          </cell>
        </row>
      </sheetData>
      <sheetData sheetId="1600"/>
      <sheetData sheetId="1601">
        <row r="1">
          <cell r="B1">
            <v>0</v>
          </cell>
        </row>
      </sheetData>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row r="1">
          <cell r="B1">
            <v>0</v>
          </cell>
        </row>
      </sheetData>
      <sheetData sheetId="1615"/>
      <sheetData sheetId="1616">
        <row r="1">
          <cell r="B1">
            <v>0</v>
          </cell>
        </row>
      </sheetData>
      <sheetData sheetId="1617"/>
      <sheetData sheetId="1618"/>
      <sheetData sheetId="1619"/>
      <sheetData sheetId="1620"/>
      <sheetData sheetId="162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ow r="1">
          <cell r="B1">
            <v>0</v>
          </cell>
        </row>
      </sheetData>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row r="1">
          <cell r="B1">
            <v>0</v>
          </cell>
        </row>
      </sheetData>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row r="1">
          <cell r="B1">
            <v>0</v>
          </cell>
        </row>
      </sheetData>
      <sheetData sheetId="1894"/>
      <sheetData sheetId="1895">
        <row r="1">
          <cell r="B1">
            <v>0</v>
          </cell>
        </row>
      </sheetData>
      <sheetData sheetId="1896"/>
      <sheetData sheetId="1897">
        <row r="1">
          <cell r="B1">
            <v>0</v>
          </cell>
        </row>
      </sheetData>
      <sheetData sheetId="1898"/>
      <sheetData sheetId="1899">
        <row r="1">
          <cell r="B1">
            <v>0</v>
          </cell>
        </row>
      </sheetData>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refreshError="1"/>
      <sheetData sheetId="1950" refreshError="1"/>
      <sheetData sheetId="1951" refreshError="1"/>
      <sheetData sheetId="1952"/>
      <sheetData sheetId="1953" refreshError="1"/>
      <sheetData sheetId="1954" refreshError="1"/>
      <sheetData sheetId="1955" refreshError="1"/>
      <sheetData sheetId="1956" refreshError="1"/>
      <sheetData sheetId="1957"/>
      <sheetData sheetId="1958"/>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sheetData sheetId="1971"/>
      <sheetData sheetId="1972" refreshError="1"/>
      <sheetData sheetId="1973"/>
      <sheetData sheetId="1974"/>
      <sheetData sheetId="1975"/>
      <sheetData sheetId="1976" refreshError="1"/>
      <sheetData sheetId="1977" refreshError="1"/>
      <sheetData sheetId="1978"/>
      <sheetData sheetId="1979"/>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sheetData sheetId="1995"/>
      <sheetData sheetId="1996"/>
      <sheetData sheetId="1997"/>
      <sheetData sheetId="1998"/>
      <sheetData sheetId="1999"/>
      <sheetData sheetId="2000"/>
      <sheetData sheetId="2001"/>
      <sheetData sheetId="2002"/>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refreshError="1"/>
      <sheetData sheetId="2064"/>
      <sheetData sheetId="2065"/>
      <sheetData sheetId="2066"/>
      <sheetData sheetId="2067" refreshError="1"/>
      <sheetData sheetId="2068" refreshError="1"/>
      <sheetData sheetId="2069"/>
      <sheetData sheetId="2070" refreshError="1"/>
      <sheetData sheetId="2071"/>
      <sheetData sheetId="2072"/>
      <sheetData sheetId="2073"/>
      <sheetData sheetId="2074"/>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sheetData sheetId="2085">
        <row r="1">
          <cell r="A1">
            <v>0</v>
          </cell>
        </row>
      </sheetData>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refreshError="1"/>
      <sheetData sheetId="2174" refreshError="1"/>
      <sheetData sheetId="2175" refreshError="1"/>
      <sheetData sheetId="2176" refreshError="1"/>
      <sheetData sheetId="2177" refreshError="1"/>
      <sheetData sheetId="2178" refreshError="1"/>
      <sheetData sheetId="2179"/>
      <sheetData sheetId="2180"/>
      <sheetData sheetId="2181"/>
      <sheetData sheetId="2182"/>
      <sheetData sheetId="2183"/>
      <sheetData sheetId="2184"/>
      <sheetData sheetId="2185"/>
      <sheetData sheetId="2186"/>
      <sheetData sheetId="2187"/>
      <sheetData sheetId="218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Цена"/>
      <sheetName val="Product"/>
      <sheetName val="Обновление"/>
      <sheetName val="Лист1"/>
      <sheetName val="Книга1"/>
      <sheetName val="График"/>
      <sheetName val="Суточная"/>
      <sheetName val="Коэфф1."/>
      <sheetName val="Смета"/>
      <sheetName val="Зап-3- СЦБ"/>
      <sheetName val="Смета2 проект. раб."/>
      <sheetName val="смета 2 проект. работы"/>
      <sheetName val="Кредиты"/>
      <sheetName val="топография"/>
      <sheetName val="Шкаф"/>
      <sheetName val="Прайс лист"/>
      <sheetName val="1.2 геол"/>
      <sheetName val="5 П"/>
      <sheetName val="3 акт П"/>
      <sheetName val="1.1 геод"/>
      <sheetName val="MAIN_PARAMETERS"/>
      <sheetName val="4сд"/>
      <sheetName val="2сд"/>
      <sheetName val="7сд"/>
      <sheetName val="медведицкая"/>
      <sheetName val="медведицкая (2)"/>
      <sheetName val="Сумма прописью"/>
      <sheetName val="132-155"/>
      <sheetName val="зай"/>
      <sheetName val="сводная рд"/>
      <sheetName val="волгард"/>
      <sheetName val="706-793вл"/>
      <sheetName val="626-706вл"/>
      <sheetName val="прим-рд"/>
      <sheetName val="нпс2рд"/>
      <sheetName val="нпс3рд "/>
      <sheetName val="нпс кириши рд"/>
      <sheetName val="73-94рд"/>
      <sheetName val="538-626"/>
      <sheetName val="515-538рд"/>
      <sheetName val="дружба"/>
      <sheetName val="яросл2"/>
      <sheetName val="155-253"/>
      <sheetName val="обследование"/>
      <sheetName val="новгород"/>
      <sheetName val="515-538"/>
      <sheetName val="НПС-2"/>
      <sheetName val="НПС-3 "/>
      <sheetName val="которосль"/>
      <sheetName val="улейма"/>
      <sheetName val="ярославль"/>
      <sheetName val="уфа"/>
      <sheetName val="#ССЫЛКА"/>
      <sheetName val="Лист2"/>
      <sheetName val="Лист3"/>
      <sheetName val="Смета 1"/>
      <sheetName val="Коэф"/>
      <sheetName val="DMTR_BP_03"/>
      <sheetName val="вариант"/>
      <sheetName val="ПДР"/>
      <sheetName val="Calc"/>
      <sheetName val="ID"/>
      <sheetName val="Таблица 2"/>
      <sheetName val="РП"/>
      <sheetName val="К.рын"/>
      <sheetName val="Титул1"/>
      <sheetName val="Титул2"/>
      <sheetName val="Титул3"/>
      <sheetName val="Упр"/>
      <sheetName val="свод"/>
      <sheetName val="Таблица 3"/>
      <sheetName val="СС"/>
      <sheetName val="информация"/>
      <sheetName val="Summary"/>
      <sheetName val="Tabelle3"/>
      <sheetName val="Данные для расчёта сметы"/>
      <sheetName val="ПОДПИСИ"/>
      <sheetName val="медведицкая_(2)"/>
      <sheetName val="Сумма_прописью"/>
      <sheetName val="сводная_рд"/>
      <sheetName val="нпс3рд_"/>
      <sheetName val="нпс_кириши_рд"/>
      <sheetName val="НПС-3_"/>
      <sheetName val="Список прогонов за месяц"/>
      <sheetName val="1.1"/>
      <sheetName val="93-110"/>
      <sheetName val="Сводная"/>
      <sheetName val="Восстановл_Лист44"/>
      <sheetName val="Восстановл_Лист6"/>
      <sheetName val="Восстановл_Лист4"/>
      <sheetName val="Восстановл_Лист45"/>
      <sheetName val="Восстановл_Лист9"/>
      <sheetName val="Восстановл_Лист10"/>
      <sheetName val="Восстановл_Лист46"/>
      <sheetName val="Восстановл_Лист11"/>
      <sheetName val="Восстановл_Лист20"/>
      <sheetName val="Восстановл_Лист49"/>
      <sheetName val="Восстановл_Лист21"/>
      <sheetName val="Расчет зарплаты"/>
      <sheetName val="Табл38-7"/>
      <sheetName val="ЭХЗ"/>
      <sheetName val="№5 СУБ Инж защ"/>
      <sheetName val="13.1"/>
      <sheetName val="Харьяга-индига(ПР-Трасса+реки)"/>
      <sheetName val="к.84-к.83"/>
      <sheetName val="свод 2"/>
      <sheetName val="HP и оргтехника"/>
      <sheetName val="свод 3"/>
      <sheetName val="СметаСводная Колпино"/>
      <sheetName val="СметаСводная"/>
      <sheetName val="См3 СЦБ-зап"/>
      <sheetName val="ИГ1"/>
      <sheetName val="СметаСводная снег"/>
      <sheetName val="см8"/>
      <sheetName val="Смета 7"/>
      <sheetName val="Смета 1свод"/>
      <sheetName val="шаблон"/>
      <sheetName val="Ф-1"/>
      <sheetName val="Справочники"/>
      <sheetName val="Разработка проекта"/>
      <sheetName val="RSOILBAL"/>
      <sheetName val="Итог Лена"/>
      <sheetName val="Итого М. (2)"/>
      <sheetName val="условия"/>
      <sheetName val="Итог Антиснег11.01"/>
      <sheetName val="Входные параметрыВНГДУ"/>
      <sheetName val="1"/>
      <sheetName val="Прил 6.51-Упр рас"/>
      <sheetName val=""/>
      <sheetName val="Материалы"/>
      <sheetName val="6_11_1  сторонние"/>
      <sheetName val="Восстановл_Лист12"/>
      <sheetName val="Восстановл_Лист18"/>
      <sheetName val="Восстановл_Лист14"/>
      <sheetName val="Восстановл_Лист16"/>
      <sheetName val="Восстановл_Лист5"/>
      <sheetName val="Восстановл_Лист13"/>
      <sheetName val="Восстановл_Лист19"/>
      <sheetName val="Восстановл_Лист7"/>
      <sheetName val="Восстановл_Лист15"/>
      <sheetName val="Восстановл_Лист17"/>
      <sheetName val="Ли啁䉓C"/>
      <sheetName val="БАЛАНС"/>
      <sheetName val="Documents and Settings\Halilova"/>
      <sheetName val="ТИТУЛ"/>
      <sheetName val="ОБЩЕСТВА"/>
      <sheetName val="Приморск БДС"/>
      <sheetName val="ААС М.Вешак (259,8)_x0000__x0000_İŹ_x0000__x0004__x0000__x0000__x0000__x0000__x0000__x0000_"/>
      <sheetName val="ААС М.Вешак (259,8)??İŹ?_x0004_??????"/>
      <sheetName val="Проверка и настройка параметров"/>
      <sheetName val="AccountingQtyTotal"/>
      <sheetName val="Пример расчета"/>
      <sheetName val="SP173И1"/>
      <sheetName val="SP173И2"/>
      <sheetName val="SP173И3"/>
      <sheetName val="SP353СИ1"/>
      <sheetName val="SP353СИ2"/>
      <sheetName val="SP353ЦИ1"/>
      <sheetName val="SP353ЦИ2"/>
      <sheetName val="SakhNIPI5"/>
      <sheetName val="ААС М.Вешак (259,8)"/>
      <sheetName val="ПИР"/>
      <sheetName val="эл.химз."/>
      <sheetName val="гидрология"/>
      <sheetName val="Амур ДОН"/>
      <sheetName val="топо"/>
      <sheetName val="Лист опроса"/>
      <sheetName val="BACT"/>
      <sheetName val="СМЕТА проект"/>
      <sheetName val="5ОборРабМест(HP)"/>
      <sheetName val="КП с изм.2"/>
      <sheetName val="КП"/>
      <sheetName val="СметаСводная 1 оч"/>
      <sheetName val="х"/>
      <sheetName val="СметаСводная павильон"/>
      <sheetName val="прод_зап8 (2)"/>
      <sheetName val="540"/>
      <sheetName val="853 (корр) (2)"/>
      <sheetName val="Объемы работ по ПВ"/>
      <sheetName val="ПДР ООО &quot;Юкос ФБЦ&quot;"/>
      <sheetName val="начало"/>
      <sheetName val="2.2 "/>
      <sheetName val="СЦПР-90-38"/>
      <sheetName val="Свод стоимость"/>
      <sheetName val="Свод объем"/>
      <sheetName val="Приложение 2"/>
      <sheetName val="sapactivexlhiddensheet"/>
      <sheetName val="1.1."/>
      <sheetName val="СметаСводная Рыб"/>
      <sheetName val="Исх. данные"/>
      <sheetName val="Lim"/>
      <sheetName val="Хар_"/>
      <sheetName val="С1_"/>
      <sheetName val="Ачинский НПЗ"/>
      <sheetName val="Бюджет"/>
      <sheetName val="Data"/>
      <sheetName val="Сводная "/>
      <sheetName val="См. 2.1"/>
      <sheetName val="См. 3.1"/>
      <sheetName val="См.1.19"/>
      <sheetName val="См. 1.21"/>
      <sheetName val="См. 1.23"/>
      <sheetName val="См. 1.25"/>
      <sheetName val="См. 2.2"/>
      <sheetName val="См. 3.2"/>
      <sheetName val="См. 1.20"/>
      <sheetName val="См. 1.22"/>
      <sheetName val="См. 1.24"/>
      <sheetName val="См. 1.26"/>
      <sheetName val="ВЛ-10"/>
      <sheetName val="Norm"/>
      <sheetName val="КП (2)"/>
      <sheetName val="OCK1"/>
      <sheetName val="изыскания 2"/>
      <sheetName val="КП к ГК"/>
      <sheetName val="Калплан ОИ2 Макм крестики"/>
      <sheetName val="часы"/>
      <sheetName val="в работу"/>
      <sheetName val="Землеотвод"/>
      <sheetName val="свод (2)"/>
      <sheetName val="КП НовоКов"/>
      <sheetName val="р.Волхов"/>
      <sheetName val="свод общ"/>
      <sheetName val="24 2 эт"/>
      <sheetName val="Дополнительные параметры"/>
      <sheetName val="Капитальные затраты"/>
      <sheetName val="Итог"/>
      <sheetName val="6.1 ТХ ПД нб 2013 (2)"/>
      <sheetName val="см.2"/>
      <sheetName val="и3"/>
      <sheetName val="[Книга1.xls]Documents and Setti"/>
      <sheetName val="ДДС (Форма №3)"/>
      <sheetName val="свод1"/>
      <sheetName val="3труба (П)"/>
      <sheetName val="Лист1 (3)"/>
      <sheetName val="ГАЗ_камаз"/>
      <sheetName val="Расчет ст-ти Заказчика"/>
      <sheetName val="ЭММ"/>
      <sheetName val="Раз-ца зат-т в ст. эл.энер."/>
      <sheetName val="Переменные и константы"/>
      <sheetName val="РВ-расчет"/>
      <sheetName val="РССО"/>
      <sheetName val="АСУ-линия-1"/>
      <sheetName val="ТЗ АСУ-1"/>
      <sheetName val="8"/>
      <sheetName val="ИД СМР"/>
      <sheetName val="ИД ПНР"/>
      <sheetName val="ТЗ"/>
      <sheetName val="ФЗП"/>
      <sheetName val="прочие "/>
      <sheetName val="_x0004__x0002__x0000_ਸ"/>
      <sheetName val="氼_x0000_"/>
      <sheetName val="_x0000__x0000__x0000_褠(Опубликоват&amp;ь..._x0000_T_x0000__xde68_ュ_x0001__x0000__x0001__x0000_"/>
      <sheetName val="год.отчетность 2008"/>
      <sheetName val="_x0000_Ť_x0000_Ũ_x0000__x0000__x0000__x0000_ࢰ_x0000_ࢰᏬި_x0000_㿭_x0000__x0018__x0000_ᐐ_x0001__x0000_ި_x0000__x0000__x0000__x0000_ࢰ詀ㅡ"/>
      <sheetName val="GalDBTblFld_MainTable_Schet"/>
      <sheetName val="6.7.3_ТН"/>
      <sheetName val="???褠(Опубликоват&amp;ь...?T?_xde68_ュ_x0001_?_x0001_?"/>
      <sheetName val="?Ť?Ũ????ࢰ?ࢰᏬި?㿭?_x0018_?ᐐ_x0001_?ި????ࢰ詀ㅡ"/>
      <sheetName val="ArabicNafitha Enhanced Arabic C"/>
      <sheetName val="褠(Опубликоват&amp;ь..._x0000_T_x0000__xde68_ュ_x0001__x0000__x0001__x0000_褈_x0001_"/>
      <sheetName val="Ж.Дом_гор.Олекм 2010"/>
      <sheetName val="褠(Опубликоват&amp;ь...?T?_xde68_ュ_x0001_?_x0001_?褈_x0001_"/>
      <sheetName val="2011 факт"/>
      <sheetName val="_x0000__x0000__x0000_褠(Опубликоват&amp;ь..._x0000_T_x0000_�ュ_x0001__x0000__x0001__x0000_"/>
      <sheetName val="???褠(Опубликоват&amp;ь...?T?�ュ_x0001_?_x0001_?"/>
      <sheetName val="褠(Опубликоват&amp;ь..._x0000_T_x0000_�ュ_x0001__x0000__x0001__x0000_褈_x0001_"/>
      <sheetName val="褠(Опубликоват&amp;ь...?T?�ュ_x0001_?_x0001_?褈_x0001_"/>
      <sheetName val="?"/>
      <sheetName val="४婢_xffff_堀삁豈_xffff__x0000__x0000_܀耀_x0000_쀀_x0000_䘀_x0000__x0000__x0000__x0000__x0000__x0000__x0000__x0000_삁豈_xffff_삅豈_xffff_"/>
      <sheetName val="ПЗС"/>
      <sheetName val="Лист визирования"/>
      <sheetName val="_x0000_"/>
      <sheetName val="氼?"/>
      <sheetName val="Подрядчики"/>
      <sheetName val="2002(v2)"/>
      <sheetName val="2002_v2_"/>
      <sheetName val="氼"/>
      <sheetName val="_x0004__x0002_?ਸ"/>
      <sheetName val="М_1"/>
      <sheetName val="_x0000__x0001__x0000__x0003__x0000_4_x0000_¼_x0000__x0001__x0000__x0000__x0000__x0000__x0000__x0000__x0000__x0000__x0000__x0000_"/>
      <sheetName val="перекачка НПЗ Т-5"/>
      <sheetName val="Приложение 4"/>
      <sheetName val="Приложение 5"/>
      <sheetName val="Приложение 6"/>
      <sheetName val="УЭРВ-100 МЭПК, клапан"/>
      <sheetName val="Приложение РЭН"/>
      <sheetName val="Лист2_x0000_"/>
      <sheetName val="Распределение"/>
      <sheetName val="Гр5(о)"/>
      <sheetName val="Прил_6_51-Упр_рас"/>
      <sheetName val="【Ǆ【ㄨヶ㞄　L【ㄨヶ_x0008__x0000__x0008__x0000_က_x0000__x0000_Ҍ_x0000_ރ_x0001__x0000__x0004__x0000__x0002__x0000__x0004__x0000_ "/>
      <sheetName val="6.12"/>
      <sheetName val="6.7"/>
      <sheetName val="6.5.1_ТНП"/>
      <sheetName val="6.22"/>
      <sheetName val="6.14_КР"/>
      <sheetName val="6.14"/>
      <sheetName val="6.3.1"/>
      <sheetName val="ПРОГНОЗ_1"/>
      <sheetName val="6_12"/>
      <sheetName val="6_7"/>
      <sheetName val="6_5_1_ТНП"/>
      <sheetName val="6_22"/>
      <sheetName val="6_14_КР"/>
      <sheetName val="6_14"/>
      <sheetName val="6_3_1"/>
      <sheetName val="8.14 КР (списание)ОПСТИКР"/>
      <sheetName val="7_1_6_56"/>
      <sheetName val="7_1_6_57"/>
      <sheetName val="_x0000_&amp;_x0000_'_x0000_(_x0000_)_x0000_*_x0000_+_x0000_,_x0000_-_x0000_._x0000_/_x0000_0_x0000_1_x0000_2_x0000_3_x0000_4_x0000_"/>
      <sheetName val="AS_____________________________"/>
      <sheetName val="?&amp;?'?(?)?*?+?,?-?.?/?0?1?2?3?4?"/>
      <sheetName val="Форма 2.5к-Украина"/>
      <sheetName val="Сп"/>
      <sheetName val="Коэф КВ"/>
      <sheetName val="КС2 ВСТО "/>
      <sheetName val="_x0000__x0003__x0000__x0004__x0000__x0000__x0000__x0000__x0000__xdcb0_͒_x0000__x0000__x0001__x0000__x0000__x0000__x0000__x0000__x0000_"/>
      <sheetName val="_x0000__x0003__x0000__x0004__x0000__x0000__x0000__x0000__x0000_�͒_x0000__x0000__x0001__x0000__x0000__x0000__x0000__x0000__x0000_"/>
      <sheetName val="?_x0003_?_x0004_?????_xdcb0_͒??_x0001_??????"/>
      <sheetName val="?_x0003_?_x0004_?????�͒??_x0001_??????"/>
      <sheetName val="४婢_xffff_堀삁豈_xffff_??܀耀?쀀?䘀????????삁豈_xffff_삅豈_xffff_"/>
      <sheetName val="grafyleden-duben"/>
      <sheetName val="Const"/>
      <sheetName val="Реестр Диаг НПС ВНП"/>
      <sheetName val="_x0004__x0002_"/>
      <sheetName val="氼_"/>
      <sheetName val="Восстановл_䶭_x0000__x0000_Ā"/>
      <sheetName val="Спец-7"/>
      <sheetName val="Проект Планир"/>
      <sheetName val="Град план"/>
      <sheetName val="Сметный расчет№2.4"/>
      <sheetName val="Сметный расчет№2.5"/>
      <sheetName val="См 1 наруж.водопровод"/>
      <sheetName val="Курсы"/>
      <sheetName val="Documents and Settings_Halilova"/>
      <sheetName val="ААС М.Вешак (259,8)_x005f_x0000__x000"/>
      <sheetName val="ААС М.Вешак (259,8)__İŹ__x005f_x0004_"/>
      <sheetName val="3.3.31."/>
      <sheetName val="Setups"/>
      <sheetName val="[Книга1.xls]_x0000_&amp;_x0000_'_x0000_(_x0000_)_x0000_*_x0000_+_x0000_,_x0000_-_x0000_._x0000_"/>
      <sheetName val="[Книга1.xls]?&amp;?'?(?)?*?+?,?-?.?"/>
      <sheetName val="1.3"/>
      <sheetName val="все"/>
      <sheetName val="15.11.2007"/>
      <sheetName val="Восстановл_䶭"/>
      <sheetName val="褠(Опубликоват&amp;ь..."/>
      <sheetName val="४婢_xffff_堀삁豈_xffff_"/>
      <sheetName val="【Ǆ【ㄨヶ㞄　L【ㄨヶ_x0008_"/>
      <sheetName val="Documents and Setti"/>
      <sheetName val="?&amp;?'?(?)?*?+?,?-?.?"/>
      <sheetName val="basa"/>
      <sheetName val="9.1"/>
      <sheetName val="исх-данные"/>
      <sheetName val="исходные данные"/>
      <sheetName val="расчетные таблицы"/>
      <sheetName val="СпрФОТ"/>
      <sheetName val="СПРПФ"/>
      <sheetName val="Восстановл__x001b_䶭_x0000__x0000_Ā"/>
      <sheetName val="[Книга1._x001f__x0003__x0003__x000a__x000d__x0012__x0007__x000c__x0013__x0013__x0004__x0003__x000a__x000f__x0011__x0006__x0005__x0000__x0000__x0000__x0000__x0000__x0000_"/>
      <sheetName val="не печатать"/>
      <sheetName val="№1"/>
      <sheetName val="№10"/>
      <sheetName val="№11"/>
      <sheetName val="№12"/>
      <sheetName val="№2"/>
      <sheetName val="№3"/>
      <sheetName val="№4"/>
      <sheetName val="№5"/>
      <sheetName val="№7"/>
      <sheetName val="№8"/>
      <sheetName val="№9"/>
      <sheetName val="ИДвалка"/>
      <sheetName val="Справка"/>
      <sheetName val="Форма 2.1"/>
      <sheetName val="ААС М.Вешак (259,8)__İŹ__x0004_______"/>
      <sheetName val="_x0001__x0003_4¼_x0001_"/>
      <sheetName val="【Ǆ【ㄨヶ㞄　L【ㄨヶ_x0008__x0008_ကҌރ_x0001__x0004__x0002__x0004_ "/>
      <sheetName val="&amp;'()*+,-./01234"/>
      <sheetName val="_x0003__x0004__xdcb0_͒_x0001_"/>
      <sheetName val="_x0003__x0004_�͒_x0001_"/>
      <sheetName val="[Книга1.xls]&amp;'()*+,-."/>
      <sheetName val="Б.Мяс"/>
      <sheetName val="И.Мяс(н)"/>
      <sheetName val="З.Мяс"/>
      <sheetName val="Б.ОРП"/>
      <sheetName val="И.ОРП"/>
      <sheetName val="З.ОРП"/>
      <sheetName val="Б.ООП"/>
      <sheetName val="И.ООП"/>
      <sheetName val="З.ООП"/>
      <sheetName val="Б.ОПП"/>
      <sheetName val="И.ОПП"/>
      <sheetName val="З.ОПП"/>
      <sheetName val="Б.ТСС"/>
      <sheetName val="И.ТСС"/>
      <sheetName val="З.ТСС"/>
      <sheetName val="Б.Кон"/>
      <sheetName val="И.Кон (н)"/>
      <sheetName val="Д.Кон"/>
      <sheetName val="З.Кон"/>
      <sheetName val="П.Кон"/>
      <sheetName val="Б.Фир"/>
      <sheetName val="И.Фир (н)"/>
      <sheetName val="З.Фир"/>
      <sheetName val="П.Фир"/>
      <sheetName val="Справки"/>
      <sheetName val="Статьи"/>
      <sheetName val="Заявки"/>
      <sheetName val="Формы"/>
      <sheetName val="Лист6"/>
      <sheetName val="Лист7"/>
      <sheetName val="Лист8"/>
      <sheetName val="[Книга1._x001f__x0003__x0003__x000a__x000d__x0012__x0007__x000c__x0013__x0013__x0004__x0003__x000a__x000f__x0011__x0006__x0005_"/>
      <sheetName val="[Книга1.xls]"/>
      <sheetName val="Вспом."/>
      <sheetName val="Коэфф1_"/>
      <sheetName val="Зап-3-_СЦБ"/>
      <sheetName val="Смета2_проект__раб_"/>
      <sheetName val="смета_2_проект__работы"/>
      <sheetName val="Прайс_лист"/>
      <sheetName val="1_2_геол"/>
      <sheetName val="5_П"/>
      <sheetName val="3_акт_П"/>
      <sheetName val="1_1_геод"/>
      <sheetName val="медведицкая_(2)1"/>
      <sheetName val="Сумма_прописью1"/>
      <sheetName val="сводная_рд1"/>
      <sheetName val="нпс3рд_1"/>
      <sheetName val="нпс_кириши_рд1"/>
      <sheetName val="НПС-3_1"/>
      <sheetName val="Смета_1"/>
      <sheetName val="Таблица_2"/>
      <sheetName val="К_рын"/>
      <sheetName val="Таблица_3"/>
      <sheetName val="Данные_для_расчёта_сметы"/>
      <sheetName val="Список_прогонов_за_месяц"/>
      <sheetName val="1_1"/>
      <sheetName val="Расчет_зарплаты"/>
      <sheetName val="№5_СУБ_Инж_защ"/>
      <sheetName val="13_1"/>
      <sheetName val="к_84-к_83"/>
      <sheetName val="свод_2"/>
      <sheetName val="HP_и_оргтехника"/>
      <sheetName val="свод_3"/>
      <sheetName val="СметаСводная_Колпино"/>
      <sheetName val="См3_СЦБ-зап"/>
      <sheetName val="СметаСводная_снег"/>
      <sheetName val="Смета_7"/>
      <sheetName val="Смета_1свод"/>
      <sheetName val="Разработка_проекта"/>
      <sheetName val="Итог_Лена"/>
      <sheetName val="Итого_М__(2)"/>
      <sheetName val="Итог_Антиснег11_01"/>
      <sheetName val="Входные_параметрыВНГДУ"/>
      <sheetName val="эл_химз_"/>
      <sheetName val="Амур_ДОН"/>
      <sheetName val="Лист_опроса"/>
      <sheetName val="Прил_6_51-Упр_рас1"/>
      <sheetName val="6_11_1__сторонние"/>
      <sheetName val="Documents_and_Settings\Halilova"/>
      <sheetName val="Приморск_БДС"/>
      <sheetName val="ААС_М_Вешак_(259,8)İŹ"/>
      <sheetName val="ААС_М_Вешак_(259,8)??İŹ???????"/>
      <sheetName val="Проверка_и_настройка_параметров"/>
      <sheetName val="Пример_расчета"/>
      <sheetName val="прод_зап8_(2)"/>
      <sheetName val="853_(корр)_(2)"/>
      <sheetName val="Объемы_работ_по_ПВ"/>
      <sheetName val="ПДР_ООО_&quot;Юкос_ФБЦ&quot;"/>
      <sheetName val="2_2_"/>
      <sheetName val="СМЕТА_проект"/>
      <sheetName val="Свод_стоимость"/>
      <sheetName val="Свод_объем"/>
      <sheetName val="Приложение_2"/>
      <sheetName val="СметаСводная_павильон"/>
      <sheetName val="1_1_"/>
      <sheetName val="СметаСводная_Рыб"/>
      <sheetName val="Исх__данные"/>
      <sheetName val="КП_с_изм_2"/>
      <sheetName val="СметаСводная_1_оч"/>
      <sheetName val="Ачинский_НПЗ"/>
      <sheetName val="Сводная_"/>
      <sheetName val="См__2_1"/>
      <sheetName val="См__3_1"/>
      <sheetName val="См_1_19"/>
      <sheetName val="См__1_21"/>
      <sheetName val="См__1_23"/>
      <sheetName val="См__1_25"/>
      <sheetName val="См__2_2"/>
      <sheetName val="См__3_2"/>
      <sheetName val="См__1_20"/>
      <sheetName val="См__1_22"/>
      <sheetName val="См__1_24"/>
      <sheetName val="См__1_26"/>
      <sheetName val="КП_(2)"/>
      <sheetName val="изыскания_2"/>
      <sheetName val="КП_к_ГК"/>
      <sheetName val="Калплан_ОИ2_Макм_крестики"/>
      <sheetName val="в_работу"/>
      <sheetName val="свод_(2)"/>
      <sheetName val="КП_НовоКов"/>
      <sheetName val="р_Волхов"/>
      <sheetName val="свод_общ"/>
      <sheetName val="Дополнительные_параметры"/>
      <sheetName val="24_2_эт"/>
      <sheetName val="Капитальные_затраты"/>
      <sheetName val="6_1_ТХ_ПД_нб_2013_(2)"/>
      <sheetName val="см_2"/>
      <sheetName val="Лист1_(3)"/>
      <sheetName val="Расчет_ст-ти_Заказчика"/>
      <sheetName val="Раз-ца_зат-т_в_ст__эл_энер_"/>
      <sheetName val="Переменные_и_константы"/>
      <sheetName val="ДДС_(Форма_№3)"/>
      <sheetName val="3труба_(П)"/>
      <sheetName val="ТЗ_АСУ-1"/>
      <sheetName val="ИД_СМР"/>
      <sheetName val="ИД_ПНР"/>
      <sheetName val="Проект_Планир"/>
      <sheetName val="Град_план"/>
      <sheetName val="Сметный_расчет№2_4"/>
      <sheetName val="Сметный_расчет№2_5"/>
      <sheetName val="прочие_"/>
      <sheetName val="ਸ"/>
      <sheetName val="褠(Опубликоват&amp;ь___Tュ"/>
      <sheetName val="год_отчетность_2008"/>
      <sheetName val="ŤŨࢰࢰᏬި㿭ᐐިࢰ詀ㅡ"/>
      <sheetName val="6_7_3_ТН"/>
      <sheetName val="???褠(Опубликоват&amp;ь___?T?ュ??"/>
      <sheetName val="?Ť?Ũ????ࢰ?ࢰᏬި?㿭??ᐐ?ި????ࢰ詀ㅡ"/>
      <sheetName val="ArabicNafitha_Enhanced_Arabic_C"/>
      <sheetName val="褠(Опубликоват&amp;ь___Tュ褈"/>
      <sheetName val="Ж_Дом_гор_Олекм_2010"/>
      <sheetName val="褠(Опубликоват&amp;ь___?T?ュ??褈"/>
      <sheetName val="2011_факт"/>
      <sheetName val="Лист_визирования"/>
      <sheetName val="?ਸ"/>
      <sheetName val="4¼"/>
      <sheetName val="перекачка_НПЗ_Т-5"/>
      <sheetName val="Приложение_4"/>
      <sheetName val="Приложение_5"/>
      <sheetName val="Приложение_6"/>
      <sheetName val="УЭРВ-100_МЭПК,_клапан"/>
      <sheetName val="Приложение_РЭН"/>
      <sheetName val="【Ǆ【ㄨヶ㞄　L【ㄨヶကҌރ_"/>
      <sheetName val="6_121"/>
      <sheetName val="6_71"/>
      <sheetName val="6_5_1_ТНП1"/>
      <sheetName val="6_221"/>
      <sheetName val="6_14_КР1"/>
      <sheetName val="6_141"/>
      <sheetName val="6_3_11"/>
      <sheetName val="8_14_КР_(списание)ОПСТИКР"/>
      <sheetName val="&amp;'()*+,-_/01234"/>
      <sheetName val="?&amp;?'?(?)?*?+?,?-?_?/?0?1?2?3?4?"/>
      <sheetName val="Форма_2_5к-Украина"/>
      <sheetName val="Коэф_КВ"/>
      <sheetName val="КС2_ВСТО_"/>
      <sheetName val="͒"/>
      <sheetName val="???????͒????????"/>
      <sheetName val="Реестр_Диаг_НПС_ВНП"/>
      <sheetName val="[Книга1_xls]Documents_and_Setti"/>
      <sheetName val="См_1_наруж_водопровод"/>
      <sheetName val="3_3_31_"/>
      <sheetName val="ААС_М_Вешак_(259,8)"/>
      <sheetName val="не_печатать"/>
      <sheetName val="Documents_and_Settings_Halilova"/>
      <sheetName val="ААС_М_Вешак_(259,8)_x005f_x0000__x000"/>
      <sheetName val="ААС_М_Вешак_(259,8)__İŹ__x005f_x0004_"/>
      <sheetName val="[Книга1_xls]&amp;'()*+,-_"/>
      <sheetName val="[Книга1_xls]?&amp;?'?(?)?*?+?,?-?_?"/>
      <sheetName val="ААС_М_Вешак_(259,8)__İŹ_______"/>
      <sheetName val="1_3"/>
      <sheetName val="15_11_2007"/>
      <sheetName val="褠(Опубликоват&amp;ь___"/>
      <sheetName val="【Ǆ【ㄨヶ㞄　L【ㄨヶ"/>
      <sheetName val="Documents_and_Setti"/>
      <sheetName val="?&amp;?'?(?)?*?+?,?-?_?"/>
      <sheetName val="9_1"/>
      <sheetName val="исходные_данные"/>
      <sheetName val="расчетные_таблицы"/>
      <sheetName val="Восстановл_䶭Ā"/>
      <sheetName val="[Книга1__x000a__x000a_"/>
      <sheetName val="Восстановл__x001b_䶭"/>
      <sheetName val="_КС_2"/>
      <sheetName val="мат"/>
      <sheetName val="ИД1"/>
      <sheetName val="Сводная смета"/>
      <sheetName val="Пром1"/>
      <sheetName val="БАЗА"/>
      <sheetName val="GRAPHS"/>
      <sheetName val="Добыча"/>
      <sheetName val="Восстановл_䶭??Ā"/>
      <sheetName val="?_x0001_?_x0003_?4?¼?_x0001_??????????"/>
      <sheetName val="Лист2?"/>
      <sheetName val="【Ǆ【ㄨヶ㞄　L【ㄨヶ_x0008_?_x0008_?က??Ҍ?ރ_x0001_?_x0004_?_x0002_?_x0004_? "/>
      <sheetName val="план 2000"/>
      <sheetName val="Расчет расходов"/>
      <sheetName val="расчет тарифов"/>
      <sheetName val="ИТ-бюджет"/>
      <sheetName val="Факторный анализ_планы по комби"/>
      <sheetName val="Лист13"/>
      <sheetName val="T0"/>
      <sheetName val="T25"/>
      <sheetName val="T31"/>
      <sheetName val="форма-прил к ф№1"/>
      <sheetName val="FES"/>
      <sheetName val="ОПТ"/>
      <sheetName val="Исходные"/>
      <sheetName val="Пояснение "/>
      <sheetName val="ПС"/>
      <sheetName val="Данные"/>
      <sheetName val="эл ст"/>
      <sheetName val="ПОДРЯД"/>
      <sheetName val="Расчет цены"/>
      <sheetName val="ПОДРЯД (2)"/>
      <sheetName val="ПРОЕКТ"/>
      <sheetName val="БД"/>
      <sheetName val="___褠(Опубликоват&amp;ь..._T__xde68_ュ_x0001___x0001__"/>
      <sheetName val="_Ť_Ũ____ࢰ_ࢰᏬި_㿭__x0018__ᐐ_x0001__ި____ࢰ詀ㅡ"/>
      <sheetName val="褠(Опубликоват&amp;ь..._T__xde68_ュ_x0001___x0001__褈_x0001_"/>
      <sheetName val="___褠(Опубликоват&amp;ь..._T_�ュ_x0001___x0001__"/>
      <sheetName val="褠(Опубликоват&amp;ь..._T_�ュ_x0001___x0001__褈_x0001_"/>
      <sheetName val="_"/>
      <sheetName val="_x0004__x0002__ਸ"/>
      <sheetName val="_&amp;_'_(_)___+_,_-_.___0_1_2_3_4_"/>
      <sheetName val="__x0003___x0004_______xdcb0_͒___x0001_______"/>
      <sheetName val="__x0003___x0004______�͒___x0001_______"/>
      <sheetName val="४婢_xffff_堀삁豈_xffff___܀耀_쀀_䘀________삁豈_xffff_삅豈_xffff_"/>
      <sheetName val="Восстановл_䶭__Ā"/>
      <sheetName val="__x0001___x0003__4_¼__x0001___________"/>
      <sheetName val="Лист2_"/>
      <sheetName val="【Ǆ【ㄨヶ㞄　L【ㄨヶ_x0008___x0008__က__Ҍ_ރ_x0001___x0004___x0002___x0004__ "/>
      <sheetName val="обзор"/>
      <sheetName val="по рч3"/>
      <sheetName val="INV_KAZ"/>
      <sheetName val="_Книга1.xls_Documents and Setti"/>
      <sheetName val="_Книга1.xls_"/>
      <sheetName val="_Книга1.xls__&amp;_'_(_)___+_,_-_._"/>
      <sheetName val="Инфо_лист"/>
      <sheetName val="Инфо-лист"/>
      <sheetName val="общий расчет"/>
      <sheetName val="ААС М.Вешак (259,8)??İŹ?_x005f_x0004_"/>
      <sheetName val="_x005f_x0004__x005f_x0002__x005f_x0000_ਸ"/>
      <sheetName val="氼_x005f_x0000_"/>
      <sheetName val="_x005f_x0000__x005f_x0000__x005f_x0000_褠(Опублико"/>
      <sheetName val="_x005f_x0000_Ť_x005f_x0000_Ũ_x005f_x0000__x005f_x0000__"/>
      <sheetName val="???褠(Опубликоват&amp;ь...?T?_xde68"/>
      <sheetName val="?Ť?Ũ????ࢰ?ࢰᏬި?㿭?_x005f_x0018_?ᐐ_x00"/>
      <sheetName val="褠(Опубликоват&amp;ь..._x005f_x0000_T_x00"/>
      <sheetName val="褠(Опубликоват&amp;ь...?T?_x005f_xde68_ュ_"/>
      <sheetName val="???褠(Опубликоват&amp;ь...?T?�ュ_x00"/>
      <sheetName val="褠(Опубликоват&amp;ь...?T?�ュ_x005f_x0001_"/>
      <sheetName val="४婢_x005f_xffff_堀삁豈_x005f_xffff__x005f_x0000__x000"/>
      <sheetName val="_x005f_x0000_"/>
      <sheetName val="_x005f_x0004__x005f_x0002_?ਸ"/>
      <sheetName val="_x005f_x0000__x005f_x0001__x005f_x0000__x005f_x0003__x0"/>
      <sheetName val="Лист2_x005f_x0000_"/>
      <sheetName val="【Ǆ【ㄨヶ㞄　L【ㄨヶ_x005f_x0008__x005f_x0000__x0008"/>
      <sheetName val="_x005f_x0000_&amp;_x005f_x0000_'_x005f_x0000_(_x005f_x0000_"/>
      <sheetName val="_x005f_x0000__x005f_x0003__x005f_x0000__x005f_x0004__x0"/>
      <sheetName val="?_x005f_x0003_?_x005f_x0004_?????_x005f_xdcb0_͒??"/>
      <sheetName val="?_x005f_x0003_?_x005f_x0004_?????�͒??_x0001"/>
      <sheetName val="४婢_x005f_xffff_堀삁豈_x005f_xffff_??܀耀?쀀?䘀????"/>
      <sheetName val="_x005f_x0004__x005f_x0002_"/>
      <sheetName val="Восстановл_䶭_x005f_x0000__x005f_x0000_Ā"/>
      <sheetName val="???褠(Опубликоват&amp;ь...?T??ュ_x0001_?_x0001_?"/>
      <sheetName val="褠(Опубликоват&amp;ь...?T??ュ_x0001_?_x0001_?褈_x0001_"/>
      <sheetName val="?_x0003_?_x0004_??????͒??_x0001_??????"/>
      <sheetName val="исх_данные"/>
      <sheetName val="४婢?堀삁豈???܀耀?쀀?䘀????????삁豈?삅豈?"/>
      <sheetName val="Лист1 (2)"/>
      <sheetName val="REESTR"/>
      <sheetName val="Вспомогат(по месяцам)"/>
      <sheetName val="Заголовок"/>
      <sheetName val="ленск"/>
      <sheetName val="изм 2тх"/>
      <sheetName val="OtSobstOil_short"/>
      <sheetName val="2014"/>
      <sheetName val="60"/>
      <sheetName val="НДС"/>
      <sheetName val="Расчет"/>
      <sheetName val="Организации"/>
      <sheetName val="БВ10"/>
      <sheetName val="СНГДУ 1"/>
      <sheetName val="ПЛАСТ НП"/>
      <sheetName val="БР-2"/>
      <sheetName val="БСС-2"/>
      <sheetName val="БСС-1"/>
      <sheetName val="БДР"/>
      <sheetName val="БУР"/>
      <sheetName val="БСФ-2"/>
      <sheetName val="БН-1"/>
      <sheetName val="БП-1"/>
      <sheetName val="БКР"/>
      <sheetName val="БП-2"/>
      <sheetName val="Доп инф"/>
      <sheetName val="Паращенко Г.И."/>
      <sheetName val="БДР Тригуб"/>
      <sheetName val="Залеев С."/>
      <sheetName val="Энергия"/>
      <sheetName val="НЕДЕЛИ"/>
      <sheetName val="SFO"/>
      <sheetName val="план работ"/>
      <sheetName val="глушение"/>
      <sheetName val="план-заказ"/>
      <sheetName val="прил2"/>
      <sheetName val="Форма_2_1"/>
      <sheetName val="[Книга1_xls]"/>
      <sheetName val="Итого М_ _2_"/>
      <sheetName val="Курс"/>
      <sheetName val="1,3 новая"/>
      <sheetName val="цены"/>
      <sheetName val="ограничения"/>
      <sheetName val="Доп инфо"/>
      <sheetName val="1.6.12 мес (5)"/>
      <sheetName val="НП-2-12-П"/>
      <sheetName val="РБП"/>
      <sheetName val="SILICATE"/>
      <sheetName val="БФ-2-5-П"/>
      <sheetName val=" График расч "/>
      <sheetName val="Оперативная"/>
      <sheetName val="ТКРС"/>
      <sheetName val="ГРП"/>
      <sheetName val="Опт "/>
      <sheetName val="Ввод"/>
      <sheetName val="ИДН"/>
      <sheetName val="Справочник"/>
      <sheetName val="АВ_ЛУ из"/>
      <sheetName val="АВ"/>
      <sheetName val="цена реал-ии"/>
      <sheetName val="цена реал_ии"/>
      <sheetName val="отгр ГОК"/>
      <sheetName val="отгр_ГОК"/>
      <sheetName val="Итог_Лена1"/>
      <sheetName val="Итого_М__(2)1"/>
      <sheetName val="отгр_ГОК1"/>
      <sheetName val="фин_результ c СТ-1"/>
      <sheetName val="ЦЕНЫ (запасы календарные)"/>
      <sheetName val="ИТК"/>
      <sheetName val="БЮДЖЕТ (БДДР, БДДС, ББЛ)"/>
      <sheetName val="Полуфабрикаты 1"/>
      <sheetName val="Ам 2"/>
      <sheetName val="Ам 1"/>
      <sheetName val="ЦФО"/>
      <sheetName val="фин_результ c СТ_1"/>
      <sheetName val="2-stage"/>
      <sheetName val="___褠(Опубликоват&amp;ь..._T_?ュ_x0001___x0001__"/>
      <sheetName val="褠(Опубликоват&amp;ь..._T_?ュ_x0001___x0001__褈_x0001_"/>
      <sheetName val="Коэфф1_1"/>
      <sheetName val="Зап-3-_СЦБ1"/>
      <sheetName val="Смета2_проект__раб_1"/>
      <sheetName val="смета_2_проект__работы1"/>
      <sheetName val="Прайс_лист1"/>
      <sheetName val="медведицкая_(2)2"/>
      <sheetName val="Сумма_прописью2"/>
      <sheetName val="сводная_рд2"/>
      <sheetName val="нпс3рд_2"/>
      <sheetName val="нпс_кириши_рд2"/>
      <sheetName val="НПС-3_2"/>
      <sheetName val="1_2_геол1"/>
      <sheetName val="5_П1"/>
      <sheetName val="3_акт_П1"/>
      <sheetName val="1_1_геод1"/>
      <sheetName val="Смета_11"/>
      <sheetName val="Таблица_21"/>
      <sheetName val="Данные_для_расчёта_сметы1"/>
      <sheetName val="Список_прогонов_за_месяц1"/>
      <sheetName val="1_11"/>
      <sheetName val="свод_21"/>
      <sheetName val="6_11_1__сторонние1"/>
      <sheetName val="Documents_and_Settings\Halilov1"/>
      <sheetName val="Приморск_БДС1"/>
      <sheetName val="Проверка_и_настройка_параметро1"/>
      <sheetName val="Пример_расчета1"/>
      <sheetName val="СМЕТА_проект1"/>
      <sheetName val="Коэф_КВ1"/>
      <sheetName val="год_отчетность_20081"/>
      <sheetName val="6_7_3_ТН1"/>
      <sheetName val="ArabicNafitha_Enhanced_Arabic_1"/>
      <sheetName val="Ж_Дом_гор_Олекм_20101"/>
      <sheetName val="?&amp;?'?(?)?*?+?,?-?_?/?0?1?2?3?41"/>
      <sheetName val="Форма_2_5к-Украина1"/>
      <sheetName val="Лист1_(3)1"/>
      <sheetName val="по_рч3"/>
      <sheetName val="___褠(Опубликоват&amp;ь____T_ュ__"/>
      <sheetName val="_Ť_Ũ____ࢰ_ࢰᏬި_㿭__ᐐ_ި____ࢰ詀ㅡ"/>
      <sheetName val="_&amp;_'_(_)___+_,_-_____0_1_2_3_4_"/>
      <sheetName val="褠(Опубликоват&amp;ь____T_ュ__褈"/>
      <sheetName val="_Книга1_xls_Documents_and_Setti"/>
      <sheetName val="_Книга1_xls_"/>
      <sheetName val="_Книга1_xls__&amp;_'_(_)___+_,_-___"/>
      <sheetName val="общий_расчет"/>
      <sheetName val="???褠(Опубликоват&amp;ь___?T??ュ??"/>
      <sheetName val="褠(Опубликоват&amp;ь___?T??ュ??褈"/>
      <sheetName val="___褠(Опубликоват&amp;ь____T_?ュ__"/>
      <sheetName val="褠(Опубликоват&amp;ь____T_?ュ__褈"/>
      <sheetName val="Documents and SettingsHalilova"/>
      <sheetName val="_x0000_&amp;_x0000_'_x0000_(_x0000_)_x0000__x0000_+_x0000_,_x0000_-_x0000_._x0000__x0000_0_x0000_1_x0000_2_x0000_3_x0000_4_x0000_"/>
      <sheetName val="&amp;'()+,-.01234"/>
      <sheetName val="Книга1.xlsDocuments and Setti"/>
      <sheetName val="Книга1.xls_x0000_&amp;_x0000_'_x0000_(_x0000_)_x0000__x0000_+_x0000_,_x0000_-_x0000_._x0000_"/>
      <sheetName val="Книга1.xls&amp;'()+,-."/>
      <sheetName val="Книга1.xls"/>
      <sheetName val="Documents_and_SettingsHalilova"/>
      <sheetName val="&amp;'()+,-_01234"/>
      <sheetName val="&amp;'()+,-."/>
      <sheetName val="Форма 9"/>
      <sheetName val="Форма 10"/>
      <sheetName val="lang"/>
      <sheetName val="ИД"/>
      <sheetName val="Деятельность"/>
      <sheetName val="СтКРС"/>
      <sheetName val="ст ГТМ"/>
      <sheetName val="Расчет вязкости"/>
      <sheetName val="ФОТ"/>
      <sheetName val="МсН"/>
      <sheetName val="Параметры"/>
      <sheetName val="Сутки"/>
      <sheetName val="июл"/>
      <sheetName val="Ф-4 р"/>
      <sheetName val="план счетов"/>
      <sheetName val="издержки"/>
      <sheetName val="Лист9"/>
      <sheetName val="Лист10"/>
      <sheetName val="Лист11"/>
      <sheetName val="Лист12"/>
      <sheetName val="тит.лист"/>
      <sheetName val="Витим"/>
      <sheetName val="Лист15"/>
      <sheetName val="стр деб-кред"/>
      <sheetName val="Лист4"/>
      <sheetName val="Лист5"/>
      <sheetName val="счет 26"/>
      <sheetName val="90.08"/>
      <sheetName val="XLR_NoRangeSheet"/>
      <sheetName val="_x0000__x0006_Ȁ佐"/>
      <sheetName val="?_x0006_Ȁ佐"/>
      <sheetName val="Input"/>
      <sheetName val="2.98"/>
      <sheetName val="3.98"/>
      <sheetName val="УП _2004"/>
      <sheetName val="EMPLANM"/>
      <sheetName val="план"/>
      <sheetName val="[Книга1.xls]Documents_and_Set_2"/>
      <sheetName val="[Книга1.xls]__________________2"/>
      <sheetName val="[Книга1.xls]__________________3"/>
      <sheetName val="К_рын1"/>
      <sheetName val="Таблица_31"/>
      <sheetName val="Расчет_зарплаты1"/>
      <sheetName val="№5_СУБ_Инж_защ1"/>
      <sheetName val="13_11"/>
      <sheetName val="к_84-к_831"/>
      <sheetName val="HP_и_оргтехника1"/>
      <sheetName val="свод_31"/>
      <sheetName val="СметаСводная_Колпино1"/>
      <sheetName val="См3_СЦБ-зап1"/>
      <sheetName val="СметаСводная_снег1"/>
      <sheetName val="Смета_71"/>
      <sheetName val="Смета_1свод1"/>
      <sheetName val="Разработка_проекта1"/>
      <sheetName val="_x0006_Ȁ佐"/>
      <sheetName val="Коэфф"/>
      <sheetName val="геолог"/>
      <sheetName val="Итог_Антиснег11_011"/>
      <sheetName val="Входные_параметрыВНГДУ1"/>
      <sheetName val="эл_химз_1"/>
      <sheetName val="Амур_ДОН1"/>
      <sheetName val="Прил_6_51-Упр_рас2"/>
      <sheetName val="Лист_опроса1"/>
      <sheetName val="КП_с_изм_21"/>
      <sheetName val="СметаСводная_1_оч1"/>
      <sheetName val="СметаСводная_павильон1"/>
      <sheetName val="прод_зап8_(2)1"/>
      <sheetName val="853_(корр)_(2)1"/>
      <sheetName val="Объемы_работ_по_ПВ1"/>
      <sheetName val="ПДР_ООО_&quot;Юкос_ФБЦ&quot;1"/>
      <sheetName val="2_2_1"/>
      <sheetName val="Исх__данные1"/>
      <sheetName val="Ачинский_НПЗ1"/>
      <sheetName val="Свод_стоимость1"/>
      <sheetName val="Свод_объем1"/>
      <sheetName val="Приложение_21"/>
      <sheetName val="1_1_1"/>
      <sheetName val="СметаСводная_Рыб1"/>
      <sheetName val="КП_(2)1"/>
      <sheetName val="изыскания_21"/>
      <sheetName val="КП_к_ГК1"/>
      <sheetName val="Калплан_ОИ2_Макм_крестики1"/>
      <sheetName val="в_работу1"/>
      <sheetName val="свод_(2)1"/>
      <sheetName val="КП_НовоКов1"/>
      <sheetName val="р_Волхов1"/>
      <sheetName val="свод_общ1"/>
      <sheetName val="Сводная_1"/>
      <sheetName val="См__2_11"/>
      <sheetName val="См__3_11"/>
      <sheetName val="См_1_191"/>
      <sheetName val="См__1_211"/>
      <sheetName val="См__1_231"/>
      <sheetName val="См__1_251"/>
      <sheetName val="См__2_21"/>
      <sheetName val="См__3_21"/>
      <sheetName val="См__1_201"/>
      <sheetName val="См__1_221"/>
      <sheetName val="См__1_241"/>
      <sheetName val="См__1_261"/>
      <sheetName val="Дополнительные_параметры1"/>
      <sheetName val="24_2_эт1"/>
      <sheetName val="Капитальные_затраты1"/>
      <sheetName val="6_1_ТХ_ПД_нб_2013_(2)1"/>
      <sheetName val="см_21"/>
      <sheetName val="ДДС_(Форма_№3)1"/>
      <sheetName val="Расчет_ст-ти_Заказчика1"/>
      <sheetName val="Раз-ца_зат-т_в_ст__эл_энер_1"/>
      <sheetName val="Переменные_и_константы1"/>
      <sheetName val="[Книга1_xls]Documents_and_Sett1"/>
      <sheetName val="3труба_(П)1"/>
      <sheetName val="ААС_М_Вешак_(259,8)1"/>
      <sheetName val="ИД_СМР1"/>
      <sheetName val="ИД_ПНР1"/>
      <sheetName val="ТЗ_АСУ-11"/>
      <sheetName val="Проект_Планир1"/>
      <sheetName val="Град_план1"/>
      <sheetName val="Сметный_расчет№2_41"/>
      <sheetName val="Сметный_расчет№2_51"/>
      <sheetName val="прочие_1"/>
      <sheetName val="2011_факт1"/>
      <sheetName val="Лист_визирования1"/>
      <sheetName val="перекачка_НПЗ_Т-51"/>
      <sheetName val="Приложение_41"/>
      <sheetName val="Приложение_51"/>
      <sheetName val="Приложение_61"/>
      <sheetName val="УЭРВ-100_МЭПК,_клапан1"/>
      <sheetName val="Приложение_РЭН1"/>
      <sheetName val="6_122"/>
      <sheetName val="6_72"/>
      <sheetName val="6_5_1_ТНП2"/>
      <sheetName val="6_222"/>
      <sheetName val="6_14_КР2"/>
      <sheetName val="6_142"/>
      <sheetName val="6_3_12"/>
      <sheetName val="8_14_КР_(списание)ОПСТИКР1"/>
      <sheetName val="КС2_ВСТО_1"/>
      <sheetName val="Реестр_Диаг_НПС_ВНП1"/>
      <sheetName val="См_1_наруж_водопровод1"/>
      <sheetName val="Documents_and_Settings_Halilov1"/>
      <sheetName val="ААС_М_Вешак_(259,8)_x005f_x0000__x001"/>
      <sheetName val="ААС_М_Вешак_(259,8)__İŹ__x00041"/>
      <sheetName val="не_печатать1"/>
      <sheetName val="[Книга1_xls]?&amp;?'?(?)?*?+?,?-?_1"/>
      <sheetName val="3_3_31_1"/>
      <sheetName val="15_11_20071"/>
      <sheetName val="褠(Опубликоват&amp;ь___1"/>
      <sheetName val="Documents_and_Setti1"/>
      <sheetName val="?&amp;?'?(?)?*?+?,?-?_?1"/>
      <sheetName val="1_31"/>
      <sheetName val="9_11"/>
      <sheetName val="исходные_данные1"/>
      <sheetName val="расчетные_таблицы1"/>
      <sheetName val="Форма_2_11"/>
      <sheetName val="Коэфф1_2"/>
      <sheetName val="Зап-3-_СЦБ2"/>
      <sheetName val="Смета2_проект__раб_2"/>
      <sheetName val="смета_2_проект__работы2"/>
      <sheetName val="Прайс_лист2"/>
      <sheetName val="1_2_геол2"/>
      <sheetName val="5_П2"/>
      <sheetName val="3_акт_П2"/>
      <sheetName val="1_1_геод2"/>
      <sheetName val="медведицкая_(2)3"/>
      <sheetName val="Сумма_прописью3"/>
      <sheetName val="сводная_рд3"/>
      <sheetName val="нпс3рд_3"/>
      <sheetName val="нпс_кириши_рд3"/>
      <sheetName val="НПС-3_3"/>
      <sheetName val="Смета_12"/>
      <sheetName val="Таблица_22"/>
      <sheetName val="Таблица_32"/>
      <sheetName val="К_рын2"/>
      <sheetName val="Данные_для_расчёта_сметы2"/>
      <sheetName val="Список_прогонов_за_месяц2"/>
      <sheetName val="1_12"/>
      <sheetName val="Расчет_зарплаты2"/>
      <sheetName val="№5_СУБ_Инж_защ2"/>
      <sheetName val="13_12"/>
      <sheetName val="к_84-к_832"/>
      <sheetName val="свод_22"/>
      <sheetName val="HP_и_оргтехника2"/>
      <sheetName val="свод_32"/>
      <sheetName val="СметаСводная_Колпино2"/>
      <sheetName val="См3_СЦБ-зап2"/>
      <sheetName val="СметаСводная_снег2"/>
      <sheetName val="Смета_72"/>
      <sheetName val="Смета_1свод2"/>
      <sheetName val="Восстановл__x001b_䶭??Ā"/>
      <sheetName val="[Книга1._x001f__x0003__x0003__x000a__x000d__x0012__x0007__x000c__x0013__x0013__x0004__x0003__x000a__x000f__x0011__x0006__x0005_??????"/>
      <sheetName val="Итог_Лена2"/>
      <sheetName val="Итого_М__(2)2"/>
      <sheetName val="Вспом_"/>
      <sheetName val="Б_Мяс"/>
      <sheetName val="И_Мяс(н)"/>
      <sheetName val="З_Мяс"/>
      <sheetName val="Б_ОРП"/>
      <sheetName val="И_ОРП"/>
      <sheetName val="З_ОРП"/>
      <sheetName val="Б_ООП"/>
      <sheetName val="И_ООП"/>
      <sheetName val="З_ООП"/>
      <sheetName val="Б_ОПП"/>
      <sheetName val="И_ОПП"/>
      <sheetName val="З_ОПП"/>
      <sheetName val="Б_ТСС"/>
      <sheetName val="И_ТСС"/>
      <sheetName val="З_ТСС"/>
      <sheetName val="Б_Кон"/>
      <sheetName val="И_Кон_(н)"/>
      <sheetName val="Д_Кон"/>
      <sheetName val="З_Кон"/>
      <sheetName val="П_Кон"/>
      <sheetName val="Б_Фир"/>
      <sheetName val="И_Фир_(н)"/>
      <sheetName val="З_Фир"/>
      <sheetName val="П_Фир"/>
      <sheetName val="[Книга1_xls]1"/>
      <sheetName val="Восстановл_䶭"/>
      <sheetName val="Сводная_смета"/>
      <sheetName val="&amp;'()*+,-_/012341"/>
      <sheetName val="[Книга1_xls]&amp;'()*+,-_1"/>
      <sheetName val="???4?¼???????????"/>
      <sheetName val="【Ǆ【ㄨヶ㞄　L【ㄨヶ??က??Ҍ?ރ????_"/>
      <sheetName val="план_2000"/>
      <sheetName val="Расчет_расходов"/>
      <sheetName val="расчет_тарифов"/>
      <sheetName val="Факторный_анализ_планы_по_комби"/>
      <sheetName val="форма-прил_к_ф№1"/>
      <sheetName val="Пояснение_"/>
      <sheetName val="эл_ст"/>
      <sheetName val="план_работ"/>
      <sheetName val="Лист1_(2)"/>
      <sheetName val="Вспомогат(по_месяцам)"/>
      <sheetName val="изм_2тх"/>
      <sheetName val="???褠(Опубликоват&amp;ь___?T?_xde68"/>
      <sheetName val="褠(Опубликоват&amp;ь____x005f_x0000_T_x00"/>
      <sheetName val="褠(Опубликоват&amp;ь___?T?_x005f_xde68_ュ_"/>
      <sheetName val="???褠(Опубликоват&amp;ь___?T?�ュ_x00"/>
      <sheetName val="褠(Опубликоват&amp;ь___?T?�ュ_x005f_x0001_"/>
      <sheetName val="ААС_М_Вешак_(259,8)??İŹ?_x005f_x0004_"/>
      <sheetName val="_ਸ"/>
      <sheetName val="___4_¼___________"/>
      <sheetName val="СНГДУ_1"/>
      <sheetName val="ПЛАСТ_НП"/>
      <sheetName val="Доп_инф"/>
      <sheetName val="Паращенко_Г_И_"/>
      <sheetName val="БДР_Тригуб"/>
      <sheetName val="Залеев_С_"/>
      <sheetName val="Расчет_цены"/>
      <sheetName val="ПОДРЯД_(2)"/>
      <sheetName val="Итого_М___2_"/>
      <sheetName val="1,3_новая"/>
      <sheetName val="Доп_инфо"/>
      <sheetName val="1_6_12_мес_(5)"/>
      <sheetName val="_График_расч_"/>
      <sheetName val="Опт_"/>
      <sheetName val="АВ_ЛУ_из"/>
      <sheetName val="цена_реал-ии"/>
      <sheetName val="цена_реал_ии"/>
      <sheetName val="отгр_ГОК2"/>
      <sheetName val="фин_результ_c_СТ-1"/>
      <sheetName val="ЦЕНЫ_(запасы_календарные)"/>
      <sheetName val="БЮДЖЕТ_(БДДР,_БДДС,_ББЛ)"/>
      <sheetName val="Полуфабрикаты_1"/>
      <sheetName val="Ам_2"/>
      <sheetName val="Ам_1"/>
      <sheetName val="фин_результ_c_СТ_1"/>
      <sheetName val="ст_ГТМ"/>
      <sheetName val="Расчет_вязкости"/>
      <sheetName val="Ф-4_р"/>
      <sheetName val="план_счетов"/>
      <sheetName val="тит_лист"/>
      <sheetName val="стр_деб-кред"/>
      <sheetName val="счет_26"/>
      <sheetName val="90_08"/>
      <sheetName val="Ȁ佐"/>
      <sheetName val="?Ȁ佐"/>
      <sheetName val="2_98"/>
      <sheetName val="3_98"/>
      <sheetName val="УП__2004"/>
      <sheetName val="Форма_9"/>
      <sheetName val="Форма_10"/>
      <sheetName val="C_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sheetData sheetId="228"/>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ow r="1">
          <cell r="A1" t="str">
            <v>Иван</v>
          </cell>
        </row>
      </sheetData>
      <sheetData sheetId="277">
        <row r="1">
          <cell r="A1" t="str">
            <v>Иван</v>
          </cell>
        </row>
      </sheetData>
      <sheetData sheetId="278">
        <row r="1">
          <cell r="A1" t="str">
            <v>Иван</v>
          </cell>
        </row>
      </sheetData>
      <sheetData sheetId="279" refreshError="1"/>
      <sheetData sheetId="280"/>
      <sheetData sheetId="281">
        <row r="1">
          <cell r="A1" t="str">
            <v>Иван</v>
          </cell>
        </row>
      </sheetData>
      <sheetData sheetId="282" refreshError="1"/>
      <sheetData sheetId="283" refreshError="1"/>
      <sheetData sheetId="284" refreshError="1"/>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sheetData sheetId="297"/>
      <sheetData sheetId="298"/>
      <sheetData sheetId="299"/>
      <sheetData sheetId="300"/>
      <sheetData sheetId="30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sheetData sheetId="346">
        <row r="1">
          <cell r="A1" t="str">
            <v>Иван</v>
          </cell>
        </row>
      </sheetData>
      <sheetData sheetId="347"/>
      <sheetData sheetId="348"/>
      <sheetData sheetId="349"/>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sheetData sheetId="654" refreshError="1"/>
      <sheetData sheetId="655" refreshError="1"/>
      <sheetData sheetId="656" refreshError="1"/>
      <sheetData sheetId="657"/>
      <sheetData sheetId="658"/>
      <sheetData sheetId="659" refreshError="1"/>
      <sheetData sheetId="660" refreshError="1"/>
      <sheetData sheetId="661"/>
      <sheetData sheetId="662"/>
      <sheetData sheetId="663"/>
      <sheetData sheetId="664" refreshError="1"/>
      <sheetData sheetId="665"/>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sheetData sheetId="680"/>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sheetData sheetId="701" refreshError="1"/>
      <sheetData sheetId="702" refreshError="1"/>
      <sheetData sheetId="703">
        <row r="17">
          <cell r="M17">
            <v>3130</v>
          </cell>
        </row>
      </sheetData>
      <sheetData sheetId="704">
        <row r="17">
          <cell r="M17">
            <v>3130</v>
          </cell>
        </row>
      </sheetData>
      <sheetData sheetId="705">
        <row r="17">
          <cell r="M17">
            <v>3130</v>
          </cell>
        </row>
      </sheetData>
      <sheetData sheetId="706" refreshError="1"/>
      <sheetData sheetId="707"/>
      <sheetData sheetId="708"/>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sheetData sheetId="745" refreshError="1"/>
      <sheetData sheetId="746" refreshError="1"/>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refreshError="1"/>
      <sheetData sheetId="835" refreshError="1"/>
      <sheetData sheetId="836" refreshError="1"/>
      <sheetData sheetId="837"/>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refreshError="1"/>
      <sheetData sheetId="862" refreshError="1"/>
      <sheetData sheetId="863" refreshError="1"/>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refreshError="1"/>
      <sheetData sheetId="996" refreshError="1"/>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Цена"/>
      <sheetName val="Product"/>
      <sheetName val="Обновление"/>
      <sheetName val="Лист1"/>
      <sheetName val="Книга1"/>
      <sheetName val="База"/>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мандировка"/>
      <sheetName val="Авансовый отчет"/>
      <sheetName val="Платежное поручение"/>
      <sheetName val="Счет-Фактура"/>
      <sheetName val="Накладная"/>
      <sheetName val="Доверенность"/>
      <sheetName val="Расходный ордер"/>
      <sheetName val="Приходный ордер"/>
      <sheetName val="Платежка за телефон"/>
      <sheetName val="Платежка за электроэнергию"/>
      <sheetName val="Счет_Фактура"/>
      <sheetName val="Лист1"/>
      <sheetName val="Обновление"/>
      <sheetName val="Цена"/>
      <sheetName val="Product"/>
      <sheetName val="Коэфф1."/>
      <sheetName val="топография"/>
      <sheetName val="Кредиты"/>
    </sheetNames>
    <sheetDataSet>
      <sheetData sheetId="0"/>
      <sheetData sheetId="1" refreshError="1"/>
      <sheetData sheetId="2"/>
      <sheetData sheetId="3"/>
      <sheetData sheetId="4" refreshError="1"/>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ucent"/>
      <sheetName val="VERO"/>
      <sheetName val="RITTAL"/>
      <sheetName val="LEGRAND"/>
      <sheetName val="Works"/>
      <sheetName val="крепеж"/>
      <sheetName val="исключ ЭХЗ"/>
      <sheetName val="Справочник"/>
      <sheetName val="Лист1"/>
      <sheetName val="Обновление"/>
      <sheetName val="Цена"/>
      <sheetName val="Product"/>
      <sheetName val="SakhNIPI5"/>
      <sheetName val="№1"/>
      <sheetName val="№10"/>
      <sheetName val="№11"/>
      <sheetName val="№12"/>
      <sheetName val="№2"/>
      <sheetName val="№3"/>
      <sheetName val="№4"/>
      <sheetName val="№5"/>
      <sheetName val="№7"/>
      <sheetName val="№8"/>
      <sheetName val="№9"/>
      <sheetName val="Data"/>
      <sheetName val="Титул"/>
      <sheetName val="Справочники"/>
      <sheetName val="BACT"/>
      <sheetName val="топография"/>
      <sheetName val="Общая часть"/>
      <sheetName val="Сводная"/>
      <sheetName val="Счет-Фактура"/>
      <sheetName val="Спецификация"/>
      <sheetName val="Константы и результаты"/>
      <sheetName val="Лизинг"/>
      <sheetName val="ПНР"/>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данные _format (electr)_2"/>
      <sheetName val="Спецификация"/>
      <sheetName val="Lucent"/>
      <sheetName val="А и Т"/>
      <sheetName val="ЭКС"/>
      <sheetName val="топография"/>
      <sheetName val="№5 СУБ Инж защ"/>
      <sheetName val="РС"/>
      <sheetName val="Norm"/>
      <sheetName val="ПДР"/>
      <sheetName val="Лист1"/>
      <sheetName val="Обновление"/>
      <sheetName val="Цена"/>
      <sheetName val="Product"/>
      <sheetName val="ЛС_РЕС"/>
      <sheetName val="Ачинский НПЗ"/>
      <sheetName val="Акт выбора"/>
      <sheetName val="исх-данные"/>
      <sheetName val="вариан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ДР"/>
      <sheetName val="Бюджет"/>
      <sheetName val="топография"/>
      <sheetName val="Зап-3- СЦБ"/>
      <sheetName val="свод 2"/>
      <sheetName val="вариант"/>
      <sheetName val="HP и оргтехника"/>
      <sheetName val="Смета"/>
      <sheetName val="см8"/>
      <sheetName val="свод 3"/>
      <sheetName val="топо"/>
      <sheetName val="Лист опроса"/>
      <sheetName val="Summary"/>
      <sheetName val="№5 СУБ Инж защ"/>
      <sheetName val="ПДР+Бюджет ЮНГ НТЦ Уфа (2005-20"/>
      <sheetName val="13.1"/>
      <sheetName val="Данные для расчёта сметы"/>
      <sheetName val="ЭХЗ"/>
      <sheetName val="График"/>
      <sheetName val="Коэфф1."/>
      <sheetName val="Табл38-7"/>
      <sheetName val="1.1"/>
      <sheetName val="Сводная"/>
      <sheetName val="СС"/>
      <sheetName val="Лист1"/>
      <sheetName val="Обновление"/>
      <sheetName val="все"/>
      <sheetName val="Суточная"/>
      <sheetName val="COA- Nov  02"/>
      <sheetName val="мсн"/>
      <sheetName val="Разработка проекта"/>
      <sheetName val="Opex personnel (Term facs)"/>
      <sheetName val="Цена"/>
      <sheetName val="Product"/>
      <sheetName val="Пример расчета"/>
      <sheetName val="Additives"/>
      <sheetName val="Ryazan"/>
      <sheetName val="Assumpt"/>
      <sheetName val="КП (2)"/>
      <sheetName val="Капитальные затраты"/>
      <sheetName val="ВКЕ"/>
      <sheetName val="Счет-Фактура"/>
      <sheetName val="Ачинский НПЗ"/>
      <sheetName val="СметаСводная Колпино"/>
      <sheetName val="СПЕЦИФИКАЦИЯ"/>
      <sheetName val="Смета 1"/>
      <sheetName val="исходные данные"/>
      <sheetName val="расчетные таблицы"/>
      <sheetName val="СметаСводная снег"/>
      <sheetName val="НЕДЕЛИ"/>
      <sheetName val="2.2 "/>
      <sheetName val="к.84-к.83"/>
      <sheetName val="СМЕТА проект"/>
      <sheetName val="Journals"/>
      <sheetName val="1"/>
      <sheetName val="93-110"/>
      <sheetName val="Norm"/>
      <sheetName val="Шкаф"/>
      <sheetName val="Прайс лист"/>
      <sheetName val="OCK1"/>
      <sheetName val="начало"/>
      <sheetName val="5ОборРабМест(HP)"/>
      <sheetName val="Амур ДОН"/>
      <sheetName val="Курсы"/>
      <sheetName val="свод"/>
      <sheetName val="Сводная смета"/>
      <sheetName val="list"/>
      <sheetName val="Сметы за сопровождение"/>
      <sheetName val="ц_1991"/>
      <sheetName val="Дополнительные параметры"/>
      <sheetName val="total"/>
      <sheetName val="Комплектация"/>
      <sheetName val="трубы"/>
      <sheetName val="СМР"/>
      <sheetName val="дороги"/>
      <sheetName val="См 1 наруж.водопровод"/>
      <sheetName val="СметаСводная Рыб"/>
      <sheetName val="ИД"/>
      <sheetName val="См.№7 Эл."/>
      <sheetName val="См.№8 Пож."/>
      <sheetName val="См.№3 ВиК"/>
      <sheetName val="RSOILBAL"/>
      <sheetName val="Lim"/>
      <sheetName val="Control"/>
      <sheetName val="Destination"/>
      <sheetName val="sapactivexlhiddensheet"/>
      <sheetName val="ID"/>
      <sheetName val="ПД"/>
      <sheetName val="информация"/>
      <sheetName val="16"/>
      <sheetName val=""/>
      <sheetName val="MAIN_PARAMETERS"/>
      <sheetName val="свод1"/>
      <sheetName val="РасчетКомандир1"/>
      <sheetName val="РасчетКомандир2"/>
      <sheetName val="1.5.1"/>
      <sheetName val="1.5.2"/>
      <sheetName val="1.5.3"/>
      <sheetName val="1.5.4"/>
      <sheetName val="1.5.5"/>
      <sheetName val="1.5.6"/>
      <sheetName val="1.5.7"/>
      <sheetName val="1.5.8"/>
      <sheetName val="1.5.9"/>
      <sheetName val="1.5.10"/>
      <sheetName val="1.5.11"/>
      <sheetName val="1.5.12"/>
      <sheetName val="1.5.13"/>
      <sheetName val="1.5.14"/>
      <sheetName val="УП _2004"/>
      <sheetName val="Б.Сатка"/>
      <sheetName val="Исполнение по оборуд_"/>
      <sheetName val="АУП"/>
      <sheetName val="ИД СМР"/>
      <sheetName val="ИД ПНР"/>
      <sheetName val="Акт выбора"/>
      <sheetName val="трансформация1"/>
      <sheetName val="Прибыль опл"/>
      <sheetName val="Main"/>
      <sheetName val="Хар_"/>
      <sheetName val="С1_"/>
      <sheetName val="Lucent"/>
      <sheetName val="Сводная смета + КП 4_ПИР АСТУЭ "/>
      <sheetName val="Лист2"/>
      <sheetName val="база"/>
      <sheetName val="Справочные данные"/>
      <sheetName val="РП"/>
      <sheetName val="Ханты"/>
      <sheetName val="Тобольск"/>
      <sheetName val="ВЛ-10"/>
      <sheetName val="№1"/>
      <sheetName val="К"/>
      <sheetName val="Исполнение _освоение по закупк_"/>
      <sheetName val="Исполнение для Ускова"/>
      <sheetName val="Выборка по отсыпкам"/>
      <sheetName val="ИП _отсыпки_"/>
      <sheetName val="ИП _отсыпки_ФОТ_диз_т_"/>
      <sheetName val="ИП _отсыпки_ _выборка_"/>
      <sheetName val="Исполнение по оборуд_ _2_"/>
      <sheetName val="Исполнение сжато"/>
      <sheetName val="Форма для бурения"/>
      <sheetName val="Форма для КС"/>
      <sheetName val="Форма для ГР"/>
      <sheetName val="Корректировка"/>
      <sheetName val="техн"/>
      <sheetName val="ВП полн"/>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ndors!"/>
      <sheetName val="Услуги"/>
      <sheetName val="Microsoft"/>
      <sheetName val="Veritas"/>
      <sheetName val="Citrix"/>
      <sheetName val="eSafeLine"/>
      <sheetName val="Kaspersky"/>
      <sheetName val="Symantec"/>
      <sheetName val="McAfee"/>
      <sheetName val="Trend Micro"/>
      <sheetName val="Panda"/>
      <sheetName val="ABBYY"/>
      <sheetName val="Promt"/>
      <sheetName val="Corel"/>
      <sheetName val="Adobe"/>
      <sheetName val="Macromedia"/>
      <sheetName val="Borland"/>
      <sheetName val="Serena-Merant"/>
      <sheetName val="Venta"/>
      <sheetName val="SmartPhone"/>
      <sheetName val="TopPlan"/>
      <sheetName val="Прочее"/>
      <sheetName val="О компании"/>
      <sheetName val="Panduit"/>
      <sheetName val="Шатура 16,04"/>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мер расчета"/>
      <sheetName val="Структура АСУ УПН"/>
      <sheetName val="Структура АРМ"/>
      <sheetName val="Сигналы контроллера"/>
      <sheetName val="Сигналы контроллера + верхн уро"/>
      <sheetName val="У1500"/>
      <sheetName val="Смета 1 разд с коэф"/>
      <sheetName val="Смета (3 кат) ГЭСНп"/>
      <sheetName val="Трудозатраты (3кат) ГЭСНп"/>
      <sheetName val="Таблица 9 ГЭСНп"/>
      <sheetName val="ПДР"/>
      <sheetName val="Смета"/>
      <sheetName val="Разработка проекта"/>
      <sheetName val="sapactivexlhiddensheet"/>
      <sheetName val="Norm"/>
      <sheetName val="Сводная смета"/>
      <sheetName val="list"/>
      <sheetName val="Табл38-7"/>
      <sheetName val="топография"/>
      <sheetName val="ПДР ООО &quot;Юкос ФБЦ&quot;"/>
      <sheetName val="Nodes"/>
      <sheetName val="Periods"/>
      <sheetName val="Справочник"/>
      <sheetName val="Хар_"/>
      <sheetName val="С1_"/>
      <sheetName val="13.1"/>
      <sheetName val="все"/>
      <sheetName val="Коэф"/>
      <sheetName val="топо"/>
      <sheetName val="XLR_NoRangeSheet"/>
      <sheetName val="График"/>
      <sheetName val="OCK1"/>
      <sheetName val="ц_1991"/>
      <sheetName val="Шкаф"/>
      <sheetName val="Коэфф1."/>
      <sheetName val="Прайс лист"/>
      <sheetName val="№5 СУБ Инж защ"/>
      <sheetName val="ВКЕ"/>
      <sheetName val="Journals"/>
      <sheetName val="Summary"/>
      <sheetName val="Opex personnel (Term facs)"/>
      <sheetName val="Лист1"/>
      <sheetName val="Lim"/>
      <sheetName val="СС"/>
      <sheetName val="СМЕТА проект"/>
      <sheetName val="Справочники"/>
      <sheetName val="Сводная"/>
      <sheetName val="Параметры"/>
      <sheetName val="Списки"/>
      <sheetName val="МБП"/>
      <sheetName val="Цена"/>
      <sheetName val="КП (2)"/>
      <sheetName val="СВОД"/>
      <sheetName val="Бюджет"/>
      <sheetName val="Дополнительные параметры"/>
      <sheetName val="Лист"/>
      <sheetName val="Капитальные затраты"/>
      <sheetName val="Обновление"/>
      <sheetName val="Product"/>
      <sheetName val="2.2 "/>
      <sheetName val="B"/>
      <sheetName val="начало"/>
      <sheetName val="Кредиты"/>
      <sheetName val="Ком  предл по Сероочистке Алато"/>
      <sheetName val="к.84-к.83"/>
      <sheetName val="УКП"/>
      <sheetName val="Panduit"/>
      <sheetName val="Курсы"/>
      <sheetName val="breakdown"/>
      <sheetName val="трансформация1"/>
      <sheetName val="Control"/>
      <sheetName val="эл.химз."/>
      <sheetName val="гидрология"/>
      <sheetName val="Ачинский НПЗ"/>
      <sheetName val="ID"/>
      <sheetName val="Справочные данные"/>
      <sheetName val="total"/>
      <sheetName val="Комплектация"/>
      <sheetName val="трубы"/>
      <sheetName val="СМР"/>
      <sheetName val="дороги"/>
      <sheetName val="PwC Copies from old models --&gt;&gt;"/>
      <sheetName val="Акт выбора"/>
      <sheetName val="Зап-3- СЦБ"/>
      <sheetName val="ПОДПИСИ"/>
      <sheetName val="СметаСводная Рыб"/>
      <sheetName val="ЭХЗ"/>
      <sheetName val="См3(подходы)"/>
      <sheetName val="См2(мост)"/>
      <sheetName val="КУ1"/>
      <sheetName val="1155"/>
      <sheetName val="93-110"/>
      <sheetName val="Данные для расчёта сметы"/>
      <sheetName val="Лист опроса"/>
      <sheetName val=""/>
      <sheetName val="Variant 1"/>
      <sheetName val="Трудовой процесс. Норматив"/>
      <sheetName val="Виды работ"/>
      <sheetName val="manual"/>
      <sheetName val="лист общих данных"/>
      <sheetName val="Коэффициенты"/>
      <sheetName val="СметаСводная гост"/>
      <sheetName val="исполнение _освоение по закупк_"/>
      <sheetName val="исполнение для ускова"/>
      <sheetName val="выборка по отсыпкам"/>
      <sheetName val="ип _отсыпки_"/>
      <sheetName val="ип _отсыпки_фот_диз_т_"/>
      <sheetName val="ип _отсыпки_ _выборка_"/>
      <sheetName val="исполнение по оборуд_"/>
      <sheetName val="исполнение по оборуд_ _2_"/>
      <sheetName val="исполнение сжато"/>
      <sheetName val="форма для бурения"/>
      <sheetName val="форма для кс"/>
      <sheetName val="форма для гр"/>
      <sheetName val="корректировка"/>
      <sheetName val="прибыль опл"/>
      <sheetName val="Пример_расчета"/>
      <sheetName val="Структура_АСУ_УПН"/>
      <sheetName val="Структура_АРМ"/>
      <sheetName val="Сигналы_контроллера"/>
      <sheetName val="Сигналы_контроллера_+_верхн_уро"/>
      <sheetName val="Смета_1_разд_с_коэф"/>
      <sheetName val="Смета_(3_кат)_ГЭСНп"/>
      <sheetName val="Трудозатраты_(3кат)_ГЭСНп"/>
      <sheetName val="Таблица_9_ГЭСНп"/>
      <sheetName val="Разработка_проекта"/>
      <sheetName val="Сводная_смета"/>
      <sheetName val="ПДР_ООО_&quot;Юкос_ФБЦ&quot;"/>
      <sheetName val="13_1"/>
      <sheetName val="Коэфф1_"/>
      <sheetName val="Прайс_лист"/>
      <sheetName val="№5_СУБ_Инж_защ"/>
      <sheetName val="Opex_personnel_(Term_facs)"/>
      <sheetName val="СМЕТА_проект"/>
      <sheetName val="КП_(2)"/>
      <sheetName val="Дополнительные_параметры"/>
      <sheetName val="Капитальные_затраты"/>
      <sheetName val="2_2_"/>
      <sheetName val="Ком__предл_по_Сероочистке_Алато"/>
      <sheetName val="к_84-к_83"/>
      <sheetName val="эл_химз_"/>
      <sheetName val="Ачинский_НПЗ"/>
      <sheetName val="Справочные_данные"/>
      <sheetName val="PwC_Copies_from_old_models_--&gt;&gt;"/>
      <sheetName val="Акт_выбора"/>
      <sheetName val="Зап-3-_СЦБ"/>
      <sheetName val="СметаСводная_Рыб"/>
      <sheetName val="Данные_для_расчёта_сметы"/>
      <sheetName val="Спецификация"/>
      <sheetName val="6_11_1  сторонние"/>
      <sheetName val="Восстановл_Лист12"/>
      <sheetName val="Восстановл_Лист18"/>
      <sheetName val="Восстановл_Лист10"/>
      <sheetName val="Восстановл_Лист6"/>
      <sheetName val="Восстановл_Лист14"/>
      <sheetName val="Восстановл_Лист20"/>
      <sheetName val="Восстановл_Лист16"/>
      <sheetName val="Восстановл_Лист5"/>
      <sheetName val="Восстановл_Лист13"/>
      <sheetName val="Восстановл_Лист19"/>
      <sheetName val="Восстановл_Лист11"/>
      <sheetName val="Восстановл_Лист7"/>
      <sheetName val="Восстановл_Лист15"/>
      <sheetName val="Восстановл_Лист21"/>
      <sheetName val="Восстановл_Лист17"/>
      <sheetName val="Сметы за сопровождение"/>
      <sheetName val="Финплан"/>
      <sheetName val="Лист_опроса"/>
      <sheetName val="Лист3"/>
      <sheetName val="К.С.М."/>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 П"/>
      <sheetName val="Свод"/>
      <sheetName val="СМЕТА проект"/>
      <sheetName val="СВОД ПИР"/>
      <sheetName val="топография"/>
      <sheetName val="13.1"/>
      <sheetName val="ПДР"/>
      <sheetName val="Пример расчета"/>
      <sheetName val="93-110"/>
      <sheetName val="sapactivexlhiddensheet"/>
      <sheetName val="Calc"/>
      <sheetName val="Шкаф"/>
      <sheetName val="Коэфф1."/>
      <sheetName val="Прайс лист"/>
      <sheetName val="Сводная смета"/>
      <sheetName val="list"/>
      <sheetName val="топо"/>
      <sheetName val="Смета"/>
      <sheetName val="1ПС"/>
      <sheetName val="Сводная газопровод"/>
      <sheetName val="5ОборРабМест(HP)"/>
      <sheetName val="к.84-к.83"/>
      <sheetName val="Упр"/>
      <sheetName val="РП"/>
      <sheetName val="См 1 наруж.водопровод"/>
      <sheetName val="Обновление"/>
      <sheetName val="Цена"/>
      <sheetName val="Product"/>
      <sheetName val="Лист1"/>
      <sheetName val="Данные для расчёта сметы"/>
      <sheetName val="График"/>
      <sheetName val="Коэф"/>
      <sheetName val="OCK1"/>
      <sheetName val="КП (2)"/>
      <sheetName val="в работу"/>
      <sheetName val="Сводная"/>
      <sheetName val="Параметры"/>
      <sheetName val="Геология"/>
      <sheetName val="Геофизика"/>
      <sheetName val="ЭХЗ"/>
      <sheetName val="Табл38-7"/>
      <sheetName val="Journals"/>
      <sheetName val="СтрЗапасов (2)"/>
      <sheetName val="З_П"/>
      <sheetName val="СМЕТА_проект"/>
      <sheetName val="СВОД_ПИР"/>
      <sheetName val="13_1"/>
      <sheetName val="Пример_расчета"/>
      <sheetName val="Коэфф1_"/>
      <sheetName val="Прайс_лист"/>
      <sheetName val="Сводная_смета"/>
      <sheetName val="Сводная_газопровод"/>
      <sheetName val="к_84-к_83"/>
      <sheetName val="Прибыль опл"/>
      <sheetName val="все"/>
      <sheetName val="8"/>
      <sheetName val="Хар_"/>
      <sheetName val="С1_"/>
      <sheetName val="Восстановл_Лист7"/>
      <sheetName val="Восстановл_Лист13"/>
      <sheetName val="Восстановл_Лист15"/>
      <sheetName val="Восстановл_Лист19"/>
      <sheetName val="УКП"/>
      <sheetName val="Lim"/>
      <sheetName val="ИД СМР"/>
      <sheetName val="ИД ПНР"/>
      <sheetName val="СПЕЦИФИКАЦИЯ"/>
      <sheetName val="Norm"/>
      <sheetName val=""/>
      <sheetName val="ПД"/>
      <sheetName val="№5 СУБ Инж защ"/>
      <sheetName val="data"/>
      <sheetName val="Panduit"/>
      <sheetName val="БД"/>
      <sheetName val="Проект"/>
      <sheetName val="Выборка Заказчик"/>
      <sheetName val="Общ"/>
      <sheetName val="Текущие показатели"/>
      <sheetName val="З_П1"/>
      <sheetName val="СМЕТА_проект1"/>
      <sheetName val="СВОД_ПИР1"/>
      <sheetName val="13_11"/>
      <sheetName val="Пример_расчета1"/>
      <sheetName val="Коэфф1_1"/>
      <sheetName val="Прайс_лист1"/>
      <sheetName val="Сводная_смета1"/>
      <sheetName val="Сводная_газопровод1"/>
      <sheetName val="к_84-к_831"/>
      <sheetName val="См_1_наруж_водопровод"/>
      <sheetName val="КП_(2)"/>
      <sheetName val="в_работу"/>
      <sheetName val="Данные_для_расчёта_сметы"/>
      <sheetName val="СтрЗапасов_(2)"/>
      <sheetName val="Прибыль_опл"/>
      <sheetName val="ИД_СМР"/>
      <sheetName val="ИД_ПНР"/>
      <sheetName val="СметаСводная гост"/>
      <sheetName val="Лист опроса"/>
      <sheetName val="XLR_NoRangeSheet"/>
      <sheetName val="Хаттон 90.90 Femco"/>
      <sheetName val="Коэффициенты"/>
      <sheetName val="база"/>
      <sheetName val="№5_СУБ_Инж_защ"/>
      <sheetName val="З_П2"/>
      <sheetName val="СМЕТА_проект2"/>
      <sheetName val="СВОД_ПИР2"/>
      <sheetName val="13_12"/>
      <sheetName val="Пример_расчета2"/>
      <sheetName val="Коэфф1_2"/>
      <sheetName val="Прайс_лист2"/>
      <sheetName val="Сводная_смета2"/>
      <sheetName val="Сводная_газопровод2"/>
      <sheetName val="к_84-к_832"/>
      <sheetName val="См_1_наруж_водопровод1"/>
      <sheetName val="КП_(2)1"/>
      <sheetName val="в_работу1"/>
      <sheetName val="Данные_для_расчёта_сметы1"/>
      <sheetName val="СтрЗапасов_(2)1"/>
      <sheetName val="Прибыль_опл1"/>
      <sheetName val="к.рын"/>
      <sheetName val="Акт выбора"/>
      <sheetName val="ИД_СМР1"/>
      <sheetName val="ИД_ПНР1"/>
      <sheetName val="З_П3"/>
      <sheetName val="СМЕТА_проект3"/>
      <sheetName val="СВОД_ПИР3"/>
      <sheetName val="13_13"/>
      <sheetName val="Пример_расчета3"/>
      <sheetName val="Коэфф1_3"/>
      <sheetName val="Прайс_лист3"/>
      <sheetName val="Сводная_смета3"/>
      <sheetName val="Сводная_газопровод3"/>
      <sheetName val="к_84-к_833"/>
      <sheetName val="См_1_наруж_водопровод2"/>
      <sheetName val="КП_(2)2"/>
      <sheetName val="в_работу2"/>
      <sheetName val="Данные_для_расчёта_сметы2"/>
      <sheetName val="СтрЗапасов_(2)2"/>
      <sheetName val="Прибыль_опл2"/>
      <sheetName val="ИД_СМР2"/>
      <sheetName val="ИД_ПНР2"/>
      <sheetName val="№5_СУБ_Инж_защ1"/>
      <sheetName val="З_П4"/>
      <sheetName val="СМЕТА_проект4"/>
      <sheetName val="СВОД_ПИР4"/>
      <sheetName val="13_14"/>
      <sheetName val="Пример_расчета4"/>
      <sheetName val="Коэфф1_4"/>
      <sheetName val="Прайс_лист4"/>
      <sheetName val="Сводная_смета4"/>
      <sheetName val="Сводная_газопровод4"/>
      <sheetName val="к_84-к_834"/>
      <sheetName val="См_1_наруж_водопровод3"/>
      <sheetName val="КП_(2)3"/>
      <sheetName val="в_работу3"/>
      <sheetName val="Данные_для_расчёта_сметы3"/>
      <sheetName val="СтрЗапасов_(2)3"/>
      <sheetName val="Прибыль_опл3"/>
      <sheetName val="ИД_СМР3"/>
      <sheetName val="ИД_ПНР3"/>
      <sheetName val="№5_СУБ_Инж_защ2"/>
      <sheetName val="Выборка_Заказчик"/>
      <sheetName val="К.С.М."/>
      <sheetName val="Ф"/>
      <sheetName val="исх_данные"/>
      <sheetName val="Нормы к моделям"/>
      <sheetName val="Хаттон_90_90_Femco"/>
      <sheetName val="Выборка_Заказчик1"/>
      <sheetName val="Хаттон_90_90_Femco1"/>
      <sheetName val="MAIN"/>
      <sheetName val="исх-данные"/>
      <sheetName val="СметаСводная Рыб"/>
      <sheetName val="УКПГ-8В_ГПР_RES_7 20210523"/>
      <sheetName val="З_П5"/>
      <sheetName val="СМЕТА_проект5"/>
      <sheetName val="СВОД_ПИР5"/>
      <sheetName val="13_15"/>
      <sheetName val="Пример_расчета5"/>
      <sheetName val="Коэфф1_5"/>
      <sheetName val="Прайс_лист5"/>
      <sheetName val="Сводная_смета5"/>
      <sheetName val="Сводная_газопровод5"/>
      <sheetName val="к_84-к_835"/>
      <sheetName val="См_1_наруж_водопровод4"/>
      <sheetName val="КП_(2)4"/>
      <sheetName val="в_работу4"/>
      <sheetName val="Данные_для_расчёта_сметы4"/>
      <sheetName val="СтрЗапасов_(2)4"/>
      <sheetName val="Прибыль_опл4"/>
      <sheetName val="ИД_СМР4"/>
      <sheetName val="ИД_ПНР4"/>
      <sheetName val="№5_СУБ_Инж_защ3"/>
      <sheetName val="Текущие_показатели"/>
      <sheetName val="СметаСводная_гост"/>
      <sheetName val="Лист_опроса"/>
      <sheetName val="к_рын"/>
      <sheetName val="Акт_выбора"/>
      <sheetName val="Сводная_газопровод6"/>
      <sheetName val="Сводная_газопровод7"/>
      <sheetName val="Сводная_газопровод8"/>
      <sheetName val="Сводная_газопровод9"/>
      <sheetName val="ESTI."/>
      <sheetName val="DI-ESTI"/>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refreshError="1"/>
      <sheetData sheetId="164" refreshError="1"/>
      <sheetData sheetId="165" refreshError="1"/>
      <sheetData sheetId="166"/>
      <sheetData sheetId="167"/>
      <sheetData sheetId="168"/>
      <sheetData sheetId="169" refreshError="1"/>
      <sheetData sheetId="170" refreshError="1"/>
      <sheetData sheetId="171" refreshError="1"/>
      <sheetData sheetId="172" refreshError="1"/>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оимость"/>
      <sheetName val="Коэфф1."/>
      <sheetName val="в работу"/>
      <sheetName val="Нижний ур."/>
      <sheetName val="Нижний NEW"/>
      <sheetName val="ЗИП_НУ"/>
      <sheetName val="Лист2"/>
      <sheetName val="ВерхУров"/>
      <sheetName val="Прайс лист"/>
      <sheetName val="СП"/>
      <sheetName val="КП"/>
      <sheetName val="КП-1"/>
      <sheetName val="СП-1"/>
      <sheetName val="СП-2"/>
      <sheetName val="СП-3"/>
      <sheetName val="СП-4"/>
      <sheetName val="СП-5"/>
      <sheetName val="Спец"/>
      <sheetName val="Шкаф"/>
      <sheetName val="Сервис"/>
      <sheetName val="ЗИП"/>
      <sheetName val="Труд"/>
      <sheetName val="Тепло"/>
      <sheetName val="База"/>
      <sheetName val="MACRO"/>
      <sheetName val="Коэфф1_"/>
      <sheetName val="13.1"/>
      <sheetName val="ЭХЗ"/>
      <sheetName val="Лист1"/>
      <sheetName val="Обновление"/>
      <sheetName val="Цена"/>
      <sheetName val="Product"/>
      <sheetName val="Шкафы_end"/>
      <sheetName val="СМЕТА проект"/>
      <sheetName val="топография"/>
      <sheetName val="Calc"/>
      <sheetName val="ПДР"/>
      <sheetName val="Кредиты"/>
      <sheetName val="sapactivexlhiddensheet"/>
      <sheetName val="трансформация1"/>
      <sheetName val="Все ОС"/>
      <sheetName val="к.84-к.83"/>
      <sheetName val="Данные для расчёта сметы"/>
      <sheetName val="MAIN_PARAMETERS"/>
      <sheetName val="HP и оргтехника"/>
      <sheetName val="93-110"/>
      <sheetName val="Смета"/>
      <sheetName val="Пример расчета"/>
      <sheetName val="Summary"/>
      <sheetName val="1ПС"/>
      <sheetName val="5ОборРабМест(HP)"/>
      <sheetName val="Лист опроса"/>
      <sheetName val="COS&amp; SG&amp;A Classification"/>
      <sheetName val="reconciliation"/>
      <sheetName val="свод 2"/>
      <sheetName val="1155"/>
      <sheetName val="SP173И1"/>
      <sheetName val="SP173И2"/>
      <sheetName val="SP173И3"/>
      <sheetName val="SP353СИ1"/>
      <sheetName val="SP353СИ2"/>
      <sheetName val="SP353ЦИ1"/>
      <sheetName val="SP353ЦИ2"/>
      <sheetName val="КП (2)"/>
      <sheetName val="информация"/>
      <sheetName val="Lim"/>
      <sheetName val="Параметры"/>
      <sheetName val="Norm"/>
      <sheetName val="ПДР ООО &quot;Юкос ФБЦ&quot;"/>
      <sheetName val="Хар_"/>
      <sheetName val="С1_"/>
      <sheetName val="Исполнение _освоение по закупк_"/>
      <sheetName val="Исполнение для Ускова"/>
      <sheetName val="Выборка по отсыпкам"/>
      <sheetName val="ИП _отсыпки_"/>
      <sheetName val="ИП _отсыпки_ФОТ_диз_т_"/>
      <sheetName val="ИП _отсыпки_ _выборка_"/>
      <sheetName val="Исполнение по оборуд_"/>
      <sheetName val="Исполнение по оборуд_ _2_"/>
      <sheetName val="Исполнение сжато"/>
      <sheetName val="Форма для бурения"/>
      <sheetName val="Форма для КС"/>
      <sheetName val="Форма для ГР"/>
      <sheetName val="Корректировка"/>
      <sheetName val="СС"/>
      <sheetName val="Прибыль опл"/>
      <sheetName val="Амур ДОН"/>
      <sheetName val="СВОД"/>
      <sheetName val="Journals"/>
      <sheetName val="кп ГК"/>
      <sheetName val="total"/>
      <sheetName val="Комплектация"/>
      <sheetName val="трубы"/>
      <sheetName val="СМР"/>
      <sheetName val="дороги"/>
      <sheetName val="OCK1"/>
      <sheetName val="исходные данные"/>
      <sheetName val="расчетные таблицы"/>
      <sheetName val="свод 3"/>
      <sheetName val="График"/>
      <sheetName val="Капитальные затраты"/>
      <sheetName val="все"/>
      <sheetName val="топо"/>
      <sheetName val="Проект"/>
      <sheetName val="БД"/>
      <sheetName val="Огл. Графиков"/>
      <sheetName val="Текущие цены"/>
      <sheetName val="рабочий"/>
      <sheetName val="окраска"/>
      <sheetName val="РП"/>
      <sheetName val="ID"/>
      <sheetName val="Б.Сатка"/>
      <sheetName val="Зап-3- СЦБ"/>
      <sheetName val="Бюджет"/>
      <sheetName val="Курсы"/>
      <sheetName val="breakdown"/>
      <sheetName val="УП _2004"/>
      <sheetName val="Дополнительные параметры"/>
      <sheetName val="ИД"/>
      <sheetName val="Табл38-7"/>
      <sheetName val="Opex personnel (Term facs)"/>
      <sheetName val="Main"/>
      <sheetName val="№5 СУБ Инж защ"/>
      <sheetName val="Коэфф1_1"/>
      <sheetName val="в_работу"/>
      <sheetName val="Нижний_ур_"/>
      <sheetName val="Нижний_NEW"/>
      <sheetName val="Прайс_лист"/>
      <sheetName val="13_1"/>
      <sheetName val="СМЕТА_проект"/>
      <sheetName val="Все_ОС"/>
      <sheetName val="к_84-к_83"/>
      <sheetName val="Данные_для_расчёта_сметы"/>
      <sheetName val="HP_и_оргтехника"/>
      <sheetName val="Пример_расчета"/>
      <sheetName val="Лист_опроса"/>
      <sheetName val="COS&amp;_SG&amp;A_Classification"/>
      <sheetName val="свод_2"/>
      <sheetName val="КП_(2)"/>
      <sheetName val="ПДР_ООО_&quot;Юкос_ФБЦ&quot;"/>
      <sheetName val="Исполнение__освоение_по_закупк_"/>
      <sheetName val="Исполнение_для_Ускова"/>
      <sheetName val="Выборка_по_отсыпкам"/>
      <sheetName val="ИП__отсыпки_"/>
      <sheetName val="ИП__отсыпки_ФОТ_диз_т_"/>
      <sheetName val="ИП__отсыпки___выборка_"/>
      <sheetName val="Исполнение_по_оборуд_"/>
      <sheetName val="Исполнение_по_оборуд___2_"/>
      <sheetName val="Исполнение_сжато"/>
      <sheetName val="Форма_для_бурения"/>
      <sheetName val="Форма_для_КС"/>
      <sheetName val="Форма_для_ГР"/>
      <sheetName val="Прибыль_опл"/>
      <sheetName val="Амур_ДОН"/>
      <sheetName val="кп_ГК"/>
      <sheetName val="исходные_данные"/>
      <sheetName val="расчетные_таблицы"/>
      <sheetName val="свод_3"/>
      <sheetName val="Капитальные_затраты"/>
      <sheetName val="Зап-3-_СЦБ"/>
      <sheetName val="Коэфф1_2"/>
      <sheetName val="ц_1991"/>
      <sheetName val="СметаСводная Рыб"/>
      <sheetName val="Destination"/>
      <sheetName val="2.2 "/>
      <sheetName val="начало"/>
      <sheetName val="вариант"/>
      <sheetName val="геол_доп.бурение"/>
      <sheetName val="basa"/>
      <sheetName val="исх-данные"/>
      <sheetName val="УКП"/>
      <sheetName val="Glossary"/>
      <sheetName val="8"/>
      <sheetName val="ПЭО"/>
      <sheetName val="Титул"/>
      <sheetName val="Свод объем"/>
      <sheetName val="Коэфф1_3"/>
      <sheetName val="в_работу1"/>
      <sheetName val="Нижний_ур_1"/>
      <sheetName val="Нижний_NEW1"/>
      <sheetName val="Прайс_лист1"/>
      <sheetName val="13_11"/>
      <sheetName val="СМЕТА_проект1"/>
      <sheetName val="Все_ОС1"/>
      <sheetName val="к_84-к_831"/>
      <sheetName val="Данные_для_расчёта_сметы1"/>
      <sheetName val="HP_и_оргтехника1"/>
      <sheetName val="Пример_расчета1"/>
      <sheetName val="Лист_опроса1"/>
      <sheetName val="COS&amp;_SG&amp;A_Classification1"/>
      <sheetName val="свод_21"/>
      <sheetName val="КП_(2)1"/>
      <sheetName val="ПДР_ООО_&quot;Юкос_ФБЦ&quot;1"/>
      <sheetName val="Исполнение__освоение_по_закупк1"/>
      <sheetName val="Исполнение_для_Ускова1"/>
      <sheetName val="Выборка_по_отсыпкам1"/>
      <sheetName val="ИП__отсыпки_1"/>
      <sheetName val="ИП__отсыпки_ФОТ_диз_т_1"/>
      <sheetName val="ИП__отсыпки___выборка_1"/>
      <sheetName val="Исполнение_по_оборуд_1"/>
      <sheetName val="Исполнение_по_оборуд___2_1"/>
      <sheetName val="Исполнение_сжато1"/>
      <sheetName val="Форма_для_бурения1"/>
      <sheetName val="Форма_для_КС1"/>
      <sheetName val="Форма_для_ГР1"/>
      <sheetName val="Прибыль_опл1"/>
      <sheetName val="Амур_ДОН1"/>
      <sheetName val="кп_ГК1"/>
      <sheetName val="исходные_данные1"/>
      <sheetName val="расчетные_таблицы1"/>
      <sheetName val="свод_31"/>
      <sheetName val="Капитальные_затраты1"/>
      <sheetName val="Зап-3-_СЦБ1"/>
      <sheetName val="Б_Сатка"/>
      <sheetName val="УП__2004"/>
      <sheetName val="Дополнительные_параметры"/>
      <sheetName val="Огл__Графиков"/>
      <sheetName val="Текущие_цены"/>
      <sheetName val="Opex_personnel_(Term_facs)"/>
      <sheetName val="№5_СУБ_Инж_защ"/>
      <sheetName val="СметаСводная_Рыб"/>
      <sheetName val="2_2_"/>
      <sheetName val="СметаСводная павильон"/>
      <sheetName val="OtSobstOil_short"/>
      <sheetName val="Свод_объем"/>
      <sheetName val="data"/>
      <sheetName val="геол_доп_бурение"/>
      <sheetName val="Коэф"/>
      <sheetName val="ekdeb90"/>
      <sheetName val="Коэфф1_4"/>
      <sheetName val="в_работу2"/>
      <sheetName val="Нижний_ур_2"/>
      <sheetName val="Нижний_NEW2"/>
      <sheetName val="Прайс_лист2"/>
      <sheetName val="13_12"/>
      <sheetName val="СМЕТА_проект2"/>
      <sheetName val="Все_ОС2"/>
      <sheetName val="к_84-к_832"/>
      <sheetName val="HP_и_оргтехника2"/>
      <sheetName val="Данные_для_расчёта_сметы2"/>
      <sheetName val="Пример_расчета2"/>
      <sheetName val="Лист_опроса2"/>
      <sheetName val="COS&amp;_SG&amp;A_Classification2"/>
      <sheetName val="свод_22"/>
      <sheetName val="КП_(2)2"/>
      <sheetName val="ПДР_ООО_&quot;Юкос_ФБЦ&quot;2"/>
      <sheetName val="Исполнение__освоение_по_закупк2"/>
      <sheetName val="Исполнение_для_Ускова2"/>
      <sheetName val="Выборка_по_отсыпкам2"/>
      <sheetName val="ИП__отсыпки_2"/>
      <sheetName val="ИП__отсыпки_ФОТ_диз_т_2"/>
      <sheetName val="ИП__отсыпки___выборка_2"/>
      <sheetName val="Исполнение_по_оборуд_2"/>
      <sheetName val="Исполнение_по_оборуд___2_2"/>
      <sheetName val="Исполнение_сжато2"/>
      <sheetName val="Форма_для_бурения2"/>
      <sheetName val="Форма_для_КС2"/>
      <sheetName val="Форма_для_ГР2"/>
      <sheetName val="Прибыль_опл2"/>
      <sheetName val="Амур_ДОН2"/>
      <sheetName val="кп_ГК2"/>
      <sheetName val="исходные_данные2"/>
      <sheetName val="расчетные_таблицы2"/>
      <sheetName val="свод_32"/>
      <sheetName val="Капитальные_затраты2"/>
      <sheetName val="Зап-3-_СЦБ2"/>
      <sheetName val="Б_Сатка1"/>
      <sheetName val="УП__20041"/>
      <sheetName val="Дополнительные_параметры1"/>
      <sheetName val="Огл__Графиков1"/>
      <sheetName val="Текущие_цены1"/>
      <sheetName val="Opex_personnel_(Term_facs)1"/>
      <sheetName val="№5_СУБ_Инж_защ1"/>
      <sheetName val="СметаСводная_Рыб1"/>
      <sheetName val="2_2_1"/>
      <sheetName val="Свод_объем1"/>
      <sheetName val="СметаСводная_павильон"/>
      <sheetName val="К.С.М."/>
      <sheetName val="Ф"/>
      <sheetName val="I__DELIVERY___________________2"/>
      <sheetName val="Base"/>
      <sheetName val="4"/>
      <sheetName val="5"/>
      <sheetName val="6"/>
      <sheetName val="9"/>
      <sheetName val="Эксперт"/>
      <sheetName val="ГГЦ_10"/>
      <sheetName val="ГПИ_11"/>
      <sheetName val="1"/>
      <sheetName val="D"/>
      <sheetName val="ГПИ_11 (1)"/>
      <sheetName val="Коэфф1_5"/>
      <sheetName val="Прайс_лист3"/>
      <sheetName val="в_работу3"/>
      <sheetName val="Нижний_ур_3"/>
      <sheetName val="Нижний_NEW3"/>
      <sheetName val="13_13"/>
      <sheetName val="СМЕТА_проект3"/>
      <sheetName val="Все_ОС3"/>
      <sheetName val="к_84-к_833"/>
      <sheetName val="HP_и_оргтехника3"/>
      <sheetName val="Данные_для_расчёта_сметы3"/>
      <sheetName val="Пример_расчета3"/>
      <sheetName val="Лист_опроса3"/>
      <sheetName val="COS&amp;_SG&amp;A_Classification3"/>
      <sheetName val="свод_23"/>
      <sheetName val="КП_(2)3"/>
      <sheetName val="геол_доп_бурение1"/>
      <sheetName val="ПДР_ООО_&quot;Юкос_ФБЦ&quot;3"/>
      <sheetName val="Исполнение__освоение_по_закупк3"/>
      <sheetName val="Исполнение_для_Ускова3"/>
      <sheetName val="Выборка_по_отсыпкам3"/>
      <sheetName val="ИП__отсыпки_3"/>
      <sheetName val="ИП__отсыпки_ФОТ_диз_т_3"/>
      <sheetName val="ИП__отсыпки___выборка_3"/>
      <sheetName val="Исполнение_по_оборуд_3"/>
      <sheetName val="Исполнение_по_оборуд___2_3"/>
      <sheetName val="Исполнение_сжато3"/>
      <sheetName val="Форма_для_бурения3"/>
      <sheetName val="Форма_для_КС3"/>
      <sheetName val="Форма_для_ГР3"/>
      <sheetName val="Прибыль_опл3"/>
      <sheetName val="Амур_ДОН3"/>
      <sheetName val="кп_ГК3"/>
      <sheetName val="исходные_данные3"/>
      <sheetName val="расчетные_таблицы3"/>
      <sheetName val="свод_33"/>
      <sheetName val="Капитальные_затраты3"/>
      <sheetName val="Зап-3-_СЦБ3"/>
      <sheetName val="Б_Сатка2"/>
      <sheetName val="УП__20042"/>
      <sheetName val="Дополнительные_параметры2"/>
      <sheetName val="Огл__Графиков2"/>
      <sheetName val="Текущие_цены2"/>
      <sheetName val="Opex_personnel_(Term_facs)2"/>
      <sheetName val="№5_СУБ_Инж_защ2"/>
      <sheetName val="СметаСводная_Рыб2"/>
      <sheetName val="2_2_2"/>
      <sheetName val="Свод_объем2"/>
      <sheetName val="СметаСводная_павильон1"/>
      <sheetName val="К_С_М_"/>
      <sheetName val="Коэфф1_6"/>
      <sheetName val="Прайс_лист4"/>
      <sheetName val="в_работу4"/>
      <sheetName val="Нижний_ур_4"/>
      <sheetName val="Нижний_NEW4"/>
      <sheetName val="13_14"/>
      <sheetName val="СМЕТА_проект4"/>
      <sheetName val="Все_ОС4"/>
      <sheetName val="к_84-к_834"/>
      <sheetName val="HP_и_оргтехника4"/>
      <sheetName val="Данные_для_расчёта_сметы4"/>
      <sheetName val="Пример_расчета4"/>
      <sheetName val="COS&amp;_SG&amp;A_Classification4"/>
      <sheetName val="Лист_опроса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ow r="23">
          <cell r="E23">
            <v>30</v>
          </cell>
        </row>
      </sheetData>
      <sheetData sheetId="177">
        <row r="23">
          <cell r="E23">
            <v>30</v>
          </cell>
        </row>
      </sheetData>
      <sheetData sheetId="178">
        <row r="23">
          <cell r="E23">
            <v>30</v>
          </cell>
        </row>
      </sheetData>
      <sheetData sheetId="179">
        <row r="23">
          <cell r="E23">
            <v>30</v>
          </cell>
        </row>
      </sheetData>
      <sheetData sheetId="180">
        <row r="23">
          <cell r="E23">
            <v>30</v>
          </cell>
        </row>
      </sheetData>
      <sheetData sheetId="181">
        <row r="23">
          <cell r="E23">
            <v>30</v>
          </cell>
        </row>
      </sheetData>
      <sheetData sheetId="182">
        <row r="23">
          <cell r="E23">
            <v>30</v>
          </cell>
        </row>
      </sheetData>
      <sheetData sheetId="183">
        <row r="23">
          <cell r="E23">
            <v>30</v>
          </cell>
        </row>
      </sheetData>
      <sheetData sheetId="184">
        <row r="23">
          <cell r="E23">
            <v>30</v>
          </cell>
        </row>
      </sheetData>
      <sheetData sheetId="185">
        <row r="23">
          <cell r="E23">
            <v>30</v>
          </cell>
        </row>
      </sheetData>
      <sheetData sheetId="186">
        <row r="23">
          <cell r="E23">
            <v>30</v>
          </cell>
        </row>
      </sheetData>
      <sheetData sheetId="187">
        <row r="23">
          <cell r="E23">
            <v>30</v>
          </cell>
        </row>
      </sheetData>
      <sheetData sheetId="188">
        <row r="23">
          <cell r="E23">
            <v>30</v>
          </cell>
        </row>
      </sheetData>
      <sheetData sheetId="189">
        <row r="23">
          <cell r="E23">
            <v>30</v>
          </cell>
        </row>
      </sheetData>
      <sheetData sheetId="190">
        <row r="23">
          <cell r="E23">
            <v>30</v>
          </cell>
        </row>
      </sheetData>
      <sheetData sheetId="191">
        <row r="23">
          <cell r="E23">
            <v>30</v>
          </cell>
        </row>
      </sheetData>
      <sheetData sheetId="192">
        <row r="23">
          <cell r="E23">
            <v>30</v>
          </cell>
        </row>
      </sheetData>
      <sheetData sheetId="193">
        <row r="23">
          <cell r="E23">
            <v>30</v>
          </cell>
        </row>
      </sheetData>
      <sheetData sheetId="194">
        <row r="23">
          <cell r="E23">
            <v>30</v>
          </cell>
        </row>
      </sheetData>
      <sheetData sheetId="195">
        <row r="23">
          <cell r="E23">
            <v>30</v>
          </cell>
        </row>
      </sheetData>
      <sheetData sheetId="196">
        <row r="23">
          <cell r="E23">
            <v>30</v>
          </cell>
        </row>
      </sheetData>
      <sheetData sheetId="197">
        <row r="23">
          <cell r="E23">
            <v>30</v>
          </cell>
        </row>
      </sheetData>
      <sheetData sheetId="198">
        <row r="23">
          <cell r="E23">
            <v>30</v>
          </cell>
        </row>
      </sheetData>
      <sheetData sheetId="199">
        <row r="23">
          <cell r="E23">
            <v>30</v>
          </cell>
        </row>
      </sheetData>
      <sheetData sheetId="200">
        <row r="23">
          <cell r="E23">
            <v>30</v>
          </cell>
        </row>
      </sheetData>
      <sheetData sheetId="201">
        <row r="23">
          <cell r="E23">
            <v>30</v>
          </cell>
        </row>
      </sheetData>
      <sheetData sheetId="202">
        <row r="23">
          <cell r="E23">
            <v>30</v>
          </cell>
        </row>
      </sheetData>
      <sheetData sheetId="203">
        <row r="23">
          <cell r="E23">
            <v>30</v>
          </cell>
        </row>
      </sheetData>
      <sheetData sheetId="204">
        <row r="23">
          <cell r="E23">
            <v>30</v>
          </cell>
        </row>
      </sheetData>
      <sheetData sheetId="205">
        <row r="23">
          <cell r="E23">
            <v>30</v>
          </cell>
        </row>
      </sheetData>
      <sheetData sheetId="206">
        <row r="23">
          <cell r="E23">
            <v>30</v>
          </cell>
        </row>
      </sheetData>
      <sheetData sheetId="207">
        <row r="23">
          <cell r="E23">
            <v>30</v>
          </cell>
        </row>
      </sheetData>
      <sheetData sheetId="208">
        <row r="23">
          <cell r="E23">
            <v>30</v>
          </cell>
        </row>
      </sheetData>
      <sheetData sheetId="209">
        <row r="23">
          <cell r="E23">
            <v>30</v>
          </cell>
        </row>
      </sheetData>
      <sheetData sheetId="210">
        <row r="23">
          <cell r="E23">
            <v>30</v>
          </cell>
        </row>
      </sheetData>
      <sheetData sheetId="211">
        <row r="23">
          <cell r="E23">
            <v>30</v>
          </cell>
        </row>
      </sheetData>
      <sheetData sheetId="212">
        <row r="23">
          <cell r="E23">
            <v>30</v>
          </cell>
        </row>
      </sheetData>
      <sheetData sheetId="213">
        <row r="23">
          <cell r="E23">
            <v>30</v>
          </cell>
        </row>
      </sheetData>
      <sheetData sheetId="214">
        <row r="23">
          <cell r="E23">
            <v>30</v>
          </cell>
        </row>
      </sheetData>
      <sheetData sheetId="215">
        <row r="23">
          <cell r="E23">
            <v>30</v>
          </cell>
        </row>
      </sheetData>
      <sheetData sheetId="216">
        <row r="23">
          <cell r="E23">
            <v>30</v>
          </cell>
        </row>
      </sheetData>
      <sheetData sheetId="217">
        <row r="23">
          <cell r="E23">
            <v>30</v>
          </cell>
        </row>
      </sheetData>
      <sheetData sheetId="218">
        <row r="23">
          <cell r="E23">
            <v>30</v>
          </cell>
        </row>
      </sheetData>
      <sheetData sheetId="219">
        <row r="23">
          <cell r="E23">
            <v>30</v>
          </cell>
        </row>
      </sheetData>
      <sheetData sheetId="220">
        <row r="23">
          <cell r="E23">
            <v>30</v>
          </cell>
        </row>
      </sheetData>
      <sheetData sheetId="221">
        <row r="23">
          <cell r="E23">
            <v>30</v>
          </cell>
        </row>
      </sheetData>
      <sheetData sheetId="222" refreshError="1"/>
      <sheetData sheetId="223"/>
      <sheetData sheetId="224">
        <row r="23">
          <cell r="E23">
            <v>30</v>
          </cell>
        </row>
      </sheetData>
      <sheetData sheetId="225" refreshError="1"/>
      <sheetData sheetId="226">
        <row r="23">
          <cell r="E23">
            <v>30</v>
          </cell>
        </row>
      </sheetData>
      <sheetData sheetId="227" refreshError="1"/>
      <sheetData sheetId="228" refreshError="1"/>
      <sheetData sheetId="229">
        <row r="23">
          <cell r="E23">
            <v>30</v>
          </cell>
        </row>
      </sheetData>
      <sheetData sheetId="230"/>
      <sheetData sheetId="231"/>
      <sheetData sheetId="232"/>
      <sheetData sheetId="233">
        <row r="23">
          <cell r="E23">
            <v>30</v>
          </cell>
        </row>
      </sheetData>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row r="23">
          <cell r="E23">
            <v>30</v>
          </cell>
        </row>
      </sheetData>
      <sheetData sheetId="275"/>
      <sheetData sheetId="276">
        <row r="23">
          <cell r="E23">
            <v>30</v>
          </cell>
        </row>
      </sheetData>
      <sheetData sheetId="277" refreshError="1"/>
      <sheetData sheetId="278" refreshError="1"/>
      <sheetData sheetId="279"/>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ow r="23">
          <cell r="E23">
            <v>30</v>
          </cell>
        </row>
      </sheetData>
      <sheetData sheetId="292">
        <row r="23">
          <cell r="E23">
            <v>30</v>
          </cell>
        </row>
      </sheetData>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row r="23">
          <cell r="E23">
            <v>30</v>
          </cell>
        </row>
      </sheetData>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Ик"/>
    </sheetNames>
    <sheetDataSet>
      <sheetData sheetId="0" refreshError="1"/>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Ик"/>
    </sheetNames>
    <sheetDataSet>
      <sheetData sheetId="0" refreshError="1"/>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Ик 2006"/>
      <sheetName val="Амур ДОН"/>
      <sheetName val="ВСТО РП  км 570 - км 1088"/>
      <sheetName val="ВСТО ВЛ вдол  км 570 - км 1088 "/>
      <sheetName val="Сопутствующие сооружения"/>
      <sheetName val="Причалы"/>
      <sheetName val="ВСТО ОИ км 570 - км 1088 "/>
      <sheetName val="ВСТО 500км - 160 рек"/>
      <sheetName val="14 рек ОИ"/>
      <sheetName val="14 рек ТЭО"/>
      <sheetName val="14рек РД"/>
      <sheetName val="Амур ОИ (2 вар.)"/>
      <sheetName val="Амур ТЭО"/>
      <sheetName val="Амур РП"/>
      <sheetName val="Д2-246 (2)"/>
      <sheetName val="Д1-252  (2)"/>
      <sheetName val="Д 1 -253 (2)"/>
      <sheetName val="Д 2 -253 (2)"/>
      <sheetName val="Д 2-285 (2)"/>
      <sheetName val="Д 2-497 (2)"/>
      <sheetName val="Д 2-499 (2)"/>
      <sheetName val="Д 1-565 (3)"/>
      <sheetName val="Д 1-565 (4)"/>
      <sheetName val="Дон Др.1"/>
      <sheetName val="Перевозная исп"/>
      <sheetName val="Перевозная2"/>
      <sheetName val="ВЛ Филино"/>
      <sheetName val="ВСТО 2700-2850"/>
      <sheetName val="Иркутская"/>
      <sheetName val="Бурятия"/>
      <sheetName val="Чита"/>
      <sheetName val="Хабаровский"/>
      <sheetName val="Приморский"/>
      <sheetName val="Перевозная"/>
      <sheetName val="Эстакада"/>
      <sheetName val="Овраг"/>
      <sheetName val="ВСТОисп"/>
      <sheetName val="От п.ст. 119"/>
      <sheetName val="Пл.рег.давл."/>
      <sheetName val="от НПС Коломна"/>
      <sheetName val="От фидера Индустрия"/>
      <sheetName val="НПС1 с Печ"/>
      <sheetName val="Кожва-НПС1"/>
      <sheetName val="ПС 220-100"/>
      <sheetName val="ВЛ Ухта-НПС2"/>
      <sheetName val="ВЛ Стэц-НПС2 (2)"/>
      <sheetName val="ВЛ 110 -ПС Ухта"/>
      <sheetName val="ПС 100 при НПС 2"/>
      <sheetName val="Климат"/>
      <sheetName val="Климат-Волга"/>
      <sheetName val="Кудьма"/>
      <sheetName val="Волга"/>
      <sheetName val="ВЛ 155-157ис.г"/>
      <sheetName val="ОтНПС Коломна Сев.Кол.Исп.гид"/>
      <sheetName val="Дружба овраги"/>
      <sheetName val="Д2 -134"/>
      <sheetName val="Д2-246"/>
      <sheetName val="Д1-252 "/>
      <sheetName val="Д 1 -253"/>
      <sheetName val="Д 2 -253"/>
      <sheetName val="Д 2-285"/>
      <sheetName val="Д 2-497"/>
      <sheetName val="Д 2-499"/>
      <sheetName val="Д 1-565"/>
      <sheetName val="Сестрорецкая"/>
      <sheetName val="ДОН Печора"/>
      <sheetName val="ТЭО Печора"/>
      <sheetName val="ОИ Печора "/>
      <sheetName val="ОИ Хар-Инд"/>
      <sheetName val="ТЭО Хар-Инд "/>
      <sheetName val="ОИ Печора  (2)"/>
      <sheetName val="ОИ Хар-Инд (2)"/>
      <sheetName val="ТЭО Хар-Инд  (2)"/>
      <sheetName val="ТОН-2"/>
      <sheetName val="Курган-кольца"/>
      <sheetName val="Реки Брянск(пртр)"/>
      <sheetName val="Сур-Ал(РД)"/>
      <sheetName val="Сур-Ал(ТЭО)"/>
      <sheetName val="Сур-Ал(ОИ)"/>
      <sheetName val="Сур-Ал(ДОН)"/>
      <sheetName val="Мал. водоток-Урал"/>
      <sheetName val="Урал"/>
      <sheetName val="Теребутинец-2"/>
      <sheetName val="Теребутинец-1"/>
      <sheetName val="Левочка-2"/>
      <sheetName val="Левочка-1"/>
      <sheetName val="Китай РД "/>
      <sheetName val="Амур РД"/>
      <sheetName val="ВСТО-Казьмино"/>
      <sheetName val="ВОЛС-Лен"/>
      <sheetName val="ВОЛС-Тв"/>
      <sheetName val="Дичня"/>
      <sheetName val="Бор-Подб"/>
      <sheetName val="Пест-Бык"/>
      <sheetName val="Юб-Пест"/>
      <sheetName val="Кириши-ГРЭС-19"/>
      <sheetName val="2436"/>
      <sheetName val="Самара"/>
      <sheetName val="Волга241"/>
      <sheetName val="Волга2093"/>
      <sheetName val="Вала"/>
      <sheetName val="Сок"/>
      <sheetName val="Вятка"/>
      <sheetName val="Св.Нос"/>
      <sheetName val="Мурманск(М)"/>
      <sheetName val="Southvar"/>
      <sheetName val="Pechёra"/>
      <sheetName val="Obь"/>
      <sheetName val="SevDv"/>
      <sheetName val="KemOz"/>
      <sheetName val="Ozero"/>
      <sheetName val="Меша"/>
      <sheetName val="Пахра"/>
      <sheetName val="Kanzal"/>
      <sheetName val="Vыmь"/>
      <sheetName val="Pinega"/>
      <sheetName val="Onega"/>
      <sheetName val="Belkanal"/>
      <sheetName val="Vesliana"/>
      <sheetName val="Kemь"/>
      <sheetName val="Est-Niva"/>
      <sheetName val="Ichma"/>
      <sheetName val="Uhta"/>
      <sheetName val="ВОЛС-Яр"/>
      <sheetName val="Смета (3)"/>
      <sheetName val="ВОЛС-Нов"/>
      <sheetName val="791-797 БТС"/>
      <sheetName val="Ик_2006"/>
      <sheetName val="Амур_ДОН"/>
      <sheetName val="ВСТО_РП__км_570_-_км_1088"/>
      <sheetName val="ВСТО_ВЛ_вдол__км_570_-_км_1088_"/>
      <sheetName val="Сопутствующие_сооружения"/>
      <sheetName val="ВСТО_ОИ_км_570_-_км_1088_"/>
      <sheetName val="ВСТО_500км_-_160_рек"/>
      <sheetName val="14_рек_ОИ"/>
      <sheetName val="14_рек_ТЭО"/>
      <sheetName val="14рек_РД"/>
      <sheetName val="Амур_ОИ_(2_вар_)"/>
      <sheetName val="Амур_ТЭО"/>
      <sheetName val="Амур_РП"/>
      <sheetName val="Д2-246_(2)"/>
      <sheetName val="Д1-252__(2)"/>
      <sheetName val="Д_1_-253_(2)"/>
      <sheetName val="Д_2_-253_(2)"/>
      <sheetName val="Д_2-285_(2)"/>
      <sheetName val="Д_2-497_(2)"/>
      <sheetName val="Д_2-499_(2)"/>
      <sheetName val="Д_1-565_(3)"/>
      <sheetName val="Д_1-565_(4)"/>
      <sheetName val="Дон_Др_1"/>
      <sheetName val="Перевозная_исп"/>
      <sheetName val="ВЛ_Филино"/>
      <sheetName val="ВСТО_2700-2850"/>
      <sheetName val="От_п_ст__119"/>
      <sheetName val="Пл_рег_давл_"/>
      <sheetName val="от_НПС_Коломна"/>
      <sheetName val="От_фидера_Индустрия"/>
      <sheetName val="НПС1_с_Печ"/>
      <sheetName val="ПС_220-100"/>
      <sheetName val="ВЛ_Ухта-НПС2"/>
      <sheetName val="ВЛ_Стэц-НПС2_(2)"/>
      <sheetName val="ВЛ_110_-ПС_Ухта"/>
      <sheetName val="ПС_100_при_НПС_2"/>
      <sheetName val="ВЛ_155-157ис_г"/>
      <sheetName val="ОтНПС_Коломна_Сев_Кол_Исп_гид"/>
      <sheetName val="Дружба_овраги"/>
      <sheetName val="Д2_-134"/>
      <sheetName val="Д1-252_"/>
      <sheetName val="Д_1_-253"/>
      <sheetName val="Д_2_-253"/>
      <sheetName val="Д_2-285"/>
      <sheetName val="Д_2-497"/>
      <sheetName val="Д_2-499"/>
      <sheetName val="Д_1-565"/>
      <sheetName val="ДОН_Печора"/>
      <sheetName val="ТЭО_Печора"/>
      <sheetName val="ОИ_Печора_"/>
      <sheetName val="ОИ_Хар-Инд"/>
      <sheetName val="ТЭО_Хар-Инд_"/>
      <sheetName val="ОИ_Печора__(2)"/>
      <sheetName val="ОИ_Хар-Инд_(2)"/>
      <sheetName val="ТЭО_Хар-Инд__(2)"/>
      <sheetName val="Реки_Брянск(пртр)"/>
      <sheetName val="Мал__водоток-Урал"/>
      <sheetName val="Китай_РД_"/>
      <sheetName val="Амур_РД"/>
      <sheetName val="Св_Нос"/>
      <sheetName val="Смета_(3)"/>
      <sheetName val="791-797_БТ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Ик 2006"/>
      <sheetName val="Амур ДОН"/>
      <sheetName val="ВСТО РП  км 570 - км 1088"/>
      <sheetName val="ВСТО ВЛ вдол  км 570 - км 1088 "/>
      <sheetName val="Сопутствующие сооружения"/>
      <sheetName val="Причалы"/>
      <sheetName val="ВСТО ОИ км 570 - км 1088 "/>
      <sheetName val="ВСТО 500км - 160 рек"/>
      <sheetName val="14 рек ОИ"/>
      <sheetName val="14 рек ТЭО"/>
      <sheetName val="14рек РД"/>
      <sheetName val="Амур ОИ (2 вар.)"/>
      <sheetName val="Амур ТЭО"/>
      <sheetName val="Амур РП"/>
      <sheetName val="Д2-246 (2)"/>
      <sheetName val="Д1-252  (2)"/>
      <sheetName val="Д 1 -253 (2)"/>
      <sheetName val="Д 2 -253 (2)"/>
      <sheetName val="Д 2-285 (2)"/>
      <sheetName val="Д 2-497 (2)"/>
      <sheetName val="Д 2-499 (2)"/>
      <sheetName val="Д 1-565 (3)"/>
      <sheetName val="Д 1-565 (4)"/>
      <sheetName val="Дон Др.1"/>
      <sheetName val="Перевозная исп"/>
      <sheetName val="Перевозная2"/>
      <sheetName val="ВЛ Филино"/>
      <sheetName val="ВСТО 2700-2850"/>
      <sheetName val="Иркутская"/>
      <sheetName val="Бурятия"/>
      <sheetName val="Чита"/>
      <sheetName val="Хабаровский"/>
      <sheetName val="Приморский"/>
      <sheetName val="Перевозная"/>
      <sheetName val="Эстакада"/>
      <sheetName val="Овраг"/>
      <sheetName val="ВСТОисп"/>
      <sheetName val="От п.ст. 119"/>
      <sheetName val="Пл.рег.давл."/>
      <sheetName val="от НПС Коломна"/>
      <sheetName val="От фидера Индустрия"/>
      <sheetName val="НПС1 с Печ"/>
      <sheetName val="Кожва-НПС1"/>
      <sheetName val="ПС 220-100"/>
      <sheetName val="ВЛ Ухта-НПС2"/>
      <sheetName val="ВЛ Стэц-НПС2 (2)"/>
      <sheetName val="ВЛ 110 -ПС Ухта"/>
      <sheetName val="ПС 100 при НПС 2"/>
      <sheetName val="Климат"/>
      <sheetName val="Климат-Волга"/>
      <sheetName val="Кудьма"/>
      <sheetName val="Волга"/>
      <sheetName val="ВЛ 155-157ис.г"/>
      <sheetName val="ОтНПС Коломна Сев.Кол.Исп.гид"/>
      <sheetName val="Дружба овраги"/>
      <sheetName val="Д2 -134"/>
      <sheetName val="Д2-246"/>
      <sheetName val="Д1-252 "/>
      <sheetName val="Д 1 -253"/>
      <sheetName val="Д 2 -253"/>
      <sheetName val="Д 2-285"/>
      <sheetName val="Д 2-497"/>
      <sheetName val="Д 2-499"/>
      <sheetName val="Д 1-565"/>
      <sheetName val="Сестрорецкая"/>
      <sheetName val="ДОН Печора"/>
      <sheetName val="ТЭО Печора"/>
      <sheetName val="ОИ Печора "/>
      <sheetName val="ОИ Хар-Инд"/>
      <sheetName val="ТЭО Хар-Инд "/>
      <sheetName val="ОИ Печора  (2)"/>
      <sheetName val="ОИ Хар-Инд (2)"/>
      <sheetName val="ТЭО Хар-Инд  (2)"/>
      <sheetName val="ТОН-2"/>
      <sheetName val="Курган-кольца"/>
      <sheetName val="Реки Брянск(пртр)"/>
      <sheetName val="Сур-Ал(РД)"/>
      <sheetName val="Сур-Ал(ТЭО)"/>
      <sheetName val="Сур-Ал(ОИ)"/>
      <sheetName val="Сур-Ал(ДОН)"/>
      <sheetName val="Мал. водоток-Урал"/>
      <sheetName val="Урал"/>
      <sheetName val="Теребутинец-2"/>
      <sheetName val="Теребутинец-1"/>
      <sheetName val="Левочка-2"/>
      <sheetName val="Левочка-1"/>
      <sheetName val="Китай РД "/>
      <sheetName val="Амур РД"/>
      <sheetName val="ВСТО-Казьмино"/>
      <sheetName val="ВОЛС-Лен"/>
      <sheetName val="ВОЛС-Тв"/>
      <sheetName val="Дичня"/>
      <sheetName val="Бор-Подб"/>
      <sheetName val="Пест-Бык"/>
      <sheetName val="Юб-Пест"/>
      <sheetName val="Кириши-ГРЭС-19"/>
      <sheetName val="2436"/>
      <sheetName val="Самара"/>
      <sheetName val="Волга241"/>
      <sheetName val="Волга2093"/>
      <sheetName val="Вала"/>
      <sheetName val="Сок"/>
      <sheetName val="Вятка"/>
      <sheetName val="Св.Нос"/>
      <sheetName val="Мурманск(М)"/>
      <sheetName val="Southvar"/>
      <sheetName val="Pechёra"/>
      <sheetName val="Obь"/>
      <sheetName val="SevDv"/>
      <sheetName val="KemOz"/>
      <sheetName val="Ozero"/>
      <sheetName val="Меша"/>
      <sheetName val="Пахра"/>
      <sheetName val="Kanzal"/>
      <sheetName val="Vыmь"/>
      <sheetName val="Pinega"/>
      <sheetName val="Onega"/>
      <sheetName val="Belkanal"/>
      <sheetName val="Vesliana"/>
      <sheetName val="Kemь"/>
      <sheetName val="Est-Niva"/>
      <sheetName val="Ichma"/>
      <sheetName val="Uhta"/>
      <sheetName val="ВОЛС-Яр"/>
      <sheetName val="Смета (3)"/>
      <sheetName val="ВОЛС-Нов"/>
      <sheetName val="791-797 БТ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1"/>
      <sheetName val="259-290"/>
      <sheetName val="р.Волхов"/>
      <sheetName val="р.Нева"/>
      <sheetName val="р.Молога"/>
      <sheetName val="518-540"/>
      <sheetName val="470-518"/>
      <sheetName val="365-405"/>
      <sheetName val="290-365"/>
      <sheetName val="157-259"/>
      <sheetName val="132-157"/>
      <sheetName val="405-470"/>
      <sheetName val="111-132"/>
      <sheetName val="93-110"/>
      <sheetName val="111"/>
      <sheetName val="Сахалин"/>
      <sheetName val="Чумляк"/>
      <sheetName val="18 рек Ю-Х"/>
      <sheetName val="нпс Палкино"/>
      <sheetName val="Россия - Китай"/>
      <sheetName val="КМ 210-238"/>
      <sheetName val="БТС-2 км 405-459"/>
      <sheetName val="БТС-2 км 405-453"/>
      <sheetName val="БТС-2 км 313-352"/>
      <sheetName val="БТС-2 км326-352"/>
      <sheetName val="Улейма И"/>
      <sheetName val="Белая УБКА"/>
      <sheetName val="Уфа"/>
      <sheetName val="км 72-75р.Левоннька"/>
      <sheetName val="dgghg"/>
      <sheetName val="бтс-2"/>
      <sheetName val="колва"/>
      <sheetName val="Чермасан"/>
      <sheetName val="Б.Сатка"/>
      <sheetName val="Корожечна"/>
      <sheetName val="Колтасы-Куйбышев"/>
      <sheetName val="Самара"/>
      <sheetName val="Мишуга"/>
      <sheetName val="киенгоп-н.Челны км 104-206"/>
      <sheetName val="ВЛ Урдома"/>
      <sheetName val="Вл Микунь Урдома"/>
      <sheetName val="ВЛ Синдор-Микунь"/>
      <sheetName val="Тон Чермасан"/>
      <sheetName val="Трасса км 16-147"/>
      <sheetName val="Тверца"/>
      <sheetName val="трасса 0-76"/>
      <sheetName val="Колва 78"/>
      <sheetName val="Гидрология .р.Колва км 38"/>
      <sheetName val="топография"/>
      <sheetName val="топо"/>
      <sheetName val="Обновление"/>
      <sheetName val="Цена"/>
      <sheetName val="Product"/>
      <sheetName val="Шкаф"/>
      <sheetName val="Коэфф1."/>
      <sheetName val="Прайс лист"/>
      <sheetName val="Упр"/>
      <sheetName val="ц_1991"/>
      <sheetName val="информация"/>
      <sheetName val="РС"/>
      <sheetName val="Данные для расчёта сметы"/>
      <sheetName val="СметаСводная"/>
      <sheetName val="свод 2"/>
      <sheetName val="ИГ1"/>
      <sheetName val="См 1 наруж.водопровод"/>
      <sheetName val="свод1"/>
      <sheetName val="СметаСводная Рыб"/>
      <sheetName val="#ССЫЛКА"/>
      <sheetName val="СметаСводная Колпино"/>
      <sheetName val="Материалы"/>
      <sheetName val="шаблон"/>
      <sheetName val="Journals"/>
      <sheetName val="свод 3"/>
      <sheetName val="Восстановл_Лист13"/>
      <sheetName val="Восстановл_Лист15"/>
      <sheetName val="Восстановл_Лист19"/>
      <sheetName val="Восстановл_Лист7"/>
      <sheetName val="Восстановл_Лист5"/>
      <sheetName val="Восстановл_Лист44"/>
      <sheetName val="Восстановл_Лист29"/>
      <sheetName val="Восстановл_Лист6"/>
      <sheetName val="Восстановл_Лист2"/>
      <sheetName val="Восстановл_Лист4"/>
      <sheetName val="Восстановл_Лист8"/>
      <sheetName val="Восстановл_Лист45"/>
      <sheetName val="Восстановл_Лист27"/>
      <sheetName val="Восстановл_Лист9"/>
      <sheetName val="Восстановл_Лист10"/>
      <sheetName val="Восстановл_Лист46"/>
      <sheetName val="Восстановл_Лист28"/>
      <sheetName val="Восстановл_Лист11"/>
      <sheetName val="Восстановл_Лист12"/>
      <sheetName val="Восстановл_Лист47"/>
      <sheetName val="Восстановл_Лист14"/>
      <sheetName val="Восстановл_Лист1"/>
      <sheetName val="Восстановл_Лист18"/>
      <sheetName val="Восстановл_Лист21"/>
      <sheetName val="Восстановл_Лист20"/>
      <sheetName val="Восстановл_Лист49"/>
      <sheetName val="Восстановл_Лист25"/>
      <sheetName val="ПДР"/>
      <sheetName val="Norm"/>
      <sheetName val="все"/>
      <sheetName val="ГПК"/>
      <sheetName val="ДКС"/>
      <sheetName val="Етыпур"/>
      <sheetName val="Западн"/>
      <sheetName val="НГКХ"/>
      <sheetName val="ПСП "/>
      <sheetName val="Тобольск"/>
      <sheetName val="УПН"/>
      <sheetName val="Спр_общий"/>
      <sheetName val="Пример расчета"/>
      <sheetName val="Курсы"/>
      <sheetName val="ВКЕ"/>
      <sheetName val="СМЕТА проект"/>
      <sheetName val="РП"/>
      <sheetName val="Сводная смета"/>
      <sheetName val="list"/>
      <sheetName val="Разработка проекта"/>
      <sheetName val="р_Волхов"/>
      <sheetName val="р_Нева"/>
      <sheetName val="р_Молога"/>
      <sheetName val="18_рек_Ю-Х"/>
      <sheetName val="нпс_Палкино"/>
      <sheetName val="Россия_-_Китай"/>
      <sheetName val="КМ_210-238"/>
      <sheetName val="БТС-2_км_405-459"/>
      <sheetName val="БТС-2_км_405-453"/>
      <sheetName val="БТС-2_км_313-352"/>
      <sheetName val="БТС-2_км326-352"/>
      <sheetName val="Улейма_И"/>
      <sheetName val="Белая_УБКА"/>
      <sheetName val="км_72-75р_Левоннька"/>
      <sheetName val="Б_Сатка"/>
      <sheetName val="киенгоп-н_Челны_км_104-206"/>
      <sheetName val="ВЛ_Урдома"/>
      <sheetName val="Вл_Микунь_Урдома"/>
      <sheetName val="ВЛ_Синдор-Микунь"/>
      <sheetName val="Тон_Чермасан"/>
      <sheetName val="Трасса_км_16-147"/>
      <sheetName val="трасса_0-76"/>
      <sheetName val="Колва_78"/>
      <sheetName val="Гидрология__р_Колва_км_38"/>
      <sheetName val="Данные_для_расчёта_сметы"/>
      <sheetName val="свод_3"/>
      <sheetName val="ПСП_"/>
      <sheetName val="Пример_расчета"/>
      <sheetName val="свод_2"/>
      <sheetName val="СМЕТА_проект"/>
      <sheetName val="Сводная_смета"/>
      <sheetName val="Разработка_проекта"/>
      <sheetName val="Main"/>
      <sheetName val="Кл-р SysTel"/>
      <sheetName val="СПРПФ"/>
      <sheetName val="sapactivexlhiddensheet"/>
      <sheetName val="КП Прим (3)"/>
      <sheetName val="1.3"/>
      <sheetName val="Калькуляция_2012"/>
      <sheetName val="1.2.1-Проект"/>
      <sheetName val="Итог"/>
      <sheetName val="см8"/>
      <sheetName val="свод"/>
      <sheetName val="4"/>
      <sheetName val="Землеотвод"/>
      <sheetName val="КП к снег Рыбинская"/>
      <sheetName val="Лист опроса"/>
      <sheetName val="к.84-к.83"/>
      <sheetName val="Summary"/>
      <sheetName val="HP и оргтехника"/>
      <sheetName val="5ОборРабМест(HP)"/>
      <sheetName val="Зап-3- СЦБ"/>
      <sheetName val="СметаСводная павильон"/>
      <sheetName val="сводная"/>
      <sheetName val="OCK1"/>
      <sheetName val="СМ"/>
      <sheetName val="Раб"/>
      <sheetName val="Ap"/>
      <sheetName val="Раб1"/>
      <sheetName val="Штамп"/>
      <sheetName val="Ан"/>
      <sheetName val="Титул"/>
      <sheetName val="СмДок"/>
      <sheetName val="СостРабПр"/>
      <sheetName val="Огл"/>
      <sheetName val="ПЗ"/>
      <sheetName val="ИсхДан"/>
      <sheetName val="С0"/>
      <sheetName val="Л09-02"/>
      <sheetName val="Л09-03"/>
      <sheetName val="16"/>
      <sheetName val="17"/>
      <sheetName val="18"/>
      <sheetName val="SS(4)"/>
      <sheetName val="SS(5)"/>
      <sheetName val="SS(6)"/>
      <sheetName val="SSS"/>
      <sheetName val="SS(7)"/>
      <sheetName val="SS(8)"/>
      <sheetName val="SS(9)"/>
      <sheetName val="SS(10)"/>
      <sheetName val="SS(11)"/>
      <sheetName val="SS(12)"/>
      <sheetName val="SS(13)"/>
      <sheetName val="SS(14)"/>
      <sheetName val="SS(15)"/>
      <sheetName val="SS(16)"/>
      <sheetName val="SS(17)"/>
      <sheetName val="SS(18)"/>
      <sheetName val="SS(19)"/>
      <sheetName val="SS(20)"/>
      <sheetName val="SS(21)"/>
      <sheetName val="SS(22)"/>
      <sheetName val="SS(23)"/>
      <sheetName val="SS(24)"/>
      <sheetName val="SS(25)"/>
      <sheetName val="SS(26)"/>
      <sheetName val="SS(27)"/>
      <sheetName val="SS(28)"/>
      <sheetName val="SS(29)"/>
      <sheetName val="SS(30)"/>
      <sheetName val="SS(31)"/>
      <sheetName val="SS(32)"/>
      <sheetName val="SS(33)"/>
      <sheetName val="SS(34)"/>
      <sheetName val="SS(35)"/>
      <sheetName val="SS(36)"/>
      <sheetName val="SS(37)"/>
      <sheetName val="SS(38)"/>
      <sheetName val="SS(39)"/>
      <sheetName val="SS(40)"/>
      <sheetName val="SS(41)"/>
      <sheetName val="SS(42)"/>
      <sheetName val="SS(43)"/>
      <sheetName val="SS(44)"/>
      <sheetName val="SS(45)"/>
      <sheetName val="SS(46)"/>
      <sheetName val="SS(47)"/>
      <sheetName val="SS(48)"/>
      <sheetName val="SS(49)"/>
      <sheetName val="SS(50)"/>
      <sheetName val="SS(51)"/>
      <sheetName val="SS(52)"/>
      <sheetName val="SS(53)"/>
      <sheetName val="SS(54)"/>
      <sheetName val="SS(55)"/>
      <sheetName val="SS(56)"/>
      <sheetName val="SS(57)"/>
      <sheetName val="SS(58)"/>
      <sheetName val="SS(59)"/>
      <sheetName val="SS(60)"/>
      <sheetName val="SS(61)"/>
      <sheetName val="SS(62)"/>
      <sheetName val="SS(63)"/>
      <sheetName val="SS(64)"/>
      <sheetName val="SS(65)"/>
      <sheetName val="SS(66)"/>
      <sheetName val="SS(67)"/>
      <sheetName val="SS(68)"/>
      <sheetName val="SS(69)"/>
      <sheetName val="SS(70)"/>
      <sheetName val="SS(71)"/>
      <sheetName val="SS(72)"/>
      <sheetName val="SS(73)"/>
      <sheetName val="SS(74)"/>
      <sheetName val="SS(75)"/>
      <sheetName val="SS(76)"/>
      <sheetName val="SS(77)"/>
      <sheetName val="SS(78)"/>
      <sheetName val="SS(79)"/>
      <sheetName val="SS(80)"/>
      <sheetName val="SS(81)"/>
      <sheetName val="SS(82)"/>
      <sheetName val="SS(83)"/>
      <sheetName val="SS(84)"/>
      <sheetName val="SS(85)"/>
      <sheetName val="SS(86)"/>
      <sheetName val="SS(87)"/>
      <sheetName val="SS(88)"/>
      <sheetName val="SS(89)"/>
      <sheetName val="SS(90)"/>
      <sheetName val="SS(91)"/>
      <sheetName val="SS(92)"/>
      <sheetName val="SS(93)"/>
      <sheetName val="SS(94)"/>
      <sheetName val="SS(95)"/>
      <sheetName val="SS(96)"/>
      <sheetName val="SS(97)"/>
      <sheetName val="SS(98)"/>
      <sheetName val="SS(99)"/>
      <sheetName val="SS(100)"/>
      <sheetName val="SS(101)"/>
      <sheetName val="SS(102)"/>
      <sheetName val="SS(103)"/>
      <sheetName val="SS(104)"/>
      <sheetName val="SS(105)"/>
      <sheetName val="SS(106)"/>
      <sheetName val="SS(107)"/>
      <sheetName val="SS(108)"/>
      <sheetName val="SS(109)"/>
      <sheetName val="SS(110)"/>
      <sheetName val="SS(111)"/>
      <sheetName val="SS(112)"/>
      <sheetName val="SS(113)"/>
      <sheetName val="SS(114)"/>
      <sheetName val="SS(115)"/>
      <sheetName val="SS(116)"/>
      <sheetName val="SS(117)"/>
      <sheetName val="SS(118)"/>
      <sheetName val="SS(119)"/>
      <sheetName val="SS(120)"/>
      <sheetName val="SS(121)"/>
      <sheetName val="SS(122)"/>
      <sheetName val="SS(123)"/>
      <sheetName val="SS(124)"/>
      <sheetName val="SS(125)"/>
      <sheetName val="SS(126)"/>
      <sheetName val="SS(127)"/>
      <sheetName val="SS(128)"/>
      <sheetName val="SS(129)"/>
      <sheetName val="SS(130)"/>
      <sheetName val="SS(131)"/>
      <sheetName val="SS(132)"/>
      <sheetName val="SS(133)"/>
      <sheetName val="SS(134)"/>
      <sheetName val="SS(135)"/>
      <sheetName val="SS(136)"/>
      <sheetName val="SS(137)"/>
      <sheetName val="SS(138)"/>
      <sheetName val="SS(139)"/>
      <sheetName val="SS(140)"/>
      <sheetName val="SS(141)"/>
      <sheetName val="SS(142)"/>
      <sheetName val="SS(143)"/>
      <sheetName val="SS(144)"/>
      <sheetName val="SS(145)"/>
      <sheetName val="SS(146)"/>
      <sheetName val="SS(147)"/>
      <sheetName val="SS(148)"/>
      <sheetName val="SS(149)"/>
      <sheetName val="SS(150)"/>
      <sheetName val="SS(151)"/>
      <sheetName val="SS(152)"/>
      <sheetName val="SS(153)"/>
      <sheetName val="SS(154)"/>
      <sheetName val="SS(155)"/>
      <sheetName val="SS(156)"/>
      <sheetName val="SS(157)"/>
      <sheetName val="SS(158)"/>
      <sheetName val="SS(159)"/>
      <sheetName val="SS(160)"/>
      <sheetName val="SS(161)"/>
      <sheetName val="SS(162)"/>
      <sheetName val="SS(163)"/>
      <sheetName val="SS(164)"/>
      <sheetName val="SS(166)"/>
      <sheetName val="Титул1"/>
      <sheetName val="Титул2"/>
      <sheetName val="Титул3"/>
      <sheetName val="НЕДЕЛИ"/>
      <sheetName val="х"/>
      <sheetName val="влад-таблица"/>
      <sheetName val="Стр1По"/>
      <sheetName val="Подрядчики"/>
      <sheetName val="См_1_наруж_водопровод"/>
      <sheetName val="Кл-р_SysTel"/>
      <sheetName val="КП_Прим_(3)"/>
      <sheetName val="1_3"/>
      <sheetName val="СметаСводная_Рыб"/>
      <sheetName val="Таас-Юрях"/>
      <sheetName val="Етыпур-"/>
      <sheetName val="ЗапТарк"/>
      <sheetName val="Приобка"/>
      <sheetName val="ВЖК"/>
      <sheetName val="КП Мак"/>
      <sheetName val="Бюджет"/>
      <sheetName val="гидрология"/>
      <sheetName val="пр_5_1"/>
      <sheetName val="Стр5"/>
      <sheetName val="Стр6"/>
      <sheetName val="Стр7"/>
      <sheetName val="Стр8а"/>
      <sheetName val="Стр9а"/>
      <sheetName val="Стр8б"/>
      <sheetName val="Стр9б"/>
      <sheetName val="Стр8г"/>
      <sheetName val="Стр9г"/>
      <sheetName val="Стр8и"/>
      <sheetName val="Стр9и"/>
      <sheetName val="Стр14"/>
      <sheetName val="Список"/>
      <sheetName val="Иммакр"/>
      <sheetName val="Данные1кв."/>
      <sheetName val="Данные"/>
      <sheetName val="Стр2По"/>
      <sheetName val="Стр3По"/>
      <sheetName val="Стр4По"/>
      <sheetName val="Стр5По"/>
      <sheetName val="Стр6По(а)"/>
      <sheetName val="Стр6По(б)"/>
      <sheetName val="Стр6По(г)"/>
      <sheetName val="Стр6По(и)"/>
      <sheetName val="Стр7По"/>
      <sheetName val="НДС"/>
      <sheetName val="Коэф КВ"/>
      <sheetName val="EKDEB90"/>
      <sheetName val="Стр1"/>
      <sheetName val="ИД"/>
      <sheetName val="январь"/>
      <sheetName val="Лист1"/>
      <sheetName val="База"/>
      <sheetName val="6.52-свод"/>
      <sheetName val="ОБЩЕСТВА"/>
      <sheetName val="План"/>
      <sheetName val="Лист2"/>
      <sheetName val="Гр5(о)"/>
      <sheetName val="Справочник"/>
      <sheetName val="Данные1кв_"/>
      <sheetName val="Коэф_КВ"/>
      <sheetName val="6_52-свод"/>
      <sheetName val="КП НовоКов"/>
      <sheetName val="Калплан Кра"/>
      <sheetName val="изыскания 2"/>
      <sheetName val="КП к ГК"/>
      <sheetName val="Об-15"/>
      <sheetName val="Прибыль опл"/>
      <sheetName val="Исполнение _освоение по закупк_"/>
      <sheetName val="Исполнение для Ускова"/>
      <sheetName val="Выборка по отсыпкам"/>
      <sheetName val="ИП _отсыпки_"/>
      <sheetName val="ИП _отсыпки_ФОТ_диз_т_"/>
      <sheetName val="ИП _отсыпки_ _выборка_"/>
      <sheetName val="Исполнение по оборуд_"/>
      <sheetName val="Исполнение по оборуд_ _2_"/>
      <sheetName val="Исполнение сжато"/>
      <sheetName val="Форма для бурения"/>
      <sheetName val="Форма для КС"/>
      <sheetName val="Форма для ГР"/>
      <sheetName val="Корректировка"/>
      <sheetName val="К.рын"/>
      <sheetName val="Вспомогательный"/>
      <sheetName val="Смета 1свод"/>
      <sheetName val="СметаСводная снег"/>
      <sheetName val="13.1"/>
      <sheetName val="Амур ДОН"/>
      <sheetName val="Архив2"/>
      <sheetName val="Opex personnel (Term facs)"/>
      <sheetName val="КП (2)"/>
      <sheetName val="Calc"/>
      <sheetName val="Ачинский НПЗ"/>
      <sheetName val="пятилетка"/>
      <sheetName val="мониторинг"/>
      <sheetName val="Параметры"/>
      <sheetName val="кп"/>
      <sheetName val="Кал.план Жукова даты - не надо"/>
      <sheetName val="смета СИД"/>
      <sheetName val="ПДР ООО &quot;Юкос ФБЦ&quot;"/>
      <sheetName val="Объемы работ по ПВ"/>
      <sheetName val="мсн"/>
      <sheetName val="Lim"/>
      <sheetName val="Хар_"/>
      <sheetName val="С1_"/>
      <sheetName val="total"/>
      <sheetName val="исходные данные"/>
      <sheetName val="Комплектация"/>
      <sheetName val="трубы"/>
      <sheetName val="расчетные таблицы"/>
      <sheetName val="СМР"/>
      <sheetName val="дороги"/>
      <sheetName val="Дополнительные параметры"/>
      <sheetName val="ОПС"/>
      <sheetName val="BACT"/>
      <sheetName val="Дополнительные пара_x0000__x0000__x0005__x0000__xde00_"/>
      <sheetName val="ЛЧ"/>
      <sheetName val="Смета-Т"/>
      <sheetName val="Курс доллара"/>
      <sheetName val="Хаттон 90.90 Femco"/>
      <sheetName val="См3 СЦБ-зап"/>
      <sheetName val="ПД"/>
      <sheetName val="СметаСводная 1 оч"/>
      <sheetName val="Leistungsakt"/>
      <sheetName val="в работу"/>
      <sheetName val="трансформация1"/>
      <sheetName val="breakdown"/>
      <sheetName val="Destination"/>
      <sheetName val="СС"/>
      <sheetName val="Капитальные затраты"/>
      <sheetName val="ЭХЗ"/>
      <sheetName val="Свод объем"/>
      <sheetName val="1ПС"/>
      <sheetName val="ИД1"/>
      <sheetName val="Приложение 2"/>
      <sheetName val="Переменные и константы"/>
      <sheetName val="вариант"/>
      <sheetName val="ID"/>
      <sheetName val="СП"/>
      <sheetName val="A54НДС"/>
      <sheetName val="Должности"/>
      <sheetName val="Общая часть"/>
      <sheetName val="УП _2004"/>
      <sheetName val="АЧ"/>
      <sheetName val="Табл38-7"/>
      <sheetName val="БП НОВЫЙ"/>
      <sheetName val="База Геодезия"/>
      <sheetName val="База Геология"/>
      <sheetName val="6"/>
      <sheetName val="5.1"/>
      <sheetName val="3.1 ТХ"/>
      <sheetName val="геолог"/>
      <sheetName val="К"/>
      <sheetName val="база на 21-04-08"/>
      <sheetName val="СПЕЦИФИКАЦИЯ"/>
      <sheetName val="БДР"/>
      <sheetName val="мобдемоб"/>
      <sheetName val="Исходные"/>
      <sheetName val=""/>
      <sheetName val="темп"/>
      <sheetName val="Настройка"/>
      <sheetName val="3.1"/>
      <sheetName val="Настройки"/>
      <sheetName val="Тестовый"/>
      <sheetName val="кап.ремонт"/>
      <sheetName val="Расчет 2"/>
      <sheetName val="Смета №1"/>
      <sheetName val="Смета 2"/>
      <sheetName val="№5 СУБ Инж защ"/>
      <sheetName val="Командировочные"/>
      <sheetName val="Дополнительные пара"/>
      <sheetName val="Дополнительные пара_x0005__xde00_"/>
      <sheetName val="списки"/>
      <sheetName val="Исх"/>
      <sheetName val="Кал.план Жукова даты - не на/_x0000_"/>
      <sheetName val="Данные_для_расчёта_сметы1"/>
      <sheetName val="5 Эксп "/>
      <sheetName val="См_2 Шатурс сети  проект работы"/>
      <sheetName val="Эл-доп"/>
      <sheetName val="Электрика"/>
      <sheetName val="Кал.план Жукова даты - не на/"/>
      <sheetName val="Справочные данные"/>
      <sheetName val="2003г."/>
      <sheetName val="расчет вязкости"/>
      <sheetName val="СНГ"/>
      <sheetName val="Курс $"/>
      <sheetName val="Ф3П"/>
      <sheetName val="Ф2П"/>
      <sheetName val="Дог_рас"/>
      <sheetName val="КП_СС"/>
      <sheetName val="СметаЗатрат"/>
      <sheetName val="мат"/>
      <sheetName val="отчет эл_эн  2000"/>
      <sheetName val="выборка на22 июня"/>
      <sheetName val="Лист3"/>
      <sheetName val="Расчет_БИ"/>
      <sheetName val="р_Волхов1"/>
      <sheetName val="р_Нева1"/>
      <sheetName val="р_Молога1"/>
      <sheetName val="18_рек_Ю-Х1"/>
      <sheetName val="нпс_Палкино1"/>
      <sheetName val="Россия_-_Китай1"/>
      <sheetName val="КМ_210-2381"/>
      <sheetName val="БТС-2_км_405-4591"/>
      <sheetName val="БТС-2_км_405-4531"/>
      <sheetName val="БТС-2_км_313-3521"/>
      <sheetName val="БТС-2_км326-3521"/>
      <sheetName val="Улейма_И1"/>
      <sheetName val="Белая_УБКА1"/>
      <sheetName val="км_72-75р_Левоннька1"/>
      <sheetName val="Б_Сатка1"/>
      <sheetName val="киенгоп-н_Челны_км_104-2061"/>
      <sheetName val="ВЛ_Урдома1"/>
      <sheetName val="Вл_Микунь_Урдома1"/>
      <sheetName val="ВЛ_Синдор-Микунь1"/>
      <sheetName val="Тон_Чермасан1"/>
      <sheetName val="Трасса_км_16-1471"/>
      <sheetName val="трасса_0-761"/>
      <sheetName val="Колва_781"/>
      <sheetName val="Гидрология__р_Колва_км_381"/>
      <sheetName val="Коэфф1_"/>
      <sheetName val="Прайс_лист"/>
      <sheetName val="К_рын"/>
      <sheetName val="Сводная_смета1"/>
      <sheetName val="свод_21"/>
      <sheetName val="СметаСводная_Рыб1"/>
      <sheetName val="См_1_наруж_водопровод1"/>
      <sheetName val="СметаСводная_Колпино"/>
      <sheetName val="Лист_опроса"/>
      <sheetName val="к_84-к_83"/>
      <sheetName val="HP_и_оргтехника"/>
      <sheetName val="Зап-3-_СЦБ"/>
      <sheetName val="Исполнение__освоение_по_закупк_"/>
      <sheetName val="Исполнение_для_Ускова"/>
      <sheetName val="Выборка_по_отсыпкам"/>
      <sheetName val="ИП__отсыпки_"/>
      <sheetName val="ИП__отсыпки_ФОТ_диз_т_"/>
      <sheetName val="ИП__отсыпки___выборка_"/>
      <sheetName val="Исполнение_по_оборуд_"/>
      <sheetName val="Исполнение_по_оборуд___2_"/>
      <sheetName val="Исполнение_сжато"/>
      <sheetName val="Форма_для_бурения"/>
      <sheetName val="Форма_для_КС"/>
      <sheetName val="Форма_для_ГР"/>
      <sheetName val="свод_31"/>
      <sheetName val="Кл-р_SysTel1"/>
      <sheetName val="КП_Прим_(3)1"/>
      <sheetName val="1_31"/>
      <sheetName val="ПСП_1"/>
      <sheetName val="Пример_расчета1"/>
      <sheetName val="СМЕТА_проект1"/>
      <sheetName val="Разработка_проекта1"/>
      <sheetName val="Смета_1свод"/>
      <sheetName val="СметаСводная_снег"/>
      <sheetName val="13_1"/>
      <sheetName val="1_2_1-Проект"/>
      <sheetName val="КП_к_снег_Рыбинская"/>
      <sheetName val="СметаСводная_павильон"/>
      <sheetName val="КП_Мак"/>
      <sheetName val="Данные1кв_1"/>
      <sheetName val="Коэф_КВ1"/>
      <sheetName val="6_52-свод1"/>
      <sheetName val="КП_НовоКов"/>
      <sheetName val="Калплан_Кра"/>
      <sheetName val="изыскания_2"/>
      <sheetName val="КП_к_ГК"/>
      <sheetName val="Прибыль_опл"/>
      <sheetName val="Амур_ДОН"/>
      <sheetName val="Opex_personnel_(Term_facs)"/>
      <sheetName val="КП_(2)"/>
      <sheetName val="Ачинский_НПЗ"/>
      <sheetName val="Кал_план_Жукова_даты_-_не_надо"/>
      <sheetName val="смета_СИД"/>
      <sheetName val="ПДР_ООО_&quot;Юкос_ФБЦ&quot;"/>
      <sheetName val="Объемы_работ_по_ПВ"/>
      <sheetName val="исходные_данные"/>
      <sheetName val="расчетные_таблицы"/>
      <sheetName val="См3_СЦБ-зап"/>
      <sheetName val="в_работу"/>
      <sheetName val="Капитальные_затраты"/>
      <sheetName val="Свод_объем"/>
      <sheetName val="Дополнительные_параметры"/>
      <sheetName val="Приложение_2"/>
      <sheetName val="Переменные_и_константы"/>
      <sheetName val="Хаттон_90_90_Femco"/>
      <sheetName val="СметаСводная_1_оч"/>
      <sheetName val="Общая_часть"/>
      <sheetName val="УП__2004"/>
      <sheetName val="БП_НОВЫЙ"/>
      <sheetName val="База_Геодезия"/>
      <sheetName val="База_Геология"/>
      <sheetName val="5_1"/>
      <sheetName val="3_1_ТХ"/>
      <sheetName val="Дополнительные_пара"/>
      <sheetName val="Курс_доллара"/>
      <sheetName val="р_Волхов2"/>
      <sheetName val="р_Нева2"/>
      <sheetName val="р_Молога2"/>
      <sheetName val="18_рек_Ю-Х2"/>
      <sheetName val="нпс_Палкино2"/>
      <sheetName val="Россия_-_Китай2"/>
      <sheetName val="КМ_210-2382"/>
      <sheetName val="БТС-2_км_405-4592"/>
      <sheetName val="БТС-2_км_405-4532"/>
      <sheetName val="БТС-2_км_313-3522"/>
      <sheetName val="БТС-2_км326-3522"/>
      <sheetName val="Улейма_И2"/>
      <sheetName val="Белая_УБКА2"/>
      <sheetName val="км_72-75р_Левоннька2"/>
      <sheetName val="Б_Сатка2"/>
      <sheetName val="киенгоп-н_Челны_км_104-2062"/>
      <sheetName val="ВЛ_Урдома2"/>
      <sheetName val="Вл_Микунь_Урдома2"/>
      <sheetName val="ВЛ_Синдор-Микунь2"/>
      <sheetName val="Тон_Чермасан2"/>
      <sheetName val="Трасса_км_16-1472"/>
      <sheetName val="трасса_0-762"/>
      <sheetName val="Колва_782"/>
      <sheetName val="Гидрология__р_Колва_км_382"/>
      <sheetName val="Данные_для_расчёта_сметы2"/>
      <sheetName val="свод_32"/>
      <sheetName val="ПСП_2"/>
      <sheetName val="Пример_расчета2"/>
      <sheetName val="свод_22"/>
      <sheetName val="СМЕТА_проект2"/>
      <sheetName val="Сводная_смета2"/>
      <sheetName val="Разработка_проекта2"/>
      <sheetName val="См_1_наруж_водопровод2"/>
      <sheetName val="Кл-р_SysTel2"/>
      <sheetName val="КП_Прим_(3)2"/>
      <sheetName val="1_32"/>
      <sheetName val="СметаСводная_Рыб2"/>
      <sheetName val="1_2_1-Проект1"/>
      <sheetName val="КП_к_снег_Рыбинская1"/>
      <sheetName val="Лист_опроса1"/>
      <sheetName val="к_84-к_831"/>
      <sheetName val="Коэфф1_1"/>
      <sheetName val="Прайс_лист1"/>
      <sheetName val="HP_и_оргтехника1"/>
      <sheetName val="Зап-3-_СЦБ1"/>
      <sheetName val="СметаСводная_Колпино1"/>
      <sheetName val="СметаСводная_павильон1"/>
      <sheetName val="КП_Мак1"/>
      <sheetName val="Данные1кв_2"/>
      <sheetName val="Коэф_КВ2"/>
      <sheetName val="6_52-свод2"/>
      <sheetName val="КП_НовоКов1"/>
      <sheetName val="Калплан_Кра1"/>
      <sheetName val="изыскания_21"/>
      <sheetName val="КП_к_ГК1"/>
      <sheetName val="Прибыль_опл1"/>
      <sheetName val="Исполнение__освоение_по_закупк1"/>
      <sheetName val="Исполнение_для_Ускова1"/>
      <sheetName val="Выборка_по_отсыпкам1"/>
      <sheetName val="ИП__отсыпки_1"/>
      <sheetName val="ИП__отсыпки_ФОТ_диз_т_1"/>
      <sheetName val="ИП__отсыпки___выборка_1"/>
      <sheetName val="Исполнение_по_оборуд_1"/>
      <sheetName val="Исполнение_по_оборуд___2_1"/>
      <sheetName val="Исполнение_сжато1"/>
      <sheetName val="Форма_для_бурения1"/>
      <sheetName val="Форма_для_КС1"/>
      <sheetName val="Форма_для_ГР1"/>
      <sheetName val="К_рын1"/>
      <sheetName val="Смета_1свод1"/>
      <sheetName val="СметаСводная_снег1"/>
      <sheetName val="13_11"/>
      <sheetName val="Амур_ДОН1"/>
      <sheetName val="Opex_personnel_(Term_facs)1"/>
      <sheetName val="КП_(2)1"/>
      <sheetName val="Ачинский_НПЗ1"/>
      <sheetName val="Кал_план_Жукова_даты_-_не_надо1"/>
      <sheetName val="смета_СИД1"/>
      <sheetName val="ПДР_ООО_&quot;Юкос_ФБЦ&quot;1"/>
      <sheetName val="Общие"/>
      <sheetName val="Таблица 4 АСУТП"/>
      <sheetName val="ССР"/>
      <sheetName val="ССР (разбивка по ЛС)"/>
      <sheetName val="КС"/>
      <sheetName val="ПА"/>
      <sheetName val="ВЧ"/>
      <sheetName val="01-06"/>
      <sheetName val="01-07"/>
      <sheetName val="02-04"/>
      <sheetName val="02-31"/>
      <sheetName val="05-15"/>
      <sheetName val="05-09."/>
      <sheetName val="05-10."/>
      <sheetName val="05-11."/>
      <sheetName val="07-03"/>
      <sheetName val="ССР "/>
      <sheetName val="база_на_21-04-08"/>
      <sheetName val="См_2_Шатурс_сети__проект_работы"/>
      <sheetName val="Расчет_2"/>
      <sheetName val="Смета_№1"/>
      <sheetName val="3_1"/>
      <sheetName val="5_Эксп_"/>
      <sheetName val="Кал_план_Жукова_даты_-_не_на/"/>
      <sheetName val="Смета_2"/>
      <sheetName val="№5_СУБ_Инж_защ"/>
      <sheetName val="кап_ремонт"/>
      <sheetName val="Хаттон_90_90_Femco1"/>
      <sheetName val="См3_СЦБ-зап1"/>
      <sheetName val="Курс_доллара1"/>
      <sheetName val="Объемы_работ_по_ПВ1"/>
      <sheetName val="СметаСводная_1_оч1"/>
      <sheetName val="Общая_часть1"/>
      <sheetName val="Дополнительные_параметры1"/>
      <sheetName val="база_на_21-04-081"/>
      <sheetName val="исходные_данные1"/>
      <sheetName val="расчетные_таблицы1"/>
      <sheetName val="в_работу1"/>
      <sheetName val="Капитальные_затраты1"/>
      <sheetName val="Свод_объем1"/>
      <sheetName val="Приложение_21"/>
      <sheetName val="Переменные_и_константы1"/>
      <sheetName val="УП__20041"/>
      <sheetName val="База_Геодезия1"/>
      <sheetName val="База_Геология1"/>
      <sheetName val="5_11"/>
      <sheetName val="Расчет_21"/>
      <sheetName val="Смета_№11"/>
      <sheetName val="БП_НОВЫЙ1"/>
      <sheetName val="3_11"/>
      <sheetName val="3_1_ТХ1"/>
      <sheetName val="5_Эксп_1"/>
      <sheetName val="Смета_21"/>
      <sheetName val="№5_СУБ_Инж_защ1"/>
      <sheetName val="кап_ремонт1"/>
      <sheetName val="См_2_Шатурс_сети__проект_работ1"/>
      <sheetName val="Приложение №1"/>
      <sheetName val="ОДД (стр-во+экспл.)"/>
      <sheetName val="Расч(подряд)"/>
      <sheetName val="ТЕР ХМАО 2001"/>
      <sheetName val="ИДвалка"/>
      <sheetName val="Справочники"/>
      <sheetName val="Классификатор ДДС"/>
      <sheetName val="См.1"/>
      <sheetName val="4НКУ"/>
      <sheetName val="Книга1"/>
      <sheetName val="ОДД_(стр-во+экспл_)"/>
      <sheetName val="Замещение"/>
      <sheetName val="Расчет_СС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refreshError="1"/>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refreshError="1"/>
      <sheetData sheetId="733" refreshError="1"/>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sheetData sheetId="799" refreshError="1"/>
      <sheetData sheetId="80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подряд)"/>
      <sheetName val="СравненЦен"/>
      <sheetName val="Сводная"/>
      <sheetName val="Цена"/>
      <sheetName val="Лист7"/>
    </sheetNames>
    <sheetDataSet>
      <sheetData sheetId="0"/>
      <sheetData sheetId="1"/>
      <sheetData sheetId="2"/>
      <sheetData sheetId="3"/>
      <sheetData sheetId="4"/>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 1 (смр)"/>
      <sheetName val="2 См 1 (смр)"/>
      <sheetName val="Переменные и константы"/>
    </sheetNames>
    <sheetDataSet>
      <sheetData sheetId="0"/>
      <sheetData sheetId="1"/>
      <sheetData sheetId="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Т"/>
      <sheetName val="ЛЧ"/>
      <sheetName val="Переменные и константы"/>
      <sheetName val="Дог цена"/>
      <sheetName val="топография"/>
      <sheetName val="свод 2"/>
      <sheetName val="Смета"/>
      <sheetName val="Переменные_и_константы"/>
      <sheetName val="Общ"/>
      <sheetName val="См3 СЦБ-зап"/>
      <sheetName val="БД"/>
      <sheetName val="СметаСводная Колпино"/>
      <sheetName val="const"/>
      <sheetName val="Новый справочник БДР"/>
      <sheetName val="РС "/>
      <sheetName val="автоматизация РД"/>
      <sheetName val="Сводник"/>
      <sheetName val="Справка"/>
      <sheetName val="мсн"/>
      <sheetName val="Баланс"/>
      <sheetName val="Матер"/>
      <sheetName val="Расчет_РЕС"/>
      <sheetName val="Зап-3- СЦБ"/>
      <sheetName val="Крылова"/>
      <sheetName val="база"/>
      <sheetName val=" Свод"/>
      <sheetName val="Дополнительные параметры"/>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 данные"/>
      <sheetName val="Сводная РД"/>
      <sheetName val="ПА РД"/>
      <sheetName val="РУ РД"/>
      <sheetName val="ЛАДВ РД"/>
      <sheetName val="Сводная П"/>
      <sheetName val="ПА П"/>
      <sheetName val="ЛАДВ П"/>
      <sheetName val="РУ П"/>
      <sheetName val="ПА РП"/>
      <sheetName val="РУ РП"/>
      <sheetName val="Кал. план"/>
      <sheetName val="РУ+ПА"/>
      <sheetName val="АСУ ТП"/>
      <sheetName val="Лист1"/>
    </sheetNames>
    <sheetDataSet>
      <sheetData sheetId="0"/>
      <sheetData sheetId="1"/>
      <sheetData sheetId="2"/>
      <sheetData sheetId="3"/>
      <sheetData sheetId="4" refreshError="1"/>
      <sheetData sheetId="5"/>
      <sheetData sheetId="6"/>
      <sheetData sheetId="7" refreshError="1"/>
      <sheetData sheetId="8"/>
      <sheetData sheetId="9" refreshError="1"/>
      <sheetData sheetId="10" refreshError="1"/>
      <sheetData sheetId="11" refreshError="1"/>
      <sheetData sheetId="12"/>
      <sheetData sheetId="13"/>
      <sheetData sheetId="1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 данные"/>
      <sheetName val="Сводная РД"/>
      <sheetName val="ПА РД"/>
      <sheetName val="РУ РД"/>
      <sheetName val="ЛАДВ РД"/>
      <sheetName val="Сводная П"/>
      <sheetName val="ПА П"/>
      <sheetName val="ЛАДВ П"/>
      <sheetName val="РУ П"/>
      <sheetName val="ПА РП"/>
      <sheetName val="РУ РП"/>
      <sheetName val="Кал. план"/>
      <sheetName val="РУ+ПА"/>
      <sheetName val="АСУ ТП"/>
      <sheetName val="Лист1"/>
    </sheetNames>
    <sheetDataSet>
      <sheetData sheetId="0"/>
      <sheetData sheetId="1"/>
      <sheetData sheetId="2"/>
      <sheetData sheetId="3"/>
      <sheetData sheetId="4" refreshError="1"/>
      <sheetData sheetId="5"/>
      <sheetData sheetId="6"/>
      <sheetData sheetId="7" refreshError="1"/>
      <sheetData sheetId="8"/>
      <sheetData sheetId="9" refreshError="1"/>
      <sheetData sheetId="10" refreshError="1"/>
      <sheetData sheetId="11" refreshError="1"/>
      <sheetData sheetId="12"/>
      <sheetData sheetId="13"/>
      <sheetData sheetId="1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анныеГлав"/>
      <sheetName val="ОбмОбслЗемОд"/>
      <sheetName val="КалендПлан"/>
      <sheetName val="СводнСм"/>
      <sheetName val="СводнСм ГАП"/>
      <sheetName val="СмШурф"/>
      <sheetName val="СмРучБур"/>
      <sheetName val="СмМашБур"/>
      <sheetName val="ОБмГеодезия"/>
      <sheetName val="СмШурфКонтр"/>
      <sheetName val="СмРучБурКонтр"/>
      <sheetName val="смЗЕМодн"/>
      <sheetName val="СметаСводная Рыб"/>
      <sheetName val="Смета"/>
      <sheetName val="См 1 наруж.водопровод"/>
      <sheetName val="К"/>
      <sheetName val="Данные"/>
      <sheetName val="сводная (2)"/>
    </sheetNames>
    <sheetDataSet>
      <sheetData sheetId="0"/>
      <sheetData sheetId="1" refreshError="1"/>
      <sheetData sheetId="2"/>
      <sheetData sheetId="3"/>
      <sheetData sheetId="4"/>
      <sheetData sheetId="5"/>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99"/>
      <sheetName val="2002(v2)"/>
      <sheetName val="2004(2,3)"/>
      <sheetName val="2009(2,3) (2)"/>
      <sheetName val="Печ40"/>
      <sheetName val="2002-03(2,3)"/>
      <sheetName val="I"/>
      <sheetName val="2002_v2_"/>
      <sheetName val="Гр5(о)"/>
      <sheetName val="Управление"/>
      <sheetName val="2009(2,3)_(2)"/>
      <sheetName val="Оценка DCF"/>
      <sheetName val="GKN (2)"/>
      <sheetName val="ПЕРЕЧЕНЬ"/>
      <sheetName val="Программа"/>
      <sheetName val="Лист2"/>
      <sheetName val="Предпр.-взвеш. оценка"/>
      <sheetName val="база_свод"/>
      <sheetName val="Сдача "/>
      <sheetName val="расход"/>
      <sheetName val="Док+Исх"/>
      <sheetName val="Inputs"/>
      <sheetName val="16"/>
      <sheetName val="17"/>
      <sheetName val="4"/>
      <sheetName val="5"/>
      <sheetName val="Ф-1 (для АО-энерго)"/>
      <sheetName val="Ф-2 (для АО-энерго)"/>
      <sheetName val="перекрестка"/>
      <sheetName val="свод"/>
      <sheetName val="17.1"/>
      <sheetName val="24"/>
      <sheetName val="25"/>
      <sheetName val="Справочники"/>
      <sheetName val="Регионы"/>
      <sheetName val="Исходные"/>
      <sheetName val="пл. 2001 цехов и УГС"/>
      <sheetName val="2002(v1)"/>
      <sheetName val="Списки"/>
      <sheetName val="Contents"/>
      <sheetName val="Настройки"/>
      <sheetName val="АА"/>
      <sheetName val="Содержание"/>
      <sheetName val="Налоги+Амортиз"/>
      <sheetName val="Энергия на СН"/>
      <sheetName val="НФИк"/>
      <sheetName val="Оценка_DCF"/>
      <sheetName val="GKN_(2)"/>
      <sheetName val="Нормы"/>
      <sheetName val="Пески сводный реестр"/>
      <sheetName val="Т-18-Инвестиции"/>
      <sheetName val="Морские поставки"/>
      <sheetName val="прим"/>
      <sheetName val="данные производственные"/>
      <sheetName val="данные капвложения"/>
      <sheetName val="данные стоимостные"/>
      <sheetName val="данные себестоимость"/>
      <sheetName val="0.Настройка"/>
      <sheetName val="Медслужба"/>
      <sheetName val="РМУ"/>
      <sheetName val="УКиСР"/>
      <sheetName val="приб. от экспорта"/>
      <sheetName val="Смета"/>
      <sheetName val="XLR_NoRangeSheet"/>
      <sheetName val="Расх."/>
      <sheetName val="Параметры"/>
      <sheetName val="1"/>
      <sheetName val="ВГ доходы"/>
      <sheetName val=""/>
      <sheetName val="БД"/>
      <sheetName val="платежный календарь фин"/>
      <sheetName val="0_Настройка"/>
      <sheetName val="0_Настройка1"/>
      <sheetName val="выр__июль"/>
      <sheetName val="2009(2,3)_(2)1"/>
      <sheetName val="GKN_(2)1"/>
      <sheetName val="0_Настройка2"/>
      <sheetName val="2009(2,3)_(2)2"/>
      <sheetName val="GKN_(2)2"/>
      <sheetName val="0_Настройка3"/>
      <sheetName val="2009(2,3)_(2)3"/>
      <sheetName val="GKN_(2)3"/>
      <sheetName val="0_Настройка4"/>
      <sheetName val="2009(2,3)_(2)4"/>
      <sheetName val="GKN_(2)4"/>
      <sheetName val="0_Настройка5"/>
      <sheetName val="2009(2,3)_(2)5"/>
      <sheetName val="GKN_(2)5"/>
      <sheetName val="0_Настройка6"/>
      <sheetName val="2009(2,3)_(2)6"/>
      <sheetName val="GKN_(2)6"/>
      <sheetName val="0_Настройка7"/>
      <sheetName val="2009(2,3)_(2)7"/>
      <sheetName val="GKN_(2)7"/>
      <sheetName val="0_Настройка8"/>
      <sheetName val="2009(2,3)_(2)10"/>
      <sheetName val="GKN_(2)10"/>
      <sheetName val="0_Настройка11"/>
      <sheetName val="2009(2,3)_(2)8"/>
      <sheetName val="GKN_(2)8"/>
      <sheetName val="0_Настройка9"/>
      <sheetName val="2009(2,3)_(2)9"/>
      <sheetName val="GKN_(2)9"/>
      <sheetName val="0_Настройка10"/>
      <sheetName val="2009(2,3)_(2)12"/>
      <sheetName val="GKN_(2)12"/>
      <sheetName val="0_Настройка13"/>
      <sheetName val="2009(2,3)_(2)11"/>
      <sheetName val="GKN_(2)11"/>
      <sheetName val="0_Настройка12"/>
      <sheetName val="2009(2,3)_(2)15"/>
      <sheetName val="GKN_(2)15"/>
      <sheetName val="0_Настройка16"/>
      <sheetName val="2009(2,3)_(2)13"/>
      <sheetName val="GKN_(2)13"/>
      <sheetName val="0_Настройка14"/>
      <sheetName val="2009(2,3)_(2)14"/>
      <sheetName val="GKN_(2)14"/>
      <sheetName val="0_Настройка15"/>
      <sheetName val="АНАЛИТ"/>
      <sheetName val="Настройка"/>
      <sheetName val="поставка сравн13"/>
      <sheetName val="titre gap"/>
      <sheetName val="#ССЫЛКА"/>
      <sheetName val="Лист5"/>
      <sheetName val="Бюджет"/>
      <sheetName val="вводные данные систем"/>
      <sheetName val="Предпр_-взвеш__оценка"/>
      <sheetName val="Оценка_DCF1"/>
      <sheetName val="Предпр_-взвеш__оценка1"/>
      <sheetName val="план"/>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ая"/>
      <sheetName val="1"/>
      <sheetName val="2"/>
      <sheetName val="3"/>
      <sheetName val="4"/>
      <sheetName val="4.1"/>
      <sheetName val="6"/>
      <sheetName val="6.1"/>
      <sheetName val="6.2"/>
      <sheetName val="8"/>
      <sheetName val="8.1"/>
      <sheetName val="9"/>
      <sheetName val="9.1"/>
      <sheetName val="9.2"/>
      <sheetName val="10"/>
      <sheetName val="11"/>
      <sheetName val="12"/>
      <sheetName val="13"/>
      <sheetName val="14"/>
      <sheetName val="14.1"/>
      <sheetName val="14.2"/>
      <sheetName val="14.3"/>
      <sheetName val="14.4"/>
      <sheetName val="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sumprop"/>
    </sheetNames>
    <definedNames>
      <definedName name="СуммаПрописью"/>
    </definedNames>
    <sheetDataSet>
      <sheetData sheetId="0"/>
      <sheetData sheetId="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tamrex.ru/product/lira-rp-248-1-radiopriemnik-s-funkcziej-opoveshheniya-po-radiokanalu/" TargetMode="Externa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3.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7.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3"/>
  <sheetViews>
    <sheetView zoomScale="130" zoomScaleNormal="130" workbookViewId="0">
      <selection activeCell="B52" sqref="B52"/>
    </sheetView>
  </sheetViews>
  <sheetFormatPr defaultColWidth="9.140625" defaultRowHeight="15" outlineLevelRow="1" x14ac:dyDescent="0.25"/>
  <cols>
    <col min="1" max="1" width="9.28515625" style="229" bestFit="1" customWidth="1"/>
    <col min="2" max="2" width="36.7109375" style="229" customWidth="1"/>
    <col min="3" max="3" width="14.85546875" style="229" customWidth="1"/>
    <col min="4" max="4" width="20.85546875" style="229" customWidth="1"/>
    <col min="5" max="5" width="19" style="229" customWidth="1"/>
    <col min="6" max="6" width="10" style="229" customWidth="1"/>
    <col min="7" max="11" width="4.140625" style="229" customWidth="1"/>
    <col min="12" max="12" width="5" style="229" customWidth="1"/>
    <col min="13" max="13" width="4.140625" style="229" customWidth="1"/>
    <col min="14" max="14" width="6.7109375" style="229" customWidth="1"/>
    <col min="15" max="19" width="4.140625" style="229" customWidth="1"/>
    <col min="20" max="20" width="4" style="229" customWidth="1"/>
    <col min="21" max="24" width="4.140625" style="229" customWidth="1"/>
    <col min="25" max="16384" width="9.140625" style="229"/>
  </cols>
  <sheetData>
    <row r="1" spans="1:24" ht="15" customHeight="1" x14ac:dyDescent="0.25">
      <c r="A1" s="2274" t="s">
        <v>587</v>
      </c>
      <c r="B1" s="2274"/>
      <c r="C1" s="2274"/>
      <c r="D1" s="2274"/>
      <c r="E1" s="2274"/>
      <c r="F1" s="2274"/>
      <c r="G1" s="2274"/>
      <c r="H1" s="2274"/>
      <c r="I1" s="2274"/>
      <c r="J1" s="2274"/>
      <c r="K1" s="2274"/>
      <c r="L1" s="2274"/>
      <c r="M1" s="2274"/>
      <c r="N1" s="2274"/>
      <c r="O1" s="2274"/>
      <c r="P1" s="2274"/>
      <c r="Q1" s="2274"/>
      <c r="R1" s="2274"/>
      <c r="S1" s="2274"/>
      <c r="T1" s="2274"/>
      <c r="U1" s="2274"/>
      <c r="V1" s="2274"/>
      <c r="W1" s="2274"/>
      <c r="X1" s="2274"/>
    </row>
    <row r="2" spans="1:24" ht="33" customHeight="1" x14ac:dyDescent="0.25">
      <c r="A2" s="2275"/>
      <c r="B2" s="2275"/>
      <c r="C2" s="2275"/>
      <c r="D2" s="2275"/>
      <c r="E2" s="2275"/>
      <c r="F2" s="2275"/>
      <c r="G2" s="2275"/>
      <c r="H2" s="2275"/>
      <c r="I2" s="2275"/>
      <c r="J2" s="2275"/>
      <c r="K2" s="2275"/>
      <c r="L2" s="2275"/>
      <c r="M2" s="2275"/>
      <c r="N2" s="2275"/>
      <c r="O2" s="2275"/>
      <c r="P2" s="2275"/>
      <c r="Q2" s="2275"/>
      <c r="R2" s="2275"/>
      <c r="S2" s="2275"/>
      <c r="T2" s="2275"/>
      <c r="U2" s="2275"/>
      <c r="V2" s="2275"/>
      <c r="W2" s="2275"/>
      <c r="X2" s="2275"/>
    </row>
    <row r="3" spans="1:24" ht="33.75" customHeight="1" x14ac:dyDescent="0.25">
      <c r="A3" s="2288" t="s">
        <v>5</v>
      </c>
      <c r="B3" s="2289" t="s">
        <v>185</v>
      </c>
      <c r="C3" s="2288" t="s">
        <v>541</v>
      </c>
      <c r="D3" s="2288"/>
      <c r="E3" s="2288"/>
      <c r="F3" s="2273">
        <v>2023</v>
      </c>
      <c r="G3" s="2273"/>
      <c r="H3" s="2273"/>
      <c r="I3" s="2273"/>
      <c r="J3" s="2273"/>
      <c r="K3" s="2273"/>
      <c r="L3" s="2273"/>
      <c r="M3" s="2273">
        <v>2024</v>
      </c>
      <c r="N3" s="2273"/>
      <c r="O3" s="2273"/>
      <c r="P3" s="2273"/>
      <c r="Q3" s="2273"/>
      <c r="R3" s="2273"/>
      <c r="S3" s="2273"/>
      <c r="T3" s="2273"/>
      <c r="U3" s="2273"/>
      <c r="V3" s="2273"/>
      <c r="W3" s="2273"/>
      <c r="X3" s="2273"/>
    </row>
    <row r="4" spans="1:24" ht="11.25" customHeight="1" x14ac:dyDescent="0.25">
      <c r="A4" s="2288"/>
      <c r="B4" s="2289"/>
      <c r="C4" s="2288"/>
      <c r="D4" s="2288"/>
      <c r="E4" s="2288"/>
      <c r="F4" s="2273"/>
      <c r="G4" s="2273"/>
      <c r="H4" s="2273"/>
      <c r="I4" s="2273"/>
      <c r="J4" s="2273"/>
      <c r="K4" s="2273"/>
      <c r="L4" s="2273"/>
      <c r="M4" s="2273"/>
      <c r="N4" s="2273"/>
      <c r="O4" s="2273"/>
      <c r="P4" s="2273"/>
      <c r="Q4" s="2273"/>
      <c r="R4" s="2273"/>
      <c r="S4" s="2273"/>
      <c r="T4" s="2273"/>
      <c r="U4" s="2273"/>
      <c r="V4" s="2273"/>
      <c r="W4" s="2273"/>
      <c r="X4" s="2273"/>
    </row>
    <row r="5" spans="1:24" ht="49.5" customHeight="1" x14ac:dyDescent="0.25">
      <c r="A5" s="2288"/>
      <c r="B5" s="2289"/>
      <c r="C5" s="230" t="s">
        <v>542</v>
      </c>
      <c r="D5" s="230" t="s">
        <v>543</v>
      </c>
      <c r="E5" s="230" t="s">
        <v>544</v>
      </c>
      <c r="F5" s="231" t="s">
        <v>552</v>
      </c>
      <c r="G5" s="231" t="s">
        <v>553</v>
      </c>
      <c r="H5" s="231" t="s">
        <v>554</v>
      </c>
      <c r="I5" s="231" t="s">
        <v>555</v>
      </c>
      <c r="J5" s="231" t="s">
        <v>556</v>
      </c>
      <c r="K5" s="231" t="s">
        <v>545</v>
      </c>
      <c r="L5" s="231" t="s">
        <v>546</v>
      </c>
      <c r="M5" s="231" t="s">
        <v>547</v>
      </c>
      <c r="N5" s="231" t="s">
        <v>548</v>
      </c>
      <c r="O5" s="231" t="s">
        <v>549</v>
      </c>
      <c r="P5" s="231" t="s">
        <v>550</v>
      </c>
      <c r="Q5" s="231" t="s">
        <v>551</v>
      </c>
      <c r="R5" s="231" t="s">
        <v>552</v>
      </c>
      <c r="S5" s="231" t="s">
        <v>553</v>
      </c>
      <c r="T5" s="231" t="s">
        <v>554</v>
      </c>
      <c r="U5" s="231" t="s">
        <v>555</v>
      </c>
      <c r="V5" s="231" t="s">
        <v>556</v>
      </c>
      <c r="W5" s="231" t="s">
        <v>545</v>
      </c>
      <c r="X5" s="231" t="s">
        <v>546</v>
      </c>
    </row>
    <row r="6" spans="1:24" ht="22.5" customHeight="1" x14ac:dyDescent="0.25">
      <c r="A6" s="254">
        <v>1</v>
      </c>
      <c r="B6" s="230">
        <v>2</v>
      </c>
      <c r="C6" s="230">
        <v>3</v>
      </c>
      <c r="D6" s="230">
        <v>4</v>
      </c>
      <c r="E6" s="230">
        <v>5</v>
      </c>
      <c r="F6" s="230">
        <v>6</v>
      </c>
      <c r="G6" s="230">
        <v>7</v>
      </c>
      <c r="H6" s="230">
        <v>8</v>
      </c>
      <c r="I6" s="230">
        <v>9</v>
      </c>
      <c r="J6" s="230">
        <v>10</v>
      </c>
      <c r="K6" s="230">
        <v>11</v>
      </c>
      <c r="L6" s="230">
        <v>12</v>
      </c>
      <c r="M6" s="230">
        <v>1</v>
      </c>
      <c r="N6" s="230">
        <v>2</v>
      </c>
      <c r="O6" s="230">
        <v>3</v>
      </c>
      <c r="P6" s="230">
        <v>4</v>
      </c>
      <c r="Q6" s="230">
        <v>5</v>
      </c>
      <c r="R6" s="230">
        <v>6</v>
      </c>
      <c r="S6" s="230">
        <v>7</v>
      </c>
      <c r="T6" s="230">
        <v>8</v>
      </c>
      <c r="U6" s="230">
        <v>9</v>
      </c>
      <c r="V6" s="230">
        <v>10</v>
      </c>
      <c r="W6" s="230">
        <v>11</v>
      </c>
      <c r="X6" s="230">
        <v>12</v>
      </c>
    </row>
    <row r="7" spans="1:24" ht="39.75" customHeight="1" x14ac:dyDescent="0.25">
      <c r="A7" s="255">
        <v>1</v>
      </c>
      <c r="B7" s="232" t="str">
        <f>B31</f>
        <v>Подготовка эскизных вариантов общих композиционных, планировочных, архитектурных решений</v>
      </c>
      <c r="C7" s="250" t="s">
        <v>557</v>
      </c>
      <c r="D7" s="250" t="s">
        <v>601</v>
      </c>
      <c r="E7" s="234">
        <f>E31</f>
        <v>14</v>
      </c>
      <c r="F7" s="232"/>
      <c r="G7" s="232"/>
      <c r="H7" s="232"/>
      <c r="I7" s="232"/>
      <c r="J7" s="232"/>
      <c r="K7" s="232"/>
      <c r="L7" s="232"/>
      <c r="M7" s="232"/>
      <c r="N7" s="232"/>
      <c r="O7" s="232"/>
      <c r="P7" s="232"/>
      <c r="Q7" s="232"/>
      <c r="R7" s="232"/>
      <c r="S7" s="232"/>
      <c r="T7" s="232"/>
      <c r="U7" s="232"/>
      <c r="V7" s="232"/>
      <c r="W7" s="232"/>
      <c r="X7" s="232"/>
    </row>
    <row r="8" spans="1:24" ht="38.25" x14ac:dyDescent="0.25">
      <c r="A8" s="255">
        <v>2</v>
      </c>
      <c r="B8" s="232" t="str">
        <f t="shared" ref="B8:B18" si="0">B32</f>
        <v>Разработка концепции «Благоустройство туристической деревни Поляна Азау и прилегающей территории»</v>
      </c>
      <c r="C8" s="250" t="s">
        <v>557</v>
      </c>
      <c r="D8" s="250" t="s">
        <v>594</v>
      </c>
      <c r="E8" s="234">
        <f t="shared" ref="E8:E18" si="1">E32</f>
        <v>44</v>
      </c>
      <c r="F8" s="232"/>
      <c r="G8" s="232"/>
      <c r="H8" s="232"/>
      <c r="I8" s="232"/>
      <c r="J8" s="232"/>
      <c r="K8" s="232"/>
      <c r="L8" s="232"/>
      <c r="M8" s="232"/>
      <c r="N8" s="232"/>
      <c r="O8" s="232"/>
      <c r="P8" s="232"/>
      <c r="Q8" s="232"/>
      <c r="R8" s="232"/>
      <c r="S8" s="232"/>
      <c r="T8" s="232"/>
      <c r="U8" s="232"/>
      <c r="V8" s="232"/>
      <c r="W8" s="232"/>
      <c r="X8" s="232"/>
    </row>
    <row r="9" spans="1:24" ht="24.75" customHeight="1" x14ac:dyDescent="0.25">
      <c r="A9" s="255">
        <v>3</v>
      </c>
      <c r="B9" s="232" t="str">
        <f t="shared" si="0"/>
        <v xml:space="preserve">Инженерные изыскания </v>
      </c>
      <c r="C9" s="250"/>
      <c r="D9" s="250"/>
      <c r="E9" s="234"/>
      <c r="F9" s="232"/>
      <c r="G9" s="232"/>
      <c r="H9" s="232"/>
      <c r="I9" s="232"/>
      <c r="J9" s="232"/>
      <c r="K9" s="232"/>
      <c r="L9" s="232"/>
      <c r="M9" s="232"/>
      <c r="N9" s="232"/>
      <c r="O9" s="232"/>
      <c r="P9" s="232"/>
      <c r="Q9" s="232"/>
      <c r="R9" s="232"/>
      <c r="S9" s="232"/>
      <c r="T9" s="232"/>
      <c r="U9" s="232"/>
      <c r="V9" s="232"/>
      <c r="W9" s="232"/>
      <c r="X9" s="232"/>
    </row>
    <row r="10" spans="1:24" ht="24.75" customHeight="1" x14ac:dyDescent="0.25">
      <c r="A10" s="255" t="s">
        <v>240</v>
      </c>
      <c r="B10" s="232" t="str">
        <f t="shared" si="0"/>
        <v>инженерно-геодезические изыскания</v>
      </c>
      <c r="C10" s="250" t="s">
        <v>557</v>
      </c>
      <c r="D10" s="250" t="s">
        <v>598</v>
      </c>
      <c r="E10" s="234">
        <f t="shared" si="1"/>
        <v>120</v>
      </c>
      <c r="F10" s="233"/>
      <c r="G10" s="233"/>
      <c r="H10" s="233"/>
      <c r="I10" s="233"/>
      <c r="J10" s="233"/>
      <c r="K10" s="233"/>
      <c r="L10" s="233"/>
      <c r="M10" s="233"/>
      <c r="N10" s="233"/>
      <c r="O10" s="233"/>
      <c r="P10" s="233"/>
      <c r="Q10" s="233"/>
      <c r="R10" s="233"/>
      <c r="S10" s="233"/>
      <c r="T10" s="233"/>
      <c r="U10" s="233"/>
      <c r="V10" s="233"/>
      <c r="W10" s="233"/>
      <c r="X10" s="233"/>
    </row>
    <row r="11" spans="1:24" ht="24.75" customHeight="1" x14ac:dyDescent="0.25">
      <c r="A11" s="255" t="s">
        <v>508</v>
      </c>
      <c r="B11" s="232" t="str">
        <f t="shared" si="0"/>
        <v>инженерно-гидрометеорологические изыскания</v>
      </c>
      <c r="C11" s="250" t="s">
        <v>557</v>
      </c>
      <c r="D11" s="250" t="s">
        <v>598</v>
      </c>
      <c r="E11" s="234">
        <f t="shared" si="1"/>
        <v>120</v>
      </c>
      <c r="F11" s="232"/>
      <c r="G11" s="232"/>
      <c r="H11" s="232"/>
      <c r="I11" s="232"/>
      <c r="J11" s="232"/>
      <c r="K11" s="232"/>
      <c r="L11" s="232"/>
      <c r="M11" s="232"/>
      <c r="N11" s="232"/>
      <c r="O11" s="232"/>
      <c r="P11" s="232"/>
      <c r="Q11" s="232"/>
      <c r="R11" s="232"/>
      <c r="S11" s="232"/>
      <c r="T11" s="232"/>
      <c r="U11" s="232"/>
      <c r="V11" s="232"/>
      <c r="W11" s="232"/>
      <c r="X11" s="232"/>
    </row>
    <row r="12" spans="1:24" ht="24.75" customHeight="1" x14ac:dyDescent="0.25">
      <c r="A12" s="255" t="s">
        <v>509</v>
      </c>
      <c r="B12" s="232" t="str">
        <f t="shared" si="0"/>
        <v>инженерно-экологические изыскания</v>
      </c>
      <c r="C12" s="250" t="s">
        <v>557</v>
      </c>
      <c r="D12" s="250" t="s">
        <v>598</v>
      </c>
      <c r="E12" s="234">
        <f t="shared" si="1"/>
        <v>120</v>
      </c>
      <c r="F12" s="232"/>
      <c r="G12" s="232"/>
      <c r="H12" s="232"/>
      <c r="I12" s="232"/>
      <c r="J12" s="232"/>
      <c r="K12" s="232"/>
      <c r="L12" s="232"/>
      <c r="M12" s="232"/>
      <c r="N12" s="232"/>
      <c r="O12" s="232"/>
      <c r="P12" s="232"/>
      <c r="Q12" s="232"/>
      <c r="R12" s="232"/>
      <c r="S12" s="232"/>
      <c r="T12" s="232"/>
      <c r="U12" s="232"/>
      <c r="V12" s="232"/>
      <c r="W12" s="232"/>
      <c r="X12" s="232"/>
    </row>
    <row r="13" spans="1:24" ht="24.75" customHeight="1" x14ac:dyDescent="0.25">
      <c r="A13" s="255" t="s">
        <v>510</v>
      </c>
      <c r="B13" s="232" t="str">
        <f t="shared" si="0"/>
        <v>инженерно-геологические изыскания</v>
      </c>
      <c r="C13" s="250" t="s">
        <v>557</v>
      </c>
      <c r="D13" s="250" t="s">
        <v>598</v>
      </c>
      <c r="E13" s="234">
        <f t="shared" si="1"/>
        <v>120</v>
      </c>
      <c r="F13" s="232"/>
      <c r="G13" s="232"/>
      <c r="H13" s="232"/>
      <c r="I13" s="232"/>
      <c r="J13" s="232"/>
      <c r="K13" s="232"/>
      <c r="L13" s="232"/>
      <c r="M13" s="232"/>
      <c r="N13" s="232"/>
      <c r="O13" s="232"/>
      <c r="P13" s="232"/>
      <c r="Q13" s="232"/>
      <c r="R13" s="232"/>
      <c r="S13" s="232"/>
      <c r="T13" s="232"/>
      <c r="U13" s="232"/>
      <c r="V13" s="232"/>
      <c r="W13" s="232"/>
      <c r="X13" s="232"/>
    </row>
    <row r="14" spans="1:24" ht="24.75" customHeight="1" x14ac:dyDescent="0.25">
      <c r="A14" s="255" t="s">
        <v>232</v>
      </c>
      <c r="B14" s="232" t="str">
        <f t="shared" si="0"/>
        <v>Проектные работы, в том числе:</v>
      </c>
      <c r="C14" s="250"/>
      <c r="D14" s="250"/>
      <c r="E14" s="234"/>
      <c r="F14" s="233"/>
      <c r="G14" s="233"/>
      <c r="H14" s="233"/>
      <c r="I14" s="233"/>
      <c r="J14" s="233"/>
      <c r="K14" s="233"/>
      <c r="L14" s="233"/>
      <c r="M14" s="233"/>
      <c r="N14" s="233"/>
      <c r="O14" s="233"/>
      <c r="P14" s="233"/>
      <c r="Q14" s="233"/>
      <c r="R14" s="233"/>
      <c r="S14" s="233"/>
      <c r="T14" s="233"/>
      <c r="U14" s="233"/>
      <c r="V14" s="233"/>
      <c r="W14" s="233"/>
      <c r="X14" s="233"/>
    </row>
    <row r="15" spans="1:24" ht="24.75" customHeight="1" x14ac:dyDescent="0.25">
      <c r="A15" s="255" t="s">
        <v>237</v>
      </c>
      <c r="B15" s="232" t="str">
        <f t="shared" si="0"/>
        <v>- разработка основных технических решений</v>
      </c>
      <c r="C15" s="250" t="s">
        <v>595</v>
      </c>
      <c r="D15" s="250" t="s">
        <v>599</v>
      </c>
      <c r="E15" s="234">
        <f t="shared" si="1"/>
        <v>120</v>
      </c>
      <c r="F15" s="232"/>
      <c r="G15" s="232"/>
      <c r="H15" s="232"/>
      <c r="I15" s="232"/>
      <c r="J15" s="232"/>
      <c r="K15" s="232"/>
      <c r="L15" s="232"/>
      <c r="M15" s="232"/>
      <c r="N15" s="232"/>
      <c r="O15" s="232"/>
      <c r="P15" s="232"/>
      <c r="Q15" s="232"/>
      <c r="R15" s="232"/>
      <c r="S15" s="232"/>
      <c r="T15" s="232"/>
      <c r="U15" s="232"/>
      <c r="V15" s="232"/>
      <c r="W15" s="232"/>
      <c r="X15" s="232"/>
    </row>
    <row r="16" spans="1:24" ht="24.75" customHeight="1" x14ac:dyDescent="0.25">
      <c r="A16" s="255" t="s">
        <v>511</v>
      </c>
      <c r="B16" s="232" t="str">
        <f t="shared" si="0"/>
        <v>- разработка проектной и сметной документации</v>
      </c>
      <c r="C16" s="250" t="s">
        <v>595</v>
      </c>
      <c r="D16" s="250" t="s">
        <v>600</v>
      </c>
      <c r="E16" s="234">
        <f t="shared" si="1"/>
        <v>176</v>
      </c>
      <c r="F16" s="232"/>
      <c r="G16" s="232"/>
      <c r="H16" s="232"/>
      <c r="I16" s="232"/>
      <c r="J16" s="232"/>
      <c r="K16" s="232"/>
      <c r="L16" s="232"/>
      <c r="M16" s="232"/>
      <c r="N16" s="232"/>
      <c r="O16" s="232"/>
      <c r="P16" s="232"/>
      <c r="Q16" s="232"/>
      <c r="R16" s="232"/>
      <c r="S16" s="232"/>
      <c r="T16" s="232"/>
      <c r="U16" s="232"/>
      <c r="V16" s="232"/>
      <c r="W16" s="232"/>
      <c r="X16" s="232"/>
    </row>
    <row r="17" spans="1:24" ht="25.5" x14ac:dyDescent="0.25">
      <c r="A17" s="255" t="s">
        <v>233</v>
      </c>
      <c r="B17" s="232" t="str">
        <f t="shared" si="0"/>
        <v>Экологическая экспертиза, в том числе общественные слушания</v>
      </c>
      <c r="C17" s="250" t="s">
        <v>597</v>
      </c>
      <c r="D17" s="250" t="s">
        <v>596</v>
      </c>
      <c r="E17" s="234">
        <f t="shared" si="1"/>
        <v>69</v>
      </c>
      <c r="F17" s="232"/>
      <c r="G17" s="232"/>
      <c r="H17" s="232"/>
      <c r="I17" s="232"/>
      <c r="J17" s="232"/>
      <c r="K17" s="232"/>
      <c r="L17" s="232"/>
      <c r="M17" s="232"/>
      <c r="N17" s="232"/>
      <c r="O17" s="232"/>
      <c r="P17" s="232"/>
      <c r="Q17" s="232"/>
      <c r="R17" s="232"/>
      <c r="S17" s="232"/>
      <c r="T17" s="232"/>
      <c r="U17" s="232"/>
      <c r="V17" s="232"/>
      <c r="W17" s="232"/>
      <c r="X17" s="232"/>
    </row>
    <row r="18" spans="1:24" x14ac:dyDescent="0.25">
      <c r="A18" s="255" t="s">
        <v>238</v>
      </c>
      <c r="B18" s="232" t="str">
        <f t="shared" si="0"/>
        <v>Государственная экспертиза</v>
      </c>
      <c r="C18" s="250" t="s">
        <v>597</v>
      </c>
      <c r="D18" s="250" t="s">
        <v>596</v>
      </c>
      <c r="E18" s="234">
        <f t="shared" si="1"/>
        <v>69</v>
      </c>
      <c r="F18" s="233"/>
      <c r="G18" s="233"/>
      <c r="H18" s="233"/>
      <c r="I18" s="233"/>
      <c r="J18" s="233"/>
      <c r="K18" s="233"/>
      <c r="L18" s="233"/>
      <c r="M18" s="233"/>
      <c r="N18" s="233"/>
      <c r="O18" s="233"/>
      <c r="P18" s="233"/>
      <c r="Q18" s="233"/>
      <c r="R18" s="233"/>
      <c r="S18" s="233"/>
      <c r="T18" s="233"/>
      <c r="U18" s="233"/>
      <c r="V18" s="233"/>
      <c r="W18" s="233"/>
      <c r="X18" s="233"/>
    </row>
    <row r="23" spans="1:24" hidden="1" outlineLevel="1" x14ac:dyDescent="0.25">
      <c r="A23" s="2286" t="s">
        <v>574</v>
      </c>
      <c r="B23" s="2286"/>
      <c r="C23" s="2286"/>
      <c r="D23" s="2286"/>
      <c r="E23" s="240"/>
    </row>
    <row r="24" spans="1:24" hidden="1" outlineLevel="1" x14ac:dyDescent="0.25">
      <c r="A24" s="2286" t="s">
        <v>575</v>
      </c>
      <c r="B24" s="2286"/>
      <c r="C24" s="2286"/>
      <c r="D24" s="2286"/>
      <c r="E24" s="240"/>
    </row>
    <row r="25" spans="1:24" ht="15.75" hidden="1" outlineLevel="1" thickBot="1" x14ac:dyDescent="0.3">
      <c r="A25" s="2287" t="s">
        <v>576</v>
      </c>
      <c r="B25" s="2287"/>
      <c r="C25" s="2287"/>
      <c r="D25" s="2287"/>
      <c r="E25" s="240"/>
    </row>
    <row r="26" spans="1:24" hidden="1" outlineLevel="1" x14ac:dyDescent="0.25">
      <c r="A26" s="2276" t="s">
        <v>5</v>
      </c>
      <c r="B26" s="2279" t="s">
        <v>185</v>
      </c>
      <c r="C26" s="2282" t="s">
        <v>541</v>
      </c>
      <c r="D26" s="2283"/>
      <c r="E26" s="241"/>
    </row>
    <row r="27" spans="1:24" ht="15.75" hidden="1" outlineLevel="1" thickBot="1" x14ac:dyDescent="0.3">
      <c r="A27" s="2277"/>
      <c r="B27" s="2280"/>
      <c r="C27" s="2284"/>
      <c r="D27" s="2285"/>
      <c r="E27" s="241"/>
    </row>
    <row r="28" spans="1:24" hidden="1" outlineLevel="1" x14ac:dyDescent="0.25">
      <c r="A28" s="2277"/>
      <c r="B28" s="2280"/>
      <c r="C28" s="2276" t="s">
        <v>542</v>
      </c>
      <c r="D28" s="2276" t="s">
        <v>543</v>
      </c>
      <c r="E28" s="241"/>
    </row>
    <row r="29" spans="1:24" ht="15.75" hidden="1" outlineLevel="1" thickBot="1" x14ac:dyDescent="0.3">
      <c r="A29" s="2278"/>
      <c r="B29" s="2281"/>
      <c r="C29" s="2278"/>
      <c r="D29" s="2278"/>
      <c r="E29" s="241"/>
    </row>
    <row r="30" spans="1:24" ht="15.75" hidden="1" outlineLevel="1" thickBot="1" x14ac:dyDescent="0.3">
      <c r="A30" s="242">
        <v>1</v>
      </c>
      <c r="B30" s="243">
        <v>2</v>
      </c>
      <c r="C30" s="243">
        <v>3</v>
      </c>
      <c r="D30" s="243">
        <v>4</v>
      </c>
      <c r="E30" s="241"/>
      <c r="F30" s="249"/>
    </row>
    <row r="31" spans="1:24" ht="58.5" hidden="1" customHeight="1" outlineLevel="1" thickBot="1" x14ac:dyDescent="0.3">
      <c r="A31" s="247">
        <v>1</v>
      </c>
      <c r="B31" s="244" t="s">
        <v>586</v>
      </c>
      <c r="C31" s="246">
        <v>45078</v>
      </c>
      <c r="D31" s="248">
        <v>45092</v>
      </c>
      <c r="E31" s="241">
        <f t="shared" ref="E31:E39" si="2">D31-C31</f>
        <v>14</v>
      </c>
      <c r="F31" s="2272"/>
      <c r="G31" s="2272"/>
      <c r="H31" s="2272"/>
      <c r="I31" s="2272"/>
      <c r="J31" s="2272"/>
      <c r="K31" s="2272"/>
      <c r="L31" s="2272"/>
      <c r="M31" s="2272"/>
      <c r="N31" s="2272"/>
      <c r="O31" s="2272"/>
      <c r="P31" s="2272"/>
      <c r="S31" s="249"/>
      <c r="T31" s="2271"/>
      <c r="U31" s="2271"/>
      <c r="V31" s="2271"/>
    </row>
    <row r="32" spans="1:24" ht="39" hidden="1" outlineLevel="1" thickBot="1" x14ac:dyDescent="0.3">
      <c r="A32" s="247">
        <v>2</v>
      </c>
      <c r="B32" s="244" t="s">
        <v>577</v>
      </c>
      <c r="C32" s="246">
        <v>45078</v>
      </c>
      <c r="D32" s="246">
        <v>45122</v>
      </c>
      <c r="E32" s="241">
        <f t="shared" si="2"/>
        <v>44</v>
      </c>
    </row>
    <row r="33" spans="1:5" ht="15.75" hidden="1" outlineLevel="1" thickBot="1" x14ac:dyDescent="0.3">
      <c r="A33" s="247">
        <v>3</v>
      </c>
      <c r="B33" s="244" t="s">
        <v>578</v>
      </c>
      <c r="C33" s="245"/>
      <c r="D33" s="245"/>
      <c r="E33" s="241"/>
    </row>
    <row r="34" spans="1:5" ht="15.75" hidden="1" outlineLevel="1" thickBot="1" x14ac:dyDescent="0.3">
      <c r="A34" s="247" t="s">
        <v>240</v>
      </c>
      <c r="B34" s="244" t="s">
        <v>579</v>
      </c>
      <c r="C34" s="246">
        <v>45078</v>
      </c>
      <c r="D34" s="246">
        <v>45198</v>
      </c>
      <c r="E34" s="241">
        <f t="shared" si="2"/>
        <v>120</v>
      </c>
    </row>
    <row r="35" spans="1:5" ht="26.25" hidden="1" outlineLevel="1" thickBot="1" x14ac:dyDescent="0.3">
      <c r="A35" s="247" t="s">
        <v>508</v>
      </c>
      <c r="B35" s="244" t="s">
        <v>580</v>
      </c>
      <c r="C35" s="246">
        <v>45078</v>
      </c>
      <c r="D35" s="246">
        <v>45198</v>
      </c>
      <c r="E35" s="241">
        <f t="shared" si="2"/>
        <v>120</v>
      </c>
    </row>
    <row r="36" spans="1:5" ht="15.75" hidden="1" outlineLevel="1" thickBot="1" x14ac:dyDescent="0.3">
      <c r="A36" s="247" t="s">
        <v>509</v>
      </c>
      <c r="B36" s="244" t="s">
        <v>581</v>
      </c>
      <c r="C36" s="246">
        <v>45078</v>
      </c>
      <c r="D36" s="246">
        <v>45198</v>
      </c>
      <c r="E36" s="241">
        <f t="shared" si="2"/>
        <v>120</v>
      </c>
    </row>
    <row r="37" spans="1:5" ht="15.75" hidden="1" outlineLevel="1" thickBot="1" x14ac:dyDescent="0.3">
      <c r="A37" s="247" t="s">
        <v>510</v>
      </c>
      <c r="B37" s="244" t="s">
        <v>582</v>
      </c>
      <c r="C37" s="246">
        <v>45078</v>
      </c>
      <c r="D37" s="246">
        <v>45198</v>
      </c>
      <c r="E37" s="241">
        <f t="shared" si="2"/>
        <v>120</v>
      </c>
    </row>
    <row r="38" spans="1:5" ht="15.75" hidden="1" outlineLevel="1" thickBot="1" x14ac:dyDescent="0.3">
      <c r="A38" s="247">
        <v>4</v>
      </c>
      <c r="B38" s="244" t="s">
        <v>583</v>
      </c>
      <c r="C38" s="245"/>
      <c r="D38" s="245"/>
      <c r="E38" s="241"/>
    </row>
    <row r="39" spans="1:5" ht="26.25" hidden="1" outlineLevel="1" thickBot="1" x14ac:dyDescent="0.3">
      <c r="A39" s="247" t="s">
        <v>237</v>
      </c>
      <c r="B39" s="244" t="s">
        <v>584</v>
      </c>
      <c r="C39" s="246">
        <v>45078</v>
      </c>
      <c r="D39" s="246">
        <v>45198</v>
      </c>
      <c r="E39" s="241">
        <f t="shared" si="2"/>
        <v>120</v>
      </c>
    </row>
    <row r="40" spans="1:5" s="260" customFormat="1" ht="26.25" hidden="1" outlineLevel="1" thickBot="1" x14ac:dyDescent="0.3">
      <c r="A40" s="256" t="s">
        <v>511</v>
      </c>
      <c r="B40" s="257" t="s">
        <v>585</v>
      </c>
      <c r="C40" s="258">
        <v>45078</v>
      </c>
      <c r="D40" s="258">
        <v>45254</v>
      </c>
      <c r="E40" s="259">
        <f>D40-C40</f>
        <v>176</v>
      </c>
    </row>
    <row r="41" spans="1:5" ht="26.25" hidden="1" outlineLevel="1" thickBot="1" x14ac:dyDescent="0.3">
      <c r="A41" s="247">
        <v>5</v>
      </c>
      <c r="B41" s="244" t="s">
        <v>558</v>
      </c>
      <c r="C41" s="246">
        <v>45278</v>
      </c>
      <c r="D41" s="246">
        <v>45347</v>
      </c>
      <c r="E41" s="241">
        <f>D41-C41</f>
        <v>69</v>
      </c>
    </row>
    <row r="42" spans="1:5" ht="15.75" hidden="1" outlineLevel="1" thickBot="1" x14ac:dyDescent="0.3">
      <c r="A42" s="247">
        <v>6</v>
      </c>
      <c r="B42" s="244" t="s">
        <v>559</v>
      </c>
      <c r="C42" s="246">
        <v>45278</v>
      </c>
      <c r="D42" s="246">
        <v>45347</v>
      </c>
      <c r="E42" s="241">
        <f>D42-C42</f>
        <v>69</v>
      </c>
    </row>
    <row r="43" spans="1:5" collapsed="1" x14ac:dyDescent="0.25"/>
  </sheetData>
  <mergeCells count="16">
    <mergeCell ref="T31:V31"/>
    <mergeCell ref="F31:P31"/>
    <mergeCell ref="M3:X4"/>
    <mergeCell ref="A1:X2"/>
    <mergeCell ref="A26:A29"/>
    <mergeCell ref="B26:B29"/>
    <mergeCell ref="C26:D27"/>
    <mergeCell ref="C28:C29"/>
    <mergeCell ref="D28:D29"/>
    <mergeCell ref="A23:D23"/>
    <mergeCell ref="A24:D24"/>
    <mergeCell ref="A25:D25"/>
    <mergeCell ref="A3:A5"/>
    <mergeCell ref="B3:B5"/>
    <mergeCell ref="C3:E4"/>
    <mergeCell ref="F3:L4"/>
  </mergeCells>
  <pageMargins left="0.70866141732283472" right="0.70866141732283472" top="0.74803149606299213" bottom="0.74803149606299213" header="0.31496062992125984" footer="0.31496062992125984"/>
  <pageSetup paperSize="9" scale="71"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I46"/>
  <sheetViews>
    <sheetView view="pageBreakPreview" topLeftCell="A5" zoomScaleNormal="100" zoomScaleSheetLayoutView="100" workbookViewId="0">
      <selection activeCell="A11" sqref="A11:C11"/>
    </sheetView>
  </sheetViews>
  <sheetFormatPr defaultColWidth="9.140625" defaultRowHeight="15.75" x14ac:dyDescent="0.25"/>
  <cols>
    <col min="1" max="1" width="30.28515625" style="208" customWidth="1"/>
    <col min="2" max="2" width="30.140625" style="208" customWidth="1"/>
    <col min="3" max="3" width="35" style="208" customWidth="1"/>
    <col min="4" max="16384" width="9.140625" style="208"/>
  </cols>
  <sheetData>
    <row r="1" spans="1:3" x14ac:dyDescent="0.25">
      <c r="A1" s="2296" t="s">
        <v>645</v>
      </c>
      <c r="B1" s="2296"/>
      <c r="C1" s="2296"/>
    </row>
    <row r="2" spans="1:3" x14ac:dyDescent="0.25">
      <c r="A2" s="2296" t="s">
        <v>560</v>
      </c>
      <c r="B2" s="2296"/>
      <c r="C2" s="2296"/>
    </row>
    <row r="3" spans="1:3" ht="31.5" customHeight="1" x14ac:dyDescent="0.25">
      <c r="A3" s="2297" t="s">
        <v>6003</v>
      </c>
      <c r="B3" s="2297"/>
      <c r="C3" s="2297"/>
    </row>
    <row r="4" spans="1:3" s="1211" customFormat="1" ht="183" customHeight="1" x14ac:dyDescent="0.25">
      <c r="A4" s="2295" t="s">
        <v>5932</v>
      </c>
      <c r="B4" s="2295"/>
      <c r="C4" s="2295"/>
    </row>
    <row r="5" spans="1:3" s="1211" customFormat="1" ht="72" customHeight="1" x14ac:dyDescent="0.25">
      <c r="A5" s="2295" t="s">
        <v>5931</v>
      </c>
      <c r="B5" s="2295"/>
      <c r="C5" s="2295"/>
    </row>
    <row r="6" spans="1:3" x14ac:dyDescent="0.25">
      <c r="A6" s="2294" t="s">
        <v>561</v>
      </c>
      <c r="B6" s="2294"/>
      <c r="C6" s="2294"/>
    </row>
    <row r="7" spans="1:3" ht="23.25" customHeight="1" x14ac:dyDescent="0.25">
      <c r="A7" s="2294" t="s">
        <v>4324</v>
      </c>
      <c r="B7" s="2294"/>
      <c r="C7" s="2294"/>
    </row>
    <row r="8" spans="1:3" s="1211" customFormat="1" ht="117" customHeight="1" x14ac:dyDescent="0.25">
      <c r="A8" s="2301" t="s">
        <v>4325</v>
      </c>
      <c r="B8" s="2301"/>
      <c r="C8" s="2301"/>
    </row>
    <row r="9" spans="1:3" s="1211" customFormat="1" ht="36" customHeight="1" x14ac:dyDescent="0.25">
      <c r="A9" s="2302" t="s">
        <v>5526</v>
      </c>
      <c r="B9" s="2302"/>
      <c r="C9" s="2302"/>
    </row>
    <row r="10" spans="1:3" s="1211" customFormat="1" ht="28.5" customHeight="1" x14ac:dyDescent="0.25">
      <c r="A10" s="2303" t="s">
        <v>5536</v>
      </c>
      <c r="B10" s="2303"/>
      <c r="C10" s="2303"/>
    </row>
    <row r="11" spans="1:3" s="1211" customFormat="1" ht="87.75" customHeight="1" x14ac:dyDescent="0.25">
      <c r="A11" s="2293" t="s">
        <v>5929</v>
      </c>
      <c r="B11" s="2293"/>
      <c r="C11" s="2293"/>
    </row>
    <row r="12" spans="1:3" s="1211" customFormat="1" ht="56.25" customHeight="1" x14ac:dyDescent="0.25">
      <c r="A12" s="2295" t="s">
        <v>5527</v>
      </c>
      <c r="B12" s="2295"/>
      <c r="C12" s="2295"/>
    </row>
    <row r="13" spans="1:3" ht="14.25" customHeight="1" x14ac:dyDescent="0.25">
      <c r="A13" s="2304" t="s">
        <v>562</v>
      </c>
      <c r="B13" s="2304"/>
      <c r="C13" s="2304"/>
    </row>
    <row r="14" spans="1:3" s="1211" customFormat="1" ht="148.5" customHeight="1" x14ac:dyDescent="0.25">
      <c r="A14" s="2301" t="s">
        <v>4145</v>
      </c>
      <c r="B14" s="2301"/>
      <c r="C14" s="2301"/>
    </row>
    <row r="15" spans="1:3" s="1211" customFormat="1" ht="37.5" customHeight="1" x14ac:dyDescent="0.25">
      <c r="A15" s="2293" t="s">
        <v>563</v>
      </c>
      <c r="B15" s="2293"/>
      <c r="C15" s="2293"/>
    </row>
    <row r="16" spans="1:3" s="1211" customFormat="1" ht="36.75" customHeight="1" x14ac:dyDescent="0.25">
      <c r="A16" s="2303" t="s">
        <v>5537</v>
      </c>
      <c r="B16" s="2303"/>
      <c r="C16" s="2303"/>
    </row>
    <row r="17" spans="1:9" s="1211" customFormat="1" ht="87.75" customHeight="1" x14ac:dyDescent="0.25">
      <c r="A17" s="2293" t="s">
        <v>5930</v>
      </c>
      <c r="B17" s="2293"/>
      <c r="C17" s="2293"/>
    </row>
    <row r="18" spans="1:9" s="1211" customFormat="1" ht="27.75" customHeight="1" x14ac:dyDescent="0.25">
      <c r="A18" s="2293" t="s">
        <v>5935</v>
      </c>
      <c r="B18" s="2293"/>
      <c r="C18" s="2293"/>
    </row>
    <row r="19" spans="1:9" s="1211" customFormat="1" ht="25.5" customHeight="1" x14ac:dyDescent="0.25">
      <c r="A19" s="2293" t="s">
        <v>564</v>
      </c>
      <c r="B19" s="2293"/>
      <c r="C19" s="2293"/>
    </row>
    <row r="20" spans="1:9" s="1445" customFormat="1" ht="33" customHeight="1" x14ac:dyDescent="0.25">
      <c r="A20" s="2290" t="s">
        <v>5924</v>
      </c>
      <c r="B20" s="2290"/>
      <c r="C20" s="2290"/>
    </row>
    <row r="21" spans="1:9" s="1445" customFormat="1" ht="54" customHeight="1" x14ac:dyDescent="0.25">
      <c r="A21" s="2291" t="s">
        <v>5927</v>
      </c>
      <c r="B21" s="2291"/>
      <c r="C21" s="2291"/>
    </row>
    <row r="22" spans="1:9" s="1445" customFormat="1" ht="50.25" customHeight="1" x14ac:dyDescent="0.25">
      <c r="A22" s="2291" t="s">
        <v>5925</v>
      </c>
      <c r="B22" s="2291"/>
      <c r="C22" s="2291"/>
    </row>
    <row r="23" spans="1:9" s="1445" customFormat="1" ht="68.25" customHeight="1" x14ac:dyDescent="0.25">
      <c r="A23" s="2292" t="s">
        <v>5926</v>
      </c>
      <c r="B23" s="2292"/>
      <c r="C23" s="2292"/>
    </row>
    <row r="24" spans="1:9" s="1211" customFormat="1" ht="27.75" customHeight="1" x14ac:dyDescent="0.25">
      <c r="A24" s="2293" t="s">
        <v>5935</v>
      </c>
      <c r="B24" s="2293"/>
      <c r="C24" s="2293"/>
    </row>
    <row r="25" spans="1:9" s="1445" customFormat="1" ht="27.75" customHeight="1" x14ac:dyDescent="0.25">
      <c r="A25" s="2291" t="s">
        <v>564</v>
      </c>
      <c r="B25" s="2291"/>
      <c r="C25" s="2291"/>
    </row>
    <row r="26" spans="1:9" ht="25.5" customHeight="1" x14ac:dyDescent="0.25">
      <c r="A26" s="1206" t="s">
        <v>565</v>
      </c>
      <c r="B26" s="1207"/>
      <c r="C26" s="1208"/>
    </row>
    <row r="27" spans="1:9" x14ac:dyDescent="0.25">
      <c r="A27" s="2299"/>
      <c r="B27" s="2300"/>
      <c r="C27" s="2300"/>
    </row>
    <row r="28" spans="1:9" ht="27.75" customHeight="1" x14ac:dyDescent="0.25">
      <c r="A28" s="1209"/>
      <c r="B28" s="1210" t="e">
        <f>'НМЦ (ПИР+СМР)'!E26</f>
        <v>#REF!</v>
      </c>
      <c r="C28" s="1196" t="s">
        <v>566</v>
      </c>
    </row>
    <row r="29" spans="1:9" x14ac:dyDescent="0.25">
      <c r="A29" s="1209"/>
      <c r="B29" s="1210"/>
      <c r="C29" s="1196"/>
    </row>
    <row r="30" spans="1:9" x14ac:dyDescent="0.25">
      <c r="A30" s="1202" t="s">
        <v>5520</v>
      </c>
      <c r="B30" s="1203"/>
      <c r="C30" s="1204"/>
    </row>
    <row r="31" spans="1:9" ht="32.25" customHeight="1" x14ac:dyDescent="0.25">
      <c r="A31" s="2298" t="s">
        <v>5521</v>
      </c>
      <c r="B31" s="2298"/>
      <c r="C31" s="313" t="s">
        <v>5522</v>
      </c>
      <c r="D31" s="884"/>
      <c r="E31" s="884"/>
      <c r="F31" s="884"/>
      <c r="G31" s="884"/>
      <c r="H31" s="884"/>
      <c r="I31" s="312"/>
    </row>
    <row r="32" spans="1:9" x14ac:dyDescent="0.25">
      <c r="A32" s="1195"/>
      <c r="B32" s="1195"/>
      <c r="C32" s="313"/>
      <c r="D32" s="884"/>
      <c r="E32" s="884"/>
      <c r="F32" s="884"/>
      <c r="G32" s="884"/>
      <c r="H32" s="884"/>
      <c r="I32" s="312"/>
    </row>
    <row r="33" spans="1:9" x14ac:dyDescent="0.25">
      <c r="A33" s="1202" t="s">
        <v>930</v>
      </c>
      <c r="B33" s="1203"/>
      <c r="C33" s="1204"/>
    </row>
    <row r="34" spans="1:9" ht="48.75" customHeight="1" x14ac:dyDescent="0.25">
      <c r="A34" s="2298" t="s">
        <v>628</v>
      </c>
      <c r="B34" s="2298"/>
      <c r="C34" s="313" t="s">
        <v>629</v>
      </c>
      <c r="D34" s="884"/>
      <c r="E34" s="884"/>
      <c r="F34" s="884"/>
      <c r="G34" s="884"/>
      <c r="H34" s="884"/>
      <c r="I34" s="312"/>
    </row>
    <row r="35" spans="1:9" x14ac:dyDescent="0.25">
      <c r="A35" s="1195"/>
      <c r="B35" s="1195"/>
      <c r="C35" s="313"/>
      <c r="D35" s="884"/>
      <c r="E35" s="884"/>
      <c r="F35" s="884"/>
      <c r="G35" s="884"/>
      <c r="H35" s="884"/>
      <c r="I35" s="312"/>
    </row>
    <row r="36" spans="1:9" ht="14.25" customHeight="1" x14ac:dyDescent="0.25">
      <c r="A36" s="2298" t="s">
        <v>5523</v>
      </c>
      <c r="B36" s="2298"/>
      <c r="C36" s="313"/>
    </row>
    <row r="37" spans="1:9" x14ac:dyDescent="0.25">
      <c r="A37" s="2298" t="s">
        <v>5524</v>
      </c>
      <c r="B37" s="2298"/>
      <c r="C37" s="313" t="s">
        <v>5525</v>
      </c>
    </row>
    <row r="38" spans="1:9" ht="31.5" customHeight="1" x14ac:dyDescent="0.25"/>
    <row r="39" spans="1:9" ht="34.5" customHeight="1" x14ac:dyDescent="0.25"/>
    <row r="40" spans="1:9" ht="75" customHeight="1" x14ac:dyDescent="0.25"/>
    <row r="41" spans="1:9" ht="35.25" customHeight="1" x14ac:dyDescent="0.25"/>
    <row r="42" spans="1:9" ht="18.75" customHeight="1" x14ac:dyDescent="0.25"/>
    <row r="43" spans="1:9" ht="15.6" customHeight="1" x14ac:dyDescent="0.25"/>
    <row r="46" spans="1:9" ht="36" customHeight="1" x14ac:dyDescent="0.25"/>
  </sheetData>
  <mergeCells count="30">
    <mergeCell ref="A37:B37"/>
    <mergeCell ref="A27:C27"/>
    <mergeCell ref="A8:C8"/>
    <mergeCell ref="A9:C9"/>
    <mergeCell ref="A31:B31"/>
    <mergeCell ref="A34:B34"/>
    <mergeCell ref="A36:B36"/>
    <mergeCell ref="A10:C10"/>
    <mergeCell ref="A11:C11"/>
    <mergeCell ref="A19:C19"/>
    <mergeCell ref="A14:C14"/>
    <mergeCell ref="A15:C15"/>
    <mergeCell ref="A16:C16"/>
    <mergeCell ref="A18:C18"/>
    <mergeCell ref="A17:C17"/>
    <mergeCell ref="A13:C13"/>
    <mergeCell ref="A7:C7"/>
    <mergeCell ref="A12:C12"/>
    <mergeCell ref="A1:C1"/>
    <mergeCell ref="A2:C2"/>
    <mergeCell ref="A3:C3"/>
    <mergeCell ref="A4:C4"/>
    <mergeCell ref="A6:C6"/>
    <mergeCell ref="A5:C5"/>
    <mergeCell ref="A20:C20"/>
    <mergeCell ref="A21:C21"/>
    <mergeCell ref="A22:C22"/>
    <mergeCell ref="A23:C23"/>
    <mergeCell ref="A25:C25"/>
    <mergeCell ref="A24:C24"/>
  </mergeCells>
  <pageMargins left="0.70866141732283472" right="0.70866141732283472" top="0.74803149606299213" bottom="0.74803149606299213" header="0.31496062992125984" footer="0.31496062992125984"/>
  <pageSetup paperSize="9" scale="93" fitToHeight="0"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P39"/>
  <sheetViews>
    <sheetView view="pageBreakPreview" topLeftCell="A3" zoomScaleNormal="100" zoomScaleSheetLayoutView="100" workbookViewId="0">
      <selection activeCell="J11" sqref="J11"/>
    </sheetView>
  </sheetViews>
  <sheetFormatPr defaultColWidth="9.140625" defaultRowHeight="15" x14ac:dyDescent="0.25"/>
  <cols>
    <col min="1" max="6" width="9.140625" style="204"/>
    <col min="7" max="7" width="15.28515625" style="204" customWidth="1"/>
    <col min="8" max="16384" width="9.140625" style="204"/>
  </cols>
  <sheetData>
    <row r="1" spans="1:16" ht="15.75" x14ac:dyDescent="0.25">
      <c r="A1" s="2306" t="s">
        <v>646</v>
      </c>
      <c r="B1" s="2306"/>
      <c r="C1" s="2306"/>
      <c r="D1" s="2306"/>
      <c r="E1" s="2306"/>
      <c r="F1" s="2306"/>
      <c r="G1" s="2306"/>
      <c r="H1" s="2306"/>
      <c r="I1" s="2306"/>
      <c r="J1" s="2306"/>
      <c r="K1" s="2306"/>
      <c r="L1" s="2306"/>
      <c r="M1" s="2306"/>
      <c r="N1" s="1213"/>
      <c r="O1" s="1213"/>
      <c r="P1" s="235"/>
    </row>
    <row r="2" spans="1:16" ht="15.75" x14ac:dyDescent="0.25">
      <c r="A2" s="2306" t="s">
        <v>568</v>
      </c>
      <c r="B2" s="2306"/>
      <c r="C2" s="2306"/>
      <c r="D2" s="2306"/>
      <c r="E2" s="2306"/>
      <c r="F2" s="2306"/>
      <c r="G2" s="2306"/>
      <c r="H2" s="2306"/>
      <c r="I2" s="2306"/>
      <c r="J2" s="2306"/>
      <c r="K2" s="2306"/>
      <c r="L2" s="2306"/>
      <c r="M2" s="2306"/>
      <c r="N2" s="1213"/>
      <c r="O2" s="1213"/>
      <c r="P2" s="235"/>
    </row>
    <row r="3" spans="1:16" ht="43.5" customHeight="1" x14ac:dyDescent="0.25">
      <c r="A3" s="2310" t="s">
        <v>569</v>
      </c>
      <c r="B3" s="2310"/>
      <c r="C3" s="2309" t="str">
        <f>'Пояснительная (ПИР+СМР)'!A3</f>
        <v>Кампус ВТРК «Мамисон»</v>
      </c>
      <c r="D3" s="2309"/>
      <c r="E3" s="2309"/>
      <c r="F3" s="2309"/>
      <c r="G3" s="2309"/>
      <c r="H3" s="2309"/>
      <c r="I3" s="2309"/>
      <c r="J3" s="2309"/>
      <c r="K3" s="2309"/>
      <c r="L3" s="2309"/>
      <c r="M3" s="2309"/>
      <c r="N3" s="314"/>
      <c r="O3" s="222"/>
      <c r="P3" s="235"/>
    </row>
    <row r="4" spans="1:16" ht="15.75" x14ac:dyDescent="0.25">
      <c r="A4" s="222"/>
      <c r="B4" s="222"/>
      <c r="C4" s="222"/>
      <c r="D4" s="222"/>
      <c r="E4" s="222"/>
      <c r="F4" s="222"/>
      <c r="G4" s="222"/>
      <c r="H4" s="222"/>
      <c r="I4" s="222"/>
      <c r="J4" s="222"/>
      <c r="K4" s="222"/>
      <c r="L4" s="222"/>
      <c r="M4" s="222"/>
      <c r="N4" s="222"/>
      <c r="O4" s="222"/>
      <c r="P4" s="235"/>
    </row>
    <row r="5" spans="1:16" ht="35.25" customHeight="1" x14ac:dyDescent="0.25">
      <c r="A5" s="2307" t="s">
        <v>570</v>
      </c>
      <c r="B5" s="2307"/>
      <c r="C5" s="2307"/>
      <c r="D5" s="2307"/>
      <c r="E5" s="2307"/>
      <c r="F5" s="2307"/>
      <c r="G5" s="237" t="e">
        <f>'НМЦ (ПИР+СМР)'!E26</f>
        <v>#REF!</v>
      </c>
      <c r="H5" s="236"/>
      <c r="I5" s="236"/>
      <c r="J5" s="236"/>
      <c r="K5" s="236"/>
      <c r="L5" s="236"/>
      <c r="M5" s="236"/>
      <c r="N5" s="236"/>
      <c r="O5" s="236"/>
      <c r="P5" s="235"/>
    </row>
    <row r="6" spans="1:16" ht="27.75" customHeight="1" x14ac:dyDescent="0.25">
      <c r="A6" s="2308" t="e">
        <f>CONCATENATE("(",[33]!СуммаПрописью(G5),")")</f>
        <v>#VALUE!</v>
      </c>
      <c r="B6" s="2308"/>
      <c r="C6" s="2308"/>
      <c r="D6" s="2308"/>
      <c r="E6" s="2308"/>
      <c r="F6" s="2308"/>
      <c r="G6" s="2308"/>
      <c r="H6" s="2308"/>
      <c r="I6" s="2308"/>
      <c r="J6" s="2308"/>
      <c r="K6" s="2308"/>
      <c r="L6" s="2308"/>
      <c r="M6" s="2308"/>
      <c r="N6" s="2308"/>
      <c r="O6" s="2308"/>
      <c r="P6" s="235"/>
    </row>
    <row r="7" spans="1:16" ht="29.25" customHeight="1" x14ac:dyDescent="0.25">
      <c r="A7" s="222" t="s">
        <v>571</v>
      </c>
      <c r="B7" s="222"/>
      <c r="C7" s="222"/>
      <c r="D7" s="222"/>
      <c r="E7" s="222"/>
      <c r="F7" s="222"/>
      <c r="G7" s="222"/>
      <c r="H7" s="222"/>
      <c r="I7" s="222"/>
      <c r="J7" s="222"/>
      <c r="K7" s="222"/>
      <c r="L7" s="222"/>
      <c r="M7" s="222"/>
      <c r="N7" s="222"/>
      <c r="O7" s="222"/>
      <c r="P7" s="235"/>
    </row>
    <row r="8" spans="1:16" s="1440" customFormat="1" ht="15.75" x14ac:dyDescent="0.25">
      <c r="A8" s="1438" t="s">
        <v>5889</v>
      </c>
      <c r="B8" s="1438" t="s">
        <v>5890</v>
      </c>
      <c r="C8" s="1438"/>
      <c r="D8" s="1438"/>
      <c r="E8" s="1438"/>
      <c r="F8" s="1438"/>
      <c r="G8" s="1438"/>
      <c r="H8" s="1438"/>
      <c r="I8" s="1438"/>
      <c r="J8" s="1438"/>
      <c r="K8" s="1438"/>
      <c r="L8" s="1438"/>
      <c r="M8" s="1438"/>
      <c r="N8" s="1438"/>
      <c r="O8" s="1438"/>
      <c r="P8" s="1439"/>
    </row>
    <row r="9" spans="1:16" s="1440" customFormat="1" ht="15.75" x14ac:dyDescent="0.25">
      <c r="A9" s="1438" t="s">
        <v>5891</v>
      </c>
      <c r="B9" s="1438" t="s">
        <v>5892</v>
      </c>
      <c r="C9" s="1438"/>
      <c r="D9" s="1438"/>
      <c r="E9" s="1438"/>
      <c r="F9" s="1438"/>
      <c r="G9" s="1438"/>
      <c r="H9" s="1438"/>
      <c r="I9" s="1438"/>
      <c r="J9" s="1438"/>
      <c r="K9" s="1438"/>
      <c r="L9" s="1438"/>
      <c r="M9" s="1438"/>
      <c r="N9" s="1438"/>
      <c r="O9" s="1438"/>
      <c r="P9" s="1439"/>
    </row>
    <row r="10" spans="1:16" s="1442" customFormat="1" ht="15.75" x14ac:dyDescent="0.25">
      <c r="A10" s="1438" t="s">
        <v>5893</v>
      </c>
      <c r="B10" s="1438" t="s">
        <v>5895</v>
      </c>
      <c r="C10" s="1438"/>
      <c r="D10" s="1438"/>
      <c r="E10" s="1438"/>
      <c r="F10" s="1438"/>
      <c r="G10" s="1438"/>
      <c r="H10" s="1438"/>
      <c r="I10" s="1438"/>
      <c r="J10" s="1438"/>
      <c r="K10" s="1438"/>
      <c r="L10" s="1438"/>
      <c r="M10" s="1438"/>
      <c r="N10" s="1438"/>
      <c r="O10" s="1438"/>
      <c r="P10" s="1441"/>
    </row>
    <row r="11" spans="1:16" s="1440" customFormat="1" ht="15.75" x14ac:dyDescent="0.25">
      <c r="A11" s="1438" t="s">
        <v>5894</v>
      </c>
      <c r="B11" s="1438" t="s">
        <v>5897</v>
      </c>
      <c r="C11" s="1438"/>
      <c r="D11" s="1438"/>
      <c r="E11" s="1438"/>
      <c r="F11" s="1438"/>
      <c r="G11" s="1438"/>
      <c r="H11" s="1438"/>
      <c r="I11" s="1438"/>
      <c r="J11" s="1438"/>
      <c r="K11" s="1438"/>
      <c r="L11" s="1438"/>
      <c r="M11" s="1438"/>
      <c r="N11" s="1438"/>
      <c r="O11" s="1438"/>
      <c r="P11" s="1439"/>
    </row>
    <row r="12" spans="1:16" s="1440" customFormat="1" ht="15.75" x14ac:dyDescent="0.25">
      <c r="A12" s="1438" t="s">
        <v>5896</v>
      </c>
      <c r="B12" s="1438" t="s">
        <v>5899</v>
      </c>
      <c r="C12" s="1438"/>
      <c r="D12" s="1438"/>
      <c r="E12" s="1438"/>
      <c r="F12" s="1438"/>
      <c r="G12" s="1438"/>
      <c r="H12" s="1438"/>
      <c r="I12" s="1438"/>
      <c r="J12" s="1438"/>
      <c r="K12" s="1438"/>
      <c r="L12" s="1438"/>
      <c r="M12" s="1438"/>
      <c r="N12" s="1438"/>
      <c r="O12" s="1438"/>
      <c r="P12" s="1439"/>
    </row>
    <row r="13" spans="1:16" s="1440" customFormat="1" ht="15.75" x14ac:dyDescent="0.25">
      <c r="A13" s="1438" t="s">
        <v>5898</v>
      </c>
      <c r="B13" s="1438" t="s">
        <v>5901</v>
      </c>
      <c r="C13" s="1438"/>
      <c r="D13" s="1438"/>
      <c r="E13" s="1438"/>
      <c r="F13" s="1438"/>
      <c r="G13" s="1438"/>
      <c r="H13" s="1438"/>
      <c r="I13" s="1438"/>
      <c r="J13" s="1438"/>
      <c r="K13" s="1438"/>
      <c r="L13" s="1438"/>
      <c r="M13" s="1438"/>
      <c r="N13" s="1438"/>
      <c r="O13" s="1438"/>
      <c r="P13" s="1439"/>
    </row>
    <row r="14" spans="1:16" s="1440" customFormat="1" ht="15.75" x14ac:dyDescent="0.25">
      <c r="A14" s="1438" t="s">
        <v>5900</v>
      </c>
      <c r="B14" s="1438" t="s">
        <v>5903</v>
      </c>
      <c r="C14" s="1438"/>
      <c r="D14" s="1438"/>
      <c r="E14" s="1438"/>
      <c r="F14" s="1438"/>
      <c r="G14" s="1438"/>
      <c r="H14" s="1438"/>
      <c r="I14" s="1438"/>
      <c r="J14" s="1438"/>
      <c r="K14" s="1438"/>
      <c r="L14" s="1438"/>
      <c r="M14" s="1438"/>
      <c r="N14" s="1438"/>
      <c r="O14" s="1438"/>
      <c r="P14" s="1439"/>
    </row>
    <row r="15" spans="1:16" s="1440" customFormat="1" ht="15.75" x14ac:dyDescent="0.25">
      <c r="A15" s="1438" t="s">
        <v>5902</v>
      </c>
      <c r="B15" s="1438" t="s">
        <v>5905</v>
      </c>
      <c r="C15" s="1438"/>
      <c r="D15" s="1438"/>
      <c r="E15" s="1438"/>
      <c r="F15" s="1438"/>
      <c r="G15" s="1438"/>
      <c r="H15" s="1438"/>
      <c r="I15" s="1438"/>
      <c r="J15" s="1438"/>
      <c r="K15" s="1438"/>
      <c r="L15" s="1438"/>
      <c r="M15" s="1438"/>
      <c r="N15" s="1438"/>
      <c r="O15" s="1438"/>
      <c r="P15" s="1439"/>
    </row>
    <row r="16" spans="1:16" s="1440" customFormat="1" ht="15.75" x14ac:dyDescent="0.25">
      <c r="A16" s="1438" t="s">
        <v>5904</v>
      </c>
      <c r="B16" s="1438" t="s">
        <v>5907</v>
      </c>
      <c r="C16" s="1438"/>
      <c r="D16" s="1438"/>
      <c r="E16" s="1438"/>
      <c r="F16" s="1438"/>
      <c r="G16" s="1438"/>
      <c r="H16" s="1438"/>
      <c r="I16" s="1438"/>
      <c r="J16" s="1438"/>
      <c r="K16" s="1438"/>
      <c r="L16" s="1438"/>
      <c r="M16" s="1438"/>
      <c r="N16" s="1438"/>
      <c r="O16" s="1438"/>
      <c r="P16" s="1439"/>
    </row>
    <row r="17" spans="1:16" s="1440" customFormat="1" ht="34.5" customHeight="1" x14ac:dyDescent="0.25">
      <c r="A17" s="1438" t="s">
        <v>5906</v>
      </c>
      <c r="B17" s="2305" t="s">
        <v>5909</v>
      </c>
      <c r="C17" s="2305"/>
      <c r="D17" s="2305"/>
      <c r="E17" s="2305"/>
      <c r="F17" s="2305"/>
      <c r="G17" s="2305"/>
      <c r="H17" s="2305"/>
      <c r="I17" s="2305"/>
      <c r="J17" s="2305"/>
      <c r="K17" s="2305"/>
      <c r="L17" s="2305"/>
      <c r="M17" s="2305"/>
      <c r="N17" s="1438"/>
      <c r="O17" s="1438"/>
      <c r="P17" s="1439"/>
    </row>
    <row r="18" spans="1:16" s="1440" customFormat="1" ht="15.75" x14ac:dyDescent="0.25">
      <c r="A18" s="1443" t="s">
        <v>5908</v>
      </c>
      <c r="B18" s="2305" t="s">
        <v>5911</v>
      </c>
      <c r="C18" s="2305"/>
      <c r="D18" s="2305"/>
      <c r="E18" s="2305"/>
      <c r="F18" s="2305"/>
      <c r="G18" s="2305"/>
      <c r="H18" s="2305"/>
      <c r="I18" s="2305"/>
      <c r="J18" s="2305"/>
      <c r="K18" s="2305"/>
      <c r="L18" s="2305"/>
      <c r="M18" s="2305"/>
      <c r="N18" s="1438"/>
      <c r="O18" s="1438"/>
      <c r="P18" s="1439"/>
    </row>
    <row r="19" spans="1:16" s="1440" customFormat="1" ht="15.75" x14ac:dyDescent="0.25">
      <c r="A19" s="1443" t="s">
        <v>5910</v>
      </c>
      <c r="B19" s="1438" t="s">
        <v>5913</v>
      </c>
      <c r="C19" s="1438"/>
      <c r="D19" s="1438"/>
      <c r="E19" s="1438"/>
      <c r="F19" s="1438"/>
      <c r="G19" s="1438"/>
      <c r="H19" s="1438"/>
      <c r="I19" s="1438"/>
      <c r="J19" s="1438"/>
      <c r="K19" s="1438"/>
      <c r="L19" s="1438"/>
      <c r="M19" s="1438"/>
      <c r="N19" s="1438"/>
      <c r="O19" s="1438"/>
      <c r="P19" s="1439"/>
    </row>
    <row r="20" spans="1:16" s="1440" customFormat="1" ht="15.75" x14ac:dyDescent="0.25">
      <c r="A20" s="1438" t="s">
        <v>5912</v>
      </c>
      <c r="B20" s="1438" t="s">
        <v>5915</v>
      </c>
      <c r="C20" s="1438"/>
      <c r="D20" s="1438"/>
      <c r="E20" s="1438"/>
      <c r="F20" s="1438"/>
      <c r="G20" s="1438"/>
      <c r="H20" s="1438"/>
      <c r="I20" s="1438"/>
      <c r="J20" s="1438"/>
      <c r="K20" s="1438"/>
      <c r="L20" s="1438"/>
      <c r="M20" s="1438"/>
      <c r="N20" s="1438"/>
      <c r="O20" s="1438"/>
      <c r="P20" s="1439"/>
    </row>
    <row r="21" spans="1:16" s="1440" customFormat="1" ht="15.75" x14ac:dyDescent="0.25">
      <c r="A21" s="1444" t="s">
        <v>5914</v>
      </c>
      <c r="B21" s="1438" t="s">
        <v>5917</v>
      </c>
      <c r="C21" s="1438"/>
      <c r="D21" s="1438"/>
      <c r="E21" s="1438"/>
      <c r="F21" s="1438"/>
      <c r="G21" s="1438"/>
      <c r="H21" s="1438"/>
      <c r="I21" s="1438"/>
      <c r="J21" s="1438"/>
      <c r="K21" s="1438"/>
      <c r="L21" s="1438"/>
      <c r="M21" s="1438"/>
      <c r="N21" s="1438"/>
      <c r="O21" s="1438"/>
      <c r="P21" s="1439"/>
    </row>
    <row r="22" spans="1:16" s="1440" customFormat="1" ht="15.75" x14ac:dyDescent="0.25">
      <c r="A22" s="1444" t="s">
        <v>5916</v>
      </c>
      <c r="B22" s="1438" t="s">
        <v>5919</v>
      </c>
      <c r="C22" s="1438"/>
      <c r="D22" s="1438"/>
      <c r="E22" s="1438"/>
      <c r="F22" s="1438"/>
      <c r="G22" s="1438"/>
      <c r="H22" s="1438"/>
      <c r="I22" s="1438"/>
      <c r="J22" s="1438"/>
      <c r="K22" s="1438"/>
      <c r="L22" s="1438"/>
      <c r="M22" s="1438"/>
      <c r="N22" s="1438"/>
      <c r="O22" s="1438"/>
      <c r="P22" s="1439"/>
    </row>
    <row r="23" spans="1:16" s="1440" customFormat="1" ht="31.5" customHeight="1" x14ac:dyDescent="0.25">
      <c r="A23" s="1438" t="s">
        <v>5918</v>
      </c>
      <c r="B23" s="2305" t="s">
        <v>5921</v>
      </c>
      <c r="C23" s="2305"/>
      <c r="D23" s="2305"/>
      <c r="E23" s="2305"/>
      <c r="F23" s="2305"/>
      <c r="G23" s="2305"/>
      <c r="H23" s="2305"/>
      <c r="I23" s="2305"/>
      <c r="J23" s="2305"/>
      <c r="K23" s="2305"/>
      <c r="L23" s="2305"/>
      <c r="M23" s="2305"/>
      <c r="N23" s="1438"/>
      <c r="O23" s="1438"/>
      <c r="P23" s="1439"/>
    </row>
    <row r="24" spans="1:16" s="1440" customFormat="1" ht="31.5" customHeight="1" x14ac:dyDescent="0.25">
      <c r="A24" s="1443" t="s">
        <v>5920</v>
      </c>
      <c r="B24" s="2305" t="s">
        <v>5923</v>
      </c>
      <c r="C24" s="2305"/>
      <c r="D24" s="2305"/>
      <c r="E24" s="2305"/>
      <c r="F24" s="2305"/>
      <c r="G24" s="2305"/>
      <c r="H24" s="2305"/>
      <c r="I24" s="2305"/>
      <c r="J24" s="2305"/>
      <c r="K24" s="2305"/>
      <c r="L24" s="2305"/>
      <c r="M24" s="2305"/>
      <c r="N24" s="1438"/>
      <c r="O24" s="1438"/>
      <c r="P24" s="1439"/>
    </row>
    <row r="25" spans="1:16" s="1440" customFormat="1" ht="15.75" x14ac:dyDescent="0.25">
      <c r="A25" s="1443" t="s">
        <v>5922</v>
      </c>
      <c r="B25" s="1438" t="s">
        <v>7773</v>
      </c>
      <c r="C25" s="1438"/>
      <c r="D25" s="1438"/>
      <c r="E25" s="1438"/>
      <c r="F25" s="1438"/>
      <c r="G25" s="1438"/>
      <c r="H25" s="1438"/>
      <c r="I25" s="1438"/>
      <c r="J25" s="1438"/>
      <c r="K25" s="1438"/>
      <c r="L25" s="1438"/>
      <c r="M25" s="1438"/>
      <c r="N25" s="1438"/>
      <c r="O25" s="1438"/>
      <c r="P25" s="1439"/>
    </row>
    <row r="26" spans="1:16" ht="15.75" x14ac:dyDescent="0.25">
      <c r="A26" s="238"/>
      <c r="B26" s="238"/>
      <c r="C26" s="238"/>
      <c r="D26" s="238"/>
      <c r="E26" s="238"/>
      <c r="F26" s="238"/>
      <c r="G26" s="238"/>
      <c r="H26" s="238"/>
      <c r="I26" s="238"/>
      <c r="J26" s="238"/>
      <c r="K26" s="238"/>
      <c r="L26" s="222"/>
      <c r="M26" s="222"/>
      <c r="N26" s="222"/>
      <c r="O26" s="222"/>
      <c r="P26" s="235"/>
    </row>
    <row r="27" spans="1:16" ht="15.75" x14ac:dyDescent="0.25">
      <c r="A27" s="238" t="s">
        <v>572</v>
      </c>
      <c r="B27" s="238"/>
      <c r="C27" s="238"/>
      <c r="D27" s="238"/>
      <c r="E27" s="238"/>
      <c r="F27" s="238"/>
      <c r="G27" s="238"/>
      <c r="H27" s="238"/>
      <c r="I27" s="238"/>
      <c r="J27" s="238"/>
      <c r="K27" s="238"/>
      <c r="L27" s="222"/>
      <c r="M27" s="222"/>
      <c r="N27" s="222"/>
      <c r="O27" s="222"/>
      <c r="P27" s="235"/>
    </row>
    <row r="28" spans="1:16" ht="15.75" x14ac:dyDescent="0.25">
      <c r="A28" s="238" t="s">
        <v>573</v>
      </c>
      <c r="B28" s="238"/>
      <c r="C28" s="238"/>
      <c r="D28" s="238"/>
      <c r="E28" s="238"/>
      <c r="F28" s="238"/>
      <c r="G28" s="238"/>
      <c r="H28" s="238"/>
      <c r="I28" s="238"/>
      <c r="J28" s="238"/>
      <c r="K28" s="238"/>
      <c r="L28" s="222"/>
      <c r="M28" s="222"/>
      <c r="N28" s="222"/>
      <c r="O28" s="222"/>
      <c r="P28" s="235"/>
    </row>
    <row r="29" spans="1:16" ht="15.75" x14ac:dyDescent="0.25">
      <c r="A29" s="238"/>
      <c r="B29" s="238"/>
      <c r="C29" s="238"/>
      <c r="D29" s="238"/>
      <c r="E29" s="238"/>
      <c r="F29" s="238"/>
      <c r="G29" s="238"/>
      <c r="H29" s="238"/>
      <c r="I29" s="238"/>
      <c r="J29" s="238"/>
      <c r="K29" s="238"/>
      <c r="L29" s="222"/>
      <c r="M29" s="222"/>
      <c r="N29" s="222"/>
      <c r="O29" s="222"/>
      <c r="P29" s="1200"/>
    </row>
    <row r="30" spans="1:16" ht="15.75" x14ac:dyDescent="0.25">
      <c r="A30" s="238"/>
      <c r="B30" s="238"/>
      <c r="C30" s="238"/>
      <c r="D30" s="238"/>
      <c r="E30" s="238"/>
      <c r="F30" s="238"/>
      <c r="G30" s="238"/>
      <c r="H30" s="238"/>
      <c r="I30" s="238"/>
      <c r="J30" s="238"/>
      <c r="K30" s="238"/>
      <c r="L30" s="222"/>
      <c r="M30" s="222"/>
      <c r="N30" s="222"/>
      <c r="O30" s="222"/>
      <c r="P30" s="235"/>
    </row>
    <row r="31" spans="1:16" s="208" customFormat="1" ht="15.75" x14ac:dyDescent="0.25">
      <c r="A31" s="1202" t="s">
        <v>5520</v>
      </c>
      <c r="B31" s="1203"/>
      <c r="C31" s="1204"/>
    </row>
    <row r="32" spans="1:16" s="208" customFormat="1" ht="37.5" customHeight="1" x14ac:dyDescent="0.25">
      <c r="A32" s="2298" t="s">
        <v>5521</v>
      </c>
      <c r="B32" s="2298"/>
      <c r="C32" s="2298"/>
      <c r="D32" s="2298"/>
      <c r="E32" s="2298"/>
      <c r="F32" s="2298"/>
      <c r="G32" s="2298"/>
      <c r="H32" s="1212"/>
      <c r="I32" s="312"/>
      <c r="K32" s="313" t="s">
        <v>5522</v>
      </c>
    </row>
    <row r="33" spans="1:16" s="208" customFormat="1" ht="15.75" x14ac:dyDescent="0.25">
      <c r="A33" s="1195"/>
      <c r="B33" s="1195"/>
      <c r="D33" s="884"/>
      <c r="E33" s="884"/>
      <c r="F33" s="884"/>
      <c r="G33" s="884"/>
      <c r="H33" s="884"/>
      <c r="I33" s="312"/>
      <c r="K33" s="313"/>
    </row>
    <row r="34" spans="1:16" s="208" customFormat="1" ht="15.75" x14ac:dyDescent="0.25">
      <c r="A34" s="1202" t="s">
        <v>930</v>
      </c>
      <c r="B34" s="1203"/>
      <c r="K34" s="1204"/>
    </row>
    <row r="35" spans="1:16" s="208" customFormat="1" ht="54.75" customHeight="1" x14ac:dyDescent="0.25">
      <c r="A35" s="2298" t="s">
        <v>628</v>
      </c>
      <c r="B35" s="2298"/>
      <c r="C35" s="2298"/>
      <c r="D35" s="2298"/>
      <c r="E35" s="2298"/>
      <c r="F35" s="2298"/>
      <c r="G35" s="2298"/>
      <c r="H35" s="884"/>
      <c r="I35" s="312"/>
      <c r="K35" s="313" t="s">
        <v>629</v>
      </c>
    </row>
    <row r="36" spans="1:16" s="208" customFormat="1" ht="15.75" x14ac:dyDescent="0.25">
      <c r="A36" s="1195"/>
      <c r="B36" s="1195"/>
      <c r="D36" s="884"/>
      <c r="E36" s="884"/>
      <c r="F36" s="884"/>
      <c r="G36" s="884"/>
      <c r="H36" s="884"/>
      <c r="I36" s="312"/>
      <c r="K36" s="313"/>
    </row>
    <row r="37" spans="1:16" s="208" customFormat="1" ht="14.25" customHeight="1" x14ac:dyDescent="0.25">
      <c r="A37" s="2298" t="s">
        <v>5523</v>
      </c>
      <c r="B37" s="2298"/>
      <c r="K37" s="313"/>
    </row>
    <row r="38" spans="1:16" s="208" customFormat="1" ht="21" customHeight="1" x14ac:dyDescent="0.25">
      <c r="A38" s="2298" t="s">
        <v>5524</v>
      </c>
      <c r="B38" s="2298"/>
      <c r="C38" s="2298"/>
      <c r="D38" s="2298"/>
      <c r="E38" s="2298"/>
      <c r="F38" s="2298"/>
      <c r="G38" s="2298"/>
      <c r="K38" s="313" t="s">
        <v>5525</v>
      </c>
    </row>
    <row r="39" spans="1:16" ht="15.75" x14ac:dyDescent="0.25">
      <c r="A39" s="222"/>
      <c r="B39" s="222"/>
      <c r="C39" s="222"/>
      <c r="D39" s="222"/>
      <c r="E39" s="222"/>
      <c r="F39" s="222"/>
      <c r="G39" s="238"/>
      <c r="H39" s="239"/>
      <c r="I39" s="239"/>
      <c r="J39" s="239"/>
      <c r="K39" s="222"/>
      <c r="L39" s="222"/>
      <c r="O39" s="222"/>
      <c r="P39" s="235"/>
    </row>
  </sheetData>
  <mergeCells count="14">
    <mergeCell ref="B24:M24"/>
    <mergeCell ref="A35:G35"/>
    <mergeCell ref="A38:G38"/>
    <mergeCell ref="A1:M1"/>
    <mergeCell ref="A2:M2"/>
    <mergeCell ref="A5:F5"/>
    <mergeCell ref="A6:O6"/>
    <mergeCell ref="C3:M3"/>
    <mergeCell ref="A3:B3"/>
    <mergeCell ref="A37:B37"/>
    <mergeCell ref="A32:G32"/>
    <mergeCell ref="B17:M17"/>
    <mergeCell ref="B18:M18"/>
    <mergeCell ref="B23:M23"/>
  </mergeCells>
  <pageMargins left="0.7" right="0.7" top="0.75" bottom="0.75" header="0.3" footer="0.3"/>
  <pageSetup paperSize="9" scale="62" fitToHeight="0"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32"/>
  <sheetViews>
    <sheetView topLeftCell="A19" zoomScaleNormal="100" zoomScaleSheetLayoutView="100" workbookViewId="0">
      <selection activeCell="C37" sqref="C37"/>
    </sheetView>
  </sheetViews>
  <sheetFormatPr defaultColWidth="9.140625" defaultRowHeight="15.75" x14ac:dyDescent="0.25"/>
  <cols>
    <col min="1" max="1" width="30.28515625" style="208" customWidth="1"/>
    <col min="2" max="2" width="30.140625" style="208" customWidth="1"/>
    <col min="3" max="3" width="60.7109375" style="208" customWidth="1"/>
    <col min="4" max="16384" width="9.140625" style="208"/>
  </cols>
  <sheetData>
    <row r="1" spans="1:3" x14ac:dyDescent="0.25">
      <c r="A1" s="2296" t="s">
        <v>645</v>
      </c>
      <c r="B1" s="2296"/>
      <c r="C1" s="2296"/>
    </row>
    <row r="2" spans="1:3" ht="29.25" customHeight="1" x14ac:dyDescent="0.25">
      <c r="A2" s="2315" t="s">
        <v>7774</v>
      </c>
      <c r="B2" s="2315"/>
      <c r="C2" s="2315"/>
    </row>
    <row r="3" spans="1:3" ht="25.5" customHeight="1" x14ac:dyDescent="0.25">
      <c r="A3" s="2300" t="s">
        <v>7807</v>
      </c>
      <c r="B3" s="2300"/>
      <c r="C3" s="2300"/>
    </row>
    <row r="4" spans="1:3" ht="33.75" customHeight="1" x14ac:dyDescent="0.25">
      <c r="A4" s="2297" t="s">
        <v>7806</v>
      </c>
      <c r="B4" s="2297"/>
      <c r="C4" s="2297"/>
    </row>
    <row r="5" spans="1:3" s="1211" customFormat="1" ht="120" customHeight="1" x14ac:dyDescent="0.25">
      <c r="A5" s="2293" t="s">
        <v>9113</v>
      </c>
      <c r="B5" s="2293"/>
      <c r="C5" s="2293"/>
    </row>
    <row r="6" spans="1:3" x14ac:dyDescent="0.25">
      <c r="A6" s="2294" t="s">
        <v>561</v>
      </c>
      <c r="B6" s="2294"/>
      <c r="C6" s="2294"/>
    </row>
    <row r="7" spans="1:3" ht="23.25" customHeight="1" x14ac:dyDescent="0.25">
      <c r="A7" s="2294" t="s">
        <v>4324</v>
      </c>
      <c r="B7" s="2294"/>
      <c r="C7" s="2294"/>
    </row>
    <row r="8" spans="1:3" s="1211" customFormat="1" ht="129.75" customHeight="1" x14ac:dyDescent="0.25">
      <c r="A8" s="2301" t="s">
        <v>7775</v>
      </c>
      <c r="B8" s="2301"/>
      <c r="C8" s="2301"/>
    </row>
    <row r="9" spans="1:3" s="1211" customFormat="1" ht="22.5" customHeight="1" x14ac:dyDescent="0.25">
      <c r="A9" s="2302" t="s">
        <v>5526</v>
      </c>
      <c r="B9" s="2302"/>
      <c r="C9" s="2302"/>
    </row>
    <row r="10" spans="1:3" s="1211" customFormat="1" ht="41.25" customHeight="1" x14ac:dyDescent="0.25">
      <c r="A10" s="2313" t="s">
        <v>7776</v>
      </c>
      <c r="B10" s="2313"/>
      <c r="C10" s="2313"/>
    </row>
    <row r="11" spans="1:3" s="1211" customFormat="1" ht="78" customHeight="1" x14ac:dyDescent="0.25">
      <c r="A11" s="2293" t="s">
        <v>7777</v>
      </c>
      <c r="B11" s="2293"/>
      <c r="C11" s="2293"/>
    </row>
    <row r="12" spans="1:3" ht="30.75" customHeight="1" x14ac:dyDescent="0.25">
      <c r="A12" s="2304" t="s">
        <v>562</v>
      </c>
      <c r="B12" s="2304"/>
      <c r="C12" s="2304"/>
    </row>
    <row r="13" spans="1:3" s="1211" customFormat="1" ht="138" customHeight="1" x14ac:dyDescent="0.25">
      <c r="A13" s="2301" t="s">
        <v>7778</v>
      </c>
      <c r="B13" s="2301"/>
      <c r="C13" s="2301"/>
    </row>
    <row r="14" spans="1:3" s="1211" customFormat="1" ht="45" customHeight="1" x14ac:dyDescent="0.25">
      <c r="A14" s="2293" t="s">
        <v>7779</v>
      </c>
      <c r="B14" s="2293"/>
      <c r="C14" s="2293"/>
    </row>
    <row r="15" spans="1:3" s="1211" customFormat="1" ht="50.25" customHeight="1" x14ac:dyDescent="0.25">
      <c r="A15" s="2313" t="s">
        <v>7776</v>
      </c>
      <c r="B15" s="2313"/>
      <c r="C15" s="2313"/>
    </row>
    <row r="16" spans="1:3" s="1211" customFormat="1" ht="89.25" customHeight="1" x14ac:dyDescent="0.25">
      <c r="A16" s="2293" t="s">
        <v>7777</v>
      </c>
      <c r="B16" s="2293"/>
      <c r="C16" s="2293"/>
    </row>
    <row r="17" spans="1:5" s="1884" customFormat="1" ht="24" hidden="1" customHeight="1" x14ac:dyDescent="0.25">
      <c r="A17" s="2314" t="s">
        <v>7780</v>
      </c>
      <c r="B17" s="2314"/>
      <c r="C17" s="2314"/>
    </row>
    <row r="18" spans="1:5" s="1884" customFormat="1" ht="89.25" hidden="1" customHeight="1" x14ac:dyDescent="0.25">
      <c r="A18" s="2312" t="s">
        <v>7781</v>
      </c>
      <c r="B18" s="2312"/>
      <c r="C18" s="2312"/>
    </row>
    <row r="19" spans="1:5" s="1211" customFormat="1" ht="24" customHeight="1" x14ac:dyDescent="0.25">
      <c r="A19" s="2294"/>
      <c r="B19" s="2294"/>
      <c r="C19" s="2294"/>
    </row>
    <row r="20" spans="1:5" s="1211" customFormat="1" ht="33.75" customHeight="1" x14ac:dyDescent="0.25">
      <c r="A20" s="2293" t="s">
        <v>7782</v>
      </c>
      <c r="B20" s="2293"/>
      <c r="C20" s="2293"/>
    </row>
    <row r="21" spans="1:5" ht="33.75" customHeight="1" x14ac:dyDescent="0.25">
      <c r="A21" s="1885" t="s">
        <v>565</v>
      </c>
      <c r="B21" s="1886"/>
      <c r="C21" s="1887"/>
    </row>
    <row r="22" spans="1:5" x14ac:dyDescent="0.25">
      <c r="A22" s="2299"/>
      <c r="B22" s="2300"/>
      <c r="C22" s="2300"/>
    </row>
    <row r="23" spans="1:5" ht="27.75" customHeight="1" x14ac:dyDescent="0.25">
      <c r="A23" s="1849"/>
      <c r="B23" s="1210">
        <f>НМЦ!$E$20</f>
        <v>21594820.899999999</v>
      </c>
      <c r="C23" s="1853" t="s">
        <v>566</v>
      </c>
    </row>
    <row r="24" spans="1:5" ht="27.75" customHeight="1" x14ac:dyDescent="0.25">
      <c r="A24" s="1849"/>
      <c r="B24" s="1210"/>
      <c r="C24" s="1853"/>
    </row>
    <row r="25" spans="1:5" x14ac:dyDescent="0.25">
      <c r="A25" s="1202" t="s">
        <v>5520</v>
      </c>
      <c r="B25" s="1203"/>
      <c r="C25" s="1204"/>
    </row>
    <row r="26" spans="1:5" ht="69" customHeight="1" x14ac:dyDescent="0.25">
      <c r="A26" s="2311" t="s">
        <v>7783</v>
      </c>
      <c r="B26" s="2311"/>
      <c r="C26" s="1888" t="s">
        <v>7784</v>
      </c>
    </row>
    <row r="27" spans="1:5" x14ac:dyDescent="0.25">
      <c r="A27" s="1889"/>
      <c r="B27" s="1889"/>
      <c r="C27" s="1890"/>
      <c r="E27" s="1888"/>
    </row>
    <row r="28" spans="1:5" x14ac:dyDescent="0.25">
      <c r="A28" s="1891" t="s">
        <v>930</v>
      </c>
      <c r="B28" s="1203"/>
      <c r="C28" s="1892"/>
      <c r="E28" s="1204"/>
    </row>
    <row r="29" spans="1:5" ht="61.5" customHeight="1" x14ac:dyDescent="0.25">
      <c r="A29" s="2311" t="s">
        <v>8996</v>
      </c>
      <c r="B29" s="2311"/>
      <c r="C29" s="1888" t="s">
        <v>567</v>
      </c>
    </row>
    <row r="30" spans="1:5" x14ac:dyDescent="0.25">
      <c r="A30" s="1889"/>
      <c r="B30" s="1889"/>
      <c r="C30" s="1890"/>
      <c r="E30" s="1888"/>
    </row>
    <row r="31" spans="1:5" ht="14.25" customHeight="1" x14ac:dyDescent="0.25">
      <c r="A31" s="2311" t="s">
        <v>5523</v>
      </c>
      <c r="B31" s="2311"/>
      <c r="C31" s="1892"/>
      <c r="E31" s="1888"/>
    </row>
    <row r="32" spans="1:5" ht="35.25" customHeight="1" x14ac:dyDescent="0.25">
      <c r="A32" s="2311" t="s">
        <v>5524</v>
      </c>
      <c r="B32" s="2311"/>
      <c r="C32" s="1888" t="s">
        <v>7785</v>
      </c>
    </row>
  </sheetData>
  <mergeCells count="25">
    <mergeCell ref="A6:C6"/>
    <mergeCell ref="A1:C1"/>
    <mergeCell ref="A2:C2"/>
    <mergeCell ref="A3:C3"/>
    <mergeCell ref="A4:C4"/>
    <mergeCell ref="A5:C5"/>
    <mergeCell ref="A18:C18"/>
    <mergeCell ref="A7:C7"/>
    <mergeCell ref="A8:C8"/>
    <mergeCell ref="A9:C9"/>
    <mergeCell ref="A10:C10"/>
    <mergeCell ref="A11:C11"/>
    <mergeCell ref="A12:C12"/>
    <mergeCell ref="A13:C13"/>
    <mergeCell ref="A14:C14"/>
    <mergeCell ref="A15:C15"/>
    <mergeCell ref="A16:C16"/>
    <mergeCell ref="A17:C17"/>
    <mergeCell ref="A32:B32"/>
    <mergeCell ref="A19:C19"/>
    <mergeCell ref="A20:C20"/>
    <mergeCell ref="A22:C22"/>
    <mergeCell ref="A26:B26"/>
    <mergeCell ref="A29:B29"/>
    <mergeCell ref="A31:B31"/>
  </mergeCells>
  <pageMargins left="0.70866141732283472" right="0.70866141732283472" top="0.74803149606299213" bottom="0.74803149606299213" header="0.31496062992125984" footer="0.31496062992125984"/>
  <pageSetup paperSize="9" scale="73" fitToHeight="0"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40"/>
  <sheetViews>
    <sheetView topLeftCell="A10" zoomScaleNormal="100" zoomScaleSheetLayoutView="100" workbookViewId="0">
      <selection activeCell="N17" sqref="N17"/>
    </sheetView>
  </sheetViews>
  <sheetFormatPr defaultColWidth="9.140625" defaultRowHeight="15" x14ac:dyDescent="0.25"/>
  <cols>
    <col min="1" max="6" width="9.140625" style="204"/>
    <col min="7" max="7" width="15.28515625" style="204" customWidth="1"/>
    <col min="8" max="16384" width="9.140625" style="204"/>
  </cols>
  <sheetData>
    <row r="1" spans="1:11" ht="15.75" x14ac:dyDescent="0.25">
      <c r="A1" s="2306" t="s">
        <v>646</v>
      </c>
      <c r="B1" s="2306"/>
      <c r="C1" s="2306"/>
      <c r="D1" s="2306"/>
      <c r="E1" s="2306"/>
      <c r="F1" s="2306"/>
      <c r="G1" s="2306"/>
      <c r="H1" s="2306"/>
      <c r="I1" s="2306"/>
      <c r="J1" s="2306"/>
      <c r="K1" s="2306"/>
    </row>
    <row r="2" spans="1:11" ht="15.75" x14ac:dyDescent="0.25">
      <c r="A2" s="2306" t="s">
        <v>568</v>
      </c>
      <c r="B2" s="2306"/>
      <c r="C2" s="2306"/>
      <c r="D2" s="2306"/>
      <c r="E2" s="2306"/>
      <c r="F2" s="2306"/>
      <c r="G2" s="2306"/>
      <c r="H2" s="2306"/>
      <c r="I2" s="2306"/>
      <c r="J2" s="2306"/>
      <c r="K2" s="2306"/>
    </row>
    <row r="3" spans="1:11" ht="15.75" x14ac:dyDescent="0.25">
      <c r="A3" s="2319" t="s">
        <v>7786</v>
      </c>
      <c r="B3" s="2319"/>
      <c r="C3" s="2319"/>
      <c r="D3" s="2319"/>
      <c r="E3" s="2319"/>
      <c r="F3" s="2319"/>
      <c r="G3" s="2319"/>
      <c r="H3" s="2319"/>
      <c r="I3" s="2319"/>
      <c r="J3" s="2319"/>
      <c r="K3" s="2319"/>
    </row>
    <row r="4" spans="1:11" ht="15.75" x14ac:dyDescent="0.25">
      <c r="A4" s="1893"/>
      <c r="B4" s="1893"/>
      <c r="C4" s="1893"/>
      <c r="D4" s="1893"/>
      <c r="E4" s="1893"/>
      <c r="F4" s="1893"/>
      <c r="G4" s="1893"/>
      <c r="H4" s="1893"/>
      <c r="I4" s="1893"/>
      <c r="J4" s="1893"/>
      <c r="K4" s="1893"/>
    </row>
    <row r="5" spans="1:11" ht="38.25" customHeight="1" x14ac:dyDescent="0.25">
      <c r="A5" s="2310" t="s">
        <v>7787</v>
      </c>
      <c r="B5" s="2310"/>
      <c r="C5" s="2307" t="str">
        <f>Пояснительная!A4</f>
        <v>«Всесезонный туристско-рекреационный комплекс «Мамисон», 
Республика Северная Осетия-Алания. Кампус»</v>
      </c>
      <c r="D5" s="2307"/>
      <c r="E5" s="2307"/>
      <c r="F5" s="2307"/>
      <c r="G5" s="2307"/>
      <c r="H5" s="2307"/>
      <c r="I5" s="2307"/>
      <c r="J5" s="2307"/>
      <c r="K5" s="2307"/>
    </row>
    <row r="6" spans="1:11" ht="15.75" x14ac:dyDescent="0.25">
      <c r="A6" s="1852"/>
      <c r="B6" s="1852"/>
      <c r="C6" s="1851"/>
      <c r="D6" s="1851"/>
      <c r="E6" s="1851"/>
      <c r="F6" s="1851"/>
      <c r="G6" s="1851"/>
      <c r="H6" s="1851"/>
      <c r="I6" s="1851"/>
      <c r="J6" s="1851"/>
      <c r="K6" s="1851"/>
    </row>
    <row r="7" spans="1:11" ht="35.25" customHeight="1" x14ac:dyDescent="0.25">
      <c r="A7" s="2307" t="s">
        <v>570</v>
      </c>
      <c r="B7" s="2307"/>
      <c r="C7" s="2307"/>
      <c r="D7" s="2307"/>
      <c r="E7" s="2307"/>
      <c r="F7" s="2307"/>
      <c r="G7" s="237">
        <f>НМЦ!$E$20</f>
        <v>21594820.899999999</v>
      </c>
      <c r="H7" s="236"/>
      <c r="I7" s="236"/>
      <c r="J7" s="236"/>
      <c r="K7" s="236"/>
    </row>
    <row r="8" spans="1:11" ht="15.75" x14ac:dyDescent="0.25">
      <c r="A8" s="2308" t="str">
        <f>CONCATENATE("(",[33]!СуммаПрописью(G7),")")</f>
        <v>(Двадцать один миллион пятьсот девяносто четыре тысячи восемьсот двадцать рублей 90 копеек)</v>
      </c>
      <c r="B8" s="2308"/>
      <c r="C8" s="2308"/>
      <c r="D8" s="2308"/>
      <c r="E8" s="2308"/>
      <c r="F8" s="2308"/>
      <c r="G8" s="2308"/>
      <c r="H8" s="2308"/>
      <c r="I8" s="2308"/>
      <c r="J8" s="2308"/>
      <c r="K8" s="2308"/>
    </row>
    <row r="9" spans="1:11" ht="29.25" customHeight="1" x14ac:dyDescent="0.25">
      <c r="A9" s="222" t="s">
        <v>571</v>
      </c>
      <c r="B9" s="222"/>
      <c r="C9" s="222"/>
      <c r="D9" s="222"/>
      <c r="E9" s="222"/>
      <c r="F9" s="222"/>
      <c r="G9" s="222"/>
      <c r="H9" s="222"/>
      <c r="I9" s="222"/>
      <c r="J9" s="222"/>
      <c r="K9" s="222"/>
    </row>
    <row r="10" spans="1:11" s="1894" customFormat="1" ht="15.75" x14ac:dyDescent="0.25">
      <c r="A10" s="238" t="s">
        <v>7788</v>
      </c>
      <c r="B10" s="238"/>
      <c r="C10" s="238"/>
      <c r="D10" s="238"/>
      <c r="E10" s="238"/>
      <c r="F10" s="222"/>
      <c r="G10" s="222"/>
      <c r="H10" s="222"/>
      <c r="I10" s="222"/>
      <c r="J10" s="222"/>
      <c r="K10" s="222"/>
    </row>
    <row r="11" spans="1:11" s="1894" customFormat="1" ht="15.75" x14ac:dyDescent="0.25">
      <c r="A11" s="1895" t="s">
        <v>7789</v>
      </c>
      <c r="C11" s="238"/>
      <c r="D11" s="238"/>
      <c r="E11" s="238"/>
      <c r="F11" s="222"/>
      <c r="G11" s="222"/>
      <c r="H11" s="222"/>
      <c r="I11" s="222"/>
      <c r="J11" s="222"/>
      <c r="K11" s="222"/>
    </row>
    <row r="12" spans="1:11" s="1894" customFormat="1" ht="15.75" x14ac:dyDescent="0.25">
      <c r="A12" s="1895" t="s">
        <v>7790</v>
      </c>
      <c r="C12" s="238"/>
      <c r="D12" s="238"/>
      <c r="E12" s="238"/>
      <c r="F12" s="222"/>
      <c r="G12" s="222"/>
      <c r="H12" s="222"/>
      <c r="I12" s="222"/>
      <c r="J12" s="222"/>
      <c r="K12" s="222"/>
    </row>
    <row r="13" spans="1:11" s="1894" customFormat="1" ht="15.75" hidden="1" x14ac:dyDescent="0.25">
      <c r="A13" s="1895" t="s">
        <v>7791</v>
      </c>
      <c r="C13" s="238"/>
      <c r="D13" s="238"/>
      <c r="E13" s="238"/>
      <c r="F13" s="222"/>
      <c r="G13" s="222"/>
      <c r="H13" s="222"/>
      <c r="I13" s="222"/>
      <c r="J13" s="222"/>
      <c r="K13" s="222"/>
    </row>
    <row r="14" spans="1:11" s="1894" customFormat="1" ht="23.25" customHeight="1" x14ac:dyDescent="0.25">
      <c r="A14" s="1896" t="s">
        <v>7793</v>
      </c>
      <c r="B14" s="1897"/>
      <c r="C14" s="1898"/>
      <c r="D14" s="1898"/>
      <c r="E14" s="1898"/>
      <c r="F14" s="1899"/>
      <c r="G14" s="1899"/>
      <c r="H14" s="1899"/>
      <c r="I14" s="1899"/>
      <c r="J14" s="1899"/>
      <c r="K14" s="1899"/>
    </row>
    <row r="15" spans="1:11" s="1894" customFormat="1" ht="15.75" x14ac:dyDescent="0.25">
      <c r="A15" s="1895" t="s">
        <v>7792</v>
      </c>
      <c r="C15" s="238"/>
      <c r="D15" s="238"/>
      <c r="E15" s="238"/>
      <c r="F15" s="222"/>
      <c r="G15" s="222"/>
      <c r="H15" s="222"/>
      <c r="I15" s="222"/>
      <c r="J15" s="222"/>
      <c r="K15" s="222"/>
    </row>
    <row r="16" spans="1:11" s="1894" customFormat="1" ht="15.75" x14ac:dyDescent="0.25">
      <c r="A16" s="1895" t="s">
        <v>7794</v>
      </c>
      <c r="C16" s="238"/>
      <c r="D16" s="238"/>
      <c r="E16" s="238"/>
      <c r="F16" s="222"/>
      <c r="G16" s="222"/>
      <c r="H16" s="222"/>
      <c r="I16" s="222"/>
      <c r="J16" s="222"/>
      <c r="K16" s="222"/>
    </row>
    <row r="17" spans="1:11" s="1894" customFormat="1" ht="15.75" x14ac:dyDescent="0.25">
      <c r="A17" s="1895" t="s">
        <v>7795</v>
      </c>
      <c r="C17" s="238"/>
      <c r="D17" s="238"/>
      <c r="E17" s="238"/>
      <c r="F17" s="222"/>
      <c r="G17" s="222"/>
      <c r="H17" s="222"/>
      <c r="I17" s="222"/>
      <c r="J17" s="222"/>
      <c r="K17" s="222"/>
    </row>
    <row r="18" spans="1:11" s="1900" customFormat="1" ht="15.75" hidden="1" x14ac:dyDescent="0.25">
      <c r="A18" s="2320" t="s">
        <v>7796</v>
      </c>
      <c r="B18" s="2320"/>
      <c r="C18" s="2320"/>
      <c r="D18" s="2320"/>
      <c r="E18" s="2320"/>
      <c r="F18" s="2320"/>
      <c r="G18" s="2320"/>
      <c r="H18" s="2320"/>
      <c r="I18" s="2320"/>
      <c r="J18" s="2320"/>
      <c r="K18" s="2320"/>
    </row>
    <row r="19" spans="1:11" s="1900" customFormat="1" ht="34.5" hidden="1" customHeight="1" x14ac:dyDescent="0.25">
      <c r="A19" s="2321" t="s">
        <v>7797</v>
      </c>
      <c r="B19" s="2321"/>
      <c r="C19" s="2321"/>
      <c r="D19" s="2321"/>
      <c r="E19" s="2321"/>
      <c r="F19" s="2321"/>
      <c r="G19" s="2321"/>
      <c r="H19" s="2321"/>
      <c r="I19" s="2321"/>
      <c r="J19" s="2321"/>
      <c r="K19" s="2321"/>
    </row>
    <row r="20" spans="1:11" s="1894" customFormat="1" ht="22.5" customHeight="1" x14ac:dyDescent="0.25">
      <c r="A20" s="1898" t="s">
        <v>7798</v>
      </c>
      <c r="B20" s="222"/>
      <c r="C20" s="222"/>
      <c r="D20" s="222"/>
      <c r="E20" s="222"/>
      <c r="F20" s="222"/>
      <c r="G20" s="222"/>
      <c r="H20" s="222"/>
      <c r="I20" s="222"/>
      <c r="J20" s="222"/>
      <c r="K20" s="222"/>
    </row>
    <row r="21" spans="1:11" s="1894" customFormat="1" ht="16.5" hidden="1" customHeight="1" x14ac:dyDescent="0.25">
      <c r="A21" s="2322" t="s">
        <v>7799</v>
      </c>
      <c r="B21" s="2322"/>
      <c r="C21" s="2322"/>
      <c r="D21" s="2322"/>
      <c r="E21" s="2322"/>
      <c r="F21" s="2322"/>
      <c r="G21" s="2322"/>
      <c r="H21" s="2322"/>
      <c r="I21" s="2322"/>
      <c r="J21" s="2322"/>
      <c r="K21" s="2322"/>
    </row>
    <row r="22" spans="1:11" s="1894" customFormat="1" ht="35.25" hidden="1" customHeight="1" x14ac:dyDescent="0.25">
      <c r="A22" s="2323" t="s">
        <v>7800</v>
      </c>
      <c r="B22" s="2322"/>
      <c r="C22" s="2322"/>
      <c r="D22" s="2322"/>
      <c r="E22" s="2322"/>
      <c r="F22" s="2322"/>
      <c r="G22" s="2322"/>
      <c r="H22" s="2322"/>
      <c r="I22" s="2322"/>
      <c r="J22" s="2322"/>
      <c r="K22" s="2322"/>
    </row>
    <row r="23" spans="1:11" ht="18.75" hidden="1" customHeight="1" x14ac:dyDescent="0.25">
      <c r="A23" s="2318" t="s">
        <v>7801</v>
      </c>
      <c r="B23" s="2318"/>
      <c r="C23" s="2318"/>
      <c r="D23" s="2318"/>
      <c r="E23" s="2318"/>
      <c r="F23" s="2318"/>
      <c r="G23" s="2318"/>
      <c r="H23" s="2318"/>
      <c r="I23" s="2318"/>
      <c r="J23" s="2318"/>
      <c r="K23" s="2318"/>
    </row>
    <row r="24" spans="1:11" ht="15.75" hidden="1" x14ac:dyDescent="0.25">
      <c r="A24" s="1939" t="s">
        <v>7802</v>
      </c>
      <c r="B24" s="1940"/>
      <c r="C24" s="1940"/>
      <c r="D24" s="1940"/>
      <c r="E24" s="1940"/>
      <c r="F24" s="1940"/>
      <c r="G24" s="1940"/>
      <c r="H24" s="1940"/>
      <c r="I24" s="1940"/>
      <c r="J24" s="1940"/>
      <c r="K24" s="1940"/>
    </row>
    <row r="25" spans="1:11" ht="15.75" hidden="1" x14ac:dyDescent="0.25">
      <c r="A25" s="1939" t="s">
        <v>7803</v>
      </c>
      <c r="B25" s="1940"/>
      <c r="C25" s="1940"/>
      <c r="D25" s="1940"/>
      <c r="E25" s="1940"/>
      <c r="F25" s="1940"/>
      <c r="G25" s="1940"/>
      <c r="H25" s="1940"/>
      <c r="I25" s="1940"/>
      <c r="J25" s="1940"/>
      <c r="K25" s="1940"/>
    </row>
    <row r="26" spans="1:11" ht="36" customHeight="1" x14ac:dyDescent="0.25">
      <c r="A26" s="2317" t="s">
        <v>7804</v>
      </c>
      <c r="B26" s="2317"/>
      <c r="C26" s="2317"/>
      <c r="D26" s="2317"/>
      <c r="E26" s="2317"/>
      <c r="F26" s="2317"/>
      <c r="G26" s="2317"/>
      <c r="H26" s="2317"/>
      <c r="I26" s="2317"/>
      <c r="J26" s="2317"/>
      <c r="K26" s="2317"/>
    </row>
    <row r="27" spans="1:11" ht="15.6" customHeight="1" x14ac:dyDescent="0.25">
      <c r="A27" s="1898"/>
      <c r="B27" s="1901"/>
      <c r="C27" s="1901"/>
      <c r="D27" s="1902"/>
      <c r="E27" s="238"/>
      <c r="F27" s="238"/>
      <c r="G27" s="238"/>
      <c r="H27" s="238"/>
      <c r="I27" s="238"/>
      <c r="J27" s="238"/>
      <c r="K27" s="238"/>
    </row>
    <row r="28" spans="1:11" s="1894" customFormat="1" ht="15.75" x14ac:dyDescent="0.25">
      <c r="A28" s="238" t="s">
        <v>7805</v>
      </c>
      <c r="B28" s="238"/>
      <c r="C28" s="238"/>
      <c r="D28" s="238"/>
      <c r="E28" s="238"/>
      <c r="F28" s="238"/>
      <c r="G28" s="238"/>
      <c r="H28" s="238"/>
      <c r="I28" s="238"/>
      <c r="J28" s="238"/>
      <c r="K28" s="238"/>
    </row>
    <row r="29" spans="1:11" ht="15.75" x14ac:dyDescent="0.25">
      <c r="A29" s="238"/>
      <c r="B29" s="238"/>
      <c r="C29" s="238"/>
      <c r="D29" s="238"/>
      <c r="E29" s="238"/>
      <c r="F29" s="238"/>
      <c r="G29" s="238"/>
      <c r="H29" s="238"/>
      <c r="I29" s="238"/>
      <c r="J29" s="238"/>
      <c r="K29" s="238"/>
    </row>
    <row r="30" spans="1:11" ht="15.75" x14ac:dyDescent="0.25">
      <c r="A30" s="238" t="s">
        <v>572</v>
      </c>
      <c r="B30" s="238"/>
      <c r="C30" s="238"/>
      <c r="D30" s="238"/>
      <c r="E30" s="238"/>
      <c r="F30" s="238"/>
      <c r="G30" s="238"/>
      <c r="H30" s="238"/>
      <c r="I30" s="238"/>
      <c r="J30" s="238"/>
      <c r="K30" s="238"/>
    </row>
    <row r="31" spans="1:11" ht="15.75" x14ac:dyDescent="0.25">
      <c r="A31" s="238" t="s">
        <v>573</v>
      </c>
      <c r="B31" s="238"/>
      <c r="C31" s="238"/>
      <c r="D31" s="238"/>
      <c r="E31" s="238"/>
      <c r="F31" s="238"/>
      <c r="G31" s="238"/>
      <c r="H31" s="238"/>
      <c r="I31" s="238"/>
      <c r="J31" s="238"/>
      <c r="K31" s="238"/>
    </row>
    <row r="32" spans="1:11" ht="15.75" x14ac:dyDescent="0.25">
      <c r="A32" s="238"/>
      <c r="B32" s="238"/>
      <c r="C32" s="238"/>
      <c r="D32" s="238"/>
      <c r="E32" s="238"/>
      <c r="F32" s="238"/>
      <c r="G32" s="238"/>
      <c r="H32" s="238"/>
      <c r="I32" s="238"/>
      <c r="J32" s="238"/>
      <c r="K32" s="238"/>
    </row>
    <row r="33" spans="1:11" s="208" customFormat="1" ht="15.75" x14ac:dyDescent="0.25">
      <c r="A33" s="1202" t="s">
        <v>5520</v>
      </c>
      <c r="B33" s="1203"/>
      <c r="C33" s="1204"/>
    </row>
    <row r="34" spans="1:11" ht="74.25" customHeight="1" x14ac:dyDescent="0.25">
      <c r="A34" s="2311" t="str">
        <f>Пояснительная!A26</f>
        <v>Начальник отдела ценообразования
управления проектов
департамента развития инфраструктуры</v>
      </c>
      <c r="B34" s="2311"/>
      <c r="C34" s="2311"/>
      <c r="D34" s="2311"/>
      <c r="E34" s="2311"/>
      <c r="F34" s="2311"/>
      <c r="G34" s="2311"/>
      <c r="I34" s="2316" t="str">
        <f>Пояснительная!C26</f>
        <v>А.Ю. Татаринов</v>
      </c>
      <c r="J34" s="2316"/>
      <c r="K34" s="2316"/>
    </row>
    <row r="35" spans="1:11" ht="15.75" x14ac:dyDescent="0.25">
      <c r="A35" s="1889"/>
      <c r="B35" s="1889"/>
      <c r="J35" s="1890"/>
    </row>
    <row r="36" spans="1:11" ht="15.75" x14ac:dyDescent="0.25">
      <c r="A36" s="1891" t="s">
        <v>930</v>
      </c>
      <c r="B36" s="1203"/>
      <c r="J36" s="1892"/>
    </row>
    <row r="37" spans="1:11" ht="61.5" customHeight="1" x14ac:dyDescent="0.25">
      <c r="A37" s="2311" t="str">
        <f>Пояснительная!A29</f>
        <v>Заместитель директора департамента 
по ценообразованию и сметному регулированию 
Департамента развития инфраструктуры</v>
      </c>
      <c r="B37" s="2311"/>
      <c r="C37" s="2311"/>
      <c r="D37" s="2311"/>
      <c r="E37" s="2311"/>
      <c r="F37" s="2311"/>
      <c r="G37" s="2311"/>
      <c r="I37" s="2316" t="str">
        <f>Пояснительная!C29</f>
        <v>Е.А. Татаринова</v>
      </c>
      <c r="J37" s="2316"/>
      <c r="K37" s="2316"/>
    </row>
    <row r="38" spans="1:11" ht="15.75" x14ac:dyDescent="0.25">
      <c r="A38" s="1889"/>
      <c r="B38" s="1889"/>
      <c r="J38" s="1890"/>
    </row>
    <row r="39" spans="1:11" ht="15.75" x14ac:dyDescent="0.25">
      <c r="A39" s="2311" t="s">
        <v>5523</v>
      </c>
      <c r="B39" s="2311"/>
      <c r="J39" s="1892"/>
    </row>
    <row r="40" spans="1:11" ht="57" customHeight="1" x14ac:dyDescent="0.25">
      <c r="A40" s="2311" t="str">
        <f>Пояснительная!A32</f>
        <v>Директор Департамента развития инфраструктуры</v>
      </c>
      <c r="B40" s="2311"/>
      <c r="C40" s="2311"/>
      <c r="D40" s="2311"/>
      <c r="E40" s="2311"/>
      <c r="F40" s="2311"/>
      <c r="G40" s="2311"/>
      <c r="I40" s="2316" t="str">
        <f>Пояснительная!C32</f>
        <v>И.В. Евдокимов</v>
      </c>
      <c r="J40" s="2316"/>
      <c r="K40" s="2316"/>
    </row>
  </sheetData>
  <mergeCells count="20">
    <mergeCell ref="A23:K23"/>
    <mergeCell ref="A1:K1"/>
    <mergeCell ref="A2:K2"/>
    <mergeCell ref="A3:K3"/>
    <mergeCell ref="A5:B5"/>
    <mergeCell ref="C5:K5"/>
    <mergeCell ref="A7:F7"/>
    <mergeCell ref="A8:K8"/>
    <mergeCell ref="A18:K18"/>
    <mergeCell ref="A19:K19"/>
    <mergeCell ref="A21:K21"/>
    <mergeCell ref="A22:K22"/>
    <mergeCell ref="A40:G40"/>
    <mergeCell ref="I40:K40"/>
    <mergeCell ref="A26:K26"/>
    <mergeCell ref="A34:G34"/>
    <mergeCell ref="I34:K34"/>
    <mergeCell ref="A37:G37"/>
    <mergeCell ref="I37:K37"/>
    <mergeCell ref="A39:B39"/>
  </mergeCells>
  <pageMargins left="0.7" right="0.7" top="0.75" bottom="0.75" header="0.3" footer="0.3"/>
  <pageSetup paperSize="9" scale="83" fitToHeight="0"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S45"/>
  <sheetViews>
    <sheetView view="pageBreakPreview" topLeftCell="A8" zoomScaleNormal="100" zoomScaleSheetLayoutView="100" workbookViewId="0">
      <selection activeCell="B25" sqref="B25"/>
    </sheetView>
  </sheetViews>
  <sheetFormatPr defaultColWidth="9.140625" defaultRowHeight="15" x14ac:dyDescent="0.25"/>
  <cols>
    <col min="1" max="1" width="5.42578125" style="204" customWidth="1"/>
    <col min="2" max="2" width="52.42578125" style="204" customWidth="1"/>
    <col min="3" max="3" width="16.140625" style="204" customWidth="1"/>
    <col min="4" max="4" width="20.28515625" style="204" customWidth="1"/>
    <col min="5" max="5" width="16.140625" style="204" customWidth="1"/>
    <col min="6" max="6" width="15.42578125" style="204" customWidth="1"/>
    <col min="7" max="7" width="12.42578125" style="204" bestFit="1" customWidth="1"/>
    <col min="8" max="8" width="15.42578125" style="204" customWidth="1"/>
    <col min="9" max="9" width="9.140625" style="204"/>
    <col min="10" max="10" width="11.7109375" style="204" bestFit="1" customWidth="1"/>
    <col min="11" max="11" width="9.140625" style="204"/>
    <col min="12" max="12" width="12" style="204" bestFit="1" customWidth="1"/>
    <col min="13" max="13" width="12.42578125" style="204" bestFit="1" customWidth="1"/>
    <col min="14" max="15" width="9.140625" style="204"/>
    <col min="16" max="16" width="9.85546875" style="204" bestFit="1" customWidth="1"/>
    <col min="17" max="16384" width="9.140625" style="204"/>
  </cols>
  <sheetData>
    <row r="1" spans="1:19" ht="15.75" x14ac:dyDescent="0.25">
      <c r="A1" s="2315" t="s">
        <v>642</v>
      </c>
      <c r="B1" s="2315"/>
      <c r="C1" s="2315"/>
      <c r="D1" s="2315"/>
      <c r="E1" s="2315"/>
    </row>
    <row r="2" spans="1:19" ht="15.75" x14ac:dyDescent="0.25">
      <c r="A2" s="2315" t="s">
        <v>5882</v>
      </c>
      <c r="B2" s="2315"/>
      <c r="C2" s="2315"/>
      <c r="D2" s="2315"/>
      <c r="E2" s="2315"/>
    </row>
    <row r="3" spans="1:19" ht="15.75" x14ac:dyDescent="0.25">
      <c r="A3" s="2326" t="str">
        <f>'Пояснительная (ПИР+СМР)'!A3</f>
        <v>Кампус ВТРК «Мамисон»</v>
      </c>
      <c r="B3" s="2297"/>
      <c r="C3" s="2297"/>
      <c r="D3" s="2297"/>
      <c r="E3" s="2297"/>
    </row>
    <row r="4" spans="1:19" ht="15.75" x14ac:dyDescent="0.25">
      <c r="A4" s="205"/>
      <c r="B4" s="206"/>
      <c r="C4" s="206"/>
      <c r="D4" s="206"/>
      <c r="E4" s="206"/>
    </row>
    <row r="5" spans="1:19" ht="32.25" customHeight="1" x14ac:dyDescent="0.25">
      <c r="A5" s="2315" t="s">
        <v>514</v>
      </c>
      <c r="B5" s="2315"/>
      <c r="C5" s="995" t="e">
        <f>ROUNDUP((C7-C6)/30.5,1)</f>
        <v>#REF!</v>
      </c>
      <c r="D5" s="228" t="s">
        <v>469</v>
      </c>
      <c r="E5" s="207"/>
    </row>
    <row r="6" spans="1:19" ht="15.75" x14ac:dyDescent="0.25">
      <c r="A6" s="207" t="s">
        <v>446</v>
      </c>
      <c r="B6" s="207"/>
      <c r="C6" s="996" t="e">
        <f>#REF!</f>
        <v>#REF!</v>
      </c>
      <c r="D6" s="228"/>
      <c r="E6" s="207"/>
    </row>
    <row r="7" spans="1:19" ht="15.75" x14ac:dyDescent="0.25">
      <c r="A7" s="207" t="s">
        <v>447</v>
      </c>
      <c r="B7" s="207"/>
      <c r="C7" s="996" t="e">
        <f>#REF!</f>
        <v>#REF!</v>
      </c>
      <c r="D7" s="228"/>
      <c r="E7" s="207"/>
    </row>
    <row r="8" spans="1:19" ht="15.75" x14ac:dyDescent="0.25">
      <c r="A8" s="207"/>
      <c r="B8" s="208"/>
      <c r="C8" s="208"/>
      <c r="D8" s="208"/>
      <c r="E8" s="208"/>
    </row>
    <row r="9" spans="1:19" ht="15.75" customHeight="1" x14ac:dyDescent="0.25">
      <c r="A9" s="2327" t="s">
        <v>515</v>
      </c>
      <c r="B9" s="2327" t="s">
        <v>516</v>
      </c>
      <c r="C9" s="2327" t="s">
        <v>5888</v>
      </c>
      <c r="D9" s="2327"/>
      <c r="E9" s="2327"/>
    </row>
    <row r="10" spans="1:19" ht="15.75" customHeight="1" x14ac:dyDescent="0.25">
      <c r="A10" s="2327"/>
      <c r="B10" s="2327"/>
      <c r="C10" s="2327"/>
      <c r="D10" s="2327"/>
      <c r="E10" s="2327"/>
    </row>
    <row r="11" spans="1:19" ht="15.75" x14ac:dyDescent="0.25">
      <c r="A11" s="2327"/>
      <c r="B11" s="2327"/>
      <c r="C11" s="209" t="s">
        <v>517</v>
      </c>
      <c r="D11" s="209" t="s">
        <v>518</v>
      </c>
      <c r="E11" s="209" t="s">
        <v>519</v>
      </c>
    </row>
    <row r="12" spans="1:19" ht="15.75" x14ac:dyDescent="0.25">
      <c r="A12" s="209">
        <v>1</v>
      </c>
      <c r="B12" s="209">
        <v>2</v>
      </c>
      <c r="C12" s="209">
        <v>3</v>
      </c>
      <c r="D12" s="209">
        <v>4</v>
      </c>
      <c r="E12" s="209">
        <v>5</v>
      </c>
      <c r="F12" s="210"/>
      <c r="G12" s="211"/>
    </row>
    <row r="13" spans="1:19" ht="42" customHeight="1" x14ac:dyDescent="0.25">
      <c r="A13" s="1424">
        <v>1</v>
      </c>
      <c r="B13" s="1425" t="s">
        <v>520</v>
      </c>
      <c r="C13" s="1426" t="e">
        <f>'Расчет КВЛ'!#REF!*1.1</f>
        <v>#REF!</v>
      </c>
      <c r="D13" s="1426" t="e">
        <f>C13*0.2</f>
        <v>#REF!</v>
      </c>
      <c r="E13" s="1426" t="e">
        <f>C13+D13</f>
        <v>#REF!</v>
      </c>
      <c r="F13" s="2324"/>
      <c r="G13" s="2325"/>
      <c r="H13" s="562"/>
      <c r="I13" s="561"/>
      <c r="J13" s="561"/>
      <c r="K13" s="561"/>
      <c r="L13" s="213"/>
      <c r="M13" s="214"/>
      <c r="N13" s="215"/>
      <c r="O13" s="215"/>
      <c r="P13" s="215"/>
      <c r="Q13" s="215"/>
      <c r="R13" s="215"/>
      <c r="S13" s="215"/>
    </row>
    <row r="14" spans="1:19" s="1437" customFormat="1" ht="15.75" x14ac:dyDescent="0.25">
      <c r="A14" s="1427"/>
      <c r="B14" s="1428" t="s">
        <v>5884</v>
      </c>
      <c r="C14" s="1429"/>
      <c r="D14" s="1429"/>
      <c r="E14" s="1429"/>
      <c r="F14" s="1430"/>
      <c r="G14" s="1431"/>
      <c r="H14" s="1432"/>
      <c r="I14" s="1433"/>
      <c r="J14" s="1433"/>
      <c r="K14" s="1433"/>
      <c r="L14" s="1434"/>
      <c r="M14" s="1435"/>
      <c r="N14" s="1436"/>
      <c r="O14" s="1436"/>
      <c r="P14" s="1436"/>
      <c r="Q14" s="1436"/>
      <c r="R14" s="1436"/>
      <c r="S14" s="1436"/>
    </row>
    <row r="15" spans="1:19" ht="15.75" x14ac:dyDescent="0.25">
      <c r="A15" s="307"/>
      <c r="B15" s="310" t="s">
        <v>5885</v>
      </c>
      <c r="C15" s="311" t="e">
        <f>'Расчет КВЛ'!#REF!</f>
        <v>#REF!</v>
      </c>
      <c r="D15" s="311" t="e">
        <f>C15*0.2</f>
        <v>#REF!</v>
      </c>
      <c r="E15" s="311" t="e">
        <f>C15+D15</f>
        <v>#REF!</v>
      </c>
      <c r="F15" s="219"/>
    </row>
    <row r="16" spans="1:19" ht="31.5" x14ac:dyDescent="0.25">
      <c r="A16" s="307"/>
      <c r="B16" s="308" t="s">
        <v>5883</v>
      </c>
      <c r="C16" s="309" t="e">
        <f>('Расчет КВЛ'!#REF!-'Расчет КВЛ'!#REF!)*1.1</f>
        <v>#REF!</v>
      </c>
      <c r="D16" s="309" t="e">
        <f>C16*0.2</f>
        <v>#REF!</v>
      </c>
      <c r="E16" s="309" t="e">
        <f>C16+D16</f>
        <v>#REF!</v>
      </c>
      <c r="G16" s="212"/>
      <c r="H16" s="212"/>
    </row>
    <row r="17" spans="1:19" ht="42" customHeight="1" x14ac:dyDescent="0.25">
      <c r="A17" s="1424">
        <v>2</v>
      </c>
      <c r="B17" s="1425" t="s">
        <v>5886</v>
      </c>
      <c r="C17" s="1426" t="e">
        <f>'Расчет КВЛ'!#REF!*1.02</f>
        <v>#REF!</v>
      </c>
      <c r="D17" s="1426" t="e">
        <f>C17*0.2</f>
        <v>#REF!</v>
      </c>
      <c r="E17" s="1426" t="e">
        <f>C17+D17</f>
        <v>#REF!</v>
      </c>
      <c r="F17" s="2324"/>
      <c r="G17" s="2325"/>
      <c r="H17" s="562"/>
      <c r="I17" s="561"/>
      <c r="J17" s="561"/>
      <c r="K17" s="561"/>
      <c r="L17" s="213"/>
      <c r="M17" s="214"/>
      <c r="N17" s="215"/>
      <c r="O17" s="215"/>
      <c r="P17" s="215"/>
      <c r="Q17" s="215"/>
      <c r="R17" s="215"/>
      <c r="S17" s="215"/>
    </row>
    <row r="18" spans="1:19" s="1437" customFormat="1" ht="15.75" x14ac:dyDescent="0.25">
      <c r="A18" s="1427"/>
      <c r="B18" s="1428" t="s">
        <v>5884</v>
      </c>
      <c r="C18" s="1429"/>
      <c r="D18" s="1429"/>
      <c r="E18" s="1429"/>
      <c r="F18" s="1430"/>
      <c r="G18" s="1431"/>
      <c r="H18" s="1432"/>
      <c r="I18" s="1433"/>
      <c r="J18" s="1433"/>
      <c r="K18" s="1433"/>
      <c r="L18" s="1434"/>
      <c r="M18" s="1435"/>
      <c r="N18" s="1436"/>
      <c r="O18" s="1436"/>
      <c r="P18" s="1436"/>
      <c r="Q18" s="1436"/>
      <c r="R18" s="1436"/>
      <c r="S18" s="1436"/>
    </row>
    <row r="19" spans="1:19" ht="15.75" x14ac:dyDescent="0.25">
      <c r="A19" s="307"/>
      <c r="B19" s="310" t="s">
        <v>5885</v>
      </c>
      <c r="C19" s="311" t="e">
        <f>'Расчет КВЛ'!#REF!</f>
        <v>#REF!</v>
      </c>
      <c r="D19" s="311" t="e">
        <f>C19*0.2</f>
        <v>#REF!</v>
      </c>
      <c r="E19" s="311" t="e">
        <f>C19+D19</f>
        <v>#REF!</v>
      </c>
      <c r="F19" s="219"/>
    </row>
    <row r="20" spans="1:19" ht="31.5" x14ac:dyDescent="0.25">
      <c r="A20" s="307"/>
      <c r="B20" s="308" t="s">
        <v>5883</v>
      </c>
      <c r="C20" s="309" t="e">
        <f>('Расчет КВЛ'!#REF!-'Расчет КВЛ'!#REF!)*1.02</f>
        <v>#REF!</v>
      </c>
      <c r="D20" s="309" t="e">
        <f>C20*0.2</f>
        <v>#REF!</v>
      </c>
      <c r="E20" s="309" t="e">
        <f>C20+D20</f>
        <v>#REF!</v>
      </c>
      <c r="G20" s="212"/>
      <c r="H20" s="212"/>
    </row>
    <row r="21" spans="1:19" ht="47.25" customHeight="1" x14ac:dyDescent="0.25">
      <c r="A21" s="1424">
        <v>3</v>
      </c>
      <c r="B21" s="1425" t="s">
        <v>5852</v>
      </c>
      <c r="C21" s="1426" t="e">
        <f>'Расчет КВЛ'!#REF!</f>
        <v>#REF!</v>
      </c>
      <c r="D21" s="1426" t="e">
        <f>C21*0.2</f>
        <v>#REF!</v>
      </c>
      <c r="E21" s="1426" t="e">
        <f>C21+D21</f>
        <v>#REF!</v>
      </c>
      <c r="F21" s="2324"/>
      <c r="G21" s="2325"/>
      <c r="H21" s="562"/>
      <c r="I21" s="561"/>
      <c r="J21" s="561"/>
      <c r="K21" s="561"/>
      <c r="L21" s="213"/>
      <c r="M21" s="214"/>
      <c r="N21" s="215"/>
      <c r="O21" s="215"/>
      <c r="P21" s="215"/>
      <c r="Q21" s="215"/>
      <c r="R21" s="215"/>
      <c r="S21" s="215"/>
    </row>
    <row r="22" spans="1:19" s="1437" customFormat="1" ht="15.75" x14ac:dyDescent="0.25">
      <c r="A22" s="1427"/>
      <c r="B22" s="1428" t="s">
        <v>5884</v>
      </c>
      <c r="C22" s="1429"/>
      <c r="D22" s="1429"/>
      <c r="E22" s="1429"/>
      <c r="F22" s="1430"/>
      <c r="G22" s="1431"/>
      <c r="H22" s="1432"/>
      <c r="I22" s="1433"/>
      <c r="J22" s="1433"/>
      <c r="K22" s="1433"/>
      <c r="L22" s="1434"/>
      <c r="M22" s="1435"/>
      <c r="N22" s="1436"/>
      <c r="O22" s="1436"/>
      <c r="P22" s="1436"/>
      <c r="Q22" s="1436"/>
      <c r="R22" s="1436"/>
      <c r="S22" s="1436"/>
    </row>
    <row r="23" spans="1:19" ht="15.75" x14ac:dyDescent="0.25">
      <c r="A23" s="307"/>
      <c r="B23" s="310" t="s">
        <v>5887</v>
      </c>
      <c r="C23" s="311" t="e">
        <f>'Расчет КВЛ'!#REF!</f>
        <v>#REF!</v>
      </c>
      <c r="D23" s="311" t="e">
        <f>C23*0.2</f>
        <v>#REF!</v>
      </c>
      <c r="E23" s="311" t="e">
        <f>C23+D23</f>
        <v>#REF!</v>
      </c>
      <c r="F23" s="219"/>
    </row>
    <row r="24" spans="1:19" ht="15.75" x14ac:dyDescent="0.25">
      <c r="A24" s="307"/>
      <c r="B24" s="310" t="s">
        <v>5885</v>
      </c>
      <c r="C24" s="311" t="e">
        <f>'Расчет КВЛ'!#REF!</f>
        <v>#REF!</v>
      </c>
      <c r="D24" s="311" t="e">
        <f>C24*0.2</f>
        <v>#REF!</v>
      </c>
      <c r="E24" s="311" t="e">
        <f>C24+D24</f>
        <v>#REF!</v>
      </c>
      <c r="F24" s="219"/>
    </row>
    <row r="25" spans="1:19" ht="31.5" x14ac:dyDescent="0.25">
      <c r="A25" s="307"/>
      <c r="B25" s="308" t="s">
        <v>5883</v>
      </c>
      <c r="C25" s="309" t="e">
        <f>'Расчет КВЛ'!#REF!-'Расчет КВЛ'!#REF!</f>
        <v>#REF!</v>
      </c>
      <c r="D25" s="309" t="e">
        <f>C25*0.2</f>
        <v>#REF!</v>
      </c>
      <c r="E25" s="309" t="e">
        <f>C25+D25</f>
        <v>#REF!</v>
      </c>
      <c r="G25" s="212"/>
      <c r="H25" s="212"/>
    </row>
    <row r="26" spans="1:19" ht="35.25" customHeight="1" x14ac:dyDescent="0.25">
      <c r="A26" s="216"/>
      <c r="B26" s="216" t="s">
        <v>193</v>
      </c>
      <c r="C26" s="217" t="e">
        <f>C13+C17+C21</f>
        <v>#REF!</v>
      </c>
      <c r="D26" s="217" t="e">
        <f>D13+D17+D21</f>
        <v>#REF!</v>
      </c>
      <c r="E26" s="217" t="e">
        <f>E13+E17+E21</f>
        <v>#REF!</v>
      </c>
      <c r="J26" s="212"/>
      <c r="L26" s="212"/>
      <c r="M26" s="218"/>
      <c r="P26" s="212"/>
    </row>
    <row r="27" spans="1:19" s="1437" customFormat="1" ht="15.75" x14ac:dyDescent="0.25">
      <c r="A27" s="1427"/>
      <c r="B27" s="1428" t="s">
        <v>5884</v>
      </c>
      <c r="C27" s="1429"/>
      <c r="D27" s="1429"/>
      <c r="E27" s="1429"/>
      <c r="F27" s="1430"/>
      <c r="G27" s="1431"/>
      <c r="H27" s="1432"/>
      <c r="I27" s="1433"/>
      <c r="J27" s="1433"/>
      <c r="K27" s="1433"/>
      <c r="L27" s="1434"/>
      <c r="M27" s="1435"/>
      <c r="N27" s="1436"/>
      <c r="O27" s="1436"/>
      <c r="P27" s="1436"/>
      <c r="Q27" s="1436"/>
      <c r="R27" s="1436"/>
      <c r="S27" s="1436"/>
    </row>
    <row r="28" spans="1:19" ht="15.75" x14ac:dyDescent="0.25">
      <c r="A28" s="307"/>
      <c r="B28" s="310" t="s">
        <v>5887</v>
      </c>
      <c r="C28" s="311" t="e">
        <f>C23</f>
        <v>#REF!</v>
      </c>
      <c r="D28" s="311" t="e">
        <f>C28*0.2</f>
        <v>#REF!</v>
      </c>
      <c r="E28" s="311" t="e">
        <f>C28+D28</f>
        <v>#REF!</v>
      </c>
      <c r="F28" s="219"/>
    </row>
    <row r="29" spans="1:19" ht="15.75" x14ac:dyDescent="0.25">
      <c r="A29" s="307"/>
      <c r="B29" s="310" t="s">
        <v>5885</v>
      </c>
      <c r="C29" s="311" t="e">
        <f>C15+C19+C24</f>
        <v>#REF!</v>
      </c>
      <c r="D29" s="311" t="e">
        <f>C29*0.2</f>
        <v>#REF!</v>
      </c>
      <c r="E29" s="311" t="e">
        <f>C29+D29</f>
        <v>#REF!</v>
      </c>
      <c r="F29" s="219"/>
    </row>
    <row r="30" spans="1:19" ht="31.5" x14ac:dyDescent="0.25">
      <c r="A30" s="307"/>
      <c r="B30" s="308" t="s">
        <v>5883</v>
      </c>
      <c r="C30" s="309" t="e">
        <f>C16+C20+C25</f>
        <v>#REF!</v>
      </c>
      <c r="D30" s="309" t="e">
        <f>C30*0.2</f>
        <v>#REF!</v>
      </c>
      <c r="E30" s="309" t="e">
        <f>C30+D30</f>
        <v>#REF!</v>
      </c>
      <c r="G30" s="212"/>
      <c r="H30" s="212"/>
    </row>
    <row r="31" spans="1:19" ht="15.75" x14ac:dyDescent="0.25">
      <c r="A31" s="208"/>
      <c r="B31" s="208"/>
      <c r="C31" s="268"/>
      <c r="D31" s="220"/>
      <c r="E31" s="220"/>
      <c r="F31" s="221"/>
    </row>
    <row r="32" spans="1:19" s="208" customFormat="1" ht="15.75" x14ac:dyDescent="0.25">
      <c r="A32" s="1202" t="s">
        <v>5520</v>
      </c>
      <c r="B32" s="1203"/>
      <c r="C32" s="1204"/>
    </row>
    <row r="33" spans="1:9" s="208" customFormat="1" ht="55.5" customHeight="1" x14ac:dyDescent="0.25">
      <c r="A33" s="2298" t="s">
        <v>5521</v>
      </c>
      <c r="B33" s="2298"/>
      <c r="D33" s="884"/>
      <c r="E33" s="313" t="s">
        <v>5522</v>
      </c>
      <c r="F33" s="884"/>
      <c r="G33" s="884"/>
      <c r="H33" s="884"/>
      <c r="I33" s="312"/>
    </row>
    <row r="34" spans="1:9" s="208" customFormat="1" ht="15.75" x14ac:dyDescent="0.25">
      <c r="A34" s="1195"/>
      <c r="B34" s="1195"/>
      <c r="D34" s="884"/>
      <c r="E34" s="313"/>
      <c r="F34" s="884"/>
      <c r="G34" s="884"/>
      <c r="H34" s="884"/>
      <c r="I34" s="312"/>
    </row>
    <row r="35" spans="1:9" s="208" customFormat="1" ht="15.75" x14ac:dyDescent="0.25">
      <c r="A35" s="1202" t="s">
        <v>930</v>
      </c>
      <c r="B35" s="1203"/>
      <c r="E35" s="1204"/>
    </row>
    <row r="36" spans="1:9" s="208" customFormat="1" ht="59.25" customHeight="1" x14ac:dyDescent="0.25">
      <c r="A36" s="2298" t="s">
        <v>628</v>
      </c>
      <c r="B36" s="2298"/>
      <c r="D36" s="884"/>
      <c r="E36" s="313" t="s">
        <v>629</v>
      </c>
      <c r="F36" s="884"/>
      <c r="G36" s="884"/>
      <c r="H36" s="884"/>
      <c r="I36" s="312"/>
    </row>
    <row r="37" spans="1:9" s="208" customFormat="1" ht="15.75" x14ac:dyDescent="0.25">
      <c r="A37" s="1195"/>
      <c r="B37" s="1195"/>
      <c r="D37" s="884"/>
      <c r="E37" s="313"/>
      <c r="F37" s="884"/>
      <c r="G37" s="884"/>
      <c r="H37" s="884"/>
      <c r="I37" s="312"/>
    </row>
    <row r="38" spans="1:9" s="208" customFormat="1" ht="14.25" customHeight="1" x14ac:dyDescent="0.25">
      <c r="A38" s="2298" t="s">
        <v>5523</v>
      </c>
      <c r="B38" s="2298"/>
      <c r="E38" s="313"/>
    </row>
    <row r="39" spans="1:9" s="208" customFormat="1" ht="24.75" customHeight="1" x14ac:dyDescent="0.25">
      <c r="A39" s="2298" t="s">
        <v>5524</v>
      </c>
      <c r="B39" s="2298"/>
      <c r="E39" s="313" t="s">
        <v>5525</v>
      </c>
    </row>
    <row r="44" spans="1:9" x14ac:dyDescent="0.25">
      <c r="D44" s="204" t="s">
        <v>1143</v>
      </c>
      <c r="E44" s="843">
        <f>'Расчет КВЛ'!Z112</f>
        <v>704889.55</v>
      </c>
      <c r="F44" s="204" t="s">
        <v>5928</v>
      </c>
    </row>
    <row r="45" spans="1:9" x14ac:dyDescent="0.25">
      <c r="D45" s="204" t="s">
        <v>1144</v>
      </c>
      <c r="E45" s="560" t="e">
        <f>(E13+E17)/E26</f>
        <v>#REF!</v>
      </c>
    </row>
  </sheetData>
  <mergeCells count="14">
    <mergeCell ref="A1:E1"/>
    <mergeCell ref="A2:E2"/>
    <mergeCell ref="A3:E3"/>
    <mergeCell ref="A9:A11"/>
    <mergeCell ref="B9:B11"/>
    <mergeCell ref="C9:E10"/>
    <mergeCell ref="A5:B5"/>
    <mergeCell ref="A33:B33"/>
    <mergeCell ref="A36:B36"/>
    <mergeCell ref="A38:B38"/>
    <mergeCell ref="A39:B39"/>
    <mergeCell ref="F13:G13"/>
    <mergeCell ref="F17:G17"/>
    <mergeCell ref="F21:G21"/>
  </mergeCells>
  <printOptions horizontalCentered="1"/>
  <pageMargins left="0.70866141732283472" right="0.70866141732283472" top="0.74803149606299213" bottom="0.74803149606299213" header="0.31496062992125984" footer="0.31496062992125984"/>
  <pageSetup paperSize="9" scale="48" fitToHeight="0"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36"/>
  <sheetViews>
    <sheetView tabSelected="1" zoomScaleNormal="100" zoomScaleSheetLayoutView="100" workbookViewId="0">
      <selection activeCell="N20" sqref="N20"/>
    </sheetView>
  </sheetViews>
  <sheetFormatPr defaultColWidth="9.140625" defaultRowHeight="15" x14ac:dyDescent="0.25"/>
  <cols>
    <col min="1" max="1" width="5.42578125" style="204" customWidth="1"/>
    <col min="2" max="2" width="52.42578125" style="204" customWidth="1"/>
    <col min="3" max="3" width="16.140625" style="204" customWidth="1"/>
    <col min="4" max="4" width="20.28515625" style="204" customWidth="1"/>
    <col min="5" max="5" width="16.140625" style="204" customWidth="1"/>
    <col min="6" max="6" width="22.28515625" style="204" customWidth="1"/>
    <col min="7" max="7" width="23.85546875" style="204" customWidth="1"/>
    <col min="8" max="8" width="10.5703125" style="204" bestFit="1" customWidth="1"/>
    <col min="9" max="16384" width="9.140625" style="204"/>
  </cols>
  <sheetData>
    <row r="1" spans="1:7" ht="15.75" x14ac:dyDescent="0.25">
      <c r="A1" s="2315" t="s">
        <v>642</v>
      </c>
      <c r="B1" s="2315"/>
      <c r="C1" s="2315"/>
      <c r="D1" s="2315"/>
      <c r="E1" s="2315"/>
    </row>
    <row r="2" spans="1:7" ht="24.6" customHeight="1" x14ac:dyDescent="0.25">
      <c r="A2" s="2315" t="s">
        <v>7807</v>
      </c>
      <c r="B2" s="2315"/>
      <c r="C2" s="2315"/>
      <c r="D2" s="2315"/>
      <c r="E2" s="2315"/>
    </row>
    <row r="3" spans="1:7" ht="37.5" customHeight="1" x14ac:dyDescent="0.25">
      <c r="A3" s="2326" t="str">
        <f>Пояснительная!$A$4</f>
        <v>«Всесезонный туристско-рекреационный комплекс «Мамисон», 
Республика Северная Осетия-Алания. Кампус»</v>
      </c>
      <c r="B3" s="2297"/>
      <c r="C3" s="2297"/>
      <c r="D3" s="2297"/>
      <c r="E3" s="2297"/>
    </row>
    <row r="4" spans="1:7" ht="15.75" x14ac:dyDescent="0.25">
      <c r="A4" s="1854"/>
      <c r="B4" s="1850"/>
      <c r="C4" s="1850"/>
      <c r="D4" s="1850"/>
      <c r="E4" s="1850"/>
    </row>
    <row r="5" spans="1:7" ht="32.25" customHeight="1" x14ac:dyDescent="0.25">
      <c r="A5" s="2315" t="s">
        <v>7808</v>
      </c>
      <c r="B5" s="2315"/>
      <c r="C5" s="995">
        <f>ROUNDUP((C7-C6)/30.5,1)</f>
        <v>4</v>
      </c>
      <c r="D5" s="228" t="s">
        <v>5417</v>
      </c>
      <c r="E5" s="207"/>
    </row>
    <row r="6" spans="1:7" ht="15.75" x14ac:dyDescent="0.25">
      <c r="A6" s="207" t="s">
        <v>7809</v>
      </c>
      <c r="B6" s="207"/>
      <c r="C6" s="1938">
        <f>НМЦК!$F$28</f>
        <v>46335</v>
      </c>
      <c r="D6" s="228"/>
      <c r="E6" s="207"/>
    </row>
    <row r="7" spans="1:7" ht="15.75" x14ac:dyDescent="0.25">
      <c r="A7" s="207" t="s">
        <v>7810</v>
      </c>
      <c r="B7" s="207"/>
      <c r="C7" s="1938">
        <f>НМЦК!$F$29</f>
        <v>46455</v>
      </c>
      <c r="D7" s="228"/>
      <c r="E7" s="207"/>
    </row>
    <row r="8" spans="1:7" ht="15.75" x14ac:dyDescent="0.25">
      <c r="A8" s="207"/>
      <c r="B8" s="208"/>
      <c r="C8" s="208"/>
      <c r="D8" s="208"/>
      <c r="E8" s="208"/>
    </row>
    <row r="9" spans="1:7" ht="15.75" customHeight="1" x14ac:dyDescent="0.25">
      <c r="A9" s="2332" t="s">
        <v>515</v>
      </c>
      <c r="B9" s="2332" t="s">
        <v>516</v>
      </c>
      <c r="C9" s="2332" t="s">
        <v>7811</v>
      </c>
      <c r="D9" s="2332"/>
      <c r="E9" s="2332"/>
      <c r="F9" s="2328" t="s">
        <v>7812</v>
      </c>
      <c r="G9" s="2329" t="s">
        <v>7813</v>
      </c>
    </row>
    <row r="10" spans="1:7" ht="15.75" customHeight="1" x14ac:dyDescent="0.25">
      <c r="A10" s="2332"/>
      <c r="B10" s="2332"/>
      <c r="C10" s="2332"/>
      <c r="D10" s="2332"/>
      <c r="E10" s="2332"/>
      <c r="F10" s="2328"/>
      <c r="G10" s="2330"/>
    </row>
    <row r="11" spans="1:7" ht="15.75" x14ac:dyDescent="0.25">
      <c r="A11" s="2332"/>
      <c r="B11" s="2332"/>
      <c r="C11" s="1903" t="s">
        <v>517</v>
      </c>
      <c r="D11" s="1903" t="s">
        <v>7814</v>
      </c>
      <c r="E11" s="1903" t="s">
        <v>519</v>
      </c>
      <c r="F11" s="2328"/>
      <c r="G11" s="2330"/>
    </row>
    <row r="12" spans="1:7" ht="30" customHeight="1" x14ac:dyDescent="0.25">
      <c r="A12" s="1903">
        <v>1</v>
      </c>
      <c r="B12" s="1903">
        <v>2</v>
      </c>
      <c r="C12" s="1903">
        <v>3</v>
      </c>
      <c r="D12" s="1903">
        <v>4</v>
      </c>
      <c r="E12" s="1903">
        <v>5</v>
      </c>
      <c r="F12" s="2328"/>
      <c r="G12" s="2331"/>
    </row>
    <row r="13" spans="1:7" ht="42" customHeight="1" x14ac:dyDescent="0.25">
      <c r="A13" s="1904">
        <v>1</v>
      </c>
      <c r="B13" s="1905" t="s">
        <v>520</v>
      </c>
      <c r="C13" s="1906">
        <f>НМЦК!$F$14</f>
        <v>4648758.87</v>
      </c>
      <c r="D13" s="1906">
        <f>C13*0.22</f>
        <v>1022726.95</v>
      </c>
      <c r="E13" s="1906">
        <f t="shared" ref="E13:E16" si="0">C13+D13</f>
        <v>5671485.8200000003</v>
      </c>
      <c r="F13" s="1907"/>
      <c r="G13" s="1907"/>
    </row>
    <row r="14" spans="1:7" ht="44.25" customHeight="1" x14ac:dyDescent="0.25">
      <c r="A14" s="1904">
        <v>2</v>
      </c>
      <c r="B14" s="1905" t="s">
        <v>5886</v>
      </c>
      <c r="C14" s="1908">
        <f>НМЦК!$F$15</f>
        <v>13051914</v>
      </c>
      <c r="D14" s="1906">
        <f>C14*0.22</f>
        <v>2871421.08</v>
      </c>
      <c r="E14" s="1906">
        <f t="shared" si="0"/>
        <v>15923335.08</v>
      </c>
      <c r="F14" s="1907"/>
      <c r="G14" s="1907"/>
    </row>
    <row r="15" spans="1:7" ht="44.25" hidden="1" customHeight="1" x14ac:dyDescent="0.25">
      <c r="A15" s="1904">
        <v>3</v>
      </c>
      <c r="B15" s="1909" t="s">
        <v>4120</v>
      </c>
      <c r="C15" s="1908"/>
      <c r="D15" s="1906">
        <f>C15*0.22</f>
        <v>0</v>
      </c>
      <c r="E15" s="1906">
        <f t="shared" si="0"/>
        <v>0</v>
      </c>
      <c r="F15" s="1907"/>
      <c r="G15" s="1907"/>
    </row>
    <row r="16" spans="1:7" ht="81.75" hidden="1" customHeight="1" x14ac:dyDescent="0.25">
      <c r="A16" s="1904">
        <v>4</v>
      </c>
      <c r="B16" s="1909" t="s">
        <v>7815</v>
      </c>
      <c r="C16" s="1908">
        <v>0</v>
      </c>
      <c r="D16" s="1906">
        <f>C16*0.22</f>
        <v>0</v>
      </c>
      <c r="E16" s="1906">
        <f t="shared" si="0"/>
        <v>0</v>
      </c>
      <c r="F16" s="1907"/>
      <c r="G16" s="1907"/>
    </row>
    <row r="17" spans="1:8" ht="73.5" hidden="1" customHeight="1" x14ac:dyDescent="0.25">
      <c r="A17" s="1904">
        <v>5</v>
      </c>
      <c r="B17" s="1909" t="s">
        <v>7816</v>
      </c>
      <c r="C17" s="1908">
        <v>0</v>
      </c>
      <c r="D17" s="1906">
        <v>0</v>
      </c>
      <c r="E17" s="1906">
        <f>C17+D17</f>
        <v>0</v>
      </c>
      <c r="F17" s="1910" t="s">
        <v>7817</v>
      </c>
      <c r="G17" s="1907"/>
    </row>
    <row r="18" spans="1:8" ht="73.5" hidden="1" customHeight="1" x14ac:dyDescent="0.25">
      <c r="A18" s="1904">
        <v>6</v>
      </c>
      <c r="B18" s="1909" t="s">
        <v>7818</v>
      </c>
      <c r="C18" s="1908">
        <v>0</v>
      </c>
      <c r="D18" s="1906">
        <v>0</v>
      </c>
      <c r="E18" s="1906">
        <f>C18+D18</f>
        <v>0</v>
      </c>
      <c r="F18" s="1910" t="s">
        <v>7817</v>
      </c>
      <c r="G18" s="1907"/>
    </row>
    <row r="19" spans="1:8" ht="73.5" hidden="1" customHeight="1" x14ac:dyDescent="0.25">
      <c r="A19" s="1904">
        <v>7</v>
      </c>
      <c r="B19" s="1909" t="s">
        <v>7819</v>
      </c>
      <c r="C19" s="1908">
        <v>0</v>
      </c>
      <c r="D19" s="1906">
        <f>C19*22%</f>
        <v>0</v>
      </c>
      <c r="E19" s="1906">
        <f>C19+D19</f>
        <v>0</v>
      </c>
      <c r="F19" s="1910"/>
      <c r="G19" s="1907"/>
    </row>
    <row r="20" spans="1:8" ht="35.25" customHeight="1" x14ac:dyDescent="0.25">
      <c r="A20" s="1911"/>
      <c r="B20" s="1911" t="s">
        <v>521</v>
      </c>
      <c r="C20" s="1912">
        <f>C13+C14+C15+C16+C17+C18+C19</f>
        <v>17700672.870000001</v>
      </c>
      <c r="D20" s="1912">
        <f>D13+D14+D15+D16+D17+D18+D19</f>
        <v>3894148.03</v>
      </c>
      <c r="E20" s="1912">
        <f>E13+E14+E15+E16+E17+E18+E19</f>
        <v>21594820.899999999</v>
      </c>
      <c r="F20" s="2179">
        <f>'Расчет КВЛ'!$Z$112*1000</f>
        <v>704889550</v>
      </c>
      <c r="G20" s="1913">
        <f>E20/F20</f>
        <v>3.0599999999999999E-2</v>
      </c>
      <c r="H20" s="219"/>
    </row>
    <row r="21" spans="1:8" ht="31.5" x14ac:dyDescent="0.25">
      <c r="A21" s="1914"/>
      <c r="B21" s="1915" t="s">
        <v>7820</v>
      </c>
      <c r="C21" s="1916">
        <f>НМЦК!$F$21-НМЦК!$B$21</f>
        <v>478768.93</v>
      </c>
      <c r="D21" s="1916">
        <f>C21*0.22</f>
        <v>105329.16</v>
      </c>
      <c r="E21" s="1916">
        <f>C21+D21</f>
        <v>584098.09</v>
      </c>
      <c r="F21" s="1907"/>
      <c r="G21" s="1907"/>
    </row>
    <row r="22" spans="1:8" ht="15.75" x14ac:dyDescent="0.25">
      <c r="A22" s="208"/>
      <c r="B22" s="208"/>
      <c r="C22" s="268"/>
      <c r="D22" s="220"/>
      <c r="E22" s="220"/>
    </row>
    <row r="23" spans="1:8" s="208" customFormat="1" ht="15.75" x14ac:dyDescent="0.25">
      <c r="A23" s="1202" t="s">
        <v>5520</v>
      </c>
      <c r="B23" s="1203"/>
      <c r="C23" s="1204"/>
    </row>
    <row r="24" spans="1:8" s="208" customFormat="1" ht="69" customHeight="1" x14ac:dyDescent="0.25">
      <c r="A24" s="2311" t="s">
        <v>7783</v>
      </c>
      <c r="B24" s="2311"/>
      <c r="C24" s="1892"/>
      <c r="D24" s="1890"/>
      <c r="E24" s="1888" t="s">
        <v>7784</v>
      </c>
    </row>
    <row r="25" spans="1:8" s="208" customFormat="1" ht="15.75" x14ac:dyDescent="0.25">
      <c r="A25" s="1889"/>
      <c r="B25" s="1889"/>
      <c r="C25" s="1892"/>
      <c r="D25" s="1890"/>
      <c r="E25" s="1888"/>
    </row>
    <row r="26" spans="1:8" s="208" customFormat="1" ht="15.75" x14ac:dyDescent="0.25">
      <c r="A26" s="1891" t="s">
        <v>930</v>
      </c>
      <c r="B26" s="1203"/>
      <c r="C26" s="1892"/>
      <c r="D26" s="1892"/>
      <c r="E26" s="1204"/>
    </row>
    <row r="27" spans="1:8" s="208" customFormat="1" ht="86.25" customHeight="1" x14ac:dyDescent="0.25">
      <c r="A27" s="2311" t="s">
        <v>6665</v>
      </c>
      <c r="B27" s="2311"/>
      <c r="C27" s="1892"/>
      <c r="D27" s="1890"/>
      <c r="E27" s="1888" t="s">
        <v>567</v>
      </c>
    </row>
    <row r="28" spans="1:8" s="208" customFormat="1" ht="15.75" x14ac:dyDescent="0.25">
      <c r="A28" s="1889"/>
      <c r="B28" s="1889"/>
      <c r="C28" s="1892"/>
      <c r="D28" s="1890"/>
      <c r="E28" s="1888"/>
    </row>
    <row r="29" spans="1:8" s="208" customFormat="1" ht="14.25" customHeight="1" x14ac:dyDescent="0.25">
      <c r="A29" s="2311" t="s">
        <v>5523</v>
      </c>
      <c r="B29" s="2311"/>
      <c r="C29" s="1892"/>
      <c r="D29" s="1892"/>
      <c r="E29" s="1888"/>
    </row>
    <row r="30" spans="1:8" s="208" customFormat="1" ht="44.25" customHeight="1" x14ac:dyDescent="0.25">
      <c r="A30" s="2311" t="s">
        <v>5524</v>
      </c>
      <c r="B30" s="2311"/>
      <c r="C30" s="1892"/>
      <c r="D30" s="1892"/>
      <c r="E30" s="1888" t="s">
        <v>7785</v>
      </c>
    </row>
    <row r="35" spans="5:5" x14ac:dyDescent="0.25">
      <c r="E35" s="843"/>
    </row>
    <row r="36" spans="5:5" x14ac:dyDescent="0.25">
      <c r="E36" s="560"/>
    </row>
  </sheetData>
  <mergeCells count="13">
    <mergeCell ref="A30:B30"/>
    <mergeCell ref="A1:E1"/>
    <mergeCell ref="A2:E2"/>
    <mergeCell ref="A3:E3"/>
    <mergeCell ref="A5:B5"/>
    <mergeCell ref="A9:A11"/>
    <mergeCell ref="B9:B11"/>
    <mergeCell ref="C9:E10"/>
    <mergeCell ref="F9:F12"/>
    <mergeCell ref="G9:G12"/>
    <mergeCell ref="A24:B24"/>
    <mergeCell ref="A27:B27"/>
    <mergeCell ref="A29:B29"/>
  </mergeCells>
  <printOptions horizontalCentered="1"/>
  <pageMargins left="0.70866141732283472" right="0.70866141732283472" top="0.74803149606299213" bottom="0.74803149606299213" header="0.31496062992125984" footer="0.31496062992125984"/>
  <pageSetup paperSize="9" scale="57" fitToHeight="0"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49"/>
  <sheetViews>
    <sheetView view="pageBreakPreview" topLeftCell="A21" zoomScale="85" zoomScaleNormal="100" zoomScaleSheetLayoutView="85" workbookViewId="0">
      <selection activeCell="F14" sqref="F14"/>
    </sheetView>
  </sheetViews>
  <sheetFormatPr defaultColWidth="9.140625" defaultRowHeight="15" outlineLevelRow="1" x14ac:dyDescent="0.25"/>
  <cols>
    <col min="1" max="1" width="47.7109375" style="204" customWidth="1"/>
    <col min="2" max="2" width="25.140625" style="204" customWidth="1"/>
    <col min="3" max="3" width="18.85546875" style="204" customWidth="1"/>
    <col min="4" max="4" width="25.85546875" style="204" customWidth="1"/>
    <col min="5" max="5" width="20.42578125" style="204" customWidth="1"/>
    <col min="6" max="6" width="24.28515625" style="204" customWidth="1"/>
    <col min="7" max="7" width="26.7109375" style="204" customWidth="1"/>
    <col min="8" max="9" width="11.28515625" style="204" bestFit="1" customWidth="1"/>
    <col min="10" max="16384" width="9.140625" style="204"/>
  </cols>
  <sheetData>
    <row r="1" spans="1:7" ht="37.5" customHeight="1" x14ac:dyDescent="0.25">
      <c r="A1" s="2343" t="s">
        <v>647</v>
      </c>
      <c r="B1" s="2343"/>
      <c r="C1" s="2343"/>
      <c r="D1" s="2343"/>
      <c r="E1" s="2343"/>
      <c r="F1" s="2343"/>
      <c r="G1" s="558"/>
    </row>
    <row r="2" spans="1:7" ht="39" customHeight="1" x14ac:dyDescent="0.25">
      <c r="A2" s="223" t="s">
        <v>523</v>
      </c>
      <c r="B2" s="2344" t="str">
        <f>Пояснительная!$A$4</f>
        <v>«Всесезонный туристско-рекреационный комплекс «Мамисон», 
Республика Северная Осетия-Алания. Кампус»</v>
      </c>
      <c r="C2" s="2344"/>
      <c r="D2" s="2344"/>
      <c r="E2" s="2344"/>
      <c r="F2" s="2344"/>
      <c r="G2" s="228"/>
    </row>
    <row r="3" spans="1:7" ht="28.5" customHeight="1" x14ac:dyDescent="0.25">
      <c r="A3" s="223" t="s">
        <v>524</v>
      </c>
      <c r="B3" s="2345" t="s">
        <v>7821</v>
      </c>
      <c r="C3" s="2345"/>
      <c r="D3" s="2345"/>
      <c r="E3" s="2345"/>
      <c r="F3" s="2345"/>
      <c r="G3" s="2345"/>
    </row>
    <row r="4" spans="1:7" ht="15.75" x14ac:dyDescent="0.25">
      <c r="A4" s="208"/>
      <c r="B4" s="208"/>
      <c r="C4" s="208"/>
      <c r="D4" s="208"/>
      <c r="E4" s="208"/>
      <c r="F4" s="208"/>
      <c r="G4" s="208"/>
    </row>
    <row r="5" spans="1:7" ht="15.75" x14ac:dyDescent="0.25">
      <c r="A5" s="224" t="s">
        <v>525</v>
      </c>
      <c r="B5" s="208"/>
      <c r="C5" s="2346"/>
      <c r="D5" s="2346"/>
      <c r="E5" s="2346"/>
      <c r="F5" s="2346"/>
      <c r="G5" s="208"/>
    </row>
    <row r="6" spans="1:7" ht="15.75" x14ac:dyDescent="0.25">
      <c r="A6" s="2347"/>
      <c r="B6" s="2347"/>
      <c r="C6" s="2347"/>
      <c r="D6" s="2347"/>
      <c r="E6" s="2347"/>
      <c r="F6" s="2347"/>
      <c r="G6" s="2347"/>
    </row>
    <row r="7" spans="1:7" ht="15.75" x14ac:dyDescent="0.25">
      <c r="A7" s="224" t="s">
        <v>526</v>
      </c>
      <c r="B7" s="220"/>
      <c r="C7" s="220"/>
      <c r="D7" s="208"/>
      <c r="E7" s="208"/>
      <c r="F7" s="208"/>
      <c r="G7" s="208"/>
    </row>
    <row r="8" spans="1:7" ht="15.75" x14ac:dyDescent="0.25">
      <c r="A8" s="224" t="s">
        <v>7822</v>
      </c>
      <c r="B8" s="220"/>
      <c r="C8" s="220"/>
      <c r="D8" s="208"/>
      <c r="E8" s="208"/>
      <c r="F8" s="208"/>
      <c r="G8" s="208"/>
    </row>
    <row r="9" spans="1:7" ht="14.25" customHeight="1" x14ac:dyDescent="0.25">
      <c r="A9" s="225" t="s">
        <v>536</v>
      </c>
      <c r="B9" s="1917">
        <f>ROUNDUP(($F$29-$F$28)/30.5,1)</f>
        <v>4</v>
      </c>
      <c r="C9" s="2347" t="s">
        <v>5417</v>
      </c>
      <c r="D9" s="2347"/>
      <c r="E9" s="2347"/>
      <c r="F9" s="2347"/>
      <c r="G9" s="298"/>
    </row>
    <row r="10" spans="1:7" ht="15.75" x14ac:dyDescent="0.25">
      <c r="A10" s="208"/>
      <c r="B10" s="208"/>
      <c r="C10" s="208"/>
      <c r="D10" s="208"/>
      <c r="E10" s="208"/>
      <c r="F10" s="208"/>
      <c r="G10" s="299"/>
    </row>
    <row r="11" spans="1:7" ht="76.5" customHeight="1" x14ac:dyDescent="0.25">
      <c r="A11" s="2348" t="s">
        <v>527</v>
      </c>
      <c r="B11" s="2350" t="s">
        <v>7823</v>
      </c>
      <c r="C11" s="2350" t="s">
        <v>528</v>
      </c>
      <c r="D11" s="2350" t="s">
        <v>537</v>
      </c>
      <c r="E11" s="2350" t="s">
        <v>529</v>
      </c>
      <c r="F11" s="2342" t="s">
        <v>530</v>
      </c>
      <c r="G11" s="300"/>
    </row>
    <row r="12" spans="1:7" ht="21.75" customHeight="1" x14ac:dyDescent="0.25">
      <c r="A12" s="2349"/>
      <c r="B12" s="2351"/>
      <c r="C12" s="2351"/>
      <c r="D12" s="2351"/>
      <c r="E12" s="2351"/>
      <c r="F12" s="2342"/>
      <c r="G12" s="301"/>
    </row>
    <row r="13" spans="1:7" ht="15.75" x14ac:dyDescent="0.25">
      <c r="A13" s="1918">
        <v>1</v>
      </c>
      <c r="B13" s="1919">
        <v>2</v>
      </c>
      <c r="C13" s="1918">
        <v>3</v>
      </c>
      <c r="D13" s="1918">
        <v>4</v>
      </c>
      <c r="E13" s="1918">
        <v>5</v>
      </c>
      <c r="F13" s="1918">
        <v>6</v>
      </c>
      <c r="G13" s="302"/>
    </row>
    <row r="14" spans="1:7" ht="26.25" customHeight="1" x14ac:dyDescent="0.25">
      <c r="A14" s="1909" t="s">
        <v>520</v>
      </c>
      <c r="B14" s="975">
        <f>'Cводная смета ПИР'!$G$20</f>
        <v>4523018.9400000004</v>
      </c>
      <c r="C14" s="1920">
        <f t="shared" ref="C14:C20" si="0">$C$25</f>
        <v>1</v>
      </c>
      <c r="D14" s="975">
        <f>B14*C14</f>
        <v>4523018.9400000004</v>
      </c>
      <c r="E14" s="1921">
        <f>F39</f>
        <v>1.0278</v>
      </c>
      <c r="F14" s="975">
        <f t="shared" ref="F14:F20" si="1">D14*E14</f>
        <v>4648758.87</v>
      </c>
      <c r="G14" s="1922"/>
    </row>
    <row r="15" spans="1:7" ht="35.25" customHeight="1" x14ac:dyDescent="0.25">
      <c r="A15" s="1909" t="s">
        <v>2</v>
      </c>
      <c r="B15" s="975">
        <f>'Cводная смета ПИР'!$G$26</f>
        <v>12698885</v>
      </c>
      <c r="C15" s="1920">
        <f t="shared" si="0"/>
        <v>1</v>
      </c>
      <c r="D15" s="975">
        <f t="shared" ref="D15:D20" si="2">B15*C15</f>
        <v>12698885</v>
      </c>
      <c r="E15" s="1921">
        <f>F39</f>
        <v>1.0278</v>
      </c>
      <c r="F15" s="975">
        <f t="shared" si="1"/>
        <v>13051914</v>
      </c>
      <c r="G15" s="1923"/>
    </row>
    <row r="16" spans="1:7" ht="34.5" hidden="1" customHeight="1" x14ac:dyDescent="0.25">
      <c r="A16" s="1909" t="s">
        <v>4120</v>
      </c>
      <c r="B16" s="975"/>
      <c r="C16" s="1924">
        <f t="shared" si="0"/>
        <v>1</v>
      </c>
      <c r="D16" s="975">
        <f t="shared" si="2"/>
        <v>0</v>
      </c>
      <c r="E16" s="1921">
        <f>F39</f>
        <v>1.0278</v>
      </c>
      <c r="F16" s="975">
        <f t="shared" si="1"/>
        <v>0</v>
      </c>
      <c r="G16" s="303"/>
    </row>
    <row r="17" spans="1:8" ht="85.5" hidden="1" customHeight="1" x14ac:dyDescent="0.25">
      <c r="A17" s="1909" t="s">
        <v>7815</v>
      </c>
      <c r="B17" s="975">
        <v>0</v>
      </c>
      <c r="C17" s="1924">
        <f t="shared" si="0"/>
        <v>1</v>
      </c>
      <c r="D17" s="975">
        <f t="shared" si="2"/>
        <v>0</v>
      </c>
      <c r="E17" s="1920">
        <v>1</v>
      </c>
      <c r="F17" s="975">
        <f t="shared" si="1"/>
        <v>0</v>
      </c>
      <c r="G17" s="303"/>
    </row>
    <row r="18" spans="1:8" ht="70.5" hidden="1" customHeight="1" x14ac:dyDescent="0.25">
      <c r="A18" s="1909" t="s">
        <v>7824</v>
      </c>
      <c r="B18" s="975">
        <v>0</v>
      </c>
      <c r="C18" s="1924">
        <f t="shared" si="0"/>
        <v>1</v>
      </c>
      <c r="D18" s="975">
        <f t="shared" si="2"/>
        <v>0</v>
      </c>
      <c r="E18" s="1920">
        <v>1</v>
      </c>
      <c r="F18" s="975">
        <f t="shared" si="1"/>
        <v>0</v>
      </c>
      <c r="G18" s="303"/>
    </row>
    <row r="19" spans="1:8" ht="70.5" hidden="1" customHeight="1" x14ac:dyDescent="0.25">
      <c r="A19" s="1909" t="s">
        <v>7818</v>
      </c>
      <c r="B19" s="975">
        <v>0</v>
      </c>
      <c r="C19" s="1924">
        <f t="shared" si="0"/>
        <v>1</v>
      </c>
      <c r="D19" s="975">
        <f t="shared" si="2"/>
        <v>0</v>
      </c>
      <c r="E19" s="1920">
        <v>1</v>
      </c>
      <c r="F19" s="975">
        <f t="shared" si="1"/>
        <v>0</v>
      </c>
      <c r="G19" s="303"/>
    </row>
    <row r="20" spans="1:8" ht="70.5" hidden="1" customHeight="1" x14ac:dyDescent="0.25">
      <c r="A20" s="1909" t="s">
        <v>7819</v>
      </c>
      <c r="B20" s="975">
        <v>0</v>
      </c>
      <c r="C20" s="1924">
        <f t="shared" si="0"/>
        <v>1</v>
      </c>
      <c r="D20" s="975">
        <f t="shared" si="2"/>
        <v>0</v>
      </c>
      <c r="E20" s="1920">
        <v>1</v>
      </c>
      <c r="F20" s="975">
        <f t="shared" si="1"/>
        <v>0</v>
      </c>
      <c r="G20" s="303"/>
    </row>
    <row r="21" spans="1:8" ht="15.75" x14ac:dyDescent="0.25">
      <c r="A21" s="1925" t="s">
        <v>531</v>
      </c>
      <c r="B21" s="1926">
        <f>B14+B15+B16+B17+B18+B19+B20</f>
        <v>17221903.940000001</v>
      </c>
      <c r="C21" s="1927"/>
      <c r="D21" s="1926">
        <f>D14+D15+D16+D17+D18+D19+D20</f>
        <v>17221903.940000001</v>
      </c>
      <c r="E21" s="1928"/>
      <c r="F21" s="1926">
        <f>F14+F15+F16+F17+F18+F19+F20</f>
        <v>17700672.870000001</v>
      </c>
      <c r="G21" s="304"/>
    </row>
    <row r="22" spans="1:8" ht="15.75" x14ac:dyDescent="0.25">
      <c r="A22" s="1929" t="s">
        <v>7825</v>
      </c>
      <c r="B22" s="1926">
        <f>B21*22%</f>
        <v>3788818.87</v>
      </c>
      <c r="C22" s="1927"/>
      <c r="D22" s="1926">
        <f>D21*22%</f>
        <v>3788818.87</v>
      </c>
      <c r="E22" s="1928"/>
      <c r="F22" s="1926">
        <f>F21*22%</f>
        <v>3894148.03</v>
      </c>
      <c r="G22" s="305"/>
    </row>
    <row r="23" spans="1:8" ht="15.75" x14ac:dyDescent="0.25">
      <c r="A23" s="1925" t="s">
        <v>533</v>
      </c>
      <c r="B23" s="1926">
        <f>B21+B22</f>
        <v>21010722.809999999</v>
      </c>
      <c r="C23" s="1927"/>
      <c r="D23" s="1926">
        <f>D21+D22</f>
        <v>21010722.809999999</v>
      </c>
      <c r="E23" s="1928"/>
      <c r="F23" s="1926">
        <f>F21+F22</f>
        <v>21594820.899999999</v>
      </c>
      <c r="G23" s="305"/>
    </row>
    <row r="24" spans="1:8" ht="15.75" x14ac:dyDescent="0.25">
      <c r="A24" s="226"/>
      <c r="B24" s="227"/>
      <c r="C24" s="227"/>
      <c r="D24" s="227"/>
      <c r="E24" s="227"/>
      <c r="F24" s="227"/>
      <c r="G24" s="208"/>
    </row>
    <row r="25" spans="1:8" ht="36" customHeight="1" x14ac:dyDescent="0.25">
      <c r="A25" s="2333" t="s">
        <v>4067</v>
      </c>
      <c r="B25" s="2333"/>
      <c r="C25" s="885">
        <v>1</v>
      </c>
      <c r="D25" s="220"/>
      <c r="E25" s="220"/>
      <c r="F25" s="220"/>
      <c r="G25" s="220"/>
    </row>
    <row r="26" spans="1:8" ht="23.45" customHeight="1" x14ac:dyDescent="0.25">
      <c r="A26" s="2334" t="s">
        <v>7826</v>
      </c>
      <c r="B26" s="2334"/>
      <c r="C26" s="2334"/>
      <c r="D26" s="2334"/>
      <c r="E26" s="2334"/>
      <c r="F26" s="2334"/>
      <c r="G26" s="220"/>
    </row>
    <row r="27" spans="1:8" s="1930" customFormat="1" ht="15.75" outlineLevel="1" x14ac:dyDescent="0.25">
      <c r="A27" s="2335" t="s">
        <v>643</v>
      </c>
      <c r="B27" s="2335"/>
      <c r="C27" s="2335"/>
      <c r="D27" s="2335"/>
      <c r="E27" s="2335"/>
      <c r="F27" s="2256">
        <v>46204</v>
      </c>
      <c r="G27" s="1930" t="s">
        <v>7827</v>
      </c>
    </row>
    <row r="28" spans="1:8" s="1930" customFormat="1" ht="15.75" outlineLevel="1" x14ac:dyDescent="0.25">
      <c r="A28" s="2336" t="s">
        <v>534</v>
      </c>
      <c r="B28" s="2337"/>
      <c r="C28" s="2337"/>
      <c r="D28" s="2337"/>
      <c r="E28" s="2338"/>
      <c r="F28" s="2256">
        <v>46335</v>
      </c>
      <c r="G28" s="2256">
        <v>46387</v>
      </c>
      <c r="H28" s="1930" t="s">
        <v>5872</v>
      </c>
    </row>
    <row r="29" spans="1:8" s="1930" customFormat="1" ht="15.75" outlineLevel="1" x14ac:dyDescent="0.25">
      <c r="A29" s="2336" t="s">
        <v>535</v>
      </c>
      <c r="B29" s="2337"/>
      <c r="C29" s="2337"/>
      <c r="D29" s="2337"/>
      <c r="E29" s="2338"/>
      <c r="F29" s="2256">
        <f>F28+120</f>
        <v>46455</v>
      </c>
      <c r="G29" s="2256">
        <v>46388</v>
      </c>
      <c r="H29" s="1930" t="s">
        <v>5873</v>
      </c>
    </row>
    <row r="30" spans="1:8" s="1930" customFormat="1" ht="15.75" outlineLevel="1" x14ac:dyDescent="0.25">
      <c r="A30" s="2336" t="s">
        <v>7870</v>
      </c>
      <c r="B30" s="2337"/>
      <c r="C30" s="2337"/>
      <c r="D30" s="2337"/>
      <c r="E30" s="2338"/>
      <c r="F30" s="2257">
        <f>ROUNDUP((F29-F28)/30.5,1)</f>
        <v>4</v>
      </c>
    </row>
    <row r="31" spans="1:8" s="1930" customFormat="1" ht="36.75" customHeight="1" outlineLevel="1" x14ac:dyDescent="0.25">
      <c r="A31" s="2339" t="s">
        <v>9200</v>
      </c>
      <c r="B31" s="2339"/>
      <c r="C31" s="2339"/>
      <c r="D31" s="2339"/>
      <c r="E31" s="2339"/>
      <c r="F31" s="2258">
        <f>(G28-F28)/30.5/F30</f>
        <v>0.43</v>
      </c>
    </row>
    <row r="32" spans="1:8" s="1930" customFormat="1" ht="36.75" customHeight="1" outlineLevel="1" x14ac:dyDescent="0.25">
      <c r="A32" s="2339" t="s">
        <v>9201</v>
      </c>
      <c r="B32" s="2339"/>
      <c r="C32" s="2339"/>
      <c r="D32" s="2339"/>
      <c r="E32" s="2339"/>
      <c r="F32" s="2258">
        <f>1-F31</f>
        <v>0.56999999999999995</v>
      </c>
    </row>
    <row r="33" spans="1:8" s="1930" customFormat="1" ht="35.25" customHeight="1" outlineLevel="1" x14ac:dyDescent="0.25">
      <c r="A33" s="2340" t="s">
        <v>7828</v>
      </c>
      <c r="B33" s="2340"/>
      <c r="C33" s="2340"/>
      <c r="D33" s="2340"/>
      <c r="E33" s="2340"/>
      <c r="F33" s="2259">
        <v>1.0549999999999999</v>
      </c>
    </row>
    <row r="34" spans="1:8" s="1930" customFormat="1" ht="15.75" outlineLevel="1" x14ac:dyDescent="0.25">
      <c r="A34" s="2341" t="s">
        <v>7829</v>
      </c>
      <c r="B34" s="2341"/>
      <c r="C34" s="2341"/>
      <c r="D34" s="2260">
        <f>F33</f>
        <v>1.0549999999999999</v>
      </c>
      <c r="E34" s="2261" t="s">
        <v>538</v>
      </c>
      <c r="F34" s="2262">
        <f>F33^(1/12)</f>
        <v>1.0044999999999999</v>
      </c>
    </row>
    <row r="35" spans="1:8" s="1930" customFormat="1" ht="33" customHeight="1" outlineLevel="1" x14ac:dyDescent="0.25">
      <c r="A35" s="2340" t="s">
        <v>7872</v>
      </c>
      <c r="B35" s="2340"/>
      <c r="C35" s="2340"/>
      <c r="D35" s="2340"/>
      <c r="E35" s="2340"/>
      <c r="F35" s="2259">
        <v>1.0409999999999999</v>
      </c>
    </row>
    <row r="36" spans="1:8" s="1930" customFormat="1" ht="15.75" outlineLevel="1" x14ac:dyDescent="0.25">
      <c r="A36" s="2341" t="s">
        <v>7873</v>
      </c>
      <c r="B36" s="2341"/>
      <c r="C36" s="2341"/>
      <c r="D36" s="2260">
        <f>F35</f>
        <v>1.0409999999999999</v>
      </c>
      <c r="E36" s="2261" t="s">
        <v>538</v>
      </c>
      <c r="F36" s="2262">
        <f>F35^(1/12)</f>
        <v>1.0034000000000001</v>
      </c>
    </row>
    <row r="37" spans="1:8" s="1930" customFormat="1" ht="15.75" customHeight="1" outlineLevel="1" x14ac:dyDescent="0.25">
      <c r="A37" s="2263" t="s">
        <v>9202</v>
      </c>
      <c r="B37" s="2263"/>
      <c r="C37" s="2352" t="str">
        <f>CONCATENATE("(",F34,"^",ROUNDUP((F28-F27)/30.5,1),"+",F34,"^",ROUNDUP((G28-F27)/30.5,1),")/2")</f>
        <v>(1,0045^4,3+1,0045^6)/2</v>
      </c>
      <c r="D37" s="2353"/>
      <c r="E37" s="2354"/>
      <c r="F37" s="2264">
        <f>(F34^ROUNDUP((F28-F27)/30.5,1)+F34^ROUNDUP((G28-F27)/30.5,1))/2</f>
        <v>1.0234000000000001</v>
      </c>
      <c r="H37" s="2265"/>
    </row>
    <row r="38" spans="1:8" s="1930" customFormat="1" ht="40.5" customHeight="1" outlineLevel="1" x14ac:dyDescent="0.25">
      <c r="A38" s="2263" t="s">
        <v>9203</v>
      </c>
      <c r="B38" s="2263"/>
      <c r="C38" s="2352" t="str">
        <f>CONCATENATE(F34,"^",ROUNDUP((G28-F27)/30.5,1),"*","(1+",F36,"^",ROUNDUP((F29-G29)/30.5,1),")/2")</f>
        <v>1,0045^6*(1+1,0034^2,2)/2</v>
      </c>
      <c r="D38" s="2353"/>
      <c r="E38" s="2354"/>
      <c r="F38" s="2264">
        <f>F34^ROUNDUP((G28-F27)/30.5,1)*(1+F36^ROUNDUP((F29-G29)/30.5,1))/2</f>
        <v>1.0311999999999999</v>
      </c>
      <c r="H38" s="2265"/>
    </row>
    <row r="39" spans="1:8" s="1930" customFormat="1" ht="34.5" customHeight="1" outlineLevel="1" x14ac:dyDescent="0.25">
      <c r="A39" s="2355" t="s">
        <v>539</v>
      </c>
      <c r="B39" s="2356"/>
      <c r="C39" s="2352" t="str">
        <f>CONCATENATE(F31,"*",F37,"+",F32,"*",F38)</f>
        <v>0,43*1,0234+0,57*1,0312</v>
      </c>
      <c r="D39" s="2353"/>
      <c r="E39" s="2354"/>
      <c r="F39" s="1937">
        <f>F31*F37+F32*F38</f>
        <v>1.0278</v>
      </c>
      <c r="H39" s="2266"/>
    </row>
    <row r="40" spans="1:8" ht="15.75" customHeight="1" x14ac:dyDescent="0.25">
      <c r="A40" s="1214"/>
      <c r="B40" s="1214"/>
      <c r="C40" s="1215"/>
      <c r="D40" s="1215"/>
      <c r="E40" s="1215"/>
      <c r="F40" s="1216"/>
      <c r="G40" s="844"/>
    </row>
    <row r="41" spans="1:8" ht="15.75" customHeight="1" x14ac:dyDescent="0.25">
      <c r="A41" s="1214"/>
      <c r="B41" s="1214"/>
      <c r="C41" s="1215"/>
      <c r="D41" s="1215"/>
      <c r="E41" s="1215"/>
      <c r="F41" s="1216"/>
      <c r="G41" s="844"/>
    </row>
    <row r="42" spans="1:8" s="1205" customFormat="1" ht="15.75" x14ac:dyDescent="0.25">
      <c r="A42" s="1202" t="s">
        <v>5520</v>
      </c>
      <c r="B42" s="1203"/>
      <c r="C42" s="1204"/>
    </row>
    <row r="43" spans="1:8" ht="59.25" customHeight="1" x14ac:dyDescent="0.25">
      <c r="A43" s="2298" t="s">
        <v>7783</v>
      </c>
      <c r="B43" s="2298"/>
      <c r="C43" s="2298"/>
      <c r="D43" s="884"/>
      <c r="F43" s="313" t="s">
        <v>7784</v>
      </c>
      <c r="G43" s="884"/>
    </row>
    <row r="44" spans="1:8" ht="15.75" x14ac:dyDescent="0.25">
      <c r="A44" s="1842"/>
      <c r="B44" s="1842"/>
      <c r="D44" s="884"/>
      <c r="F44" s="313"/>
      <c r="G44" s="884"/>
    </row>
    <row r="45" spans="1:8" s="1205" customFormat="1" ht="15.75" x14ac:dyDescent="0.25">
      <c r="A45" s="1202" t="s">
        <v>930</v>
      </c>
      <c r="B45" s="1203"/>
      <c r="F45" s="1204"/>
    </row>
    <row r="46" spans="1:8" ht="58.5" customHeight="1" x14ac:dyDescent="0.25">
      <c r="A46" s="2298" t="s">
        <v>6665</v>
      </c>
      <c r="B46" s="2298"/>
      <c r="C46" s="2298"/>
      <c r="D46" s="884"/>
      <c r="F46" s="313" t="s">
        <v>567</v>
      </c>
      <c r="G46" s="884"/>
    </row>
    <row r="47" spans="1:8" ht="15.75" x14ac:dyDescent="0.25">
      <c r="A47" s="1842"/>
      <c r="B47" s="1842"/>
      <c r="D47" s="884"/>
      <c r="F47" s="313"/>
      <c r="G47" s="884"/>
    </row>
    <row r="48" spans="1:8" ht="14.25" customHeight="1" x14ac:dyDescent="0.25">
      <c r="A48" s="2298" t="s">
        <v>5523</v>
      </c>
      <c r="B48" s="2298"/>
      <c r="F48" s="313"/>
    </row>
    <row r="49" spans="1:6" ht="22.5" customHeight="1" x14ac:dyDescent="0.25">
      <c r="A49" s="2298" t="s">
        <v>5524</v>
      </c>
      <c r="B49" s="2298"/>
      <c r="F49" s="313" t="s">
        <v>7785</v>
      </c>
    </row>
  </sheetData>
  <mergeCells count="32">
    <mergeCell ref="C37:E37"/>
    <mergeCell ref="C38:E38"/>
    <mergeCell ref="A39:B39"/>
    <mergeCell ref="C39:E39"/>
    <mergeCell ref="F11:F12"/>
    <mergeCell ref="A1:F1"/>
    <mergeCell ref="B2:F2"/>
    <mergeCell ref="B3:G3"/>
    <mergeCell ref="C5:F5"/>
    <mergeCell ref="A6:G6"/>
    <mergeCell ref="C9:F9"/>
    <mergeCell ref="A11:A12"/>
    <mergeCell ref="B11:B12"/>
    <mergeCell ref="C11:C12"/>
    <mergeCell ref="D11:D12"/>
    <mergeCell ref="E11:E12"/>
    <mergeCell ref="A46:C46"/>
    <mergeCell ref="A48:B48"/>
    <mergeCell ref="A49:B49"/>
    <mergeCell ref="A43:C43"/>
    <mergeCell ref="A25:B25"/>
    <mergeCell ref="A26:F26"/>
    <mergeCell ref="A27:E27"/>
    <mergeCell ref="A28:E28"/>
    <mergeCell ref="A29:E29"/>
    <mergeCell ref="A30:E30"/>
    <mergeCell ref="A31:E31"/>
    <mergeCell ref="A32:E32"/>
    <mergeCell ref="A33:E33"/>
    <mergeCell ref="A34:C34"/>
    <mergeCell ref="A35:E35"/>
    <mergeCell ref="A36:C36"/>
  </mergeCells>
  <pageMargins left="0.25" right="0.25" top="0.75" bottom="0.75" header="0.3" footer="0.3"/>
  <pageSetup paperSize="9" scale="62" fitToHeight="0"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31"/>
  <sheetViews>
    <sheetView zoomScale="90" zoomScaleNormal="90" zoomScaleSheetLayoutView="85" workbookViewId="0">
      <selection activeCell="C15" sqref="C15"/>
    </sheetView>
  </sheetViews>
  <sheetFormatPr defaultColWidth="8.7109375" defaultRowHeight="12.75" x14ac:dyDescent="0.2"/>
  <cols>
    <col min="1" max="1" width="6.42578125" style="139" customWidth="1"/>
    <col min="2" max="2" width="51.5703125" style="139" customWidth="1"/>
    <col min="3" max="3" width="20.42578125" style="139" customWidth="1"/>
    <col min="4" max="4" width="29.85546875" style="139" customWidth="1"/>
    <col min="5" max="5" width="22.7109375" style="139" customWidth="1"/>
    <col min="6" max="6" width="23" style="139" customWidth="1"/>
    <col min="7" max="7" width="22.28515625" style="139" customWidth="1"/>
    <col min="8" max="8" width="17.140625" style="139" customWidth="1"/>
    <col min="9" max="9" width="21.7109375" style="251" customWidth="1"/>
    <col min="10" max="10" width="11.5703125" style="139" customWidth="1"/>
    <col min="11" max="11" width="14" style="139" customWidth="1"/>
    <col min="12" max="14" width="8.7109375" style="139"/>
    <col min="15" max="15" width="40" style="139" customWidth="1"/>
    <col min="16" max="224" width="8.7109375" style="139"/>
    <col min="225" max="225" width="6.42578125" style="139" customWidth="1"/>
    <col min="226" max="226" width="22.28515625" style="139" customWidth="1"/>
    <col min="227" max="227" width="11.5703125" style="139" customWidth="1"/>
    <col min="228" max="228" width="11.85546875" style="139" customWidth="1"/>
    <col min="229" max="229" width="16.5703125" style="139" customWidth="1"/>
    <col min="230" max="230" width="15.5703125" style="139" customWidth="1"/>
    <col min="231" max="231" width="18.28515625" style="139" customWidth="1"/>
    <col min="232" max="232" width="0" style="139" hidden="1" customWidth="1"/>
    <col min="233" max="233" width="4.140625" style="139" customWidth="1"/>
    <col min="234" max="234" width="1.7109375" style="139" customWidth="1"/>
    <col min="235" max="235" width="3.42578125" style="139" customWidth="1"/>
    <col min="236" max="238" width="1.7109375" style="139" customWidth="1"/>
    <col min="239" max="239" width="3" style="139" bestFit="1" customWidth="1"/>
    <col min="240" max="480" width="8.7109375" style="139"/>
    <col min="481" max="481" width="6.42578125" style="139" customWidth="1"/>
    <col min="482" max="482" width="22.28515625" style="139" customWidth="1"/>
    <col min="483" max="483" width="11.5703125" style="139" customWidth="1"/>
    <col min="484" max="484" width="11.85546875" style="139" customWidth="1"/>
    <col min="485" max="485" width="16.5703125" style="139" customWidth="1"/>
    <col min="486" max="486" width="15.5703125" style="139" customWidth="1"/>
    <col min="487" max="487" width="18.28515625" style="139" customWidth="1"/>
    <col min="488" max="488" width="0" style="139" hidden="1" customWidth="1"/>
    <col min="489" max="489" width="4.140625" style="139" customWidth="1"/>
    <col min="490" max="490" width="1.7109375" style="139" customWidth="1"/>
    <col min="491" max="491" width="3.42578125" style="139" customWidth="1"/>
    <col min="492" max="494" width="1.7109375" style="139" customWidth="1"/>
    <col min="495" max="495" width="3" style="139" bestFit="1" customWidth="1"/>
    <col min="496" max="736" width="8.7109375" style="139"/>
    <col min="737" max="737" width="6.42578125" style="139" customWidth="1"/>
    <col min="738" max="738" width="22.28515625" style="139" customWidth="1"/>
    <col min="739" max="739" width="11.5703125" style="139" customWidth="1"/>
    <col min="740" max="740" width="11.85546875" style="139" customWidth="1"/>
    <col min="741" max="741" width="16.5703125" style="139" customWidth="1"/>
    <col min="742" max="742" width="15.5703125" style="139" customWidth="1"/>
    <col min="743" max="743" width="18.28515625" style="139" customWidth="1"/>
    <col min="744" max="744" width="0" style="139" hidden="1" customWidth="1"/>
    <col min="745" max="745" width="4.140625" style="139" customWidth="1"/>
    <col min="746" max="746" width="1.7109375" style="139" customWidth="1"/>
    <col min="747" max="747" width="3.42578125" style="139" customWidth="1"/>
    <col min="748" max="750" width="1.7109375" style="139" customWidth="1"/>
    <col min="751" max="751" width="3" style="139" bestFit="1" customWidth="1"/>
    <col min="752" max="992" width="8.7109375" style="139"/>
    <col min="993" max="993" width="6.42578125" style="139" customWidth="1"/>
    <col min="994" max="994" width="22.28515625" style="139" customWidth="1"/>
    <col min="995" max="995" width="11.5703125" style="139" customWidth="1"/>
    <col min="996" max="996" width="11.85546875" style="139" customWidth="1"/>
    <col min="997" max="997" width="16.5703125" style="139" customWidth="1"/>
    <col min="998" max="998" width="15.5703125" style="139" customWidth="1"/>
    <col min="999" max="999" width="18.28515625" style="139" customWidth="1"/>
    <col min="1000" max="1000" width="0" style="139" hidden="1" customWidth="1"/>
    <col min="1001" max="1001" width="4.140625" style="139" customWidth="1"/>
    <col min="1002" max="1002" width="1.7109375" style="139" customWidth="1"/>
    <col min="1003" max="1003" width="3.42578125" style="139" customWidth="1"/>
    <col min="1004" max="1006" width="1.7109375" style="139" customWidth="1"/>
    <col min="1007" max="1007" width="3" style="139" bestFit="1" customWidth="1"/>
    <col min="1008" max="1248" width="8.7109375" style="139"/>
    <col min="1249" max="1249" width="6.42578125" style="139" customWidth="1"/>
    <col min="1250" max="1250" width="22.28515625" style="139" customWidth="1"/>
    <col min="1251" max="1251" width="11.5703125" style="139" customWidth="1"/>
    <col min="1252" max="1252" width="11.85546875" style="139" customWidth="1"/>
    <col min="1253" max="1253" width="16.5703125" style="139" customWidth="1"/>
    <col min="1254" max="1254" width="15.5703125" style="139" customWidth="1"/>
    <col min="1255" max="1255" width="18.28515625" style="139" customWidth="1"/>
    <col min="1256" max="1256" width="0" style="139" hidden="1" customWidth="1"/>
    <col min="1257" max="1257" width="4.140625" style="139" customWidth="1"/>
    <col min="1258" max="1258" width="1.7109375" style="139" customWidth="1"/>
    <col min="1259" max="1259" width="3.42578125" style="139" customWidth="1"/>
    <col min="1260" max="1262" width="1.7109375" style="139" customWidth="1"/>
    <col min="1263" max="1263" width="3" style="139" bestFit="1" customWidth="1"/>
    <col min="1264" max="1504" width="8.7109375" style="139"/>
    <col min="1505" max="1505" width="6.42578125" style="139" customWidth="1"/>
    <col min="1506" max="1506" width="22.28515625" style="139" customWidth="1"/>
    <col min="1507" max="1507" width="11.5703125" style="139" customWidth="1"/>
    <col min="1508" max="1508" width="11.85546875" style="139" customWidth="1"/>
    <col min="1509" max="1509" width="16.5703125" style="139" customWidth="1"/>
    <col min="1510" max="1510" width="15.5703125" style="139" customWidth="1"/>
    <col min="1511" max="1511" width="18.28515625" style="139" customWidth="1"/>
    <col min="1512" max="1512" width="0" style="139" hidden="1" customWidth="1"/>
    <col min="1513" max="1513" width="4.140625" style="139" customWidth="1"/>
    <col min="1514" max="1514" width="1.7109375" style="139" customWidth="1"/>
    <col min="1515" max="1515" width="3.42578125" style="139" customWidth="1"/>
    <col min="1516" max="1518" width="1.7109375" style="139" customWidth="1"/>
    <col min="1519" max="1519" width="3" style="139" bestFit="1" customWidth="1"/>
    <col min="1520" max="1760" width="8.7109375" style="139"/>
    <col min="1761" max="1761" width="6.42578125" style="139" customWidth="1"/>
    <col min="1762" max="1762" width="22.28515625" style="139" customWidth="1"/>
    <col min="1763" max="1763" width="11.5703125" style="139" customWidth="1"/>
    <col min="1764" max="1764" width="11.85546875" style="139" customWidth="1"/>
    <col min="1765" max="1765" width="16.5703125" style="139" customWidth="1"/>
    <col min="1766" max="1766" width="15.5703125" style="139" customWidth="1"/>
    <col min="1767" max="1767" width="18.28515625" style="139" customWidth="1"/>
    <col min="1768" max="1768" width="0" style="139" hidden="1" customWidth="1"/>
    <col min="1769" max="1769" width="4.140625" style="139" customWidth="1"/>
    <col min="1770" max="1770" width="1.7109375" style="139" customWidth="1"/>
    <col min="1771" max="1771" width="3.42578125" style="139" customWidth="1"/>
    <col min="1772" max="1774" width="1.7109375" style="139" customWidth="1"/>
    <col min="1775" max="1775" width="3" style="139" bestFit="1" customWidth="1"/>
    <col min="1776" max="2016" width="8.7109375" style="139"/>
    <col min="2017" max="2017" width="6.42578125" style="139" customWidth="1"/>
    <col min="2018" max="2018" width="22.28515625" style="139" customWidth="1"/>
    <col min="2019" max="2019" width="11.5703125" style="139" customWidth="1"/>
    <col min="2020" max="2020" width="11.85546875" style="139" customWidth="1"/>
    <col min="2021" max="2021" width="16.5703125" style="139" customWidth="1"/>
    <col min="2022" max="2022" width="15.5703125" style="139" customWidth="1"/>
    <col min="2023" max="2023" width="18.28515625" style="139" customWidth="1"/>
    <col min="2024" max="2024" width="0" style="139" hidden="1" customWidth="1"/>
    <col min="2025" max="2025" width="4.140625" style="139" customWidth="1"/>
    <col min="2026" max="2026" width="1.7109375" style="139" customWidth="1"/>
    <col min="2027" max="2027" width="3.42578125" style="139" customWidth="1"/>
    <col min="2028" max="2030" width="1.7109375" style="139" customWidth="1"/>
    <col min="2031" max="2031" width="3" style="139" bestFit="1" customWidth="1"/>
    <col min="2032" max="2272" width="8.7109375" style="139"/>
    <col min="2273" max="2273" width="6.42578125" style="139" customWidth="1"/>
    <col min="2274" max="2274" width="22.28515625" style="139" customWidth="1"/>
    <col min="2275" max="2275" width="11.5703125" style="139" customWidth="1"/>
    <col min="2276" max="2276" width="11.85546875" style="139" customWidth="1"/>
    <col min="2277" max="2277" width="16.5703125" style="139" customWidth="1"/>
    <col min="2278" max="2278" width="15.5703125" style="139" customWidth="1"/>
    <col min="2279" max="2279" width="18.28515625" style="139" customWidth="1"/>
    <col min="2280" max="2280" width="0" style="139" hidden="1" customWidth="1"/>
    <col min="2281" max="2281" width="4.140625" style="139" customWidth="1"/>
    <col min="2282" max="2282" width="1.7109375" style="139" customWidth="1"/>
    <col min="2283" max="2283" width="3.42578125" style="139" customWidth="1"/>
    <col min="2284" max="2286" width="1.7109375" style="139" customWidth="1"/>
    <col min="2287" max="2287" width="3" style="139" bestFit="1" customWidth="1"/>
    <col min="2288" max="2528" width="8.7109375" style="139"/>
    <col min="2529" max="2529" width="6.42578125" style="139" customWidth="1"/>
    <col min="2530" max="2530" width="22.28515625" style="139" customWidth="1"/>
    <col min="2531" max="2531" width="11.5703125" style="139" customWidth="1"/>
    <col min="2532" max="2532" width="11.85546875" style="139" customWidth="1"/>
    <col min="2533" max="2533" width="16.5703125" style="139" customWidth="1"/>
    <col min="2534" max="2534" width="15.5703125" style="139" customWidth="1"/>
    <col min="2535" max="2535" width="18.28515625" style="139" customWidth="1"/>
    <col min="2536" max="2536" width="0" style="139" hidden="1" customWidth="1"/>
    <col min="2537" max="2537" width="4.140625" style="139" customWidth="1"/>
    <col min="2538" max="2538" width="1.7109375" style="139" customWidth="1"/>
    <col min="2539" max="2539" width="3.42578125" style="139" customWidth="1"/>
    <col min="2540" max="2542" width="1.7109375" style="139" customWidth="1"/>
    <col min="2543" max="2543" width="3" style="139" bestFit="1" customWidth="1"/>
    <col min="2544" max="2784" width="8.7109375" style="139"/>
    <col min="2785" max="2785" width="6.42578125" style="139" customWidth="1"/>
    <col min="2786" max="2786" width="22.28515625" style="139" customWidth="1"/>
    <col min="2787" max="2787" width="11.5703125" style="139" customWidth="1"/>
    <col min="2788" max="2788" width="11.85546875" style="139" customWidth="1"/>
    <col min="2789" max="2789" width="16.5703125" style="139" customWidth="1"/>
    <col min="2790" max="2790" width="15.5703125" style="139" customWidth="1"/>
    <col min="2791" max="2791" width="18.28515625" style="139" customWidth="1"/>
    <col min="2792" max="2792" width="0" style="139" hidden="1" customWidth="1"/>
    <col min="2793" max="2793" width="4.140625" style="139" customWidth="1"/>
    <col min="2794" max="2794" width="1.7109375" style="139" customWidth="1"/>
    <col min="2795" max="2795" width="3.42578125" style="139" customWidth="1"/>
    <col min="2796" max="2798" width="1.7109375" style="139" customWidth="1"/>
    <col min="2799" max="2799" width="3" style="139" bestFit="1" customWidth="1"/>
    <col min="2800" max="3040" width="8.7109375" style="139"/>
    <col min="3041" max="3041" width="6.42578125" style="139" customWidth="1"/>
    <col min="3042" max="3042" width="22.28515625" style="139" customWidth="1"/>
    <col min="3043" max="3043" width="11.5703125" style="139" customWidth="1"/>
    <col min="3044" max="3044" width="11.85546875" style="139" customWidth="1"/>
    <col min="3045" max="3045" width="16.5703125" style="139" customWidth="1"/>
    <col min="3046" max="3046" width="15.5703125" style="139" customWidth="1"/>
    <col min="3047" max="3047" width="18.28515625" style="139" customWidth="1"/>
    <col min="3048" max="3048" width="0" style="139" hidden="1" customWidth="1"/>
    <col min="3049" max="3049" width="4.140625" style="139" customWidth="1"/>
    <col min="3050" max="3050" width="1.7109375" style="139" customWidth="1"/>
    <col min="3051" max="3051" width="3.42578125" style="139" customWidth="1"/>
    <col min="3052" max="3054" width="1.7109375" style="139" customWidth="1"/>
    <col min="3055" max="3055" width="3" style="139" bestFit="1" customWidth="1"/>
    <col min="3056" max="3296" width="8.7109375" style="139"/>
    <col min="3297" max="3297" width="6.42578125" style="139" customWidth="1"/>
    <col min="3298" max="3298" width="22.28515625" style="139" customWidth="1"/>
    <col min="3299" max="3299" width="11.5703125" style="139" customWidth="1"/>
    <col min="3300" max="3300" width="11.85546875" style="139" customWidth="1"/>
    <col min="3301" max="3301" width="16.5703125" style="139" customWidth="1"/>
    <col min="3302" max="3302" width="15.5703125" style="139" customWidth="1"/>
    <col min="3303" max="3303" width="18.28515625" style="139" customWidth="1"/>
    <col min="3304" max="3304" width="0" style="139" hidden="1" customWidth="1"/>
    <col min="3305" max="3305" width="4.140625" style="139" customWidth="1"/>
    <col min="3306" max="3306" width="1.7109375" style="139" customWidth="1"/>
    <col min="3307" max="3307" width="3.42578125" style="139" customWidth="1"/>
    <col min="3308" max="3310" width="1.7109375" style="139" customWidth="1"/>
    <col min="3311" max="3311" width="3" style="139" bestFit="1" customWidth="1"/>
    <col min="3312" max="3552" width="8.7109375" style="139"/>
    <col min="3553" max="3553" width="6.42578125" style="139" customWidth="1"/>
    <col min="3554" max="3554" width="22.28515625" style="139" customWidth="1"/>
    <col min="3555" max="3555" width="11.5703125" style="139" customWidth="1"/>
    <col min="3556" max="3556" width="11.85546875" style="139" customWidth="1"/>
    <col min="3557" max="3557" width="16.5703125" style="139" customWidth="1"/>
    <col min="3558" max="3558" width="15.5703125" style="139" customWidth="1"/>
    <col min="3559" max="3559" width="18.28515625" style="139" customWidth="1"/>
    <col min="3560" max="3560" width="0" style="139" hidden="1" customWidth="1"/>
    <col min="3561" max="3561" width="4.140625" style="139" customWidth="1"/>
    <col min="3562" max="3562" width="1.7109375" style="139" customWidth="1"/>
    <col min="3563" max="3563" width="3.42578125" style="139" customWidth="1"/>
    <col min="3564" max="3566" width="1.7109375" style="139" customWidth="1"/>
    <col min="3567" max="3567" width="3" style="139" bestFit="1" customWidth="1"/>
    <col min="3568" max="3808" width="8.7109375" style="139"/>
    <col min="3809" max="3809" width="6.42578125" style="139" customWidth="1"/>
    <col min="3810" max="3810" width="22.28515625" style="139" customWidth="1"/>
    <col min="3811" max="3811" width="11.5703125" style="139" customWidth="1"/>
    <col min="3812" max="3812" width="11.85546875" style="139" customWidth="1"/>
    <col min="3813" max="3813" width="16.5703125" style="139" customWidth="1"/>
    <col min="3814" max="3814" width="15.5703125" style="139" customWidth="1"/>
    <col min="3815" max="3815" width="18.28515625" style="139" customWidth="1"/>
    <col min="3816" max="3816" width="0" style="139" hidden="1" customWidth="1"/>
    <col min="3817" max="3817" width="4.140625" style="139" customWidth="1"/>
    <col min="3818" max="3818" width="1.7109375" style="139" customWidth="1"/>
    <col min="3819" max="3819" width="3.42578125" style="139" customWidth="1"/>
    <col min="3820" max="3822" width="1.7109375" style="139" customWidth="1"/>
    <col min="3823" max="3823" width="3" style="139" bestFit="1" customWidth="1"/>
    <col min="3824" max="4064" width="8.7109375" style="139"/>
    <col min="4065" max="4065" width="6.42578125" style="139" customWidth="1"/>
    <col min="4066" max="4066" width="22.28515625" style="139" customWidth="1"/>
    <col min="4067" max="4067" width="11.5703125" style="139" customWidth="1"/>
    <col min="4068" max="4068" width="11.85546875" style="139" customWidth="1"/>
    <col min="4069" max="4069" width="16.5703125" style="139" customWidth="1"/>
    <col min="4070" max="4070" width="15.5703125" style="139" customWidth="1"/>
    <col min="4071" max="4071" width="18.28515625" style="139" customWidth="1"/>
    <col min="4072" max="4072" width="0" style="139" hidden="1" customWidth="1"/>
    <col min="4073" max="4073" width="4.140625" style="139" customWidth="1"/>
    <col min="4074" max="4074" width="1.7109375" style="139" customWidth="1"/>
    <col min="4075" max="4075" width="3.42578125" style="139" customWidth="1"/>
    <col min="4076" max="4078" width="1.7109375" style="139" customWidth="1"/>
    <col min="4079" max="4079" width="3" style="139" bestFit="1" customWidth="1"/>
    <col min="4080" max="4320" width="8.7109375" style="139"/>
    <col min="4321" max="4321" width="6.42578125" style="139" customWidth="1"/>
    <col min="4322" max="4322" width="22.28515625" style="139" customWidth="1"/>
    <col min="4323" max="4323" width="11.5703125" style="139" customWidth="1"/>
    <col min="4324" max="4324" width="11.85546875" style="139" customWidth="1"/>
    <col min="4325" max="4325" width="16.5703125" style="139" customWidth="1"/>
    <col min="4326" max="4326" width="15.5703125" style="139" customWidth="1"/>
    <col min="4327" max="4327" width="18.28515625" style="139" customWidth="1"/>
    <col min="4328" max="4328" width="0" style="139" hidden="1" customWidth="1"/>
    <col min="4329" max="4329" width="4.140625" style="139" customWidth="1"/>
    <col min="4330" max="4330" width="1.7109375" style="139" customWidth="1"/>
    <col min="4331" max="4331" width="3.42578125" style="139" customWidth="1"/>
    <col min="4332" max="4334" width="1.7109375" style="139" customWidth="1"/>
    <col min="4335" max="4335" width="3" style="139" bestFit="1" customWidth="1"/>
    <col min="4336" max="4576" width="8.7109375" style="139"/>
    <col min="4577" max="4577" width="6.42578125" style="139" customWidth="1"/>
    <col min="4578" max="4578" width="22.28515625" style="139" customWidth="1"/>
    <col min="4579" max="4579" width="11.5703125" style="139" customWidth="1"/>
    <col min="4580" max="4580" width="11.85546875" style="139" customWidth="1"/>
    <col min="4581" max="4581" width="16.5703125" style="139" customWidth="1"/>
    <col min="4582" max="4582" width="15.5703125" style="139" customWidth="1"/>
    <col min="4583" max="4583" width="18.28515625" style="139" customWidth="1"/>
    <col min="4584" max="4584" width="0" style="139" hidden="1" customWidth="1"/>
    <col min="4585" max="4585" width="4.140625" style="139" customWidth="1"/>
    <col min="4586" max="4586" width="1.7109375" style="139" customWidth="1"/>
    <col min="4587" max="4587" width="3.42578125" style="139" customWidth="1"/>
    <col min="4588" max="4590" width="1.7109375" style="139" customWidth="1"/>
    <col min="4591" max="4591" width="3" style="139" bestFit="1" customWidth="1"/>
    <col min="4592" max="4832" width="8.7109375" style="139"/>
    <col min="4833" max="4833" width="6.42578125" style="139" customWidth="1"/>
    <col min="4834" max="4834" width="22.28515625" style="139" customWidth="1"/>
    <col min="4835" max="4835" width="11.5703125" style="139" customWidth="1"/>
    <col min="4836" max="4836" width="11.85546875" style="139" customWidth="1"/>
    <col min="4837" max="4837" width="16.5703125" style="139" customWidth="1"/>
    <col min="4838" max="4838" width="15.5703125" style="139" customWidth="1"/>
    <col min="4839" max="4839" width="18.28515625" style="139" customWidth="1"/>
    <col min="4840" max="4840" width="0" style="139" hidden="1" customWidth="1"/>
    <col min="4841" max="4841" width="4.140625" style="139" customWidth="1"/>
    <col min="4842" max="4842" width="1.7109375" style="139" customWidth="1"/>
    <col min="4843" max="4843" width="3.42578125" style="139" customWidth="1"/>
    <col min="4844" max="4846" width="1.7109375" style="139" customWidth="1"/>
    <col min="4847" max="4847" width="3" style="139" bestFit="1" customWidth="1"/>
    <col min="4848" max="5088" width="8.7109375" style="139"/>
    <col min="5089" max="5089" width="6.42578125" style="139" customWidth="1"/>
    <col min="5090" max="5090" width="22.28515625" style="139" customWidth="1"/>
    <col min="5091" max="5091" width="11.5703125" style="139" customWidth="1"/>
    <col min="5092" max="5092" width="11.85546875" style="139" customWidth="1"/>
    <col min="5093" max="5093" width="16.5703125" style="139" customWidth="1"/>
    <col min="5094" max="5094" width="15.5703125" style="139" customWidth="1"/>
    <col min="5095" max="5095" width="18.28515625" style="139" customWidth="1"/>
    <col min="5096" max="5096" width="0" style="139" hidden="1" customWidth="1"/>
    <col min="5097" max="5097" width="4.140625" style="139" customWidth="1"/>
    <col min="5098" max="5098" width="1.7109375" style="139" customWidth="1"/>
    <col min="5099" max="5099" width="3.42578125" style="139" customWidth="1"/>
    <col min="5100" max="5102" width="1.7109375" style="139" customWidth="1"/>
    <col min="5103" max="5103" width="3" style="139" bestFit="1" customWidth="1"/>
    <col min="5104" max="5344" width="8.7109375" style="139"/>
    <col min="5345" max="5345" width="6.42578125" style="139" customWidth="1"/>
    <col min="5346" max="5346" width="22.28515625" style="139" customWidth="1"/>
    <col min="5347" max="5347" width="11.5703125" style="139" customWidth="1"/>
    <col min="5348" max="5348" width="11.85546875" style="139" customWidth="1"/>
    <col min="5349" max="5349" width="16.5703125" style="139" customWidth="1"/>
    <col min="5350" max="5350" width="15.5703125" style="139" customWidth="1"/>
    <col min="5351" max="5351" width="18.28515625" style="139" customWidth="1"/>
    <col min="5352" max="5352" width="0" style="139" hidden="1" customWidth="1"/>
    <col min="5353" max="5353" width="4.140625" style="139" customWidth="1"/>
    <col min="5354" max="5354" width="1.7109375" style="139" customWidth="1"/>
    <col min="5355" max="5355" width="3.42578125" style="139" customWidth="1"/>
    <col min="5356" max="5358" width="1.7109375" style="139" customWidth="1"/>
    <col min="5359" max="5359" width="3" style="139" bestFit="1" customWidth="1"/>
    <col min="5360" max="5600" width="8.7109375" style="139"/>
    <col min="5601" max="5601" width="6.42578125" style="139" customWidth="1"/>
    <col min="5602" max="5602" width="22.28515625" style="139" customWidth="1"/>
    <col min="5603" max="5603" width="11.5703125" style="139" customWidth="1"/>
    <col min="5604" max="5604" width="11.85546875" style="139" customWidth="1"/>
    <col min="5605" max="5605" width="16.5703125" style="139" customWidth="1"/>
    <col min="5606" max="5606" width="15.5703125" style="139" customWidth="1"/>
    <col min="5607" max="5607" width="18.28515625" style="139" customWidth="1"/>
    <col min="5608" max="5608" width="0" style="139" hidden="1" customWidth="1"/>
    <col min="5609" max="5609" width="4.140625" style="139" customWidth="1"/>
    <col min="5610" max="5610" width="1.7109375" style="139" customWidth="1"/>
    <col min="5611" max="5611" width="3.42578125" style="139" customWidth="1"/>
    <col min="5612" max="5614" width="1.7109375" style="139" customWidth="1"/>
    <col min="5615" max="5615" width="3" style="139" bestFit="1" customWidth="1"/>
    <col min="5616" max="5856" width="8.7109375" style="139"/>
    <col min="5857" max="5857" width="6.42578125" style="139" customWidth="1"/>
    <col min="5858" max="5858" width="22.28515625" style="139" customWidth="1"/>
    <col min="5859" max="5859" width="11.5703125" style="139" customWidth="1"/>
    <col min="5860" max="5860" width="11.85546875" style="139" customWidth="1"/>
    <col min="5861" max="5861" width="16.5703125" style="139" customWidth="1"/>
    <col min="5862" max="5862" width="15.5703125" style="139" customWidth="1"/>
    <col min="5863" max="5863" width="18.28515625" style="139" customWidth="1"/>
    <col min="5864" max="5864" width="0" style="139" hidden="1" customWidth="1"/>
    <col min="5865" max="5865" width="4.140625" style="139" customWidth="1"/>
    <col min="5866" max="5866" width="1.7109375" style="139" customWidth="1"/>
    <col min="5867" max="5867" width="3.42578125" style="139" customWidth="1"/>
    <col min="5868" max="5870" width="1.7109375" style="139" customWidth="1"/>
    <col min="5871" max="5871" width="3" style="139" bestFit="1" customWidth="1"/>
    <col min="5872" max="6112" width="8.7109375" style="139"/>
    <col min="6113" max="6113" width="6.42578125" style="139" customWidth="1"/>
    <col min="6114" max="6114" width="22.28515625" style="139" customWidth="1"/>
    <col min="6115" max="6115" width="11.5703125" style="139" customWidth="1"/>
    <col min="6116" max="6116" width="11.85546875" style="139" customWidth="1"/>
    <col min="6117" max="6117" width="16.5703125" style="139" customWidth="1"/>
    <col min="6118" max="6118" width="15.5703125" style="139" customWidth="1"/>
    <col min="6119" max="6119" width="18.28515625" style="139" customWidth="1"/>
    <col min="6120" max="6120" width="0" style="139" hidden="1" customWidth="1"/>
    <col min="6121" max="6121" width="4.140625" style="139" customWidth="1"/>
    <col min="6122" max="6122" width="1.7109375" style="139" customWidth="1"/>
    <col min="6123" max="6123" width="3.42578125" style="139" customWidth="1"/>
    <col min="6124" max="6126" width="1.7109375" style="139" customWidth="1"/>
    <col min="6127" max="6127" width="3" style="139" bestFit="1" customWidth="1"/>
    <col min="6128" max="6368" width="8.7109375" style="139"/>
    <col min="6369" max="6369" width="6.42578125" style="139" customWidth="1"/>
    <col min="6370" max="6370" width="22.28515625" style="139" customWidth="1"/>
    <col min="6371" max="6371" width="11.5703125" style="139" customWidth="1"/>
    <col min="6372" max="6372" width="11.85546875" style="139" customWidth="1"/>
    <col min="6373" max="6373" width="16.5703125" style="139" customWidth="1"/>
    <col min="6374" max="6374" width="15.5703125" style="139" customWidth="1"/>
    <col min="6375" max="6375" width="18.28515625" style="139" customWidth="1"/>
    <col min="6376" max="6376" width="0" style="139" hidden="1" customWidth="1"/>
    <col min="6377" max="6377" width="4.140625" style="139" customWidth="1"/>
    <col min="6378" max="6378" width="1.7109375" style="139" customWidth="1"/>
    <col min="6379" max="6379" width="3.42578125" style="139" customWidth="1"/>
    <col min="6380" max="6382" width="1.7109375" style="139" customWidth="1"/>
    <col min="6383" max="6383" width="3" style="139" bestFit="1" customWidth="1"/>
    <col min="6384" max="6624" width="8.7109375" style="139"/>
    <col min="6625" max="6625" width="6.42578125" style="139" customWidth="1"/>
    <col min="6626" max="6626" width="22.28515625" style="139" customWidth="1"/>
    <col min="6627" max="6627" width="11.5703125" style="139" customWidth="1"/>
    <col min="6628" max="6628" width="11.85546875" style="139" customWidth="1"/>
    <col min="6629" max="6629" width="16.5703125" style="139" customWidth="1"/>
    <col min="6630" max="6630" width="15.5703125" style="139" customWidth="1"/>
    <col min="6631" max="6631" width="18.28515625" style="139" customWidth="1"/>
    <col min="6632" max="6632" width="0" style="139" hidden="1" customWidth="1"/>
    <col min="6633" max="6633" width="4.140625" style="139" customWidth="1"/>
    <col min="6634" max="6634" width="1.7109375" style="139" customWidth="1"/>
    <col min="6635" max="6635" width="3.42578125" style="139" customWidth="1"/>
    <col min="6636" max="6638" width="1.7109375" style="139" customWidth="1"/>
    <col min="6639" max="6639" width="3" style="139" bestFit="1" customWidth="1"/>
    <col min="6640" max="6880" width="8.7109375" style="139"/>
    <col min="6881" max="6881" width="6.42578125" style="139" customWidth="1"/>
    <col min="6882" max="6882" width="22.28515625" style="139" customWidth="1"/>
    <col min="6883" max="6883" width="11.5703125" style="139" customWidth="1"/>
    <col min="6884" max="6884" width="11.85546875" style="139" customWidth="1"/>
    <col min="6885" max="6885" width="16.5703125" style="139" customWidth="1"/>
    <col min="6886" max="6886" width="15.5703125" style="139" customWidth="1"/>
    <col min="6887" max="6887" width="18.28515625" style="139" customWidth="1"/>
    <col min="6888" max="6888" width="0" style="139" hidden="1" customWidth="1"/>
    <col min="6889" max="6889" width="4.140625" style="139" customWidth="1"/>
    <col min="6890" max="6890" width="1.7109375" style="139" customWidth="1"/>
    <col min="6891" max="6891" width="3.42578125" style="139" customWidth="1"/>
    <col min="6892" max="6894" width="1.7109375" style="139" customWidth="1"/>
    <col min="6895" max="6895" width="3" style="139" bestFit="1" customWidth="1"/>
    <col min="6896" max="7136" width="8.7109375" style="139"/>
    <col min="7137" max="7137" width="6.42578125" style="139" customWidth="1"/>
    <col min="7138" max="7138" width="22.28515625" style="139" customWidth="1"/>
    <col min="7139" max="7139" width="11.5703125" style="139" customWidth="1"/>
    <col min="7140" max="7140" width="11.85546875" style="139" customWidth="1"/>
    <col min="7141" max="7141" width="16.5703125" style="139" customWidth="1"/>
    <col min="7142" max="7142" width="15.5703125" style="139" customWidth="1"/>
    <col min="7143" max="7143" width="18.28515625" style="139" customWidth="1"/>
    <col min="7144" max="7144" width="0" style="139" hidden="1" customWidth="1"/>
    <col min="7145" max="7145" width="4.140625" style="139" customWidth="1"/>
    <col min="7146" max="7146" width="1.7109375" style="139" customWidth="1"/>
    <col min="7147" max="7147" width="3.42578125" style="139" customWidth="1"/>
    <col min="7148" max="7150" width="1.7109375" style="139" customWidth="1"/>
    <col min="7151" max="7151" width="3" style="139" bestFit="1" customWidth="1"/>
    <col min="7152" max="7392" width="8.7109375" style="139"/>
    <col min="7393" max="7393" width="6.42578125" style="139" customWidth="1"/>
    <col min="7394" max="7394" width="22.28515625" style="139" customWidth="1"/>
    <col min="7395" max="7395" width="11.5703125" style="139" customWidth="1"/>
    <col min="7396" max="7396" width="11.85546875" style="139" customWidth="1"/>
    <col min="7397" max="7397" width="16.5703125" style="139" customWidth="1"/>
    <col min="7398" max="7398" width="15.5703125" style="139" customWidth="1"/>
    <col min="7399" max="7399" width="18.28515625" style="139" customWidth="1"/>
    <col min="7400" max="7400" width="0" style="139" hidden="1" customWidth="1"/>
    <col min="7401" max="7401" width="4.140625" style="139" customWidth="1"/>
    <col min="7402" max="7402" width="1.7109375" style="139" customWidth="1"/>
    <col min="7403" max="7403" width="3.42578125" style="139" customWidth="1"/>
    <col min="7404" max="7406" width="1.7109375" style="139" customWidth="1"/>
    <col min="7407" max="7407" width="3" style="139" bestFit="1" customWidth="1"/>
    <col min="7408" max="7648" width="8.7109375" style="139"/>
    <col min="7649" max="7649" width="6.42578125" style="139" customWidth="1"/>
    <col min="7650" max="7650" width="22.28515625" style="139" customWidth="1"/>
    <col min="7651" max="7651" width="11.5703125" style="139" customWidth="1"/>
    <col min="7652" max="7652" width="11.85546875" style="139" customWidth="1"/>
    <col min="7653" max="7653" width="16.5703125" style="139" customWidth="1"/>
    <col min="7654" max="7654" width="15.5703125" style="139" customWidth="1"/>
    <col min="7655" max="7655" width="18.28515625" style="139" customWidth="1"/>
    <col min="7656" max="7656" width="0" style="139" hidden="1" customWidth="1"/>
    <col min="7657" max="7657" width="4.140625" style="139" customWidth="1"/>
    <col min="7658" max="7658" width="1.7109375" style="139" customWidth="1"/>
    <col min="7659" max="7659" width="3.42578125" style="139" customWidth="1"/>
    <col min="7660" max="7662" width="1.7109375" style="139" customWidth="1"/>
    <col min="7663" max="7663" width="3" style="139" bestFit="1" customWidth="1"/>
    <col min="7664" max="7904" width="8.7109375" style="139"/>
    <col min="7905" max="7905" width="6.42578125" style="139" customWidth="1"/>
    <col min="7906" max="7906" width="22.28515625" style="139" customWidth="1"/>
    <col min="7907" max="7907" width="11.5703125" style="139" customWidth="1"/>
    <col min="7908" max="7908" width="11.85546875" style="139" customWidth="1"/>
    <col min="7909" max="7909" width="16.5703125" style="139" customWidth="1"/>
    <col min="7910" max="7910" width="15.5703125" style="139" customWidth="1"/>
    <col min="7911" max="7911" width="18.28515625" style="139" customWidth="1"/>
    <col min="7912" max="7912" width="0" style="139" hidden="1" customWidth="1"/>
    <col min="7913" max="7913" width="4.140625" style="139" customWidth="1"/>
    <col min="7914" max="7914" width="1.7109375" style="139" customWidth="1"/>
    <col min="7915" max="7915" width="3.42578125" style="139" customWidth="1"/>
    <col min="7916" max="7918" width="1.7109375" style="139" customWidth="1"/>
    <col min="7919" max="7919" width="3" style="139" bestFit="1" customWidth="1"/>
    <col min="7920" max="8160" width="8.7109375" style="139"/>
    <col min="8161" max="8161" width="6.42578125" style="139" customWidth="1"/>
    <col min="8162" max="8162" width="22.28515625" style="139" customWidth="1"/>
    <col min="8163" max="8163" width="11.5703125" style="139" customWidth="1"/>
    <col min="8164" max="8164" width="11.85546875" style="139" customWidth="1"/>
    <col min="8165" max="8165" width="16.5703125" style="139" customWidth="1"/>
    <col min="8166" max="8166" width="15.5703125" style="139" customWidth="1"/>
    <col min="8167" max="8167" width="18.28515625" style="139" customWidth="1"/>
    <col min="8168" max="8168" width="0" style="139" hidden="1" customWidth="1"/>
    <col min="8169" max="8169" width="4.140625" style="139" customWidth="1"/>
    <col min="8170" max="8170" width="1.7109375" style="139" customWidth="1"/>
    <col min="8171" max="8171" width="3.42578125" style="139" customWidth="1"/>
    <col min="8172" max="8174" width="1.7109375" style="139" customWidth="1"/>
    <col min="8175" max="8175" width="3" style="139" bestFit="1" customWidth="1"/>
    <col min="8176" max="8416" width="8.7109375" style="139"/>
    <col min="8417" max="8417" width="6.42578125" style="139" customWidth="1"/>
    <col min="8418" max="8418" width="22.28515625" style="139" customWidth="1"/>
    <col min="8419" max="8419" width="11.5703125" style="139" customWidth="1"/>
    <col min="8420" max="8420" width="11.85546875" style="139" customWidth="1"/>
    <col min="8421" max="8421" width="16.5703125" style="139" customWidth="1"/>
    <col min="8422" max="8422" width="15.5703125" style="139" customWidth="1"/>
    <col min="8423" max="8423" width="18.28515625" style="139" customWidth="1"/>
    <col min="8424" max="8424" width="0" style="139" hidden="1" customWidth="1"/>
    <col min="8425" max="8425" width="4.140625" style="139" customWidth="1"/>
    <col min="8426" max="8426" width="1.7109375" style="139" customWidth="1"/>
    <col min="8427" max="8427" width="3.42578125" style="139" customWidth="1"/>
    <col min="8428" max="8430" width="1.7109375" style="139" customWidth="1"/>
    <col min="8431" max="8431" width="3" style="139" bestFit="1" customWidth="1"/>
    <col min="8432" max="8672" width="8.7109375" style="139"/>
    <col min="8673" max="8673" width="6.42578125" style="139" customWidth="1"/>
    <col min="8674" max="8674" width="22.28515625" style="139" customWidth="1"/>
    <col min="8675" max="8675" width="11.5703125" style="139" customWidth="1"/>
    <col min="8676" max="8676" width="11.85546875" style="139" customWidth="1"/>
    <col min="8677" max="8677" width="16.5703125" style="139" customWidth="1"/>
    <col min="8678" max="8678" width="15.5703125" style="139" customWidth="1"/>
    <col min="8679" max="8679" width="18.28515625" style="139" customWidth="1"/>
    <col min="8680" max="8680" width="0" style="139" hidden="1" customWidth="1"/>
    <col min="8681" max="8681" width="4.140625" style="139" customWidth="1"/>
    <col min="8682" max="8682" width="1.7109375" style="139" customWidth="1"/>
    <col min="8683" max="8683" width="3.42578125" style="139" customWidth="1"/>
    <col min="8684" max="8686" width="1.7109375" style="139" customWidth="1"/>
    <col min="8687" max="8687" width="3" style="139" bestFit="1" customWidth="1"/>
    <col min="8688" max="8928" width="8.7109375" style="139"/>
    <col min="8929" max="8929" width="6.42578125" style="139" customWidth="1"/>
    <col min="8930" max="8930" width="22.28515625" style="139" customWidth="1"/>
    <col min="8931" max="8931" width="11.5703125" style="139" customWidth="1"/>
    <col min="8932" max="8932" width="11.85546875" style="139" customWidth="1"/>
    <col min="8933" max="8933" width="16.5703125" style="139" customWidth="1"/>
    <col min="8934" max="8934" width="15.5703125" style="139" customWidth="1"/>
    <col min="8935" max="8935" width="18.28515625" style="139" customWidth="1"/>
    <col min="8936" max="8936" width="0" style="139" hidden="1" customWidth="1"/>
    <col min="8937" max="8937" width="4.140625" style="139" customWidth="1"/>
    <col min="8938" max="8938" width="1.7109375" style="139" customWidth="1"/>
    <col min="8939" max="8939" width="3.42578125" style="139" customWidth="1"/>
    <col min="8940" max="8942" width="1.7109375" style="139" customWidth="1"/>
    <col min="8943" max="8943" width="3" style="139" bestFit="1" customWidth="1"/>
    <col min="8944" max="9184" width="8.7109375" style="139"/>
    <col min="9185" max="9185" width="6.42578125" style="139" customWidth="1"/>
    <col min="9186" max="9186" width="22.28515625" style="139" customWidth="1"/>
    <col min="9187" max="9187" width="11.5703125" style="139" customWidth="1"/>
    <col min="9188" max="9188" width="11.85546875" style="139" customWidth="1"/>
    <col min="9189" max="9189" width="16.5703125" style="139" customWidth="1"/>
    <col min="9190" max="9190" width="15.5703125" style="139" customWidth="1"/>
    <col min="9191" max="9191" width="18.28515625" style="139" customWidth="1"/>
    <col min="9192" max="9192" width="0" style="139" hidden="1" customWidth="1"/>
    <col min="9193" max="9193" width="4.140625" style="139" customWidth="1"/>
    <col min="9194" max="9194" width="1.7109375" style="139" customWidth="1"/>
    <col min="9195" max="9195" width="3.42578125" style="139" customWidth="1"/>
    <col min="9196" max="9198" width="1.7109375" style="139" customWidth="1"/>
    <col min="9199" max="9199" width="3" style="139" bestFit="1" customWidth="1"/>
    <col min="9200" max="9440" width="8.7109375" style="139"/>
    <col min="9441" max="9441" width="6.42578125" style="139" customWidth="1"/>
    <col min="9442" max="9442" width="22.28515625" style="139" customWidth="1"/>
    <col min="9443" max="9443" width="11.5703125" style="139" customWidth="1"/>
    <col min="9444" max="9444" width="11.85546875" style="139" customWidth="1"/>
    <col min="9445" max="9445" width="16.5703125" style="139" customWidth="1"/>
    <col min="9446" max="9446" width="15.5703125" style="139" customWidth="1"/>
    <col min="9447" max="9447" width="18.28515625" style="139" customWidth="1"/>
    <col min="9448" max="9448" width="0" style="139" hidden="1" customWidth="1"/>
    <col min="9449" max="9449" width="4.140625" style="139" customWidth="1"/>
    <col min="9450" max="9450" width="1.7109375" style="139" customWidth="1"/>
    <col min="9451" max="9451" width="3.42578125" style="139" customWidth="1"/>
    <col min="9452" max="9454" width="1.7109375" style="139" customWidth="1"/>
    <col min="9455" max="9455" width="3" style="139" bestFit="1" customWidth="1"/>
    <col min="9456" max="9696" width="8.7109375" style="139"/>
    <col min="9697" max="9697" width="6.42578125" style="139" customWidth="1"/>
    <col min="9698" max="9698" width="22.28515625" style="139" customWidth="1"/>
    <col min="9699" max="9699" width="11.5703125" style="139" customWidth="1"/>
    <col min="9700" max="9700" width="11.85546875" style="139" customWidth="1"/>
    <col min="9701" max="9701" width="16.5703125" style="139" customWidth="1"/>
    <col min="9702" max="9702" width="15.5703125" style="139" customWidth="1"/>
    <col min="9703" max="9703" width="18.28515625" style="139" customWidth="1"/>
    <col min="9704" max="9704" width="0" style="139" hidden="1" customWidth="1"/>
    <col min="9705" max="9705" width="4.140625" style="139" customWidth="1"/>
    <col min="9706" max="9706" width="1.7109375" style="139" customWidth="1"/>
    <col min="9707" max="9707" width="3.42578125" style="139" customWidth="1"/>
    <col min="9708" max="9710" width="1.7109375" style="139" customWidth="1"/>
    <col min="9711" max="9711" width="3" style="139" bestFit="1" customWidth="1"/>
    <col min="9712" max="9952" width="8.7109375" style="139"/>
    <col min="9953" max="9953" width="6.42578125" style="139" customWidth="1"/>
    <col min="9954" max="9954" width="22.28515625" style="139" customWidth="1"/>
    <col min="9955" max="9955" width="11.5703125" style="139" customWidth="1"/>
    <col min="9956" max="9956" width="11.85546875" style="139" customWidth="1"/>
    <col min="9957" max="9957" width="16.5703125" style="139" customWidth="1"/>
    <col min="9958" max="9958" width="15.5703125" style="139" customWidth="1"/>
    <col min="9959" max="9959" width="18.28515625" style="139" customWidth="1"/>
    <col min="9960" max="9960" width="0" style="139" hidden="1" customWidth="1"/>
    <col min="9961" max="9961" width="4.140625" style="139" customWidth="1"/>
    <col min="9962" max="9962" width="1.7109375" style="139" customWidth="1"/>
    <col min="9963" max="9963" width="3.42578125" style="139" customWidth="1"/>
    <col min="9964" max="9966" width="1.7109375" style="139" customWidth="1"/>
    <col min="9967" max="9967" width="3" style="139" bestFit="1" customWidth="1"/>
    <col min="9968" max="10208" width="8.7109375" style="139"/>
    <col min="10209" max="10209" width="6.42578125" style="139" customWidth="1"/>
    <col min="10210" max="10210" width="22.28515625" style="139" customWidth="1"/>
    <col min="10211" max="10211" width="11.5703125" style="139" customWidth="1"/>
    <col min="10212" max="10212" width="11.85546875" style="139" customWidth="1"/>
    <col min="10213" max="10213" width="16.5703125" style="139" customWidth="1"/>
    <col min="10214" max="10214" width="15.5703125" style="139" customWidth="1"/>
    <col min="10215" max="10215" width="18.28515625" style="139" customWidth="1"/>
    <col min="10216" max="10216" width="0" style="139" hidden="1" customWidth="1"/>
    <col min="10217" max="10217" width="4.140625" style="139" customWidth="1"/>
    <col min="10218" max="10218" width="1.7109375" style="139" customWidth="1"/>
    <col min="10219" max="10219" width="3.42578125" style="139" customWidth="1"/>
    <col min="10220" max="10222" width="1.7109375" style="139" customWidth="1"/>
    <col min="10223" max="10223" width="3" style="139" bestFit="1" customWidth="1"/>
    <col min="10224" max="10464" width="8.7109375" style="139"/>
    <col min="10465" max="10465" width="6.42578125" style="139" customWidth="1"/>
    <col min="10466" max="10466" width="22.28515625" style="139" customWidth="1"/>
    <col min="10467" max="10467" width="11.5703125" style="139" customWidth="1"/>
    <col min="10468" max="10468" width="11.85546875" style="139" customWidth="1"/>
    <col min="10469" max="10469" width="16.5703125" style="139" customWidth="1"/>
    <col min="10470" max="10470" width="15.5703125" style="139" customWidth="1"/>
    <col min="10471" max="10471" width="18.28515625" style="139" customWidth="1"/>
    <col min="10472" max="10472" width="0" style="139" hidden="1" customWidth="1"/>
    <col min="10473" max="10473" width="4.140625" style="139" customWidth="1"/>
    <col min="10474" max="10474" width="1.7109375" style="139" customWidth="1"/>
    <col min="10475" max="10475" width="3.42578125" style="139" customWidth="1"/>
    <col min="10476" max="10478" width="1.7109375" style="139" customWidth="1"/>
    <col min="10479" max="10479" width="3" style="139" bestFit="1" customWidth="1"/>
    <col min="10480" max="10720" width="8.7109375" style="139"/>
    <col min="10721" max="10721" width="6.42578125" style="139" customWidth="1"/>
    <col min="10722" max="10722" width="22.28515625" style="139" customWidth="1"/>
    <col min="10723" max="10723" width="11.5703125" style="139" customWidth="1"/>
    <col min="10724" max="10724" width="11.85546875" style="139" customWidth="1"/>
    <col min="10725" max="10725" width="16.5703125" style="139" customWidth="1"/>
    <col min="10726" max="10726" width="15.5703125" style="139" customWidth="1"/>
    <col min="10727" max="10727" width="18.28515625" style="139" customWidth="1"/>
    <col min="10728" max="10728" width="0" style="139" hidden="1" customWidth="1"/>
    <col min="10729" max="10729" width="4.140625" style="139" customWidth="1"/>
    <col min="10730" max="10730" width="1.7109375" style="139" customWidth="1"/>
    <col min="10731" max="10731" width="3.42578125" style="139" customWidth="1"/>
    <col min="10732" max="10734" width="1.7109375" style="139" customWidth="1"/>
    <col min="10735" max="10735" width="3" style="139" bestFit="1" customWidth="1"/>
    <col min="10736" max="10976" width="8.7109375" style="139"/>
    <col min="10977" max="10977" width="6.42578125" style="139" customWidth="1"/>
    <col min="10978" max="10978" width="22.28515625" style="139" customWidth="1"/>
    <col min="10979" max="10979" width="11.5703125" style="139" customWidth="1"/>
    <col min="10980" max="10980" width="11.85546875" style="139" customWidth="1"/>
    <col min="10981" max="10981" width="16.5703125" style="139" customWidth="1"/>
    <col min="10982" max="10982" width="15.5703125" style="139" customWidth="1"/>
    <col min="10983" max="10983" width="18.28515625" style="139" customWidth="1"/>
    <col min="10984" max="10984" width="0" style="139" hidden="1" customWidth="1"/>
    <col min="10985" max="10985" width="4.140625" style="139" customWidth="1"/>
    <col min="10986" max="10986" width="1.7109375" style="139" customWidth="1"/>
    <col min="10987" max="10987" width="3.42578125" style="139" customWidth="1"/>
    <col min="10988" max="10990" width="1.7109375" style="139" customWidth="1"/>
    <col min="10991" max="10991" width="3" style="139" bestFit="1" customWidth="1"/>
    <col min="10992" max="11232" width="8.7109375" style="139"/>
    <col min="11233" max="11233" width="6.42578125" style="139" customWidth="1"/>
    <col min="11234" max="11234" width="22.28515625" style="139" customWidth="1"/>
    <col min="11235" max="11235" width="11.5703125" style="139" customWidth="1"/>
    <col min="11236" max="11236" width="11.85546875" style="139" customWidth="1"/>
    <col min="11237" max="11237" width="16.5703125" style="139" customWidth="1"/>
    <col min="11238" max="11238" width="15.5703125" style="139" customWidth="1"/>
    <col min="11239" max="11239" width="18.28515625" style="139" customWidth="1"/>
    <col min="11240" max="11240" width="0" style="139" hidden="1" customWidth="1"/>
    <col min="11241" max="11241" width="4.140625" style="139" customWidth="1"/>
    <col min="11242" max="11242" width="1.7109375" style="139" customWidth="1"/>
    <col min="11243" max="11243" width="3.42578125" style="139" customWidth="1"/>
    <col min="11244" max="11246" width="1.7109375" style="139" customWidth="1"/>
    <col min="11247" max="11247" width="3" style="139" bestFit="1" customWidth="1"/>
    <col min="11248" max="11488" width="8.7109375" style="139"/>
    <col min="11489" max="11489" width="6.42578125" style="139" customWidth="1"/>
    <col min="11490" max="11490" width="22.28515625" style="139" customWidth="1"/>
    <col min="11491" max="11491" width="11.5703125" style="139" customWidth="1"/>
    <col min="11492" max="11492" width="11.85546875" style="139" customWidth="1"/>
    <col min="11493" max="11493" width="16.5703125" style="139" customWidth="1"/>
    <col min="11494" max="11494" width="15.5703125" style="139" customWidth="1"/>
    <col min="11495" max="11495" width="18.28515625" style="139" customWidth="1"/>
    <col min="11496" max="11496" width="0" style="139" hidden="1" customWidth="1"/>
    <col min="11497" max="11497" width="4.140625" style="139" customWidth="1"/>
    <col min="11498" max="11498" width="1.7109375" style="139" customWidth="1"/>
    <col min="11499" max="11499" width="3.42578125" style="139" customWidth="1"/>
    <col min="11500" max="11502" width="1.7109375" style="139" customWidth="1"/>
    <col min="11503" max="11503" width="3" style="139" bestFit="1" customWidth="1"/>
    <col min="11504" max="11744" width="8.7109375" style="139"/>
    <col min="11745" max="11745" width="6.42578125" style="139" customWidth="1"/>
    <col min="11746" max="11746" width="22.28515625" style="139" customWidth="1"/>
    <col min="11747" max="11747" width="11.5703125" style="139" customWidth="1"/>
    <col min="11748" max="11748" width="11.85546875" style="139" customWidth="1"/>
    <col min="11749" max="11749" width="16.5703125" style="139" customWidth="1"/>
    <col min="11750" max="11750" width="15.5703125" style="139" customWidth="1"/>
    <col min="11751" max="11751" width="18.28515625" style="139" customWidth="1"/>
    <col min="11752" max="11752" width="0" style="139" hidden="1" customWidth="1"/>
    <col min="11753" max="11753" width="4.140625" style="139" customWidth="1"/>
    <col min="11754" max="11754" width="1.7109375" style="139" customWidth="1"/>
    <col min="11755" max="11755" width="3.42578125" style="139" customWidth="1"/>
    <col min="11756" max="11758" width="1.7109375" style="139" customWidth="1"/>
    <col min="11759" max="11759" width="3" style="139" bestFit="1" customWidth="1"/>
    <col min="11760" max="12000" width="8.7109375" style="139"/>
    <col min="12001" max="12001" width="6.42578125" style="139" customWidth="1"/>
    <col min="12002" max="12002" width="22.28515625" style="139" customWidth="1"/>
    <col min="12003" max="12003" width="11.5703125" style="139" customWidth="1"/>
    <col min="12004" max="12004" width="11.85546875" style="139" customWidth="1"/>
    <col min="12005" max="12005" width="16.5703125" style="139" customWidth="1"/>
    <col min="12006" max="12006" width="15.5703125" style="139" customWidth="1"/>
    <col min="12007" max="12007" width="18.28515625" style="139" customWidth="1"/>
    <col min="12008" max="12008" width="0" style="139" hidden="1" customWidth="1"/>
    <col min="12009" max="12009" width="4.140625" style="139" customWidth="1"/>
    <col min="12010" max="12010" width="1.7109375" style="139" customWidth="1"/>
    <col min="12011" max="12011" width="3.42578125" style="139" customWidth="1"/>
    <col min="12012" max="12014" width="1.7109375" style="139" customWidth="1"/>
    <col min="12015" max="12015" width="3" style="139" bestFit="1" customWidth="1"/>
    <col min="12016" max="12256" width="8.7109375" style="139"/>
    <col min="12257" max="12257" width="6.42578125" style="139" customWidth="1"/>
    <col min="12258" max="12258" width="22.28515625" style="139" customWidth="1"/>
    <col min="12259" max="12259" width="11.5703125" style="139" customWidth="1"/>
    <col min="12260" max="12260" width="11.85546875" style="139" customWidth="1"/>
    <col min="12261" max="12261" width="16.5703125" style="139" customWidth="1"/>
    <col min="12262" max="12262" width="15.5703125" style="139" customWidth="1"/>
    <col min="12263" max="12263" width="18.28515625" style="139" customWidth="1"/>
    <col min="12264" max="12264" width="0" style="139" hidden="1" customWidth="1"/>
    <col min="12265" max="12265" width="4.140625" style="139" customWidth="1"/>
    <col min="12266" max="12266" width="1.7109375" style="139" customWidth="1"/>
    <col min="12267" max="12267" width="3.42578125" style="139" customWidth="1"/>
    <col min="12268" max="12270" width="1.7109375" style="139" customWidth="1"/>
    <col min="12271" max="12271" width="3" style="139" bestFit="1" customWidth="1"/>
    <col min="12272" max="12512" width="8.7109375" style="139"/>
    <col min="12513" max="12513" width="6.42578125" style="139" customWidth="1"/>
    <col min="12514" max="12514" width="22.28515625" style="139" customWidth="1"/>
    <col min="12515" max="12515" width="11.5703125" style="139" customWidth="1"/>
    <col min="12516" max="12516" width="11.85546875" style="139" customWidth="1"/>
    <col min="12517" max="12517" width="16.5703125" style="139" customWidth="1"/>
    <col min="12518" max="12518" width="15.5703125" style="139" customWidth="1"/>
    <col min="12519" max="12519" width="18.28515625" style="139" customWidth="1"/>
    <col min="12520" max="12520" width="0" style="139" hidden="1" customWidth="1"/>
    <col min="12521" max="12521" width="4.140625" style="139" customWidth="1"/>
    <col min="12522" max="12522" width="1.7109375" style="139" customWidth="1"/>
    <col min="12523" max="12523" width="3.42578125" style="139" customWidth="1"/>
    <col min="12524" max="12526" width="1.7109375" style="139" customWidth="1"/>
    <col min="12527" max="12527" width="3" style="139" bestFit="1" customWidth="1"/>
    <col min="12528" max="12768" width="8.7109375" style="139"/>
    <col min="12769" max="12769" width="6.42578125" style="139" customWidth="1"/>
    <col min="12770" max="12770" width="22.28515625" style="139" customWidth="1"/>
    <col min="12771" max="12771" width="11.5703125" style="139" customWidth="1"/>
    <col min="12772" max="12772" width="11.85546875" style="139" customWidth="1"/>
    <col min="12773" max="12773" width="16.5703125" style="139" customWidth="1"/>
    <col min="12774" max="12774" width="15.5703125" style="139" customWidth="1"/>
    <col min="12775" max="12775" width="18.28515625" style="139" customWidth="1"/>
    <col min="12776" max="12776" width="0" style="139" hidden="1" customWidth="1"/>
    <col min="12777" max="12777" width="4.140625" style="139" customWidth="1"/>
    <col min="12778" max="12778" width="1.7109375" style="139" customWidth="1"/>
    <col min="12779" max="12779" width="3.42578125" style="139" customWidth="1"/>
    <col min="12780" max="12782" width="1.7109375" style="139" customWidth="1"/>
    <col min="12783" max="12783" width="3" style="139" bestFit="1" customWidth="1"/>
    <col min="12784" max="13024" width="8.7109375" style="139"/>
    <col min="13025" max="13025" width="6.42578125" style="139" customWidth="1"/>
    <col min="13026" max="13026" width="22.28515625" style="139" customWidth="1"/>
    <col min="13027" max="13027" width="11.5703125" style="139" customWidth="1"/>
    <col min="13028" max="13028" width="11.85546875" style="139" customWidth="1"/>
    <col min="13029" max="13029" width="16.5703125" style="139" customWidth="1"/>
    <col min="13030" max="13030" width="15.5703125" style="139" customWidth="1"/>
    <col min="13031" max="13031" width="18.28515625" style="139" customWidth="1"/>
    <col min="13032" max="13032" width="0" style="139" hidden="1" customWidth="1"/>
    <col min="13033" max="13033" width="4.140625" style="139" customWidth="1"/>
    <col min="13034" max="13034" width="1.7109375" style="139" customWidth="1"/>
    <col min="13035" max="13035" width="3.42578125" style="139" customWidth="1"/>
    <col min="13036" max="13038" width="1.7109375" style="139" customWidth="1"/>
    <col min="13039" max="13039" width="3" style="139" bestFit="1" customWidth="1"/>
    <col min="13040" max="13280" width="8.7109375" style="139"/>
    <col min="13281" max="13281" width="6.42578125" style="139" customWidth="1"/>
    <col min="13282" max="13282" width="22.28515625" style="139" customWidth="1"/>
    <col min="13283" max="13283" width="11.5703125" style="139" customWidth="1"/>
    <col min="13284" max="13284" width="11.85546875" style="139" customWidth="1"/>
    <col min="13285" max="13285" width="16.5703125" style="139" customWidth="1"/>
    <col min="13286" max="13286" width="15.5703125" style="139" customWidth="1"/>
    <col min="13287" max="13287" width="18.28515625" style="139" customWidth="1"/>
    <col min="13288" max="13288" width="0" style="139" hidden="1" customWidth="1"/>
    <col min="13289" max="13289" width="4.140625" style="139" customWidth="1"/>
    <col min="13290" max="13290" width="1.7109375" style="139" customWidth="1"/>
    <col min="13291" max="13291" width="3.42578125" style="139" customWidth="1"/>
    <col min="13292" max="13294" width="1.7109375" style="139" customWidth="1"/>
    <col min="13295" max="13295" width="3" style="139" bestFit="1" customWidth="1"/>
    <col min="13296" max="13536" width="8.7109375" style="139"/>
    <col min="13537" max="13537" width="6.42578125" style="139" customWidth="1"/>
    <col min="13538" max="13538" width="22.28515625" style="139" customWidth="1"/>
    <col min="13539" max="13539" width="11.5703125" style="139" customWidth="1"/>
    <col min="13540" max="13540" width="11.85546875" style="139" customWidth="1"/>
    <col min="13541" max="13541" width="16.5703125" style="139" customWidth="1"/>
    <col min="13542" max="13542" width="15.5703125" style="139" customWidth="1"/>
    <col min="13543" max="13543" width="18.28515625" style="139" customWidth="1"/>
    <col min="13544" max="13544" width="0" style="139" hidden="1" customWidth="1"/>
    <col min="13545" max="13545" width="4.140625" style="139" customWidth="1"/>
    <col min="13546" max="13546" width="1.7109375" style="139" customWidth="1"/>
    <col min="13547" max="13547" width="3.42578125" style="139" customWidth="1"/>
    <col min="13548" max="13550" width="1.7109375" style="139" customWidth="1"/>
    <col min="13551" max="13551" width="3" style="139" bestFit="1" customWidth="1"/>
    <col min="13552" max="13792" width="8.7109375" style="139"/>
    <col min="13793" max="13793" width="6.42578125" style="139" customWidth="1"/>
    <col min="13794" max="13794" width="22.28515625" style="139" customWidth="1"/>
    <col min="13795" max="13795" width="11.5703125" style="139" customWidth="1"/>
    <col min="13796" max="13796" width="11.85546875" style="139" customWidth="1"/>
    <col min="13797" max="13797" width="16.5703125" style="139" customWidth="1"/>
    <col min="13798" max="13798" width="15.5703125" style="139" customWidth="1"/>
    <col min="13799" max="13799" width="18.28515625" style="139" customWidth="1"/>
    <col min="13800" max="13800" width="0" style="139" hidden="1" customWidth="1"/>
    <col min="13801" max="13801" width="4.140625" style="139" customWidth="1"/>
    <col min="13802" max="13802" width="1.7109375" style="139" customWidth="1"/>
    <col min="13803" max="13803" width="3.42578125" style="139" customWidth="1"/>
    <col min="13804" max="13806" width="1.7109375" style="139" customWidth="1"/>
    <col min="13807" max="13807" width="3" style="139" bestFit="1" customWidth="1"/>
    <col min="13808" max="14048" width="8.7109375" style="139"/>
    <col min="14049" max="14049" width="6.42578125" style="139" customWidth="1"/>
    <col min="14050" max="14050" width="22.28515625" style="139" customWidth="1"/>
    <col min="14051" max="14051" width="11.5703125" style="139" customWidth="1"/>
    <col min="14052" max="14052" width="11.85546875" style="139" customWidth="1"/>
    <col min="14053" max="14053" width="16.5703125" style="139" customWidth="1"/>
    <col min="14054" max="14054" width="15.5703125" style="139" customWidth="1"/>
    <col min="14055" max="14055" width="18.28515625" style="139" customWidth="1"/>
    <col min="14056" max="14056" width="0" style="139" hidden="1" customWidth="1"/>
    <col min="14057" max="14057" width="4.140625" style="139" customWidth="1"/>
    <col min="14058" max="14058" width="1.7109375" style="139" customWidth="1"/>
    <col min="14059" max="14059" width="3.42578125" style="139" customWidth="1"/>
    <col min="14060" max="14062" width="1.7109375" style="139" customWidth="1"/>
    <col min="14063" max="14063" width="3" style="139" bestFit="1" customWidth="1"/>
    <col min="14064" max="14304" width="8.7109375" style="139"/>
    <col min="14305" max="14305" width="6.42578125" style="139" customWidth="1"/>
    <col min="14306" max="14306" width="22.28515625" style="139" customWidth="1"/>
    <col min="14307" max="14307" width="11.5703125" style="139" customWidth="1"/>
    <col min="14308" max="14308" width="11.85546875" style="139" customWidth="1"/>
    <col min="14309" max="14309" width="16.5703125" style="139" customWidth="1"/>
    <col min="14310" max="14310" width="15.5703125" style="139" customWidth="1"/>
    <col min="14311" max="14311" width="18.28515625" style="139" customWidth="1"/>
    <col min="14312" max="14312" width="0" style="139" hidden="1" customWidth="1"/>
    <col min="14313" max="14313" width="4.140625" style="139" customWidth="1"/>
    <col min="14314" max="14314" width="1.7109375" style="139" customWidth="1"/>
    <col min="14315" max="14315" width="3.42578125" style="139" customWidth="1"/>
    <col min="14316" max="14318" width="1.7109375" style="139" customWidth="1"/>
    <col min="14319" max="14319" width="3" style="139" bestFit="1" customWidth="1"/>
    <col min="14320" max="14560" width="8.7109375" style="139"/>
    <col min="14561" max="14561" width="6.42578125" style="139" customWidth="1"/>
    <col min="14562" max="14562" width="22.28515625" style="139" customWidth="1"/>
    <col min="14563" max="14563" width="11.5703125" style="139" customWidth="1"/>
    <col min="14564" max="14564" width="11.85546875" style="139" customWidth="1"/>
    <col min="14565" max="14565" width="16.5703125" style="139" customWidth="1"/>
    <col min="14566" max="14566" width="15.5703125" style="139" customWidth="1"/>
    <col min="14567" max="14567" width="18.28515625" style="139" customWidth="1"/>
    <col min="14568" max="14568" width="0" style="139" hidden="1" customWidth="1"/>
    <col min="14569" max="14569" width="4.140625" style="139" customWidth="1"/>
    <col min="14570" max="14570" width="1.7109375" style="139" customWidth="1"/>
    <col min="14571" max="14571" width="3.42578125" style="139" customWidth="1"/>
    <col min="14572" max="14574" width="1.7109375" style="139" customWidth="1"/>
    <col min="14575" max="14575" width="3" style="139" bestFit="1" customWidth="1"/>
    <col min="14576" max="14816" width="8.7109375" style="139"/>
    <col min="14817" max="14817" width="6.42578125" style="139" customWidth="1"/>
    <col min="14818" max="14818" width="22.28515625" style="139" customWidth="1"/>
    <col min="14819" max="14819" width="11.5703125" style="139" customWidth="1"/>
    <col min="14820" max="14820" width="11.85546875" style="139" customWidth="1"/>
    <col min="14821" max="14821" width="16.5703125" style="139" customWidth="1"/>
    <col min="14822" max="14822" width="15.5703125" style="139" customWidth="1"/>
    <col min="14823" max="14823" width="18.28515625" style="139" customWidth="1"/>
    <col min="14824" max="14824" width="0" style="139" hidden="1" customWidth="1"/>
    <col min="14825" max="14825" width="4.140625" style="139" customWidth="1"/>
    <col min="14826" max="14826" width="1.7109375" style="139" customWidth="1"/>
    <col min="14827" max="14827" width="3.42578125" style="139" customWidth="1"/>
    <col min="14828" max="14830" width="1.7109375" style="139" customWidth="1"/>
    <col min="14831" max="14831" width="3" style="139" bestFit="1" customWidth="1"/>
    <col min="14832" max="15072" width="8.7109375" style="139"/>
    <col min="15073" max="15073" width="6.42578125" style="139" customWidth="1"/>
    <col min="15074" max="15074" width="22.28515625" style="139" customWidth="1"/>
    <col min="15075" max="15075" width="11.5703125" style="139" customWidth="1"/>
    <col min="15076" max="15076" width="11.85546875" style="139" customWidth="1"/>
    <col min="15077" max="15077" width="16.5703125" style="139" customWidth="1"/>
    <col min="15078" max="15078" width="15.5703125" style="139" customWidth="1"/>
    <col min="15079" max="15079" width="18.28515625" style="139" customWidth="1"/>
    <col min="15080" max="15080" width="0" style="139" hidden="1" customWidth="1"/>
    <col min="15081" max="15081" width="4.140625" style="139" customWidth="1"/>
    <col min="15082" max="15082" width="1.7109375" style="139" customWidth="1"/>
    <col min="15083" max="15083" width="3.42578125" style="139" customWidth="1"/>
    <col min="15084" max="15086" width="1.7109375" style="139" customWidth="1"/>
    <col min="15087" max="15087" width="3" style="139" bestFit="1" customWidth="1"/>
    <col min="15088" max="15328" width="8.7109375" style="139"/>
    <col min="15329" max="15329" width="6.42578125" style="139" customWidth="1"/>
    <col min="15330" max="15330" width="22.28515625" style="139" customWidth="1"/>
    <col min="15331" max="15331" width="11.5703125" style="139" customWidth="1"/>
    <col min="15332" max="15332" width="11.85546875" style="139" customWidth="1"/>
    <col min="15333" max="15333" width="16.5703125" style="139" customWidth="1"/>
    <col min="15334" max="15334" width="15.5703125" style="139" customWidth="1"/>
    <col min="15335" max="15335" width="18.28515625" style="139" customWidth="1"/>
    <col min="15336" max="15336" width="0" style="139" hidden="1" customWidth="1"/>
    <col min="15337" max="15337" width="4.140625" style="139" customWidth="1"/>
    <col min="15338" max="15338" width="1.7109375" style="139" customWidth="1"/>
    <col min="15339" max="15339" width="3.42578125" style="139" customWidth="1"/>
    <col min="15340" max="15342" width="1.7109375" style="139" customWidth="1"/>
    <col min="15343" max="15343" width="3" style="139" bestFit="1" customWidth="1"/>
    <col min="15344" max="15584" width="8.7109375" style="139"/>
    <col min="15585" max="15585" width="6.42578125" style="139" customWidth="1"/>
    <col min="15586" max="15586" width="22.28515625" style="139" customWidth="1"/>
    <col min="15587" max="15587" width="11.5703125" style="139" customWidth="1"/>
    <col min="15588" max="15588" width="11.85546875" style="139" customWidth="1"/>
    <col min="15589" max="15589" width="16.5703125" style="139" customWidth="1"/>
    <col min="15590" max="15590" width="15.5703125" style="139" customWidth="1"/>
    <col min="15591" max="15591" width="18.28515625" style="139" customWidth="1"/>
    <col min="15592" max="15592" width="0" style="139" hidden="1" customWidth="1"/>
    <col min="15593" max="15593" width="4.140625" style="139" customWidth="1"/>
    <col min="15594" max="15594" width="1.7109375" style="139" customWidth="1"/>
    <col min="15595" max="15595" width="3.42578125" style="139" customWidth="1"/>
    <col min="15596" max="15598" width="1.7109375" style="139" customWidth="1"/>
    <col min="15599" max="15599" width="3" style="139" bestFit="1" customWidth="1"/>
    <col min="15600" max="15840" width="8.7109375" style="139"/>
    <col min="15841" max="15841" width="6.42578125" style="139" customWidth="1"/>
    <col min="15842" max="15842" width="22.28515625" style="139" customWidth="1"/>
    <col min="15843" max="15843" width="11.5703125" style="139" customWidth="1"/>
    <col min="15844" max="15844" width="11.85546875" style="139" customWidth="1"/>
    <col min="15845" max="15845" width="16.5703125" style="139" customWidth="1"/>
    <col min="15846" max="15846" width="15.5703125" style="139" customWidth="1"/>
    <col min="15847" max="15847" width="18.28515625" style="139" customWidth="1"/>
    <col min="15848" max="15848" width="0" style="139" hidden="1" customWidth="1"/>
    <col min="15849" max="15849" width="4.140625" style="139" customWidth="1"/>
    <col min="15850" max="15850" width="1.7109375" style="139" customWidth="1"/>
    <col min="15851" max="15851" width="3.42578125" style="139" customWidth="1"/>
    <col min="15852" max="15854" width="1.7109375" style="139" customWidth="1"/>
    <col min="15855" max="15855" width="3" style="139" bestFit="1" customWidth="1"/>
    <col min="15856" max="16096" width="8.7109375" style="139"/>
    <col min="16097" max="16097" width="6.42578125" style="139" customWidth="1"/>
    <col min="16098" max="16098" width="22.28515625" style="139" customWidth="1"/>
    <col min="16099" max="16099" width="11.5703125" style="139" customWidth="1"/>
    <col min="16100" max="16100" width="11.85546875" style="139" customWidth="1"/>
    <col min="16101" max="16101" width="16.5703125" style="139" customWidth="1"/>
    <col min="16102" max="16102" width="15.5703125" style="139" customWidth="1"/>
    <col min="16103" max="16103" width="18.28515625" style="139" customWidth="1"/>
    <col min="16104" max="16104" width="0" style="139" hidden="1" customWidth="1"/>
    <col min="16105" max="16105" width="4.140625" style="139" customWidth="1"/>
    <col min="16106" max="16106" width="1.7109375" style="139" customWidth="1"/>
    <col min="16107" max="16107" width="3.42578125" style="139" customWidth="1"/>
    <col min="16108" max="16110" width="1.7109375" style="139" customWidth="1"/>
    <col min="16111" max="16111" width="3" style="139" bestFit="1" customWidth="1"/>
    <col min="16112" max="16384" width="8.7109375" style="139"/>
  </cols>
  <sheetData>
    <row r="1" spans="1:9" ht="15.75" x14ac:dyDescent="0.25">
      <c r="A1" s="138" t="s">
        <v>637</v>
      </c>
      <c r="B1" s="138"/>
      <c r="C1" s="138"/>
      <c r="D1" s="138"/>
      <c r="E1" s="138"/>
      <c r="F1" s="138"/>
      <c r="G1" s="138"/>
    </row>
    <row r="2" spans="1:9" ht="15.75" x14ac:dyDescent="0.2">
      <c r="A2" s="2357" t="s">
        <v>418</v>
      </c>
      <c r="B2" s="2357"/>
      <c r="C2" s="2357"/>
      <c r="D2" s="2357"/>
      <c r="E2" s="2357"/>
      <c r="F2" s="2357"/>
      <c r="G2" s="2357"/>
    </row>
    <row r="3" spans="1:9" ht="31.5" customHeight="1" x14ac:dyDescent="0.2">
      <c r="A3" s="2357" t="s">
        <v>419</v>
      </c>
      <c r="B3" s="2357"/>
      <c r="C3" s="2357"/>
      <c r="D3" s="2357"/>
      <c r="E3" s="2357"/>
      <c r="F3" s="2357"/>
      <c r="G3" s="2357"/>
    </row>
    <row r="4" spans="1:9" ht="15.75" x14ac:dyDescent="0.25">
      <c r="A4" s="138"/>
      <c r="B4" s="138"/>
      <c r="C4" s="138"/>
      <c r="D4" s="138"/>
      <c r="E4" s="138"/>
      <c r="F4" s="138"/>
      <c r="G4" s="138"/>
    </row>
    <row r="5" spans="1:9" ht="43.5" customHeight="1" x14ac:dyDescent="0.2">
      <c r="A5" s="2358" t="s">
        <v>420</v>
      </c>
      <c r="B5" s="2359"/>
      <c r="C5" s="2360" t="str">
        <f>'Пояснительная (ПИР+СМР)'!A3</f>
        <v>Кампус ВТРК «Мамисон»</v>
      </c>
      <c r="D5" s="2361"/>
      <c r="E5" s="2361"/>
      <c r="F5" s="2361"/>
      <c r="G5" s="2361"/>
    </row>
    <row r="6" spans="1:9" s="140" customFormat="1" ht="35.25" customHeight="1" x14ac:dyDescent="0.25">
      <c r="A6" s="2362" t="s">
        <v>421</v>
      </c>
      <c r="B6" s="2362"/>
      <c r="C6" s="2363"/>
      <c r="D6" s="2363"/>
      <c r="E6" s="2364"/>
      <c r="F6" s="2364"/>
      <c r="G6" s="2364"/>
      <c r="I6" s="252"/>
    </row>
    <row r="7" spans="1:9" ht="29.25" customHeight="1" x14ac:dyDescent="0.2">
      <c r="A7" s="2362" t="s">
        <v>422</v>
      </c>
      <c r="B7" s="2362"/>
      <c r="C7" s="2363" t="s">
        <v>608</v>
      </c>
      <c r="D7" s="2363"/>
      <c r="E7" s="2364"/>
      <c r="F7" s="2364"/>
      <c r="G7" s="2364"/>
    </row>
    <row r="8" spans="1:9" ht="15.75" x14ac:dyDescent="0.25">
      <c r="A8" s="141"/>
      <c r="B8" s="142"/>
      <c r="C8" s="141"/>
      <c r="D8" s="141"/>
      <c r="E8" s="141"/>
      <c r="F8" s="141"/>
      <c r="G8" s="143" t="s">
        <v>424</v>
      </c>
    </row>
    <row r="9" spans="1:9" ht="15.75" x14ac:dyDescent="0.25">
      <c r="A9" s="2365" t="s">
        <v>5</v>
      </c>
      <c r="B9" s="2365" t="s">
        <v>425</v>
      </c>
      <c r="C9" s="2365" t="s">
        <v>426</v>
      </c>
      <c r="D9" s="2365" t="s">
        <v>427</v>
      </c>
      <c r="E9" s="2368" t="s">
        <v>428</v>
      </c>
      <c r="F9" s="2368"/>
      <c r="G9" s="2368"/>
    </row>
    <row r="10" spans="1:9" ht="34.5" customHeight="1" x14ac:dyDescent="0.2">
      <c r="A10" s="2366"/>
      <c r="B10" s="2366"/>
      <c r="C10" s="2366"/>
      <c r="D10" s="2367"/>
      <c r="E10" s="275" t="s">
        <v>429</v>
      </c>
      <c r="F10" s="275" t="s">
        <v>430</v>
      </c>
      <c r="G10" s="275" t="s">
        <v>193</v>
      </c>
    </row>
    <row r="11" spans="1:9" ht="15.75" x14ac:dyDescent="0.2">
      <c r="A11" s="274">
        <v>1</v>
      </c>
      <c r="B11" s="274">
        <v>2</v>
      </c>
      <c r="C11" s="274"/>
      <c r="D11" s="274"/>
      <c r="E11" s="274">
        <v>4</v>
      </c>
      <c r="F11" s="274">
        <v>5</v>
      </c>
      <c r="G11" s="274">
        <v>6</v>
      </c>
    </row>
    <row r="12" spans="1:9" ht="15.75" x14ac:dyDescent="0.2">
      <c r="A12" s="2369" t="s">
        <v>431</v>
      </c>
      <c r="B12" s="2370"/>
      <c r="C12" s="2370"/>
      <c r="D12" s="2370"/>
      <c r="E12" s="2370"/>
      <c r="F12" s="2370"/>
      <c r="G12" s="2371"/>
    </row>
    <row r="13" spans="1:9" ht="57.75" customHeight="1" x14ac:dyDescent="0.2">
      <c r="A13" s="144" t="s">
        <v>191</v>
      </c>
      <c r="B13" s="320" t="s">
        <v>621</v>
      </c>
      <c r="C13" s="145" t="s">
        <v>432</v>
      </c>
      <c r="D13" s="144" t="s">
        <v>433</v>
      </c>
      <c r="E13" s="1870">
        <f>ИГДИ!$M$43</f>
        <v>573480.89</v>
      </c>
      <c r="F13" s="271"/>
      <c r="G13" s="271">
        <f t="shared" ref="G13:G19" si="0">E13</f>
        <v>573480.89</v>
      </c>
      <c r="I13" s="253"/>
    </row>
    <row r="14" spans="1:9" ht="50.25" customHeight="1" x14ac:dyDescent="0.2">
      <c r="A14" s="144" t="s">
        <v>192</v>
      </c>
      <c r="B14" s="269" t="s">
        <v>622</v>
      </c>
      <c r="C14" s="145" t="s">
        <v>432</v>
      </c>
      <c r="D14" s="144" t="s">
        <v>434</v>
      </c>
      <c r="E14" s="1870">
        <f>ИГИ!$M$131</f>
        <v>2899116.64</v>
      </c>
      <c r="F14" s="272"/>
      <c r="G14" s="271">
        <f t="shared" si="0"/>
        <v>2899116.64</v>
      </c>
      <c r="H14" s="316"/>
      <c r="I14" s="315"/>
    </row>
    <row r="15" spans="1:9" ht="60" customHeight="1" x14ac:dyDescent="0.2">
      <c r="A15" s="1730" t="s">
        <v>435</v>
      </c>
      <c r="B15" s="1731" t="s">
        <v>438</v>
      </c>
      <c r="C15" s="1732" t="s">
        <v>432</v>
      </c>
      <c r="D15" s="1730" t="s">
        <v>436</v>
      </c>
      <c r="E15" s="1870">
        <f>ИГМИ!$M$48</f>
        <v>169896.48</v>
      </c>
      <c r="F15" s="1733"/>
      <c r="G15" s="1734">
        <f t="shared" si="0"/>
        <v>169896.48</v>
      </c>
      <c r="I15" s="253"/>
    </row>
    <row r="16" spans="1:9" ht="60" customHeight="1" x14ac:dyDescent="0.2">
      <c r="A16" s="1730" t="s">
        <v>437</v>
      </c>
      <c r="B16" s="1735" t="s">
        <v>4834</v>
      </c>
      <c r="C16" s="1736" t="s">
        <v>432</v>
      </c>
      <c r="D16" s="1737" t="s">
        <v>439</v>
      </c>
      <c r="E16" s="1871">
        <f>ЛиС!$M$48</f>
        <v>117944.95</v>
      </c>
      <c r="F16" s="1738"/>
      <c r="G16" s="1734">
        <f t="shared" si="0"/>
        <v>117944.95</v>
      </c>
      <c r="I16" s="253"/>
    </row>
    <row r="17" spans="1:10" ht="57" customHeight="1" x14ac:dyDescent="0.2">
      <c r="A17" s="1730" t="s">
        <v>440</v>
      </c>
      <c r="B17" s="1731" t="s">
        <v>623</v>
      </c>
      <c r="C17" s="1732" t="s">
        <v>432</v>
      </c>
      <c r="D17" s="1730" t="s">
        <v>513</v>
      </c>
      <c r="E17" s="1870">
        <f>Экология!$G$75</f>
        <v>569983.98</v>
      </c>
      <c r="F17" s="1733"/>
      <c r="G17" s="1734">
        <f t="shared" si="0"/>
        <v>569983.98</v>
      </c>
      <c r="I17" s="253"/>
    </row>
    <row r="18" spans="1:10" ht="57" hidden="1" customHeight="1" x14ac:dyDescent="0.2">
      <c r="A18" s="1730" t="s">
        <v>4184</v>
      </c>
      <c r="B18" s="1731" t="s">
        <v>4152</v>
      </c>
      <c r="C18" s="1732" t="s">
        <v>432</v>
      </c>
      <c r="D18" s="1730" t="s">
        <v>4836</v>
      </c>
      <c r="E18" s="1870"/>
      <c r="F18" s="1733"/>
      <c r="G18" s="1734">
        <f t="shared" si="0"/>
        <v>0</v>
      </c>
      <c r="I18" s="253"/>
    </row>
    <row r="19" spans="1:10" ht="57" customHeight="1" x14ac:dyDescent="0.2">
      <c r="A19" s="1730" t="s">
        <v>4184</v>
      </c>
      <c r="B19" s="1731" t="s">
        <v>4370</v>
      </c>
      <c r="C19" s="1732" t="s">
        <v>432</v>
      </c>
      <c r="D19" s="1730" t="s">
        <v>7771</v>
      </c>
      <c r="E19" s="1870">
        <f>Археология!$G$31</f>
        <v>192596</v>
      </c>
      <c r="F19" s="1733"/>
      <c r="G19" s="1734">
        <f t="shared" si="0"/>
        <v>192596</v>
      </c>
      <c r="I19" s="253"/>
    </row>
    <row r="20" spans="1:10" ht="25.5" customHeight="1" x14ac:dyDescent="0.2">
      <c r="A20" s="2372" t="s">
        <v>441</v>
      </c>
      <c r="B20" s="2373"/>
      <c r="C20" s="2373"/>
      <c r="D20" s="2373"/>
      <c r="E20" s="2373"/>
      <c r="F20" s="2374"/>
      <c r="G20" s="273">
        <f>SUM(G13:G19)</f>
        <v>4523018.9400000004</v>
      </c>
    </row>
    <row r="21" spans="1:10" ht="25.5" customHeight="1" x14ac:dyDescent="0.2">
      <c r="A21" s="2375" t="s">
        <v>442</v>
      </c>
      <c r="B21" s="2375"/>
      <c r="C21" s="2375"/>
      <c r="D21" s="2375"/>
      <c r="E21" s="2375"/>
      <c r="F21" s="2375"/>
      <c r="G21" s="2375"/>
    </row>
    <row r="22" spans="1:10" ht="54" customHeight="1" x14ac:dyDescent="0.2">
      <c r="A22" s="144" t="s">
        <v>197</v>
      </c>
      <c r="B22" s="147" t="s">
        <v>632</v>
      </c>
      <c r="C22" s="145"/>
      <c r="D22" s="144" t="s">
        <v>633</v>
      </c>
      <c r="E22" s="146"/>
      <c r="F22" s="1734">
        <f>ПД!$M$815</f>
        <v>12698885</v>
      </c>
      <c r="G22" s="271">
        <f>F22</f>
        <v>12698885</v>
      </c>
    </row>
    <row r="23" spans="1:10" ht="54" hidden="1" customHeight="1" x14ac:dyDescent="0.2">
      <c r="A23" s="144" t="s">
        <v>200</v>
      </c>
      <c r="B23" s="147" t="s">
        <v>5538</v>
      </c>
      <c r="C23" s="145"/>
      <c r="D23" s="1241" t="s">
        <v>5539</v>
      </c>
      <c r="E23" s="146"/>
      <c r="F23" s="1240"/>
      <c r="G23" s="271">
        <f>F23</f>
        <v>0</v>
      </c>
    </row>
    <row r="24" spans="1:10" ht="59.25" hidden="1" customHeight="1" x14ac:dyDescent="0.2">
      <c r="A24" s="1235" t="s">
        <v>203</v>
      </c>
      <c r="B24" s="1236" t="s">
        <v>4120</v>
      </c>
      <c r="C24" s="1237"/>
      <c r="D24" s="1235" t="s">
        <v>4121</v>
      </c>
      <c r="E24" s="1238"/>
      <c r="F24" s="1239"/>
      <c r="G24" s="1239">
        <f>F24</f>
        <v>0</v>
      </c>
      <c r="H24" s="140" t="s">
        <v>5540</v>
      </c>
    </row>
    <row r="25" spans="1:10" ht="140.25" hidden="1" customHeight="1" x14ac:dyDescent="0.2">
      <c r="A25" s="1235" t="s">
        <v>4199</v>
      </c>
      <c r="B25" s="1236" t="s">
        <v>4831</v>
      </c>
      <c r="C25" s="1237"/>
      <c r="D25" s="1235" t="s">
        <v>4832</v>
      </c>
      <c r="E25" s="1239"/>
      <c r="F25" s="1239">
        <f>192792/1.2*0</f>
        <v>0</v>
      </c>
      <c r="G25" s="1239">
        <f>F25</f>
        <v>0</v>
      </c>
      <c r="H25" s="140" t="s">
        <v>5540</v>
      </c>
    </row>
    <row r="26" spans="1:10" ht="29.25" customHeight="1" x14ac:dyDescent="0.2">
      <c r="A26" s="2372" t="s">
        <v>443</v>
      </c>
      <c r="B26" s="2373"/>
      <c r="C26" s="2373"/>
      <c r="D26" s="2373"/>
      <c r="E26" s="2373"/>
      <c r="F26" s="2374"/>
      <c r="G26" s="273">
        <f>SUM(G22:G25)</f>
        <v>12698885</v>
      </c>
    </row>
    <row r="27" spans="1:10" ht="25.5" hidden="1" customHeight="1" x14ac:dyDescent="0.2">
      <c r="A27" s="2379" t="s">
        <v>5845</v>
      </c>
      <c r="B27" s="2380"/>
      <c r="C27" s="2380"/>
      <c r="D27" s="2380"/>
      <c r="E27" s="2380"/>
      <c r="F27" s="2380"/>
      <c r="G27" s="2380"/>
    </row>
    <row r="28" spans="1:10" ht="54" hidden="1" customHeight="1" x14ac:dyDescent="0.2">
      <c r="A28" s="144" t="s">
        <v>240</v>
      </c>
      <c r="B28" s="147" t="s">
        <v>5846</v>
      </c>
      <c r="C28" s="145"/>
      <c r="D28" s="144" t="s">
        <v>5847</v>
      </c>
      <c r="E28" s="146"/>
      <c r="F28" s="271"/>
      <c r="G28" s="271">
        <f>F28</f>
        <v>0</v>
      </c>
    </row>
    <row r="29" spans="1:10" ht="29.25" hidden="1" customHeight="1" x14ac:dyDescent="0.2">
      <c r="A29" s="2372" t="s">
        <v>5848</v>
      </c>
      <c r="B29" s="2373"/>
      <c r="C29" s="2373"/>
      <c r="D29" s="2373"/>
      <c r="E29" s="2373"/>
      <c r="F29" s="2374"/>
      <c r="G29" s="273">
        <f>SUM(G28:G28)</f>
        <v>0</v>
      </c>
    </row>
    <row r="30" spans="1:10" ht="27.75" customHeight="1" x14ac:dyDescent="0.2">
      <c r="A30" s="2376" t="s">
        <v>445</v>
      </c>
      <c r="B30" s="2377"/>
      <c r="C30" s="2377"/>
      <c r="D30" s="2377"/>
      <c r="E30" s="2377"/>
      <c r="F30" s="2378"/>
      <c r="G30" s="297">
        <f>G20+G26+G29</f>
        <v>17221903.940000001</v>
      </c>
      <c r="J30" s="193"/>
    </row>
    <row r="31" spans="1:10" ht="55.5" customHeight="1" x14ac:dyDescent="0.25">
      <c r="A31" s="2298" t="s">
        <v>6665</v>
      </c>
      <c r="B31" s="2298"/>
      <c r="E31" s="306" t="s">
        <v>567</v>
      </c>
    </row>
  </sheetData>
  <mergeCells count="21">
    <mergeCell ref="A31:B31"/>
    <mergeCell ref="A12:G12"/>
    <mergeCell ref="A20:F20"/>
    <mergeCell ref="A21:G21"/>
    <mergeCell ref="A26:F26"/>
    <mergeCell ref="A30:F30"/>
    <mergeCell ref="A27:G27"/>
    <mergeCell ref="A29:F29"/>
    <mergeCell ref="A7:B7"/>
    <mergeCell ref="C7:G7"/>
    <mergeCell ref="A9:A10"/>
    <mergeCell ref="B9:B10"/>
    <mergeCell ref="C9:C10"/>
    <mergeCell ref="D9:D10"/>
    <mergeCell ref="E9:G9"/>
    <mergeCell ref="A2:G2"/>
    <mergeCell ref="A3:G3"/>
    <mergeCell ref="A5:B5"/>
    <mergeCell ref="C5:G5"/>
    <mergeCell ref="A6:B6"/>
    <mergeCell ref="C6:G6"/>
  </mergeCells>
  <pageMargins left="0.7" right="0.7" top="0.75" bottom="0.75" header="0.3" footer="0.3"/>
  <pageSetup paperSize="9" scale="39" fitToHeight="0"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7"/>
  <sheetViews>
    <sheetView view="pageBreakPreview" topLeftCell="A7" zoomScale="86" zoomScaleNormal="100" zoomScaleSheetLayoutView="86" workbookViewId="0">
      <selection activeCell="D20" sqref="D20"/>
    </sheetView>
  </sheetViews>
  <sheetFormatPr defaultColWidth="9.140625" defaultRowHeight="15" outlineLevelRow="1" x14ac:dyDescent="0.25"/>
  <cols>
    <col min="1" max="1" width="5.28515625" style="190" customWidth="1"/>
    <col min="2" max="2" width="21.85546875" style="154" customWidth="1"/>
    <col min="3" max="3" width="35" style="154" customWidth="1"/>
    <col min="4" max="4" width="16.5703125" style="154" customWidth="1"/>
    <col min="5" max="5" width="8.7109375" style="154" customWidth="1"/>
    <col min="6" max="6" width="11.7109375" style="154" customWidth="1"/>
    <col min="7" max="7" width="23.7109375" style="154" customWidth="1"/>
    <col min="8" max="8" width="17.5703125" style="191" customWidth="1"/>
    <col min="9" max="16384" width="9.140625" style="154"/>
  </cols>
  <sheetData>
    <row r="1" spans="1:8" ht="15.75" x14ac:dyDescent="0.25">
      <c r="A1" s="150"/>
      <c r="B1" s="151"/>
      <c r="C1" s="152"/>
      <c r="D1" s="152"/>
      <c r="E1" s="152"/>
      <c r="F1" s="151"/>
      <c r="G1" s="151"/>
      <c r="H1" s="153"/>
    </row>
    <row r="2" spans="1:8" ht="15.75" x14ac:dyDescent="0.25">
      <c r="A2" s="2381" t="s">
        <v>444</v>
      </c>
      <c r="B2" s="2382"/>
      <c r="C2" s="2382"/>
      <c r="D2" s="2382"/>
      <c r="E2" s="2382"/>
      <c r="F2" s="2382"/>
      <c r="G2" s="2382"/>
      <c r="H2" s="2382"/>
    </row>
    <row r="3" spans="1:8" ht="15.75" x14ac:dyDescent="0.25">
      <c r="A3" s="2383"/>
      <c r="B3" s="2382"/>
      <c r="C3" s="2382"/>
      <c r="D3" s="2382"/>
      <c r="E3" s="2382"/>
      <c r="F3" s="2382"/>
      <c r="G3" s="2382"/>
      <c r="H3" s="2382"/>
    </row>
    <row r="4" spans="1:8" ht="55.9" customHeight="1" x14ac:dyDescent="0.25">
      <c r="A4" s="2384" t="s">
        <v>448</v>
      </c>
      <c r="B4" s="2382"/>
      <c r="C4" s="2385" t="str">
        <f>'Cводная смета ПИР'!C5:G5</f>
        <v>Кампус ВТРК «Мамисон»</v>
      </c>
      <c r="D4" s="2385"/>
      <c r="E4" s="2385"/>
      <c r="F4" s="2386"/>
      <c r="G4" s="2386"/>
      <c r="H4" s="2386"/>
    </row>
    <row r="5" spans="1:8" ht="17.25" customHeight="1" x14ac:dyDescent="0.25">
      <c r="A5" s="2384" t="s">
        <v>449</v>
      </c>
      <c r="B5" s="2382"/>
      <c r="C5" s="2387"/>
      <c r="D5" s="2387"/>
      <c r="E5" s="2387"/>
      <c r="F5" s="2382"/>
      <c r="G5" s="2382"/>
      <c r="H5" s="2382"/>
    </row>
    <row r="6" spans="1:8" ht="30" customHeight="1" x14ac:dyDescent="0.25">
      <c r="A6" s="2398" t="s">
        <v>450</v>
      </c>
      <c r="B6" s="2382"/>
      <c r="C6" s="2387" t="s">
        <v>451</v>
      </c>
      <c r="D6" s="2387"/>
      <c r="E6" s="2387"/>
      <c r="F6" s="2382"/>
      <c r="G6" s="2382"/>
      <c r="H6" s="2382"/>
    </row>
    <row r="7" spans="1:8" ht="15.75" x14ac:dyDescent="0.25">
      <c r="A7" s="2384" t="s">
        <v>452</v>
      </c>
      <c r="B7" s="2382"/>
      <c r="C7" s="2399"/>
      <c r="D7" s="2399"/>
      <c r="E7" s="2399"/>
      <c r="F7" s="2382"/>
      <c r="G7" s="2382"/>
      <c r="H7" s="2382"/>
    </row>
    <row r="8" spans="1:8" ht="15.75" x14ac:dyDescent="0.25">
      <c r="A8" s="2384" t="s">
        <v>453</v>
      </c>
      <c r="B8" s="2382"/>
      <c r="C8" s="2399" t="s">
        <v>423</v>
      </c>
      <c r="D8" s="2399"/>
      <c r="E8" s="2399"/>
      <c r="F8" s="2382"/>
      <c r="G8" s="2382"/>
      <c r="H8" s="2382"/>
    </row>
    <row r="9" spans="1:8" ht="15.75" x14ac:dyDescent="0.25">
      <c r="A9" s="150"/>
      <c r="B9" s="151"/>
      <c r="C9" s="152"/>
      <c r="D9" s="152"/>
      <c r="E9" s="152"/>
      <c r="F9" s="151"/>
      <c r="G9" s="151"/>
      <c r="H9" s="153"/>
    </row>
    <row r="10" spans="1:8" ht="109.5" customHeight="1" x14ac:dyDescent="0.25">
      <c r="A10" s="155" t="s">
        <v>5</v>
      </c>
      <c r="B10" s="155" t="s">
        <v>239</v>
      </c>
      <c r="C10" s="2400" t="s">
        <v>454</v>
      </c>
      <c r="D10" s="2401"/>
      <c r="E10" s="2401"/>
      <c r="F10" s="155" t="s">
        <v>455</v>
      </c>
      <c r="G10" s="155" t="s">
        <v>456</v>
      </c>
      <c r="H10" s="156" t="s">
        <v>457</v>
      </c>
    </row>
    <row r="11" spans="1:8" ht="15" customHeight="1" x14ac:dyDescent="0.25">
      <c r="A11" s="2391">
        <v>1</v>
      </c>
      <c r="B11" s="2393" t="s">
        <v>429</v>
      </c>
      <c r="C11" s="2395"/>
      <c r="D11" s="2396"/>
      <c r="E11" s="2397"/>
      <c r="F11" s="157"/>
      <c r="G11" s="2402"/>
      <c r="H11" s="2388"/>
    </row>
    <row r="12" spans="1:8" ht="45" customHeight="1" x14ac:dyDescent="0.25">
      <c r="A12" s="2392"/>
      <c r="B12" s="2394"/>
      <c r="C12" s="158" t="s">
        <v>467</v>
      </c>
      <c r="D12" s="159">
        <f>'Cводная смета ПИР'!G20</f>
        <v>4523019</v>
      </c>
      <c r="E12" s="160" t="s">
        <v>458</v>
      </c>
      <c r="F12" s="161"/>
      <c r="G12" s="2403"/>
      <c r="H12" s="2389"/>
    </row>
    <row r="13" spans="1:8" ht="33" customHeight="1" x14ac:dyDescent="0.25">
      <c r="A13" s="2392"/>
      <c r="B13" s="2394"/>
      <c r="C13" s="158" t="s">
        <v>465</v>
      </c>
      <c r="D13" s="162">
        <v>5.36</v>
      </c>
      <c r="E13" s="163"/>
      <c r="F13" s="161"/>
      <c r="G13" s="2403"/>
      <c r="H13" s="2389"/>
    </row>
    <row r="14" spans="1:8" ht="31.5" x14ac:dyDescent="0.25">
      <c r="A14" s="2392"/>
      <c r="B14" s="2394"/>
      <c r="C14" s="158" t="s">
        <v>459</v>
      </c>
      <c r="D14" s="159">
        <f>D12/D13</f>
        <v>843847</v>
      </c>
      <c r="E14" s="160" t="s">
        <v>458</v>
      </c>
      <c r="F14" s="161"/>
      <c r="G14" s="2403"/>
      <c r="H14" s="2389"/>
    </row>
    <row r="15" spans="1:8" ht="15" customHeight="1" x14ac:dyDescent="0.25">
      <c r="A15" s="2391">
        <v>2</v>
      </c>
      <c r="B15" s="2393" t="s">
        <v>2</v>
      </c>
      <c r="C15" s="2395"/>
      <c r="D15" s="2396"/>
      <c r="E15" s="2397"/>
      <c r="F15" s="157"/>
      <c r="G15" s="2403"/>
      <c r="H15" s="2389"/>
    </row>
    <row r="16" spans="1:8" ht="32.450000000000003" customHeight="1" x14ac:dyDescent="0.25">
      <c r="A16" s="2392"/>
      <c r="B16" s="2394"/>
      <c r="C16" s="158" t="s">
        <v>466</v>
      </c>
      <c r="D16" s="159">
        <f>'Cводная смета ПИР'!G26</f>
        <v>12698885</v>
      </c>
      <c r="E16" s="160" t="s">
        <v>458</v>
      </c>
      <c r="F16" s="161"/>
      <c r="G16" s="2403"/>
      <c r="H16" s="2389"/>
    </row>
    <row r="17" spans="1:15" ht="25.9" customHeight="1" x14ac:dyDescent="0.25">
      <c r="A17" s="2392"/>
      <c r="B17" s="2394"/>
      <c r="C17" s="158" t="s">
        <v>465</v>
      </c>
      <c r="D17" s="164">
        <v>5.32</v>
      </c>
      <c r="E17" s="163"/>
      <c r="F17" s="161"/>
      <c r="G17" s="2403"/>
      <c r="H17" s="2389"/>
    </row>
    <row r="18" spans="1:15" ht="31.5" x14ac:dyDescent="0.25">
      <c r="A18" s="2392"/>
      <c r="B18" s="2394"/>
      <c r="C18" s="158" t="s">
        <v>460</v>
      </c>
      <c r="D18" s="159">
        <f>D16/D17</f>
        <v>2387008</v>
      </c>
      <c r="E18" s="160" t="s">
        <v>458</v>
      </c>
      <c r="F18" s="161"/>
      <c r="G18" s="2404"/>
      <c r="H18" s="2390"/>
      <c r="O18" s="154" t="s">
        <v>461</v>
      </c>
    </row>
    <row r="19" spans="1:15" ht="39.75" customHeight="1" x14ac:dyDescent="0.25">
      <c r="A19" s="165"/>
      <c r="B19" s="166"/>
      <c r="C19" s="167" t="s">
        <v>462</v>
      </c>
      <c r="D19" s="168">
        <f>D14+D18</f>
        <v>3230855</v>
      </c>
      <c r="E19" s="169" t="s">
        <v>458</v>
      </c>
      <c r="F19" s="170"/>
      <c r="G19" s="171" t="s">
        <v>589</v>
      </c>
      <c r="H19" s="172"/>
    </row>
    <row r="20" spans="1:15" ht="72" customHeight="1" x14ac:dyDescent="0.25">
      <c r="A20" s="173"/>
      <c r="B20" s="174" t="s">
        <v>463</v>
      </c>
      <c r="C20" s="175" t="s">
        <v>464</v>
      </c>
      <c r="D20" s="203">
        <f>D50/100</f>
        <v>6.1499999999999999E-2</v>
      </c>
      <c r="E20" s="176"/>
      <c r="F20" s="177"/>
      <c r="G20" s="178"/>
      <c r="H20" s="179">
        <f>D19*D20</f>
        <v>198698</v>
      </c>
    </row>
    <row r="21" spans="1:15" ht="36.75" customHeight="1" x14ac:dyDescent="0.25">
      <c r="A21" s="173"/>
      <c r="B21" s="180"/>
      <c r="C21" s="181" t="s">
        <v>468</v>
      </c>
      <c r="D21" s="192">
        <v>5.32</v>
      </c>
      <c r="E21" s="182"/>
      <c r="F21" s="183"/>
      <c r="G21" s="184"/>
      <c r="H21" s="185">
        <f>ROUND(H20*D21,0)</f>
        <v>1057073</v>
      </c>
    </row>
    <row r="22" spans="1:15" x14ac:dyDescent="0.25">
      <c r="A22" s="186"/>
      <c r="B22" s="187"/>
      <c r="C22" s="187"/>
      <c r="D22" s="187"/>
      <c r="E22" s="187"/>
      <c r="F22" s="187"/>
      <c r="G22" s="187"/>
      <c r="H22" s="188"/>
    </row>
    <row r="23" spans="1:15" x14ac:dyDescent="0.25">
      <c r="A23" s="186"/>
      <c r="B23" s="187"/>
      <c r="C23" s="187"/>
      <c r="D23" s="189"/>
      <c r="E23" s="187"/>
      <c r="F23" s="187"/>
      <c r="G23" s="187"/>
      <c r="H23" s="188"/>
    </row>
    <row r="24" spans="1:15" x14ac:dyDescent="0.25">
      <c r="A24" s="186"/>
      <c r="B24" s="187"/>
      <c r="C24" s="187"/>
      <c r="D24" s="187"/>
      <c r="E24" s="187"/>
      <c r="F24" s="187"/>
      <c r="G24" s="187"/>
      <c r="H24" s="188"/>
    </row>
    <row r="25" spans="1:15" x14ac:dyDescent="0.25">
      <c r="A25" s="186"/>
      <c r="B25" s="187"/>
      <c r="C25" s="187"/>
      <c r="D25" s="187"/>
      <c r="E25" s="187"/>
      <c r="F25" s="187"/>
      <c r="G25" s="187"/>
      <c r="H25" s="188"/>
    </row>
    <row r="26" spans="1:15" x14ac:dyDescent="0.25">
      <c r="A26" s="186"/>
      <c r="B26" s="187"/>
      <c r="C26" s="187"/>
      <c r="D26" s="187"/>
      <c r="E26" s="187"/>
      <c r="F26" s="187"/>
      <c r="G26" s="187"/>
      <c r="H26" s="188"/>
    </row>
    <row r="27" spans="1:15" x14ac:dyDescent="0.25">
      <c r="A27" s="186"/>
      <c r="B27" s="187"/>
      <c r="C27" s="187"/>
      <c r="D27" s="187"/>
      <c r="E27" s="187"/>
      <c r="F27" s="187"/>
      <c r="G27" s="187"/>
      <c r="H27" s="188"/>
    </row>
    <row r="28" spans="1:15" x14ac:dyDescent="0.25">
      <c r="A28" s="186"/>
      <c r="B28" s="187"/>
      <c r="C28" s="187"/>
      <c r="D28" s="187"/>
      <c r="E28" s="187"/>
      <c r="F28" s="187"/>
      <c r="G28" s="187"/>
      <c r="H28" s="188"/>
    </row>
    <row r="29" spans="1:15" ht="15.75" hidden="1" x14ac:dyDescent="0.25">
      <c r="A29" s="186"/>
      <c r="B29" s="187"/>
      <c r="C29" s="194" t="s">
        <v>470</v>
      </c>
      <c r="D29"/>
      <c r="E29" s="187"/>
      <c r="F29" s="187"/>
      <c r="G29" s="187"/>
      <c r="H29" s="188"/>
    </row>
    <row r="30" spans="1:15" ht="31.5" hidden="1" x14ac:dyDescent="0.25">
      <c r="A30" s="186"/>
      <c r="B30" s="187"/>
      <c r="C30" s="194" t="s">
        <v>471</v>
      </c>
      <c r="D30"/>
      <c r="E30" s="187"/>
      <c r="F30" s="187"/>
      <c r="G30" s="187"/>
      <c r="H30" s="188"/>
    </row>
    <row r="31" spans="1:15" ht="47.25" hidden="1" x14ac:dyDescent="0.25">
      <c r="A31" s="186"/>
      <c r="B31" s="187"/>
      <c r="C31" s="194" t="s">
        <v>472</v>
      </c>
      <c r="D31"/>
      <c r="E31" s="187"/>
      <c r="F31" s="187"/>
      <c r="G31" s="187"/>
      <c r="H31" s="188"/>
    </row>
    <row r="32" spans="1:15" ht="47.25" hidden="1" x14ac:dyDescent="0.25">
      <c r="A32" s="186"/>
      <c r="B32" s="187"/>
      <c r="C32" s="194" t="s">
        <v>473</v>
      </c>
      <c r="D32"/>
      <c r="E32" s="187"/>
      <c r="F32" s="187"/>
      <c r="G32" s="187"/>
      <c r="H32" s="188"/>
    </row>
    <row r="33" spans="1:8" ht="31.5" hidden="1" x14ac:dyDescent="0.25">
      <c r="A33" s="186"/>
      <c r="B33" s="187"/>
      <c r="C33" s="194" t="s">
        <v>474</v>
      </c>
      <c r="D33"/>
      <c r="E33" s="187"/>
      <c r="F33" s="187"/>
      <c r="G33" s="187"/>
      <c r="H33" s="188"/>
    </row>
    <row r="34" spans="1:8" hidden="1" x14ac:dyDescent="0.25">
      <c r="A34" s="186"/>
      <c r="B34" s="187"/>
      <c r="C34"/>
      <c r="D34"/>
      <c r="E34" s="187"/>
      <c r="F34" s="187"/>
      <c r="G34" s="187"/>
      <c r="H34" s="188"/>
    </row>
    <row r="35" spans="1:8" ht="110.25" hidden="1" x14ac:dyDescent="0.25">
      <c r="A35" s="186"/>
      <c r="B35" s="187"/>
      <c r="C35" s="195" t="s">
        <v>475</v>
      </c>
      <c r="D35"/>
      <c r="E35" s="187"/>
      <c r="F35" s="187"/>
      <c r="G35" s="187"/>
      <c r="H35" s="188"/>
    </row>
    <row r="36" spans="1:8" x14ac:dyDescent="0.25">
      <c r="A36" s="186"/>
      <c r="B36" s="187"/>
      <c r="C36" s="196"/>
      <c r="D36"/>
      <c r="E36" s="187"/>
      <c r="F36" s="187"/>
      <c r="G36" s="187"/>
      <c r="H36" s="188"/>
    </row>
    <row r="37" spans="1:8" x14ac:dyDescent="0.25">
      <c r="A37" s="186"/>
      <c r="B37" s="187"/>
      <c r="C37" s="197"/>
      <c r="D37" s="197"/>
      <c r="E37" s="187"/>
      <c r="F37" s="187"/>
      <c r="G37" s="187"/>
      <c r="H37" s="188"/>
    </row>
    <row r="38" spans="1:8" ht="45" hidden="1" outlineLevel="1" x14ac:dyDescent="0.25">
      <c r="A38" s="186"/>
      <c r="B38" s="187"/>
      <c r="C38" s="199" t="s">
        <v>476</v>
      </c>
      <c r="D38" s="201" t="s">
        <v>478</v>
      </c>
      <c r="E38" s="187"/>
      <c r="F38" s="187"/>
      <c r="G38" s="187"/>
      <c r="H38" s="188"/>
    </row>
    <row r="39" spans="1:8" ht="15.75" hidden="1" outlineLevel="1" thickBot="1" x14ac:dyDescent="0.3">
      <c r="A39" s="186"/>
      <c r="B39" s="187"/>
      <c r="C39" s="200" t="s">
        <v>477</v>
      </c>
      <c r="D39" s="202" t="s">
        <v>479</v>
      </c>
      <c r="E39" s="187"/>
      <c r="F39" s="187"/>
      <c r="G39" s="187"/>
      <c r="H39" s="188"/>
    </row>
    <row r="40" spans="1:8" hidden="1" outlineLevel="1" x14ac:dyDescent="0.25">
      <c r="A40" s="186"/>
      <c r="B40" s="187"/>
      <c r="C40" s="198" t="s">
        <v>480</v>
      </c>
      <c r="D40" s="198">
        <v>33.75</v>
      </c>
      <c r="E40" s="187"/>
      <c r="F40" s="187"/>
      <c r="G40" s="187"/>
      <c r="H40" s="188"/>
    </row>
    <row r="41" spans="1:8" hidden="1" outlineLevel="1" x14ac:dyDescent="0.25">
      <c r="A41" s="186"/>
      <c r="B41" s="187"/>
      <c r="C41" s="198" t="s">
        <v>481</v>
      </c>
      <c r="D41" s="198">
        <v>29.25</v>
      </c>
      <c r="E41" s="187"/>
      <c r="F41" s="187"/>
      <c r="G41" s="187"/>
      <c r="H41" s="188"/>
    </row>
    <row r="42" spans="1:8" hidden="1" outlineLevel="1" x14ac:dyDescent="0.25">
      <c r="A42" s="186"/>
      <c r="B42" s="187"/>
      <c r="C42" s="198" t="s">
        <v>482</v>
      </c>
      <c r="D42" s="198">
        <v>27.3</v>
      </c>
      <c r="E42" s="187"/>
      <c r="F42" s="187"/>
      <c r="G42" s="187"/>
      <c r="H42" s="188"/>
    </row>
    <row r="43" spans="1:8" hidden="1" outlineLevel="1" x14ac:dyDescent="0.25">
      <c r="A43" s="186"/>
      <c r="B43" s="187"/>
      <c r="C43" s="198" t="s">
        <v>483</v>
      </c>
      <c r="D43" s="198">
        <v>20.22</v>
      </c>
      <c r="E43" s="187"/>
      <c r="F43" s="187"/>
      <c r="G43" s="187"/>
      <c r="H43" s="188"/>
    </row>
    <row r="44" spans="1:8" hidden="1" outlineLevel="1" x14ac:dyDescent="0.25">
      <c r="A44" s="186"/>
      <c r="B44" s="187"/>
      <c r="C44" s="198" t="s">
        <v>484</v>
      </c>
      <c r="D44" s="198">
        <v>16.649999999999999</v>
      </c>
      <c r="E44" s="187"/>
      <c r="F44" s="187"/>
      <c r="G44" s="187"/>
      <c r="H44" s="188"/>
    </row>
    <row r="45" spans="1:8" hidden="1" outlineLevel="1" x14ac:dyDescent="0.25">
      <c r="A45" s="186"/>
      <c r="B45" s="187"/>
      <c r="C45" s="198" t="s">
        <v>485</v>
      </c>
      <c r="D45" s="198">
        <v>12.69</v>
      </c>
      <c r="E45" s="187"/>
      <c r="F45" s="187"/>
      <c r="G45" s="187"/>
      <c r="H45" s="188"/>
    </row>
    <row r="46" spans="1:8" hidden="1" outlineLevel="1" x14ac:dyDescent="0.25">
      <c r="A46" s="186"/>
      <c r="B46" s="187"/>
      <c r="C46" s="198" t="s">
        <v>486</v>
      </c>
      <c r="D46" s="198">
        <v>11.88</v>
      </c>
      <c r="E46" s="187"/>
      <c r="F46" s="187"/>
      <c r="G46" s="187"/>
      <c r="H46" s="188"/>
    </row>
    <row r="47" spans="1:8" hidden="1" outlineLevel="1" x14ac:dyDescent="0.25">
      <c r="A47" s="186"/>
      <c r="B47" s="187"/>
      <c r="C47" s="198" t="s">
        <v>487</v>
      </c>
      <c r="D47" s="198">
        <v>10.98</v>
      </c>
      <c r="E47" s="187"/>
      <c r="F47" s="187"/>
      <c r="G47" s="187"/>
      <c r="H47" s="188"/>
    </row>
    <row r="48" spans="1:8" hidden="1" outlineLevel="1" x14ac:dyDescent="0.25">
      <c r="A48" s="186"/>
      <c r="B48" s="187"/>
      <c r="C48" s="198" t="s">
        <v>488</v>
      </c>
      <c r="D48" s="198">
        <v>8.77</v>
      </c>
      <c r="E48" s="187"/>
      <c r="F48" s="187"/>
      <c r="G48" s="187"/>
      <c r="H48" s="188"/>
    </row>
    <row r="49" spans="1:8" hidden="1" outlineLevel="1" x14ac:dyDescent="0.25">
      <c r="A49" s="186"/>
      <c r="B49" s="187"/>
      <c r="C49" s="198" t="s">
        <v>489</v>
      </c>
      <c r="D49" s="198">
        <v>7.07</v>
      </c>
      <c r="E49" s="187"/>
      <c r="F49" s="187"/>
      <c r="G49" s="187"/>
      <c r="H49" s="188"/>
    </row>
    <row r="50" spans="1:8" hidden="1" outlineLevel="1" x14ac:dyDescent="0.25">
      <c r="A50" s="186"/>
      <c r="B50" s="187"/>
      <c r="C50" s="198" t="s">
        <v>490</v>
      </c>
      <c r="D50" s="198">
        <v>6.15</v>
      </c>
      <c r="E50" s="187"/>
      <c r="F50" s="187"/>
      <c r="G50" s="187"/>
      <c r="H50" s="188"/>
    </row>
    <row r="51" spans="1:8" hidden="1" outlineLevel="1" x14ac:dyDescent="0.25">
      <c r="A51" s="186"/>
      <c r="B51" s="187"/>
      <c r="C51" s="198" t="s">
        <v>491</v>
      </c>
      <c r="D51" s="198">
        <v>4.76</v>
      </c>
      <c r="E51" s="187"/>
      <c r="F51" s="187"/>
      <c r="G51" s="187"/>
      <c r="H51" s="188"/>
    </row>
    <row r="52" spans="1:8" hidden="1" outlineLevel="1" x14ac:dyDescent="0.25">
      <c r="A52" s="186"/>
      <c r="B52" s="187"/>
      <c r="C52" s="198" t="s">
        <v>492</v>
      </c>
      <c r="D52" s="198">
        <v>4.13</v>
      </c>
      <c r="E52" s="187"/>
      <c r="F52" s="187"/>
      <c r="G52" s="187"/>
      <c r="H52" s="188"/>
    </row>
    <row r="53" spans="1:8" hidden="1" outlineLevel="1" x14ac:dyDescent="0.25">
      <c r="A53" s="186"/>
      <c r="B53" s="187"/>
      <c r="C53" s="198" t="s">
        <v>493</v>
      </c>
      <c r="D53" s="198">
        <v>3.52</v>
      </c>
      <c r="E53" s="187"/>
      <c r="F53" s="187"/>
      <c r="G53" s="187"/>
      <c r="H53" s="188"/>
    </row>
    <row r="54" spans="1:8" hidden="1" outlineLevel="1" x14ac:dyDescent="0.25">
      <c r="A54" s="186"/>
      <c r="B54" s="187"/>
      <c r="C54" s="198" t="s">
        <v>494</v>
      </c>
      <c r="D54" s="198">
        <v>3.06</v>
      </c>
      <c r="E54" s="187"/>
      <c r="F54" s="187"/>
      <c r="G54" s="187"/>
      <c r="H54" s="188"/>
    </row>
    <row r="55" spans="1:8" hidden="1" outlineLevel="1" x14ac:dyDescent="0.25">
      <c r="A55" s="186"/>
      <c r="B55" s="187"/>
      <c r="C55" s="198" t="s">
        <v>495</v>
      </c>
      <c r="D55" s="198">
        <v>2.62</v>
      </c>
      <c r="E55" s="187"/>
      <c r="F55" s="187"/>
      <c r="G55" s="187"/>
      <c r="H55" s="188"/>
    </row>
    <row r="56" spans="1:8" hidden="1" outlineLevel="1" x14ac:dyDescent="0.25">
      <c r="A56" s="186"/>
      <c r="B56" s="187"/>
      <c r="C56" s="198" t="s">
        <v>496</v>
      </c>
      <c r="D56" s="198">
        <v>2.33</v>
      </c>
      <c r="E56" s="187"/>
      <c r="F56" s="187"/>
      <c r="G56" s="187"/>
      <c r="H56" s="188"/>
    </row>
    <row r="57" spans="1:8" hidden="1" outlineLevel="1" x14ac:dyDescent="0.25">
      <c r="A57" s="186"/>
      <c r="B57" s="187"/>
      <c r="C57" s="198" t="s">
        <v>497</v>
      </c>
      <c r="D57" s="198">
        <v>2.0099999999999998</v>
      </c>
      <c r="E57" s="187"/>
      <c r="F57" s="187"/>
      <c r="G57" s="187"/>
      <c r="H57" s="188"/>
    </row>
    <row r="58" spans="1:8" hidden="1" outlineLevel="1" x14ac:dyDescent="0.25">
      <c r="A58" s="186"/>
      <c r="B58" s="187"/>
      <c r="C58" s="198" t="s">
        <v>498</v>
      </c>
      <c r="D58" s="198">
        <v>1.68</v>
      </c>
      <c r="E58" s="187"/>
      <c r="F58" s="187"/>
      <c r="G58" s="187"/>
      <c r="H58" s="188"/>
    </row>
    <row r="59" spans="1:8" hidden="1" outlineLevel="1" x14ac:dyDescent="0.25">
      <c r="A59" s="186"/>
      <c r="B59" s="187"/>
      <c r="C59" s="198" t="s">
        <v>499</v>
      </c>
      <c r="D59" s="198">
        <v>1.56</v>
      </c>
      <c r="E59" s="187"/>
      <c r="F59" s="187"/>
      <c r="G59" s="187"/>
      <c r="H59" s="188"/>
    </row>
    <row r="60" spans="1:8" hidden="1" outlineLevel="1" x14ac:dyDescent="0.25">
      <c r="A60" s="186"/>
      <c r="B60" s="187"/>
      <c r="C60" s="198" t="s">
        <v>500</v>
      </c>
      <c r="D60" s="198">
        <v>1.22</v>
      </c>
      <c r="E60" s="187"/>
      <c r="F60" s="187"/>
      <c r="G60" s="187"/>
      <c r="H60" s="188"/>
    </row>
    <row r="61" spans="1:8" hidden="1" outlineLevel="1" x14ac:dyDescent="0.25">
      <c r="A61" s="186"/>
      <c r="B61" s="187"/>
      <c r="C61" s="198" t="s">
        <v>501</v>
      </c>
      <c r="D61" s="198">
        <v>1.04</v>
      </c>
      <c r="E61" s="187"/>
      <c r="F61" s="187"/>
      <c r="G61" s="187"/>
      <c r="H61" s="188"/>
    </row>
    <row r="62" spans="1:8" hidden="1" outlineLevel="1" x14ac:dyDescent="0.25">
      <c r="A62" s="186"/>
      <c r="B62" s="187"/>
      <c r="C62" s="198" t="s">
        <v>502</v>
      </c>
      <c r="D62" s="198">
        <v>0.9</v>
      </c>
      <c r="E62" s="187"/>
      <c r="F62" s="187"/>
      <c r="G62" s="187"/>
      <c r="H62" s="188"/>
    </row>
    <row r="63" spans="1:8" hidden="1" outlineLevel="1" x14ac:dyDescent="0.25">
      <c r="A63" s="186"/>
      <c r="B63" s="187"/>
      <c r="C63" s="198" t="s">
        <v>503</v>
      </c>
      <c r="D63" s="198">
        <v>0.8</v>
      </c>
      <c r="E63" s="187"/>
      <c r="F63" s="187"/>
      <c r="G63" s="187"/>
      <c r="H63" s="188"/>
    </row>
    <row r="64" spans="1:8" hidden="1" outlineLevel="1" x14ac:dyDescent="0.25">
      <c r="A64" s="186"/>
      <c r="B64" s="187"/>
      <c r="C64" s="198" t="s">
        <v>504</v>
      </c>
      <c r="D64" s="198">
        <v>0.73</v>
      </c>
      <c r="E64" s="187"/>
      <c r="F64" s="187"/>
      <c r="G64" s="187"/>
      <c r="H64" s="188"/>
    </row>
    <row r="65" spans="1:8" hidden="1" outlineLevel="1" x14ac:dyDescent="0.25">
      <c r="A65" s="186"/>
      <c r="B65" s="187"/>
      <c r="C65" s="198" t="s">
        <v>505</v>
      </c>
      <c r="D65" s="198">
        <v>0.66</v>
      </c>
      <c r="E65" s="187"/>
      <c r="F65" s="187"/>
      <c r="G65" s="187"/>
      <c r="H65" s="188"/>
    </row>
    <row r="66" spans="1:8" hidden="1" outlineLevel="1" x14ac:dyDescent="0.25">
      <c r="A66" s="186"/>
      <c r="B66" s="187"/>
      <c r="C66" s="198" t="s">
        <v>506</v>
      </c>
      <c r="D66" s="198">
        <v>0.61</v>
      </c>
      <c r="E66" s="187"/>
      <c r="F66" s="187"/>
      <c r="G66" s="187"/>
      <c r="H66" s="188"/>
    </row>
    <row r="67" spans="1:8" hidden="1" outlineLevel="1" x14ac:dyDescent="0.25">
      <c r="A67" s="186"/>
      <c r="B67" s="187"/>
      <c r="C67" s="198" t="s">
        <v>507</v>
      </c>
      <c r="D67" s="198">
        <v>0.57999999999999996</v>
      </c>
      <c r="E67" s="187"/>
      <c r="F67" s="187"/>
      <c r="G67" s="187"/>
      <c r="H67" s="188"/>
    </row>
    <row r="68" spans="1:8" hidden="1" outlineLevel="1" x14ac:dyDescent="0.25">
      <c r="A68" s="186"/>
      <c r="B68" s="187"/>
      <c r="C68" s="187"/>
      <c r="D68" s="187"/>
      <c r="E68" s="187"/>
      <c r="F68" s="187"/>
      <c r="G68" s="187"/>
      <c r="H68" s="188"/>
    </row>
    <row r="69" spans="1:8" hidden="1" outlineLevel="1" x14ac:dyDescent="0.25">
      <c r="A69" s="186"/>
      <c r="B69" s="187"/>
      <c r="C69" s="187"/>
      <c r="D69" s="187"/>
      <c r="E69" s="187"/>
      <c r="F69" s="187"/>
      <c r="G69" s="187"/>
      <c r="H69" s="188"/>
    </row>
    <row r="70" spans="1:8" hidden="1" outlineLevel="1" x14ac:dyDescent="0.25">
      <c r="A70" s="186"/>
      <c r="B70" s="187"/>
      <c r="C70" s="187"/>
      <c r="D70" s="187"/>
      <c r="E70" s="187"/>
      <c r="F70" s="187"/>
      <c r="G70" s="187"/>
      <c r="H70" s="188"/>
    </row>
    <row r="71" spans="1:8" hidden="1" outlineLevel="1" x14ac:dyDescent="0.25">
      <c r="A71" s="186"/>
      <c r="B71" s="187"/>
      <c r="C71" s="187"/>
      <c r="D71" s="187"/>
      <c r="E71" s="187"/>
      <c r="F71" s="187"/>
      <c r="G71" s="187"/>
      <c r="H71" s="188"/>
    </row>
    <row r="72" spans="1:8" hidden="1" outlineLevel="1" x14ac:dyDescent="0.25">
      <c r="A72" s="186"/>
      <c r="B72" s="187"/>
      <c r="C72" s="187"/>
      <c r="D72" s="187"/>
      <c r="E72" s="187"/>
      <c r="F72" s="187"/>
      <c r="G72" s="187"/>
      <c r="H72" s="188"/>
    </row>
    <row r="73" spans="1:8" hidden="1" outlineLevel="1" x14ac:dyDescent="0.25">
      <c r="A73" s="186"/>
      <c r="B73" s="187"/>
      <c r="C73" s="187"/>
      <c r="D73" s="187"/>
      <c r="E73" s="187"/>
      <c r="F73" s="187"/>
      <c r="G73" s="187"/>
      <c r="H73" s="188"/>
    </row>
    <row r="74" spans="1:8" hidden="1" outlineLevel="1" x14ac:dyDescent="0.25">
      <c r="A74" s="186"/>
      <c r="B74" s="187"/>
      <c r="C74" s="187"/>
      <c r="D74" s="187"/>
      <c r="E74" s="187"/>
      <c r="F74" s="187"/>
      <c r="G74" s="187"/>
      <c r="H74" s="188"/>
    </row>
    <row r="75" spans="1:8" hidden="1" outlineLevel="1" x14ac:dyDescent="0.25">
      <c r="A75" s="186"/>
      <c r="B75" s="187"/>
      <c r="C75" s="187"/>
      <c r="D75" s="187"/>
      <c r="E75" s="187"/>
      <c r="F75" s="187"/>
      <c r="G75" s="187"/>
      <c r="H75" s="188"/>
    </row>
    <row r="76" spans="1:8" collapsed="1" x14ac:dyDescent="0.25">
      <c r="A76" s="186"/>
      <c r="B76" s="187"/>
      <c r="C76" s="187"/>
      <c r="D76" s="187"/>
      <c r="E76" s="187"/>
      <c r="F76" s="187"/>
      <c r="G76" s="187"/>
      <c r="H76" s="188"/>
    </row>
    <row r="77" spans="1:8" x14ac:dyDescent="0.25">
      <c r="A77" s="186"/>
      <c r="B77" s="187"/>
      <c r="C77" s="187"/>
      <c r="D77" s="187"/>
      <c r="E77" s="187"/>
      <c r="F77" s="187"/>
      <c r="G77" s="187"/>
      <c r="H77" s="188"/>
    </row>
    <row r="78" spans="1:8" x14ac:dyDescent="0.25">
      <c r="A78" s="186"/>
      <c r="B78" s="187"/>
      <c r="C78" s="187"/>
      <c r="D78" s="187"/>
      <c r="E78" s="187"/>
      <c r="F78" s="187"/>
      <c r="G78" s="187"/>
      <c r="H78" s="188"/>
    </row>
    <row r="79" spans="1:8" x14ac:dyDescent="0.25">
      <c r="A79" s="186"/>
      <c r="B79" s="187"/>
      <c r="C79" s="187"/>
      <c r="D79" s="187"/>
      <c r="E79" s="187"/>
      <c r="F79" s="187"/>
      <c r="G79" s="187"/>
      <c r="H79" s="188"/>
    </row>
    <row r="80" spans="1:8" x14ac:dyDescent="0.25">
      <c r="A80" s="186"/>
      <c r="B80" s="187"/>
      <c r="C80" s="187"/>
      <c r="D80" s="187"/>
      <c r="E80" s="187"/>
      <c r="F80" s="187"/>
      <c r="G80" s="187"/>
      <c r="H80" s="188"/>
    </row>
    <row r="81" spans="1:8" x14ac:dyDescent="0.25">
      <c r="A81" s="186"/>
      <c r="B81" s="187"/>
      <c r="C81" s="187"/>
      <c r="D81" s="187"/>
      <c r="E81" s="187"/>
      <c r="F81" s="187"/>
      <c r="G81" s="187"/>
      <c r="H81" s="188"/>
    </row>
    <row r="82" spans="1:8" x14ac:dyDescent="0.25">
      <c r="A82" s="186"/>
      <c r="B82" s="187"/>
      <c r="C82" s="187"/>
      <c r="D82" s="187"/>
      <c r="E82" s="187"/>
      <c r="F82" s="187"/>
      <c r="G82" s="187"/>
      <c r="H82" s="188"/>
    </row>
    <row r="83" spans="1:8" x14ac:dyDescent="0.25">
      <c r="A83" s="186"/>
      <c r="B83" s="187"/>
      <c r="C83" s="187"/>
      <c r="D83" s="187"/>
      <c r="E83" s="187"/>
      <c r="F83" s="187"/>
      <c r="G83" s="187"/>
      <c r="H83" s="188"/>
    </row>
    <row r="84" spans="1:8" x14ac:dyDescent="0.25">
      <c r="A84" s="186"/>
      <c r="B84" s="187"/>
      <c r="C84" s="187"/>
      <c r="D84" s="187"/>
      <c r="E84" s="187"/>
      <c r="F84" s="187"/>
      <c r="G84" s="187"/>
      <c r="H84" s="188"/>
    </row>
    <row r="85" spans="1:8" x14ac:dyDescent="0.25">
      <c r="A85" s="186"/>
      <c r="B85" s="187"/>
      <c r="C85" s="187"/>
      <c r="D85" s="187"/>
      <c r="E85" s="187"/>
      <c r="F85" s="187"/>
      <c r="G85" s="187"/>
      <c r="H85" s="188"/>
    </row>
    <row r="86" spans="1:8" x14ac:dyDescent="0.25">
      <c r="A86" s="186"/>
      <c r="B86" s="187"/>
      <c r="C86" s="187"/>
      <c r="D86" s="187"/>
      <c r="E86" s="187"/>
      <c r="F86" s="187"/>
      <c r="G86" s="187"/>
      <c r="H86" s="188"/>
    </row>
    <row r="87" spans="1:8" x14ac:dyDescent="0.25">
      <c r="A87" s="186"/>
      <c r="B87" s="187"/>
      <c r="C87" s="187"/>
      <c r="D87" s="187"/>
      <c r="E87" s="187"/>
      <c r="F87" s="187"/>
      <c r="G87" s="187"/>
      <c r="H87" s="188"/>
    </row>
  </sheetData>
  <mergeCells count="21">
    <mergeCell ref="H11:H18"/>
    <mergeCell ref="A15:A18"/>
    <mergeCell ref="B15:B18"/>
    <mergeCell ref="C15:E15"/>
    <mergeCell ref="A6:B6"/>
    <mergeCell ref="C6:H6"/>
    <mergeCell ref="A7:B7"/>
    <mergeCell ref="C7:H7"/>
    <mergeCell ref="A8:B8"/>
    <mergeCell ref="C8:H8"/>
    <mergeCell ref="C10:E10"/>
    <mergeCell ref="A11:A14"/>
    <mergeCell ref="B11:B14"/>
    <mergeCell ref="C11:E11"/>
    <mergeCell ref="G11:G18"/>
    <mergeCell ref="A2:H2"/>
    <mergeCell ref="A3:H3"/>
    <mergeCell ref="A4:B4"/>
    <mergeCell ref="C4:H4"/>
    <mergeCell ref="A5:B5"/>
    <mergeCell ref="C5:H5"/>
  </mergeCells>
  <pageMargins left="0.7" right="0.7" top="0.75" bottom="0.75" header="0.3" footer="0.3"/>
  <pageSetup paperSize="9" scale="62" fitToHeight="0"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14"/>
  <sheetViews>
    <sheetView showGridLines="0" topLeftCell="B87" zoomScale="115" zoomScaleNormal="115" workbookViewId="0">
      <selection activeCell="D106" sqref="D106"/>
    </sheetView>
  </sheetViews>
  <sheetFormatPr defaultColWidth="8.85546875" defaultRowHeight="13.5" customHeight="1" outlineLevelRow="1" x14ac:dyDescent="0.2"/>
  <cols>
    <col min="1" max="1" width="0" style="323" hidden="1" customWidth="1"/>
    <col min="2" max="2" width="4.28515625" style="323" customWidth="1"/>
    <col min="3" max="3" width="46.140625" style="323" customWidth="1"/>
    <col min="4" max="4" width="46.42578125" style="323" customWidth="1"/>
    <col min="5" max="5" width="31.42578125" style="323" customWidth="1"/>
    <col min="6" max="6" width="14" style="323" customWidth="1"/>
    <col min="7" max="16384" width="8.85546875" style="323"/>
  </cols>
  <sheetData>
    <row r="1" spans="2:6" ht="12.75" x14ac:dyDescent="0.2">
      <c r="B1" s="321"/>
      <c r="C1" s="321"/>
      <c r="D1" s="321"/>
      <c r="E1" s="322" t="s">
        <v>590</v>
      </c>
    </row>
    <row r="2" spans="2:6" ht="14.25" customHeight="1" x14ac:dyDescent="0.2">
      <c r="B2" s="2417" t="s">
        <v>613</v>
      </c>
      <c r="C2" s="2417"/>
      <c r="D2" s="324"/>
      <c r="E2" s="324"/>
      <c r="F2" s="325"/>
    </row>
    <row r="3" spans="2:6" ht="18" customHeight="1" x14ac:dyDescent="0.2">
      <c r="B3" s="556"/>
      <c r="C3" s="556"/>
      <c r="D3" s="2418" t="s">
        <v>614</v>
      </c>
      <c r="E3" s="2418"/>
      <c r="F3" s="2419"/>
    </row>
    <row r="4" spans="2:6" ht="24.75" customHeight="1" x14ac:dyDescent="0.2">
      <c r="B4" s="2420" t="s">
        <v>936</v>
      </c>
      <c r="C4" s="2421"/>
      <c r="D4" s="2421"/>
      <c r="E4" s="2421"/>
      <c r="F4" s="2421"/>
    </row>
    <row r="5" spans="2:6" ht="20.25" customHeight="1" x14ac:dyDescent="0.2">
      <c r="B5" s="2422" t="s">
        <v>615</v>
      </c>
      <c r="C5" s="2422"/>
      <c r="D5" s="2422"/>
      <c r="E5" s="2422"/>
      <c r="F5" s="326"/>
    </row>
    <row r="6" spans="2:6" ht="5.25" customHeight="1" x14ac:dyDescent="0.2">
      <c r="B6" s="326"/>
      <c r="C6" s="326"/>
      <c r="D6" s="326"/>
      <c r="E6" s="326"/>
      <c r="F6" s="326"/>
    </row>
    <row r="7" spans="2:6" ht="23.25" customHeight="1" x14ac:dyDescent="0.2">
      <c r="B7" s="2423" t="s">
        <v>937</v>
      </c>
      <c r="C7" s="2423"/>
      <c r="D7" s="2423"/>
      <c r="E7" s="2423"/>
      <c r="F7" s="2423"/>
    </row>
    <row r="8" spans="2:6" ht="19.5" customHeight="1" x14ac:dyDescent="0.2">
      <c r="B8" s="2416" t="s">
        <v>616</v>
      </c>
      <c r="C8" s="2416"/>
      <c r="D8" s="2416"/>
      <c r="E8" s="2416"/>
      <c r="F8" s="327"/>
    </row>
    <row r="9" spans="2:6" ht="12.75" x14ac:dyDescent="0.2">
      <c r="B9" s="326"/>
      <c r="C9" s="326"/>
      <c r="D9" s="326"/>
      <c r="E9" s="326"/>
      <c r="F9" s="326"/>
    </row>
    <row r="10" spans="2:6" ht="17.25" customHeight="1" x14ac:dyDescent="0.2">
      <c r="B10" s="328" t="s">
        <v>626</v>
      </c>
      <c r="C10" s="326"/>
      <c r="D10" s="329"/>
      <c r="E10" s="329"/>
      <c r="F10" s="329"/>
    </row>
    <row r="11" spans="2:6" ht="17.25" customHeight="1" x14ac:dyDescent="0.2">
      <c r="C11" s="2413"/>
      <c r="D11" s="2413"/>
      <c r="E11" s="2413"/>
      <c r="F11" s="2413"/>
    </row>
    <row r="12" spans="2:6" ht="25.5" customHeight="1" x14ac:dyDescent="0.2">
      <c r="B12" s="326" t="s">
        <v>627</v>
      </c>
      <c r="C12" s="326"/>
      <c r="D12" s="330"/>
      <c r="E12" s="330"/>
      <c r="F12" s="330"/>
    </row>
    <row r="13" spans="2:6" ht="24" customHeight="1" x14ac:dyDescent="0.2">
      <c r="C13" s="2413" t="s">
        <v>608</v>
      </c>
      <c r="D13" s="2413"/>
      <c r="E13" s="2413"/>
      <c r="F13" s="2413"/>
    </row>
    <row r="14" spans="2:6" ht="24" customHeight="1" x14ac:dyDescent="0.2">
      <c r="C14" s="556"/>
      <c r="D14" s="556"/>
      <c r="E14" s="556"/>
      <c r="F14" s="556"/>
    </row>
    <row r="15" spans="2:6" ht="15" customHeight="1" outlineLevel="1" x14ac:dyDescent="0.2">
      <c r="B15" s="331" t="s">
        <v>938</v>
      </c>
      <c r="C15" s="556"/>
      <c r="D15" s="556"/>
      <c r="E15" s="556"/>
      <c r="F15" s="556"/>
    </row>
    <row r="16" spans="2:6" ht="12.75" x14ac:dyDescent="0.2">
      <c r="B16" s="326"/>
      <c r="C16" s="326"/>
      <c r="D16" s="557"/>
      <c r="E16" s="557"/>
      <c r="F16" s="332"/>
    </row>
    <row r="17" spans="1:6" ht="80.25" customHeight="1" x14ac:dyDescent="0.2">
      <c r="B17" s="333" t="s">
        <v>512</v>
      </c>
      <c r="C17" s="334" t="s">
        <v>617</v>
      </c>
      <c r="D17" s="334" t="s">
        <v>618</v>
      </c>
      <c r="E17" s="333" t="s">
        <v>619</v>
      </c>
      <c r="F17" s="333" t="s">
        <v>649</v>
      </c>
    </row>
    <row r="18" spans="1:6" ht="12.75" x14ac:dyDescent="0.2">
      <c r="B18" s="335">
        <v>1</v>
      </c>
      <c r="C18" s="336">
        <v>2</v>
      </c>
      <c r="D18" s="336">
        <v>3</v>
      </c>
      <c r="E18" s="335">
        <v>4</v>
      </c>
      <c r="F18" s="335">
        <v>5</v>
      </c>
    </row>
    <row r="19" spans="1:6" ht="12.75" x14ac:dyDescent="0.2">
      <c r="A19" s="337"/>
      <c r="B19" s="2414" t="s">
        <v>591</v>
      </c>
      <c r="C19" s="2415"/>
      <c r="D19" s="2415"/>
      <c r="E19" s="2415"/>
      <c r="F19" s="2415"/>
    </row>
    <row r="20" spans="1:6" ht="51" x14ac:dyDescent="0.2">
      <c r="B20" s="2412" t="s">
        <v>190</v>
      </c>
      <c r="C20" s="338" t="s">
        <v>939</v>
      </c>
      <c r="D20" s="338" t="s">
        <v>940</v>
      </c>
      <c r="E20" s="339" t="s">
        <v>941</v>
      </c>
      <c r="F20" s="340" t="s">
        <v>942</v>
      </c>
    </row>
    <row r="21" spans="1:6" ht="51" x14ac:dyDescent="0.2">
      <c r="B21" s="2412"/>
      <c r="C21" s="338"/>
      <c r="D21" s="338" t="s">
        <v>943</v>
      </c>
      <c r="E21" s="339"/>
      <c r="F21" s="340"/>
    </row>
    <row r="22" spans="1:6" ht="12.75" x14ac:dyDescent="0.2">
      <c r="B22" s="2410"/>
      <c r="C22" s="338"/>
      <c r="D22" s="338"/>
      <c r="E22" s="339"/>
      <c r="F22" s="340" t="s">
        <v>522</v>
      </c>
    </row>
    <row r="23" spans="1:6" ht="76.5" x14ac:dyDescent="0.2">
      <c r="A23" s="341"/>
      <c r="B23" s="2409" t="s">
        <v>639</v>
      </c>
      <c r="C23" s="342" t="s">
        <v>944</v>
      </c>
      <c r="D23" s="342" t="s">
        <v>945</v>
      </c>
      <c r="E23" s="343" t="s">
        <v>946</v>
      </c>
      <c r="F23" s="344" t="s">
        <v>947</v>
      </c>
    </row>
    <row r="24" spans="1:6" ht="51" x14ac:dyDescent="0.2">
      <c r="B24" s="2412"/>
      <c r="C24" s="338"/>
      <c r="D24" s="338" t="s">
        <v>943</v>
      </c>
      <c r="E24" s="339"/>
      <c r="F24" s="340"/>
    </row>
    <row r="25" spans="1:6" ht="12.75" x14ac:dyDescent="0.2">
      <c r="B25" s="2410"/>
      <c r="C25" s="338"/>
      <c r="D25" s="338"/>
      <c r="E25" s="339"/>
      <c r="F25" s="340" t="s">
        <v>522</v>
      </c>
    </row>
    <row r="26" spans="1:6" ht="51" x14ac:dyDescent="0.2">
      <c r="A26" s="341"/>
      <c r="B26" s="2409" t="s">
        <v>640</v>
      </c>
      <c r="C26" s="342" t="s">
        <v>948</v>
      </c>
      <c r="D26" s="342" t="s">
        <v>949</v>
      </c>
      <c r="E26" s="343" t="s">
        <v>950</v>
      </c>
      <c r="F26" s="344" t="s">
        <v>951</v>
      </c>
    </row>
    <row r="27" spans="1:6" ht="51" x14ac:dyDescent="0.2">
      <c r="B27" s="2412"/>
      <c r="C27" s="338"/>
      <c r="D27" s="338" t="s">
        <v>943</v>
      </c>
      <c r="E27" s="339"/>
      <c r="F27" s="340"/>
    </row>
    <row r="28" spans="1:6" ht="12.75" x14ac:dyDescent="0.2">
      <c r="B28" s="2410"/>
      <c r="C28" s="338"/>
      <c r="D28" s="338"/>
      <c r="E28" s="339"/>
      <c r="F28" s="340" t="s">
        <v>522</v>
      </c>
    </row>
    <row r="29" spans="1:6" ht="51" x14ac:dyDescent="0.2">
      <c r="A29" s="341"/>
      <c r="B29" s="2409" t="s">
        <v>232</v>
      </c>
      <c r="C29" s="342" t="s">
        <v>952</v>
      </c>
      <c r="D29" s="342" t="s">
        <v>953</v>
      </c>
      <c r="E29" s="343" t="s">
        <v>954</v>
      </c>
      <c r="F29" s="344" t="s">
        <v>955</v>
      </c>
    </row>
    <row r="30" spans="1:6" ht="51" x14ac:dyDescent="0.2">
      <c r="B30" s="2412"/>
      <c r="C30" s="338"/>
      <c r="D30" s="338" t="s">
        <v>956</v>
      </c>
      <c r="E30" s="339"/>
      <c r="F30" s="340"/>
    </row>
    <row r="31" spans="1:6" ht="12.75" x14ac:dyDescent="0.2">
      <c r="B31" s="2412"/>
      <c r="C31" s="338"/>
      <c r="D31" s="338" t="s">
        <v>957</v>
      </c>
      <c r="E31" s="339"/>
      <c r="F31" s="340" t="s">
        <v>522</v>
      </c>
    </row>
    <row r="32" spans="1:6" ht="12.75" x14ac:dyDescent="0.2">
      <c r="B32" s="2410"/>
      <c r="C32" s="338"/>
      <c r="D32" s="338"/>
      <c r="E32" s="339"/>
      <c r="F32" s="340" t="s">
        <v>522</v>
      </c>
    </row>
    <row r="33" spans="1:6" ht="51" x14ac:dyDescent="0.2">
      <c r="A33" s="341"/>
      <c r="B33" s="2409" t="s">
        <v>233</v>
      </c>
      <c r="C33" s="342" t="s">
        <v>958</v>
      </c>
      <c r="D33" s="342" t="s">
        <v>959</v>
      </c>
      <c r="E33" s="343" t="s">
        <v>960</v>
      </c>
      <c r="F33" s="344" t="s">
        <v>961</v>
      </c>
    </row>
    <row r="34" spans="1:6" ht="51" x14ac:dyDescent="0.2">
      <c r="B34" s="2412"/>
      <c r="C34" s="338"/>
      <c r="D34" s="338" t="s">
        <v>956</v>
      </c>
      <c r="E34" s="339"/>
      <c r="F34" s="340"/>
    </row>
    <row r="35" spans="1:6" ht="12.75" x14ac:dyDescent="0.2">
      <c r="B35" s="2412"/>
      <c r="C35" s="338"/>
      <c r="D35" s="338" t="s">
        <v>957</v>
      </c>
      <c r="E35" s="339"/>
      <c r="F35" s="340" t="s">
        <v>522</v>
      </c>
    </row>
    <row r="36" spans="1:6" ht="12.75" x14ac:dyDescent="0.2">
      <c r="B36" s="2410"/>
      <c r="C36" s="338"/>
      <c r="D36" s="338"/>
      <c r="E36" s="339"/>
      <c r="F36" s="340" t="s">
        <v>522</v>
      </c>
    </row>
    <row r="37" spans="1:6" ht="76.5" x14ac:dyDescent="0.2">
      <c r="A37" s="341"/>
      <c r="B37" s="2409" t="s">
        <v>238</v>
      </c>
      <c r="C37" s="342" t="s">
        <v>962</v>
      </c>
      <c r="D37" s="342" t="s">
        <v>963</v>
      </c>
      <c r="E37" s="343" t="s">
        <v>964</v>
      </c>
      <c r="F37" s="344" t="s">
        <v>965</v>
      </c>
    </row>
    <row r="38" spans="1:6" ht="51" x14ac:dyDescent="0.2">
      <c r="B38" s="2410"/>
      <c r="C38" s="338"/>
      <c r="D38" s="338" t="s">
        <v>943</v>
      </c>
      <c r="E38" s="339"/>
      <c r="F38" s="340" t="s">
        <v>522</v>
      </c>
    </row>
    <row r="39" spans="1:6" ht="51" x14ac:dyDescent="0.2">
      <c r="A39" s="341"/>
      <c r="B39" s="2409" t="s">
        <v>641</v>
      </c>
      <c r="C39" s="342" t="s">
        <v>966</v>
      </c>
      <c r="D39" s="342" t="s">
        <v>967</v>
      </c>
      <c r="E39" s="343" t="s">
        <v>968</v>
      </c>
      <c r="F39" s="344" t="s">
        <v>969</v>
      </c>
    </row>
    <row r="40" spans="1:6" ht="51" x14ac:dyDescent="0.2">
      <c r="B40" s="2412"/>
      <c r="C40" s="338"/>
      <c r="D40" s="338" t="s">
        <v>956</v>
      </c>
      <c r="E40" s="339"/>
      <c r="F40" s="340"/>
    </row>
    <row r="41" spans="1:6" ht="25.5" x14ac:dyDescent="0.2">
      <c r="B41" s="2412"/>
      <c r="C41" s="338"/>
      <c r="D41" s="338" t="s">
        <v>970</v>
      </c>
      <c r="E41" s="339"/>
      <c r="F41" s="340" t="s">
        <v>522</v>
      </c>
    </row>
    <row r="42" spans="1:6" ht="12.75" x14ac:dyDescent="0.2">
      <c r="B42" s="2410"/>
      <c r="C42" s="338"/>
      <c r="D42" s="338"/>
      <c r="E42" s="339"/>
      <c r="F42" s="340" t="s">
        <v>522</v>
      </c>
    </row>
    <row r="43" spans="1:6" ht="51" x14ac:dyDescent="0.2">
      <c r="A43" s="341"/>
      <c r="B43" s="2409" t="s">
        <v>650</v>
      </c>
      <c r="C43" s="342" t="s">
        <v>971</v>
      </c>
      <c r="D43" s="342" t="s">
        <v>967</v>
      </c>
      <c r="E43" s="343" t="s">
        <v>972</v>
      </c>
      <c r="F43" s="344" t="s">
        <v>973</v>
      </c>
    </row>
    <row r="44" spans="1:6" ht="51" x14ac:dyDescent="0.2">
      <c r="B44" s="2412"/>
      <c r="C44" s="338"/>
      <c r="D44" s="338" t="s">
        <v>943</v>
      </c>
      <c r="E44" s="339"/>
      <c r="F44" s="340"/>
    </row>
    <row r="45" spans="1:6" ht="12.75" x14ac:dyDescent="0.2">
      <c r="B45" s="2410"/>
      <c r="C45" s="338"/>
      <c r="D45" s="338"/>
      <c r="E45" s="339"/>
      <c r="F45" s="340" t="s">
        <v>522</v>
      </c>
    </row>
    <row r="46" spans="1:6" ht="51" x14ac:dyDescent="0.2">
      <c r="A46" s="341"/>
      <c r="B46" s="2409" t="s">
        <v>651</v>
      </c>
      <c r="C46" s="342" t="s">
        <v>974</v>
      </c>
      <c r="D46" s="342" t="s">
        <v>975</v>
      </c>
      <c r="E46" s="343" t="s">
        <v>976</v>
      </c>
      <c r="F46" s="344" t="s">
        <v>977</v>
      </c>
    </row>
    <row r="47" spans="1:6" ht="38.25" x14ac:dyDescent="0.2">
      <c r="B47" s="2412"/>
      <c r="C47" s="338"/>
      <c r="D47" s="338" t="s">
        <v>978</v>
      </c>
      <c r="E47" s="339"/>
      <c r="F47" s="340" t="s">
        <v>522</v>
      </c>
    </row>
    <row r="48" spans="1:6" ht="51" x14ac:dyDescent="0.2">
      <c r="B48" s="2410"/>
      <c r="C48" s="338"/>
      <c r="D48" s="338" t="s">
        <v>943</v>
      </c>
      <c r="E48" s="339"/>
      <c r="F48" s="340" t="s">
        <v>522</v>
      </c>
    </row>
    <row r="49" spans="1:6" ht="12.75" x14ac:dyDescent="0.2">
      <c r="A49" s="337"/>
      <c r="B49" s="345"/>
      <c r="C49" s="2411" t="s">
        <v>620</v>
      </c>
      <c r="D49" s="2411"/>
      <c r="E49" s="2411"/>
      <c r="F49" s="346"/>
    </row>
    <row r="50" spans="1:6" ht="12.75" x14ac:dyDescent="0.2">
      <c r="A50" s="325"/>
      <c r="B50" s="554"/>
      <c r="C50" s="2406" t="s">
        <v>979</v>
      </c>
      <c r="D50" s="2406"/>
      <c r="E50" s="2406"/>
      <c r="F50" s="347" t="s">
        <v>980</v>
      </c>
    </row>
    <row r="51" spans="1:6" ht="24" customHeight="1" x14ac:dyDescent="0.2">
      <c r="A51" s="325"/>
      <c r="B51" s="554"/>
      <c r="C51" s="2406" t="s">
        <v>644</v>
      </c>
      <c r="D51" s="2406"/>
      <c r="E51" s="2406"/>
      <c r="F51" s="347" t="s">
        <v>981</v>
      </c>
    </row>
    <row r="52" spans="1:6" ht="12.75" x14ac:dyDescent="0.2">
      <c r="A52" s="325"/>
      <c r="B52" s="554"/>
      <c r="C52" s="2405" t="s">
        <v>592</v>
      </c>
      <c r="D52" s="2405"/>
      <c r="E52" s="2405"/>
      <c r="F52" s="348" t="s">
        <v>981</v>
      </c>
    </row>
    <row r="53" spans="1:6" ht="12.75" x14ac:dyDescent="0.2">
      <c r="A53" s="325"/>
      <c r="B53" s="2407" t="s">
        <v>982</v>
      </c>
      <c r="C53" s="2408"/>
      <c r="D53" s="2408"/>
      <c r="E53" s="2408"/>
      <c r="F53" s="2408"/>
    </row>
    <row r="54" spans="1:6" ht="51" x14ac:dyDescent="0.2">
      <c r="B54" s="553" t="s">
        <v>652</v>
      </c>
      <c r="C54" s="338" t="s">
        <v>983</v>
      </c>
      <c r="D54" s="338" t="s">
        <v>984</v>
      </c>
      <c r="E54" s="339" t="s">
        <v>985</v>
      </c>
      <c r="F54" s="340" t="s">
        <v>635</v>
      </c>
    </row>
    <row r="55" spans="1:6" ht="51" x14ac:dyDescent="0.2">
      <c r="A55" s="341"/>
      <c r="B55" s="555" t="s">
        <v>653</v>
      </c>
      <c r="C55" s="342" t="s">
        <v>986</v>
      </c>
      <c r="D55" s="342" t="s">
        <v>987</v>
      </c>
      <c r="E55" s="343" t="s">
        <v>988</v>
      </c>
      <c r="F55" s="344" t="s">
        <v>989</v>
      </c>
    </row>
    <row r="56" spans="1:6" ht="51" x14ac:dyDescent="0.2">
      <c r="A56" s="341"/>
      <c r="B56" s="555" t="s">
        <v>654</v>
      </c>
      <c r="C56" s="342" t="s">
        <v>990</v>
      </c>
      <c r="D56" s="342" t="s">
        <v>991</v>
      </c>
      <c r="E56" s="343" t="s">
        <v>992</v>
      </c>
      <c r="F56" s="344" t="s">
        <v>993</v>
      </c>
    </row>
    <row r="57" spans="1:6" ht="51" x14ac:dyDescent="0.2">
      <c r="A57" s="341"/>
      <c r="B57" s="555" t="s">
        <v>655</v>
      </c>
      <c r="C57" s="342" t="s">
        <v>994</v>
      </c>
      <c r="D57" s="342" t="s">
        <v>995</v>
      </c>
      <c r="E57" s="343" t="s">
        <v>996</v>
      </c>
      <c r="F57" s="344" t="s">
        <v>997</v>
      </c>
    </row>
    <row r="58" spans="1:6" ht="51" x14ac:dyDescent="0.2">
      <c r="A58" s="341"/>
      <c r="B58" s="555" t="s">
        <v>656</v>
      </c>
      <c r="C58" s="342" t="s">
        <v>998</v>
      </c>
      <c r="D58" s="342" t="s">
        <v>999</v>
      </c>
      <c r="E58" s="343" t="s">
        <v>1000</v>
      </c>
      <c r="F58" s="344" t="s">
        <v>1001</v>
      </c>
    </row>
    <row r="59" spans="1:6" ht="51" x14ac:dyDescent="0.2">
      <c r="A59" s="341"/>
      <c r="B59" s="555" t="s">
        <v>657</v>
      </c>
      <c r="C59" s="342" t="s">
        <v>1002</v>
      </c>
      <c r="D59" s="342" t="s">
        <v>1003</v>
      </c>
      <c r="E59" s="343" t="s">
        <v>1004</v>
      </c>
      <c r="F59" s="344" t="s">
        <v>1005</v>
      </c>
    </row>
    <row r="60" spans="1:6" ht="51" x14ac:dyDescent="0.2">
      <c r="A60" s="341"/>
      <c r="B60" s="555" t="s">
        <v>658</v>
      </c>
      <c r="C60" s="342" t="s">
        <v>1006</v>
      </c>
      <c r="D60" s="342" t="s">
        <v>1007</v>
      </c>
      <c r="E60" s="343" t="s">
        <v>1008</v>
      </c>
      <c r="F60" s="344" t="s">
        <v>1009</v>
      </c>
    </row>
    <row r="61" spans="1:6" ht="51" x14ac:dyDescent="0.2">
      <c r="A61" s="341"/>
      <c r="B61" s="555" t="s">
        <v>659</v>
      </c>
      <c r="C61" s="342" t="s">
        <v>1010</v>
      </c>
      <c r="D61" s="342" t="s">
        <v>1011</v>
      </c>
      <c r="E61" s="343" t="s">
        <v>1012</v>
      </c>
      <c r="F61" s="344" t="s">
        <v>1013</v>
      </c>
    </row>
    <row r="62" spans="1:6" ht="51" x14ac:dyDescent="0.2">
      <c r="A62" s="341"/>
      <c r="B62" s="555" t="s">
        <v>660</v>
      </c>
      <c r="C62" s="342" t="s">
        <v>1014</v>
      </c>
      <c r="D62" s="342" t="s">
        <v>1015</v>
      </c>
      <c r="E62" s="343" t="s">
        <v>1016</v>
      </c>
      <c r="F62" s="344" t="s">
        <v>1017</v>
      </c>
    </row>
    <row r="63" spans="1:6" ht="51" x14ac:dyDescent="0.2">
      <c r="A63" s="341"/>
      <c r="B63" s="555" t="s">
        <v>915</v>
      </c>
      <c r="C63" s="342" t="s">
        <v>1018</v>
      </c>
      <c r="D63" s="342" t="s">
        <v>1019</v>
      </c>
      <c r="E63" s="343" t="s">
        <v>1020</v>
      </c>
      <c r="F63" s="344" t="s">
        <v>1021</v>
      </c>
    </row>
    <row r="64" spans="1:6" ht="12.75" x14ac:dyDescent="0.2">
      <c r="A64" s="337"/>
      <c r="B64" s="345"/>
      <c r="C64" s="2411" t="s">
        <v>1022</v>
      </c>
      <c r="D64" s="2411"/>
      <c r="E64" s="2411"/>
      <c r="F64" s="346"/>
    </row>
    <row r="65" spans="1:6" ht="12.75" x14ac:dyDescent="0.2">
      <c r="A65" s="325"/>
      <c r="B65" s="554"/>
      <c r="C65" s="2406" t="s">
        <v>1023</v>
      </c>
      <c r="D65" s="2406"/>
      <c r="E65" s="2406"/>
      <c r="F65" s="347" t="s">
        <v>1024</v>
      </c>
    </row>
    <row r="66" spans="1:6" ht="24" customHeight="1" x14ac:dyDescent="0.2">
      <c r="A66" s="325"/>
      <c r="B66" s="554"/>
      <c r="C66" s="2406" t="s">
        <v>644</v>
      </c>
      <c r="D66" s="2406"/>
      <c r="E66" s="2406"/>
      <c r="F66" s="347" t="s">
        <v>1025</v>
      </c>
    </row>
    <row r="67" spans="1:6" ht="12.75" x14ac:dyDescent="0.2">
      <c r="A67" s="325"/>
      <c r="B67" s="554"/>
      <c r="C67" s="2405" t="s">
        <v>1026</v>
      </c>
      <c r="D67" s="2405"/>
      <c r="E67" s="2405"/>
      <c r="F67" s="348" t="s">
        <v>1025</v>
      </c>
    </row>
    <row r="68" spans="1:6" ht="12.75" x14ac:dyDescent="0.2">
      <c r="A68" s="325"/>
      <c r="B68" s="2407" t="s">
        <v>1027</v>
      </c>
      <c r="C68" s="2408"/>
      <c r="D68" s="2408"/>
      <c r="E68" s="2408"/>
      <c r="F68" s="2408"/>
    </row>
    <row r="69" spans="1:6" ht="51" x14ac:dyDescent="0.2">
      <c r="B69" s="553" t="s">
        <v>916</v>
      </c>
      <c r="C69" s="338" t="s">
        <v>1028</v>
      </c>
      <c r="D69" s="338" t="s">
        <v>1029</v>
      </c>
      <c r="E69" s="339" t="s">
        <v>1030</v>
      </c>
      <c r="F69" s="340" t="s">
        <v>1031</v>
      </c>
    </row>
    <row r="70" spans="1:6" ht="76.5" x14ac:dyDescent="0.2">
      <c r="A70" s="341"/>
      <c r="B70" s="555" t="s">
        <v>917</v>
      </c>
      <c r="C70" s="342" t="s">
        <v>1032</v>
      </c>
      <c r="D70" s="342" t="s">
        <v>1033</v>
      </c>
      <c r="E70" s="343" t="s">
        <v>1034</v>
      </c>
      <c r="F70" s="344" t="s">
        <v>1035</v>
      </c>
    </row>
    <row r="71" spans="1:6" ht="51" x14ac:dyDescent="0.2">
      <c r="A71" s="341"/>
      <c r="B71" s="555" t="s">
        <v>918</v>
      </c>
      <c r="C71" s="342" t="s">
        <v>1036</v>
      </c>
      <c r="D71" s="342" t="s">
        <v>1037</v>
      </c>
      <c r="E71" s="343" t="s">
        <v>1038</v>
      </c>
      <c r="F71" s="344" t="s">
        <v>1039</v>
      </c>
    </row>
    <row r="72" spans="1:6" ht="51" x14ac:dyDescent="0.2">
      <c r="A72" s="341"/>
      <c r="B72" s="555" t="s">
        <v>919</v>
      </c>
      <c r="C72" s="342" t="s">
        <v>1040</v>
      </c>
      <c r="D72" s="342" t="s">
        <v>1041</v>
      </c>
      <c r="E72" s="343" t="s">
        <v>1042</v>
      </c>
      <c r="F72" s="344" t="s">
        <v>1043</v>
      </c>
    </row>
    <row r="73" spans="1:6" ht="51" x14ac:dyDescent="0.2">
      <c r="A73" s="341"/>
      <c r="B73" s="555" t="s">
        <v>920</v>
      </c>
      <c r="C73" s="342" t="s">
        <v>1044</v>
      </c>
      <c r="D73" s="342" t="s">
        <v>1045</v>
      </c>
      <c r="E73" s="343" t="s">
        <v>1046</v>
      </c>
      <c r="F73" s="344" t="s">
        <v>1047</v>
      </c>
    </row>
    <row r="74" spans="1:6" ht="51" x14ac:dyDescent="0.2">
      <c r="A74" s="341"/>
      <c r="B74" s="555" t="s">
        <v>1048</v>
      </c>
      <c r="C74" s="342" t="s">
        <v>1049</v>
      </c>
      <c r="D74" s="342" t="s">
        <v>1050</v>
      </c>
      <c r="E74" s="343" t="s">
        <v>1051</v>
      </c>
      <c r="F74" s="344" t="s">
        <v>1052</v>
      </c>
    </row>
    <row r="75" spans="1:6" ht="51" x14ac:dyDescent="0.2">
      <c r="A75" s="341"/>
      <c r="B75" s="555" t="s">
        <v>1053</v>
      </c>
      <c r="C75" s="342" t="s">
        <v>1054</v>
      </c>
      <c r="D75" s="342" t="s">
        <v>1055</v>
      </c>
      <c r="E75" s="343" t="s">
        <v>1056</v>
      </c>
      <c r="F75" s="344" t="s">
        <v>1057</v>
      </c>
    </row>
    <row r="76" spans="1:6" ht="51" x14ac:dyDescent="0.2">
      <c r="A76" s="341"/>
      <c r="B76" s="555" t="s">
        <v>1058</v>
      </c>
      <c r="C76" s="342" t="s">
        <v>1059</v>
      </c>
      <c r="D76" s="342" t="s">
        <v>1060</v>
      </c>
      <c r="E76" s="343" t="s">
        <v>1061</v>
      </c>
      <c r="F76" s="344" t="s">
        <v>1062</v>
      </c>
    </row>
    <row r="77" spans="1:6" ht="63.75" x14ac:dyDescent="0.2">
      <c r="A77" s="341"/>
      <c r="B77" s="555" t="s">
        <v>1063</v>
      </c>
      <c r="C77" s="342" t="s">
        <v>1064</v>
      </c>
      <c r="D77" s="342" t="s">
        <v>1065</v>
      </c>
      <c r="E77" s="343" t="s">
        <v>1066</v>
      </c>
      <c r="F77" s="344" t="s">
        <v>1067</v>
      </c>
    </row>
    <row r="78" spans="1:6" ht="63.75" x14ac:dyDescent="0.2">
      <c r="A78" s="341"/>
      <c r="B78" s="555" t="s">
        <v>1068</v>
      </c>
      <c r="C78" s="342" t="s">
        <v>1069</v>
      </c>
      <c r="D78" s="342" t="s">
        <v>1070</v>
      </c>
      <c r="E78" s="343" t="s">
        <v>1071</v>
      </c>
      <c r="F78" s="344" t="s">
        <v>1072</v>
      </c>
    </row>
    <row r="79" spans="1:6" ht="51" x14ac:dyDescent="0.2">
      <c r="A79" s="341"/>
      <c r="B79" s="555" t="s">
        <v>1073</v>
      </c>
      <c r="C79" s="342" t="s">
        <v>1074</v>
      </c>
      <c r="D79" s="342" t="s">
        <v>1075</v>
      </c>
      <c r="E79" s="343" t="s">
        <v>1076</v>
      </c>
      <c r="F79" s="344" t="s">
        <v>1077</v>
      </c>
    </row>
    <row r="80" spans="1:6" ht="63.75" x14ac:dyDescent="0.2">
      <c r="A80" s="341"/>
      <c r="B80" s="555" t="s">
        <v>1078</v>
      </c>
      <c r="C80" s="342" t="s">
        <v>1079</v>
      </c>
      <c r="D80" s="342" t="s">
        <v>1080</v>
      </c>
      <c r="E80" s="343" t="s">
        <v>1081</v>
      </c>
      <c r="F80" s="344" t="s">
        <v>1082</v>
      </c>
    </row>
    <row r="81" spans="1:6" ht="12.75" x14ac:dyDescent="0.2">
      <c r="A81" s="337"/>
      <c r="B81" s="345"/>
      <c r="C81" s="2411" t="s">
        <v>1083</v>
      </c>
      <c r="D81" s="2411"/>
      <c r="E81" s="2411"/>
      <c r="F81" s="346"/>
    </row>
    <row r="82" spans="1:6" ht="12.75" x14ac:dyDescent="0.2">
      <c r="A82" s="325"/>
      <c r="B82" s="554"/>
      <c r="C82" s="2406" t="s">
        <v>1084</v>
      </c>
      <c r="D82" s="2406"/>
      <c r="E82" s="2406"/>
      <c r="F82" s="347" t="s">
        <v>1085</v>
      </c>
    </row>
    <row r="83" spans="1:6" ht="24" customHeight="1" x14ac:dyDescent="0.2">
      <c r="A83" s="325"/>
      <c r="B83" s="554"/>
      <c r="C83" s="2406" t="s">
        <v>644</v>
      </c>
      <c r="D83" s="2406"/>
      <c r="E83" s="2406"/>
      <c r="F83" s="347" t="s">
        <v>1086</v>
      </c>
    </row>
    <row r="84" spans="1:6" ht="12.75" x14ac:dyDescent="0.2">
      <c r="A84" s="325"/>
      <c r="B84" s="554"/>
      <c r="C84" s="2405" t="s">
        <v>1087</v>
      </c>
      <c r="D84" s="2405"/>
      <c r="E84" s="2405"/>
      <c r="F84" s="348" t="s">
        <v>1086</v>
      </c>
    </row>
    <row r="85" spans="1:6" ht="12.75" x14ac:dyDescent="0.2">
      <c r="A85" s="325"/>
      <c r="B85" s="2407" t="s">
        <v>609</v>
      </c>
      <c r="C85" s="2408"/>
      <c r="D85" s="2408"/>
      <c r="E85" s="2408"/>
      <c r="F85" s="2408"/>
    </row>
    <row r="86" spans="1:6" ht="63.75" x14ac:dyDescent="0.2">
      <c r="B86" s="553" t="s">
        <v>1088</v>
      </c>
      <c r="C86" s="338" t="s">
        <v>1089</v>
      </c>
      <c r="D86" s="338" t="s">
        <v>1090</v>
      </c>
      <c r="E86" s="339" t="s">
        <v>1091</v>
      </c>
      <c r="F86" s="340" t="s">
        <v>1092</v>
      </c>
    </row>
    <row r="87" spans="1:6" ht="51" x14ac:dyDescent="0.2">
      <c r="A87" s="341"/>
      <c r="B87" s="555" t="s">
        <v>1093</v>
      </c>
      <c r="C87" s="342" t="s">
        <v>1094</v>
      </c>
      <c r="D87" s="342" t="s">
        <v>1095</v>
      </c>
      <c r="E87" s="343" t="s">
        <v>1096</v>
      </c>
      <c r="F87" s="344" t="s">
        <v>1097</v>
      </c>
    </row>
    <row r="88" spans="1:6" ht="51" x14ac:dyDescent="0.2">
      <c r="A88" s="341"/>
      <c r="B88" s="2409" t="s">
        <v>1098</v>
      </c>
      <c r="C88" s="342" t="s">
        <v>1099</v>
      </c>
      <c r="D88" s="342" t="s">
        <v>1100</v>
      </c>
      <c r="E88" s="343" t="s">
        <v>1101</v>
      </c>
      <c r="F88" s="344" t="s">
        <v>1102</v>
      </c>
    </row>
    <row r="89" spans="1:6" ht="76.5" x14ac:dyDescent="0.2">
      <c r="B89" s="2410"/>
      <c r="C89" s="338"/>
      <c r="D89" s="338" t="s">
        <v>1103</v>
      </c>
      <c r="E89" s="339"/>
      <c r="F89" s="340" t="s">
        <v>522</v>
      </c>
    </row>
    <row r="90" spans="1:6" ht="12.75" x14ac:dyDescent="0.2">
      <c r="A90" s="337"/>
      <c r="B90" s="345"/>
      <c r="C90" s="2411" t="s">
        <v>610</v>
      </c>
      <c r="D90" s="2411"/>
      <c r="E90" s="2411"/>
      <c r="F90" s="346"/>
    </row>
    <row r="91" spans="1:6" ht="12.75" x14ac:dyDescent="0.2">
      <c r="A91" s="325"/>
      <c r="B91" s="554"/>
      <c r="C91" s="2406" t="s">
        <v>1104</v>
      </c>
      <c r="D91" s="2406"/>
      <c r="E91" s="2406"/>
      <c r="F91" s="347" t="s">
        <v>1105</v>
      </c>
    </row>
    <row r="92" spans="1:6" ht="24" customHeight="1" x14ac:dyDescent="0.2">
      <c r="A92" s="325"/>
      <c r="B92" s="554"/>
      <c r="C92" s="2406" t="s">
        <v>644</v>
      </c>
      <c r="D92" s="2406"/>
      <c r="E92" s="2406"/>
      <c r="F92" s="347" t="s">
        <v>1106</v>
      </c>
    </row>
    <row r="93" spans="1:6" ht="12.75" x14ac:dyDescent="0.2">
      <c r="A93" s="325"/>
      <c r="B93" s="554"/>
      <c r="C93" s="2405" t="s">
        <v>611</v>
      </c>
      <c r="D93" s="2405"/>
      <c r="E93" s="2405"/>
      <c r="F93" s="348" t="s">
        <v>1106</v>
      </c>
    </row>
    <row r="94" spans="1:6" ht="12.75" x14ac:dyDescent="0.2">
      <c r="A94" s="325"/>
      <c r="B94" s="554"/>
      <c r="C94" s="2405" t="s">
        <v>921</v>
      </c>
      <c r="D94" s="2405"/>
      <c r="E94" s="2405"/>
      <c r="F94" s="348"/>
    </row>
    <row r="95" spans="1:6" ht="12.75" x14ac:dyDescent="0.2">
      <c r="A95" s="325"/>
      <c r="B95" s="554"/>
      <c r="C95" s="2406" t="s">
        <v>1107</v>
      </c>
      <c r="D95" s="2406"/>
      <c r="E95" s="2406"/>
      <c r="F95" s="347" t="s">
        <v>1108</v>
      </c>
    </row>
    <row r="96" spans="1:6" ht="24" customHeight="1" x14ac:dyDescent="0.2">
      <c r="A96" s="325"/>
      <c r="B96" s="554"/>
      <c r="C96" s="2406" t="s">
        <v>644</v>
      </c>
      <c r="D96" s="2406"/>
      <c r="E96" s="2406"/>
      <c r="F96" s="347" t="s">
        <v>1109</v>
      </c>
    </row>
    <row r="97" spans="1:6" ht="12.75" x14ac:dyDescent="0.2">
      <c r="A97" s="325"/>
      <c r="B97" s="554"/>
      <c r="C97" s="2405" t="s">
        <v>593</v>
      </c>
      <c r="D97" s="2405"/>
      <c r="E97" s="2405"/>
      <c r="F97" s="354">
        <v>12262666.27</v>
      </c>
    </row>
    <row r="98" spans="1:6" ht="12.75" x14ac:dyDescent="0.2">
      <c r="B98" s="349"/>
      <c r="C98" s="556"/>
      <c r="D98" s="556"/>
      <c r="E98" s="350"/>
      <c r="F98" s="351"/>
    </row>
    <row r="99" spans="1:6" ht="12.75" x14ac:dyDescent="0.2">
      <c r="B99" s="329"/>
      <c r="C99" s="329"/>
      <c r="D99" s="329"/>
      <c r="E99" s="329"/>
      <c r="F99" s="329"/>
    </row>
    <row r="100" spans="1:6" ht="12.75" x14ac:dyDescent="0.2">
      <c r="B100" s="329"/>
      <c r="C100" s="329"/>
      <c r="D100" s="329"/>
      <c r="E100" s="329"/>
      <c r="F100" s="329"/>
    </row>
    <row r="101" spans="1:6" ht="12.75" x14ac:dyDescent="0.2">
      <c r="B101" s="352" t="s">
        <v>661</v>
      </c>
      <c r="D101" s="352"/>
    </row>
    <row r="102" spans="1:6" ht="12.75" x14ac:dyDescent="0.2">
      <c r="B102" s="352" t="s">
        <v>662</v>
      </c>
      <c r="D102" s="352"/>
    </row>
    <row r="103" spans="1:6" ht="12.75" x14ac:dyDescent="0.2">
      <c r="B103" s="352" t="s">
        <v>663</v>
      </c>
      <c r="D103" s="352"/>
    </row>
    <row r="104" spans="1:6" ht="12.75" x14ac:dyDescent="0.2">
      <c r="B104" s="352" t="s">
        <v>664</v>
      </c>
      <c r="D104" s="352"/>
    </row>
    <row r="106" spans="1:6" ht="12.75" x14ac:dyDescent="0.2">
      <c r="B106" s="353"/>
    </row>
    <row r="108" spans="1:6" ht="12.75" x14ac:dyDescent="0.2"/>
    <row r="109" spans="1:6" ht="12.75" x14ac:dyDescent="0.2"/>
    <row r="114" ht="12.75" x14ac:dyDescent="0.2"/>
  </sheetData>
  <mergeCells count="42">
    <mergeCell ref="B8:E8"/>
    <mergeCell ref="B2:C2"/>
    <mergeCell ref="D3:F3"/>
    <mergeCell ref="B4:F4"/>
    <mergeCell ref="B5:E5"/>
    <mergeCell ref="B7:F7"/>
    <mergeCell ref="B46:B48"/>
    <mergeCell ref="C11:F11"/>
    <mergeCell ref="C13:F13"/>
    <mergeCell ref="B19:F19"/>
    <mergeCell ref="B20:B22"/>
    <mergeCell ref="B23:B25"/>
    <mergeCell ref="B26:B28"/>
    <mergeCell ref="B29:B32"/>
    <mergeCell ref="B33:B36"/>
    <mergeCell ref="B37:B38"/>
    <mergeCell ref="B39:B42"/>
    <mergeCell ref="B43:B45"/>
    <mergeCell ref="C82:E82"/>
    <mergeCell ref="C49:E49"/>
    <mergeCell ref="C50:E50"/>
    <mergeCell ref="C51:E51"/>
    <mergeCell ref="C52:E52"/>
    <mergeCell ref="B53:F53"/>
    <mergeCell ref="C64:E64"/>
    <mergeCell ref="C65:E65"/>
    <mergeCell ref="C66:E66"/>
    <mergeCell ref="C67:E67"/>
    <mergeCell ref="B68:F68"/>
    <mergeCell ref="C81:E81"/>
    <mergeCell ref="C97:E97"/>
    <mergeCell ref="C83:E83"/>
    <mergeCell ref="C84:E84"/>
    <mergeCell ref="B85:F85"/>
    <mergeCell ref="B88:B89"/>
    <mergeCell ref="C90:E90"/>
    <mergeCell ref="C91:E91"/>
    <mergeCell ref="C92:E92"/>
    <mergeCell ref="C93:E93"/>
    <mergeCell ref="C94:E94"/>
    <mergeCell ref="C95:E95"/>
    <mergeCell ref="C96:E96"/>
  </mergeCells>
  <pageMargins left="0.35433071851730302" right="0.23622047901153601" top="0.74803149700164795" bottom="0.74803149700164795" header="0.31496062874794001" footer="0.31496062874794001"/>
  <pageSetup paperSize="9" fitToHeight="0" orientation="landscape"/>
  <headerFooter>
    <oddFooter>&amp;R&amp;P</oddFooter>
  </headerFooter>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16"/>
  <sheetViews>
    <sheetView showGridLines="0" topLeftCell="B1" zoomScale="115" zoomScaleNormal="115" workbookViewId="0">
      <selection activeCell="E109" sqref="E109"/>
    </sheetView>
  </sheetViews>
  <sheetFormatPr defaultColWidth="8.85546875" defaultRowHeight="13.5" customHeight="1" outlineLevelRow="1" x14ac:dyDescent="0.2"/>
  <cols>
    <col min="1" max="1" width="0" style="323" hidden="1" customWidth="1"/>
    <col min="2" max="2" width="4.28515625" style="323" customWidth="1"/>
    <col min="3" max="3" width="46.140625" style="323" customWidth="1"/>
    <col min="4" max="4" width="46.42578125" style="323" customWidth="1"/>
    <col min="5" max="5" width="31.42578125" style="323" customWidth="1"/>
    <col min="6" max="6" width="14" style="323" customWidth="1"/>
    <col min="7" max="16384" width="8.85546875" style="323"/>
  </cols>
  <sheetData>
    <row r="1" spans="2:6" ht="12.75" x14ac:dyDescent="0.2">
      <c r="B1" s="321"/>
      <c r="C1" s="321"/>
      <c r="D1" s="321"/>
      <c r="E1" s="322" t="s">
        <v>590</v>
      </c>
    </row>
    <row r="2" spans="2:6" ht="14.25" customHeight="1" x14ac:dyDescent="0.2">
      <c r="B2" s="2417" t="s">
        <v>613</v>
      </c>
      <c r="C2" s="2417"/>
      <c r="D2" s="324"/>
      <c r="E2" s="324"/>
      <c r="F2" s="325"/>
    </row>
    <row r="3" spans="2:6" ht="18" customHeight="1" x14ac:dyDescent="0.2">
      <c r="B3" s="556"/>
      <c r="C3" s="556"/>
      <c r="D3" s="2418" t="s">
        <v>614</v>
      </c>
      <c r="E3" s="2418"/>
      <c r="F3" s="2419"/>
    </row>
    <row r="4" spans="2:6" ht="24.75" customHeight="1" x14ac:dyDescent="0.2">
      <c r="B4" s="2420" t="s">
        <v>936</v>
      </c>
      <c r="C4" s="2421"/>
      <c r="D4" s="2421"/>
      <c r="E4" s="2421"/>
      <c r="F4" s="2421"/>
    </row>
    <row r="5" spans="2:6" ht="20.25" customHeight="1" x14ac:dyDescent="0.2">
      <c r="B5" s="2422" t="s">
        <v>615</v>
      </c>
      <c r="C5" s="2422"/>
      <c r="D5" s="2422"/>
      <c r="E5" s="2422"/>
      <c r="F5" s="326"/>
    </row>
    <row r="6" spans="2:6" ht="5.25" customHeight="1" x14ac:dyDescent="0.2">
      <c r="B6" s="326"/>
      <c r="C6" s="326"/>
      <c r="D6" s="326"/>
      <c r="E6" s="326"/>
      <c r="F6" s="326"/>
    </row>
    <row r="7" spans="2:6" ht="23.25" customHeight="1" x14ac:dyDescent="0.2">
      <c r="B7" s="2423" t="s">
        <v>937</v>
      </c>
      <c r="C7" s="2423"/>
      <c r="D7" s="2423"/>
      <c r="E7" s="2423"/>
      <c r="F7" s="2423"/>
    </row>
    <row r="8" spans="2:6" ht="19.5" customHeight="1" x14ac:dyDescent="0.2">
      <c r="B8" s="2416" t="s">
        <v>616</v>
      </c>
      <c r="C8" s="2416"/>
      <c r="D8" s="2416"/>
      <c r="E8" s="2416"/>
      <c r="F8" s="327"/>
    </row>
    <row r="9" spans="2:6" ht="12.75" x14ac:dyDescent="0.2">
      <c r="B9" s="326"/>
      <c r="C9" s="326"/>
      <c r="D9" s="326"/>
      <c r="E9" s="326"/>
      <c r="F9" s="326"/>
    </row>
    <row r="10" spans="2:6" ht="17.25" customHeight="1" x14ac:dyDescent="0.2">
      <c r="B10" s="328" t="s">
        <v>626</v>
      </c>
      <c r="C10" s="326"/>
      <c r="D10" s="329"/>
      <c r="E10" s="329"/>
      <c r="F10" s="329"/>
    </row>
    <row r="11" spans="2:6" ht="17.25" customHeight="1" x14ac:dyDescent="0.2">
      <c r="C11" s="2413"/>
      <c r="D11" s="2413"/>
      <c r="E11" s="2413"/>
      <c r="F11" s="2413"/>
    </row>
    <row r="12" spans="2:6" ht="25.5" customHeight="1" x14ac:dyDescent="0.2">
      <c r="B12" s="326" t="s">
        <v>627</v>
      </c>
      <c r="C12" s="326"/>
      <c r="D12" s="330"/>
      <c r="E12" s="330"/>
      <c r="F12" s="330"/>
    </row>
    <row r="13" spans="2:6" ht="24" customHeight="1" x14ac:dyDescent="0.2">
      <c r="C13" s="2413" t="s">
        <v>608</v>
      </c>
      <c r="D13" s="2413"/>
      <c r="E13" s="2413"/>
      <c r="F13" s="2413"/>
    </row>
    <row r="14" spans="2:6" ht="24" customHeight="1" x14ac:dyDescent="0.2">
      <c r="C14" s="556"/>
      <c r="D14" s="556"/>
      <c r="E14" s="556"/>
      <c r="F14" s="556"/>
    </row>
    <row r="15" spans="2:6" ht="15" customHeight="1" outlineLevel="1" x14ac:dyDescent="0.2">
      <c r="B15" s="331" t="s">
        <v>1110</v>
      </c>
      <c r="C15" s="556"/>
      <c r="D15" s="556"/>
      <c r="E15" s="556"/>
      <c r="F15" s="556"/>
    </row>
    <row r="16" spans="2:6" ht="12.75" x14ac:dyDescent="0.2">
      <c r="B16" s="326"/>
      <c r="C16" s="326"/>
      <c r="D16" s="557"/>
      <c r="E16" s="557"/>
      <c r="F16" s="332"/>
    </row>
    <row r="17" spans="1:6" ht="80.25" customHeight="1" x14ac:dyDescent="0.2">
      <c r="B17" s="333" t="s">
        <v>512</v>
      </c>
      <c r="C17" s="334" t="s">
        <v>617</v>
      </c>
      <c r="D17" s="334" t="s">
        <v>618</v>
      </c>
      <c r="E17" s="333" t="s">
        <v>619</v>
      </c>
      <c r="F17" s="333" t="s">
        <v>649</v>
      </c>
    </row>
    <row r="18" spans="1:6" ht="12.75" x14ac:dyDescent="0.2">
      <c r="B18" s="335">
        <v>1</v>
      </c>
      <c r="C18" s="336">
        <v>2</v>
      </c>
      <c r="D18" s="336">
        <v>3</v>
      </c>
      <c r="E18" s="335">
        <v>4</v>
      </c>
      <c r="F18" s="335">
        <v>5</v>
      </c>
    </row>
    <row r="19" spans="1:6" ht="12.75" x14ac:dyDescent="0.2">
      <c r="A19" s="337"/>
      <c r="B19" s="2414" t="s">
        <v>591</v>
      </c>
      <c r="C19" s="2415"/>
      <c r="D19" s="2415"/>
      <c r="E19" s="2415"/>
      <c r="F19" s="2415"/>
    </row>
    <row r="20" spans="1:6" ht="51" x14ac:dyDescent="0.2">
      <c r="B20" s="2412" t="s">
        <v>190</v>
      </c>
      <c r="C20" s="338" t="s">
        <v>939</v>
      </c>
      <c r="D20" s="338" t="s">
        <v>940</v>
      </c>
      <c r="E20" s="339" t="s">
        <v>1111</v>
      </c>
      <c r="F20" s="340" t="s">
        <v>1112</v>
      </c>
    </row>
    <row r="21" spans="1:6" ht="51" x14ac:dyDescent="0.2">
      <c r="B21" s="2412"/>
      <c r="C21" s="338"/>
      <c r="D21" s="338" t="s">
        <v>1113</v>
      </c>
      <c r="E21" s="339"/>
      <c r="F21" s="340" t="s">
        <v>522</v>
      </c>
    </row>
    <row r="22" spans="1:6" ht="51" x14ac:dyDescent="0.2">
      <c r="B22" s="2410"/>
      <c r="C22" s="338"/>
      <c r="D22" s="338" t="s">
        <v>943</v>
      </c>
      <c r="E22" s="339"/>
      <c r="F22" s="340" t="s">
        <v>522</v>
      </c>
    </row>
    <row r="23" spans="1:6" ht="76.5" x14ac:dyDescent="0.2">
      <c r="A23" s="341"/>
      <c r="B23" s="2409" t="s">
        <v>639</v>
      </c>
      <c r="C23" s="342" t="s">
        <v>944</v>
      </c>
      <c r="D23" s="342" t="s">
        <v>945</v>
      </c>
      <c r="E23" s="343" t="s">
        <v>1114</v>
      </c>
      <c r="F23" s="344" t="s">
        <v>1115</v>
      </c>
    </row>
    <row r="24" spans="1:6" ht="51" x14ac:dyDescent="0.2">
      <c r="B24" s="2412"/>
      <c r="C24" s="338"/>
      <c r="D24" s="338" t="s">
        <v>1113</v>
      </c>
      <c r="E24" s="339"/>
      <c r="F24" s="340" t="s">
        <v>522</v>
      </c>
    </row>
    <row r="25" spans="1:6" ht="51" x14ac:dyDescent="0.2">
      <c r="B25" s="2410"/>
      <c r="C25" s="338"/>
      <c r="D25" s="338" t="s">
        <v>943</v>
      </c>
      <c r="E25" s="339"/>
      <c r="F25" s="340" t="s">
        <v>522</v>
      </c>
    </row>
    <row r="26" spans="1:6" ht="51" x14ac:dyDescent="0.2">
      <c r="A26" s="341"/>
      <c r="B26" s="2409" t="s">
        <v>640</v>
      </c>
      <c r="C26" s="342" t="s">
        <v>948</v>
      </c>
      <c r="D26" s="342" t="s">
        <v>949</v>
      </c>
      <c r="E26" s="343" t="s">
        <v>1116</v>
      </c>
      <c r="F26" s="344" t="s">
        <v>1117</v>
      </c>
    </row>
    <row r="27" spans="1:6" ht="51" x14ac:dyDescent="0.2">
      <c r="B27" s="2412"/>
      <c r="C27" s="338"/>
      <c r="D27" s="338" t="s">
        <v>1113</v>
      </c>
      <c r="E27" s="339"/>
      <c r="F27" s="340" t="s">
        <v>522</v>
      </c>
    </row>
    <row r="28" spans="1:6" ht="51" x14ac:dyDescent="0.2">
      <c r="B28" s="2410"/>
      <c r="C28" s="338"/>
      <c r="D28" s="338" t="s">
        <v>943</v>
      </c>
      <c r="E28" s="339"/>
      <c r="F28" s="340" t="s">
        <v>522</v>
      </c>
    </row>
    <row r="29" spans="1:6" ht="51" x14ac:dyDescent="0.2">
      <c r="A29" s="341"/>
      <c r="B29" s="2409" t="s">
        <v>232</v>
      </c>
      <c r="C29" s="342" t="s">
        <v>952</v>
      </c>
      <c r="D29" s="342" t="s">
        <v>953</v>
      </c>
      <c r="E29" s="343" t="s">
        <v>1118</v>
      </c>
      <c r="F29" s="344" t="s">
        <v>1119</v>
      </c>
    </row>
    <row r="30" spans="1:6" ht="51" x14ac:dyDescent="0.2">
      <c r="B30" s="2412"/>
      <c r="C30" s="338"/>
      <c r="D30" s="338" t="s">
        <v>1113</v>
      </c>
      <c r="E30" s="339"/>
      <c r="F30" s="340" t="s">
        <v>522</v>
      </c>
    </row>
    <row r="31" spans="1:6" ht="51" x14ac:dyDescent="0.2">
      <c r="B31" s="2412"/>
      <c r="C31" s="338"/>
      <c r="D31" s="338" t="s">
        <v>956</v>
      </c>
      <c r="E31" s="339"/>
      <c r="F31" s="340" t="s">
        <v>522</v>
      </c>
    </row>
    <row r="32" spans="1:6" ht="12.75" x14ac:dyDescent="0.2">
      <c r="B32" s="2410"/>
      <c r="C32" s="338"/>
      <c r="D32" s="338" t="s">
        <v>957</v>
      </c>
      <c r="E32" s="339"/>
      <c r="F32" s="340" t="s">
        <v>522</v>
      </c>
    </row>
    <row r="33" spans="1:6" ht="51" x14ac:dyDescent="0.2">
      <c r="A33" s="341"/>
      <c r="B33" s="2409" t="s">
        <v>233</v>
      </c>
      <c r="C33" s="342" t="s">
        <v>958</v>
      </c>
      <c r="D33" s="342" t="s">
        <v>959</v>
      </c>
      <c r="E33" s="343" t="s">
        <v>1120</v>
      </c>
      <c r="F33" s="344" t="s">
        <v>1121</v>
      </c>
    </row>
    <row r="34" spans="1:6" ht="51" x14ac:dyDescent="0.2">
      <c r="B34" s="2412"/>
      <c r="C34" s="338"/>
      <c r="D34" s="338" t="s">
        <v>1113</v>
      </c>
      <c r="E34" s="339"/>
      <c r="F34" s="340" t="s">
        <v>522</v>
      </c>
    </row>
    <row r="35" spans="1:6" ht="51" x14ac:dyDescent="0.2">
      <c r="B35" s="2412"/>
      <c r="C35" s="338"/>
      <c r="D35" s="338" t="s">
        <v>956</v>
      </c>
      <c r="E35" s="339"/>
      <c r="F35" s="340" t="s">
        <v>522</v>
      </c>
    </row>
    <row r="36" spans="1:6" ht="12.75" x14ac:dyDescent="0.2">
      <c r="B36" s="2410"/>
      <c r="C36" s="338"/>
      <c r="D36" s="338" t="s">
        <v>957</v>
      </c>
      <c r="E36" s="339"/>
      <c r="F36" s="340" t="s">
        <v>522</v>
      </c>
    </row>
    <row r="37" spans="1:6" ht="76.5" x14ac:dyDescent="0.2">
      <c r="A37" s="341"/>
      <c r="B37" s="2409" t="s">
        <v>238</v>
      </c>
      <c r="C37" s="342" t="s">
        <v>962</v>
      </c>
      <c r="D37" s="342" t="s">
        <v>963</v>
      </c>
      <c r="E37" s="343" t="s">
        <v>1122</v>
      </c>
      <c r="F37" s="344" t="s">
        <v>1123</v>
      </c>
    </row>
    <row r="38" spans="1:6" ht="51" x14ac:dyDescent="0.2">
      <c r="B38" s="2412"/>
      <c r="C38" s="338"/>
      <c r="D38" s="338" t="s">
        <v>956</v>
      </c>
      <c r="E38" s="339"/>
      <c r="F38" s="340" t="s">
        <v>522</v>
      </c>
    </row>
    <row r="39" spans="1:6" ht="51" x14ac:dyDescent="0.2">
      <c r="B39" s="2410"/>
      <c r="C39" s="338"/>
      <c r="D39" s="338" t="s">
        <v>1124</v>
      </c>
      <c r="E39" s="339"/>
      <c r="F39" s="340" t="s">
        <v>522</v>
      </c>
    </row>
    <row r="40" spans="1:6" ht="51" x14ac:dyDescent="0.2">
      <c r="A40" s="341"/>
      <c r="B40" s="2409" t="s">
        <v>641</v>
      </c>
      <c r="C40" s="342" t="s">
        <v>966</v>
      </c>
      <c r="D40" s="342" t="s">
        <v>967</v>
      </c>
      <c r="E40" s="343" t="s">
        <v>1125</v>
      </c>
      <c r="F40" s="344" t="s">
        <v>1126</v>
      </c>
    </row>
    <row r="41" spans="1:6" ht="51" x14ac:dyDescent="0.2">
      <c r="B41" s="2412"/>
      <c r="C41" s="338"/>
      <c r="D41" s="338" t="s">
        <v>1113</v>
      </c>
      <c r="E41" s="339"/>
      <c r="F41" s="340" t="s">
        <v>522</v>
      </c>
    </row>
    <row r="42" spans="1:6" ht="51" x14ac:dyDescent="0.2">
      <c r="B42" s="2412"/>
      <c r="C42" s="338"/>
      <c r="D42" s="338" t="s">
        <v>956</v>
      </c>
      <c r="E42" s="339"/>
      <c r="F42" s="340" t="s">
        <v>522</v>
      </c>
    </row>
    <row r="43" spans="1:6" ht="25.5" x14ac:dyDescent="0.2">
      <c r="B43" s="2410"/>
      <c r="C43" s="338"/>
      <c r="D43" s="338" t="s">
        <v>970</v>
      </c>
      <c r="E43" s="339"/>
      <c r="F43" s="340" t="s">
        <v>522</v>
      </c>
    </row>
    <row r="44" spans="1:6" ht="51" x14ac:dyDescent="0.2">
      <c r="A44" s="341"/>
      <c r="B44" s="2409" t="s">
        <v>650</v>
      </c>
      <c r="C44" s="342" t="s">
        <v>971</v>
      </c>
      <c r="D44" s="342" t="s">
        <v>967</v>
      </c>
      <c r="E44" s="343" t="s">
        <v>1127</v>
      </c>
      <c r="F44" s="344" t="s">
        <v>1128</v>
      </c>
    </row>
    <row r="45" spans="1:6" ht="51" x14ac:dyDescent="0.2">
      <c r="B45" s="2412"/>
      <c r="C45" s="338"/>
      <c r="D45" s="338" t="s">
        <v>1113</v>
      </c>
      <c r="E45" s="339"/>
      <c r="F45" s="340" t="s">
        <v>522</v>
      </c>
    </row>
    <row r="46" spans="1:6" ht="51" x14ac:dyDescent="0.2">
      <c r="B46" s="2410"/>
      <c r="C46" s="338"/>
      <c r="D46" s="338" t="s">
        <v>943</v>
      </c>
      <c r="E46" s="339"/>
      <c r="F46" s="340" t="s">
        <v>522</v>
      </c>
    </row>
    <row r="47" spans="1:6" ht="51" x14ac:dyDescent="0.2">
      <c r="A47" s="341"/>
      <c r="B47" s="2409" t="s">
        <v>651</v>
      </c>
      <c r="C47" s="342" t="s">
        <v>974</v>
      </c>
      <c r="D47" s="342" t="s">
        <v>975</v>
      </c>
      <c r="E47" s="343" t="s">
        <v>1129</v>
      </c>
      <c r="F47" s="344" t="s">
        <v>634</v>
      </c>
    </row>
    <row r="48" spans="1:6" ht="38.25" x14ac:dyDescent="0.2">
      <c r="B48" s="2412"/>
      <c r="C48" s="338"/>
      <c r="D48" s="338" t="s">
        <v>978</v>
      </c>
      <c r="E48" s="339"/>
      <c r="F48" s="340" t="s">
        <v>522</v>
      </c>
    </row>
    <row r="49" spans="1:6" ht="51" x14ac:dyDescent="0.2">
      <c r="B49" s="2412"/>
      <c r="C49" s="338"/>
      <c r="D49" s="338" t="s">
        <v>1113</v>
      </c>
      <c r="E49" s="339"/>
      <c r="F49" s="340" t="s">
        <v>522</v>
      </c>
    </row>
    <row r="50" spans="1:6" ht="51" x14ac:dyDescent="0.2">
      <c r="B50" s="2410"/>
      <c r="C50" s="338"/>
      <c r="D50" s="338" t="s">
        <v>943</v>
      </c>
      <c r="E50" s="339"/>
      <c r="F50" s="340" t="s">
        <v>522</v>
      </c>
    </row>
    <row r="51" spans="1:6" ht="12.75" x14ac:dyDescent="0.2">
      <c r="A51" s="337"/>
      <c r="B51" s="345"/>
      <c r="C51" s="2411" t="s">
        <v>620</v>
      </c>
      <c r="D51" s="2411"/>
      <c r="E51" s="2411"/>
      <c r="F51" s="346"/>
    </row>
    <row r="52" spans="1:6" ht="12.75" x14ac:dyDescent="0.2">
      <c r="A52" s="325"/>
      <c r="B52" s="554"/>
      <c r="C52" s="2406" t="s">
        <v>979</v>
      </c>
      <c r="D52" s="2406"/>
      <c r="E52" s="2406"/>
      <c r="F52" s="347" t="s">
        <v>1130</v>
      </c>
    </row>
    <row r="53" spans="1:6" ht="24" customHeight="1" x14ac:dyDescent="0.2">
      <c r="A53" s="325"/>
      <c r="B53" s="554"/>
      <c r="C53" s="2406" t="s">
        <v>644</v>
      </c>
      <c r="D53" s="2406"/>
      <c r="E53" s="2406"/>
      <c r="F53" s="347" t="s">
        <v>1131</v>
      </c>
    </row>
    <row r="54" spans="1:6" ht="12.75" x14ac:dyDescent="0.2">
      <c r="A54" s="325"/>
      <c r="B54" s="554"/>
      <c r="C54" s="2405" t="s">
        <v>592</v>
      </c>
      <c r="D54" s="2405"/>
      <c r="E54" s="2405"/>
      <c r="F54" s="348" t="s">
        <v>1131</v>
      </c>
    </row>
    <row r="55" spans="1:6" ht="12.75" x14ac:dyDescent="0.2">
      <c r="A55" s="325"/>
      <c r="B55" s="2407" t="s">
        <v>982</v>
      </c>
      <c r="C55" s="2408"/>
      <c r="D55" s="2408"/>
      <c r="E55" s="2408"/>
      <c r="F55" s="2408"/>
    </row>
    <row r="56" spans="1:6" ht="51" x14ac:dyDescent="0.2">
      <c r="B56" s="553" t="s">
        <v>652</v>
      </c>
      <c r="C56" s="338" t="s">
        <v>983</v>
      </c>
      <c r="D56" s="338" t="s">
        <v>984</v>
      </c>
      <c r="E56" s="339" t="s">
        <v>985</v>
      </c>
      <c r="F56" s="340" t="s">
        <v>635</v>
      </c>
    </row>
    <row r="57" spans="1:6" ht="51" x14ac:dyDescent="0.2">
      <c r="A57" s="341"/>
      <c r="B57" s="555" t="s">
        <v>653</v>
      </c>
      <c r="C57" s="342" t="s">
        <v>986</v>
      </c>
      <c r="D57" s="342" t="s">
        <v>987</v>
      </c>
      <c r="E57" s="343" t="s">
        <v>988</v>
      </c>
      <c r="F57" s="344" t="s">
        <v>989</v>
      </c>
    </row>
    <row r="58" spans="1:6" ht="51" x14ac:dyDescent="0.2">
      <c r="A58" s="341"/>
      <c r="B58" s="555" t="s">
        <v>654</v>
      </c>
      <c r="C58" s="342" t="s">
        <v>990</v>
      </c>
      <c r="D58" s="342" t="s">
        <v>991</v>
      </c>
      <c r="E58" s="343" t="s">
        <v>992</v>
      </c>
      <c r="F58" s="344" t="s">
        <v>993</v>
      </c>
    </row>
    <row r="59" spans="1:6" ht="51" x14ac:dyDescent="0.2">
      <c r="A59" s="341"/>
      <c r="B59" s="555" t="s">
        <v>655</v>
      </c>
      <c r="C59" s="342" t="s">
        <v>994</v>
      </c>
      <c r="D59" s="342" t="s">
        <v>995</v>
      </c>
      <c r="E59" s="343" t="s">
        <v>996</v>
      </c>
      <c r="F59" s="344" t="s">
        <v>997</v>
      </c>
    </row>
    <row r="60" spans="1:6" ht="51" x14ac:dyDescent="0.2">
      <c r="A60" s="341"/>
      <c r="B60" s="555" t="s">
        <v>656</v>
      </c>
      <c r="C60" s="342" t="s">
        <v>998</v>
      </c>
      <c r="D60" s="342" t="s">
        <v>999</v>
      </c>
      <c r="E60" s="343" t="s">
        <v>1000</v>
      </c>
      <c r="F60" s="344" t="s">
        <v>1001</v>
      </c>
    </row>
    <row r="61" spans="1:6" ht="51" x14ac:dyDescent="0.2">
      <c r="A61" s="341"/>
      <c r="B61" s="555" t="s">
        <v>657</v>
      </c>
      <c r="C61" s="342" t="s">
        <v>1002</v>
      </c>
      <c r="D61" s="342" t="s">
        <v>1003</v>
      </c>
      <c r="E61" s="343" t="s">
        <v>1004</v>
      </c>
      <c r="F61" s="344" t="s">
        <v>1005</v>
      </c>
    </row>
    <row r="62" spans="1:6" ht="51" x14ac:dyDescent="0.2">
      <c r="A62" s="341"/>
      <c r="B62" s="555" t="s">
        <v>658</v>
      </c>
      <c r="C62" s="342" t="s">
        <v>1006</v>
      </c>
      <c r="D62" s="342" t="s">
        <v>1007</v>
      </c>
      <c r="E62" s="343" t="s">
        <v>1008</v>
      </c>
      <c r="F62" s="344" t="s">
        <v>1009</v>
      </c>
    </row>
    <row r="63" spans="1:6" ht="51" x14ac:dyDescent="0.2">
      <c r="A63" s="341"/>
      <c r="B63" s="555" t="s">
        <v>659</v>
      </c>
      <c r="C63" s="342" t="s">
        <v>1010</v>
      </c>
      <c r="D63" s="342" t="s">
        <v>1011</v>
      </c>
      <c r="E63" s="343" t="s">
        <v>1012</v>
      </c>
      <c r="F63" s="344" t="s">
        <v>1013</v>
      </c>
    </row>
    <row r="64" spans="1:6" ht="51" x14ac:dyDescent="0.2">
      <c r="A64" s="341"/>
      <c r="B64" s="555" t="s">
        <v>660</v>
      </c>
      <c r="C64" s="342" t="s">
        <v>1014</v>
      </c>
      <c r="D64" s="342" t="s">
        <v>1015</v>
      </c>
      <c r="E64" s="343" t="s">
        <v>1016</v>
      </c>
      <c r="F64" s="344" t="s">
        <v>1017</v>
      </c>
    </row>
    <row r="65" spans="1:6" ht="51" x14ac:dyDescent="0.2">
      <c r="A65" s="341"/>
      <c r="B65" s="555" t="s">
        <v>915</v>
      </c>
      <c r="C65" s="342" t="s">
        <v>1018</v>
      </c>
      <c r="D65" s="342" t="s">
        <v>1019</v>
      </c>
      <c r="E65" s="343" t="s">
        <v>1020</v>
      </c>
      <c r="F65" s="344" t="s">
        <v>1021</v>
      </c>
    </row>
    <row r="66" spans="1:6" ht="12.75" x14ac:dyDescent="0.2">
      <c r="A66" s="337"/>
      <c r="B66" s="345"/>
      <c r="C66" s="2411" t="s">
        <v>1022</v>
      </c>
      <c r="D66" s="2411"/>
      <c r="E66" s="2411"/>
      <c r="F66" s="346"/>
    </row>
    <row r="67" spans="1:6" ht="12.75" x14ac:dyDescent="0.2">
      <c r="A67" s="325"/>
      <c r="B67" s="554"/>
      <c r="C67" s="2406" t="s">
        <v>1023</v>
      </c>
      <c r="D67" s="2406"/>
      <c r="E67" s="2406"/>
      <c r="F67" s="347" t="s">
        <v>1024</v>
      </c>
    </row>
    <row r="68" spans="1:6" ht="24" customHeight="1" x14ac:dyDescent="0.2">
      <c r="A68" s="325"/>
      <c r="B68" s="554"/>
      <c r="C68" s="2406" t="s">
        <v>644</v>
      </c>
      <c r="D68" s="2406"/>
      <c r="E68" s="2406"/>
      <c r="F68" s="347" t="s">
        <v>1025</v>
      </c>
    </row>
    <row r="69" spans="1:6" ht="12.75" x14ac:dyDescent="0.2">
      <c r="A69" s="325"/>
      <c r="B69" s="554"/>
      <c r="C69" s="2405" t="s">
        <v>1026</v>
      </c>
      <c r="D69" s="2405"/>
      <c r="E69" s="2405"/>
      <c r="F69" s="348" t="s">
        <v>1025</v>
      </c>
    </row>
    <row r="70" spans="1:6" ht="12.75" x14ac:dyDescent="0.2">
      <c r="A70" s="325"/>
      <c r="B70" s="2407" t="s">
        <v>1027</v>
      </c>
      <c r="C70" s="2408"/>
      <c r="D70" s="2408"/>
      <c r="E70" s="2408"/>
      <c r="F70" s="2408"/>
    </row>
    <row r="71" spans="1:6" ht="51" x14ac:dyDescent="0.2">
      <c r="B71" s="553" t="s">
        <v>916</v>
      </c>
      <c r="C71" s="338" t="s">
        <v>1028</v>
      </c>
      <c r="D71" s="338" t="s">
        <v>1029</v>
      </c>
      <c r="E71" s="339" t="s">
        <v>1030</v>
      </c>
      <c r="F71" s="340" t="s">
        <v>1031</v>
      </c>
    </row>
    <row r="72" spans="1:6" ht="76.5" x14ac:dyDescent="0.2">
      <c r="A72" s="341"/>
      <c r="B72" s="555" t="s">
        <v>917</v>
      </c>
      <c r="C72" s="342" t="s">
        <v>1032</v>
      </c>
      <c r="D72" s="342" t="s">
        <v>1033</v>
      </c>
      <c r="E72" s="343" t="s">
        <v>1034</v>
      </c>
      <c r="F72" s="344" t="s">
        <v>1035</v>
      </c>
    </row>
    <row r="73" spans="1:6" ht="51" x14ac:dyDescent="0.2">
      <c r="A73" s="341"/>
      <c r="B73" s="555" t="s">
        <v>918</v>
      </c>
      <c r="C73" s="342" t="s">
        <v>1036</v>
      </c>
      <c r="D73" s="342" t="s">
        <v>1037</v>
      </c>
      <c r="E73" s="343" t="s">
        <v>1038</v>
      </c>
      <c r="F73" s="344" t="s">
        <v>1039</v>
      </c>
    </row>
    <row r="74" spans="1:6" ht="51" x14ac:dyDescent="0.2">
      <c r="A74" s="341"/>
      <c r="B74" s="555" t="s">
        <v>919</v>
      </c>
      <c r="C74" s="342" t="s">
        <v>1040</v>
      </c>
      <c r="D74" s="342" t="s">
        <v>1041</v>
      </c>
      <c r="E74" s="343" t="s">
        <v>1042</v>
      </c>
      <c r="F74" s="344" t="s">
        <v>1043</v>
      </c>
    </row>
    <row r="75" spans="1:6" ht="51" x14ac:dyDescent="0.2">
      <c r="A75" s="341"/>
      <c r="B75" s="555" t="s">
        <v>920</v>
      </c>
      <c r="C75" s="342" t="s">
        <v>1044</v>
      </c>
      <c r="D75" s="342" t="s">
        <v>1045</v>
      </c>
      <c r="E75" s="343" t="s">
        <v>1046</v>
      </c>
      <c r="F75" s="344" t="s">
        <v>1047</v>
      </c>
    </row>
    <row r="76" spans="1:6" ht="51" x14ac:dyDescent="0.2">
      <c r="A76" s="341"/>
      <c r="B76" s="555" t="s">
        <v>1048</v>
      </c>
      <c r="C76" s="342" t="s">
        <v>1049</v>
      </c>
      <c r="D76" s="342" t="s">
        <v>1050</v>
      </c>
      <c r="E76" s="343" t="s">
        <v>1051</v>
      </c>
      <c r="F76" s="344" t="s">
        <v>1052</v>
      </c>
    </row>
    <row r="77" spans="1:6" ht="51" x14ac:dyDescent="0.2">
      <c r="A77" s="341"/>
      <c r="B77" s="555" t="s">
        <v>1053</v>
      </c>
      <c r="C77" s="342" t="s">
        <v>1054</v>
      </c>
      <c r="D77" s="342" t="s">
        <v>1055</v>
      </c>
      <c r="E77" s="343" t="s">
        <v>1056</v>
      </c>
      <c r="F77" s="344" t="s">
        <v>1057</v>
      </c>
    </row>
    <row r="78" spans="1:6" ht="51" x14ac:dyDescent="0.2">
      <c r="A78" s="341"/>
      <c r="B78" s="555" t="s">
        <v>1058</v>
      </c>
      <c r="C78" s="342" t="s">
        <v>1059</v>
      </c>
      <c r="D78" s="342" t="s">
        <v>1060</v>
      </c>
      <c r="E78" s="343" t="s">
        <v>1061</v>
      </c>
      <c r="F78" s="344" t="s">
        <v>1062</v>
      </c>
    </row>
    <row r="79" spans="1:6" ht="63.75" x14ac:dyDescent="0.2">
      <c r="A79" s="341"/>
      <c r="B79" s="555" t="s">
        <v>1063</v>
      </c>
      <c r="C79" s="342" t="s">
        <v>1064</v>
      </c>
      <c r="D79" s="342" t="s">
        <v>1065</v>
      </c>
      <c r="E79" s="343" t="s">
        <v>1066</v>
      </c>
      <c r="F79" s="344" t="s">
        <v>1067</v>
      </c>
    </row>
    <row r="80" spans="1:6" ht="63.75" x14ac:dyDescent="0.2">
      <c r="A80" s="341"/>
      <c r="B80" s="555" t="s">
        <v>1068</v>
      </c>
      <c r="C80" s="342" t="s">
        <v>1069</v>
      </c>
      <c r="D80" s="342" t="s">
        <v>1070</v>
      </c>
      <c r="E80" s="343" t="s">
        <v>1071</v>
      </c>
      <c r="F80" s="344" t="s">
        <v>1072</v>
      </c>
    </row>
    <row r="81" spans="1:6" ht="51" x14ac:dyDescent="0.2">
      <c r="A81" s="341"/>
      <c r="B81" s="555" t="s">
        <v>1073</v>
      </c>
      <c r="C81" s="342" t="s">
        <v>1074</v>
      </c>
      <c r="D81" s="342" t="s">
        <v>1075</v>
      </c>
      <c r="E81" s="343" t="s">
        <v>1076</v>
      </c>
      <c r="F81" s="344" t="s">
        <v>1077</v>
      </c>
    </row>
    <row r="82" spans="1:6" ht="63.75" x14ac:dyDescent="0.2">
      <c r="A82" s="341"/>
      <c r="B82" s="555" t="s">
        <v>1078</v>
      </c>
      <c r="C82" s="342" t="s">
        <v>1079</v>
      </c>
      <c r="D82" s="342" t="s">
        <v>1080</v>
      </c>
      <c r="E82" s="343" t="s">
        <v>1081</v>
      </c>
      <c r="F82" s="344" t="s">
        <v>1082</v>
      </c>
    </row>
    <row r="83" spans="1:6" ht="12.75" x14ac:dyDescent="0.2">
      <c r="A83" s="337"/>
      <c r="B83" s="345"/>
      <c r="C83" s="2411" t="s">
        <v>1083</v>
      </c>
      <c r="D83" s="2411"/>
      <c r="E83" s="2411"/>
      <c r="F83" s="346"/>
    </row>
    <row r="84" spans="1:6" ht="12.75" x14ac:dyDescent="0.2">
      <c r="A84" s="325"/>
      <c r="B84" s="554"/>
      <c r="C84" s="2406" t="s">
        <v>1084</v>
      </c>
      <c r="D84" s="2406"/>
      <c r="E84" s="2406"/>
      <c r="F84" s="347" t="s">
        <v>1085</v>
      </c>
    </row>
    <row r="85" spans="1:6" ht="24" customHeight="1" x14ac:dyDescent="0.2">
      <c r="A85" s="325"/>
      <c r="B85" s="554"/>
      <c r="C85" s="2406" t="s">
        <v>644</v>
      </c>
      <c r="D85" s="2406"/>
      <c r="E85" s="2406"/>
      <c r="F85" s="347" t="s">
        <v>1086</v>
      </c>
    </row>
    <row r="86" spans="1:6" ht="12.75" x14ac:dyDescent="0.2">
      <c r="A86" s="325"/>
      <c r="B86" s="554"/>
      <c r="C86" s="2405" t="s">
        <v>1087</v>
      </c>
      <c r="D86" s="2405"/>
      <c r="E86" s="2405"/>
      <c r="F86" s="348" t="s">
        <v>1086</v>
      </c>
    </row>
    <row r="87" spans="1:6" ht="12.75" x14ac:dyDescent="0.2">
      <c r="A87" s="325"/>
      <c r="B87" s="2407" t="s">
        <v>609</v>
      </c>
      <c r="C87" s="2408"/>
      <c r="D87" s="2408"/>
      <c r="E87" s="2408"/>
      <c r="F87" s="2408"/>
    </row>
    <row r="88" spans="1:6" ht="63.75" x14ac:dyDescent="0.2">
      <c r="B88" s="553" t="s">
        <v>1088</v>
      </c>
      <c r="C88" s="338" t="s">
        <v>1089</v>
      </c>
      <c r="D88" s="338" t="s">
        <v>1090</v>
      </c>
      <c r="E88" s="339" t="s">
        <v>1132</v>
      </c>
      <c r="F88" s="340" t="s">
        <v>1133</v>
      </c>
    </row>
    <row r="89" spans="1:6" ht="51" x14ac:dyDescent="0.2">
      <c r="A89" s="341"/>
      <c r="B89" s="555" t="s">
        <v>1093</v>
      </c>
      <c r="C89" s="342" t="s">
        <v>1094</v>
      </c>
      <c r="D89" s="342" t="s">
        <v>1095</v>
      </c>
      <c r="E89" s="343" t="s">
        <v>1134</v>
      </c>
      <c r="F89" s="344" t="s">
        <v>1135</v>
      </c>
    </row>
    <row r="90" spans="1:6" ht="51" x14ac:dyDescent="0.2">
      <c r="A90" s="341"/>
      <c r="B90" s="2409" t="s">
        <v>1098</v>
      </c>
      <c r="C90" s="342" t="s">
        <v>1099</v>
      </c>
      <c r="D90" s="342" t="s">
        <v>1100</v>
      </c>
      <c r="E90" s="343" t="s">
        <v>1136</v>
      </c>
      <c r="F90" s="344" t="s">
        <v>1137</v>
      </c>
    </row>
    <row r="91" spans="1:6" ht="76.5" x14ac:dyDescent="0.2">
      <c r="B91" s="2410"/>
      <c r="C91" s="338"/>
      <c r="D91" s="338" t="s">
        <v>1103</v>
      </c>
      <c r="E91" s="339"/>
      <c r="F91" s="340" t="s">
        <v>522</v>
      </c>
    </row>
    <row r="92" spans="1:6" ht="12.75" x14ac:dyDescent="0.2">
      <c r="A92" s="337"/>
      <c r="B92" s="345"/>
      <c r="C92" s="2411" t="s">
        <v>610</v>
      </c>
      <c r="D92" s="2411"/>
      <c r="E92" s="2411"/>
      <c r="F92" s="346"/>
    </row>
    <row r="93" spans="1:6" ht="12.75" x14ac:dyDescent="0.2">
      <c r="A93" s="325"/>
      <c r="B93" s="554"/>
      <c r="C93" s="2406" t="s">
        <v>1104</v>
      </c>
      <c r="D93" s="2406"/>
      <c r="E93" s="2406"/>
      <c r="F93" s="347" t="s">
        <v>1138</v>
      </c>
    </row>
    <row r="94" spans="1:6" ht="24" customHeight="1" x14ac:dyDescent="0.2">
      <c r="A94" s="325"/>
      <c r="B94" s="554"/>
      <c r="C94" s="2406" t="s">
        <v>644</v>
      </c>
      <c r="D94" s="2406"/>
      <c r="E94" s="2406"/>
      <c r="F94" s="347" t="s">
        <v>1139</v>
      </c>
    </row>
    <row r="95" spans="1:6" ht="12.75" x14ac:dyDescent="0.2">
      <c r="A95" s="325"/>
      <c r="B95" s="554"/>
      <c r="C95" s="2405" t="s">
        <v>611</v>
      </c>
      <c r="D95" s="2405"/>
      <c r="E95" s="2405"/>
      <c r="F95" s="348" t="s">
        <v>1139</v>
      </c>
    </row>
    <row r="96" spans="1:6" ht="12.75" x14ac:dyDescent="0.2">
      <c r="A96" s="325"/>
      <c r="B96" s="554"/>
      <c r="C96" s="2405" t="s">
        <v>921</v>
      </c>
      <c r="D96" s="2405"/>
      <c r="E96" s="2405"/>
      <c r="F96" s="348"/>
    </row>
    <row r="97" spans="1:6" ht="12.75" x14ac:dyDescent="0.2">
      <c r="A97" s="325"/>
      <c r="B97" s="554"/>
      <c r="C97" s="2406" t="s">
        <v>1107</v>
      </c>
      <c r="D97" s="2406"/>
      <c r="E97" s="2406"/>
      <c r="F97" s="347" t="s">
        <v>1140</v>
      </c>
    </row>
    <row r="98" spans="1:6" ht="24" customHeight="1" x14ac:dyDescent="0.2">
      <c r="A98" s="325"/>
      <c r="B98" s="554"/>
      <c r="C98" s="2406" t="s">
        <v>644</v>
      </c>
      <c r="D98" s="2406"/>
      <c r="E98" s="2406"/>
      <c r="F98" s="347" t="s">
        <v>1141</v>
      </c>
    </row>
    <row r="99" spans="1:6" ht="12.75" x14ac:dyDescent="0.2">
      <c r="A99" s="325"/>
      <c r="B99" s="554"/>
      <c r="C99" s="2405" t="s">
        <v>593</v>
      </c>
      <c r="D99" s="2405"/>
      <c r="E99" s="2405"/>
      <c r="F99" s="354">
        <v>16807964.829999998</v>
      </c>
    </row>
    <row r="100" spans="1:6" ht="12.75" x14ac:dyDescent="0.2">
      <c r="B100" s="349"/>
      <c r="C100" s="556"/>
      <c r="D100" s="556"/>
      <c r="E100" s="350"/>
      <c r="F100" s="351"/>
    </row>
    <row r="101" spans="1:6" ht="12.75" x14ac:dyDescent="0.2">
      <c r="B101" s="329"/>
      <c r="C101" s="329"/>
      <c r="D101" s="329"/>
      <c r="E101" s="329"/>
      <c r="F101" s="329"/>
    </row>
    <row r="102" spans="1:6" ht="12.75" x14ac:dyDescent="0.2">
      <c r="B102" s="329"/>
      <c r="C102" s="329"/>
      <c r="D102" s="329"/>
      <c r="E102" s="329"/>
      <c r="F102" s="329"/>
    </row>
    <row r="103" spans="1:6" ht="12.75" x14ac:dyDescent="0.2">
      <c r="B103" s="352" t="s">
        <v>661</v>
      </c>
      <c r="D103" s="352"/>
    </row>
    <row r="104" spans="1:6" ht="12.75" x14ac:dyDescent="0.2">
      <c r="B104" s="352" t="s">
        <v>662</v>
      </c>
      <c r="D104" s="352"/>
    </row>
    <row r="105" spans="1:6" ht="12.75" x14ac:dyDescent="0.2">
      <c r="B105" s="352" t="s">
        <v>663</v>
      </c>
      <c r="D105" s="352"/>
    </row>
    <row r="106" spans="1:6" ht="12.75" x14ac:dyDescent="0.2">
      <c r="B106" s="352" t="s">
        <v>664</v>
      </c>
      <c r="D106" s="352"/>
    </row>
    <row r="108" spans="1:6" ht="12.75" x14ac:dyDescent="0.2">
      <c r="B108" s="353"/>
    </row>
    <row r="110" spans="1:6" ht="12.75" x14ac:dyDescent="0.2"/>
    <row r="111" spans="1:6" ht="12.75" x14ac:dyDescent="0.2"/>
    <row r="116" ht="12.75" x14ac:dyDescent="0.2"/>
  </sheetData>
  <mergeCells count="42">
    <mergeCell ref="B8:E8"/>
    <mergeCell ref="B2:C2"/>
    <mergeCell ref="D3:F3"/>
    <mergeCell ref="B4:F4"/>
    <mergeCell ref="B5:E5"/>
    <mergeCell ref="B7:F7"/>
    <mergeCell ref="B47:B50"/>
    <mergeCell ref="C11:F11"/>
    <mergeCell ref="C13:F13"/>
    <mergeCell ref="B19:F19"/>
    <mergeCell ref="B20:B22"/>
    <mergeCell ref="B23:B25"/>
    <mergeCell ref="B26:B28"/>
    <mergeCell ref="B29:B32"/>
    <mergeCell ref="B33:B36"/>
    <mergeCell ref="B37:B39"/>
    <mergeCell ref="B40:B43"/>
    <mergeCell ref="B44:B46"/>
    <mergeCell ref="C84:E84"/>
    <mergeCell ref="C51:E51"/>
    <mergeCell ref="C52:E52"/>
    <mergeCell ref="C53:E53"/>
    <mergeCell ref="C54:E54"/>
    <mergeCell ref="B55:F55"/>
    <mergeCell ref="C66:E66"/>
    <mergeCell ref="C67:E67"/>
    <mergeCell ref="C68:E68"/>
    <mergeCell ref="C69:E69"/>
    <mergeCell ref="B70:F70"/>
    <mergeCell ref="C83:E83"/>
    <mergeCell ref="C99:E99"/>
    <mergeCell ref="C85:E85"/>
    <mergeCell ref="C86:E86"/>
    <mergeCell ref="B87:F87"/>
    <mergeCell ref="B90:B91"/>
    <mergeCell ref="C92:E92"/>
    <mergeCell ref="C93:E93"/>
    <mergeCell ref="C94:E94"/>
    <mergeCell ref="C95:E95"/>
    <mergeCell ref="C96:E96"/>
    <mergeCell ref="C97:E97"/>
    <mergeCell ref="C98:E98"/>
  </mergeCells>
  <pageMargins left="0.35433071851730302" right="0.23622047901153601" top="0.74803149700164795" bottom="0.74803149700164795" header="0.31496062874794001" footer="0.31496062874794001"/>
  <pageSetup paperSize="9" fitToHeight="0" orientation="landscape"/>
  <headerFooter>
    <oddFooter>&amp;R&amp;P</oddFooter>
  </headerFooter>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X51"/>
  <sheetViews>
    <sheetView showRuler="0" topLeftCell="A38" workbookViewId="0">
      <selection activeCell="G23" sqref="G23:I23"/>
    </sheetView>
  </sheetViews>
  <sheetFormatPr defaultRowHeight="15" x14ac:dyDescent="0.25"/>
  <cols>
    <col min="1" max="1" width="6.42578125" style="1721" customWidth="1"/>
    <col min="2" max="14" width="8" style="1721" customWidth="1"/>
    <col min="15" max="16" width="30.85546875" style="1721" customWidth="1"/>
    <col min="17" max="50" width="8" style="1721" customWidth="1"/>
    <col min="51" max="16384" width="9.140625" style="1445"/>
  </cols>
  <sheetData>
    <row r="1" spans="1:16" ht="27.2" customHeight="1" x14ac:dyDescent="0.25">
      <c r="A1" s="2437" t="s">
        <v>6304</v>
      </c>
      <c r="B1" s="2437"/>
      <c r="C1" s="2437"/>
      <c r="D1" s="2437"/>
      <c r="E1" s="2438" t="s">
        <v>6469</v>
      </c>
      <c r="F1" s="2438"/>
      <c r="G1" s="2438"/>
      <c r="H1" s="2438"/>
      <c r="I1" s="2438"/>
      <c r="J1" s="2438"/>
      <c r="K1" s="2438"/>
      <c r="L1" s="2438"/>
      <c r="M1" s="2438"/>
      <c r="N1" s="2438"/>
      <c r="O1" s="2438"/>
      <c r="P1" s="2438"/>
    </row>
    <row r="2" spans="1:16" ht="15" customHeight="1" x14ac:dyDescent="0.25"/>
    <row r="3" spans="1:16" ht="15" customHeight="1" x14ac:dyDescent="0.25">
      <c r="A3" s="2430" t="s">
        <v>6470</v>
      </c>
      <c r="B3" s="2430"/>
      <c r="C3" s="2430"/>
      <c r="D3" s="2430"/>
      <c r="E3" s="2430"/>
      <c r="F3" s="2430"/>
      <c r="G3" s="2430"/>
      <c r="H3" s="2430"/>
      <c r="I3" s="2430"/>
      <c r="J3" s="2430"/>
      <c r="K3" s="2430"/>
      <c r="L3" s="2430"/>
      <c r="M3" s="2430"/>
      <c r="N3" s="2430"/>
      <c r="O3" s="2430"/>
      <c r="P3" s="2430"/>
    </row>
    <row r="4" spans="1:16" ht="15" customHeight="1" x14ac:dyDescent="0.25">
      <c r="A4" s="2439" t="s">
        <v>4326</v>
      </c>
      <c r="B4" s="2439"/>
      <c r="C4" s="2439"/>
      <c r="D4" s="2439"/>
      <c r="E4" s="2439"/>
      <c r="F4" s="2439"/>
      <c r="G4" s="2439"/>
      <c r="H4" s="2439"/>
      <c r="I4" s="2439"/>
      <c r="J4" s="2439"/>
      <c r="K4" s="2439"/>
      <c r="L4" s="2439"/>
      <c r="M4" s="2439"/>
      <c r="N4" s="2439"/>
      <c r="O4" s="2439"/>
      <c r="P4" s="2439"/>
    </row>
    <row r="5" spans="1:16" ht="15" customHeight="1" x14ac:dyDescent="0.25"/>
    <row r="6" spans="1:16" ht="15" customHeight="1" x14ac:dyDescent="0.25">
      <c r="A6" s="2430" t="s">
        <v>6471</v>
      </c>
      <c r="B6" s="2430"/>
      <c r="C6" s="2430"/>
      <c r="D6" s="2430"/>
      <c r="E6" s="2430"/>
      <c r="F6" s="2430"/>
      <c r="G6" s="2430"/>
      <c r="H6" s="2430"/>
      <c r="I6" s="2430"/>
      <c r="J6" s="2430"/>
      <c r="K6" s="2430"/>
      <c r="L6" s="2430"/>
      <c r="M6" s="2430"/>
      <c r="N6" s="2430"/>
      <c r="O6" s="2430"/>
      <c r="P6" s="2430"/>
    </row>
    <row r="7" spans="1:16" ht="15" customHeight="1" x14ac:dyDescent="0.25">
      <c r="A7" s="2424" t="s">
        <v>6472</v>
      </c>
      <c r="B7" s="2424"/>
      <c r="C7" s="2424"/>
      <c r="D7" s="2424"/>
      <c r="E7" s="2424"/>
      <c r="F7" s="2424"/>
      <c r="G7" s="2424"/>
      <c r="H7" s="2424"/>
      <c r="I7" s="2424"/>
      <c r="J7" s="2424"/>
      <c r="K7" s="2424"/>
      <c r="L7" s="2424"/>
      <c r="M7" s="2424"/>
      <c r="N7" s="2424"/>
      <c r="O7" s="2424"/>
      <c r="P7" s="2424"/>
    </row>
    <row r="8" spans="1:16" ht="15" customHeight="1" x14ac:dyDescent="0.25"/>
    <row r="9" spans="1:16" ht="15" customHeight="1" x14ac:dyDescent="0.25">
      <c r="A9" s="2430" t="s">
        <v>6141</v>
      </c>
      <c r="B9" s="2430"/>
      <c r="C9" s="2430"/>
      <c r="D9" s="2430"/>
      <c r="E9" s="2430"/>
      <c r="F9" s="2430"/>
      <c r="G9" s="2430"/>
      <c r="H9" s="2430"/>
      <c r="I9" s="2430"/>
      <c r="J9" s="2430"/>
      <c r="K9" s="2430"/>
      <c r="L9" s="2430"/>
      <c r="M9" s="2430"/>
      <c r="N9" s="2430"/>
      <c r="O9" s="2430"/>
      <c r="P9" s="2430"/>
    </row>
    <row r="10" spans="1:16" ht="15" customHeight="1" x14ac:dyDescent="0.25">
      <c r="A10" s="2424" t="s">
        <v>772</v>
      </c>
      <c r="B10" s="2424"/>
      <c r="C10" s="2424"/>
      <c r="D10" s="2424"/>
      <c r="E10" s="2424"/>
      <c r="F10" s="2424"/>
      <c r="G10" s="2424"/>
      <c r="H10" s="2424"/>
      <c r="I10" s="2424"/>
      <c r="J10" s="2424"/>
      <c r="K10" s="2424"/>
      <c r="L10" s="2424"/>
      <c r="M10" s="2424"/>
      <c r="N10" s="2424"/>
      <c r="O10" s="2424"/>
      <c r="P10" s="2424"/>
    </row>
    <row r="11" spans="1:16" ht="15" customHeight="1" x14ac:dyDescent="0.25"/>
    <row r="12" spans="1:16" ht="15" customHeight="1" x14ac:dyDescent="0.25">
      <c r="A12" s="2427" t="s">
        <v>6473</v>
      </c>
      <c r="B12" s="2427"/>
      <c r="C12" s="2427"/>
      <c r="D12" s="2427"/>
      <c r="E12" s="2427"/>
      <c r="F12" s="2427"/>
      <c r="G12" s="2427"/>
      <c r="H12" s="2427"/>
      <c r="I12" s="2427"/>
      <c r="J12" s="2427"/>
      <c r="K12" s="2427"/>
      <c r="L12" s="2427"/>
      <c r="M12" s="2427"/>
      <c r="N12" s="2427"/>
      <c r="O12" s="2427"/>
      <c r="P12" s="2427"/>
    </row>
    <row r="13" spans="1:16" ht="15" customHeight="1" x14ac:dyDescent="0.25"/>
    <row r="14" spans="1:16" ht="15" customHeight="1" x14ac:dyDescent="0.25">
      <c r="A14" s="2427" t="s">
        <v>6311</v>
      </c>
      <c r="B14" s="2427"/>
      <c r="C14" s="2427"/>
      <c r="D14" s="2427"/>
      <c r="E14" s="2427"/>
      <c r="F14" s="2427"/>
      <c r="G14" s="2427"/>
      <c r="H14" s="2427"/>
      <c r="I14" s="2427"/>
      <c r="J14" s="2427"/>
      <c r="K14" s="2427"/>
      <c r="L14" s="2427"/>
      <c r="M14" s="2427"/>
      <c r="N14" s="2427"/>
      <c r="O14" s="2427"/>
      <c r="P14" s="2427"/>
    </row>
    <row r="15" spans="1:16" ht="15" customHeight="1" x14ac:dyDescent="0.25"/>
    <row r="16" spans="1:16" ht="122.45" customHeight="1" x14ac:dyDescent="0.25">
      <c r="A16" s="1723" t="s">
        <v>512</v>
      </c>
      <c r="B16" s="2436" t="s">
        <v>527</v>
      </c>
      <c r="C16" s="2436"/>
      <c r="D16" s="2436"/>
      <c r="E16" s="2436"/>
      <c r="F16" s="2436"/>
      <c r="G16" s="2436" t="s">
        <v>4159</v>
      </c>
      <c r="H16" s="2436"/>
      <c r="I16" s="2436"/>
      <c r="J16" s="2436" t="s">
        <v>4160</v>
      </c>
      <c r="K16" s="2436"/>
      <c r="L16" s="2436"/>
      <c r="M16" s="2436" t="s">
        <v>6474</v>
      </c>
      <c r="N16" s="2436"/>
      <c r="O16" s="2436" t="s">
        <v>6312</v>
      </c>
      <c r="P16" s="2436"/>
    </row>
    <row r="17" spans="1:16" ht="15" customHeight="1" x14ac:dyDescent="0.25">
      <c r="A17" s="1723">
        <v>1</v>
      </c>
      <c r="B17" s="2436">
        <v>2</v>
      </c>
      <c r="C17" s="2436"/>
      <c r="D17" s="2436"/>
      <c r="E17" s="2436"/>
      <c r="F17" s="2436"/>
      <c r="G17" s="2436">
        <v>3</v>
      </c>
      <c r="H17" s="2436"/>
      <c r="I17" s="2436"/>
      <c r="J17" s="2436">
        <v>4</v>
      </c>
      <c r="K17" s="2436"/>
      <c r="L17" s="2436"/>
      <c r="M17" s="2436">
        <v>5</v>
      </c>
      <c r="N17" s="2436"/>
      <c r="O17" s="2436">
        <v>6</v>
      </c>
      <c r="P17" s="2436"/>
    </row>
    <row r="18" spans="1:16" ht="15" customHeight="1" x14ac:dyDescent="0.25">
      <c r="A18" s="1725"/>
      <c r="B18" s="2425" t="s">
        <v>6475</v>
      </c>
      <c r="C18" s="2425"/>
      <c r="D18" s="2425"/>
      <c r="E18" s="2425"/>
      <c r="F18" s="2425"/>
      <c r="G18" s="2425"/>
      <c r="H18" s="2425"/>
      <c r="I18" s="2425"/>
      <c r="J18" s="2425"/>
      <c r="K18" s="2425"/>
      <c r="L18" s="2425"/>
      <c r="M18" s="2425"/>
      <c r="N18" s="2425"/>
      <c r="O18" s="2425"/>
      <c r="P18" s="2425"/>
    </row>
    <row r="19" spans="1:16" ht="81.599999999999994" customHeight="1" x14ac:dyDescent="0.25">
      <c r="A19" s="1727" t="s">
        <v>191</v>
      </c>
      <c r="B19" s="2431" t="s">
        <v>6476</v>
      </c>
      <c r="C19" s="2432"/>
      <c r="D19" s="2432"/>
      <c r="E19" s="2432"/>
      <c r="F19" s="2432"/>
      <c r="G19" s="2432" t="s">
        <v>6477</v>
      </c>
      <c r="H19" s="2432"/>
      <c r="I19" s="2432"/>
      <c r="J19" s="2432" t="s">
        <v>6478</v>
      </c>
      <c r="K19" s="2432"/>
      <c r="L19" s="2432"/>
      <c r="M19" s="2433">
        <f>ROUND(35837 * 3 * 1.25 * 0.5, 2)</f>
        <v>67194.38</v>
      </c>
      <c r="N19" s="2432"/>
      <c r="O19" s="2432" t="s">
        <v>588</v>
      </c>
      <c r="P19" s="2432"/>
    </row>
    <row r="20" spans="1:16" ht="15" customHeight="1" x14ac:dyDescent="0.25">
      <c r="A20" s="1739"/>
      <c r="B20" s="2434" t="s">
        <v>4168</v>
      </c>
      <c r="C20" s="2434"/>
      <c r="D20" s="2434"/>
      <c r="E20" s="2434"/>
      <c r="F20" s="2434"/>
      <c r="G20" s="2434" t="s">
        <v>588</v>
      </c>
      <c r="H20" s="2434"/>
      <c r="I20" s="2434"/>
      <c r="J20" s="2434" t="s">
        <v>588</v>
      </c>
      <c r="K20" s="2434"/>
      <c r="L20" s="2434"/>
      <c r="M20" s="2434"/>
      <c r="N20" s="2434"/>
      <c r="O20" s="2434"/>
      <c r="P20" s="2434"/>
    </row>
    <row r="21" spans="1:16" ht="190.35" customHeight="1" x14ac:dyDescent="0.25">
      <c r="A21" s="1740"/>
      <c r="B21" s="2435" t="s">
        <v>6479</v>
      </c>
      <c r="C21" s="2435"/>
      <c r="D21" s="2435"/>
      <c r="E21" s="2435"/>
      <c r="F21" s="2435"/>
      <c r="G21" s="2435" t="s">
        <v>6480</v>
      </c>
      <c r="H21" s="2435"/>
      <c r="I21" s="2435"/>
      <c r="J21" s="2435" t="s">
        <v>588</v>
      </c>
      <c r="K21" s="2435"/>
      <c r="L21" s="2435"/>
      <c r="M21" s="2435"/>
      <c r="N21" s="2435"/>
      <c r="O21" s="2435"/>
      <c r="P21" s="2435"/>
    </row>
    <row r="22" spans="1:16" ht="68.099999999999994" customHeight="1" x14ac:dyDescent="0.25">
      <c r="A22" s="1727" t="s">
        <v>192</v>
      </c>
      <c r="B22" s="2431" t="s">
        <v>6481</v>
      </c>
      <c r="C22" s="2432"/>
      <c r="D22" s="2432"/>
      <c r="E22" s="2432"/>
      <c r="F22" s="2432"/>
      <c r="G22" s="2432" t="s">
        <v>6482</v>
      </c>
      <c r="H22" s="2432"/>
      <c r="I22" s="2432"/>
      <c r="J22" s="2432" t="s">
        <v>6483</v>
      </c>
      <c r="K22" s="2432"/>
      <c r="L22" s="2432"/>
      <c r="M22" s="2433">
        <f>ROUND(26188 * 3 * 1.25, 2)</f>
        <v>98205</v>
      </c>
      <c r="N22" s="2432"/>
      <c r="O22" s="2432" t="s">
        <v>588</v>
      </c>
      <c r="P22" s="2432"/>
    </row>
    <row r="23" spans="1:16" ht="122.45" customHeight="1" x14ac:dyDescent="0.25">
      <c r="A23" s="1727" t="s">
        <v>435</v>
      </c>
      <c r="B23" s="2431" t="s">
        <v>6484</v>
      </c>
      <c r="C23" s="2432"/>
      <c r="D23" s="2432"/>
      <c r="E23" s="2432"/>
      <c r="F23" s="2432"/>
      <c r="G23" s="2432" t="s">
        <v>6485</v>
      </c>
      <c r="H23" s="2432"/>
      <c r="I23" s="2432"/>
      <c r="J23" s="2432" t="s">
        <v>6486</v>
      </c>
      <c r="K23" s="2432"/>
      <c r="L23" s="2432"/>
      <c r="M23" s="2433">
        <f>ROUND(17656 * 1 * 1.25, 2)</f>
        <v>22070</v>
      </c>
      <c r="N23" s="2432"/>
      <c r="O23" s="2432" t="s">
        <v>588</v>
      </c>
      <c r="P23" s="2432"/>
    </row>
    <row r="24" spans="1:16" ht="408" customHeight="1" x14ac:dyDescent="0.25">
      <c r="A24" s="1727" t="s">
        <v>437</v>
      </c>
      <c r="B24" s="2431" t="s">
        <v>6487</v>
      </c>
      <c r="C24" s="2432"/>
      <c r="D24" s="2432"/>
      <c r="E24" s="2432"/>
      <c r="F24" s="2432"/>
      <c r="G24" s="2432" t="s">
        <v>6488</v>
      </c>
      <c r="H24" s="2432"/>
      <c r="I24" s="2432"/>
      <c r="J24" s="2432" t="s">
        <v>6489</v>
      </c>
      <c r="K24" s="2432"/>
      <c r="L24" s="2432"/>
      <c r="M24" s="2433">
        <f>ROUND(24772 * 1 * 1.25, 2)</f>
        <v>30965</v>
      </c>
      <c r="N24" s="2432"/>
      <c r="O24" s="2432" t="s">
        <v>6490</v>
      </c>
      <c r="P24" s="2432"/>
    </row>
    <row r="25" spans="1:16" ht="95.25" customHeight="1" x14ac:dyDescent="0.25">
      <c r="A25" s="1727" t="s">
        <v>440</v>
      </c>
      <c r="B25" s="2431" t="s">
        <v>6491</v>
      </c>
      <c r="C25" s="2432"/>
      <c r="D25" s="2432"/>
      <c r="E25" s="2432"/>
      <c r="F25" s="2432"/>
      <c r="G25" s="2432" t="s">
        <v>6492</v>
      </c>
      <c r="H25" s="2432"/>
      <c r="I25" s="2432"/>
      <c r="J25" s="2432" t="s">
        <v>6493</v>
      </c>
      <c r="K25" s="2432"/>
      <c r="L25" s="2432"/>
      <c r="M25" s="2433">
        <f>ROUND(4882 * 10 * 1.25, 2)</f>
        <v>61025</v>
      </c>
      <c r="N25" s="2432"/>
      <c r="O25" s="2432" t="s">
        <v>588</v>
      </c>
      <c r="P25" s="2432"/>
    </row>
    <row r="26" spans="1:16" ht="15" customHeight="1" x14ac:dyDescent="0.25">
      <c r="A26" s="1725"/>
      <c r="B26" s="2425" t="s">
        <v>6494</v>
      </c>
      <c r="C26" s="2425"/>
      <c r="D26" s="2425"/>
      <c r="E26" s="2425"/>
      <c r="F26" s="2425"/>
      <c r="G26" s="2425"/>
      <c r="H26" s="2425"/>
      <c r="I26" s="2425"/>
      <c r="J26" s="2425" t="s">
        <v>588</v>
      </c>
      <c r="K26" s="2425"/>
      <c r="L26" s="2425"/>
      <c r="M26" s="2426">
        <f>ROUND(SUM($M$19:$M$25),2)</f>
        <v>279459.38</v>
      </c>
      <c r="N26" s="2425"/>
      <c r="O26" s="2425"/>
      <c r="P26" s="2425"/>
    </row>
    <row r="27" spans="1:16" ht="15" customHeight="1" x14ac:dyDescent="0.25">
      <c r="A27" s="1725"/>
      <c r="B27" s="2425" t="s">
        <v>6495</v>
      </c>
      <c r="C27" s="2425"/>
      <c r="D27" s="2425"/>
      <c r="E27" s="2425"/>
      <c r="F27" s="2425"/>
      <c r="G27" s="2425"/>
      <c r="H27" s="2425"/>
      <c r="I27" s="2425"/>
      <c r="J27" s="2425" t="s">
        <v>588</v>
      </c>
      <c r="K27" s="2425"/>
      <c r="L27" s="2425"/>
      <c r="M27" s="2426">
        <f>ROUND(($M$26),2)</f>
        <v>279459.38</v>
      </c>
      <c r="N27" s="2425"/>
      <c r="O27" s="2425"/>
      <c r="P27" s="2425"/>
    </row>
    <row r="28" spans="1:16" ht="15" customHeight="1" x14ac:dyDescent="0.25">
      <c r="A28" s="1725"/>
      <c r="B28" s="2425" t="s">
        <v>6496</v>
      </c>
      <c r="C28" s="2425"/>
      <c r="D28" s="2425"/>
      <c r="E28" s="2425"/>
      <c r="F28" s="2425"/>
      <c r="G28" s="2425"/>
      <c r="H28" s="2425"/>
      <c r="I28" s="2425"/>
      <c r="J28" s="2425"/>
      <c r="K28" s="2425"/>
      <c r="L28" s="2425"/>
      <c r="M28" s="2425"/>
      <c r="N28" s="2425"/>
      <c r="O28" s="2425"/>
      <c r="P28" s="2425"/>
    </row>
    <row r="29" spans="1:16" ht="68.099999999999994" customHeight="1" x14ac:dyDescent="0.25">
      <c r="A29" s="1727" t="s">
        <v>197</v>
      </c>
      <c r="B29" s="2431" t="s">
        <v>6497</v>
      </c>
      <c r="C29" s="2432"/>
      <c r="D29" s="2432"/>
      <c r="E29" s="2432"/>
      <c r="F29" s="2432"/>
      <c r="G29" s="2432" t="s">
        <v>6498</v>
      </c>
      <c r="H29" s="2432"/>
      <c r="I29" s="2432"/>
      <c r="J29" s="2432" t="s">
        <v>6499</v>
      </c>
      <c r="K29" s="2432"/>
      <c r="L29" s="2432"/>
      <c r="M29" s="2433">
        <f>ROUND(1714 * 3 * 1.25, 2)</f>
        <v>6427.5</v>
      </c>
      <c r="N29" s="2432"/>
      <c r="O29" s="2432" t="s">
        <v>588</v>
      </c>
      <c r="P29" s="2432"/>
    </row>
    <row r="30" spans="1:16" ht="96" customHeight="1" x14ac:dyDescent="0.25">
      <c r="A30" s="1727" t="s">
        <v>200</v>
      </c>
      <c r="B30" s="2431" t="s">
        <v>6500</v>
      </c>
      <c r="C30" s="2432"/>
      <c r="D30" s="2432"/>
      <c r="E30" s="2432"/>
      <c r="F30" s="2432"/>
      <c r="G30" s="2432" t="s">
        <v>6501</v>
      </c>
      <c r="H30" s="2432"/>
      <c r="I30" s="2432"/>
      <c r="J30" s="2432" t="s">
        <v>6502</v>
      </c>
      <c r="K30" s="2432"/>
      <c r="L30" s="2432"/>
      <c r="M30" s="2433">
        <f>ROUND((1392 + 2331 * 1) * 1 * 1.25, 2)</f>
        <v>4653.75</v>
      </c>
      <c r="N30" s="2432"/>
      <c r="O30" s="2432" t="s">
        <v>6503</v>
      </c>
      <c r="P30" s="2432"/>
    </row>
    <row r="31" spans="1:16" ht="135.94999999999999" customHeight="1" x14ac:dyDescent="0.25">
      <c r="A31" s="1727" t="s">
        <v>203</v>
      </c>
      <c r="B31" s="2431" t="s">
        <v>6504</v>
      </c>
      <c r="C31" s="2432"/>
      <c r="D31" s="2432"/>
      <c r="E31" s="2432"/>
      <c r="F31" s="2432"/>
      <c r="G31" s="2432" t="s">
        <v>6505</v>
      </c>
      <c r="H31" s="2432"/>
      <c r="I31" s="2432"/>
      <c r="J31" s="2432" t="s">
        <v>6506</v>
      </c>
      <c r="K31" s="2432"/>
      <c r="L31" s="2432"/>
      <c r="M31" s="2433">
        <f>ROUND((643 + 1018 * 1) * 1 * 1.25, 2)</f>
        <v>2076.25</v>
      </c>
      <c r="N31" s="2432"/>
      <c r="O31" s="2432" t="s">
        <v>6507</v>
      </c>
      <c r="P31" s="2432"/>
    </row>
    <row r="32" spans="1:16" ht="95.25" customHeight="1" x14ac:dyDescent="0.25">
      <c r="A32" s="1727" t="s">
        <v>4199</v>
      </c>
      <c r="B32" s="2431" t="s">
        <v>6508</v>
      </c>
      <c r="C32" s="2432"/>
      <c r="D32" s="2432"/>
      <c r="E32" s="2432"/>
      <c r="F32" s="2432"/>
      <c r="G32" s="2432" t="s">
        <v>6509</v>
      </c>
      <c r="H32" s="2432"/>
      <c r="I32" s="2432"/>
      <c r="J32" s="2432" t="s">
        <v>6510</v>
      </c>
      <c r="K32" s="2432"/>
      <c r="L32" s="2432"/>
      <c r="M32" s="2433">
        <f>ROUND(21451 * 4 * 1.25, 2)</f>
        <v>107255</v>
      </c>
      <c r="N32" s="2432"/>
      <c r="O32" s="2432" t="s">
        <v>588</v>
      </c>
      <c r="P32" s="2432"/>
    </row>
    <row r="33" spans="1:16" ht="15" customHeight="1" x14ac:dyDescent="0.25">
      <c r="A33" s="1725"/>
      <c r="B33" s="2425" t="s">
        <v>6511</v>
      </c>
      <c r="C33" s="2425"/>
      <c r="D33" s="2425"/>
      <c r="E33" s="2425"/>
      <c r="F33" s="2425"/>
      <c r="G33" s="2425"/>
      <c r="H33" s="2425"/>
      <c r="I33" s="2425"/>
      <c r="J33" s="2425" t="s">
        <v>588</v>
      </c>
      <c r="K33" s="2425"/>
      <c r="L33" s="2425"/>
      <c r="M33" s="2426">
        <f>ROUND(SUM($M$29:$M$32),2)</f>
        <v>120412.5</v>
      </c>
      <c r="N33" s="2425"/>
      <c r="O33" s="2425"/>
      <c r="P33" s="2425"/>
    </row>
    <row r="34" spans="1:16" ht="15" customHeight="1" x14ac:dyDescent="0.25">
      <c r="A34" s="1725"/>
      <c r="B34" s="2425" t="s">
        <v>6512</v>
      </c>
      <c r="C34" s="2425"/>
      <c r="D34" s="2425"/>
      <c r="E34" s="2425"/>
      <c r="F34" s="2425"/>
      <c r="G34" s="2425"/>
      <c r="H34" s="2425"/>
      <c r="I34" s="2425"/>
      <c r="J34" s="2425" t="s">
        <v>588</v>
      </c>
      <c r="K34" s="2425"/>
      <c r="L34" s="2425"/>
      <c r="M34" s="2426">
        <f>ROUND(($M$33),2)</f>
        <v>120412.5</v>
      </c>
      <c r="N34" s="2425"/>
      <c r="O34" s="2425"/>
      <c r="P34" s="2425"/>
    </row>
    <row r="35" spans="1:16" ht="27.2" customHeight="1" x14ac:dyDescent="0.25">
      <c r="A35" s="1725"/>
      <c r="B35" s="2425" t="s">
        <v>6513</v>
      </c>
      <c r="C35" s="2425"/>
      <c r="D35" s="2425"/>
      <c r="E35" s="2425"/>
      <c r="F35" s="2425"/>
      <c r="G35" s="2425"/>
      <c r="H35" s="2425"/>
      <c r="I35" s="2425"/>
      <c r="J35" s="2425"/>
      <c r="K35" s="2425"/>
      <c r="L35" s="2425"/>
      <c r="M35" s="2425"/>
      <c r="N35" s="2425"/>
      <c r="O35" s="2425"/>
      <c r="P35" s="2425"/>
    </row>
    <row r="36" spans="1:16" ht="221.25" customHeight="1" x14ac:dyDescent="0.25">
      <c r="A36" s="1727" t="s">
        <v>240</v>
      </c>
      <c r="B36" s="2431" t="s">
        <v>6514</v>
      </c>
      <c r="C36" s="2432"/>
      <c r="D36" s="2432"/>
      <c r="E36" s="2432"/>
      <c r="F36" s="2432"/>
      <c r="G36" s="2432" t="s">
        <v>6515</v>
      </c>
      <c r="H36" s="2432"/>
      <c r="I36" s="2432"/>
      <c r="J36" s="2432" t="s">
        <v>6516</v>
      </c>
      <c r="K36" s="2432"/>
      <c r="L36" s="2432"/>
      <c r="M36" s="2433">
        <f>ROUND((13.2 / 100 * 223.5675 * 1 * 1.25) * 1000, 2)</f>
        <v>36888.639999999999</v>
      </c>
      <c r="N36" s="2432"/>
      <c r="O36" s="2432" t="s">
        <v>6517</v>
      </c>
      <c r="P36" s="2432"/>
    </row>
    <row r="37" spans="1:16" ht="108.75" customHeight="1" x14ac:dyDescent="0.25">
      <c r="A37" s="1727" t="s">
        <v>508</v>
      </c>
      <c r="B37" s="2431" t="s">
        <v>6518</v>
      </c>
      <c r="C37" s="2432"/>
      <c r="D37" s="2432"/>
      <c r="E37" s="2432"/>
      <c r="F37" s="2432"/>
      <c r="G37" s="2432" t="s">
        <v>6519</v>
      </c>
      <c r="H37" s="2432"/>
      <c r="I37" s="2432"/>
      <c r="J37" s="2432" t="s">
        <v>6520</v>
      </c>
      <c r="K37" s="2432"/>
      <c r="L37" s="2432"/>
      <c r="M37" s="2433">
        <f>ROUND((30.7 / 100 * 223.5675 * 1 * 1.25) * 1000, 2)</f>
        <v>85794.03</v>
      </c>
      <c r="N37" s="2432"/>
      <c r="O37" s="2432" t="s">
        <v>6521</v>
      </c>
      <c r="P37" s="2432"/>
    </row>
    <row r="38" spans="1:16" ht="135.94999999999999" customHeight="1" x14ac:dyDescent="0.25">
      <c r="A38" s="1727" t="s">
        <v>509</v>
      </c>
      <c r="B38" s="2431" t="s">
        <v>6522</v>
      </c>
      <c r="C38" s="2432"/>
      <c r="D38" s="2432"/>
      <c r="E38" s="2432"/>
      <c r="F38" s="2432"/>
      <c r="G38" s="2432" t="s">
        <v>6523</v>
      </c>
      <c r="H38" s="2432"/>
      <c r="I38" s="2432"/>
      <c r="J38" s="2432" t="s">
        <v>6524</v>
      </c>
      <c r="K38" s="2432"/>
      <c r="L38" s="2432"/>
      <c r="M38" s="2433">
        <v>14186.03</v>
      </c>
      <c r="N38" s="2432"/>
      <c r="O38" s="2432" t="s">
        <v>6525</v>
      </c>
      <c r="P38" s="2432"/>
    </row>
    <row r="39" spans="1:16" ht="135.94999999999999" customHeight="1" x14ac:dyDescent="0.25">
      <c r="A39" s="1727" t="s">
        <v>510</v>
      </c>
      <c r="B39" s="2431" t="s">
        <v>6526</v>
      </c>
      <c r="C39" s="2432"/>
      <c r="D39" s="2432"/>
      <c r="E39" s="2432"/>
      <c r="F39" s="2432"/>
      <c r="G39" s="2432" t="s">
        <v>6527</v>
      </c>
      <c r="H39" s="2432"/>
      <c r="I39" s="2432"/>
      <c r="J39" s="2432" t="s">
        <v>6528</v>
      </c>
      <c r="K39" s="2432"/>
      <c r="L39" s="2432"/>
      <c r="M39" s="2433">
        <v>36740.31</v>
      </c>
      <c r="N39" s="2432"/>
      <c r="O39" s="2432" t="s">
        <v>6529</v>
      </c>
      <c r="P39" s="2432"/>
    </row>
    <row r="40" spans="1:16" ht="27.2" customHeight="1" x14ac:dyDescent="0.25">
      <c r="A40" s="1725"/>
      <c r="B40" s="2425" t="s">
        <v>6530</v>
      </c>
      <c r="C40" s="2425"/>
      <c r="D40" s="2425"/>
      <c r="E40" s="2425"/>
      <c r="F40" s="2425"/>
      <c r="G40" s="2425"/>
      <c r="H40" s="2425"/>
      <c r="I40" s="2425"/>
      <c r="J40" s="2425" t="s">
        <v>588</v>
      </c>
      <c r="K40" s="2425"/>
      <c r="L40" s="2425"/>
      <c r="M40" s="2426">
        <f>ROUND(SUM($M$36:$M$39),2)</f>
        <v>173609.01</v>
      </c>
      <c r="N40" s="2425"/>
      <c r="O40" s="2425"/>
      <c r="P40" s="2425"/>
    </row>
    <row r="41" spans="1:16" ht="27.2" customHeight="1" x14ac:dyDescent="0.25">
      <c r="A41" s="1725"/>
      <c r="B41" s="2425" t="s">
        <v>6531</v>
      </c>
      <c r="C41" s="2425"/>
      <c r="D41" s="2425"/>
      <c r="E41" s="2425"/>
      <c r="F41" s="2425"/>
      <c r="G41" s="2425"/>
      <c r="H41" s="2425"/>
      <c r="I41" s="2425"/>
      <c r="J41" s="2425" t="s">
        <v>588</v>
      </c>
      <c r="K41" s="2425"/>
      <c r="L41" s="2425"/>
      <c r="M41" s="2426">
        <f>ROUND(($M$40),2)</f>
        <v>173609.01</v>
      </c>
      <c r="N41" s="2425"/>
      <c r="O41" s="2425"/>
      <c r="P41" s="2425"/>
    </row>
    <row r="42" spans="1:16" ht="15" customHeight="1" x14ac:dyDescent="0.25">
      <c r="A42" s="1725" t="s">
        <v>232</v>
      </c>
      <c r="B42" s="2425" t="s">
        <v>4218</v>
      </c>
      <c r="C42" s="2425"/>
      <c r="D42" s="2425"/>
      <c r="E42" s="2425"/>
      <c r="F42" s="2425"/>
      <c r="G42" s="2425"/>
      <c r="H42" s="2425"/>
      <c r="I42" s="2425"/>
      <c r="J42" s="2425" t="s">
        <v>588</v>
      </c>
      <c r="K42" s="2425"/>
      <c r="L42" s="2425"/>
      <c r="M42" s="2426">
        <f>ROUND($M$27+$M$34+$M$41,2)</f>
        <v>573480.89</v>
      </c>
      <c r="N42" s="2425"/>
      <c r="O42" s="2425"/>
      <c r="P42" s="2425"/>
    </row>
    <row r="43" spans="1:16" ht="15" customHeight="1" x14ac:dyDescent="0.25">
      <c r="A43" s="1725" t="s">
        <v>233</v>
      </c>
      <c r="B43" s="2425" t="s">
        <v>6295</v>
      </c>
      <c r="C43" s="2425"/>
      <c r="D43" s="2425"/>
      <c r="E43" s="2425"/>
      <c r="F43" s="2425"/>
      <c r="G43" s="2425"/>
      <c r="H43" s="2425"/>
      <c r="I43" s="2425"/>
      <c r="J43" s="2425" t="s">
        <v>588</v>
      </c>
      <c r="K43" s="2425"/>
      <c r="L43" s="2425"/>
      <c r="M43" s="2426">
        <f>ROUND(($M$42),2)</f>
        <v>573480.89</v>
      </c>
      <c r="N43" s="2425"/>
      <c r="O43" s="2425"/>
      <c r="P43" s="2425"/>
    </row>
    <row r="44" spans="1:16" ht="15" customHeight="1" x14ac:dyDescent="0.25"/>
    <row r="45" spans="1:16" ht="30" customHeight="1" x14ac:dyDescent="0.25">
      <c r="A45" s="2427" t="s">
        <v>6297</v>
      </c>
      <c r="B45" s="2427"/>
      <c r="C45" s="2427"/>
      <c r="D45" s="2427"/>
      <c r="E45" s="2427"/>
      <c r="F45" s="2428">
        <f>$M$43</f>
        <v>573480.89</v>
      </c>
      <c r="G45" s="2428"/>
      <c r="H45" s="2428"/>
      <c r="I45" s="2428"/>
      <c r="J45" s="2428"/>
      <c r="K45" s="2428"/>
      <c r="L45" s="2428"/>
      <c r="M45" s="2428"/>
      <c r="N45" s="2428"/>
      <c r="O45" s="2428"/>
      <c r="P45" s="2428"/>
    </row>
    <row r="46" spans="1:16" ht="15" customHeight="1" x14ac:dyDescent="0.25"/>
    <row r="47" spans="1:16" ht="15" customHeight="1" x14ac:dyDescent="0.25">
      <c r="A47" s="2427" t="s">
        <v>6532</v>
      </c>
      <c r="B47" s="2427"/>
      <c r="C47" s="2427"/>
      <c r="D47" s="2429"/>
      <c r="E47" s="2429"/>
      <c r="F47" s="2429"/>
      <c r="G47" s="2429"/>
      <c r="H47" s="2429"/>
      <c r="I47" s="2429"/>
      <c r="J47" s="2429"/>
      <c r="K47" s="2429"/>
      <c r="L47" s="2429"/>
      <c r="M47" s="2429"/>
      <c r="N47" s="2429"/>
      <c r="O47" s="2429"/>
      <c r="P47" s="2429"/>
    </row>
    <row r="48" spans="1:16" ht="15" customHeight="1" x14ac:dyDescent="0.25">
      <c r="D48" s="2424" t="s">
        <v>6533</v>
      </c>
      <c r="E48" s="2424"/>
      <c r="F48" s="2424"/>
      <c r="G48" s="2424"/>
      <c r="H48" s="2424"/>
      <c r="I48" s="2424"/>
      <c r="J48" s="2424"/>
      <c r="K48" s="2424"/>
      <c r="L48" s="2424"/>
      <c r="M48" s="2424"/>
      <c r="N48" s="2424"/>
      <c r="O48" s="2424"/>
      <c r="P48" s="2424"/>
    </row>
    <row r="49" spans="1:16" ht="15" customHeight="1" x14ac:dyDescent="0.25"/>
    <row r="50" spans="1:16" ht="15" customHeight="1" x14ac:dyDescent="0.25">
      <c r="A50" s="2430" t="s">
        <v>6534</v>
      </c>
      <c r="B50" s="2430"/>
      <c r="C50" s="2430"/>
      <c r="D50" s="2429"/>
      <c r="E50" s="2429"/>
      <c r="F50" s="2429"/>
      <c r="G50" s="2429"/>
      <c r="H50" s="2429"/>
      <c r="I50" s="2429"/>
      <c r="J50" s="2429"/>
      <c r="K50" s="2429"/>
      <c r="L50" s="2429"/>
      <c r="M50" s="2429"/>
      <c r="N50" s="2429"/>
      <c r="O50" s="2429"/>
      <c r="P50" s="2429"/>
    </row>
    <row r="51" spans="1:16" x14ac:dyDescent="0.25">
      <c r="D51" s="2424" t="s">
        <v>6533</v>
      </c>
      <c r="E51" s="2424"/>
      <c r="F51" s="2424"/>
      <c r="G51" s="2424"/>
      <c r="H51" s="2424"/>
      <c r="I51" s="2424"/>
      <c r="J51" s="2424"/>
      <c r="K51" s="2424"/>
      <c r="L51" s="2424"/>
      <c r="M51" s="2424"/>
      <c r="N51" s="2424"/>
      <c r="O51" s="2424"/>
      <c r="P51" s="2424"/>
    </row>
  </sheetData>
  <mergeCells count="158">
    <mergeCell ref="A1:D1"/>
    <mergeCell ref="E1:P1"/>
    <mergeCell ref="A3:P3"/>
    <mergeCell ref="A4:P4"/>
    <mergeCell ref="A6:P6"/>
    <mergeCell ref="A7:P7"/>
    <mergeCell ref="A9:P9"/>
    <mergeCell ref="A10:P10"/>
    <mergeCell ref="A12:P12"/>
    <mergeCell ref="A14:P14"/>
    <mergeCell ref="B16:F16"/>
    <mergeCell ref="G16:I16"/>
    <mergeCell ref="J16:L16"/>
    <mergeCell ref="M16:N16"/>
    <mergeCell ref="O16:P16"/>
    <mergeCell ref="B17:F17"/>
    <mergeCell ref="G17:I17"/>
    <mergeCell ref="J17:L17"/>
    <mergeCell ref="M17:N17"/>
    <mergeCell ref="O17:P17"/>
    <mergeCell ref="B18:F18"/>
    <mergeCell ref="G18:I18"/>
    <mergeCell ref="J18:L18"/>
    <mergeCell ref="M18:N18"/>
    <mergeCell ref="O18:P18"/>
    <mergeCell ref="B19:F19"/>
    <mergeCell ref="G19:I19"/>
    <mergeCell ref="J19:L19"/>
    <mergeCell ref="M19:N19"/>
    <mergeCell ref="O19:P19"/>
    <mergeCell ref="B20:F20"/>
    <mergeCell ref="G20:I20"/>
    <mergeCell ref="J20:L20"/>
    <mergeCell ref="M20:N20"/>
    <mergeCell ref="O20:P20"/>
    <mergeCell ref="B21:F21"/>
    <mergeCell ref="G21:I21"/>
    <mergeCell ref="J21:L21"/>
    <mergeCell ref="M21:N21"/>
    <mergeCell ref="O21:P21"/>
    <mergeCell ref="B22:F22"/>
    <mergeCell ref="G22:I22"/>
    <mergeCell ref="J22:L22"/>
    <mergeCell ref="M22:N22"/>
    <mergeCell ref="O22:P22"/>
    <mergeCell ref="B23:F23"/>
    <mergeCell ref="G23:I23"/>
    <mergeCell ref="J23:L23"/>
    <mergeCell ref="M23:N23"/>
    <mergeCell ref="O23:P23"/>
    <mergeCell ref="B24:F24"/>
    <mergeCell ref="G24:I24"/>
    <mergeCell ref="J24:L24"/>
    <mergeCell ref="M24:N24"/>
    <mergeCell ref="O24:P24"/>
    <mergeCell ref="B25:F25"/>
    <mergeCell ref="G25:I25"/>
    <mergeCell ref="J25:L25"/>
    <mergeCell ref="M25:N25"/>
    <mergeCell ref="O25:P25"/>
    <mergeCell ref="B26:F26"/>
    <mergeCell ref="G26:I26"/>
    <mergeCell ref="J26:L26"/>
    <mergeCell ref="M26:N26"/>
    <mergeCell ref="O26:P26"/>
    <mergeCell ref="B27:F27"/>
    <mergeCell ref="G27:I27"/>
    <mergeCell ref="J27:L27"/>
    <mergeCell ref="M27:N27"/>
    <mergeCell ref="O27:P27"/>
    <mergeCell ref="B28:F28"/>
    <mergeCell ref="G28:I28"/>
    <mergeCell ref="J28:L28"/>
    <mergeCell ref="M28:N28"/>
    <mergeCell ref="O28:P28"/>
    <mergeCell ref="B29:F29"/>
    <mergeCell ref="G29:I29"/>
    <mergeCell ref="J29:L29"/>
    <mergeCell ref="M29:N29"/>
    <mergeCell ref="O29:P29"/>
    <mergeCell ref="B30:F30"/>
    <mergeCell ref="G30:I30"/>
    <mergeCell ref="J30:L30"/>
    <mergeCell ref="M30:N30"/>
    <mergeCell ref="O30:P30"/>
    <mergeCell ref="B31:F31"/>
    <mergeCell ref="G31:I31"/>
    <mergeCell ref="J31:L31"/>
    <mergeCell ref="M31:N31"/>
    <mergeCell ref="O31:P31"/>
    <mergeCell ref="B32:F32"/>
    <mergeCell ref="G32:I32"/>
    <mergeCell ref="J32:L32"/>
    <mergeCell ref="M32:N32"/>
    <mergeCell ref="O32:P32"/>
    <mergeCell ref="B33:F33"/>
    <mergeCell ref="G33:I33"/>
    <mergeCell ref="J33:L33"/>
    <mergeCell ref="M33:N33"/>
    <mergeCell ref="O33:P33"/>
    <mergeCell ref="B34:F34"/>
    <mergeCell ref="G34:I34"/>
    <mergeCell ref="J34:L34"/>
    <mergeCell ref="M34:N34"/>
    <mergeCell ref="O34:P34"/>
    <mergeCell ref="B35:F35"/>
    <mergeCell ref="G35:I35"/>
    <mergeCell ref="J35:L35"/>
    <mergeCell ref="M35:N35"/>
    <mergeCell ref="O35:P35"/>
    <mergeCell ref="B36:F36"/>
    <mergeCell ref="G36:I36"/>
    <mergeCell ref="J36:L36"/>
    <mergeCell ref="M36:N36"/>
    <mergeCell ref="O36:P36"/>
    <mergeCell ref="B37:F37"/>
    <mergeCell ref="G37:I37"/>
    <mergeCell ref="J37:L37"/>
    <mergeCell ref="M37:N37"/>
    <mergeCell ref="O37:P37"/>
    <mergeCell ref="B38:F38"/>
    <mergeCell ref="G38:I38"/>
    <mergeCell ref="J38:L38"/>
    <mergeCell ref="M38:N38"/>
    <mergeCell ref="O38:P38"/>
    <mergeCell ref="B39:F39"/>
    <mergeCell ref="G39:I39"/>
    <mergeCell ref="J39:L39"/>
    <mergeCell ref="M39:N39"/>
    <mergeCell ref="O39:P39"/>
    <mergeCell ref="B40:F40"/>
    <mergeCell ref="G40:I40"/>
    <mergeCell ref="J40:L40"/>
    <mergeCell ref="M40:N40"/>
    <mergeCell ref="O40:P40"/>
    <mergeCell ref="B41:F41"/>
    <mergeCell ref="G41:I41"/>
    <mergeCell ref="J41:L41"/>
    <mergeCell ref="M41:N41"/>
    <mergeCell ref="O41:P41"/>
    <mergeCell ref="D51:P51"/>
    <mergeCell ref="B43:F43"/>
    <mergeCell ref="G43:I43"/>
    <mergeCell ref="J43:L43"/>
    <mergeCell ref="M43:N43"/>
    <mergeCell ref="O43:P43"/>
    <mergeCell ref="A45:E45"/>
    <mergeCell ref="F45:P45"/>
    <mergeCell ref="B42:F42"/>
    <mergeCell ref="G42:I42"/>
    <mergeCell ref="J42:L42"/>
    <mergeCell ref="M42:N42"/>
    <mergeCell ref="O42:P42"/>
    <mergeCell ref="A47:C47"/>
    <mergeCell ref="D47:P47"/>
    <mergeCell ref="D48:P48"/>
    <mergeCell ref="A50:C50"/>
    <mergeCell ref="D50:P50"/>
  </mergeCells>
  <pageMargins left="0.4" right="0.4" top="0.75" bottom="0.75" header="0.3" footer="0.3"/>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X139"/>
  <sheetViews>
    <sheetView showRuler="0" workbookViewId="0">
      <selection activeCell="F134" sqref="F134"/>
    </sheetView>
  </sheetViews>
  <sheetFormatPr defaultRowHeight="15" x14ac:dyDescent="0.25"/>
  <cols>
    <col min="1" max="1" width="6.42578125" style="1835" customWidth="1"/>
    <col min="2" max="50" width="8" style="1835" customWidth="1"/>
    <col min="51" max="16384" width="9.140625" style="1445"/>
  </cols>
  <sheetData>
    <row r="1" spans="1:16" ht="27.2" customHeight="1" x14ac:dyDescent="0.25">
      <c r="A1" s="2437" t="s">
        <v>6796</v>
      </c>
      <c r="B1" s="2437"/>
      <c r="C1" s="2437"/>
      <c r="D1" s="2437"/>
      <c r="E1" s="2438" t="s">
        <v>6795</v>
      </c>
      <c r="F1" s="2438"/>
      <c r="G1" s="2438"/>
      <c r="H1" s="2438"/>
      <c r="I1" s="2438"/>
      <c r="J1" s="2438"/>
      <c r="K1" s="2438"/>
      <c r="L1" s="2438"/>
      <c r="M1" s="2438"/>
      <c r="N1" s="2438"/>
      <c r="O1" s="2438"/>
      <c r="P1" s="2438"/>
    </row>
    <row r="2" spans="1:16" ht="15" customHeight="1" x14ac:dyDescent="0.25"/>
    <row r="3" spans="1:16" ht="15" customHeight="1" x14ac:dyDescent="0.25">
      <c r="A3" s="2430" t="s">
        <v>6794</v>
      </c>
      <c r="B3" s="2430"/>
      <c r="C3" s="2430"/>
      <c r="D3" s="2430"/>
      <c r="E3" s="2430"/>
      <c r="F3" s="2430"/>
      <c r="G3" s="2430"/>
      <c r="H3" s="2430"/>
      <c r="I3" s="2430"/>
      <c r="J3" s="2430"/>
      <c r="K3" s="2430"/>
      <c r="L3" s="2430"/>
      <c r="M3" s="2430"/>
      <c r="N3" s="2430"/>
      <c r="O3" s="2430"/>
      <c r="P3" s="2430"/>
    </row>
    <row r="4" spans="1:16" ht="15" customHeight="1" x14ac:dyDescent="0.25">
      <c r="A4" s="2439" t="s">
        <v>6793</v>
      </c>
      <c r="B4" s="2439"/>
      <c r="C4" s="2439"/>
      <c r="D4" s="2439"/>
      <c r="E4" s="2439"/>
      <c r="F4" s="2439"/>
      <c r="G4" s="2439"/>
      <c r="H4" s="2439"/>
      <c r="I4" s="2439"/>
      <c r="J4" s="2439"/>
      <c r="K4" s="2439"/>
      <c r="L4" s="2439"/>
      <c r="M4" s="2439"/>
      <c r="N4" s="2439"/>
      <c r="O4" s="2439"/>
      <c r="P4" s="2439"/>
    </row>
    <row r="5" spans="1:16" ht="15" customHeight="1" x14ac:dyDescent="0.25"/>
    <row r="6" spans="1:16" ht="15" customHeight="1" x14ac:dyDescent="0.25">
      <c r="A6" s="2430" t="s">
        <v>6792</v>
      </c>
      <c r="B6" s="2430"/>
      <c r="C6" s="2430"/>
      <c r="D6" s="2430"/>
      <c r="E6" s="2430"/>
      <c r="F6" s="2430"/>
      <c r="G6" s="2430"/>
      <c r="H6" s="2430"/>
      <c r="I6" s="2430"/>
      <c r="J6" s="2430"/>
      <c r="K6" s="2430"/>
      <c r="L6" s="2430"/>
      <c r="M6" s="2430"/>
      <c r="N6" s="2430"/>
      <c r="O6" s="2430"/>
      <c r="P6" s="2430"/>
    </row>
    <row r="7" spans="1:16" ht="15" customHeight="1" x14ac:dyDescent="0.25">
      <c r="A7" s="2424" t="s">
        <v>6472</v>
      </c>
      <c r="B7" s="2424"/>
      <c r="C7" s="2424"/>
      <c r="D7" s="2424"/>
      <c r="E7" s="2424"/>
      <c r="F7" s="2424"/>
      <c r="G7" s="2424"/>
      <c r="H7" s="2424"/>
      <c r="I7" s="2424"/>
      <c r="J7" s="2424"/>
      <c r="K7" s="2424"/>
      <c r="L7" s="2424"/>
      <c r="M7" s="2424"/>
      <c r="N7" s="2424"/>
      <c r="O7" s="2424"/>
      <c r="P7" s="2424"/>
    </row>
    <row r="8" spans="1:16" ht="15" customHeight="1" x14ac:dyDescent="0.25"/>
    <row r="9" spans="1:16" ht="15" customHeight="1" x14ac:dyDescent="0.25">
      <c r="A9" s="2430" t="s">
        <v>6141</v>
      </c>
      <c r="B9" s="2430"/>
      <c r="C9" s="2430"/>
      <c r="D9" s="2430"/>
      <c r="E9" s="2430"/>
      <c r="F9" s="2430"/>
      <c r="G9" s="2430"/>
      <c r="H9" s="2430"/>
      <c r="I9" s="2430"/>
      <c r="J9" s="2430"/>
      <c r="K9" s="2430"/>
      <c r="L9" s="2430"/>
      <c r="M9" s="2430"/>
      <c r="N9" s="2430"/>
      <c r="O9" s="2430"/>
      <c r="P9" s="2430"/>
    </row>
    <row r="10" spans="1:16" ht="15" customHeight="1" x14ac:dyDescent="0.25">
      <c r="A10" s="2424" t="s">
        <v>772</v>
      </c>
      <c r="B10" s="2424"/>
      <c r="C10" s="2424"/>
      <c r="D10" s="2424"/>
      <c r="E10" s="2424"/>
      <c r="F10" s="2424"/>
      <c r="G10" s="2424"/>
      <c r="H10" s="2424"/>
      <c r="I10" s="2424"/>
      <c r="J10" s="2424"/>
      <c r="K10" s="2424"/>
      <c r="L10" s="2424"/>
      <c r="M10" s="2424"/>
      <c r="N10" s="2424"/>
      <c r="O10" s="2424"/>
      <c r="P10" s="2424"/>
    </row>
    <row r="11" spans="1:16" ht="15" customHeight="1" x14ac:dyDescent="0.25"/>
    <row r="12" spans="1:16" ht="15" customHeight="1" x14ac:dyDescent="0.25">
      <c r="A12" s="2427" t="s">
        <v>6791</v>
      </c>
      <c r="B12" s="2427"/>
      <c r="C12" s="2427"/>
      <c r="D12" s="2427"/>
      <c r="E12" s="2427"/>
      <c r="F12" s="2427"/>
      <c r="G12" s="2427"/>
      <c r="H12" s="2427"/>
      <c r="I12" s="2427"/>
      <c r="J12" s="2427"/>
      <c r="K12" s="2427"/>
      <c r="L12" s="2427"/>
      <c r="M12" s="2427"/>
      <c r="N12" s="2427"/>
      <c r="O12" s="2427"/>
      <c r="P12" s="2427"/>
    </row>
    <row r="13" spans="1:16" ht="15" customHeight="1" x14ac:dyDescent="0.25"/>
    <row r="14" spans="1:16" ht="15" customHeight="1" x14ac:dyDescent="0.25">
      <c r="A14" s="2427" t="s">
        <v>6311</v>
      </c>
      <c r="B14" s="2427"/>
      <c r="C14" s="2427"/>
      <c r="D14" s="2427"/>
      <c r="E14" s="2427"/>
      <c r="F14" s="2427"/>
      <c r="G14" s="2427"/>
      <c r="H14" s="2427"/>
      <c r="I14" s="2427"/>
      <c r="J14" s="2427"/>
      <c r="K14" s="2427"/>
      <c r="L14" s="2427"/>
      <c r="M14" s="2427"/>
      <c r="N14" s="2427"/>
      <c r="O14" s="2427"/>
      <c r="P14" s="2427"/>
    </row>
    <row r="15" spans="1:16" ht="15" customHeight="1" x14ac:dyDescent="0.25"/>
    <row r="16" spans="1:16" ht="122.45" customHeight="1" x14ac:dyDescent="0.25">
      <c r="A16" s="1841" t="s">
        <v>512</v>
      </c>
      <c r="B16" s="2440" t="s">
        <v>527</v>
      </c>
      <c r="C16" s="2440"/>
      <c r="D16" s="2440"/>
      <c r="E16" s="2440"/>
      <c r="F16" s="2440" t="s">
        <v>4159</v>
      </c>
      <c r="G16" s="2440"/>
      <c r="H16" s="1841" t="s">
        <v>6790</v>
      </c>
      <c r="I16" s="1841" t="s">
        <v>188</v>
      </c>
      <c r="J16" s="2440" t="s">
        <v>4160</v>
      </c>
      <c r="K16" s="2440"/>
      <c r="L16" s="2440"/>
      <c r="M16" s="2440" t="s">
        <v>6474</v>
      </c>
      <c r="N16" s="2440"/>
      <c r="O16" s="2440" t="s">
        <v>6312</v>
      </c>
      <c r="P16" s="2440"/>
    </row>
    <row r="17" spans="1:16" ht="15" customHeight="1" x14ac:dyDescent="0.25">
      <c r="A17" s="1841">
        <v>1</v>
      </c>
      <c r="B17" s="2440">
        <v>2</v>
      </c>
      <c r="C17" s="2440"/>
      <c r="D17" s="2440"/>
      <c r="E17" s="2440"/>
      <c r="F17" s="2440">
        <v>3</v>
      </c>
      <c r="G17" s="2440"/>
      <c r="H17" s="1841">
        <v>4</v>
      </c>
      <c r="I17" s="1841">
        <v>5</v>
      </c>
      <c r="J17" s="2440">
        <v>6</v>
      </c>
      <c r="K17" s="2440"/>
      <c r="L17" s="2440"/>
      <c r="M17" s="2440">
        <v>7</v>
      </c>
      <c r="N17" s="2440"/>
      <c r="O17" s="2440">
        <v>8</v>
      </c>
      <c r="P17" s="2440"/>
    </row>
    <row r="18" spans="1:16" ht="27.2" customHeight="1" x14ac:dyDescent="0.25">
      <c r="A18" s="1839"/>
      <c r="B18" s="2441" t="s">
        <v>6475</v>
      </c>
      <c r="C18" s="2441"/>
      <c r="D18" s="2441"/>
      <c r="E18" s="2441"/>
      <c r="F18" s="2441"/>
      <c r="G18" s="2441"/>
      <c r="H18" s="1839"/>
      <c r="I18" s="1839"/>
      <c r="J18" s="2441"/>
      <c r="K18" s="2441"/>
      <c r="L18" s="2441"/>
      <c r="M18" s="2441"/>
      <c r="N18" s="2441"/>
      <c r="O18" s="2441"/>
      <c r="P18" s="2441"/>
    </row>
    <row r="19" spans="1:16" ht="135.94999999999999" customHeight="1" x14ac:dyDescent="0.25">
      <c r="A19" s="1836" t="s">
        <v>191</v>
      </c>
      <c r="B19" s="2431" t="s">
        <v>6789</v>
      </c>
      <c r="C19" s="2432"/>
      <c r="D19" s="2432"/>
      <c r="E19" s="2432"/>
      <c r="F19" s="2432" t="s">
        <v>6788</v>
      </c>
      <c r="G19" s="2432"/>
      <c r="H19" s="1840" t="s">
        <v>6787</v>
      </c>
      <c r="I19" s="1840" t="s">
        <v>190</v>
      </c>
      <c r="J19" s="2432" t="s">
        <v>6786</v>
      </c>
      <c r="K19" s="2432"/>
      <c r="L19" s="2432"/>
      <c r="M19" s="2433">
        <f>ROUND((10127 + 7233 * 1) * 1 * 1.25, 2)</f>
        <v>21700</v>
      </c>
      <c r="N19" s="2432"/>
      <c r="O19" s="2432" t="s">
        <v>588</v>
      </c>
      <c r="P19" s="2432"/>
    </row>
    <row r="20" spans="1:16" ht="15" customHeight="1" x14ac:dyDescent="0.25">
      <c r="A20" s="1837"/>
      <c r="B20" s="2442" t="s">
        <v>4168</v>
      </c>
      <c r="C20" s="2442"/>
      <c r="D20" s="2442"/>
      <c r="E20" s="2442"/>
      <c r="F20" s="2442" t="s">
        <v>588</v>
      </c>
      <c r="G20" s="2442"/>
      <c r="H20" s="1837"/>
      <c r="I20" s="1837"/>
      <c r="J20" s="2442" t="s">
        <v>588</v>
      </c>
      <c r="K20" s="2442"/>
      <c r="L20" s="2442"/>
      <c r="M20" s="2442"/>
      <c r="N20" s="2442"/>
      <c r="O20" s="2442"/>
      <c r="P20" s="2442"/>
    </row>
    <row r="21" spans="1:16" ht="68.099999999999994" customHeight="1" x14ac:dyDescent="0.25">
      <c r="A21" s="1838"/>
      <c r="B21" s="2443" t="s">
        <v>6674</v>
      </c>
      <c r="C21" s="2443"/>
      <c r="D21" s="2443"/>
      <c r="E21" s="2443"/>
      <c r="F21" s="2443" t="s">
        <v>6673</v>
      </c>
      <c r="G21" s="2443"/>
      <c r="H21" s="1838"/>
      <c r="I21" s="1838"/>
      <c r="J21" s="2443" t="s">
        <v>588</v>
      </c>
      <c r="K21" s="2443"/>
      <c r="L21" s="2443"/>
      <c r="M21" s="2443"/>
      <c r="N21" s="2443"/>
      <c r="O21" s="2443"/>
      <c r="P21" s="2443"/>
    </row>
    <row r="22" spans="1:16" ht="122.45" customHeight="1" x14ac:dyDescent="0.25">
      <c r="A22" s="1836" t="s">
        <v>192</v>
      </c>
      <c r="B22" s="2431" t="s">
        <v>6785</v>
      </c>
      <c r="C22" s="2432"/>
      <c r="D22" s="2432"/>
      <c r="E22" s="2432"/>
      <c r="F22" s="2432" t="s">
        <v>6784</v>
      </c>
      <c r="G22" s="2432"/>
      <c r="H22" s="1840" t="s">
        <v>6709</v>
      </c>
      <c r="I22" s="1840" t="s">
        <v>6708</v>
      </c>
      <c r="J22" s="2432" t="s">
        <v>6783</v>
      </c>
      <c r="K22" s="2432"/>
      <c r="L22" s="2432"/>
      <c r="M22" s="2433">
        <f>ROUND(5764 * 151 * 1.25, 2)</f>
        <v>1087955</v>
      </c>
      <c r="N22" s="2432"/>
      <c r="O22" s="2432" t="s">
        <v>588</v>
      </c>
      <c r="P22" s="2432"/>
    </row>
    <row r="23" spans="1:16" ht="15" customHeight="1" x14ac:dyDescent="0.25">
      <c r="A23" s="1837"/>
      <c r="B23" s="2442" t="s">
        <v>4168</v>
      </c>
      <c r="C23" s="2442"/>
      <c r="D23" s="2442"/>
      <c r="E23" s="2442"/>
      <c r="F23" s="2442" t="s">
        <v>588</v>
      </c>
      <c r="G23" s="2442"/>
      <c r="H23" s="1837"/>
      <c r="I23" s="1837"/>
      <c r="J23" s="2442" t="s">
        <v>588</v>
      </c>
      <c r="K23" s="2442"/>
      <c r="L23" s="2442"/>
      <c r="M23" s="2442"/>
      <c r="N23" s="2442"/>
      <c r="O23" s="2442"/>
      <c r="P23" s="2442"/>
    </row>
    <row r="24" spans="1:16" ht="68.099999999999994" customHeight="1" x14ac:dyDescent="0.25">
      <c r="A24" s="1838"/>
      <c r="B24" s="2443" t="s">
        <v>6674</v>
      </c>
      <c r="C24" s="2443"/>
      <c r="D24" s="2443"/>
      <c r="E24" s="2443"/>
      <c r="F24" s="2443" t="s">
        <v>6673</v>
      </c>
      <c r="G24" s="2443"/>
      <c r="H24" s="1838"/>
      <c r="I24" s="1838"/>
      <c r="J24" s="2443" t="s">
        <v>588</v>
      </c>
      <c r="K24" s="2443"/>
      <c r="L24" s="2443"/>
      <c r="M24" s="2443"/>
      <c r="N24" s="2443"/>
      <c r="O24" s="2443"/>
      <c r="P24" s="2443"/>
    </row>
    <row r="25" spans="1:16" ht="68.099999999999994" customHeight="1" x14ac:dyDescent="0.25">
      <c r="A25" s="1836" t="s">
        <v>435</v>
      </c>
      <c r="B25" s="2431" t="s">
        <v>6782</v>
      </c>
      <c r="C25" s="2432"/>
      <c r="D25" s="2432"/>
      <c r="E25" s="2432"/>
      <c r="F25" s="2432" t="s">
        <v>6781</v>
      </c>
      <c r="G25" s="2432"/>
      <c r="H25" s="1840" t="s">
        <v>6709</v>
      </c>
      <c r="I25" s="1840" t="s">
        <v>1509</v>
      </c>
      <c r="J25" s="2432" t="s">
        <v>6780</v>
      </c>
      <c r="K25" s="2432"/>
      <c r="L25" s="2432"/>
      <c r="M25" s="2433">
        <f>ROUND(1536 * 115 * 1.25, 2)</f>
        <v>220800</v>
      </c>
      <c r="N25" s="2432"/>
      <c r="O25" s="2432" t="s">
        <v>588</v>
      </c>
      <c r="P25" s="2432"/>
    </row>
    <row r="26" spans="1:16" ht="15" customHeight="1" x14ac:dyDescent="0.25">
      <c r="A26" s="1837"/>
      <c r="B26" s="2442" t="s">
        <v>4168</v>
      </c>
      <c r="C26" s="2442"/>
      <c r="D26" s="2442"/>
      <c r="E26" s="2442"/>
      <c r="F26" s="2442" t="s">
        <v>588</v>
      </c>
      <c r="G26" s="2442"/>
      <c r="H26" s="1837"/>
      <c r="I26" s="1837"/>
      <c r="J26" s="2442" t="s">
        <v>588</v>
      </c>
      <c r="K26" s="2442"/>
      <c r="L26" s="2442"/>
      <c r="M26" s="2442"/>
      <c r="N26" s="2442"/>
      <c r="O26" s="2442"/>
      <c r="P26" s="2442"/>
    </row>
    <row r="27" spans="1:16" ht="68.099999999999994" customHeight="1" x14ac:dyDescent="0.25">
      <c r="A27" s="1838"/>
      <c r="B27" s="2443" t="s">
        <v>6674</v>
      </c>
      <c r="C27" s="2443"/>
      <c r="D27" s="2443"/>
      <c r="E27" s="2443"/>
      <c r="F27" s="2443" t="s">
        <v>6673</v>
      </c>
      <c r="G27" s="2443"/>
      <c r="H27" s="1838"/>
      <c r="I27" s="1838"/>
      <c r="J27" s="2443" t="s">
        <v>588</v>
      </c>
      <c r="K27" s="2443"/>
      <c r="L27" s="2443"/>
      <c r="M27" s="2443"/>
      <c r="N27" s="2443"/>
      <c r="O27" s="2443"/>
      <c r="P27" s="2443"/>
    </row>
    <row r="28" spans="1:16" ht="108.75" customHeight="1" x14ac:dyDescent="0.25">
      <c r="A28" s="1836" t="s">
        <v>437</v>
      </c>
      <c r="B28" s="2431" t="s">
        <v>6779</v>
      </c>
      <c r="C28" s="2432"/>
      <c r="D28" s="2432"/>
      <c r="E28" s="2432"/>
      <c r="F28" s="2432" t="s">
        <v>6778</v>
      </c>
      <c r="G28" s="2432"/>
      <c r="H28" s="1840" t="s">
        <v>6777</v>
      </c>
      <c r="I28" s="1840" t="s">
        <v>657</v>
      </c>
      <c r="J28" s="2432" t="s">
        <v>6776</v>
      </c>
      <c r="K28" s="2432"/>
      <c r="L28" s="2432"/>
      <c r="M28" s="2433">
        <f>ROUND(983 * 15 * 1.25, 2)</f>
        <v>18431.25</v>
      </c>
      <c r="N28" s="2432"/>
      <c r="O28" s="2432" t="s">
        <v>588</v>
      </c>
      <c r="P28" s="2432"/>
    </row>
    <row r="29" spans="1:16" ht="15" customHeight="1" x14ac:dyDescent="0.25">
      <c r="A29" s="1837"/>
      <c r="B29" s="2442" t="s">
        <v>4168</v>
      </c>
      <c r="C29" s="2442"/>
      <c r="D29" s="2442"/>
      <c r="E29" s="2442"/>
      <c r="F29" s="2442" t="s">
        <v>588</v>
      </c>
      <c r="G29" s="2442"/>
      <c r="H29" s="1837"/>
      <c r="I29" s="1837"/>
      <c r="J29" s="2442" t="s">
        <v>588</v>
      </c>
      <c r="K29" s="2442"/>
      <c r="L29" s="2442"/>
      <c r="M29" s="2442"/>
      <c r="N29" s="2442"/>
      <c r="O29" s="2442"/>
      <c r="P29" s="2442"/>
    </row>
    <row r="30" spans="1:16" ht="68.099999999999994" customHeight="1" x14ac:dyDescent="0.25">
      <c r="A30" s="1838"/>
      <c r="B30" s="2443" t="s">
        <v>6674</v>
      </c>
      <c r="C30" s="2443"/>
      <c r="D30" s="2443"/>
      <c r="E30" s="2443"/>
      <c r="F30" s="2443" t="s">
        <v>6673</v>
      </c>
      <c r="G30" s="2443"/>
      <c r="H30" s="1838"/>
      <c r="I30" s="1838"/>
      <c r="J30" s="2443" t="s">
        <v>588</v>
      </c>
      <c r="K30" s="2443"/>
      <c r="L30" s="2443"/>
      <c r="M30" s="2443"/>
      <c r="N30" s="2443"/>
      <c r="O30" s="2443"/>
      <c r="P30" s="2443"/>
    </row>
    <row r="31" spans="1:16" ht="15" customHeight="1" x14ac:dyDescent="0.25">
      <c r="A31" s="1839"/>
      <c r="B31" s="2441" t="s">
        <v>6494</v>
      </c>
      <c r="C31" s="2441"/>
      <c r="D31" s="2441"/>
      <c r="E31" s="2441"/>
      <c r="F31" s="2441"/>
      <c r="G31" s="2441"/>
      <c r="H31" s="1839"/>
      <c r="I31" s="1839"/>
      <c r="J31" s="2441" t="s">
        <v>588</v>
      </c>
      <c r="K31" s="2441"/>
      <c r="L31" s="2441"/>
      <c r="M31" s="2444">
        <f>ROUND(SUM($M$19:$M$28),2)</f>
        <v>1348886.25</v>
      </c>
      <c r="N31" s="2441"/>
      <c r="O31" s="2441"/>
      <c r="P31" s="2441"/>
    </row>
    <row r="32" spans="1:16" ht="15" customHeight="1" x14ac:dyDescent="0.25">
      <c r="A32" s="1839"/>
      <c r="B32" s="2441" t="s">
        <v>6495</v>
      </c>
      <c r="C32" s="2441"/>
      <c r="D32" s="2441"/>
      <c r="E32" s="2441"/>
      <c r="F32" s="2441"/>
      <c r="G32" s="2441"/>
      <c r="H32" s="1839"/>
      <c r="I32" s="1839"/>
      <c r="J32" s="2441" t="s">
        <v>588</v>
      </c>
      <c r="K32" s="2441"/>
      <c r="L32" s="2441"/>
      <c r="M32" s="2444">
        <f>ROUND(($M$31),2)</f>
        <v>1348886.25</v>
      </c>
      <c r="N32" s="2441"/>
      <c r="O32" s="2441"/>
      <c r="P32" s="2441"/>
    </row>
    <row r="33" spans="1:16" ht="27.2" customHeight="1" x14ac:dyDescent="0.25">
      <c r="A33" s="1839"/>
      <c r="B33" s="2441" t="s">
        <v>6775</v>
      </c>
      <c r="C33" s="2441"/>
      <c r="D33" s="2441"/>
      <c r="E33" s="2441"/>
      <c r="F33" s="2441"/>
      <c r="G33" s="2441"/>
      <c r="H33" s="1839"/>
      <c r="I33" s="1839"/>
      <c r="J33" s="2441"/>
      <c r="K33" s="2441"/>
      <c r="L33" s="2441"/>
      <c r="M33" s="2441"/>
      <c r="N33" s="2441"/>
      <c r="O33" s="2441"/>
      <c r="P33" s="2441"/>
    </row>
    <row r="34" spans="1:16" ht="15" customHeight="1" x14ac:dyDescent="0.25">
      <c r="A34" s="2445" t="s">
        <v>6774</v>
      </c>
      <c r="B34" s="2445"/>
      <c r="C34" s="2445"/>
      <c r="D34" s="2445"/>
      <c r="E34" s="2445"/>
      <c r="F34" s="2445"/>
      <c r="G34" s="2445"/>
      <c r="H34" s="2445"/>
      <c r="I34" s="2445"/>
      <c r="J34" s="2445"/>
      <c r="K34" s="2445"/>
      <c r="L34" s="2445"/>
      <c r="M34" s="2445"/>
      <c r="N34" s="2445"/>
      <c r="O34" s="2445"/>
      <c r="P34" s="2445"/>
    </row>
    <row r="35" spans="1:16" ht="81.599999999999994" customHeight="1" x14ac:dyDescent="0.25">
      <c r="A35" s="1836" t="s">
        <v>197</v>
      </c>
      <c r="B35" s="2431" t="s">
        <v>6750</v>
      </c>
      <c r="C35" s="2432"/>
      <c r="D35" s="2432"/>
      <c r="E35" s="2432"/>
      <c r="F35" s="2432" t="s">
        <v>6773</v>
      </c>
      <c r="G35" s="2432"/>
      <c r="H35" s="1840" t="s">
        <v>6741</v>
      </c>
      <c r="I35" s="1840" t="s">
        <v>916</v>
      </c>
      <c r="J35" s="2432" t="s">
        <v>6772</v>
      </c>
      <c r="K35" s="2432"/>
      <c r="L35" s="2432"/>
      <c r="M35" s="2433">
        <f>ROUND(459 * 20 * 1.25, 2)</f>
        <v>11475</v>
      </c>
      <c r="N35" s="2432"/>
      <c r="O35" s="2432" t="s">
        <v>588</v>
      </c>
      <c r="P35" s="2432"/>
    </row>
    <row r="36" spans="1:16" ht="15" customHeight="1" x14ac:dyDescent="0.25">
      <c r="A36" s="1837"/>
      <c r="B36" s="2442" t="s">
        <v>4168</v>
      </c>
      <c r="C36" s="2442"/>
      <c r="D36" s="2442"/>
      <c r="E36" s="2442"/>
      <c r="F36" s="2442" t="s">
        <v>588</v>
      </c>
      <c r="G36" s="2442"/>
      <c r="H36" s="1837"/>
      <c r="I36" s="1837"/>
      <c r="J36" s="2442" t="s">
        <v>588</v>
      </c>
      <c r="K36" s="2442"/>
      <c r="L36" s="2442"/>
      <c r="M36" s="2442"/>
      <c r="N36" s="2442"/>
      <c r="O36" s="2442"/>
      <c r="P36" s="2442"/>
    </row>
    <row r="37" spans="1:16" ht="68.099999999999994" customHeight="1" x14ac:dyDescent="0.25">
      <c r="A37" s="1838"/>
      <c r="B37" s="2443" t="s">
        <v>6674</v>
      </c>
      <c r="C37" s="2443"/>
      <c r="D37" s="2443"/>
      <c r="E37" s="2443"/>
      <c r="F37" s="2443" t="s">
        <v>6673</v>
      </c>
      <c r="G37" s="2443"/>
      <c r="H37" s="1838"/>
      <c r="I37" s="1838"/>
      <c r="J37" s="2443" t="s">
        <v>588</v>
      </c>
      <c r="K37" s="2443"/>
      <c r="L37" s="2443"/>
      <c r="M37" s="2443"/>
      <c r="N37" s="2443"/>
      <c r="O37" s="2443"/>
      <c r="P37" s="2443"/>
    </row>
    <row r="38" spans="1:16" ht="81.599999999999994" customHeight="1" x14ac:dyDescent="0.25">
      <c r="A38" s="1836" t="s">
        <v>200</v>
      </c>
      <c r="B38" s="2431" t="s">
        <v>6747</v>
      </c>
      <c r="C38" s="2432"/>
      <c r="D38" s="2432"/>
      <c r="E38" s="2432"/>
      <c r="F38" s="2432" t="s">
        <v>6771</v>
      </c>
      <c r="G38" s="2432"/>
      <c r="H38" s="1840" t="s">
        <v>6741</v>
      </c>
      <c r="I38" s="1840" t="s">
        <v>916</v>
      </c>
      <c r="J38" s="2432" t="s">
        <v>6770</v>
      </c>
      <c r="K38" s="2432"/>
      <c r="L38" s="2432"/>
      <c r="M38" s="2433">
        <f>ROUND(335 * 20 * 1.25, 2)</f>
        <v>8375</v>
      </c>
      <c r="N38" s="2432"/>
      <c r="O38" s="2432" t="s">
        <v>588</v>
      </c>
      <c r="P38" s="2432"/>
    </row>
    <row r="39" spans="1:16" ht="15" customHeight="1" x14ac:dyDescent="0.25">
      <c r="A39" s="1837"/>
      <c r="B39" s="2442" t="s">
        <v>4168</v>
      </c>
      <c r="C39" s="2442"/>
      <c r="D39" s="2442"/>
      <c r="E39" s="2442"/>
      <c r="F39" s="2442" t="s">
        <v>588</v>
      </c>
      <c r="G39" s="2442"/>
      <c r="H39" s="1837"/>
      <c r="I39" s="1837"/>
      <c r="J39" s="2442" t="s">
        <v>588</v>
      </c>
      <c r="K39" s="2442"/>
      <c r="L39" s="2442"/>
      <c r="M39" s="2442"/>
      <c r="N39" s="2442"/>
      <c r="O39" s="2442"/>
      <c r="P39" s="2442"/>
    </row>
    <row r="40" spans="1:16" ht="68.099999999999994" customHeight="1" x14ac:dyDescent="0.25">
      <c r="A40" s="1838"/>
      <c r="B40" s="2443" t="s">
        <v>6674</v>
      </c>
      <c r="C40" s="2443"/>
      <c r="D40" s="2443"/>
      <c r="E40" s="2443"/>
      <c r="F40" s="2443" t="s">
        <v>6673</v>
      </c>
      <c r="G40" s="2443"/>
      <c r="H40" s="1838"/>
      <c r="I40" s="1838"/>
      <c r="J40" s="2443" t="s">
        <v>588</v>
      </c>
      <c r="K40" s="2443"/>
      <c r="L40" s="2443"/>
      <c r="M40" s="2443"/>
      <c r="N40" s="2443"/>
      <c r="O40" s="2443"/>
      <c r="P40" s="2443"/>
    </row>
    <row r="41" spans="1:16" ht="81.599999999999994" customHeight="1" x14ac:dyDescent="0.25">
      <c r="A41" s="1836" t="s">
        <v>203</v>
      </c>
      <c r="B41" s="2431" t="s">
        <v>6743</v>
      </c>
      <c r="C41" s="2432"/>
      <c r="D41" s="2432"/>
      <c r="E41" s="2432"/>
      <c r="F41" s="2432" t="s">
        <v>6769</v>
      </c>
      <c r="G41" s="2432"/>
      <c r="H41" s="1840" t="s">
        <v>6741</v>
      </c>
      <c r="I41" s="1840" t="s">
        <v>916</v>
      </c>
      <c r="J41" s="2432" t="s">
        <v>6768</v>
      </c>
      <c r="K41" s="2432"/>
      <c r="L41" s="2432"/>
      <c r="M41" s="2433">
        <f>ROUND(141 * 20 * 1.25, 2)</f>
        <v>3525</v>
      </c>
      <c r="N41" s="2432"/>
      <c r="O41" s="2432" t="s">
        <v>588</v>
      </c>
      <c r="P41" s="2432"/>
    </row>
    <row r="42" spans="1:16" ht="15" customHeight="1" x14ac:dyDescent="0.25">
      <c r="A42" s="1837"/>
      <c r="B42" s="2442" t="s">
        <v>4168</v>
      </c>
      <c r="C42" s="2442"/>
      <c r="D42" s="2442"/>
      <c r="E42" s="2442"/>
      <c r="F42" s="2442" t="s">
        <v>588</v>
      </c>
      <c r="G42" s="2442"/>
      <c r="H42" s="1837"/>
      <c r="I42" s="1837"/>
      <c r="J42" s="2442" t="s">
        <v>588</v>
      </c>
      <c r="K42" s="2442"/>
      <c r="L42" s="2442"/>
      <c r="M42" s="2442"/>
      <c r="N42" s="2442"/>
      <c r="O42" s="2442"/>
      <c r="P42" s="2442"/>
    </row>
    <row r="43" spans="1:16" ht="68.099999999999994" customHeight="1" x14ac:dyDescent="0.25">
      <c r="A43" s="1838"/>
      <c r="B43" s="2443" t="s">
        <v>6674</v>
      </c>
      <c r="C43" s="2443"/>
      <c r="D43" s="2443"/>
      <c r="E43" s="2443"/>
      <c r="F43" s="2443" t="s">
        <v>6673</v>
      </c>
      <c r="G43" s="2443"/>
      <c r="H43" s="1838"/>
      <c r="I43" s="1838"/>
      <c r="J43" s="2443" t="s">
        <v>588</v>
      </c>
      <c r="K43" s="2443"/>
      <c r="L43" s="2443"/>
      <c r="M43" s="2443"/>
      <c r="N43" s="2443"/>
      <c r="O43" s="2443"/>
      <c r="P43" s="2443"/>
    </row>
    <row r="44" spans="1:16" ht="122.45" customHeight="1" x14ac:dyDescent="0.25">
      <c r="A44" s="1836" t="s">
        <v>4199</v>
      </c>
      <c r="B44" s="2431" t="s">
        <v>6738</v>
      </c>
      <c r="C44" s="2432"/>
      <c r="D44" s="2432"/>
      <c r="E44" s="2432"/>
      <c r="F44" s="2432" t="s">
        <v>6767</v>
      </c>
      <c r="G44" s="2432"/>
      <c r="H44" s="1840" t="s">
        <v>6714</v>
      </c>
      <c r="I44" s="1840" t="s">
        <v>916</v>
      </c>
      <c r="J44" s="2432" t="s">
        <v>6766</v>
      </c>
      <c r="K44" s="2432"/>
      <c r="L44" s="2432"/>
      <c r="M44" s="2433">
        <f>ROUND(229 * 20 * 1.25, 2)</f>
        <v>5725</v>
      </c>
      <c r="N44" s="2432"/>
      <c r="O44" s="2432" t="s">
        <v>588</v>
      </c>
      <c r="P44" s="2432"/>
    </row>
    <row r="45" spans="1:16" ht="15" customHeight="1" x14ac:dyDescent="0.25">
      <c r="A45" s="1837"/>
      <c r="B45" s="2442" t="s">
        <v>4168</v>
      </c>
      <c r="C45" s="2442"/>
      <c r="D45" s="2442"/>
      <c r="E45" s="2442"/>
      <c r="F45" s="2442" t="s">
        <v>588</v>
      </c>
      <c r="G45" s="2442"/>
      <c r="H45" s="1837"/>
      <c r="I45" s="1837"/>
      <c r="J45" s="2442" t="s">
        <v>588</v>
      </c>
      <c r="K45" s="2442"/>
      <c r="L45" s="2442"/>
      <c r="M45" s="2442"/>
      <c r="N45" s="2442"/>
      <c r="O45" s="2442"/>
      <c r="P45" s="2442"/>
    </row>
    <row r="46" spans="1:16" ht="68.099999999999994" customHeight="1" x14ac:dyDescent="0.25">
      <c r="A46" s="1838"/>
      <c r="B46" s="2443" t="s">
        <v>6674</v>
      </c>
      <c r="C46" s="2443"/>
      <c r="D46" s="2443"/>
      <c r="E46" s="2443"/>
      <c r="F46" s="2443" t="s">
        <v>6673</v>
      </c>
      <c r="G46" s="2443"/>
      <c r="H46" s="1838"/>
      <c r="I46" s="1838"/>
      <c r="J46" s="2443" t="s">
        <v>588</v>
      </c>
      <c r="K46" s="2443"/>
      <c r="L46" s="2443"/>
      <c r="M46" s="2443"/>
      <c r="N46" s="2443"/>
      <c r="O46" s="2443"/>
      <c r="P46" s="2443"/>
    </row>
    <row r="47" spans="1:16" ht="95.25" customHeight="1" x14ac:dyDescent="0.25">
      <c r="A47" s="1836" t="s">
        <v>4203</v>
      </c>
      <c r="B47" s="2431" t="s">
        <v>6765</v>
      </c>
      <c r="C47" s="2432"/>
      <c r="D47" s="2432"/>
      <c r="E47" s="2432"/>
      <c r="F47" s="2432" t="s">
        <v>6764</v>
      </c>
      <c r="G47" s="2432"/>
      <c r="H47" s="1840" t="s">
        <v>6714</v>
      </c>
      <c r="I47" s="1840" t="s">
        <v>916</v>
      </c>
      <c r="J47" s="2432" t="s">
        <v>6763</v>
      </c>
      <c r="K47" s="2432"/>
      <c r="L47" s="2432"/>
      <c r="M47" s="2433">
        <f>ROUND(512 * 20 * 1.25, 2)</f>
        <v>12800</v>
      </c>
      <c r="N47" s="2432"/>
      <c r="O47" s="2432" t="s">
        <v>588</v>
      </c>
      <c r="P47" s="2432"/>
    </row>
    <row r="48" spans="1:16" ht="15" customHeight="1" x14ac:dyDescent="0.25">
      <c r="A48" s="1837"/>
      <c r="B48" s="2442" t="s">
        <v>4168</v>
      </c>
      <c r="C48" s="2442"/>
      <c r="D48" s="2442"/>
      <c r="E48" s="2442"/>
      <c r="F48" s="2442" t="s">
        <v>588</v>
      </c>
      <c r="G48" s="2442"/>
      <c r="H48" s="1837"/>
      <c r="I48" s="1837"/>
      <c r="J48" s="2442" t="s">
        <v>588</v>
      </c>
      <c r="K48" s="2442"/>
      <c r="L48" s="2442"/>
      <c r="M48" s="2442"/>
      <c r="N48" s="2442"/>
      <c r="O48" s="2442"/>
      <c r="P48" s="2442"/>
    </row>
    <row r="49" spans="1:16" ht="68.099999999999994" customHeight="1" x14ac:dyDescent="0.25">
      <c r="A49" s="1838"/>
      <c r="B49" s="2443" t="s">
        <v>6674</v>
      </c>
      <c r="C49" s="2443"/>
      <c r="D49" s="2443"/>
      <c r="E49" s="2443"/>
      <c r="F49" s="2443" t="s">
        <v>6673</v>
      </c>
      <c r="G49" s="2443"/>
      <c r="H49" s="1838"/>
      <c r="I49" s="1838"/>
      <c r="J49" s="2443" t="s">
        <v>588</v>
      </c>
      <c r="K49" s="2443"/>
      <c r="L49" s="2443"/>
      <c r="M49" s="2443"/>
      <c r="N49" s="2443"/>
      <c r="O49" s="2443"/>
      <c r="P49" s="2443"/>
    </row>
    <row r="50" spans="1:16" ht="122.45" customHeight="1" x14ac:dyDescent="0.25">
      <c r="A50" s="1836" t="s">
        <v>4205</v>
      </c>
      <c r="B50" s="2431" t="s">
        <v>6732</v>
      </c>
      <c r="C50" s="2432"/>
      <c r="D50" s="2432"/>
      <c r="E50" s="2432"/>
      <c r="F50" s="2432" t="s">
        <v>6762</v>
      </c>
      <c r="G50" s="2432"/>
      <c r="H50" s="1840" t="s">
        <v>6714</v>
      </c>
      <c r="I50" s="1840" t="s">
        <v>916</v>
      </c>
      <c r="J50" s="2432" t="s">
        <v>6761</v>
      </c>
      <c r="K50" s="2432"/>
      <c r="L50" s="2432"/>
      <c r="M50" s="2433">
        <f>ROUND(600 * 20 * 1.25, 2)</f>
        <v>15000</v>
      </c>
      <c r="N50" s="2432"/>
      <c r="O50" s="2432" t="s">
        <v>588</v>
      </c>
      <c r="P50" s="2432"/>
    </row>
    <row r="51" spans="1:16" x14ac:dyDescent="0.25">
      <c r="A51" s="1837"/>
      <c r="B51" s="2442" t="s">
        <v>4168</v>
      </c>
      <c r="C51" s="2442"/>
      <c r="D51" s="2442"/>
      <c r="E51" s="2442"/>
      <c r="F51" s="2442" t="s">
        <v>588</v>
      </c>
      <c r="G51" s="2442"/>
      <c r="H51" s="1837"/>
      <c r="I51" s="1837"/>
      <c r="J51" s="2442" t="s">
        <v>588</v>
      </c>
      <c r="K51" s="2442"/>
      <c r="L51" s="2442"/>
      <c r="M51" s="2442"/>
      <c r="N51" s="2442"/>
      <c r="O51" s="2442"/>
      <c r="P51" s="2442"/>
    </row>
    <row r="52" spans="1:16" ht="68.099999999999994" customHeight="1" x14ac:dyDescent="0.25">
      <c r="A52" s="1838"/>
      <c r="B52" s="2443" t="s">
        <v>6674</v>
      </c>
      <c r="C52" s="2443"/>
      <c r="D52" s="2443"/>
      <c r="E52" s="2443"/>
      <c r="F52" s="2443" t="s">
        <v>6673</v>
      </c>
      <c r="G52" s="2443"/>
      <c r="H52" s="1838"/>
      <c r="I52" s="1838"/>
      <c r="J52" s="2443" t="s">
        <v>588</v>
      </c>
      <c r="K52" s="2443"/>
      <c r="L52" s="2443"/>
      <c r="M52" s="2443"/>
      <c r="N52" s="2443"/>
      <c r="O52" s="2443"/>
      <c r="P52" s="2443"/>
    </row>
    <row r="53" spans="1:16" ht="258.39999999999998" customHeight="1" x14ac:dyDescent="0.25">
      <c r="A53" s="1836" t="s">
        <v>4350</v>
      </c>
      <c r="B53" s="2431" t="s">
        <v>6760</v>
      </c>
      <c r="C53" s="2432"/>
      <c r="D53" s="2432"/>
      <c r="E53" s="2432"/>
      <c r="F53" s="2432" t="s">
        <v>6759</v>
      </c>
      <c r="G53" s="2432"/>
      <c r="H53" s="1840" t="s">
        <v>6714</v>
      </c>
      <c r="I53" s="1840" t="s">
        <v>916</v>
      </c>
      <c r="J53" s="2432" t="s">
        <v>6758</v>
      </c>
      <c r="K53" s="2432"/>
      <c r="L53" s="2432"/>
      <c r="M53" s="2433">
        <f>ROUND(1835 * 20 * 1.25, 2)</f>
        <v>45875</v>
      </c>
      <c r="N53" s="2432"/>
      <c r="O53" s="2432" t="s">
        <v>588</v>
      </c>
      <c r="P53" s="2432"/>
    </row>
    <row r="54" spans="1:16" x14ac:dyDescent="0.25">
      <c r="A54" s="1837"/>
      <c r="B54" s="2442" t="s">
        <v>4168</v>
      </c>
      <c r="C54" s="2442"/>
      <c r="D54" s="2442"/>
      <c r="E54" s="2442"/>
      <c r="F54" s="2442" t="s">
        <v>588</v>
      </c>
      <c r="G54" s="2442"/>
      <c r="H54" s="1837"/>
      <c r="I54" s="1837"/>
      <c r="J54" s="2442" t="s">
        <v>588</v>
      </c>
      <c r="K54" s="2442"/>
      <c r="L54" s="2442"/>
      <c r="M54" s="2442"/>
      <c r="N54" s="2442"/>
      <c r="O54" s="2442"/>
      <c r="P54" s="2442"/>
    </row>
    <row r="55" spans="1:16" ht="68.099999999999994" customHeight="1" x14ac:dyDescent="0.25">
      <c r="A55" s="1838"/>
      <c r="B55" s="2443" t="s">
        <v>6674</v>
      </c>
      <c r="C55" s="2443"/>
      <c r="D55" s="2443"/>
      <c r="E55" s="2443"/>
      <c r="F55" s="2443" t="s">
        <v>6673</v>
      </c>
      <c r="G55" s="2443"/>
      <c r="H55" s="1838"/>
      <c r="I55" s="1838"/>
      <c r="J55" s="2443" t="s">
        <v>588</v>
      </c>
      <c r="K55" s="2443"/>
      <c r="L55" s="2443"/>
      <c r="M55" s="2443"/>
      <c r="N55" s="2443"/>
      <c r="O55" s="2443"/>
      <c r="P55" s="2443"/>
    </row>
    <row r="56" spans="1:16" ht="231.2" customHeight="1" x14ac:dyDescent="0.25">
      <c r="A56" s="1836" t="s">
        <v>4353</v>
      </c>
      <c r="B56" s="2431" t="s">
        <v>6757</v>
      </c>
      <c r="C56" s="2432"/>
      <c r="D56" s="2432"/>
      <c r="E56" s="2432"/>
      <c r="F56" s="2432" t="s">
        <v>6756</v>
      </c>
      <c r="G56" s="2432"/>
      <c r="H56" s="1840" t="s">
        <v>6714</v>
      </c>
      <c r="I56" s="1840" t="s">
        <v>916</v>
      </c>
      <c r="J56" s="2432" t="s">
        <v>6755</v>
      </c>
      <c r="K56" s="2432"/>
      <c r="L56" s="2432"/>
      <c r="M56" s="2433">
        <f>ROUND(1852 * 20 * 1.25, 2)</f>
        <v>46300</v>
      </c>
      <c r="N56" s="2432"/>
      <c r="O56" s="2432" t="s">
        <v>588</v>
      </c>
      <c r="P56" s="2432"/>
    </row>
    <row r="57" spans="1:16" x14ac:dyDescent="0.25">
      <c r="A57" s="1837"/>
      <c r="B57" s="2442" t="s">
        <v>4168</v>
      </c>
      <c r="C57" s="2442"/>
      <c r="D57" s="2442"/>
      <c r="E57" s="2442"/>
      <c r="F57" s="2442" t="s">
        <v>588</v>
      </c>
      <c r="G57" s="2442"/>
      <c r="H57" s="1837"/>
      <c r="I57" s="1837"/>
      <c r="J57" s="2442" t="s">
        <v>588</v>
      </c>
      <c r="K57" s="2442"/>
      <c r="L57" s="2442"/>
      <c r="M57" s="2442"/>
      <c r="N57" s="2442"/>
      <c r="O57" s="2442"/>
      <c r="P57" s="2442"/>
    </row>
    <row r="58" spans="1:16" ht="68.099999999999994" customHeight="1" x14ac:dyDescent="0.25">
      <c r="A58" s="1838"/>
      <c r="B58" s="2443" t="s">
        <v>6674</v>
      </c>
      <c r="C58" s="2443"/>
      <c r="D58" s="2443"/>
      <c r="E58" s="2443"/>
      <c r="F58" s="2443" t="s">
        <v>6673</v>
      </c>
      <c r="G58" s="2443"/>
      <c r="H58" s="1838"/>
      <c r="I58" s="1838"/>
      <c r="J58" s="2443" t="s">
        <v>588</v>
      </c>
      <c r="K58" s="2443"/>
      <c r="L58" s="2443"/>
      <c r="M58" s="2443"/>
      <c r="N58" s="2443"/>
      <c r="O58" s="2443"/>
      <c r="P58" s="2443"/>
    </row>
    <row r="59" spans="1:16" ht="95.25" customHeight="1" x14ac:dyDescent="0.25">
      <c r="A59" s="1836" t="s">
        <v>4354</v>
      </c>
      <c r="B59" s="2431" t="s">
        <v>6754</v>
      </c>
      <c r="C59" s="2432"/>
      <c r="D59" s="2432"/>
      <c r="E59" s="2432"/>
      <c r="F59" s="2432" t="s">
        <v>6753</v>
      </c>
      <c r="G59" s="2432"/>
      <c r="H59" s="1840" t="s">
        <v>6714</v>
      </c>
      <c r="I59" s="1840" t="s">
        <v>652</v>
      </c>
      <c r="J59" s="2432" t="s">
        <v>6752</v>
      </c>
      <c r="K59" s="2432"/>
      <c r="L59" s="2432"/>
      <c r="M59" s="2433">
        <f>ROUND(13689 * 10 * 1.25, 2)</f>
        <v>171112.5</v>
      </c>
      <c r="N59" s="2432"/>
      <c r="O59" s="2432" t="s">
        <v>588</v>
      </c>
      <c r="P59" s="2432"/>
    </row>
    <row r="60" spans="1:16" x14ac:dyDescent="0.25">
      <c r="A60" s="1837"/>
      <c r="B60" s="2442" t="s">
        <v>4168</v>
      </c>
      <c r="C60" s="2442"/>
      <c r="D60" s="2442"/>
      <c r="E60" s="2442"/>
      <c r="F60" s="2442" t="s">
        <v>588</v>
      </c>
      <c r="G60" s="2442"/>
      <c r="H60" s="1837"/>
      <c r="I60" s="1837"/>
      <c r="J60" s="2442" t="s">
        <v>588</v>
      </c>
      <c r="K60" s="2442"/>
      <c r="L60" s="2442"/>
      <c r="M60" s="2442"/>
      <c r="N60" s="2442"/>
      <c r="O60" s="2442"/>
      <c r="P60" s="2442"/>
    </row>
    <row r="61" spans="1:16" ht="68.099999999999994" customHeight="1" x14ac:dyDescent="0.25">
      <c r="A61" s="1838"/>
      <c r="B61" s="2443" t="s">
        <v>6674</v>
      </c>
      <c r="C61" s="2443"/>
      <c r="D61" s="2443"/>
      <c r="E61" s="2443"/>
      <c r="F61" s="2443" t="s">
        <v>6673</v>
      </c>
      <c r="G61" s="2443"/>
      <c r="H61" s="1838"/>
      <c r="I61" s="1838"/>
      <c r="J61" s="2443" t="s">
        <v>588</v>
      </c>
      <c r="K61" s="2443"/>
      <c r="L61" s="2443"/>
      <c r="M61" s="2443"/>
      <c r="N61" s="2443"/>
      <c r="O61" s="2443"/>
      <c r="P61" s="2443"/>
    </row>
    <row r="62" spans="1:16" x14ac:dyDescent="0.25">
      <c r="A62" s="2445" t="s">
        <v>6751</v>
      </c>
      <c r="B62" s="2445"/>
      <c r="C62" s="2445"/>
      <c r="D62" s="2445"/>
      <c r="E62" s="2445"/>
      <c r="F62" s="2445"/>
      <c r="G62" s="2445"/>
      <c r="H62" s="2445"/>
      <c r="I62" s="2445"/>
      <c r="J62" s="2445"/>
      <c r="K62" s="2445"/>
      <c r="L62" s="2445"/>
      <c r="M62" s="2445"/>
      <c r="N62" s="2445"/>
      <c r="O62" s="2445"/>
      <c r="P62" s="2445"/>
    </row>
    <row r="63" spans="1:16" ht="81.599999999999994" customHeight="1" x14ac:dyDescent="0.25">
      <c r="A63" s="1836" t="s">
        <v>4355</v>
      </c>
      <c r="B63" s="2431" t="s">
        <v>6750</v>
      </c>
      <c r="C63" s="2432"/>
      <c r="D63" s="2432"/>
      <c r="E63" s="2432"/>
      <c r="F63" s="2432" t="s">
        <v>6749</v>
      </c>
      <c r="G63" s="2432"/>
      <c r="H63" s="1840" t="s">
        <v>6741</v>
      </c>
      <c r="I63" s="1840" t="s">
        <v>652</v>
      </c>
      <c r="J63" s="2432" t="s">
        <v>6748</v>
      </c>
      <c r="K63" s="2432"/>
      <c r="L63" s="2432"/>
      <c r="M63" s="2433">
        <f>ROUND(459 * 10 * 1.25, 2)</f>
        <v>5737.5</v>
      </c>
      <c r="N63" s="2432"/>
      <c r="O63" s="2432" t="s">
        <v>588</v>
      </c>
      <c r="P63" s="2432"/>
    </row>
    <row r="64" spans="1:16" x14ac:dyDescent="0.25">
      <c r="A64" s="1837"/>
      <c r="B64" s="2442" t="s">
        <v>4168</v>
      </c>
      <c r="C64" s="2442"/>
      <c r="D64" s="2442"/>
      <c r="E64" s="2442"/>
      <c r="F64" s="2442" t="s">
        <v>588</v>
      </c>
      <c r="G64" s="2442"/>
      <c r="H64" s="1837"/>
      <c r="I64" s="1837"/>
      <c r="J64" s="2442" t="s">
        <v>588</v>
      </c>
      <c r="K64" s="2442"/>
      <c r="L64" s="2442"/>
      <c r="M64" s="2442"/>
      <c r="N64" s="2442"/>
      <c r="O64" s="2442"/>
      <c r="P64" s="2442"/>
    </row>
    <row r="65" spans="1:16" ht="68.099999999999994" customHeight="1" x14ac:dyDescent="0.25">
      <c r="A65" s="1838"/>
      <c r="B65" s="2443" t="s">
        <v>6674</v>
      </c>
      <c r="C65" s="2443"/>
      <c r="D65" s="2443"/>
      <c r="E65" s="2443"/>
      <c r="F65" s="2443" t="s">
        <v>6673</v>
      </c>
      <c r="G65" s="2443"/>
      <c r="H65" s="1838"/>
      <c r="I65" s="1838"/>
      <c r="J65" s="2443" t="s">
        <v>588</v>
      </c>
      <c r="K65" s="2443"/>
      <c r="L65" s="2443"/>
      <c r="M65" s="2443"/>
      <c r="N65" s="2443"/>
      <c r="O65" s="2443"/>
      <c r="P65" s="2443"/>
    </row>
    <row r="66" spans="1:16" ht="81.599999999999994" customHeight="1" x14ac:dyDescent="0.25">
      <c r="A66" s="1836" t="s">
        <v>4357</v>
      </c>
      <c r="B66" s="2431" t="s">
        <v>6747</v>
      </c>
      <c r="C66" s="2432"/>
      <c r="D66" s="2432"/>
      <c r="E66" s="2432"/>
      <c r="F66" s="2432" t="s">
        <v>6746</v>
      </c>
      <c r="G66" s="2432"/>
      <c r="H66" s="1840" t="s">
        <v>6741</v>
      </c>
      <c r="I66" s="1840" t="s">
        <v>652</v>
      </c>
      <c r="J66" s="2432" t="s">
        <v>6745</v>
      </c>
      <c r="K66" s="2432"/>
      <c r="L66" s="2432"/>
      <c r="M66" s="2433">
        <f>ROUND(335 * 10 * 1.25, 2)</f>
        <v>4187.5</v>
      </c>
      <c r="N66" s="2432"/>
      <c r="O66" s="2432" t="s">
        <v>588</v>
      </c>
      <c r="P66" s="2432"/>
    </row>
    <row r="67" spans="1:16" x14ac:dyDescent="0.25">
      <c r="A67" s="1837"/>
      <c r="B67" s="2442" t="s">
        <v>4168</v>
      </c>
      <c r="C67" s="2442"/>
      <c r="D67" s="2442"/>
      <c r="E67" s="2442"/>
      <c r="F67" s="2442" t="s">
        <v>588</v>
      </c>
      <c r="G67" s="2442"/>
      <c r="H67" s="1837"/>
      <c r="I67" s="1837"/>
      <c r="J67" s="2442" t="s">
        <v>588</v>
      </c>
      <c r="K67" s="2442"/>
      <c r="L67" s="2442"/>
      <c r="M67" s="2442"/>
      <c r="N67" s="2442"/>
      <c r="O67" s="2442"/>
      <c r="P67" s="2442"/>
    </row>
    <row r="68" spans="1:16" ht="68.099999999999994" customHeight="1" x14ac:dyDescent="0.25">
      <c r="A68" s="1838"/>
      <c r="B68" s="2443" t="s">
        <v>6674</v>
      </c>
      <c r="C68" s="2443"/>
      <c r="D68" s="2443"/>
      <c r="E68" s="2443"/>
      <c r="F68" s="2443" t="s">
        <v>6673</v>
      </c>
      <c r="G68" s="2443"/>
      <c r="H68" s="1838"/>
      <c r="I68" s="1838"/>
      <c r="J68" s="2443" t="s">
        <v>588</v>
      </c>
      <c r="K68" s="2443"/>
      <c r="L68" s="2443"/>
      <c r="M68" s="2443"/>
      <c r="N68" s="2443"/>
      <c r="O68" s="2443"/>
      <c r="P68" s="2443"/>
    </row>
    <row r="69" spans="1:16" ht="81.599999999999994" customHeight="1" x14ac:dyDescent="0.25">
      <c r="A69" s="1836" t="s">
        <v>6744</v>
      </c>
      <c r="B69" s="2431" t="s">
        <v>6743</v>
      </c>
      <c r="C69" s="2432"/>
      <c r="D69" s="2432"/>
      <c r="E69" s="2432"/>
      <c r="F69" s="2432" t="s">
        <v>6742</v>
      </c>
      <c r="G69" s="2432"/>
      <c r="H69" s="1840" t="s">
        <v>6741</v>
      </c>
      <c r="I69" s="1840" t="s">
        <v>652</v>
      </c>
      <c r="J69" s="2432" t="s">
        <v>6740</v>
      </c>
      <c r="K69" s="2432"/>
      <c r="L69" s="2432"/>
      <c r="M69" s="2433">
        <f>ROUND(141 * 10 * 1.25, 2)</f>
        <v>1762.5</v>
      </c>
      <c r="N69" s="2432"/>
      <c r="O69" s="2432" t="s">
        <v>588</v>
      </c>
      <c r="P69" s="2432"/>
    </row>
    <row r="70" spans="1:16" x14ac:dyDescent="0.25">
      <c r="A70" s="1837"/>
      <c r="B70" s="2442" t="s">
        <v>4168</v>
      </c>
      <c r="C70" s="2442"/>
      <c r="D70" s="2442"/>
      <c r="E70" s="2442"/>
      <c r="F70" s="2442" t="s">
        <v>588</v>
      </c>
      <c r="G70" s="2442"/>
      <c r="H70" s="1837"/>
      <c r="I70" s="1837"/>
      <c r="J70" s="2442" t="s">
        <v>588</v>
      </c>
      <c r="K70" s="2442"/>
      <c r="L70" s="2442"/>
      <c r="M70" s="2442"/>
      <c r="N70" s="2442"/>
      <c r="O70" s="2442"/>
      <c r="P70" s="2442"/>
    </row>
    <row r="71" spans="1:16" ht="68.099999999999994" customHeight="1" x14ac:dyDescent="0.25">
      <c r="A71" s="1838"/>
      <c r="B71" s="2443" t="s">
        <v>6674</v>
      </c>
      <c r="C71" s="2443"/>
      <c r="D71" s="2443"/>
      <c r="E71" s="2443"/>
      <c r="F71" s="2443" t="s">
        <v>6673</v>
      </c>
      <c r="G71" s="2443"/>
      <c r="H71" s="1838"/>
      <c r="I71" s="1838"/>
      <c r="J71" s="2443" t="s">
        <v>588</v>
      </c>
      <c r="K71" s="2443"/>
      <c r="L71" s="2443"/>
      <c r="M71" s="2443"/>
      <c r="N71" s="2443"/>
      <c r="O71" s="2443"/>
      <c r="P71" s="2443"/>
    </row>
    <row r="72" spans="1:16" ht="122.45" customHeight="1" x14ac:dyDescent="0.25">
      <c r="A72" s="1836" t="s">
        <v>6739</v>
      </c>
      <c r="B72" s="2431" t="s">
        <v>6738</v>
      </c>
      <c r="C72" s="2432"/>
      <c r="D72" s="2432"/>
      <c r="E72" s="2432"/>
      <c r="F72" s="2432" t="s">
        <v>6737</v>
      </c>
      <c r="G72" s="2432"/>
      <c r="H72" s="1840" t="s">
        <v>6714</v>
      </c>
      <c r="I72" s="1840" t="s">
        <v>652</v>
      </c>
      <c r="J72" s="2432" t="s">
        <v>6736</v>
      </c>
      <c r="K72" s="2432"/>
      <c r="L72" s="2432"/>
      <c r="M72" s="2433">
        <f>ROUND(229 * 10 * 1.25, 2)</f>
        <v>2862.5</v>
      </c>
      <c r="N72" s="2432"/>
      <c r="O72" s="2432" t="s">
        <v>588</v>
      </c>
      <c r="P72" s="2432"/>
    </row>
    <row r="73" spans="1:16" x14ac:dyDescent="0.25">
      <c r="A73" s="1837"/>
      <c r="B73" s="2442" t="s">
        <v>4168</v>
      </c>
      <c r="C73" s="2442"/>
      <c r="D73" s="2442"/>
      <c r="E73" s="2442"/>
      <c r="F73" s="2442" t="s">
        <v>588</v>
      </c>
      <c r="G73" s="2442"/>
      <c r="H73" s="1837"/>
      <c r="I73" s="1837"/>
      <c r="J73" s="2442" t="s">
        <v>588</v>
      </c>
      <c r="K73" s="2442"/>
      <c r="L73" s="2442"/>
      <c r="M73" s="2442"/>
      <c r="N73" s="2442"/>
      <c r="O73" s="2442"/>
      <c r="P73" s="2442"/>
    </row>
    <row r="74" spans="1:16" ht="68.099999999999994" customHeight="1" x14ac:dyDescent="0.25">
      <c r="A74" s="1838"/>
      <c r="B74" s="2443" t="s">
        <v>6674</v>
      </c>
      <c r="C74" s="2443"/>
      <c r="D74" s="2443"/>
      <c r="E74" s="2443"/>
      <c r="F74" s="2443" t="s">
        <v>6673</v>
      </c>
      <c r="G74" s="2443"/>
      <c r="H74" s="1838"/>
      <c r="I74" s="1838"/>
      <c r="J74" s="2443" t="s">
        <v>588</v>
      </c>
      <c r="K74" s="2443"/>
      <c r="L74" s="2443"/>
      <c r="M74" s="2443"/>
      <c r="N74" s="2443"/>
      <c r="O74" s="2443"/>
      <c r="P74" s="2443"/>
    </row>
    <row r="75" spans="1:16" ht="108.75" customHeight="1" x14ac:dyDescent="0.25">
      <c r="A75" s="1836" t="s">
        <v>346</v>
      </c>
      <c r="B75" s="2431" t="s">
        <v>6735</v>
      </c>
      <c r="C75" s="2432"/>
      <c r="D75" s="2432"/>
      <c r="E75" s="2432"/>
      <c r="F75" s="2432" t="s">
        <v>6734</v>
      </c>
      <c r="G75" s="2432"/>
      <c r="H75" s="1840" t="s">
        <v>6714</v>
      </c>
      <c r="I75" s="1840" t="s">
        <v>652</v>
      </c>
      <c r="J75" s="2432" t="s">
        <v>6733</v>
      </c>
      <c r="K75" s="2432"/>
      <c r="L75" s="2432"/>
      <c r="M75" s="2433">
        <f>ROUND(653 * 10 * 1.25, 2)</f>
        <v>8162.5</v>
      </c>
      <c r="N75" s="2432"/>
      <c r="O75" s="2432" t="s">
        <v>588</v>
      </c>
      <c r="P75" s="2432"/>
    </row>
    <row r="76" spans="1:16" x14ac:dyDescent="0.25">
      <c r="A76" s="1837"/>
      <c r="B76" s="2442" t="s">
        <v>4168</v>
      </c>
      <c r="C76" s="2442"/>
      <c r="D76" s="2442"/>
      <c r="E76" s="2442"/>
      <c r="F76" s="2442" t="s">
        <v>588</v>
      </c>
      <c r="G76" s="2442"/>
      <c r="H76" s="1837"/>
      <c r="I76" s="1837"/>
      <c r="J76" s="2442" t="s">
        <v>588</v>
      </c>
      <c r="K76" s="2442"/>
      <c r="L76" s="2442"/>
      <c r="M76" s="2442"/>
      <c r="N76" s="2442"/>
      <c r="O76" s="2442"/>
      <c r="P76" s="2442"/>
    </row>
    <row r="77" spans="1:16" ht="68.099999999999994" customHeight="1" x14ac:dyDescent="0.25">
      <c r="A77" s="1838"/>
      <c r="B77" s="2443" t="s">
        <v>6674</v>
      </c>
      <c r="C77" s="2443"/>
      <c r="D77" s="2443"/>
      <c r="E77" s="2443"/>
      <c r="F77" s="2443" t="s">
        <v>6673</v>
      </c>
      <c r="G77" s="2443"/>
      <c r="H77" s="1838"/>
      <c r="I77" s="1838"/>
      <c r="J77" s="2443" t="s">
        <v>588</v>
      </c>
      <c r="K77" s="2443"/>
      <c r="L77" s="2443"/>
      <c r="M77" s="2443"/>
      <c r="N77" s="2443"/>
      <c r="O77" s="2443"/>
      <c r="P77" s="2443"/>
    </row>
    <row r="78" spans="1:16" ht="122.45" customHeight="1" x14ac:dyDescent="0.25">
      <c r="A78" s="1836" t="s">
        <v>349</v>
      </c>
      <c r="B78" s="2431" t="s">
        <v>6732</v>
      </c>
      <c r="C78" s="2432"/>
      <c r="D78" s="2432"/>
      <c r="E78" s="2432"/>
      <c r="F78" s="2432" t="s">
        <v>6731</v>
      </c>
      <c r="G78" s="2432"/>
      <c r="H78" s="1840" t="s">
        <v>6714</v>
      </c>
      <c r="I78" s="1840" t="s">
        <v>652</v>
      </c>
      <c r="J78" s="2432" t="s">
        <v>6730</v>
      </c>
      <c r="K78" s="2432"/>
      <c r="L78" s="2432"/>
      <c r="M78" s="2433">
        <f>ROUND(600 * 10 * 1.25, 2)</f>
        <v>7500</v>
      </c>
      <c r="N78" s="2432"/>
      <c r="O78" s="2432" t="s">
        <v>588</v>
      </c>
      <c r="P78" s="2432"/>
    </row>
    <row r="79" spans="1:16" x14ac:dyDescent="0.25">
      <c r="A79" s="1837"/>
      <c r="B79" s="2442" t="s">
        <v>4168</v>
      </c>
      <c r="C79" s="2442"/>
      <c r="D79" s="2442"/>
      <c r="E79" s="2442"/>
      <c r="F79" s="2442" t="s">
        <v>588</v>
      </c>
      <c r="G79" s="2442"/>
      <c r="H79" s="1837"/>
      <c r="I79" s="1837"/>
      <c r="J79" s="2442" t="s">
        <v>588</v>
      </c>
      <c r="K79" s="2442"/>
      <c r="L79" s="2442"/>
      <c r="M79" s="2442"/>
      <c r="N79" s="2442"/>
      <c r="O79" s="2442"/>
      <c r="P79" s="2442"/>
    </row>
    <row r="80" spans="1:16" ht="68.099999999999994" customHeight="1" x14ac:dyDescent="0.25">
      <c r="A80" s="1838"/>
      <c r="B80" s="2443" t="s">
        <v>6674</v>
      </c>
      <c r="C80" s="2443"/>
      <c r="D80" s="2443"/>
      <c r="E80" s="2443"/>
      <c r="F80" s="2443" t="s">
        <v>6673</v>
      </c>
      <c r="G80" s="2443"/>
      <c r="H80" s="1838"/>
      <c r="I80" s="1838"/>
      <c r="J80" s="2443" t="s">
        <v>588</v>
      </c>
      <c r="K80" s="2443"/>
      <c r="L80" s="2443"/>
      <c r="M80" s="2443"/>
      <c r="N80" s="2443"/>
      <c r="O80" s="2443"/>
      <c r="P80" s="2443"/>
    </row>
    <row r="81" spans="1:16" ht="95.25" customHeight="1" x14ac:dyDescent="0.25">
      <c r="A81" s="1836" t="s">
        <v>6729</v>
      </c>
      <c r="B81" s="2431" t="s">
        <v>6728</v>
      </c>
      <c r="C81" s="2432"/>
      <c r="D81" s="2432"/>
      <c r="E81" s="2432"/>
      <c r="F81" s="2432" t="s">
        <v>6727</v>
      </c>
      <c r="G81" s="2432"/>
      <c r="H81" s="1840" t="s">
        <v>6714</v>
      </c>
      <c r="I81" s="1840" t="s">
        <v>652</v>
      </c>
      <c r="J81" s="2432" t="s">
        <v>6726</v>
      </c>
      <c r="K81" s="2432"/>
      <c r="L81" s="2432"/>
      <c r="M81" s="2433">
        <f>ROUND(3452 * 10 * 1.25, 2)</f>
        <v>43150</v>
      </c>
      <c r="N81" s="2432"/>
      <c r="O81" s="2432" t="s">
        <v>588</v>
      </c>
      <c r="P81" s="2432"/>
    </row>
    <row r="82" spans="1:16" x14ac:dyDescent="0.25">
      <c r="A82" s="1837"/>
      <c r="B82" s="2442" t="s">
        <v>4168</v>
      </c>
      <c r="C82" s="2442"/>
      <c r="D82" s="2442"/>
      <c r="E82" s="2442"/>
      <c r="F82" s="2442" t="s">
        <v>588</v>
      </c>
      <c r="G82" s="2442"/>
      <c r="H82" s="1837"/>
      <c r="I82" s="1837"/>
      <c r="J82" s="2442" t="s">
        <v>588</v>
      </c>
      <c r="K82" s="2442"/>
      <c r="L82" s="2442"/>
      <c r="M82" s="2442"/>
      <c r="N82" s="2442"/>
      <c r="O82" s="2442"/>
      <c r="P82" s="2442"/>
    </row>
    <row r="83" spans="1:16" ht="68.099999999999994" customHeight="1" x14ac:dyDescent="0.25">
      <c r="A83" s="1838"/>
      <c r="B83" s="2443" t="s">
        <v>6674</v>
      </c>
      <c r="C83" s="2443"/>
      <c r="D83" s="2443"/>
      <c r="E83" s="2443"/>
      <c r="F83" s="2443" t="s">
        <v>6673</v>
      </c>
      <c r="G83" s="2443"/>
      <c r="H83" s="1838"/>
      <c r="I83" s="1838"/>
      <c r="J83" s="2443" t="s">
        <v>588</v>
      </c>
      <c r="K83" s="2443"/>
      <c r="L83" s="2443"/>
      <c r="M83" s="2443"/>
      <c r="N83" s="2443"/>
      <c r="O83" s="2443"/>
      <c r="P83" s="2443"/>
    </row>
    <row r="84" spans="1:16" ht="81.599999999999994" customHeight="1" x14ac:dyDescent="0.25">
      <c r="A84" s="1836" t="s">
        <v>6725</v>
      </c>
      <c r="B84" s="2431" t="s">
        <v>6724</v>
      </c>
      <c r="C84" s="2432"/>
      <c r="D84" s="2432"/>
      <c r="E84" s="2432"/>
      <c r="F84" s="2432" t="s">
        <v>6723</v>
      </c>
      <c r="G84" s="2432"/>
      <c r="H84" s="1840" t="s">
        <v>6714</v>
      </c>
      <c r="I84" s="1840" t="s">
        <v>652</v>
      </c>
      <c r="J84" s="2432" t="s">
        <v>6722</v>
      </c>
      <c r="K84" s="2432"/>
      <c r="L84" s="2432"/>
      <c r="M84" s="2433">
        <f>ROUND(3029 * 10 * 1.25, 2)</f>
        <v>37862.5</v>
      </c>
      <c r="N84" s="2432"/>
      <c r="O84" s="2432" t="s">
        <v>588</v>
      </c>
      <c r="P84" s="2432"/>
    </row>
    <row r="85" spans="1:16" x14ac:dyDescent="0.25">
      <c r="A85" s="1837"/>
      <c r="B85" s="2442" t="s">
        <v>4168</v>
      </c>
      <c r="C85" s="2442"/>
      <c r="D85" s="2442"/>
      <c r="E85" s="2442"/>
      <c r="F85" s="2442" t="s">
        <v>588</v>
      </c>
      <c r="G85" s="2442"/>
      <c r="H85" s="1837"/>
      <c r="I85" s="1837"/>
      <c r="J85" s="2442" t="s">
        <v>588</v>
      </c>
      <c r="K85" s="2442"/>
      <c r="L85" s="2442"/>
      <c r="M85" s="2442"/>
      <c r="N85" s="2442"/>
      <c r="O85" s="2442"/>
      <c r="P85" s="2442"/>
    </row>
    <row r="86" spans="1:16" ht="68.099999999999994" customHeight="1" x14ac:dyDescent="0.25">
      <c r="A86" s="1838"/>
      <c r="B86" s="2443" t="s">
        <v>6674</v>
      </c>
      <c r="C86" s="2443"/>
      <c r="D86" s="2443"/>
      <c r="E86" s="2443"/>
      <c r="F86" s="2443" t="s">
        <v>6673</v>
      </c>
      <c r="G86" s="2443"/>
      <c r="H86" s="1838"/>
      <c r="I86" s="1838"/>
      <c r="J86" s="2443" t="s">
        <v>588</v>
      </c>
      <c r="K86" s="2443"/>
      <c r="L86" s="2443"/>
      <c r="M86" s="2443"/>
      <c r="N86" s="2443"/>
      <c r="O86" s="2443"/>
      <c r="P86" s="2443"/>
    </row>
    <row r="87" spans="1:16" ht="81.599999999999994" customHeight="1" x14ac:dyDescent="0.25">
      <c r="A87" s="1836" t="s">
        <v>6721</v>
      </c>
      <c r="B87" s="2431" t="s">
        <v>6720</v>
      </c>
      <c r="C87" s="2432"/>
      <c r="D87" s="2432"/>
      <c r="E87" s="2432"/>
      <c r="F87" s="2432" t="s">
        <v>6719</v>
      </c>
      <c r="G87" s="2432"/>
      <c r="H87" s="1840" t="s">
        <v>6714</v>
      </c>
      <c r="I87" s="1840" t="s">
        <v>640</v>
      </c>
      <c r="J87" s="2432" t="s">
        <v>6718</v>
      </c>
      <c r="K87" s="2432"/>
      <c r="L87" s="2432"/>
      <c r="M87" s="2433">
        <f>ROUND(8825 * 3 * 1.25, 2)</f>
        <v>33093.75</v>
      </c>
      <c r="N87" s="2432"/>
      <c r="O87" s="2432" t="s">
        <v>588</v>
      </c>
      <c r="P87" s="2432"/>
    </row>
    <row r="88" spans="1:16" x14ac:dyDescent="0.25">
      <c r="A88" s="1837"/>
      <c r="B88" s="2442" t="s">
        <v>4168</v>
      </c>
      <c r="C88" s="2442"/>
      <c r="D88" s="2442"/>
      <c r="E88" s="2442"/>
      <c r="F88" s="2442" t="s">
        <v>588</v>
      </c>
      <c r="G88" s="2442"/>
      <c r="H88" s="1837"/>
      <c r="I88" s="1837"/>
      <c r="J88" s="2442" t="s">
        <v>588</v>
      </c>
      <c r="K88" s="2442"/>
      <c r="L88" s="2442"/>
      <c r="M88" s="2442"/>
      <c r="N88" s="2442"/>
      <c r="O88" s="2442"/>
      <c r="P88" s="2442"/>
    </row>
    <row r="89" spans="1:16" ht="68.099999999999994" customHeight="1" x14ac:dyDescent="0.25">
      <c r="A89" s="1838"/>
      <c r="B89" s="2443" t="s">
        <v>6674</v>
      </c>
      <c r="C89" s="2443"/>
      <c r="D89" s="2443"/>
      <c r="E89" s="2443"/>
      <c r="F89" s="2443" t="s">
        <v>6673</v>
      </c>
      <c r="G89" s="2443"/>
      <c r="H89" s="1838"/>
      <c r="I89" s="1838"/>
      <c r="J89" s="2443" t="s">
        <v>588</v>
      </c>
      <c r="K89" s="2443"/>
      <c r="L89" s="2443"/>
      <c r="M89" s="2443"/>
      <c r="N89" s="2443"/>
      <c r="O89" s="2443"/>
      <c r="P89" s="2443"/>
    </row>
    <row r="90" spans="1:16" ht="81.599999999999994" customHeight="1" x14ac:dyDescent="0.25">
      <c r="A90" s="1836" t="s">
        <v>6717</v>
      </c>
      <c r="B90" s="2431" t="s">
        <v>6716</v>
      </c>
      <c r="C90" s="2432"/>
      <c r="D90" s="2432"/>
      <c r="E90" s="2432"/>
      <c r="F90" s="2432" t="s">
        <v>6715</v>
      </c>
      <c r="G90" s="2432"/>
      <c r="H90" s="1840" t="s">
        <v>6714</v>
      </c>
      <c r="I90" s="1840" t="s">
        <v>640</v>
      </c>
      <c r="J90" s="2432" t="s">
        <v>6713</v>
      </c>
      <c r="K90" s="2432"/>
      <c r="L90" s="2432"/>
      <c r="M90" s="2433">
        <f>ROUND(2726 * 3 * 1.25, 2)</f>
        <v>10222.5</v>
      </c>
      <c r="N90" s="2432"/>
      <c r="O90" s="2432" t="s">
        <v>588</v>
      </c>
      <c r="P90" s="2432"/>
    </row>
    <row r="91" spans="1:16" x14ac:dyDescent="0.25">
      <c r="A91" s="1837"/>
      <c r="B91" s="2442" t="s">
        <v>4168</v>
      </c>
      <c r="C91" s="2442"/>
      <c r="D91" s="2442"/>
      <c r="E91" s="2442"/>
      <c r="F91" s="2442" t="s">
        <v>588</v>
      </c>
      <c r="G91" s="2442"/>
      <c r="H91" s="1837"/>
      <c r="I91" s="1837"/>
      <c r="J91" s="2442" t="s">
        <v>588</v>
      </c>
      <c r="K91" s="2442"/>
      <c r="L91" s="2442"/>
      <c r="M91" s="2442"/>
      <c r="N91" s="2442"/>
      <c r="O91" s="2442"/>
      <c r="P91" s="2442"/>
    </row>
    <row r="92" spans="1:16" ht="68.099999999999994" customHeight="1" x14ac:dyDescent="0.25">
      <c r="A92" s="1838"/>
      <c r="B92" s="2443" t="s">
        <v>6674</v>
      </c>
      <c r="C92" s="2443"/>
      <c r="D92" s="2443"/>
      <c r="E92" s="2443"/>
      <c r="F92" s="2443" t="s">
        <v>6673</v>
      </c>
      <c r="G92" s="2443"/>
      <c r="H92" s="1838"/>
      <c r="I92" s="1838"/>
      <c r="J92" s="2443" t="s">
        <v>588</v>
      </c>
      <c r="K92" s="2443"/>
      <c r="L92" s="2443"/>
      <c r="M92" s="2443"/>
      <c r="N92" s="2443"/>
      <c r="O92" s="2443"/>
      <c r="P92" s="2443"/>
    </row>
    <row r="93" spans="1:16" x14ac:dyDescent="0.25">
      <c r="A93" s="1839"/>
      <c r="B93" s="2441" t="s">
        <v>6511</v>
      </c>
      <c r="C93" s="2441"/>
      <c r="D93" s="2441"/>
      <c r="E93" s="2441"/>
      <c r="F93" s="2441"/>
      <c r="G93" s="2441"/>
      <c r="H93" s="1839"/>
      <c r="I93" s="1839"/>
      <c r="J93" s="2441" t="s">
        <v>588</v>
      </c>
      <c r="K93" s="2441"/>
      <c r="L93" s="2441"/>
      <c r="M93" s="2444">
        <f>ROUND(SUM($M$35:$M$90),2)</f>
        <v>474728.75</v>
      </c>
      <c r="N93" s="2441"/>
      <c r="O93" s="2441"/>
      <c r="P93" s="2441"/>
    </row>
    <row r="94" spans="1:16" x14ac:dyDescent="0.25">
      <c r="A94" s="1839"/>
      <c r="B94" s="2441" t="s">
        <v>6512</v>
      </c>
      <c r="C94" s="2441"/>
      <c r="D94" s="2441"/>
      <c r="E94" s="2441"/>
      <c r="F94" s="2441"/>
      <c r="G94" s="2441"/>
      <c r="H94" s="1839"/>
      <c r="I94" s="1839"/>
      <c r="J94" s="2441" t="s">
        <v>588</v>
      </c>
      <c r="K94" s="2441"/>
      <c r="L94" s="2441"/>
      <c r="M94" s="2444">
        <f>ROUND(($M$93),2)</f>
        <v>474728.75</v>
      </c>
      <c r="N94" s="2441"/>
      <c r="O94" s="2441"/>
      <c r="P94" s="2441"/>
    </row>
    <row r="95" spans="1:16" ht="27.2" customHeight="1" x14ac:dyDescent="0.25">
      <c r="A95" s="1839"/>
      <c r="B95" s="2441" t="s">
        <v>6712</v>
      </c>
      <c r="C95" s="2441"/>
      <c r="D95" s="2441"/>
      <c r="E95" s="2441"/>
      <c r="F95" s="2441"/>
      <c r="G95" s="2441"/>
      <c r="H95" s="1839"/>
      <c r="I95" s="1839"/>
      <c r="J95" s="2441"/>
      <c r="K95" s="2441"/>
      <c r="L95" s="2441"/>
      <c r="M95" s="2441"/>
      <c r="N95" s="2441"/>
      <c r="O95" s="2441"/>
      <c r="P95" s="2441"/>
    </row>
    <row r="96" spans="1:16" ht="122.45" customHeight="1" x14ac:dyDescent="0.25">
      <c r="A96" s="1836" t="s">
        <v>240</v>
      </c>
      <c r="B96" s="2431" t="s">
        <v>6711</v>
      </c>
      <c r="C96" s="2432"/>
      <c r="D96" s="2432"/>
      <c r="E96" s="2432"/>
      <c r="F96" s="2432" t="s">
        <v>6710</v>
      </c>
      <c r="G96" s="2432"/>
      <c r="H96" s="1840" t="s">
        <v>6709</v>
      </c>
      <c r="I96" s="1840" t="s">
        <v>6708</v>
      </c>
      <c r="J96" s="2432" t="s">
        <v>6707</v>
      </c>
      <c r="K96" s="2432"/>
      <c r="L96" s="2432"/>
      <c r="M96" s="2433">
        <f>ROUND(434 * 151 * 1.25, 2)</f>
        <v>81917.5</v>
      </c>
      <c r="N96" s="2432"/>
      <c r="O96" s="2432" t="s">
        <v>588</v>
      </c>
      <c r="P96" s="2432"/>
    </row>
    <row r="97" spans="1:16" x14ac:dyDescent="0.25">
      <c r="A97" s="1837"/>
      <c r="B97" s="2442" t="s">
        <v>4168</v>
      </c>
      <c r="C97" s="2442"/>
      <c r="D97" s="2442"/>
      <c r="E97" s="2442"/>
      <c r="F97" s="2442" t="s">
        <v>588</v>
      </c>
      <c r="G97" s="2442"/>
      <c r="H97" s="1837"/>
      <c r="I97" s="1837"/>
      <c r="J97" s="2442" t="s">
        <v>588</v>
      </c>
      <c r="K97" s="2442"/>
      <c r="L97" s="2442"/>
      <c r="M97" s="2442"/>
      <c r="N97" s="2442"/>
      <c r="O97" s="2442"/>
      <c r="P97" s="2442"/>
    </row>
    <row r="98" spans="1:16" ht="68.099999999999994" customHeight="1" x14ac:dyDescent="0.25">
      <c r="A98" s="1838"/>
      <c r="B98" s="2443" t="s">
        <v>6674</v>
      </c>
      <c r="C98" s="2443"/>
      <c r="D98" s="2443"/>
      <c r="E98" s="2443"/>
      <c r="F98" s="2443" t="s">
        <v>6673</v>
      </c>
      <c r="G98" s="2443"/>
      <c r="H98" s="1838"/>
      <c r="I98" s="1838"/>
      <c r="J98" s="2443" t="s">
        <v>588</v>
      </c>
      <c r="K98" s="2443"/>
      <c r="L98" s="2443"/>
      <c r="M98" s="2443"/>
      <c r="N98" s="2443"/>
      <c r="O98" s="2443"/>
      <c r="P98" s="2443"/>
    </row>
    <row r="99" spans="1:16" ht="68.099999999999994" customHeight="1" x14ac:dyDescent="0.25">
      <c r="A99" s="1836" t="s">
        <v>508</v>
      </c>
      <c r="B99" s="2431" t="s">
        <v>6706</v>
      </c>
      <c r="C99" s="2432"/>
      <c r="D99" s="2432"/>
      <c r="E99" s="2432"/>
      <c r="F99" s="2432" t="s">
        <v>6705</v>
      </c>
      <c r="G99" s="2432"/>
      <c r="H99" s="1840" t="s">
        <v>6694</v>
      </c>
      <c r="I99" s="1840" t="s">
        <v>916</v>
      </c>
      <c r="J99" s="2432" t="s">
        <v>6704</v>
      </c>
      <c r="K99" s="2432"/>
      <c r="L99" s="2432"/>
      <c r="M99" s="2433">
        <f>ROUND(320 * 20 * 1.25, 2)</f>
        <v>8000</v>
      </c>
      <c r="N99" s="2432"/>
      <c r="O99" s="2432" t="s">
        <v>6703</v>
      </c>
      <c r="P99" s="2432"/>
    </row>
    <row r="100" spans="1:16" x14ac:dyDescent="0.25">
      <c r="A100" s="1837"/>
      <c r="B100" s="2442" t="s">
        <v>4168</v>
      </c>
      <c r="C100" s="2442"/>
      <c r="D100" s="2442"/>
      <c r="E100" s="2442"/>
      <c r="F100" s="2442" t="s">
        <v>588</v>
      </c>
      <c r="G100" s="2442"/>
      <c r="H100" s="1837"/>
      <c r="I100" s="1837"/>
      <c r="J100" s="2442" t="s">
        <v>588</v>
      </c>
      <c r="K100" s="2442"/>
      <c r="L100" s="2442"/>
      <c r="M100" s="2442"/>
      <c r="N100" s="2442"/>
      <c r="O100" s="2442"/>
      <c r="P100" s="2442"/>
    </row>
    <row r="101" spans="1:16" ht="68.099999999999994" customHeight="1" x14ac:dyDescent="0.25">
      <c r="A101" s="1838"/>
      <c r="B101" s="2443" t="s">
        <v>6674</v>
      </c>
      <c r="C101" s="2443"/>
      <c r="D101" s="2443"/>
      <c r="E101" s="2443"/>
      <c r="F101" s="2443" t="s">
        <v>6673</v>
      </c>
      <c r="G101" s="2443"/>
      <c r="H101" s="1838"/>
      <c r="I101" s="1838"/>
      <c r="J101" s="2443" t="s">
        <v>588</v>
      </c>
      <c r="K101" s="2443"/>
      <c r="L101" s="2443"/>
      <c r="M101" s="2443"/>
      <c r="N101" s="2443"/>
      <c r="O101" s="2443"/>
      <c r="P101" s="2443"/>
    </row>
    <row r="102" spans="1:16" ht="68.099999999999994" customHeight="1" x14ac:dyDescent="0.25">
      <c r="A102" s="1836" t="s">
        <v>509</v>
      </c>
      <c r="B102" s="2431" t="s">
        <v>6702</v>
      </c>
      <c r="C102" s="2432"/>
      <c r="D102" s="2432"/>
      <c r="E102" s="2432"/>
      <c r="F102" s="2432" t="s">
        <v>6701</v>
      </c>
      <c r="G102" s="2432"/>
      <c r="H102" s="1840" t="s">
        <v>6694</v>
      </c>
      <c r="I102" s="1840" t="s">
        <v>652</v>
      </c>
      <c r="J102" s="2432" t="s">
        <v>6700</v>
      </c>
      <c r="K102" s="2432"/>
      <c r="L102" s="2432"/>
      <c r="M102" s="2433">
        <f>ROUND(316 * 10 * 1.25, 2)</f>
        <v>3950</v>
      </c>
      <c r="N102" s="2432"/>
      <c r="O102" s="2432" t="s">
        <v>588</v>
      </c>
      <c r="P102" s="2432"/>
    </row>
    <row r="103" spans="1:16" x14ac:dyDescent="0.25">
      <c r="A103" s="1837"/>
      <c r="B103" s="2442" t="s">
        <v>4168</v>
      </c>
      <c r="C103" s="2442"/>
      <c r="D103" s="2442"/>
      <c r="E103" s="2442"/>
      <c r="F103" s="2442" t="s">
        <v>588</v>
      </c>
      <c r="G103" s="2442"/>
      <c r="H103" s="1837"/>
      <c r="I103" s="1837"/>
      <c r="J103" s="2442" t="s">
        <v>588</v>
      </c>
      <c r="K103" s="2442"/>
      <c r="L103" s="2442"/>
      <c r="M103" s="2442"/>
      <c r="N103" s="2442"/>
      <c r="O103" s="2442"/>
      <c r="P103" s="2442"/>
    </row>
    <row r="104" spans="1:16" ht="68.099999999999994" customHeight="1" x14ac:dyDescent="0.25">
      <c r="A104" s="1838"/>
      <c r="B104" s="2443" t="s">
        <v>6674</v>
      </c>
      <c r="C104" s="2443"/>
      <c r="D104" s="2443"/>
      <c r="E104" s="2443"/>
      <c r="F104" s="2443" t="s">
        <v>6673</v>
      </c>
      <c r="G104" s="2443"/>
      <c r="H104" s="1838"/>
      <c r="I104" s="1838"/>
      <c r="J104" s="2443" t="s">
        <v>588</v>
      </c>
      <c r="K104" s="2443"/>
      <c r="L104" s="2443"/>
      <c r="M104" s="2443"/>
      <c r="N104" s="2443"/>
      <c r="O104" s="2443"/>
      <c r="P104" s="2443"/>
    </row>
    <row r="105" spans="1:16" ht="68.099999999999994" customHeight="1" x14ac:dyDescent="0.25">
      <c r="A105" s="1836" t="s">
        <v>510</v>
      </c>
      <c r="B105" s="2431" t="s">
        <v>6699</v>
      </c>
      <c r="C105" s="2432"/>
      <c r="D105" s="2432"/>
      <c r="E105" s="2432"/>
      <c r="F105" s="2432" t="s">
        <v>6698</v>
      </c>
      <c r="G105" s="2432"/>
      <c r="H105" s="1840" t="s">
        <v>6694</v>
      </c>
      <c r="I105" s="1840" t="s">
        <v>640</v>
      </c>
      <c r="J105" s="2432" t="s">
        <v>6697</v>
      </c>
      <c r="K105" s="2432"/>
      <c r="L105" s="2432"/>
      <c r="M105" s="2433">
        <f>ROUND(385 * 3 * 1.25, 2)</f>
        <v>1443.75</v>
      </c>
      <c r="N105" s="2432"/>
      <c r="O105" s="2432" t="s">
        <v>588</v>
      </c>
      <c r="P105" s="2432"/>
    </row>
    <row r="106" spans="1:16" x14ac:dyDescent="0.25">
      <c r="A106" s="1837"/>
      <c r="B106" s="2442" t="s">
        <v>4168</v>
      </c>
      <c r="C106" s="2442"/>
      <c r="D106" s="2442"/>
      <c r="E106" s="2442"/>
      <c r="F106" s="2442" t="s">
        <v>588</v>
      </c>
      <c r="G106" s="2442"/>
      <c r="H106" s="1837"/>
      <c r="I106" s="1837"/>
      <c r="J106" s="2442" t="s">
        <v>588</v>
      </c>
      <c r="K106" s="2442"/>
      <c r="L106" s="2442"/>
      <c r="M106" s="2442"/>
      <c r="N106" s="2442"/>
      <c r="O106" s="2442"/>
      <c r="P106" s="2442"/>
    </row>
    <row r="107" spans="1:16" ht="68.099999999999994" customHeight="1" x14ac:dyDescent="0.25">
      <c r="A107" s="1838"/>
      <c r="B107" s="2443" t="s">
        <v>6674</v>
      </c>
      <c r="C107" s="2443"/>
      <c r="D107" s="2443"/>
      <c r="E107" s="2443"/>
      <c r="F107" s="2443" t="s">
        <v>6673</v>
      </c>
      <c r="G107" s="2443"/>
      <c r="H107" s="1838"/>
      <c r="I107" s="1838"/>
      <c r="J107" s="2443" t="s">
        <v>588</v>
      </c>
      <c r="K107" s="2443"/>
      <c r="L107" s="2443"/>
      <c r="M107" s="2443"/>
      <c r="N107" s="2443"/>
      <c r="O107" s="2443"/>
      <c r="P107" s="2443"/>
    </row>
    <row r="108" spans="1:16" ht="122.45" customHeight="1" x14ac:dyDescent="0.25">
      <c r="A108" s="1836" t="s">
        <v>4213</v>
      </c>
      <c r="B108" s="2431" t="s">
        <v>6696</v>
      </c>
      <c r="C108" s="2432"/>
      <c r="D108" s="2432"/>
      <c r="E108" s="2432"/>
      <c r="F108" s="2432" t="s">
        <v>6695</v>
      </c>
      <c r="G108" s="2432"/>
      <c r="H108" s="1840" t="s">
        <v>6694</v>
      </c>
      <c r="I108" s="1840" t="s">
        <v>640</v>
      </c>
      <c r="J108" s="2432" t="s">
        <v>6693</v>
      </c>
      <c r="K108" s="2432"/>
      <c r="L108" s="2432"/>
      <c r="M108" s="2433">
        <f>ROUND(352 * 3 * 1.25, 2)</f>
        <v>1320</v>
      </c>
      <c r="N108" s="2432"/>
      <c r="O108" s="2432" t="s">
        <v>588</v>
      </c>
      <c r="P108" s="2432"/>
    </row>
    <row r="109" spans="1:16" x14ac:dyDescent="0.25">
      <c r="A109" s="1837"/>
      <c r="B109" s="2442" t="s">
        <v>4168</v>
      </c>
      <c r="C109" s="2442"/>
      <c r="D109" s="2442"/>
      <c r="E109" s="2442"/>
      <c r="F109" s="2442" t="s">
        <v>588</v>
      </c>
      <c r="G109" s="2442"/>
      <c r="H109" s="1837"/>
      <c r="I109" s="1837"/>
      <c r="J109" s="2442" t="s">
        <v>588</v>
      </c>
      <c r="K109" s="2442"/>
      <c r="L109" s="2442"/>
      <c r="M109" s="2442"/>
      <c r="N109" s="2442"/>
      <c r="O109" s="2442"/>
      <c r="P109" s="2442"/>
    </row>
    <row r="110" spans="1:16" ht="68.099999999999994" customHeight="1" x14ac:dyDescent="0.25">
      <c r="A110" s="1838"/>
      <c r="B110" s="2443" t="s">
        <v>6674</v>
      </c>
      <c r="C110" s="2443"/>
      <c r="D110" s="2443"/>
      <c r="E110" s="2443"/>
      <c r="F110" s="2443" t="s">
        <v>6673</v>
      </c>
      <c r="G110" s="2443"/>
      <c r="H110" s="1838"/>
      <c r="I110" s="1838"/>
      <c r="J110" s="2443" t="s">
        <v>588</v>
      </c>
      <c r="K110" s="2443"/>
      <c r="L110" s="2443"/>
      <c r="M110" s="2443"/>
      <c r="N110" s="2443"/>
      <c r="O110" s="2443"/>
      <c r="P110" s="2443"/>
    </row>
    <row r="111" spans="1:16" x14ac:dyDescent="0.25">
      <c r="A111" s="1839"/>
      <c r="B111" s="2441" t="s">
        <v>6530</v>
      </c>
      <c r="C111" s="2441"/>
      <c r="D111" s="2441"/>
      <c r="E111" s="2441"/>
      <c r="F111" s="2441"/>
      <c r="G111" s="2441"/>
      <c r="H111" s="1839"/>
      <c r="I111" s="1839"/>
      <c r="J111" s="2441" t="s">
        <v>588</v>
      </c>
      <c r="K111" s="2441"/>
      <c r="L111" s="2441"/>
      <c r="M111" s="2444">
        <f>ROUND(SUM($M$96:$M$108),2)</f>
        <v>96631.25</v>
      </c>
      <c r="N111" s="2441"/>
      <c r="O111" s="2441"/>
      <c r="P111" s="2441"/>
    </row>
    <row r="112" spans="1:16" x14ac:dyDescent="0.25">
      <c r="A112" s="1839"/>
      <c r="B112" s="2441" t="s">
        <v>6531</v>
      </c>
      <c r="C112" s="2441"/>
      <c r="D112" s="2441"/>
      <c r="E112" s="2441"/>
      <c r="F112" s="2441"/>
      <c r="G112" s="2441"/>
      <c r="H112" s="1839"/>
      <c r="I112" s="1839"/>
      <c r="J112" s="2441" t="s">
        <v>588</v>
      </c>
      <c r="K112" s="2441"/>
      <c r="L112" s="2441"/>
      <c r="M112" s="2444">
        <f>ROUND(($M$111),2)</f>
        <v>96631.25</v>
      </c>
      <c r="N112" s="2441"/>
      <c r="O112" s="2441"/>
      <c r="P112" s="2441"/>
    </row>
    <row r="113" spans="1:16" ht="40.9" customHeight="1" x14ac:dyDescent="0.25">
      <c r="A113" s="1839"/>
      <c r="B113" s="2441" t="s">
        <v>6692</v>
      </c>
      <c r="C113" s="2441"/>
      <c r="D113" s="2441"/>
      <c r="E113" s="2441"/>
      <c r="F113" s="2441"/>
      <c r="G113" s="2441"/>
      <c r="H113" s="1839"/>
      <c r="I113" s="1839"/>
      <c r="J113" s="2441"/>
      <c r="K113" s="2441"/>
      <c r="L113" s="2441"/>
      <c r="M113" s="2441"/>
      <c r="N113" s="2441"/>
      <c r="O113" s="2441"/>
      <c r="P113" s="2441"/>
    </row>
    <row r="114" spans="1:16" ht="190.35" customHeight="1" x14ac:dyDescent="0.25">
      <c r="A114" s="1836" t="s">
        <v>237</v>
      </c>
      <c r="B114" s="2431" t="s">
        <v>6691</v>
      </c>
      <c r="C114" s="2432"/>
      <c r="D114" s="2432"/>
      <c r="E114" s="2432"/>
      <c r="F114" s="2432" t="s">
        <v>6690</v>
      </c>
      <c r="G114" s="2432"/>
      <c r="H114" s="1840" t="s">
        <v>588</v>
      </c>
      <c r="I114" s="1840" t="s">
        <v>190</v>
      </c>
      <c r="J114" s="2432" t="s">
        <v>6689</v>
      </c>
      <c r="K114" s="2432"/>
      <c r="L114" s="2432"/>
      <c r="M114" s="2433">
        <f>ROUND((1079.109 * ((22.2 + (8.9 - 22.2) / (2500 - 1000) * (1079.109 - 1000)) / 100) * 1 * 1.25) * 1000, 2)</f>
        <v>289991.21000000002</v>
      </c>
      <c r="N114" s="2432"/>
      <c r="O114" s="2432" t="s">
        <v>588</v>
      </c>
      <c r="P114" s="2432"/>
    </row>
    <row r="115" spans="1:16" x14ac:dyDescent="0.25">
      <c r="A115" s="1837"/>
      <c r="B115" s="2442" t="s">
        <v>4168</v>
      </c>
      <c r="C115" s="2442"/>
      <c r="D115" s="2442"/>
      <c r="E115" s="2442"/>
      <c r="F115" s="2442" t="s">
        <v>588</v>
      </c>
      <c r="G115" s="2442"/>
      <c r="H115" s="1837"/>
      <c r="I115" s="1837"/>
      <c r="J115" s="2442" t="s">
        <v>588</v>
      </c>
      <c r="K115" s="2442"/>
      <c r="L115" s="2442"/>
      <c r="M115" s="2442"/>
      <c r="N115" s="2442"/>
      <c r="O115" s="2442"/>
      <c r="P115" s="2442"/>
    </row>
    <row r="116" spans="1:16" ht="68.099999999999994" customHeight="1" x14ac:dyDescent="0.25">
      <c r="A116" s="1838"/>
      <c r="B116" s="2443" t="s">
        <v>6674</v>
      </c>
      <c r="C116" s="2443"/>
      <c r="D116" s="2443"/>
      <c r="E116" s="2443"/>
      <c r="F116" s="2443" t="s">
        <v>6673</v>
      </c>
      <c r="G116" s="2443"/>
      <c r="H116" s="1838"/>
      <c r="I116" s="1838"/>
      <c r="J116" s="2443" t="s">
        <v>588</v>
      </c>
      <c r="K116" s="2443"/>
      <c r="L116" s="2443"/>
      <c r="M116" s="2443"/>
      <c r="N116" s="2443"/>
      <c r="O116" s="2443"/>
      <c r="P116" s="2443"/>
    </row>
    <row r="117" spans="1:16" ht="190.35" customHeight="1" x14ac:dyDescent="0.25">
      <c r="A117" s="1836" t="s">
        <v>511</v>
      </c>
      <c r="B117" s="2431" t="s">
        <v>6688</v>
      </c>
      <c r="C117" s="2432"/>
      <c r="D117" s="2432"/>
      <c r="E117" s="2432"/>
      <c r="F117" s="2432" t="s">
        <v>6687</v>
      </c>
      <c r="G117" s="2432"/>
      <c r="H117" s="1840" t="s">
        <v>588</v>
      </c>
      <c r="I117" s="1840" t="s">
        <v>190</v>
      </c>
      <c r="J117" s="2432" t="s">
        <v>6686</v>
      </c>
      <c r="K117" s="2432"/>
      <c r="L117" s="2432"/>
      <c r="M117" s="2433">
        <f>ROUND((1079.109 * ((18.7 + (8.6 - 18.7) / (5000 - 1000) * (1079.109 - 1000)) / 100) * 1 * 1.25) * 1000, 2)</f>
        <v>249547.33</v>
      </c>
      <c r="N117" s="2432"/>
      <c r="O117" s="2432" t="s">
        <v>588</v>
      </c>
      <c r="P117" s="2432"/>
    </row>
    <row r="118" spans="1:16" x14ac:dyDescent="0.25">
      <c r="A118" s="1837"/>
      <c r="B118" s="2442" t="s">
        <v>4168</v>
      </c>
      <c r="C118" s="2442"/>
      <c r="D118" s="2442"/>
      <c r="E118" s="2442"/>
      <c r="F118" s="2442" t="s">
        <v>588</v>
      </c>
      <c r="G118" s="2442"/>
      <c r="H118" s="1837"/>
      <c r="I118" s="1837"/>
      <c r="J118" s="2442" t="s">
        <v>588</v>
      </c>
      <c r="K118" s="2442"/>
      <c r="L118" s="2442"/>
      <c r="M118" s="2442"/>
      <c r="N118" s="2442"/>
      <c r="O118" s="2442"/>
      <c r="P118" s="2442"/>
    </row>
    <row r="119" spans="1:16" ht="68.099999999999994" customHeight="1" x14ac:dyDescent="0.25">
      <c r="A119" s="1838"/>
      <c r="B119" s="2443" t="s">
        <v>6674</v>
      </c>
      <c r="C119" s="2443"/>
      <c r="D119" s="2443"/>
      <c r="E119" s="2443"/>
      <c r="F119" s="2443" t="s">
        <v>6673</v>
      </c>
      <c r="G119" s="2443"/>
      <c r="H119" s="1838"/>
      <c r="I119" s="1838"/>
      <c r="J119" s="2443" t="s">
        <v>588</v>
      </c>
      <c r="K119" s="2443"/>
      <c r="L119" s="2443"/>
      <c r="M119" s="2443"/>
      <c r="N119" s="2443"/>
      <c r="O119" s="2443"/>
      <c r="P119" s="2443"/>
    </row>
    <row r="120" spans="1:16" x14ac:dyDescent="0.25">
      <c r="A120" s="2445" t="s">
        <v>6685</v>
      </c>
      <c r="B120" s="2445"/>
      <c r="C120" s="2445"/>
      <c r="D120" s="2445"/>
      <c r="E120" s="2445"/>
      <c r="F120" s="2445"/>
      <c r="G120" s="2445"/>
      <c r="H120" s="2445"/>
      <c r="I120" s="2445"/>
      <c r="J120" s="2445"/>
      <c r="K120" s="2445"/>
      <c r="L120" s="2445"/>
      <c r="M120" s="2445"/>
      <c r="N120" s="2445"/>
      <c r="O120" s="2445"/>
      <c r="P120" s="2445"/>
    </row>
    <row r="121" spans="1:16" ht="135.94999999999999" customHeight="1" x14ac:dyDescent="0.25">
      <c r="A121" s="1836" t="s">
        <v>4366</v>
      </c>
      <c r="B121" s="2431" t="s">
        <v>6684</v>
      </c>
      <c r="C121" s="2432"/>
      <c r="D121" s="2432"/>
      <c r="E121" s="2432"/>
      <c r="F121" s="2432" t="s">
        <v>6683</v>
      </c>
      <c r="G121" s="2432"/>
      <c r="H121" s="1840" t="s">
        <v>6682</v>
      </c>
      <c r="I121" s="1840" t="s">
        <v>190</v>
      </c>
      <c r="J121" s="2432" t="s">
        <v>6681</v>
      </c>
      <c r="K121" s="2432"/>
      <c r="L121" s="2432"/>
      <c r="M121" s="2433">
        <f>ROUND(51681 * 1 * 1.25 * 1.4, 2)</f>
        <v>90441.75</v>
      </c>
      <c r="N121" s="2432"/>
      <c r="O121" s="2432" t="s">
        <v>588</v>
      </c>
      <c r="P121" s="2432"/>
    </row>
    <row r="122" spans="1:16" x14ac:dyDescent="0.25">
      <c r="A122" s="1837"/>
      <c r="B122" s="2442" t="s">
        <v>4168</v>
      </c>
      <c r="C122" s="2442"/>
      <c r="D122" s="2442"/>
      <c r="E122" s="2442"/>
      <c r="F122" s="2442" t="s">
        <v>588</v>
      </c>
      <c r="G122" s="2442"/>
      <c r="H122" s="1837"/>
      <c r="I122" s="1837"/>
      <c r="J122" s="2442" t="s">
        <v>588</v>
      </c>
      <c r="K122" s="2442"/>
      <c r="L122" s="2442"/>
      <c r="M122" s="2442"/>
      <c r="N122" s="2442"/>
      <c r="O122" s="2442"/>
      <c r="P122" s="2442"/>
    </row>
    <row r="123" spans="1:16" ht="68.099999999999994" customHeight="1" x14ac:dyDescent="0.25">
      <c r="A123" s="1838"/>
      <c r="B123" s="2443" t="s">
        <v>6674</v>
      </c>
      <c r="C123" s="2443"/>
      <c r="D123" s="2443"/>
      <c r="E123" s="2443"/>
      <c r="F123" s="2443" t="s">
        <v>6673</v>
      </c>
      <c r="G123" s="2443"/>
      <c r="H123" s="1838"/>
      <c r="I123" s="1838"/>
      <c r="J123" s="2443" t="s">
        <v>588</v>
      </c>
      <c r="K123" s="2443"/>
      <c r="L123" s="2443"/>
      <c r="M123" s="2443"/>
      <c r="N123" s="2443"/>
      <c r="O123" s="2443"/>
      <c r="P123" s="2443"/>
    </row>
    <row r="124" spans="1:16" ht="122.45" customHeight="1" x14ac:dyDescent="0.25">
      <c r="A124" s="1838"/>
      <c r="B124" s="2443" t="s">
        <v>6680</v>
      </c>
      <c r="C124" s="2443"/>
      <c r="D124" s="2443"/>
      <c r="E124" s="2443"/>
      <c r="F124" s="2443" t="s">
        <v>6679</v>
      </c>
      <c r="G124" s="2443"/>
      <c r="H124" s="1838"/>
      <c r="I124" s="1838"/>
      <c r="J124" s="2443" t="s">
        <v>588</v>
      </c>
      <c r="K124" s="2443"/>
      <c r="L124" s="2443"/>
      <c r="M124" s="2443"/>
      <c r="N124" s="2443"/>
      <c r="O124" s="2443"/>
      <c r="P124" s="2443"/>
    </row>
    <row r="125" spans="1:16" ht="176.85" customHeight="1" x14ac:dyDescent="0.25">
      <c r="A125" s="1836" t="s">
        <v>4367</v>
      </c>
      <c r="B125" s="2431" t="s">
        <v>6678</v>
      </c>
      <c r="C125" s="2432"/>
      <c r="D125" s="2432"/>
      <c r="E125" s="2432"/>
      <c r="F125" s="2432" t="s">
        <v>6677</v>
      </c>
      <c r="G125" s="2432"/>
      <c r="H125" s="1840" t="s">
        <v>6676</v>
      </c>
      <c r="I125" s="1840" t="s">
        <v>190</v>
      </c>
      <c r="J125" s="2432" t="s">
        <v>6675</v>
      </c>
      <c r="K125" s="2432"/>
      <c r="L125" s="2432"/>
      <c r="M125" s="2433">
        <v>348890.1</v>
      </c>
      <c r="N125" s="2432"/>
      <c r="O125" s="2432" t="s">
        <v>588</v>
      </c>
      <c r="P125" s="2432"/>
    </row>
    <row r="126" spans="1:16" x14ac:dyDescent="0.25">
      <c r="A126" s="1837"/>
      <c r="B126" s="2442" t="s">
        <v>4168</v>
      </c>
      <c r="C126" s="2442"/>
      <c r="D126" s="2442"/>
      <c r="E126" s="2442"/>
      <c r="F126" s="2442" t="s">
        <v>588</v>
      </c>
      <c r="G126" s="2442"/>
      <c r="H126" s="1837"/>
      <c r="I126" s="1837"/>
      <c r="J126" s="2442" t="s">
        <v>588</v>
      </c>
      <c r="K126" s="2442"/>
      <c r="L126" s="2442"/>
      <c r="M126" s="2442"/>
      <c r="N126" s="2442"/>
      <c r="O126" s="2442"/>
      <c r="P126" s="2442"/>
    </row>
    <row r="127" spans="1:16" ht="68.099999999999994" customHeight="1" x14ac:dyDescent="0.25">
      <c r="A127" s="1838"/>
      <c r="B127" s="2443" t="s">
        <v>6674</v>
      </c>
      <c r="C127" s="2443"/>
      <c r="D127" s="2443"/>
      <c r="E127" s="2443"/>
      <c r="F127" s="2443" t="s">
        <v>6673</v>
      </c>
      <c r="G127" s="2443"/>
      <c r="H127" s="1838"/>
      <c r="I127" s="1838"/>
      <c r="J127" s="2443" t="s">
        <v>588</v>
      </c>
      <c r="K127" s="2443"/>
      <c r="L127" s="2443"/>
      <c r="M127" s="2443"/>
      <c r="N127" s="2443"/>
      <c r="O127" s="2443"/>
      <c r="P127" s="2443"/>
    </row>
    <row r="128" spans="1:16" ht="27.2" customHeight="1" x14ac:dyDescent="0.25">
      <c r="A128" s="1839"/>
      <c r="B128" s="2441" t="s">
        <v>6672</v>
      </c>
      <c r="C128" s="2441"/>
      <c r="D128" s="2441"/>
      <c r="E128" s="2441"/>
      <c r="F128" s="2441"/>
      <c r="G128" s="2441"/>
      <c r="H128" s="1839"/>
      <c r="I128" s="1839"/>
      <c r="J128" s="2441" t="s">
        <v>588</v>
      </c>
      <c r="K128" s="2441"/>
      <c r="L128" s="2441"/>
      <c r="M128" s="2444">
        <f>ROUND(SUM($M$114:$M$125),2)</f>
        <v>978870.39</v>
      </c>
      <c r="N128" s="2441"/>
      <c r="O128" s="2441"/>
      <c r="P128" s="2441"/>
    </row>
    <row r="129" spans="1:16" ht="27.2" customHeight="1" x14ac:dyDescent="0.25">
      <c r="A129" s="1839"/>
      <c r="B129" s="2441" t="s">
        <v>6671</v>
      </c>
      <c r="C129" s="2441"/>
      <c r="D129" s="2441"/>
      <c r="E129" s="2441"/>
      <c r="F129" s="2441"/>
      <c r="G129" s="2441"/>
      <c r="H129" s="1839"/>
      <c r="I129" s="1839"/>
      <c r="J129" s="2441" t="s">
        <v>588</v>
      </c>
      <c r="K129" s="2441"/>
      <c r="L129" s="2441"/>
      <c r="M129" s="2444">
        <f>ROUND(($M$128),2)</f>
        <v>978870.39</v>
      </c>
      <c r="N129" s="2441"/>
      <c r="O129" s="2441"/>
      <c r="P129" s="2441"/>
    </row>
    <row r="130" spans="1:16" x14ac:dyDescent="0.25">
      <c r="A130" s="1839" t="s">
        <v>233</v>
      </c>
      <c r="B130" s="2441" t="s">
        <v>4218</v>
      </c>
      <c r="C130" s="2441"/>
      <c r="D130" s="2441"/>
      <c r="E130" s="2441"/>
      <c r="F130" s="2441"/>
      <c r="G130" s="2441"/>
      <c r="H130" s="1839"/>
      <c r="I130" s="1839"/>
      <c r="J130" s="2441" t="s">
        <v>588</v>
      </c>
      <c r="K130" s="2441"/>
      <c r="L130" s="2441"/>
      <c r="M130" s="2444">
        <f>ROUND($M$32+$M$94+$M$112+$M$129,2)</f>
        <v>2899116.64</v>
      </c>
      <c r="N130" s="2441"/>
      <c r="O130" s="2441"/>
      <c r="P130" s="2441"/>
    </row>
    <row r="131" spans="1:16" x14ac:dyDescent="0.25">
      <c r="A131" s="1839" t="s">
        <v>238</v>
      </c>
      <c r="B131" s="2441" t="s">
        <v>6295</v>
      </c>
      <c r="C131" s="2441"/>
      <c r="D131" s="2441"/>
      <c r="E131" s="2441"/>
      <c r="F131" s="2441"/>
      <c r="G131" s="2441"/>
      <c r="H131" s="1839"/>
      <c r="I131" s="1839"/>
      <c r="J131" s="2441" t="s">
        <v>588</v>
      </c>
      <c r="K131" s="2441"/>
      <c r="L131" s="2441"/>
      <c r="M131" s="2444">
        <f>ROUND(($M$130),2)</f>
        <v>2899116.64</v>
      </c>
      <c r="N131" s="2441"/>
      <c r="O131" s="2441"/>
      <c r="P131" s="2441"/>
    </row>
    <row r="133" spans="1:16" ht="30" customHeight="1" x14ac:dyDescent="0.25">
      <c r="A133" s="2427" t="s">
        <v>6297</v>
      </c>
      <c r="B133" s="2427"/>
      <c r="C133" s="2427"/>
      <c r="D133" s="2427"/>
      <c r="E133" s="2427"/>
      <c r="F133" s="2427" t="str">
        <f>[33]!СуммаПрописью(M131)</f>
        <v>Два миллиона восемьсот девяносто девять тысяч сто шестнадцать рублей 64 копейки</v>
      </c>
      <c r="G133" s="2428"/>
      <c r="H133" s="2428"/>
      <c r="I133" s="2428"/>
      <c r="J133" s="2428"/>
      <c r="K133" s="2428"/>
      <c r="L133" s="2428"/>
      <c r="M133" s="2428"/>
      <c r="N133" s="2428"/>
      <c r="O133" s="2428"/>
      <c r="P133" s="2428"/>
    </row>
    <row r="135" spans="1:16" x14ac:dyDescent="0.25">
      <c r="A135" s="2427" t="s">
        <v>6532</v>
      </c>
      <c r="B135" s="2427"/>
      <c r="C135" s="2427"/>
      <c r="D135" s="2429"/>
      <c r="E135" s="2429"/>
      <c r="F135" s="2429"/>
      <c r="G135" s="2429"/>
      <c r="H135" s="2429"/>
      <c r="I135" s="2429"/>
      <c r="J135" s="2429"/>
      <c r="K135" s="2429"/>
      <c r="L135" s="2429"/>
      <c r="M135" s="2429"/>
      <c r="N135" s="2429"/>
      <c r="O135" s="2429"/>
      <c r="P135" s="2429"/>
    </row>
    <row r="136" spans="1:16" x14ac:dyDescent="0.25">
      <c r="D136" s="2424" t="s">
        <v>6533</v>
      </c>
      <c r="E136" s="2424"/>
      <c r="F136" s="2424"/>
      <c r="G136" s="2424"/>
      <c r="H136" s="2424"/>
      <c r="I136" s="2424"/>
      <c r="J136" s="2424"/>
      <c r="K136" s="2424"/>
      <c r="L136" s="2424"/>
      <c r="M136" s="2424"/>
      <c r="N136" s="2424"/>
      <c r="O136" s="2424"/>
      <c r="P136" s="2424"/>
    </row>
    <row r="138" spans="1:16" x14ac:dyDescent="0.25">
      <c r="A138" s="2430" t="s">
        <v>6534</v>
      </c>
      <c r="B138" s="2430"/>
      <c r="C138" s="2430"/>
      <c r="D138" s="2429"/>
      <c r="E138" s="2429"/>
      <c r="F138" s="2429"/>
      <c r="G138" s="2429"/>
      <c r="H138" s="2429"/>
      <c r="I138" s="2429"/>
      <c r="J138" s="2429"/>
      <c r="K138" s="2429"/>
      <c r="L138" s="2429"/>
      <c r="M138" s="2429"/>
      <c r="N138" s="2429"/>
      <c r="O138" s="2429"/>
      <c r="P138" s="2429"/>
    </row>
    <row r="139" spans="1:16" x14ac:dyDescent="0.25">
      <c r="D139" s="2424" t="s">
        <v>6533</v>
      </c>
      <c r="E139" s="2424"/>
      <c r="F139" s="2424"/>
      <c r="G139" s="2424"/>
      <c r="H139" s="2424"/>
      <c r="I139" s="2424"/>
      <c r="J139" s="2424"/>
      <c r="K139" s="2424"/>
      <c r="L139" s="2424"/>
      <c r="M139" s="2424"/>
      <c r="N139" s="2424"/>
      <c r="O139" s="2424"/>
      <c r="P139" s="2424"/>
    </row>
  </sheetData>
  <mergeCells count="586">
    <mergeCell ref="D136:P136"/>
    <mergeCell ref="A138:C138"/>
    <mergeCell ref="D138:P138"/>
    <mergeCell ref="D139:P139"/>
    <mergeCell ref="B131:E131"/>
    <mergeCell ref="F131:G131"/>
    <mergeCell ref="J131:L131"/>
    <mergeCell ref="M131:N131"/>
    <mergeCell ref="O131:P131"/>
    <mergeCell ref="A133:E133"/>
    <mergeCell ref="F133:P133"/>
    <mergeCell ref="A135:C135"/>
    <mergeCell ref="D135:P135"/>
    <mergeCell ref="B129:E129"/>
    <mergeCell ref="F129:G129"/>
    <mergeCell ref="J129:L129"/>
    <mergeCell ref="M129:N129"/>
    <mergeCell ref="O129:P129"/>
    <mergeCell ref="B130:E130"/>
    <mergeCell ref="F130:G130"/>
    <mergeCell ref="J130:L130"/>
    <mergeCell ref="M130:N130"/>
    <mergeCell ref="O130:P130"/>
    <mergeCell ref="B127:E127"/>
    <mergeCell ref="F127:G127"/>
    <mergeCell ref="J127:L127"/>
    <mergeCell ref="M127:N127"/>
    <mergeCell ref="O127:P127"/>
    <mergeCell ref="B128:E128"/>
    <mergeCell ref="F128:G128"/>
    <mergeCell ref="J128:L128"/>
    <mergeCell ref="M128:N128"/>
    <mergeCell ref="O128:P128"/>
    <mergeCell ref="B125:E125"/>
    <mergeCell ref="F125:G125"/>
    <mergeCell ref="J125:L125"/>
    <mergeCell ref="M125:N125"/>
    <mergeCell ref="O125:P125"/>
    <mergeCell ref="B126:E126"/>
    <mergeCell ref="F126:G126"/>
    <mergeCell ref="J126:L126"/>
    <mergeCell ref="M126:N126"/>
    <mergeCell ref="O126:P126"/>
    <mergeCell ref="B123:E123"/>
    <mergeCell ref="F123:G123"/>
    <mergeCell ref="J123:L123"/>
    <mergeCell ref="M123:N123"/>
    <mergeCell ref="O123:P123"/>
    <mergeCell ref="B124:E124"/>
    <mergeCell ref="F124:G124"/>
    <mergeCell ref="J124:L124"/>
    <mergeCell ref="M124:N124"/>
    <mergeCell ref="O124:P124"/>
    <mergeCell ref="A120:P120"/>
    <mergeCell ref="B121:E121"/>
    <mergeCell ref="F121:G121"/>
    <mergeCell ref="J121:L121"/>
    <mergeCell ref="M121:N121"/>
    <mergeCell ref="O121:P121"/>
    <mergeCell ref="B122:E122"/>
    <mergeCell ref="F122:G122"/>
    <mergeCell ref="J122:L122"/>
    <mergeCell ref="M122:N122"/>
    <mergeCell ref="O122:P122"/>
    <mergeCell ref="B118:E118"/>
    <mergeCell ref="F118:G118"/>
    <mergeCell ref="J118:L118"/>
    <mergeCell ref="M118:N118"/>
    <mergeCell ref="O118:P118"/>
    <mergeCell ref="B119:E119"/>
    <mergeCell ref="F119:G119"/>
    <mergeCell ref="J119:L119"/>
    <mergeCell ref="M119:N119"/>
    <mergeCell ref="O119:P119"/>
    <mergeCell ref="B116:E116"/>
    <mergeCell ref="F116:G116"/>
    <mergeCell ref="J116:L116"/>
    <mergeCell ref="M116:N116"/>
    <mergeCell ref="O116:P116"/>
    <mergeCell ref="B117:E117"/>
    <mergeCell ref="F117:G117"/>
    <mergeCell ref="J117:L117"/>
    <mergeCell ref="M117:N117"/>
    <mergeCell ref="O117:P117"/>
    <mergeCell ref="B114:E114"/>
    <mergeCell ref="F114:G114"/>
    <mergeCell ref="J114:L114"/>
    <mergeCell ref="M114:N114"/>
    <mergeCell ref="O114:P114"/>
    <mergeCell ref="B115:E115"/>
    <mergeCell ref="F115:G115"/>
    <mergeCell ref="J115:L115"/>
    <mergeCell ref="M115:N115"/>
    <mergeCell ref="O115:P115"/>
    <mergeCell ref="B112:E112"/>
    <mergeCell ref="F112:G112"/>
    <mergeCell ref="J112:L112"/>
    <mergeCell ref="M112:N112"/>
    <mergeCell ref="O112:P112"/>
    <mergeCell ref="B113:E113"/>
    <mergeCell ref="F113:G113"/>
    <mergeCell ref="J113:L113"/>
    <mergeCell ref="M113:N113"/>
    <mergeCell ref="O113:P113"/>
    <mergeCell ref="B110:E110"/>
    <mergeCell ref="F110:G110"/>
    <mergeCell ref="J110:L110"/>
    <mergeCell ref="M110:N110"/>
    <mergeCell ref="O110:P110"/>
    <mergeCell ref="B111:E111"/>
    <mergeCell ref="F111:G111"/>
    <mergeCell ref="J111:L111"/>
    <mergeCell ref="M111:N111"/>
    <mergeCell ref="O111:P111"/>
    <mergeCell ref="B108:E108"/>
    <mergeCell ref="F108:G108"/>
    <mergeCell ref="J108:L108"/>
    <mergeCell ref="M108:N108"/>
    <mergeCell ref="O108:P108"/>
    <mergeCell ref="B109:E109"/>
    <mergeCell ref="F109:G109"/>
    <mergeCell ref="J109:L109"/>
    <mergeCell ref="M109:N109"/>
    <mergeCell ref="O109:P109"/>
    <mergeCell ref="B106:E106"/>
    <mergeCell ref="F106:G106"/>
    <mergeCell ref="J106:L106"/>
    <mergeCell ref="M106:N106"/>
    <mergeCell ref="O106:P106"/>
    <mergeCell ref="B107:E107"/>
    <mergeCell ref="F107:G107"/>
    <mergeCell ref="J107:L107"/>
    <mergeCell ref="M107:N107"/>
    <mergeCell ref="O107:P107"/>
    <mergeCell ref="B104:E104"/>
    <mergeCell ref="F104:G104"/>
    <mergeCell ref="J104:L104"/>
    <mergeCell ref="M104:N104"/>
    <mergeCell ref="O104:P104"/>
    <mergeCell ref="B105:E105"/>
    <mergeCell ref="F105:G105"/>
    <mergeCell ref="J105:L105"/>
    <mergeCell ref="M105:N105"/>
    <mergeCell ref="O105:P105"/>
    <mergeCell ref="B102:E102"/>
    <mergeCell ref="F102:G102"/>
    <mergeCell ref="J102:L102"/>
    <mergeCell ref="M102:N102"/>
    <mergeCell ref="O102:P102"/>
    <mergeCell ref="B103:E103"/>
    <mergeCell ref="F103:G103"/>
    <mergeCell ref="J103:L103"/>
    <mergeCell ref="M103:N103"/>
    <mergeCell ref="O103:P103"/>
    <mergeCell ref="B100:E100"/>
    <mergeCell ref="F100:G100"/>
    <mergeCell ref="J100:L100"/>
    <mergeCell ref="M100:N100"/>
    <mergeCell ref="O100:P100"/>
    <mergeCell ref="B101:E101"/>
    <mergeCell ref="F101:G101"/>
    <mergeCell ref="J101:L101"/>
    <mergeCell ref="M101:N101"/>
    <mergeCell ref="O101:P101"/>
    <mergeCell ref="B98:E98"/>
    <mergeCell ref="F98:G98"/>
    <mergeCell ref="J98:L98"/>
    <mergeCell ref="M98:N98"/>
    <mergeCell ref="O98:P98"/>
    <mergeCell ref="B99:E99"/>
    <mergeCell ref="F99:G99"/>
    <mergeCell ref="J99:L99"/>
    <mergeCell ref="M99:N99"/>
    <mergeCell ref="O99:P99"/>
    <mergeCell ref="B96:E96"/>
    <mergeCell ref="F96:G96"/>
    <mergeCell ref="J96:L96"/>
    <mergeCell ref="M96:N96"/>
    <mergeCell ref="O96:P96"/>
    <mergeCell ref="B97:E97"/>
    <mergeCell ref="F97:G97"/>
    <mergeCell ref="J97:L97"/>
    <mergeCell ref="M97:N97"/>
    <mergeCell ref="O97:P97"/>
    <mergeCell ref="B94:E94"/>
    <mergeCell ref="F94:G94"/>
    <mergeCell ref="J94:L94"/>
    <mergeCell ref="M94:N94"/>
    <mergeCell ref="O94:P94"/>
    <mergeCell ref="B95:E95"/>
    <mergeCell ref="F95:G95"/>
    <mergeCell ref="J95:L95"/>
    <mergeCell ref="M95:N95"/>
    <mergeCell ref="O95:P95"/>
    <mergeCell ref="B92:E92"/>
    <mergeCell ref="F92:G92"/>
    <mergeCell ref="J92:L92"/>
    <mergeCell ref="M92:N92"/>
    <mergeCell ref="O92:P92"/>
    <mergeCell ref="B93:E93"/>
    <mergeCell ref="F93:G93"/>
    <mergeCell ref="J93:L93"/>
    <mergeCell ref="M93:N93"/>
    <mergeCell ref="O93:P93"/>
    <mergeCell ref="B90:E90"/>
    <mergeCell ref="F90:G90"/>
    <mergeCell ref="J90:L90"/>
    <mergeCell ref="M90:N90"/>
    <mergeCell ref="O90:P90"/>
    <mergeCell ref="B91:E91"/>
    <mergeCell ref="F91:G91"/>
    <mergeCell ref="J91:L91"/>
    <mergeCell ref="M91:N91"/>
    <mergeCell ref="O91:P91"/>
    <mergeCell ref="B88:E88"/>
    <mergeCell ref="F88:G88"/>
    <mergeCell ref="J88:L88"/>
    <mergeCell ref="M88:N88"/>
    <mergeCell ref="O88:P88"/>
    <mergeCell ref="B89:E89"/>
    <mergeCell ref="F89:G89"/>
    <mergeCell ref="J89:L89"/>
    <mergeCell ref="M89:N89"/>
    <mergeCell ref="O89:P89"/>
    <mergeCell ref="B86:E86"/>
    <mergeCell ref="F86:G86"/>
    <mergeCell ref="J86:L86"/>
    <mergeCell ref="M86:N86"/>
    <mergeCell ref="O86:P86"/>
    <mergeCell ref="B87:E87"/>
    <mergeCell ref="F87:G87"/>
    <mergeCell ref="J87:L87"/>
    <mergeCell ref="M87:N87"/>
    <mergeCell ref="O87:P87"/>
    <mergeCell ref="B84:E84"/>
    <mergeCell ref="F84:G84"/>
    <mergeCell ref="J84:L84"/>
    <mergeCell ref="M84:N84"/>
    <mergeCell ref="O84:P84"/>
    <mergeCell ref="B85:E85"/>
    <mergeCell ref="F85:G85"/>
    <mergeCell ref="J85:L85"/>
    <mergeCell ref="M85:N85"/>
    <mergeCell ref="O85:P85"/>
    <mergeCell ref="B82:E82"/>
    <mergeCell ref="F82:G82"/>
    <mergeCell ref="J82:L82"/>
    <mergeCell ref="M82:N82"/>
    <mergeCell ref="O82:P82"/>
    <mergeCell ref="B83:E83"/>
    <mergeCell ref="F83:G83"/>
    <mergeCell ref="J83:L83"/>
    <mergeCell ref="M83:N83"/>
    <mergeCell ref="O83:P83"/>
    <mergeCell ref="B80:E80"/>
    <mergeCell ref="F80:G80"/>
    <mergeCell ref="J80:L80"/>
    <mergeCell ref="M80:N80"/>
    <mergeCell ref="O80:P80"/>
    <mergeCell ref="B81:E81"/>
    <mergeCell ref="F81:G81"/>
    <mergeCell ref="J81:L81"/>
    <mergeCell ref="M81:N81"/>
    <mergeCell ref="O81:P81"/>
    <mergeCell ref="B78:E78"/>
    <mergeCell ref="F78:G78"/>
    <mergeCell ref="J78:L78"/>
    <mergeCell ref="M78:N78"/>
    <mergeCell ref="O78:P78"/>
    <mergeCell ref="B79:E79"/>
    <mergeCell ref="F79:G79"/>
    <mergeCell ref="J79:L79"/>
    <mergeCell ref="M79:N79"/>
    <mergeCell ref="O79:P79"/>
    <mergeCell ref="B76:E76"/>
    <mergeCell ref="F76:G76"/>
    <mergeCell ref="J76:L76"/>
    <mergeCell ref="M76:N76"/>
    <mergeCell ref="O76:P76"/>
    <mergeCell ref="B77:E77"/>
    <mergeCell ref="F77:G77"/>
    <mergeCell ref="J77:L77"/>
    <mergeCell ref="M77:N77"/>
    <mergeCell ref="O77:P77"/>
    <mergeCell ref="B74:E74"/>
    <mergeCell ref="F74:G74"/>
    <mergeCell ref="J74:L74"/>
    <mergeCell ref="M74:N74"/>
    <mergeCell ref="O74:P74"/>
    <mergeCell ref="B75:E75"/>
    <mergeCell ref="F75:G75"/>
    <mergeCell ref="J75:L75"/>
    <mergeCell ref="M75:N75"/>
    <mergeCell ref="O75:P75"/>
    <mergeCell ref="B72:E72"/>
    <mergeCell ref="F72:G72"/>
    <mergeCell ref="J72:L72"/>
    <mergeCell ref="M72:N72"/>
    <mergeCell ref="O72:P72"/>
    <mergeCell ref="B73:E73"/>
    <mergeCell ref="F73:G73"/>
    <mergeCell ref="J73:L73"/>
    <mergeCell ref="M73:N73"/>
    <mergeCell ref="O73:P73"/>
    <mergeCell ref="B70:E70"/>
    <mergeCell ref="F70:G70"/>
    <mergeCell ref="J70:L70"/>
    <mergeCell ref="M70:N70"/>
    <mergeCell ref="O70:P70"/>
    <mergeCell ref="B71:E71"/>
    <mergeCell ref="F71:G71"/>
    <mergeCell ref="J71:L71"/>
    <mergeCell ref="M71:N71"/>
    <mergeCell ref="O71:P71"/>
    <mergeCell ref="B68:E68"/>
    <mergeCell ref="F68:G68"/>
    <mergeCell ref="J68:L68"/>
    <mergeCell ref="M68:N68"/>
    <mergeCell ref="O68:P68"/>
    <mergeCell ref="B69:E69"/>
    <mergeCell ref="F69:G69"/>
    <mergeCell ref="J69:L69"/>
    <mergeCell ref="M69:N69"/>
    <mergeCell ref="O69:P69"/>
    <mergeCell ref="B66:E66"/>
    <mergeCell ref="F66:G66"/>
    <mergeCell ref="J66:L66"/>
    <mergeCell ref="M66:N66"/>
    <mergeCell ref="O66:P66"/>
    <mergeCell ref="B67:E67"/>
    <mergeCell ref="F67:G67"/>
    <mergeCell ref="J67:L67"/>
    <mergeCell ref="M67:N67"/>
    <mergeCell ref="O67:P67"/>
    <mergeCell ref="B64:E64"/>
    <mergeCell ref="F64:G64"/>
    <mergeCell ref="J64:L64"/>
    <mergeCell ref="M64:N64"/>
    <mergeCell ref="O64:P64"/>
    <mergeCell ref="B65:E65"/>
    <mergeCell ref="F65:G65"/>
    <mergeCell ref="J65:L65"/>
    <mergeCell ref="M65:N65"/>
    <mergeCell ref="O65:P65"/>
    <mergeCell ref="B61:E61"/>
    <mergeCell ref="F61:G61"/>
    <mergeCell ref="J61:L61"/>
    <mergeCell ref="M61:N61"/>
    <mergeCell ref="O61:P61"/>
    <mergeCell ref="A62:P62"/>
    <mergeCell ref="B63:E63"/>
    <mergeCell ref="F63:G63"/>
    <mergeCell ref="J63:L63"/>
    <mergeCell ref="M63:N63"/>
    <mergeCell ref="O63:P63"/>
    <mergeCell ref="B59:E59"/>
    <mergeCell ref="F59:G59"/>
    <mergeCell ref="J59:L59"/>
    <mergeCell ref="M59:N59"/>
    <mergeCell ref="O59:P59"/>
    <mergeCell ref="B60:E60"/>
    <mergeCell ref="F60:G60"/>
    <mergeCell ref="J60:L60"/>
    <mergeCell ref="M60:N60"/>
    <mergeCell ref="O60:P60"/>
    <mergeCell ref="B57:E57"/>
    <mergeCell ref="F57:G57"/>
    <mergeCell ref="J57:L57"/>
    <mergeCell ref="M57:N57"/>
    <mergeCell ref="O57:P57"/>
    <mergeCell ref="B58:E58"/>
    <mergeCell ref="F58:G58"/>
    <mergeCell ref="J58:L58"/>
    <mergeCell ref="M58:N58"/>
    <mergeCell ref="O58:P58"/>
    <mergeCell ref="B55:E55"/>
    <mergeCell ref="F55:G55"/>
    <mergeCell ref="J55:L55"/>
    <mergeCell ref="M55:N55"/>
    <mergeCell ref="O55:P55"/>
    <mergeCell ref="B56:E56"/>
    <mergeCell ref="F56:G56"/>
    <mergeCell ref="J56:L56"/>
    <mergeCell ref="M56:N56"/>
    <mergeCell ref="O56:P56"/>
    <mergeCell ref="B53:E53"/>
    <mergeCell ref="F53:G53"/>
    <mergeCell ref="J53:L53"/>
    <mergeCell ref="M53:N53"/>
    <mergeCell ref="O53:P53"/>
    <mergeCell ref="B54:E54"/>
    <mergeCell ref="F54:G54"/>
    <mergeCell ref="J54:L54"/>
    <mergeCell ref="M54:N54"/>
    <mergeCell ref="O54:P54"/>
    <mergeCell ref="B51:E51"/>
    <mergeCell ref="F51:G51"/>
    <mergeCell ref="J51:L51"/>
    <mergeCell ref="M51:N51"/>
    <mergeCell ref="O51:P51"/>
    <mergeCell ref="B52:E52"/>
    <mergeCell ref="F52:G52"/>
    <mergeCell ref="J52:L52"/>
    <mergeCell ref="M52:N52"/>
    <mergeCell ref="O52:P52"/>
    <mergeCell ref="B49:E49"/>
    <mergeCell ref="F49:G49"/>
    <mergeCell ref="J49:L49"/>
    <mergeCell ref="M49:N49"/>
    <mergeCell ref="O49:P49"/>
    <mergeCell ref="B50:E50"/>
    <mergeCell ref="F50:G50"/>
    <mergeCell ref="J50:L50"/>
    <mergeCell ref="M50:N50"/>
    <mergeCell ref="O50:P50"/>
    <mergeCell ref="B47:E47"/>
    <mergeCell ref="F47:G47"/>
    <mergeCell ref="J47:L47"/>
    <mergeCell ref="M47:N47"/>
    <mergeCell ref="O47:P47"/>
    <mergeCell ref="B48:E48"/>
    <mergeCell ref="F48:G48"/>
    <mergeCell ref="J48:L48"/>
    <mergeCell ref="M48:N48"/>
    <mergeCell ref="O48:P48"/>
    <mergeCell ref="B45:E45"/>
    <mergeCell ref="F45:G45"/>
    <mergeCell ref="J45:L45"/>
    <mergeCell ref="M45:N45"/>
    <mergeCell ref="O45:P45"/>
    <mergeCell ref="B46:E46"/>
    <mergeCell ref="F46:G46"/>
    <mergeCell ref="J46:L46"/>
    <mergeCell ref="M46:N46"/>
    <mergeCell ref="O46:P46"/>
    <mergeCell ref="B43:E43"/>
    <mergeCell ref="F43:G43"/>
    <mergeCell ref="J43:L43"/>
    <mergeCell ref="M43:N43"/>
    <mergeCell ref="O43:P43"/>
    <mergeCell ref="B44:E44"/>
    <mergeCell ref="F44:G44"/>
    <mergeCell ref="J44:L44"/>
    <mergeCell ref="M44:N44"/>
    <mergeCell ref="O44:P44"/>
    <mergeCell ref="B41:E41"/>
    <mergeCell ref="F41:G41"/>
    <mergeCell ref="J41:L41"/>
    <mergeCell ref="M41:N41"/>
    <mergeCell ref="O41:P41"/>
    <mergeCell ref="B42:E42"/>
    <mergeCell ref="F42:G42"/>
    <mergeCell ref="J42:L42"/>
    <mergeCell ref="M42:N42"/>
    <mergeCell ref="O42:P42"/>
    <mergeCell ref="A34:P34"/>
    <mergeCell ref="B35:E35"/>
    <mergeCell ref="F35:G35"/>
    <mergeCell ref="J35:L35"/>
    <mergeCell ref="M35:N35"/>
    <mergeCell ref="O35:P35"/>
    <mergeCell ref="B36:E36"/>
    <mergeCell ref="F36:G36"/>
    <mergeCell ref="J36:L36"/>
    <mergeCell ref="M36:N36"/>
    <mergeCell ref="O36:P36"/>
    <mergeCell ref="B40:E40"/>
    <mergeCell ref="F40:G40"/>
    <mergeCell ref="J40:L40"/>
    <mergeCell ref="M40:N40"/>
    <mergeCell ref="O40:P40"/>
    <mergeCell ref="B37:E37"/>
    <mergeCell ref="F37:G37"/>
    <mergeCell ref="J37:L37"/>
    <mergeCell ref="M37:N37"/>
    <mergeCell ref="O37:P37"/>
    <mergeCell ref="B38:E38"/>
    <mergeCell ref="F38:G38"/>
    <mergeCell ref="J38:L38"/>
    <mergeCell ref="M38:N38"/>
    <mergeCell ref="O38:P38"/>
    <mergeCell ref="B39:E39"/>
    <mergeCell ref="F39:G39"/>
    <mergeCell ref="J39:L39"/>
    <mergeCell ref="M39:N39"/>
    <mergeCell ref="O39:P39"/>
    <mergeCell ref="B32:E32"/>
    <mergeCell ref="F32:G32"/>
    <mergeCell ref="J32:L32"/>
    <mergeCell ref="M32:N32"/>
    <mergeCell ref="O32:P32"/>
    <mergeCell ref="B33:E33"/>
    <mergeCell ref="F33:G33"/>
    <mergeCell ref="J33:L33"/>
    <mergeCell ref="M33:N33"/>
    <mergeCell ref="O33:P33"/>
    <mergeCell ref="B30:E30"/>
    <mergeCell ref="F30:G30"/>
    <mergeCell ref="J30:L30"/>
    <mergeCell ref="M30:N30"/>
    <mergeCell ref="O30:P30"/>
    <mergeCell ref="B31:E31"/>
    <mergeCell ref="F31:G31"/>
    <mergeCell ref="J31:L31"/>
    <mergeCell ref="M31:N31"/>
    <mergeCell ref="O31:P31"/>
    <mergeCell ref="B28:E28"/>
    <mergeCell ref="F28:G28"/>
    <mergeCell ref="J28:L28"/>
    <mergeCell ref="M28:N28"/>
    <mergeCell ref="O28:P28"/>
    <mergeCell ref="B29:E29"/>
    <mergeCell ref="F29:G29"/>
    <mergeCell ref="J29:L29"/>
    <mergeCell ref="M29:N29"/>
    <mergeCell ref="O29:P29"/>
    <mergeCell ref="B26:E26"/>
    <mergeCell ref="F26:G26"/>
    <mergeCell ref="J26:L26"/>
    <mergeCell ref="M26:N26"/>
    <mergeCell ref="O26:P26"/>
    <mergeCell ref="B27:E27"/>
    <mergeCell ref="F27:G27"/>
    <mergeCell ref="J27:L27"/>
    <mergeCell ref="M27:N27"/>
    <mergeCell ref="O27:P27"/>
    <mergeCell ref="B24:E24"/>
    <mergeCell ref="F24:G24"/>
    <mergeCell ref="J24:L24"/>
    <mergeCell ref="M24:N24"/>
    <mergeCell ref="O24:P24"/>
    <mergeCell ref="B25:E25"/>
    <mergeCell ref="F25:G25"/>
    <mergeCell ref="J25:L25"/>
    <mergeCell ref="M25:N25"/>
    <mergeCell ref="O25:P25"/>
    <mergeCell ref="B22:E22"/>
    <mergeCell ref="F22:G22"/>
    <mergeCell ref="J22:L22"/>
    <mergeCell ref="M22:N22"/>
    <mergeCell ref="O22:P22"/>
    <mergeCell ref="B23:E23"/>
    <mergeCell ref="F23:G23"/>
    <mergeCell ref="J23:L23"/>
    <mergeCell ref="M23:N23"/>
    <mergeCell ref="O23:P23"/>
    <mergeCell ref="B20:E20"/>
    <mergeCell ref="F20:G20"/>
    <mergeCell ref="J20:L20"/>
    <mergeCell ref="M20:N20"/>
    <mergeCell ref="O20:P20"/>
    <mergeCell ref="B21:E21"/>
    <mergeCell ref="F21:G21"/>
    <mergeCell ref="J21:L21"/>
    <mergeCell ref="M21:N21"/>
    <mergeCell ref="O21:P21"/>
    <mergeCell ref="B18:E18"/>
    <mergeCell ref="F18:G18"/>
    <mergeCell ref="J18:L18"/>
    <mergeCell ref="M18:N18"/>
    <mergeCell ref="O18:P18"/>
    <mergeCell ref="B19:E19"/>
    <mergeCell ref="F19:G19"/>
    <mergeCell ref="J19:L19"/>
    <mergeCell ref="M19:N19"/>
    <mergeCell ref="O19:P19"/>
    <mergeCell ref="O17:P17"/>
    <mergeCell ref="A1:D1"/>
    <mergeCell ref="E1:P1"/>
    <mergeCell ref="A3:P3"/>
    <mergeCell ref="A4:P4"/>
    <mergeCell ref="A6:P6"/>
    <mergeCell ref="A7:P7"/>
    <mergeCell ref="A9:P9"/>
    <mergeCell ref="A10:P10"/>
    <mergeCell ref="A12:P12"/>
    <mergeCell ref="A14:P14"/>
    <mergeCell ref="B16:E16"/>
    <mergeCell ref="B17:E17"/>
    <mergeCell ref="F16:G16"/>
    <mergeCell ref="F17:G17"/>
    <mergeCell ref="J16:L16"/>
    <mergeCell ref="J17:L17"/>
    <mergeCell ref="M16:N16"/>
    <mergeCell ref="M17:N17"/>
    <mergeCell ref="O16:P16"/>
  </mergeCells>
  <pageMargins left="0.4" right="0.4" top="0.75" bottom="0.75" header="0.3" footer="0.3"/>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X50"/>
  <sheetViews>
    <sheetView showRuler="0" workbookViewId="0">
      <selection activeCell="J43" sqref="J43:L43"/>
    </sheetView>
  </sheetViews>
  <sheetFormatPr defaultRowHeight="15" x14ac:dyDescent="0.25"/>
  <cols>
    <col min="1" max="50" width="8" style="1720" customWidth="1"/>
    <col min="51" max="16384" width="9.140625" style="1445"/>
  </cols>
  <sheetData>
    <row r="1" spans="1:16" ht="27.2" customHeight="1" x14ac:dyDescent="0.25">
      <c r="A1" s="2437" t="s">
        <v>6304</v>
      </c>
      <c r="B1" s="2437"/>
      <c r="C1" s="2437"/>
      <c r="D1" s="2437"/>
      <c r="E1" s="2438" t="s">
        <v>6305</v>
      </c>
      <c r="F1" s="2438"/>
      <c r="G1" s="2438"/>
      <c r="H1" s="2438"/>
      <c r="I1" s="2438"/>
      <c r="J1" s="2438"/>
      <c r="K1" s="2438"/>
      <c r="L1" s="2438"/>
      <c r="M1" s="2438"/>
      <c r="N1" s="2438"/>
      <c r="O1" s="2438"/>
      <c r="P1" s="2438"/>
    </row>
    <row r="2" spans="1:16" ht="15" customHeight="1" x14ac:dyDescent="0.25"/>
    <row r="3" spans="1:16" ht="15" customHeight="1" x14ac:dyDescent="0.25">
      <c r="A3" s="2446" t="s">
        <v>6394</v>
      </c>
      <c r="B3" s="2446"/>
      <c r="C3" s="2446"/>
      <c r="D3" s="2446"/>
      <c r="E3" s="2446"/>
      <c r="F3" s="2446"/>
      <c r="G3" s="2446"/>
      <c r="H3" s="2446"/>
      <c r="I3" s="2446"/>
      <c r="J3" s="2446"/>
      <c r="K3" s="2446"/>
      <c r="L3" s="2446"/>
      <c r="M3" s="2446"/>
      <c r="N3" s="2446"/>
      <c r="O3" s="2446"/>
      <c r="P3" s="2446"/>
    </row>
    <row r="4" spans="1:16" ht="15" customHeight="1" x14ac:dyDescent="0.25">
      <c r="A4" s="2447" t="s">
        <v>6306</v>
      </c>
      <c r="B4" s="2447"/>
      <c r="C4" s="2447"/>
      <c r="D4" s="2447"/>
      <c r="E4" s="2447"/>
      <c r="F4" s="2447"/>
      <c r="G4" s="2447"/>
      <c r="H4" s="2447"/>
      <c r="I4" s="2447"/>
      <c r="J4" s="2447"/>
      <c r="K4" s="2447"/>
      <c r="L4" s="2447"/>
      <c r="M4" s="2447"/>
      <c r="N4" s="2447"/>
      <c r="O4" s="2447"/>
      <c r="P4" s="2447"/>
    </row>
    <row r="5" spans="1:16" ht="15" customHeight="1" x14ac:dyDescent="0.25"/>
    <row r="6" spans="1:16" ht="15" customHeight="1" x14ac:dyDescent="0.25">
      <c r="A6" s="2427" t="s">
        <v>6307</v>
      </c>
      <c r="B6" s="2427"/>
      <c r="C6" s="2427"/>
      <c r="D6" s="2427"/>
      <c r="E6" s="2427"/>
      <c r="F6" s="2448" t="s">
        <v>6141</v>
      </c>
      <c r="G6" s="2448"/>
      <c r="H6" s="2448"/>
      <c r="I6" s="2448"/>
      <c r="J6" s="2448"/>
      <c r="K6" s="2448"/>
      <c r="L6" s="2448"/>
      <c r="M6" s="2448"/>
      <c r="N6" s="2448"/>
      <c r="O6" s="2448"/>
      <c r="P6" s="2448"/>
    </row>
    <row r="7" spans="1:16" ht="15" customHeight="1" x14ac:dyDescent="0.25"/>
    <row r="8" spans="1:16" ht="15" customHeight="1" x14ac:dyDescent="0.25">
      <c r="A8" s="2427" t="s">
        <v>4153</v>
      </c>
      <c r="B8" s="2427"/>
      <c r="C8" s="2427"/>
      <c r="D8" s="2427"/>
      <c r="E8" s="2427"/>
      <c r="F8" s="2448" t="s">
        <v>438</v>
      </c>
      <c r="G8" s="2448"/>
      <c r="H8" s="2448"/>
      <c r="I8" s="2448"/>
      <c r="J8" s="2448"/>
      <c r="K8" s="2448"/>
      <c r="L8" s="2448"/>
      <c r="M8" s="2448"/>
      <c r="N8" s="2448"/>
      <c r="O8" s="2448"/>
      <c r="P8" s="2448"/>
    </row>
    <row r="9" spans="1:16" ht="15" customHeight="1" x14ac:dyDescent="0.25"/>
    <row r="10" spans="1:16" ht="15" customHeight="1" x14ac:dyDescent="0.25">
      <c r="A10" s="2427" t="s">
        <v>6308</v>
      </c>
      <c r="B10" s="2427"/>
      <c r="C10" s="2427"/>
      <c r="D10" s="2427"/>
      <c r="E10" s="2427"/>
      <c r="F10" s="2448"/>
      <c r="G10" s="2448"/>
      <c r="H10" s="2448"/>
      <c r="I10" s="2448"/>
      <c r="J10" s="2448"/>
      <c r="K10" s="2448"/>
      <c r="L10" s="2448"/>
      <c r="M10" s="2448"/>
      <c r="N10" s="2448"/>
      <c r="O10" s="2448"/>
      <c r="P10" s="2448"/>
    </row>
    <row r="11" spans="1:16" ht="15" customHeight="1" x14ac:dyDescent="0.25"/>
    <row r="12" spans="1:16" ht="15" customHeight="1" x14ac:dyDescent="0.25">
      <c r="A12" s="2427" t="s">
        <v>6309</v>
      </c>
      <c r="B12" s="2427"/>
      <c r="C12" s="2427"/>
      <c r="D12" s="2427"/>
      <c r="E12" s="2427"/>
      <c r="F12" s="2448"/>
      <c r="G12" s="2448"/>
      <c r="H12" s="2448"/>
      <c r="I12" s="2448"/>
      <c r="J12" s="2448"/>
      <c r="K12" s="2448"/>
      <c r="L12" s="2448"/>
      <c r="M12" s="2448"/>
      <c r="N12" s="2448"/>
      <c r="O12" s="2448"/>
      <c r="P12" s="2448"/>
    </row>
    <row r="13" spans="1:16" ht="15" customHeight="1" x14ac:dyDescent="0.25"/>
    <row r="14" spans="1:16" ht="27.2" customHeight="1" x14ac:dyDescent="0.25">
      <c r="A14" s="2427" t="s">
        <v>6310</v>
      </c>
      <c r="B14" s="2427"/>
      <c r="C14" s="2427"/>
      <c r="D14" s="2427"/>
      <c r="E14" s="2427"/>
      <c r="F14" s="2427"/>
      <c r="G14" s="2427"/>
      <c r="H14" s="2427"/>
      <c r="I14" s="2427"/>
      <c r="J14" s="2427"/>
      <c r="K14" s="2427"/>
      <c r="L14" s="2427"/>
      <c r="M14" s="2427"/>
      <c r="N14" s="2427"/>
      <c r="O14" s="2427"/>
      <c r="P14" s="2427"/>
    </row>
    <row r="15" spans="1:16" ht="15" customHeight="1" x14ac:dyDescent="0.25"/>
    <row r="16" spans="1:16" ht="15" customHeight="1" x14ac:dyDescent="0.25">
      <c r="A16" s="2427" t="s">
        <v>6311</v>
      </c>
      <c r="B16" s="2427"/>
      <c r="C16" s="2427"/>
      <c r="D16" s="2427"/>
      <c r="E16" s="2427"/>
      <c r="F16" s="2427"/>
      <c r="G16" s="2427"/>
      <c r="H16" s="2427"/>
      <c r="I16" s="2427"/>
      <c r="J16" s="2427"/>
      <c r="K16" s="2427"/>
      <c r="L16" s="2427"/>
      <c r="M16" s="2427"/>
      <c r="N16" s="2427"/>
      <c r="O16" s="2427"/>
      <c r="P16" s="2427"/>
    </row>
    <row r="17" spans="1:16" ht="15" customHeight="1" x14ac:dyDescent="0.25"/>
    <row r="18" spans="1:16" ht="15" customHeight="1" x14ac:dyDescent="0.25">
      <c r="A18" s="1722" t="s">
        <v>512</v>
      </c>
      <c r="B18" s="2436" t="s">
        <v>527</v>
      </c>
      <c r="C18" s="2436"/>
      <c r="D18" s="2436"/>
      <c r="E18" s="2436"/>
      <c r="F18" s="2436" t="s">
        <v>4159</v>
      </c>
      <c r="G18" s="2436"/>
      <c r="H18" s="2436"/>
      <c r="I18" s="2436"/>
      <c r="J18" s="2436" t="s">
        <v>4160</v>
      </c>
      <c r="K18" s="2436"/>
      <c r="L18" s="2436"/>
      <c r="M18" s="2436" t="s">
        <v>4161</v>
      </c>
      <c r="N18" s="2436"/>
      <c r="O18" s="2436" t="s">
        <v>6312</v>
      </c>
      <c r="P18" s="2436"/>
    </row>
    <row r="19" spans="1:16" ht="15" customHeight="1" x14ac:dyDescent="0.25">
      <c r="A19" s="1722">
        <v>1</v>
      </c>
      <c r="B19" s="2436">
        <v>2</v>
      </c>
      <c r="C19" s="2436"/>
      <c r="D19" s="2436"/>
      <c r="E19" s="2436"/>
      <c r="F19" s="2436">
        <v>3</v>
      </c>
      <c r="G19" s="2436"/>
      <c r="H19" s="2436"/>
      <c r="I19" s="2436"/>
      <c r="J19" s="2436">
        <v>4</v>
      </c>
      <c r="K19" s="2436"/>
      <c r="L19" s="2436"/>
      <c r="M19" s="2436">
        <v>5</v>
      </c>
      <c r="N19" s="2436"/>
      <c r="O19" s="2436">
        <v>6</v>
      </c>
      <c r="P19" s="2436"/>
    </row>
    <row r="20" spans="1:16" ht="15" customHeight="1" x14ac:dyDescent="0.25">
      <c r="A20" s="1724" t="s">
        <v>190</v>
      </c>
      <c r="B20" s="2425" t="s">
        <v>6145</v>
      </c>
      <c r="C20" s="2425"/>
      <c r="D20" s="2425"/>
      <c r="E20" s="2425"/>
      <c r="F20" s="2425" t="s">
        <v>4166</v>
      </c>
      <c r="G20" s="2425"/>
      <c r="H20" s="2425"/>
      <c r="I20" s="2425"/>
      <c r="J20" s="2425"/>
      <c r="K20" s="2425"/>
      <c r="L20" s="2425"/>
      <c r="M20" s="2425"/>
      <c r="N20" s="2425"/>
      <c r="O20" s="2425"/>
      <c r="P20" s="2425"/>
    </row>
    <row r="21" spans="1:16" ht="54.4" customHeight="1" x14ac:dyDescent="0.25">
      <c r="A21" s="1726" t="s">
        <v>191</v>
      </c>
      <c r="B21" s="2431" t="s">
        <v>6313</v>
      </c>
      <c r="C21" s="2432"/>
      <c r="D21" s="2432"/>
      <c r="E21" s="2432"/>
      <c r="F21" s="2432" t="s">
        <v>6314</v>
      </c>
      <c r="G21" s="2432"/>
      <c r="H21" s="2432"/>
      <c r="I21" s="2432"/>
      <c r="J21" s="2432" t="s">
        <v>6315</v>
      </c>
      <c r="K21" s="2432"/>
      <c r="L21" s="2432"/>
      <c r="M21" s="2433">
        <f>ROUND(24 * 0.2, 2)</f>
        <v>4.8</v>
      </c>
      <c r="N21" s="2432"/>
      <c r="O21" s="2432" t="s">
        <v>588</v>
      </c>
      <c r="P21" s="2432"/>
    </row>
    <row r="22" spans="1:16" ht="54.4" customHeight="1" x14ac:dyDescent="0.25">
      <c r="A22" s="1726" t="s">
        <v>192</v>
      </c>
      <c r="B22" s="2431" t="s">
        <v>6316</v>
      </c>
      <c r="C22" s="2432"/>
      <c r="D22" s="2432"/>
      <c r="E22" s="2432"/>
      <c r="F22" s="2432" t="s">
        <v>6317</v>
      </c>
      <c r="G22" s="2432"/>
      <c r="H22" s="2432"/>
      <c r="I22" s="2432"/>
      <c r="J22" s="2432" t="s">
        <v>6318</v>
      </c>
      <c r="K22" s="2432"/>
      <c r="L22" s="2432"/>
      <c r="M22" s="2433">
        <f>ROUND(7 * 5, 2)</f>
        <v>35</v>
      </c>
      <c r="N22" s="2432"/>
      <c r="O22" s="2432" t="s">
        <v>588</v>
      </c>
      <c r="P22" s="2432"/>
    </row>
    <row r="23" spans="1:16" ht="15" customHeight="1" x14ac:dyDescent="0.25">
      <c r="A23" s="1724" t="s">
        <v>435</v>
      </c>
      <c r="B23" s="2425" t="s">
        <v>6319</v>
      </c>
      <c r="C23" s="2425"/>
      <c r="D23" s="2425"/>
      <c r="E23" s="2425"/>
      <c r="F23" s="2425"/>
      <c r="G23" s="2425"/>
      <c r="H23" s="2425"/>
      <c r="I23" s="2425"/>
      <c r="J23" s="2425" t="s">
        <v>588</v>
      </c>
      <c r="K23" s="2425"/>
      <c r="L23" s="2425"/>
      <c r="M23" s="2426">
        <f>ROUND(SUM($M$21:$M$22),2)</f>
        <v>39.799999999999997</v>
      </c>
      <c r="N23" s="2425"/>
      <c r="O23" s="2425"/>
      <c r="P23" s="2425"/>
    </row>
    <row r="24" spans="1:16" ht="15" customHeight="1" x14ac:dyDescent="0.25">
      <c r="A24" s="1724" t="s">
        <v>437</v>
      </c>
      <c r="B24" s="2425" t="s">
        <v>6320</v>
      </c>
      <c r="C24" s="2425"/>
      <c r="D24" s="2425"/>
      <c r="E24" s="2425"/>
      <c r="F24" s="2425"/>
      <c r="G24" s="2425"/>
      <c r="H24" s="2425"/>
      <c r="I24" s="2425"/>
      <c r="J24" s="2425" t="s">
        <v>588</v>
      </c>
      <c r="K24" s="2425"/>
      <c r="L24" s="2425"/>
      <c r="M24" s="2426">
        <f>ROUND(($M$23),2)</f>
        <v>39.799999999999997</v>
      </c>
      <c r="N24" s="2425"/>
      <c r="O24" s="2425"/>
      <c r="P24" s="2425"/>
    </row>
    <row r="25" spans="1:16" ht="15" customHeight="1" x14ac:dyDescent="0.25">
      <c r="A25" s="1724" t="s">
        <v>639</v>
      </c>
      <c r="B25" s="2425" t="s">
        <v>6145</v>
      </c>
      <c r="C25" s="2425"/>
      <c r="D25" s="2425"/>
      <c r="E25" s="2425"/>
      <c r="F25" s="2425" t="s">
        <v>4186</v>
      </c>
      <c r="G25" s="2425"/>
      <c r="H25" s="2425"/>
      <c r="I25" s="2425"/>
      <c r="J25" s="2425"/>
      <c r="K25" s="2425"/>
      <c r="L25" s="2425"/>
      <c r="M25" s="2425"/>
      <c r="N25" s="2425"/>
      <c r="O25" s="2425"/>
      <c r="P25" s="2425"/>
    </row>
    <row r="26" spans="1:16" ht="54.4" customHeight="1" x14ac:dyDescent="0.25">
      <c r="A26" s="1726" t="s">
        <v>197</v>
      </c>
      <c r="B26" s="2431" t="s">
        <v>6313</v>
      </c>
      <c r="C26" s="2432"/>
      <c r="D26" s="2432"/>
      <c r="E26" s="2432"/>
      <c r="F26" s="2432" t="s">
        <v>6321</v>
      </c>
      <c r="G26" s="2432"/>
      <c r="H26" s="2432"/>
      <c r="I26" s="2432"/>
      <c r="J26" s="2432" t="s">
        <v>6322</v>
      </c>
      <c r="K26" s="2432"/>
      <c r="L26" s="2432"/>
      <c r="M26" s="2433">
        <f>ROUND(8 * 0.2, 2)</f>
        <v>1.6</v>
      </c>
      <c r="N26" s="2432"/>
      <c r="O26" s="2432" t="s">
        <v>588</v>
      </c>
      <c r="P26" s="2432"/>
    </row>
    <row r="27" spans="1:16" ht="54.4" customHeight="1" x14ac:dyDescent="0.25">
      <c r="A27" s="1726" t="s">
        <v>200</v>
      </c>
      <c r="B27" s="2431" t="s">
        <v>6323</v>
      </c>
      <c r="C27" s="2432"/>
      <c r="D27" s="2432"/>
      <c r="E27" s="2432"/>
      <c r="F27" s="2432" t="s">
        <v>6324</v>
      </c>
      <c r="G27" s="2432"/>
      <c r="H27" s="2432"/>
      <c r="I27" s="2432"/>
      <c r="J27" s="2432" t="s">
        <v>6325</v>
      </c>
      <c r="K27" s="2432"/>
      <c r="L27" s="2432"/>
      <c r="M27" s="2433">
        <f>ROUND(105 * 1, 2)</f>
        <v>105</v>
      </c>
      <c r="N27" s="2432"/>
      <c r="O27" s="2432" t="s">
        <v>588</v>
      </c>
      <c r="P27" s="2432"/>
    </row>
    <row r="28" spans="1:16" ht="68.099999999999994" customHeight="1" x14ac:dyDescent="0.25">
      <c r="A28" s="1726" t="s">
        <v>203</v>
      </c>
      <c r="B28" s="2431" t="s">
        <v>6326</v>
      </c>
      <c r="C28" s="2432"/>
      <c r="D28" s="2432"/>
      <c r="E28" s="2432"/>
      <c r="F28" s="2432" t="s">
        <v>6327</v>
      </c>
      <c r="G28" s="2432"/>
      <c r="H28" s="2432"/>
      <c r="I28" s="2432"/>
      <c r="J28" s="2432" t="s">
        <v>6328</v>
      </c>
      <c r="K28" s="2432"/>
      <c r="L28" s="2432"/>
      <c r="M28" s="2433">
        <f>ROUND(61 * 1, 2)</f>
        <v>61</v>
      </c>
      <c r="N28" s="2432"/>
      <c r="O28" s="2432" t="s">
        <v>588</v>
      </c>
      <c r="P28" s="2432"/>
    </row>
    <row r="29" spans="1:16" ht="95.25" customHeight="1" x14ac:dyDescent="0.25">
      <c r="A29" s="1726" t="s">
        <v>4199</v>
      </c>
      <c r="B29" s="2431" t="s">
        <v>6329</v>
      </c>
      <c r="C29" s="2432"/>
      <c r="D29" s="2432"/>
      <c r="E29" s="2432"/>
      <c r="F29" s="2432" t="s">
        <v>6330</v>
      </c>
      <c r="G29" s="2432"/>
      <c r="H29" s="2432"/>
      <c r="I29" s="2432"/>
      <c r="J29" s="2432" t="s">
        <v>6331</v>
      </c>
      <c r="K29" s="2432"/>
      <c r="L29" s="2432"/>
      <c r="M29" s="2433">
        <f>ROUND(90 * 2, 2)</f>
        <v>180</v>
      </c>
      <c r="N29" s="2432"/>
      <c r="O29" s="2432" t="s">
        <v>588</v>
      </c>
      <c r="P29" s="2432"/>
    </row>
    <row r="30" spans="1:16" ht="54.4" customHeight="1" x14ac:dyDescent="0.25">
      <c r="A30" s="1726" t="s">
        <v>4203</v>
      </c>
      <c r="B30" s="2431" t="s">
        <v>6332</v>
      </c>
      <c r="C30" s="2432"/>
      <c r="D30" s="2432"/>
      <c r="E30" s="2432"/>
      <c r="F30" s="2432" t="s">
        <v>6333</v>
      </c>
      <c r="G30" s="2432"/>
      <c r="H30" s="2432"/>
      <c r="I30" s="2432"/>
      <c r="J30" s="2432" t="s">
        <v>6334</v>
      </c>
      <c r="K30" s="2432"/>
      <c r="L30" s="2432"/>
      <c r="M30" s="2433">
        <f>ROUND(116 * 2, 2)</f>
        <v>232</v>
      </c>
      <c r="N30" s="2432"/>
      <c r="O30" s="2432" t="s">
        <v>588</v>
      </c>
      <c r="P30" s="2432"/>
    </row>
    <row r="31" spans="1:16" ht="54.4" customHeight="1" x14ac:dyDescent="0.25">
      <c r="A31" s="1726" t="s">
        <v>4205</v>
      </c>
      <c r="B31" s="2431" t="s">
        <v>6335</v>
      </c>
      <c r="C31" s="2432"/>
      <c r="D31" s="2432"/>
      <c r="E31" s="2432"/>
      <c r="F31" s="2432" t="s">
        <v>6336</v>
      </c>
      <c r="G31" s="2432"/>
      <c r="H31" s="2432"/>
      <c r="I31" s="2432"/>
      <c r="J31" s="2432" t="s">
        <v>6337</v>
      </c>
      <c r="K31" s="2432"/>
      <c r="L31" s="2432"/>
      <c r="M31" s="2433">
        <f>ROUND(49 * 1, 2)</f>
        <v>49</v>
      </c>
      <c r="N31" s="2432"/>
      <c r="O31" s="2432" t="s">
        <v>588</v>
      </c>
      <c r="P31" s="2432"/>
    </row>
    <row r="32" spans="1:16" ht="68.099999999999994" customHeight="1" x14ac:dyDescent="0.25">
      <c r="A32" s="1726" t="s">
        <v>4350</v>
      </c>
      <c r="B32" s="2431" t="s">
        <v>6338</v>
      </c>
      <c r="C32" s="2432"/>
      <c r="D32" s="2432"/>
      <c r="E32" s="2432"/>
      <c r="F32" s="2432" t="s">
        <v>6339</v>
      </c>
      <c r="G32" s="2432"/>
      <c r="H32" s="2432"/>
      <c r="I32" s="2432"/>
      <c r="J32" s="2432" t="s">
        <v>6340</v>
      </c>
      <c r="K32" s="2432"/>
      <c r="L32" s="2432"/>
      <c r="M32" s="2433">
        <f>ROUND(243 * 1, 2)</f>
        <v>243</v>
      </c>
      <c r="N32" s="2432"/>
      <c r="O32" s="2432" t="s">
        <v>588</v>
      </c>
      <c r="P32" s="2432"/>
    </row>
    <row r="33" spans="1:16" ht="54.4" customHeight="1" x14ac:dyDescent="0.25">
      <c r="A33" s="1726" t="s">
        <v>4353</v>
      </c>
      <c r="B33" s="2431" t="s">
        <v>6341</v>
      </c>
      <c r="C33" s="2432"/>
      <c r="D33" s="2432"/>
      <c r="E33" s="2432"/>
      <c r="F33" s="2432" t="s">
        <v>6342</v>
      </c>
      <c r="G33" s="2432"/>
      <c r="H33" s="2432"/>
      <c r="I33" s="2432"/>
      <c r="J33" s="2432" t="s">
        <v>6343</v>
      </c>
      <c r="K33" s="2432"/>
      <c r="L33" s="2432"/>
      <c r="M33" s="2433">
        <f>ROUND(871.6 * 65 / 100 * 1.25, 2)</f>
        <v>708.18</v>
      </c>
      <c r="N33" s="2432"/>
      <c r="O33" s="2432" t="s">
        <v>588</v>
      </c>
      <c r="P33" s="2432"/>
    </row>
    <row r="34" spans="1:16" ht="15" customHeight="1" x14ac:dyDescent="0.25">
      <c r="A34" s="1728"/>
      <c r="B34" s="2442" t="s">
        <v>4168</v>
      </c>
      <c r="C34" s="2442"/>
      <c r="D34" s="2442"/>
      <c r="E34" s="2442"/>
      <c r="F34" s="2442" t="s">
        <v>588</v>
      </c>
      <c r="G34" s="2442"/>
      <c r="H34" s="2442"/>
      <c r="I34" s="2442"/>
      <c r="J34" s="2442" t="s">
        <v>588</v>
      </c>
      <c r="K34" s="2442"/>
      <c r="L34" s="2442"/>
      <c r="M34" s="2442"/>
      <c r="N34" s="2442"/>
      <c r="O34" s="2442"/>
      <c r="P34" s="2442"/>
    </row>
    <row r="35" spans="1:16" ht="54.4" customHeight="1" x14ac:dyDescent="0.25">
      <c r="A35" s="1729"/>
      <c r="B35" s="2443" t="s">
        <v>6344</v>
      </c>
      <c r="C35" s="2443"/>
      <c r="D35" s="2443"/>
      <c r="E35" s="2443"/>
      <c r="F35" s="2443" t="s">
        <v>6345</v>
      </c>
      <c r="G35" s="2443"/>
      <c r="H35" s="2443"/>
      <c r="I35" s="2443"/>
      <c r="J35" s="2443" t="s">
        <v>588</v>
      </c>
      <c r="K35" s="2443"/>
      <c r="L35" s="2443"/>
      <c r="M35" s="2443"/>
      <c r="N35" s="2443"/>
      <c r="O35" s="2443"/>
      <c r="P35" s="2443"/>
    </row>
    <row r="36" spans="1:16" ht="40.9" customHeight="1" x14ac:dyDescent="0.25">
      <c r="A36" s="1726" t="s">
        <v>4354</v>
      </c>
      <c r="B36" s="2431" t="s">
        <v>6346</v>
      </c>
      <c r="C36" s="2432"/>
      <c r="D36" s="2432"/>
      <c r="E36" s="2432"/>
      <c r="F36" s="2432" t="s">
        <v>6347</v>
      </c>
      <c r="G36" s="2432"/>
      <c r="H36" s="2432"/>
      <c r="I36" s="2432"/>
      <c r="J36" s="2432" t="s">
        <v>6348</v>
      </c>
      <c r="K36" s="2432"/>
      <c r="L36" s="2432"/>
      <c r="M36" s="2433">
        <f>ROUND(450 * 1, 2)</f>
        <v>450</v>
      </c>
      <c r="N36" s="2432"/>
      <c r="O36" s="2432" t="s">
        <v>588</v>
      </c>
      <c r="P36" s="2432"/>
    </row>
    <row r="37" spans="1:16" ht="15" customHeight="1" x14ac:dyDescent="0.25">
      <c r="A37" s="1724" t="s">
        <v>4355</v>
      </c>
      <c r="B37" s="2425" t="s">
        <v>6349</v>
      </c>
      <c r="C37" s="2425"/>
      <c r="D37" s="2425"/>
      <c r="E37" s="2425"/>
      <c r="F37" s="2425"/>
      <c r="G37" s="2425"/>
      <c r="H37" s="2425"/>
      <c r="I37" s="2425"/>
      <c r="J37" s="2425" t="s">
        <v>588</v>
      </c>
      <c r="K37" s="2425"/>
      <c r="L37" s="2425"/>
      <c r="M37" s="2426">
        <f>ROUND(SUM($M$26:$M$36),2)</f>
        <v>2029.78</v>
      </c>
      <c r="N37" s="2425"/>
      <c r="O37" s="2425"/>
      <c r="P37" s="2425"/>
    </row>
    <row r="38" spans="1:16" ht="15" customHeight="1" x14ac:dyDescent="0.25">
      <c r="A38" s="1724" t="s">
        <v>4357</v>
      </c>
      <c r="B38" s="2425" t="s">
        <v>6350</v>
      </c>
      <c r="C38" s="2425"/>
      <c r="D38" s="2425"/>
      <c r="E38" s="2425"/>
      <c r="F38" s="2425"/>
      <c r="G38" s="2425"/>
      <c r="H38" s="2425"/>
      <c r="I38" s="2425"/>
      <c r="J38" s="2425" t="s">
        <v>588</v>
      </c>
      <c r="K38" s="2425"/>
      <c r="L38" s="2425"/>
      <c r="M38" s="2426">
        <f>ROUND(($M$37),2)</f>
        <v>2029.78</v>
      </c>
      <c r="N38" s="2425"/>
      <c r="O38" s="2425"/>
      <c r="P38" s="2425"/>
    </row>
    <row r="39" spans="1:16" ht="15" customHeight="1" x14ac:dyDescent="0.25">
      <c r="A39" s="1724" t="s">
        <v>640</v>
      </c>
      <c r="B39" s="2425" t="s">
        <v>6145</v>
      </c>
      <c r="C39" s="2425"/>
      <c r="D39" s="2425"/>
      <c r="E39" s="2425"/>
      <c r="F39" s="2425" t="s">
        <v>4207</v>
      </c>
      <c r="G39" s="2425"/>
      <c r="H39" s="2425"/>
      <c r="I39" s="2425"/>
      <c r="J39" s="2425"/>
      <c r="K39" s="2425"/>
      <c r="L39" s="2425"/>
      <c r="M39" s="2425"/>
      <c r="N39" s="2425"/>
      <c r="O39" s="2425"/>
      <c r="P39" s="2425"/>
    </row>
    <row r="40" spans="1:16" ht="81.599999999999994" customHeight="1" x14ac:dyDescent="0.25">
      <c r="A40" s="1724" t="s">
        <v>240</v>
      </c>
      <c r="B40" s="2449" t="s">
        <v>6351</v>
      </c>
      <c r="C40" s="2449"/>
      <c r="D40" s="2449"/>
      <c r="E40" s="2449"/>
      <c r="F40" s="2449" t="s">
        <v>6352</v>
      </c>
      <c r="G40" s="2449"/>
      <c r="H40" s="2449"/>
      <c r="I40" s="2449"/>
      <c r="J40" s="2449" t="s">
        <v>6353</v>
      </c>
      <c r="K40" s="2449"/>
      <c r="L40" s="2449"/>
      <c r="M40" s="2450">
        <f>ROUND(($M$24) * 0.2,2)</f>
        <v>7.96</v>
      </c>
      <c r="N40" s="2449"/>
      <c r="O40" s="2449" t="s">
        <v>588</v>
      </c>
      <c r="P40" s="2449"/>
    </row>
    <row r="41" spans="1:16" ht="68.099999999999994" customHeight="1" x14ac:dyDescent="0.25">
      <c r="A41" s="1724" t="s">
        <v>508</v>
      </c>
      <c r="B41" s="2449" t="s">
        <v>6354</v>
      </c>
      <c r="C41" s="2449"/>
      <c r="D41" s="2449"/>
      <c r="E41" s="2449"/>
      <c r="F41" s="2449" t="s">
        <v>6355</v>
      </c>
      <c r="G41" s="2449"/>
      <c r="H41" s="2449"/>
      <c r="I41" s="2449"/>
      <c r="J41" s="2449" t="s">
        <v>6356</v>
      </c>
      <c r="K41" s="2449"/>
      <c r="L41" s="2449"/>
      <c r="M41" s="2450">
        <f>ROUND(($M$24+$M$40) * (8.75/100),2)</f>
        <v>4.18</v>
      </c>
      <c r="N41" s="2449"/>
      <c r="O41" s="2449" t="s">
        <v>588</v>
      </c>
      <c r="P41" s="2449"/>
    </row>
    <row r="42" spans="1:16" ht="68.099999999999994" customHeight="1" x14ac:dyDescent="0.25">
      <c r="A42" s="1724" t="s">
        <v>509</v>
      </c>
      <c r="B42" s="2449" t="s">
        <v>6357</v>
      </c>
      <c r="C42" s="2449"/>
      <c r="D42" s="2449"/>
      <c r="E42" s="2449"/>
      <c r="F42" s="2449" t="s">
        <v>6358</v>
      </c>
      <c r="G42" s="2449"/>
      <c r="H42" s="2449"/>
      <c r="I42" s="2449"/>
      <c r="J42" s="2449" t="s">
        <v>6359</v>
      </c>
      <c r="K42" s="2449"/>
      <c r="L42" s="2449"/>
      <c r="M42" s="2450">
        <f>ROUND(($M$24+SUM($M$40:$M$41)) * (36.4/100),2)</f>
        <v>18.91</v>
      </c>
      <c r="N42" s="2449"/>
      <c r="O42" s="2449" t="s">
        <v>588</v>
      </c>
      <c r="P42" s="2449"/>
    </row>
    <row r="43" spans="1:16" ht="68.099999999999994" customHeight="1" x14ac:dyDescent="0.25">
      <c r="A43" s="1724" t="s">
        <v>510</v>
      </c>
      <c r="B43" s="2449" t="s">
        <v>6360</v>
      </c>
      <c r="C43" s="2449"/>
      <c r="D43" s="2449"/>
      <c r="E43" s="2449"/>
      <c r="F43" s="2449" t="s">
        <v>6361</v>
      </c>
      <c r="G43" s="2449"/>
      <c r="H43" s="2449"/>
      <c r="I43" s="2449"/>
      <c r="J43" s="2449" t="s">
        <v>6362</v>
      </c>
      <c r="K43" s="2449"/>
      <c r="L43" s="2449"/>
      <c r="M43" s="2450">
        <f>ROUND(($M$24+SUM($M$40:$M$41)) * (2.5 * 6/100),2)</f>
        <v>7.79</v>
      </c>
      <c r="N43" s="2449"/>
      <c r="O43" s="2449" t="s">
        <v>588</v>
      </c>
      <c r="P43" s="2449"/>
    </row>
    <row r="44" spans="1:16" ht="15" customHeight="1" x14ac:dyDescent="0.25">
      <c r="A44" s="1724" t="s">
        <v>4213</v>
      </c>
      <c r="B44" s="2425" t="s">
        <v>6363</v>
      </c>
      <c r="C44" s="2425"/>
      <c r="D44" s="2425"/>
      <c r="E44" s="2425"/>
      <c r="F44" s="2425"/>
      <c r="G44" s="2425"/>
      <c r="H44" s="2425"/>
      <c r="I44" s="2425"/>
      <c r="J44" s="2425" t="s">
        <v>588</v>
      </c>
      <c r="K44" s="2425"/>
      <c r="L44" s="2425"/>
      <c r="M44" s="2426">
        <f>ROUND((SUM($M$40:$M$43)),2)</f>
        <v>38.840000000000003</v>
      </c>
      <c r="N44" s="2425"/>
      <c r="O44" s="2425"/>
      <c r="P44" s="2425"/>
    </row>
    <row r="45" spans="1:16" ht="15" customHeight="1" x14ac:dyDescent="0.25">
      <c r="A45" s="1724" t="s">
        <v>232</v>
      </c>
      <c r="B45" s="2425" t="s">
        <v>4218</v>
      </c>
      <c r="C45" s="2425"/>
      <c r="D45" s="2425"/>
      <c r="E45" s="2425"/>
      <c r="F45" s="2425"/>
      <c r="G45" s="2425"/>
      <c r="H45" s="2425"/>
      <c r="I45" s="2425"/>
      <c r="J45" s="2425" t="s">
        <v>588</v>
      </c>
      <c r="K45" s="2425"/>
      <c r="L45" s="2425"/>
      <c r="M45" s="2426">
        <f>ROUND($M$24+$M$38+$M$44,2)</f>
        <v>2108.42</v>
      </c>
      <c r="N45" s="2425"/>
      <c r="O45" s="2425"/>
      <c r="P45" s="2425"/>
    </row>
    <row r="46" spans="1:16" ht="27.2" customHeight="1" x14ac:dyDescent="0.25">
      <c r="A46" s="1724" t="s">
        <v>233</v>
      </c>
      <c r="B46" s="2449" t="s">
        <v>6364</v>
      </c>
      <c r="C46" s="2449"/>
      <c r="D46" s="2449"/>
      <c r="E46" s="2449"/>
      <c r="F46" s="2449" t="s">
        <v>588</v>
      </c>
      <c r="G46" s="2449"/>
      <c r="H46" s="2449"/>
      <c r="I46" s="2449"/>
      <c r="J46" s="2449" t="s">
        <v>6365</v>
      </c>
      <c r="K46" s="2449"/>
      <c r="L46" s="2449"/>
      <c r="M46" s="2450">
        <f>ROUND($M$45,2)</f>
        <v>2108.42</v>
      </c>
      <c r="N46" s="2449"/>
      <c r="O46" s="2449" t="s">
        <v>588</v>
      </c>
      <c r="P46" s="2449"/>
    </row>
    <row r="47" spans="1:16" ht="40.9" customHeight="1" x14ac:dyDescent="0.25">
      <c r="A47" s="1724" t="s">
        <v>238</v>
      </c>
      <c r="B47" s="2449" t="s">
        <v>6366</v>
      </c>
      <c r="C47" s="2449"/>
      <c r="D47" s="2449"/>
      <c r="E47" s="2449"/>
      <c r="F47" s="2449" t="s">
        <v>6367</v>
      </c>
      <c r="G47" s="2449"/>
      <c r="H47" s="2449"/>
      <c r="I47" s="2449"/>
      <c r="J47" s="2449" t="s">
        <v>6368</v>
      </c>
      <c r="K47" s="2449"/>
      <c r="L47" s="2449"/>
      <c r="M47" s="2450">
        <f>ROUND(($M$46) * 80.58,2)</f>
        <v>169896.48</v>
      </c>
      <c r="N47" s="2449"/>
      <c r="O47" s="2449" t="s">
        <v>588</v>
      </c>
      <c r="P47" s="2449"/>
    </row>
    <row r="48" spans="1:16" ht="15" customHeight="1" x14ac:dyDescent="0.25">
      <c r="A48" s="1724" t="s">
        <v>641</v>
      </c>
      <c r="B48" s="2425" t="s">
        <v>6295</v>
      </c>
      <c r="C48" s="2425"/>
      <c r="D48" s="2425"/>
      <c r="E48" s="2425"/>
      <c r="F48" s="2425"/>
      <c r="G48" s="2425"/>
      <c r="H48" s="2425"/>
      <c r="I48" s="2425"/>
      <c r="J48" s="2425" t="s">
        <v>588</v>
      </c>
      <c r="K48" s="2425"/>
      <c r="L48" s="2425"/>
      <c r="M48" s="2426">
        <f>ROUND(($M$47),2)</f>
        <v>169896.48</v>
      </c>
      <c r="N48" s="2425"/>
      <c r="O48" s="2425"/>
      <c r="P48" s="2425"/>
    </row>
    <row r="49" spans="1:16" ht="15" customHeight="1" x14ac:dyDescent="0.25"/>
    <row r="50" spans="1:16" ht="30" customHeight="1" x14ac:dyDescent="0.25">
      <c r="A50" s="2427" t="s">
        <v>6297</v>
      </c>
      <c r="B50" s="2427"/>
      <c r="C50" s="2427"/>
      <c r="D50" s="2427"/>
      <c r="E50" s="2427"/>
      <c r="F50" s="2428">
        <f>$M$48</f>
        <v>169896.48</v>
      </c>
      <c r="G50" s="2428"/>
      <c r="H50" s="2428"/>
      <c r="I50" s="2428"/>
      <c r="J50" s="2428"/>
      <c r="K50" s="2428"/>
      <c r="L50" s="2428"/>
      <c r="M50" s="2428"/>
      <c r="N50" s="2428"/>
      <c r="O50" s="2428"/>
      <c r="P50" s="2428"/>
    </row>
  </sheetData>
  <mergeCells count="171">
    <mergeCell ref="A50:E50"/>
    <mergeCell ref="F50:P50"/>
    <mergeCell ref="B47:E47"/>
    <mergeCell ref="F47:I47"/>
    <mergeCell ref="J47:L47"/>
    <mergeCell ref="M47:N47"/>
    <mergeCell ref="O47:P47"/>
    <mergeCell ref="B48:E48"/>
    <mergeCell ref="F48:I48"/>
    <mergeCell ref="J48:L48"/>
    <mergeCell ref="M48:N48"/>
    <mergeCell ref="O48:P48"/>
    <mergeCell ref="B45:E45"/>
    <mergeCell ref="F45:I45"/>
    <mergeCell ref="J45:L45"/>
    <mergeCell ref="M45:N45"/>
    <mergeCell ref="O45:P45"/>
    <mergeCell ref="B46:E46"/>
    <mergeCell ref="F46:I46"/>
    <mergeCell ref="J46:L46"/>
    <mergeCell ref="M46:N46"/>
    <mergeCell ref="O46:P46"/>
    <mergeCell ref="B43:E43"/>
    <mergeCell ref="F43:I43"/>
    <mergeCell ref="J43:L43"/>
    <mergeCell ref="M43:N43"/>
    <mergeCell ref="O43:P43"/>
    <mergeCell ref="B44:E44"/>
    <mergeCell ref="F44:I44"/>
    <mergeCell ref="J44:L44"/>
    <mergeCell ref="M44:N44"/>
    <mergeCell ref="O44:P44"/>
    <mergeCell ref="B41:E41"/>
    <mergeCell ref="F41:I41"/>
    <mergeCell ref="J41:L41"/>
    <mergeCell ref="M41:N41"/>
    <mergeCell ref="O41:P41"/>
    <mergeCell ref="B42:E42"/>
    <mergeCell ref="F42:I42"/>
    <mergeCell ref="J42:L42"/>
    <mergeCell ref="M42:N42"/>
    <mergeCell ref="O42:P42"/>
    <mergeCell ref="B39:E39"/>
    <mergeCell ref="F39:I39"/>
    <mergeCell ref="J39:L39"/>
    <mergeCell ref="M39:N39"/>
    <mergeCell ref="O39:P39"/>
    <mergeCell ref="B40:E40"/>
    <mergeCell ref="F40:I40"/>
    <mergeCell ref="J40:L40"/>
    <mergeCell ref="M40:N40"/>
    <mergeCell ref="O40:P40"/>
    <mergeCell ref="B37:E37"/>
    <mergeCell ref="F37:I37"/>
    <mergeCell ref="J37:L37"/>
    <mergeCell ref="M37:N37"/>
    <mergeCell ref="O37:P37"/>
    <mergeCell ref="B38:E38"/>
    <mergeCell ref="F38:I38"/>
    <mergeCell ref="J38:L38"/>
    <mergeCell ref="M38:N38"/>
    <mergeCell ref="O38:P38"/>
    <mergeCell ref="B35:E35"/>
    <mergeCell ref="F35:I35"/>
    <mergeCell ref="J35:L35"/>
    <mergeCell ref="M35:N35"/>
    <mergeCell ref="O35:P35"/>
    <mergeCell ref="B36:E36"/>
    <mergeCell ref="F36:I36"/>
    <mergeCell ref="J36:L36"/>
    <mergeCell ref="M36:N36"/>
    <mergeCell ref="O36:P36"/>
    <mergeCell ref="B33:E33"/>
    <mergeCell ref="F33:I33"/>
    <mergeCell ref="J33:L33"/>
    <mergeCell ref="M33:N33"/>
    <mergeCell ref="O33:P33"/>
    <mergeCell ref="B34:E34"/>
    <mergeCell ref="F34:I34"/>
    <mergeCell ref="J34:L34"/>
    <mergeCell ref="M34:N34"/>
    <mergeCell ref="O34:P34"/>
    <mergeCell ref="B31:E31"/>
    <mergeCell ref="F31:I31"/>
    <mergeCell ref="J31:L31"/>
    <mergeCell ref="M31:N31"/>
    <mergeCell ref="O31:P31"/>
    <mergeCell ref="B32:E32"/>
    <mergeCell ref="F32:I32"/>
    <mergeCell ref="J32:L32"/>
    <mergeCell ref="M32:N32"/>
    <mergeCell ref="O32:P32"/>
    <mergeCell ref="B29:E29"/>
    <mergeCell ref="F29:I29"/>
    <mergeCell ref="J29:L29"/>
    <mergeCell ref="M29:N29"/>
    <mergeCell ref="O29:P29"/>
    <mergeCell ref="B30:E30"/>
    <mergeCell ref="F30:I30"/>
    <mergeCell ref="J30:L30"/>
    <mergeCell ref="M30:N30"/>
    <mergeCell ref="O30:P30"/>
    <mergeCell ref="B27:E27"/>
    <mergeCell ref="F27:I27"/>
    <mergeCell ref="J27:L27"/>
    <mergeCell ref="M27:N27"/>
    <mergeCell ref="O27:P27"/>
    <mergeCell ref="B28:E28"/>
    <mergeCell ref="F28:I28"/>
    <mergeCell ref="J28:L28"/>
    <mergeCell ref="M28:N28"/>
    <mergeCell ref="O28:P28"/>
    <mergeCell ref="B25:E25"/>
    <mergeCell ref="F25:I25"/>
    <mergeCell ref="J25:L25"/>
    <mergeCell ref="M25:N25"/>
    <mergeCell ref="O25:P25"/>
    <mergeCell ref="B26:E26"/>
    <mergeCell ref="F26:I26"/>
    <mergeCell ref="J26:L26"/>
    <mergeCell ref="M26:N26"/>
    <mergeCell ref="O26:P26"/>
    <mergeCell ref="B23:E23"/>
    <mergeCell ref="F23:I23"/>
    <mergeCell ref="J23:L23"/>
    <mergeCell ref="M23:N23"/>
    <mergeCell ref="O23:P23"/>
    <mergeCell ref="B24:E24"/>
    <mergeCell ref="F24:I24"/>
    <mergeCell ref="J24:L24"/>
    <mergeCell ref="M24:N24"/>
    <mergeCell ref="O24:P24"/>
    <mergeCell ref="B21:E21"/>
    <mergeCell ref="F21:I21"/>
    <mergeCell ref="J21:L21"/>
    <mergeCell ref="M21:N21"/>
    <mergeCell ref="O21:P21"/>
    <mergeCell ref="B22:E22"/>
    <mergeCell ref="F22:I22"/>
    <mergeCell ref="J22:L22"/>
    <mergeCell ref="M22:N22"/>
    <mergeCell ref="O22:P22"/>
    <mergeCell ref="B19:E19"/>
    <mergeCell ref="F19:I19"/>
    <mergeCell ref="J19:L19"/>
    <mergeCell ref="M19:N19"/>
    <mergeCell ref="O19:P19"/>
    <mergeCell ref="B20:E20"/>
    <mergeCell ref="F20:I20"/>
    <mergeCell ref="J20:L20"/>
    <mergeCell ref="M20:N20"/>
    <mergeCell ref="O20:P20"/>
    <mergeCell ref="A1:D1"/>
    <mergeCell ref="E1:P1"/>
    <mergeCell ref="A3:P3"/>
    <mergeCell ref="A4:P4"/>
    <mergeCell ref="A6:E6"/>
    <mergeCell ref="F6:P6"/>
    <mergeCell ref="A14:P14"/>
    <mergeCell ref="A16:P16"/>
    <mergeCell ref="B18:E18"/>
    <mergeCell ref="F18:I18"/>
    <mergeCell ref="J18:L18"/>
    <mergeCell ref="M18:N18"/>
    <mergeCell ref="O18:P18"/>
    <mergeCell ref="A8:E8"/>
    <mergeCell ref="F8:P8"/>
    <mergeCell ref="A10:E10"/>
    <mergeCell ref="F10:P10"/>
    <mergeCell ref="A12:E12"/>
    <mergeCell ref="F12:P12"/>
  </mergeCells>
  <pageMargins left="0.4" right="0.4" top="0.75" bottom="0.75" header="0.3" footer="0.3"/>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X50"/>
  <sheetViews>
    <sheetView showRuler="0" workbookViewId="0">
      <selection activeCell="A14" sqref="A14:P14"/>
    </sheetView>
  </sheetViews>
  <sheetFormatPr defaultRowHeight="15" x14ac:dyDescent="0.25"/>
  <cols>
    <col min="1" max="50" width="8" style="1720" customWidth="1"/>
    <col min="51" max="16384" width="9.140625" style="1445"/>
  </cols>
  <sheetData>
    <row r="1" spans="1:16" ht="27.2" customHeight="1" x14ac:dyDescent="0.25">
      <c r="A1" s="2437" t="s">
        <v>6304</v>
      </c>
      <c r="B1" s="2437"/>
      <c r="C1" s="2437"/>
      <c r="D1" s="2437"/>
      <c r="E1" s="2438" t="s">
        <v>6305</v>
      </c>
      <c r="F1" s="2438"/>
      <c r="G1" s="2438"/>
      <c r="H1" s="2438"/>
      <c r="I1" s="2438"/>
      <c r="J1" s="2438"/>
      <c r="K1" s="2438"/>
      <c r="L1" s="2438"/>
      <c r="M1" s="2438"/>
      <c r="N1" s="2438"/>
      <c r="O1" s="2438"/>
      <c r="P1" s="2438"/>
    </row>
    <row r="2" spans="1:16" ht="15" customHeight="1" x14ac:dyDescent="0.25"/>
    <row r="3" spans="1:16" ht="15" customHeight="1" x14ac:dyDescent="0.25">
      <c r="A3" s="2446" t="s">
        <v>6395</v>
      </c>
      <c r="B3" s="2446"/>
      <c r="C3" s="2446"/>
      <c r="D3" s="2446"/>
      <c r="E3" s="2446"/>
      <c r="F3" s="2446"/>
      <c r="G3" s="2446"/>
      <c r="H3" s="2446"/>
      <c r="I3" s="2446"/>
      <c r="J3" s="2446"/>
      <c r="K3" s="2446"/>
      <c r="L3" s="2446"/>
      <c r="M3" s="2446"/>
      <c r="N3" s="2446"/>
      <c r="O3" s="2446"/>
      <c r="P3" s="2446"/>
    </row>
    <row r="4" spans="1:16" ht="15" customHeight="1" x14ac:dyDescent="0.25">
      <c r="A4" s="2447" t="s">
        <v>6306</v>
      </c>
      <c r="B4" s="2447"/>
      <c r="C4" s="2447"/>
      <c r="D4" s="2447"/>
      <c r="E4" s="2447"/>
      <c r="F4" s="2447"/>
      <c r="G4" s="2447"/>
      <c r="H4" s="2447"/>
      <c r="I4" s="2447"/>
      <c r="J4" s="2447"/>
      <c r="K4" s="2447"/>
      <c r="L4" s="2447"/>
      <c r="M4" s="2447"/>
      <c r="N4" s="2447"/>
      <c r="O4" s="2447"/>
      <c r="P4" s="2447"/>
    </row>
    <row r="5" spans="1:16" ht="15" customHeight="1" x14ac:dyDescent="0.25"/>
    <row r="6" spans="1:16" ht="15" customHeight="1" x14ac:dyDescent="0.25">
      <c r="A6" s="2427" t="s">
        <v>6307</v>
      </c>
      <c r="B6" s="2427"/>
      <c r="C6" s="2427"/>
      <c r="D6" s="2427"/>
      <c r="E6" s="2427"/>
      <c r="F6" s="2448" t="s">
        <v>6141</v>
      </c>
      <c r="G6" s="2448"/>
      <c r="H6" s="2448"/>
      <c r="I6" s="2448"/>
      <c r="J6" s="2448"/>
      <c r="K6" s="2448"/>
      <c r="L6" s="2448"/>
      <c r="M6" s="2448"/>
      <c r="N6" s="2448"/>
      <c r="O6" s="2448"/>
      <c r="P6" s="2448"/>
    </row>
    <row r="7" spans="1:16" ht="15" customHeight="1" x14ac:dyDescent="0.25"/>
    <row r="8" spans="1:16" ht="15" customHeight="1" x14ac:dyDescent="0.25">
      <c r="A8" s="2427" t="s">
        <v>4153</v>
      </c>
      <c r="B8" s="2427"/>
      <c r="C8" s="2427"/>
      <c r="D8" s="2427"/>
      <c r="E8" s="2427"/>
      <c r="F8" s="2448" t="s">
        <v>6369</v>
      </c>
      <c r="G8" s="2448"/>
      <c r="H8" s="2448"/>
      <c r="I8" s="2448"/>
      <c r="J8" s="2448"/>
      <c r="K8" s="2448"/>
      <c r="L8" s="2448"/>
      <c r="M8" s="2448"/>
      <c r="N8" s="2448"/>
      <c r="O8" s="2448"/>
      <c r="P8" s="2448"/>
    </row>
    <row r="9" spans="1:16" ht="15" customHeight="1" x14ac:dyDescent="0.25"/>
    <row r="10" spans="1:16" ht="15" customHeight="1" x14ac:dyDescent="0.25">
      <c r="A10" s="2427" t="s">
        <v>6308</v>
      </c>
      <c r="B10" s="2427"/>
      <c r="C10" s="2427"/>
      <c r="D10" s="2427"/>
      <c r="E10" s="2427"/>
      <c r="F10" s="2448"/>
      <c r="G10" s="2448"/>
      <c r="H10" s="2448"/>
      <c r="I10" s="2448"/>
      <c r="J10" s="2448"/>
      <c r="K10" s="2448"/>
      <c r="L10" s="2448"/>
      <c r="M10" s="2448"/>
      <c r="N10" s="2448"/>
      <c r="O10" s="2448"/>
      <c r="P10" s="2448"/>
    </row>
    <row r="11" spans="1:16" ht="15" customHeight="1" x14ac:dyDescent="0.25"/>
    <row r="12" spans="1:16" ht="15" customHeight="1" x14ac:dyDescent="0.25">
      <c r="A12" s="2427" t="s">
        <v>6309</v>
      </c>
      <c r="B12" s="2427"/>
      <c r="C12" s="2427"/>
      <c r="D12" s="2427"/>
      <c r="E12" s="2427"/>
      <c r="F12" s="2448"/>
      <c r="G12" s="2448"/>
      <c r="H12" s="2448"/>
      <c r="I12" s="2448"/>
      <c r="J12" s="2448"/>
      <c r="K12" s="2448"/>
      <c r="L12" s="2448"/>
      <c r="M12" s="2448"/>
      <c r="N12" s="2448"/>
      <c r="O12" s="2448"/>
      <c r="P12" s="2448"/>
    </row>
    <row r="13" spans="1:16" ht="15" customHeight="1" x14ac:dyDescent="0.25"/>
    <row r="14" spans="1:16" ht="27.2" customHeight="1" x14ac:dyDescent="0.25">
      <c r="A14" s="2427" t="s">
        <v>6310</v>
      </c>
      <c r="B14" s="2427"/>
      <c r="C14" s="2427"/>
      <c r="D14" s="2427"/>
      <c r="E14" s="2427"/>
      <c r="F14" s="2427"/>
      <c r="G14" s="2427"/>
      <c r="H14" s="2427"/>
      <c r="I14" s="2427"/>
      <c r="J14" s="2427"/>
      <c r="K14" s="2427"/>
      <c r="L14" s="2427"/>
      <c r="M14" s="2427"/>
      <c r="N14" s="2427"/>
      <c r="O14" s="2427"/>
      <c r="P14" s="2427"/>
    </row>
    <row r="15" spans="1:16" ht="15" customHeight="1" x14ac:dyDescent="0.25"/>
    <row r="16" spans="1:16" ht="15" customHeight="1" x14ac:dyDescent="0.25">
      <c r="A16" s="2427" t="s">
        <v>6311</v>
      </c>
      <c r="B16" s="2427"/>
      <c r="C16" s="2427"/>
      <c r="D16" s="2427"/>
      <c r="E16" s="2427"/>
      <c r="F16" s="2427"/>
      <c r="G16" s="2427"/>
      <c r="H16" s="2427"/>
      <c r="I16" s="2427"/>
      <c r="J16" s="2427"/>
      <c r="K16" s="2427"/>
      <c r="L16" s="2427"/>
      <c r="M16" s="2427"/>
      <c r="N16" s="2427"/>
      <c r="O16" s="2427"/>
      <c r="P16" s="2427"/>
    </row>
    <row r="17" spans="1:16" ht="15" customHeight="1" x14ac:dyDescent="0.25"/>
    <row r="18" spans="1:16" ht="15" customHeight="1" x14ac:dyDescent="0.25">
      <c r="A18" s="1722" t="s">
        <v>512</v>
      </c>
      <c r="B18" s="2436" t="s">
        <v>527</v>
      </c>
      <c r="C18" s="2436"/>
      <c r="D18" s="2436"/>
      <c r="E18" s="2436"/>
      <c r="F18" s="2436" t="s">
        <v>4159</v>
      </c>
      <c r="G18" s="2436"/>
      <c r="H18" s="2436"/>
      <c r="I18" s="2436"/>
      <c r="J18" s="2436" t="s">
        <v>4160</v>
      </c>
      <c r="K18" s="2436"/>
      <c r="L18" s="2436"/>
      <c r="M18" s="2436" t="s">
        <v>4161</v>
      </c>
      <c r="N18" s="2436"/>
      <c r="O18" s="2436" t="s">
        <v>6312</v>
      </c>
      <c r="P18" s="2436"/>
    </row>
    <row r="19" spans="1:16" ht="15" customHeight="1" x14ac:dyDescent="0.25">
      <c r="A19" s="1722">
        <v>1</v>
      </c>
      <c r="B19" s="2436">
        <v>2</v>
      </c>
      <c r="C19" s="2436"/>
      <c r="D19" s="2436"/>
      <c r="E19" s="2436"/>
      <c r="F19" s="2436">
        <v>3</v>
      </c>
      <c r="G19" s="2436"/>
      <c r="H19" s="2436"/>
      <c r="I19" s="2436"/>
      <c r="J19" s="2436">
        <v>4</v>
      </c>
      <c r="K19" s="2436"/>
      <c r="L19" s="2436"/>
      <c r="M19" s="2436">
        <v>5</v>
      </c>
      <c r="N19" s="2436"/>
      <c r="O19" s="2436">
        <v>6</v>
      </c>
      <c r="P19" s="2436"/>
    </row>
    <row r="20" spans="1:16" ht="15" customHeight="1" x14ac:dyDescent="0.25">
      <c r="A20" s="1724" t="s">
        <v>190</v>
      </c>
      <c r="B20" s="2425" t="s">
        <v>6145</v>
      </c>
      <c r="C20" s="2425"/>
      <c r="D20" s="2425"/>
      <c r="E20" s="2425"/>
      <c r="F20" s="2425" t="s">
        <v>4166</v>
      </c>
      <c r="G20" s="2425"/>
      <c r="H20" s="2425"/>
      <c r="I20" s="2425"/>
      <c r="J20" s="2425"/>
      <c r="K20" s="2425"/>
      <c r="L20" s="2425"/>
      <c r="M20" s="2425"/>
      <c r="N20" s="2425"/>
      <c r="O20" s="2425"/>
      <c r="P20" s="2425"/>
    </row>
    <row r="21" spans="1:16" ht="54.4" customHeight="1" x14ac:dyDescent="0.25">
      <c r="A21" s="1726" t="s">
        <v>191</v>
      </c>
      <c r="B21" s="2431" t="s">
        <v>6313</v>
      </c>
      <c r="C21" s="2432"/>
      <c r="D21" s="2432"/>
      <c r="E21" s="2432"/>
      <c r="F21" s="2432" t="s">
        <v>6370</v>
      </c>
      <c r="G21" s="2432"/>
      <c r="H21" s="2432"/>
      <c r="I21" s="2432"/>
      <c r="J21" s="2432" t="s">
        <v>6371</v>
      </c>
      <c r="K21" s="2432"/>
      <c r="L21" s="2432"/>
      <c r="M21" s="2433">
        <f>ROUND(24 * 1, 2)</f>
        <v>24</v>
      </c>
      <c r="N21" s="2432"/>
      <c r="O21" s="2432" t="s">
        <v>6372</v>
      </c>
      <c r="P21" s="2432"/>
    </row>
    <row r="22" spans="1:16" ht="54.4" customHeight="1" x14ac:dyDescent="0.25">
      <c r="A22" s="1726" t="s">
        <v>192</v>
      </c>
      <c r="B22" s="2431" t="s">
        <v>6316</v>
      </c>
      <c r="C22" s="2432"/>
      <c r="D22" s="2432"/>
      <c r="E22" s="2432"/>
      <c r="F22" s="2432" t="s">
        <v>6373</v>
      </c>
      <c r="G22" s="2432"/>
      <c r="H22" s="2432"/>
      <c r="I22" s="2432"/>
      <c r="J22" s="2432" t="s">
        <v>6374</v>
      </c>
      <c r="K22" s="2432"/>
      <c r="L22" s="2432"/>
      <c r="M22" s="2433">
        <f>ROUND(7 * 19, 2)</f>
        <v>133</v>
      </c>
      <c r="N22" s="2432"/>
      <c r="O22" s="2432" t="s">
        <v>588</v>
      </c>
      <c r="P22" s="2432"/>
    </row>
    <row r="23" spans="1:16" ht="15" customHeight="1" x14ac:dyDescent="0.25">
      <c r="A23" s="1724" t="s">
        <v>435</v>
      </c>
      <c r="B23" s="2425" t="s">
        <v>6319</v>
      </c>
      <c r="C23" s="2425"/>
      <c r="D23" s="2425"/>
      <c r="E23" s="2425"/>
      <c r="F23" s="2425"/>
      <c r="G23" s="2425"/>
      <c r="H23" s="2425"/>
      <c r="I23" s="2425"/>
      <c r="J23" s="2425" t="s">
        <v>588</v>
      </c>
      <c r="K23" s="2425"/>
      <c r="L23" s="2425"/>
      <c r="M23" s="2426">
        <f>ROUND(SUM($M$21:$M$22),2)</f>
        <v>157</v>
      </c>
      <c r="N23" s="2425"/>
      <c r="O23" s="2425"/>
      <c r="P23" s="2425"/>
    </row>
    <row r="24" spans="1:16" ht="15" customHeight="1" x14ac:dyDescent="0.25">
      <c r="A24" s="1724" t="s">
        <v>437</v>
      </c>
      <c r="B24" s="2425" t="s">
        <v>6320</v>
      </c>
      <c r="C24" s="2425"/>
      <c r="D24" s="2425"/>
      <c r="E24" s="2425"/>
      <c r="F24" s="2425"/>
      <c r="G24" s="2425"/>
      <c r="H24" s="2425"/>
      <c r="I24" s="2425"/>
      <c r="J24" s="2425" t="s">
        <v>588</v>
      </c>
      <c r="K24" s="2425"/>
      <c r="L24" s="2425"/>
      <c r="M24" s="2426">
        <f>ROUND(($M$23),2)</f>
        <v>157</v>
      </c>
      <c r="N24" s="2425"/>
      <c r="O24" s="2425"/>
      <c r="P24" s="2425"/>
    </row>
    <row r="25" spans="1:16" ht="15" customHeight="1" x14ac:dyDescent="0.25">
      <c r="A25" s="1724" t="s">
        <v>639</v>
      </c>
      <c r="B25" s="2425" t="s">
        <v>6145</v>
      </c>
      <c r="C25" s="2425"/>
      <c r="D25" s="2425"/>
      <c r="E25" s="2425"/>
      <c r="F25" s="2425" t="s">
        <v>4186</v>
      </c>
      <c r="G25" s="2425"/>
      <c r="H25" s="2425"/>
      <c r="I25" s="2425"/>
      <c r="J25" s="2425"/>
      <c r="K25" s="2425"/>
      <c r="L25" s="2425"/>
      <c r="M25" s="2425"/>
      <c r="N25" s="2425"/>
      <c r="O25" s="2425"/>
      <c r="P25" s="2425"/>
    </row>
    <row r="26" spans="1:16" ht="54.4" customHeight="1" x14ac:dyDescent="0.25">
      <c r="A26" s="1726" t="s">
        <v>197</v>
      </c>
      <c r="B26" s="2431" t="s">
        <v>6313</v>
      </c>
      <c r="C26" s="2432"/>
      <c r="D26" s="2432"/>
      <c r="E26" s="2432"/>
      <c r="F26" s="2432" t="s">
        <v>6375</v>
      </c>
      <c r="G26" s="2432"/>
      <c r="H26" s="2432"/>
      <c r="I26" s="2432"/>
      <c r="J26" s="2432" t="s">
        <v>6376</v>
      </c>
      <c r="K26" s="2432"/>
      <c r="L26" s="2432"/>
      <c r="M26" s="2433">
        <f>ROUND(8 * 1, 2)</f>
        <v>8</v>
      </c>
      <c r="N26" s="2432"/>
      <c r="O26" s="2432" t="s">
        <v>588</v>
      </c>
      <c r="P26" s="2432"/>
    </row>
    <row r="27" spans="1:16" ht="68.099999999999994" customHeight="1" x14ac:dyDescent="0.25">
      <c r="A27" s="1726" t="s">
        <v>200</v>
      </c>
      <c r="B27" s="2431" t="s">
        <v>6377</v>
      </c>
      <c r="C27" s="2432"/>
      <c r="D27" s="2432"/>
      <c r="E27" s="2432"/>
      <c r="F27" s="2432" t="s">
        <v>6378</v>
      </c>
      <c r="G27" s="2432"/>
      <c r="H27" s="2432"/>
      <c r="I27" s="2432"/>
      <c r="J27" s="2432" t="s">
        <v>6379</v>
      </c>
      <c r="K27" s="2432"/>
      <c r="L27" s="2432"/>
      <c r="M27" s="2433">
        <f>ROUND(34 * 2, 2)</f>
        <v>68</v>
      </c>
      <c r="N27" s="2432"/>
      <c r="O27" s="2432" t="s">
        <v>6380</v>
      </c>
      <c r="P27" s="2432"/>
    </row>
    <row r="28" spans="1:16" ht="68.099999999999994" customHeight="1" x14ac:dyDescent="0.25">
      <c r="A28" s="1726" t="s">
        <v>203</v>
      </c>
      <c r="B28" s="2431" t="s">
        <v>6377</v>
      </c>
      <c r="C28" s="2432"/>
      <c r="D28" s="2432"/>
      <c r="E28" s="2432"/>
      <c r="F28" s="2432" t="s">
        <v>6378</v>
      </c>
      <c r="G28" s="2432"/>
      <c r="H28" s="2432"/>
      <c r="I28" s="2432"/>
      <c r="J28" s="2432" t="s">
        <v>6379</v>
      </c>
      <c r="K28" s="2432"/>
      <c r="L28" s="2432"/>
      <c r="M28" s="2433">
        <f>ROUND(34 * 2, 2)</f>
        <v>68</v>
      </c>
      <c r="N28" s="2432"/>
      <c r="O28" s="2432" t="s">
        <v>6381</v>
      </c>
      <c r="P28" s="2432"/>
    </row>
    <row r="29" spans="1:16" ht="68.099999999999994" customHeight="1" x14ac:dyDescent="0.25">
      <c r="A29" s="1726" t="s">
        <v>4199</v>
      </c>
      <c r="B29" s="2431" t="s">
        <v>6377</v>
      </c>
      <c r="C29" s="2432"/>
      <c r="D29" s="2432"/>
      <c r="E29" s="2432"/>
      <c r="F29" s="2432" t="s">
        <v>6378</v>
      </c>
      <c r="G29" s="2432"/>
      <c r="H29" s="2432"/>
      <c r="I29" s="2432"/>
      <c r="J29" s="2432" t="s">
        <v>6379</v>
      </c>
      <c r="K29" s="2432"/>
      <c r="L29" s="2432"/>
      <c r="M29" s="2433">
        <f>ROUND(34 * 2, 2)</f>
        <v>68</v>
      </c>
      <c r="N29" s="2432"/>
      <c r="O29" s="2432" t="s">
        <v>6382</v>
      </c>
      <c r="P29" s="2432"/>
    </row>
    <row r="30" spans="1:16" ht="81.599999999999994" customHeight="1" x14ac:dyDescent="0.25">
      <c r="A30" s="1726" t="s">
        <v>4203</v>
      </c>
      <c r="B30" s="2431" t="s">
        <v>6383</v>
      </c>
      <c r="C30" s="2432"/>
      <c r="D30" s="2432"/>
      <c r="E30" s="2432"/>
      <c r="F30" s="2432" t="s">
        <v>6384</v>
      </c>
      <c r="G30" s="2432"/>
      <c r="H30" s="2432"/>
      <c r="I30" s="2432"/>
      <c r="J30" s="2432" t="s">
        <v>6385</v>
      </c>
      <c r="K30" s="2432"/>
      <c r="L30" s="2432"/>
      <c r="M30" s="2433">
        <f>ROUND(7 * 2, 2)</f>
        <v>14</v>
      </c>
      <c r="N30" s="2432"/>
      <c r="O30" s="2432" t="s">
        <v>6386</v>
      </c>
      <c r="P30" s="2432"/>
    </row>
    <row r="31" spans="1:16" ht="68.099999999999994" customHeight="1" x14ac:dyDescent="0.25">
      <c r="A31" s="1726" t="s">
        <v>4205</v>
      </c>
      <c r="B31" s="2431" t="s">
        <v>6377</v>
      </c>
      <c r="C31" s="2432"/>
      <c r="D31" s="2432"/>
      <c r="E31" s="2432"/>
      <c r="F31" s="2432" t="s">
        <v>6378</v>
      </c>
      <c r="G31" s="2432"/>
      <c r="H31" s="2432"/>
      <c r="I31" s="2432"/>
      <c r="J31" s="2432" t="s">
        <v>6379</v>
      </c>
      <c r="K31" s="2432"/>
      <c r="L31" s="2432"/>
      <c r="M31" s="2433">
        <f>ROUND(34 * 2, 2)</f>
        <v>68</v>
      </c>
      <c r="N31" s="2432"/>
      <c r="O31" s="2432" t="s">
        <v>6387</v>
      </c>
      <c r="P31" s="2432"/>
    </row>
    <row r="32" spans="1:16" ht="95.25" customHeight="1" x14ac:dyDescent="0.25">
      <c r="A32" s="1726" t="s">
        <v>4350</v>
      </c>
      <c r="B32" s="2431" t="s">
        <v>6388</v>
      </c>
      <c r="C32" s="2432"/>
      <c r="D32" s="2432"/>
      <c r="E32" s="2432"/>
      <c r="F32" s="2432" t="s">
        <v>6389</v>
      </c>
      <c r="G32" s="2432"/>
      <c r="H32" s="2432"/>
      <c r="I32" s="2432"/>
      <c r="J32" s="2432" t="s">
        <v>6390</v>
      </c>
      <c r="K32" s="2432"/>
      <c r="L32" s="2432"/>
      <c r="M32" s="2433">
        <f>ROUND(108 * 1, 2)</f>
        <v>108</v>
      </c>
      <c r="N32" s="2432"/>
      <c r="O32" s="2432" t="s">
        <v>4835</v>
      </c>
      <c r="P32" s="2432"/>
    </row>
    <row r="33" spans="1:16" ht="54.4" customHeight="1" x14ac:dyDescent="0.25">
      <c r="A33" s="1726" t="s">
        <v>4353</v>
      </c>
      <c r="B33" s="2431" t="s">
        <v>6391</v>
      </c>
      <c r="C33" s="2432"/>
      <c r="D33" s="2432"/>
      <c r="E33" s="2432"/>
      <c r="F33" s="2432" t="s">
        <v>6392</v>
      </c>
      <c r="G33" s="2432"/>
      <c r="H33" s="2432"/>
      <c r="I33" s="2432"/>
      <c r="J33" s="2432" t="s">
        <v>6393</v>
      </c>
      <c r="K33" s="2432"/>
      <c r="L33" s="2432"/>
      <c r="M33" s="2433">
        <f>ROUND(402 * 60 / 100 * 1.25, 2)</f>
        <v>301.5</v>
      </c>
      <c r="N33" s="2432"/>
      <c r="O33" s="2432" t="s">
        <v>588</v>
      </c>
      <c r="P33" s="2432"/>
    </row>
    <row r="34" spans="1:16" ht="15" customHeight="1" x14ac:dyDescent="0.25">
      <c r="A34" s="1728"/>
      <c r="B34" s="2442" t="s">
        <v>4168</v>
      </c>
      <c r="C34" s="2442"/>
      <c r="D34" s="2442"/>
      <c r="E34" s="2442"/>
      <c r="F34" s="2442" t="s">
        <v>588</v>
      </c>
      <c r="G34" s="2442"/>
      <c r="H34" s="2442"/>
      <c r="I34" s="2442"/>
      <c r="J34" s="2442" t="s">
        <v>588</v>
      </c>
      <c r="K34" s="2442"/>
      <c r="L34" s="2442"/>
      <c r="M34" s="2442"/>
      <c r="N34" s="2442"/>
      <c r="O34" s="2442"/>
      <c r="P34" s="2442"/>
    </row>
    <row r="35" spans="1:16" ht="54.4" customHeight="1" x14ac:dyDescent="0.25">
      <c r="A35" s="1729"/>
      <c r="B35" s="2443" t="s">
        <v>6344</v>
      </c>
      <c r="C35" s="2443"/>
      <c r="D35" s="2443"/>
      <c r="E35" s="2443"/>
      <c r="F35" s="2443" t="s">
        <v>6345</v>
      </c>
      <c r="G35" s="2443"/>
      <c r="H35" s="2443"/>
      <c r="I35" s="2443"/>
      <c r="J35" s="2443" t="s">
        <v>588</v>
      </c>
      <c r="K35" s="2443"/>
      <c r="L35" s="2443"/>
      <c r="M35" s="2443"/>
      <c r="N35" s="2443"/>
      <c r="O35" s="2443"/>
      <c r="P35" s="2443"/>
    </row>
    <row r="36" spans="1:16" ht="40.9" customHeight="1" x14ac:dyDescent="0.25">
      <c r="A36" s="1726" t="s">
        <v>4354</v>
      </c>
      <c r="B36" s="2431" t="s">
        <v>6346</v>
      </c>
      <c r="C36" s="2432"/>
      <c r="D36" s="2432"/>
      <c r="E36" s="2432"/>
      <c r="F36" s="2432" t="s">
        <v>6347</v>
      </c>
      <c r="G36" s="2432"/>
      <c r="H36" s="2432"/>
      <c r="I36" s="2432"/>
      <c r="J36" s="2432" t="s">
        <v>6348</v>
      </c>
      <c r="K36" s="2432"/>
      <c r="L36" s="2432"/>
      <c r="M36" s="2433">
        <f>ROUND(450 * 1, 2)</f>
        <v>450</v>
      </c>
      <c r="N36" s="2432"/>
      <c r="O36" s="2432" t="s">
        <v>588</v>
      </c>
      <c r="P36" s="2432"/>
    </row>
    <row r="37" spans="1:16" ht="15" customHeight="1" x14ac:dyDescent="0.25">
      <c r="A37" s="1724" t="s">
        <v>4355</v>
      </c>
      <c r="B37" s="2425" t="s">
        <v>6349</v>
      </c>
      <c r="C37" s="2425"/>
      <c r="D37" s="2425"/>
      <c r="E37" s="2425"/>
      <c r="F37" s="2425"/>
      <c r="G37" s="2425"/>
      <c r="H37" s="2425"/>
      <c r="I37" s="2425"/>
      <c r="J37" s="2425" t="s">
        <v>588</v>
      </c>
      <c r="K37" s="2425"/>
      <c r="L37" s="2425"/>
      <c r="M37" s="2426">
        <f>ROUND(SUM($M$26:$M$36),2)</f>
        <v>1153.5</v>
      </c>
      <c r="N37" s="2425"/>
      <c r="O37" s="2425"/>
      <c r="P37" s="2425"/>
    </row>
    <row r="38" spans="1:16" ht="15" customHeight="1" x14ac:dyDescent="0.25">
      <c r="A38" s="1724" t="s">
        <v>4357</v>
      </c>
      <c r="B38" s="2425" t="s">
        <v>6350</v>
      </c>
      <c r="C38" s="2425"/>
      <c r="D38" s="2425"/>
      <c r="E38" s="2425"/>
      <c r="F38" s="2425"/>
      <c r="G38" s="2425"/>
      <c r="H38" s="2425"/>
      <c r="I38" s="2425"/>
      <c r="J38" s="2425" t="s">
        <v>588</v>
      </c>
      <c r="K38" s="2425"/>
      <c r="L38" s="2425"/>
      <c r="M38" s="2426">
        <f>ROUND(($M$37),2)</f>
        <v>1153.5</v>
      </c>
      <c r="N38" s="2425"/>
      <c r="O38" s="2425"/>
      <c r="P38" s="2425"/>
    </row>
    <row r="39" spans="1:16" ht="15" customHeight="1" x14ac:dyDescent="0.25">
      <c r="A39" s="1724" t="s">
        <v>640</v>
      </c>
      <c r="B39" s="2425" t="s">
        <v>6145</v>
      </c>
      <c r="C39" s="2425"/>
      <c r="D39" s="2425"/>
      <c r="E39" s="2425"/>
      <c r="F39" s="2425" t="s">
        <v>4207</v>
      </c>
      <c r="G39" s="2425"/>
      <c r="H39" s="2425"/>
      <c r="I39" s="2425"/>
      <c r="J39" s="2425"/>
      <c r="K39" s="2425"/>
      <c r="L39" s="2425"/>
      <c r="M39" s="2425"/>
      <c r="N39" s="2425"/>
      <c r="O39" s="2425"/>
      <c r="P39" s="2425"/>
    </row>
    <row r="40" spans="1:16" ht="81.599999999999994" customHeight="1" x14ac:dyDescent="0.25">
      <c r="A40" s="1724" t="s">
        <v>240</v>
      </c>
      <c r="B40" s="2449" t="s">
        <v>6351</v>
      </c>
      <c r="C40" s="2449"/>
      <c r="D40" s="2449"/>
      <c r="E40" s="2449"/>
      <c r="F40" s="2449" t="s">
        <v>6352</v>
      </c>
      <c r="G40" s="2449"/>
      <c r="H40" s="2449"/>
      <c r="I40" s="2449"/>
      <c r="J40" s="2449" t="s">
        <v>6353</v>
      </c>
      <c r="K40" s="2449"/>
      <c r="L40" s="2449"/>
      <c r="M40" s="2450">
        <f>ROUND(($M$24) * 0.2,2)</f>
        <v>31.4</v>
      </c>
      <c r="N40" s="2449"/>
      <c r="O40" s="2449" t="s">
        <v>588</v>
      </c>
      <c r="P40" s="2449"/>
    </row>
    <row r="41" spans="1:16" ht="68.099999999999994" customHeight="1" x14ac:dyDescent="0.25">
      <c r="A41" s="1724" t="s">
        <v>508</v>
      </c>
      <c r="B41" s="2449" t="s">
        <v>6354</v>
      </c>
      <c r="C41" s="2449"/>
      <c r="D41" s="2449"/>
      <c r="E41" s="2449"/>
      <c r="F41" s="2449" t="s">
        <v>6355</v>
      </c>
      <c r="G41" s="2449"/>
      <c r="H41" s="2449"/>
      <c r="I41" s="2449"/>
      <c r="J41" s="2449" t="s">
        <v>6356</v>
      </c>
      <c r="K41" s="2449"/>
      <c r="L41" s="2449"/>
      <c r="M41" s="2450">
        <f>ROUND(($M$24+$M$40) * (8.75/100),2)</f>
        <v>16.489999999999998</v>
      </c>
      <c r="N41" s="2449"/>
      <c r="O41" s="2449" t="s">
        <v>588</v>
      </c>
      <c r="P41" s="2449"/>
    </row>
    <row r="42" spans="1:16" ht="68.099999999999994" customHeight="1" x14ac:dyDescent="0.25">
      <c r="A42" s="1724" t="s">
        <v>509</v>
      </c>
      <c r="B42" s="2449" t="s">
        <v>6357</v>
      </c>
      <c r="C42" s="2449"/>
      <c r="D42" s="2449"/>
      <c r="E42" s="2449"/>
      <c r="F42" s="2449" t="s">
        <v>6358</v>
      </c>
      <c r="G42" s="2449"/>
      <c r="H42" s="2449"/>
      <c r="I42" s="2449"/>
      <c r="J42" s="2449" t="s">
        <v>6359</v>
      </c>
      <c r="K42" s="2449"/>
      <c r="L42" s="2449"/>
      <c r="M42" s="2450">
        <f>ROUND(($M$24+SUM($M$40:$M$41)) * (36.4/100),2)</f>
        <v>74.58</v>
      </c>
      <c r="N42" s="2449"/>
      <c r="O42" s="2449" t="s">
        <v>588</v>
      </c>
      <c r="P42" s="2449"/>
    </row>
    <row r="43" spans="1:16" ht="68.099999999999994" customHeight="1" x14ac:dyDescent="0.25">
      <c r="A43" s="1724" t="s">
        <v>510</v>
      </c>
      <c r="B43" s="2449" t="s">
        <v>6360</v>
      </c>
      <c r="C43" s="2449"/>
      <c r="D43" s="2449"/>
      <c r="E43" s="2449"/>
      <c r="F43" s="2449" t="s">
        <v>6361</v>
      </c>
      <c r="G43" s="2449"/>
      <c r="H43" s="2449"/>
      <c r="I43" s="2449"/>
      <c r="J43" s="2449" t="s">
        <v>6362</v>
      </c>
      <c r="K43" s="2449"/>
      <c r="L43" s="2449"/>
      <c r="M43" s="2450">
        <f>ROUND(($M$24+SUM($M$40:$M$41)) * (2.5 * 6/100),2)</f>
        <v>30.73</v>
      </c>
      <c r="N43" s="2449"/>
      <c r="O43" s="2449" t="s">
        <v>588</v>
      </c>
      <c r="P43" s="2449"/>
    </row>
    <row r="44" spans="1:16" ht="15" customHeight="1" x14ac:dyDescent="0.25">
      <c r="A44" s="1724" t="s">
        <v>4213</v>
      </c>
      <c r="B44" s="2425" t="s">
        <v>6363</v>
      </c>
      <c r="C44" s="2425"/>
      <c r="D44" s="2425"/>
      <c r="E44" s="2425"/>
      <c r="F44" s="2425"/>
      <c r="G44" s="2425"/>
      <c r="H44" s="2425"/>
      <c r="I44" s="2425"/>
      <c r="J44" s="2425" t="s">
        <v>588</v>
      </c>
      <c r="K44" s="2425"/>
      <c r="L44" s="2425"/>
      <c r="M44" s="2426">
        <f>ROUND((SUM($M$40:$M$43)),2)</f>
        <v>153.19999999999999</v>
      </c>
      <c r="N44" s="2425"/>
      <c r="O44" s="2425"/>
      <c r="P44" s="2425"/>
    </row>
    <row r="45" spans="1:16" ht="15" customHeight="1" x14ac:dyDescent="0.25">
      <c r="A45" s="1724" t="s">
        <v>232</v>
      </c>
      <c r="B45" s="2425" t="s">
        <v>4218</v>
      </c>
      <c r="C45" s="2425"/>
      <c r="D45" s="2425"/>
      <c r="E45" s="2425"/>
      <c r="F45" s="2425"/>
      <c r="G45" s="2425"/>
      <c r="H45" s="2425"/>
      <c r="I45" s="2425"/>
      <c r="J45" s="2425" t="s">
        <v>588</v>
      </c>
      <c r="K45" s="2425"/>
      <c r="L45" s="2425"/>
      <c r="M45" s="2426">
        <f>ROUND($M$24+$M$38+$M$44,2)</f>
        <v>1463.7</v>
      </c>
      <c r="N45" s="2425"/>
      <c r="O45" s="2425"/>
      <c r="P45" s="2425"/>
    </row>
    <row r="46" spans="1:16" ht="27.2" customHeight="1" x14ac:dyDescent="0.25">
      <c r="A46" s="1724" t="s">
        <v>233</v>
      </c>
      <c r="B46" s="2449" t="s">
        <v>6364</v>
      </c>
      <c r="C46" s="2449"/>
      <c r="D46" s="2449"/>
      <c r="E46" s="2449"/>
      <c r="F46" s="2449" t="s">
        <v>588</v>
      </c>
      <c r="G46" s="2449"/>
      <c r="H46" s="2449"/>
      <c r="I46" s="2449"/>
      <c r="J46" s="2449" t="s">
        <v>6365</v>
      </c>
      <c r="K46" s="2449"/>
      <c r="L46" s="2449"/>
      <c r="M46" s="2450">
        <f>ROUND($M$45,2)</f>
        <v>1463.7</v>
      </c>
      <c r="N46" s="2449"/>
      <c r="O46" s="2449" t="s">
        <v>588</v>
      </c>
      <c r="P46" s="2449"/>
    </row>
    <row r="47" spans="1:16" ht="40.9" customHeight="1" x14ac:dyDescent="0.25">
      <c r="A47" s="1724" t="s">
        <v>238</v>
      </c>
      <c r="B47" s="2449" t="s">
        <v>6366</v>
      </c>
      <c r="C47" s="2449"/>
      <c r="D47" s="2449"/>
      <c r="E47" s="2449"/>
      <c r="F47" s="2449" t="s">
        <v>6367</v>
      </c>
      <c r="G47" s="2449"/>
      <c r="H47" s="2449"/>
      <c r="I47" s="2449"/>
      <c r="J47" s="2449" t="s">
        <v>6368</v>
      </c>
      <c r="K47" s="2449"/>
      <c r="L47" s="2449"/>
      <c r="M47" s="2450">
        <f>ROUND(($M$46) * 80.58,2)</f>
        <v>117944.95</v>
      </c>
      <c r="N47" s="2449"/>
      <c r="O47" s="2449" t="s">
        <v>588</v>
      </c>
      <c r="P47" s="2449"/>
    </row>
    <row r="48" spans="1:16" ht="15" customHeight="1" x14ac:dyDescent="0.25">
      <c r="A48" s="1724" t="s">
        <v>641</v>
      </c>
      <c r="B48" s="2425" t="s">
        <v>6295</v>
      </c>
      <c r="C48" s="2425"/>
      <c r="D48" s="2425"/>
      <c r="E48" s="2425"/>
      <c r="F48" s="2425"/>
      <c r="G48" s="2425"/>
      <c r="H48" s="2425"/>
      <c r="I48" s="2425"/>
      <c r="J48" s="2425" t="s">
        <v>588</v>
      </c>
      <c r="K48" s="2425"/>
      <c r="L48" s="2425"/>
      <c r="M48" s="2426">
        <f>ROUND(($M$47),2)</f>
        <v>117944.95</v>
      </c>
      <c r="N48" s="2425"/>
      <c r="O48" s="2425"/>
      <c r="P48" s="2425"/>
    </row>
    <row r="49" spans="1:16" ht="15" customHeight="1" x14ac:dyDescent="0.25"/>
    <row r="50" spans="1:16" ht="30" customHeight="1" x14ac:dyDescent="0.25">
      <c r="A50" s="2427" t="s">
        <v>6297</v>
      </c>
      <c r="B50" s="2427"/>
      <c r="C50" s="2427"/>
      <c r="D50" s="2427"/>
      <c r="E50" s="2427"/>
      <c r="F50" s="2428">
        <f>$M$48</f>
        <v>117944.95</v>
      </c>
      <c r="G50" s="2428"/>
      <c r="H50" s="2428"/>
      <c r="I50" s="2428"/>
      <c r="J50" s="2428"/>
      <c r="K50" s="2428"/>
      <c r="L50" s="2428"/>
      <c r="M50" s="2428"/>
      <c r="N50" s="2428"/>
      <c r="O50" s="2428"/>
      <c r="P50" s="2428"/>
    </row>
  </sheetData>
  <mergeCells count="171">
    <mergeCell ref="A50:E50"/>
    <mergeCell ref="F50:P50"/>
    <mergeCell ref="B47:E47"/>
    <mergeCell ref="F47:I47"/>
    <mergeCell ref="J47:L47"/>
    <mergeCell ref="M47:N47"/>
    <mergeCell ref="O47:P47"/>
    <mergeCell ref="B48:E48"/>
    <mergeCell ref="F48:I48"/>
    <mergeCell ref="J48:L48"/>
    <mergeCell ref="M48:N48"/>
    <mergeCell ref="O48:P48"/>
    <mergeCell ref="B45:E45"/>
    <mergeCell ref="F45:I45"/>
    <mergeCell ref="J45:L45"/>
    <mergeCell ref="M45:N45"/>
    <mergeCell ref="O45:P45"/>
    <mergeCell ref="B46:E46"/>
    <mergeCell ref="F46:I46"/>
    <mergeCell ref="J46:L46"/>
    <mergeCell ref="M46:N46"/>
    <mergeCell ref="O46:P46"/>
    <mergeCell ref="B43:E43"/>
    <mergeCell ref="F43:I43"/>
    <mergeCell ref="J43:L43"/>
    <mergeCell ref="M43:N43"/>
    <mergeCell ref="O43:P43"/>
    <mergeCell ref="B44:E44"/>
    <mergeCell ref="F44:I44"/>
    <mergeCell ref="J44:L44"/>
    <mergeCell ref="M44:N44"/>
    <mergeCell ref="O44:P44"/>
    <mergeCell ref="B41:E41"/>
    <mergeCell ref="F41:I41"/>
    <mergeCell ref="J41:L41"/>
    <mergeCell ref="M41:N41"/>
    <mergeCell ref="O41:P41"/>
    <mergeCell ref="B42:E42"/>
    <mergeCell ref="F42:I42"/>
    <mergeCell ref="J42:L42"/>
    <mergeCell ref="M42:N42"/>
    <mergeCell ref="O42:P42"/>
    <mergeCell ref="B39:E39"/>
    <mergeCell ref="F39:I39"/>
    <mergeCell ref="J39:L39"/>
    <mergeCell ref="M39:N39"/>
    <mergeCell ref="O39:P39"/>
    <mergeCell ref="B40:E40"/>
    <mergeCell ref="F40:I40"/>
    <mergeCell ref="J40:L40"/>
    <mergeCell ref="M40:N40"/>
    <mergeCell ref="O40:P40"/>
    <mergeCell ref="B37:E37"/>
    <mergeCell ref="F37:I37"/>
    <mergeCell ref="J37:L37"/>
    <mergeCell ref="M37:N37"/>
    <mergeCell ref="O37:P37"/>
    <mergeCell ref="B38:E38"/>
    <mergeCell ref="F38:I38"/>
    <mergeCell ref="J38:L38"/>
    <mergeCell ref="M38:N38"/>
    <mergeCell ref="O38:P38"/>
    <mergeCell ref="B35:E35"/>
    <mergeCell ref="F35:I35"/>
    <mergeCell ref="J35:L35"/>
    <mergeCell ref="M35:N35"/>
    <mergeCell ref="O35:P35"/>
    <mergeCell ref="B36:E36"/>
    <mergeCell ref="F36:I36"/>
    <mergeCell ref="J36:L36"/>
    <mergeCell ref="M36:N36"/>
    <mergeCell ref="O36:P36"/>
    <mergeCell ref="B33:E33"/>
    <mergeCell ref="F33:I33"/>
    <mergeCell ref="J33:L33"/>
    <mergeCell ref="M33:N33"/>
    <mergeCell ref="O33:P33"/>
    <mergeCell ref="B34:E34"/>
    <mergeCell ref="F34:I34"/>
    <mergeCell ref="J34:L34"/>
    <mergeCell ref="M34:N34"/>
    <mergeCell ref="O34:P34"/>
    <mergeCell ref="B31:E31"/>
    <mergeCell ref="F31:I31"/>
    <mergeCell ref="J31:L31"/>
    <mergeCell ref="M31:N31"/>
    <mergeCell ref="O31:P31"/>
    <mergeCell ref="B32:E32"/>
    <mergeCell ref="F32:I32"/>
    <mergeCell ref="J32:L32"/>
    <mergeCell ref="M32:N32"/>
    <mergeCell ref="O32:P32"/>
    <mergeCell ref="B29:E29"/>
    <mergeCell ref="F29:I29"/>
    <mergeCell ref="J29:L29"/>
    <mergeCell ref="M29:N29"/>
    <mergeCell ref="O29:P29"/>
    <mergeCell ref="B30:E30"/>
    <mergeCell ref="F30:I30"/>
    <mergeCell ref="J30:L30"/>
    <mergeCell ref="M30:N30"/>
    <mergeCell ref="O30:P30"/>
    <mergeCell ref="B27:E27"/>
    <mergeCell ref="F27:I27"/>
    <mergeCell ref="J27:L27"/>
    <mergeCell ref="M27:N27"/>
    <mergeCell ref="O27:P27"/>
    <mergeCell ref="B28:E28"/>
    <mergeCell ref="F28:I28"/>
    <mergeCell ref="J28:L28"/>
    <mergeCell ref="M28:N28"/>
    <mergeCell ref="O28:P28"/>
    <mergeCell ref="B25:E25"/>
    <mergeCell ref="F25:I25"/>
    <mergeCell ref="J25:L25"/>
    <mergeCell ref="M25:N25"/>
    <mergeCell ref="O25:P25"/>
    <mergeCell ref="B26:E26"/>
    <mergeCell ref="F26:I26"/>
    <mergeCell ref="J26:L26"/>
    <mergeCell ref="M26:N26"/>
    <mergeCell ref="O26:P26"/>
    <mergeCell ref="B23:E23"/>
    <mergeCell ref="F23:I23"/>
    <mergeCell ref="J23:L23"/>
    <mergeCell ref="M23:N23"/>
    <mergeCell ref="O23:P23"/>
    <mergeCell ref="B24:E24"/>
    <mergeCell ref="F24:I24"/>
    <mergeCell ref="J24:L24"/>
    <mergeCell ref="M24:N24"/>
    <mergeCell ref="O24:P24"/>
    <mergeCell ref="B21:E21"/>
    <mergeCell ref="F21:I21"/>
    <mergeCell ref="J21:L21"/>
    <mergeCell ref="M21:N21"/>
    <mergeCell ref="O21:P21"/>
    <mergeCell ref="B22:E22"/>
    <mergeCell ref="F22:I22"/>
    <mergeCell ref="J22:L22"/>
    <mergeCell ref="M22:N22"/>
    <mergeCell ref="O22:P22"/>
    <mergeCell ref="B19:E19"/>
    <mergeCell ref="F19:I19"/>
    <mergeCell ref="J19:L19"/>
    <mergeCell ref="M19:N19"/>
    <mergeCell ref="O19:P19"/>
    <mergeCell ref="B20:E20"/>
    <mergeCell ref="F20:I20"/>
    <mergeCell ref="J20:L20"/>
    <mergeCell ref="M20:N20"/>
    <mergeCell ref="O20:P20"/>
    <mergeCell ref="A1:D1"/>
    <mergeCell ref="E1:P1"/>
    <mergeCell ref="A3:P3"/>
    <mergeCell ref="A4:P4"/>
    <mergeCell ref="A6:E6"/>
    <mergeCell ref="F6:P6"/>
    <mergeCell ref="A14:P14"/>
    <mergeCell ref="A16:P16"/>
    <mergeCell ref="B18:E18"/>
    <mergeCell ref="F18:I18"/>
    <mergeCell ref="J18:L18"/>
    <mergeCell ref="M18:N18"/>
    <mergeCell ref="O18:P18"/>
    <mergeCell ref="A8:E8"/>
    <mergeCell ref="F8:P8"/>
    <mergeCell ref="A10:E10"/>
    <mergeCell ref="F10:P10"/>
    <mergeCell ref="A12:E12"/>
    <mergeCell ref="F12:P12"/>
  </mergeCells>
  <pageMargins left="0.4" right="0.4" top="0.75" bottom="0.75" header="0.3" footer="0.3"/>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64"/>
  <sheetViews>
    <sheetView zoomScaleNormal="100" workbookViewId="0">
      <selection activeCell="H18" sqref="H18"/>
    </sheetView>
  </sheetViews>
  <sheetFormatPr defaultRowHeight="15" x14ac:dyDescent="0.25"/>
  <cols>
    <col min="1" max="1" width="3.85546875" style="893" customWidth="1"/>
    <col min="2" max="2" width="30" style="893" customWidth="1"/>
    <col min="3" max="4" width="9.140625" style="893"/>
    <col min="5" max="5" width="26.42578125" style="893" customWidth="1"/>
    <col min="6" max="6" width="17.42578125" style="893" customWidth="1"/>
    <col min="7" max="7" width="10.28515625" style="893" bestFit="1" customWidth="1"/>
    <col min="8" max="9" width="9.140625" style="893"/>
    <col min="10" max="10" width="11.140625" style="893" customWidth="1"/>
    <col min="11" max="16384" width="9.140625" style="893"/>
  </cols>
  <sheetData>
    <row r="1" spans="1:10" ht="14.45" customHeight="1" x14ac:dyDescent="0.25">
      <c r="A1" s="892"/>
      <c r="B1" s="2453" t="s">
        <v>4837</v>
      </c>
      <c r="C1" s="2453"/>
      <c r="D1" s="2453"/>
      <c r="E1" s="2453"/>
      <c r="F1" s="2453"/>
      <c r="G1" s="892"/>
    </row>
    <row r="2" spans="1:10" x14ac:dyDescent="0.25">
      <c r="A2" s="892"/>
      <c r="B2" s="2454" t="s">
        <v>4151</v>
      </c>
      <c r="C2" s="2454"/>
      <c r="D2" s="2454"/>
      <c r="E2" s="2454"/>
      <c r="F2" s="2454"/>
      <c r="G2" s="892"/>
    </row>
    <row r="3" spans="1:10" ht="14.45" customHeight="1" x14ac:dyDescent="0.25">
      <c r="A3" s="2455" t="s">
        <v>4152</v>
      </c>
      <c r="B3" s="2455"/>
      <c r="C3" s="2455"/>
      <c r="D3" s="2455"/>
      <c r="E3" s="2455"/>
      <c r="F3" s="2455"/>
      <c r="G3" s="2455"/>
    </row>
    <row r="4" spans="1:10" ht="59.25" customHeight="1" x14ac:dyDescent="0.25">
      <c r="A4" s="2451" t="s">
        <v>4153</v>
      </c>
      <c r="B4" s="2451"/>
      <c r="C4" s="2451"/>
      <c r="D4" s="2452" t="s">
        <v>4833</v>
      </c>
      <c r="E4" s="2452"/>
      <c r="F4" s="2452"/>
      <c r="G4" s="2452"/>
    </row>
    <row r="5" spans="1:10" x14ac:dyDescent="0.25">
      <c r="A5" s="894"/>
      <c r="B5" s="894"/>
      <c r="C5" s="895"/>
      <c r="D5" s="896"/>
      <c r="E5" s="896"/>
      <c r="F5" s="896"/>
      <c r="G5" s="896"/>
    </row>
    <row r="6" spans="1:10" ht="14.45" customHeight="1" x14ac:dyDescent="0.25">
      <c r="A6" s="2451" t="s">
        <v>4154</v>
      </c>
      <c r="B6" s="2451"/>
      <c r="C6" s="2451"/>
      <c r="D6" s="2452" t="s">
        <v>4155</v>
      </c>
      <c r="E6" s="2452"/>
      <c r="F6" s="2452"/>
      <c r="G6" s="2452"/>
    </row>
    <row r="7" spans="1:10" x14ac:dyDescent="0.25">
      <c r="A7" s="897"/>
      <c r="B7" s="897"/>
      <c r="C7" s="897"/>
      <c r="D7" s="2452"/>
      <c r="E7" s="2452"/>
      <c r="F7" s="2452"/>
      <c r="G7" s="2452"/>
    </row>
    <row r="8" spans="1:10" ht="14.45" customHeight="1" x14ac:dyDescent="0.25">
      <c r="A8" s="2451" t="s">
        <v>452</v>
      </c>
      <c r="B8" s="2451"/>
      <c r="C8" s="2451"/>
      <c r="D8" s="2452"/>
      <c r="E8" s="2452"/>
      <c r="F8" s="2452"/>
      <c r="G8" s="2452"/>
    </row>
    <row r="9" spans="1:10" x14ac:dyDescent="0.25">
      <c r="A9" s="895"/>
      <c r="B9" s="895"/>
      <c r="C9" s="892"/>
      <c r="D9" s="2452"/>
      <c r="E9" s="2452"/>
      <c r="F9" s="2452"/>
      <c r="G9" s="2452"/>
    </row>
    <row r="10" spans="1:10" ht="30.75" customHeight="1" x14ac:dyDescent="0.25">
      <c r="A10" s="2451" t="s">
        <v>4156</v>
      </c>
      <c r="B10" s="2459"/>
      <c r="C10" s="2459"/>
      <c r="D10" s="2459"/>
      <c r="E10" s="2459"/>
      <c r="F10" s="2459"/>
      <c r="G10" s="2459"/>
    </row>
    <row r="11" spans="1:10" x14ac:dyDescent="0.25">
      <c r="A11" s="892"/>
      <c r="B11" s="892"/>
      <c r="C11" s="892"/>
      <c r="D11" s="892"/>
      <c r="E11" s="892"/>
      <c r="F11" s="892"/>
      <c r="G11" s="892"/>
    </row>
    <row r="12" spans="1:10" ht="25.5" x14ac:dyDescent="0.25">
      <c r="A12" s="2460" t="s">
        <v>512</v>
      </c>
      <c r="B12" s="2460" t="s">
        <v>527</v>
      </c>
      <c r="C12" s="2460" t="s">
        <v>4157</v>
      </c>
      <c r="D12" s="2460" t="s">
        <v>4158</v>
      </c>
      <c r="E12" s="2460" t="s">
        <v>4159</v>
      </c>
      <c r="F12" s="2462" t="s">
        <v>4160</v>
      </c>
      <c r="G12" s="2463"/>
      <c r="H12" s="2463"/>
      <c r="I12" s="2464"/>
      <c r="J12" s="898" t="s">
        <v>4161</v>
      </c>
    </row>
    <row r="13" spans="1:10" x14ac:dyDescent="0.25">
      <c r="A13" s="2461"/>
      <c r="B13" s="2461"/>
      <c r="C13" s="2461"/>
      <c r="D13" s="2461"/>
      <c r="E13" s="2461"/>
      <c r="F13" s="899" t="s">
        <v>4162</v>
      </c>
      <c r="G13" s="900" t="s">
        <v>4163</v>
      </c>
      <c r="H13" s="901" t="s">
        <v>4164</v>
      </c>
      <c r="I13" s="902" t="s">
        <v>4165</v>
      </c>
      <c r="J13" s="903"/>
    </row>
    <row r="14" spans="1:10" ht="21.6" customHeight="1" x14ac:dyDescent="0.25">
      <c r="A14" s="904" t="s">
        <v>190</v>
      </c>
      <c r="B14" s="905" t="s">
        <v>4166</v>
      </c>
      <c r="C14" s="905"/>
      <c r="D14" s="905"/>
      <c r="E14" s="905"/>
      <c r="F14" s="905"/>
      <c r="G14" s="906"/>
      <c r="H14" s="903"/>
      <c r="I14" s="903"/>
      <c r="J14" s="903"/>
    </row>
    <row r="15" spans="1:10" ht="91.5" customHeight="1" x14ac:dyDescent="0.25">
      <c r="A15" s="907" t="s">
        <v>191</v>
      </c>
      <c r="B15" s="908" t="s">
        <v>4225</v>
      </c>
      <c r="C15" s="909" t="s">
        <v>4167</v>
      </c>
      <c r="D15" s="910">
        <v>20</v>
      </c>
      <c r="E15" s="909" t="s">
        <v>4227</v>
      </c>
      <c r="F15" s="911">
        <v>18</v>
      </c>
      <c r="G15" s="912">
        <v>1.1000000000000001</v>
      </c>
      <c r="H15" s="913">
        <v>1.2</v>
      </c>
      <c r="I15" s="913"/>
      <c r="J15" s="986">
        <f>D15*F15*IF(G15=0,1,G15)*IF(H15=0,1,H15)*IF(I15=0,1,I15)</f>
        <v>475.2</v>
      </c>
    </row>
    <row r="16" spans="1:10" ht="21.6" customHeight="1" x14ac:dyDescent="0.25">
      <c r="A16" s="914"/>
      <c r="B16" s="915" t="s">
        <v>4168</v>
      </c>
      <c r="C16" s="915"/>
      <c r="D16" s="915"/>
      <c r="E16" s="915"/>
      <c r="F16" s="908"/>
      <c r="G16" s="916"/>
      <c r="H16" s="917"/>
      <c r="I16" s="917"/>
      <c r="J16" s="987"/>
    </row>
    <row r="17" spans="1:10" ht="53.25" customHeight="1" x14ac:dyDescent="0.25">
      <c r="A17" s="914"/>
      <c r="B17" s="918" t="s">
        <v>4169</v>
      </c>
      <c r="C17" s="919"/>
      <c r="D17" s="919"/>
      <c r="E17" s="918" t="s">
        <v>4170</v>
      </c>
      <c r="F17" s="908"/>
      <c r="G17" s="916"/>
      <c r="H17" s="917"/>
      <c r="I17" s="917"/>
      <c r="J17" s="987"/>
    </row>
    <row r="18" spans="1:10" s="934" customFormat="1" ht="78.75" customHeight="1" x14ac:dyDescent="0.25">
      <c r="A18" s="972"/>
      <c r="B18" s="918" t="s">
        <v>4171</v>
      </c>
      <c r="C18" s="918"/>
      <c r="D18" s="918"/>
      <c r="E18" s="918" t="s">
        <v>4172</v>
      </c>
      <c r="F18" s="910"/>
      <c r="G18" s="927"/>
      <c r="H18" s="938"/>
      <c r="I18" s="938"/>
      <c r="J18" s="988"/>
    </row>
    <row r="19" spans="1:10" ht="61.5" hidden="1" customHeight="1" x14ac:dyDescent="0.25">
      <c r="A19" s="921"/>
      <c r="B19" s="922" t="s">
        <v>4173</v>
      </c>
      <c r="C19" s="922"/>
      <c r="D19" s="922"/>
      <c r="E19" s="923" t="s">
        <v>4174</v>
      </c>
      <c r="F19" s="908"/>
      <c r="G19" s="916"/>
      <c r="H19" s="917"/>
      <c r="I19" s="917"/>
      <c r="J19" s="987"/>
    </row>
    <row r="20" spans="1:10" ht="141.75" customHeight="1" x14ac:dyDescent="0.25">
      <c r="A20" s="924" t="s">
        <v>192</v>
      </c>
      <c r="B20" s="925" t="s">
        <v>4226</v>
      </c>
      <c r="C20" s="926" t="s">
        <v>4167</v>
      </c>
      <c r="D20" s="926">
        <v>20</v>
      </c>
      <c r="E20" s="926" t="s">
        <v>4175</v>
      </c>
      <c r="F20" s="910">
        <v>9.5</v>
      </c>
      <c r="G20" s="927">
        <v>1.1000000000000001</v>
      </c>
      <c r="H20" s="928">
        <v>1.1000000000000001</v>
      </c>
      <c r="I20" s="928"/>
      <c r="J20" s="986">
        <f>D20*F20*IF(G20=0,1,G20)*IF(H20=0,1,H20)*IF(I20=0,1,I20)</f>
        <v>229.9</v>
      </c>
    </row>
    <row r="21" spans="1:10" s="934" customFormat="1" ht="67.5" customHeight="1" x14ac:dyDescent="0.25">
      <c r="A21" s="914"/>
      <c r="B21" s="918" t="s">
        <v>4176</v>
      </c>
      <c r="C21" s="973"/>
      <c r="D21" s="973"/>
      <c r="E21" s="918" t="s">
        <v>4177</v>
      </c>
      <c r="F21" s="908"/>
      <c r="G21" s="916"/>
      <c r="H21" s="938"/>
      <c r="I21" s="938"/>
      <c r="J21" s="988"/>
    </row>
    <row r="22" spans="1:10" s="934" customFormat="1" ht="67.5" customHeight="1" x14ac:dyDescent="0.25">
      <c r="A22" s="914"/>
      <c r="B22" s="918" t="s">
        <v>4228</v>
      </c>
      <c r="C22" s="973"/>
      <c r="D22" s="973"/>
      <c r="E22" s="918" t="s">
        <v>4229</v>
      </c>
      <c r="F22" s="908"/>
      <c r="G22" s="916"/>
      <c r="H22" s="938"/>
      <c r="I22" s="938"/>
      <c r="J22" s="988"/>
    </row>
    <row r="23" spans="1:10" ht="61.5" hidden="1" customHeight="1" x14ac:dyDescent="0.25">
      <c r="A23" s="914"/>
      <c r="B23" s="926" t="s">
        <v>4173</v>
      </c>
      <c r="C23" s="926"/>
      <c r="D23" s="926"/>
      <c r="E23" s="926" t="s">
        <v>4178</v>
      </c>
      <c r="F23" s="908"/>
      <c r="G23" s="916"/>
      <c r="H23" s="929"/>
      <c r="I23" s="929"/>
      <c r="J23" s="989"/>
    </row>
    <row r="24" spans="1:10" s="934" customFormat="1" x14ac:dyDescent="0.25">
      <c r="A24" s="930" t="s">
        <v>435</v>
      </c>
      <c r="B24" s="931" t="s">
        <v>4179</v>
      </c>
      <c r="C24" s="931"/>
      <c r="D24" s="931"/>
      <c r="E24" s="931"/>
      <c r="F24" s="931"/>
      <c r="G24" s="932"/>
      <c r="H24" s="933"/>
      <c r="I24" s="933"/>
      <c r="J24" s="990">
        <f>SUM(J15:J23)</f>
        <v>705.1</v>
      </c>
    </row>
    <row r="25" spans="1:10" ht="38.25" hidden="1" x14ac:dyDescent="0.25">
      <c r="A25" s="935" t="s">
        <v>437</v>
      </c>
      <c r="B25" s="936" t="s">
        <v>4180</v>
      </c>
      <c r="C25" s="936"/>
      <c r="D25" s="936"/>
      <c r="E25" s="936" t="s">
        <v>4181</v>
      </c>
      <c r="F25" s="936"/>
      <c r="G25" s="937">
        <f>15%*0</f>
        <v>0</v>
      </c>
      <c r="H25" s="938"/>
      <c r="I25" s="938"/>
      <c r="J25" s="988">
        <f>J24*G25</f>
        <v>0</v>
      </c>
    </row>
    <row r="26" spans="1:10" ht="102" hidden="1" x14ac:dyDescent="0.25">
      <c r="A26" s="921" t="s">
        <v>440</v>
      </c>
      <c r="B26" s="936" t="s">
        <v>4182</v>
      </c>
      <c r="C26" s="936"/>
      <c r="D26" s="936"/>
      <c r="E26" s="936" t="s">
        <v>4183</v>
      </c>
      <c r="F26" s="936"/>
      <c r="G26" s="937">
        <f>40%*0</f>
        <v>0</v>
      </c>
      <c r="H26" s="938"/>
      <c r="I26" s="938"/>
      <c r="J26" s="988">
        <f>(J24+J25)*G26</f>
        <v>0</v>
      </c>
    </row>
    <row r="27" spans="1:10" x14ac:dyDescent="0.25">
      <c r="A27" s="921" t="s">
        <v>4184</v>
      </c>
      <c r="B27" s="939" t="s">
        <v>4185</v>
      </c>
      <c r="C27" s="939"/>
      <c r="D27" s="939"/>
      <c r="E27" s="939"/>
      <c r="F27" s="939"/>
      <c r="G27" s="940"/>
      <c r="H27" s="917"/>
      <c r="I27" s="917"/>
      <c r="J27" s="991">
        <f>J24+J25+J26</f>
        <v>705.1</v>
      </c>
    </row>
    <row r="28" spans="1:10" x14ac:dyDescent="0.25">
      <c r="A28" s="921" t="s">
        <v>639</v>
      </c>
      <c r="B28" s="939" t="s">
        <v>4186</v>
      </c>
      <c r="C28" s="939"/>
      <c r="D28" s="939"/>
      <c r="E28" s="939"/>
      <c r="F28" s="939"/>
      <c r="G28" s="941"/>
      <c r="H28" s="917"/>
      <c r="I28" s="917"/>
      <c r="J28" s="987"/>
    </row>
    <row r="29" spans="1:10" s="944" customFormat="1" ht="63.75" x14ac:dyDescent="0.25">
      <c r="A29" s="921" t="s">
        <v>197</v>
      </c>
      <c r="B29" s="939" t="s">
        <v>4187</v>
      </c>
      <c r="C29" s="939" t="s">
        <v>4167</v>
      </c>
      <c r="D29" s="939">
        <v>40</v>
      </c>
      <c r="E29" s="939" t="s">
        <v>4188</v>
      </c>
      <c r="F29" s="939">
        <v>13</v>
      </c>
      <c r="G29" s="941">
        <v>1.1499999999999999</v>
      </c>
      <c r="H29" s="942"/>
      <c r="I29" s="943"/>
      <c r="J29" s="986">
        <f>D29*F29*IF(G29=0,1,G29)*IF(H29=0,1,H29)*IF(I29=0,1,I29)</f>
        <v>598</v>
      </c>
    </row>
    <row r="30" spans="1:10" ht="51" x14ac:dyDescent="0.25">
      <c r="A30" s="921"/>
      <c r="B30" s="936" t="s">
        <v>4189</v>
      </c>
      <c r="C30" s="945"/>
      <c r="D30" s="936"/>
      <c r="E30" s="936" t="s">
        <v>4190</v>
      </c>
      <c r="F30" s="936"/>
      <c r="G30" s="941"/>
      <c r="H30" s="917"/>
      <c r="I30" s="917"/>
      <c r="J30" s="987"/>
    </row>
    <row r="31" spans="1:10" ht="51" hidden="1" x14ac:dyDescent="0.25">
      <c r="A31" s="921" t="s">
        <v>588</v>
      </c>
      <c r="B31" s="945" t="s">
        <v>4173</v>
      </c>
      <c r="C31" s="945"/>
      <c r="D31" s="945"/>
      <c r="E31" s="945" t="s">
        <v>4191</v>
      </c>
      <c r="F31" s="945"/>
      <c r="G31" s="946"/>
      <c r="H31" s="917"/>
      <c r="I31" s="917"/>
      <c r="J31" s="987"/>
    </row>
    <row r="32" spans="1:10" s="944" customFormat="1" ht="114.75" x14ac:dyDescent="0.25">
      <c r="A32" s="921" t="s">
        <v>200</v>
      </c>
      <c r="B32" s="939" t="s">
        <v>4230</v>
      </c>
      <c r="C32" s="939" t="s">
        <v>4192</v>
      </c>
      <c r="D32" s="939">
        <v>20</v>
      </c>
      <c r="E32" s="939" t="s">
        <v>4193</v>
      </c>
      <c r="F32" s="947">
        <v>43</v>
      </c>
      <c r="G32" s="941"/>
      <c r="H32" s="943"/>
      <c r="I32" s="943"/>
      <c r="J32" s="986">
        <f>D32*F32*IF(G32=0,1,G32)*IF(H32=0,1,H32)*IF(I32=0,1,I32)</f>
        <v>860</v>
      </c>
    </row>
    <row r="33" spans="1:15" ht="51" hidden="1" x14ac:dyDescent="0.25">
      <c r="A33" s="921" t="s">
        <v>588</v>
      </c>
      <c r="B33" s="945" t="s">
        <v>4173</v>
      </c>
      <c r="C33" s="945"/>
      <c r="D33" s="945"/>
      <c r="E33" s="945" t="s">
        <v>4194</v>
      </c>
      <c r="F33" s="945"/>
      <c r="G33" s="946"/>
      <c r="H33" s="917"/>
      <c r="I33" s="917"/>
      <c r="J33" s="987"/>
    </row>
    <row r="34" spans="1:15" s="944" customFormat="1" ht="38.25" x14ac:dyDescent="0.25">
      <c r="A34" s="948" t="s">
        <v>203</v>
      </c>
      <c r="B34" s="939" t="s">
        <v>4195</v>
      </c>
      <c r="C34" s="939" t="s">
        <v>4196</v>
      </c>
      <c r="D34" s="939">
        <v>1</v>
      </c>
      <c r="E34" s="939" t="s">
        <v>4197</v>
      </c>
      <c r="F34" s="939">
        <v>200</v>
      </c>
      <c r="G34" s="941"/>
      <c r="H34" s="943"/>
      <c r="I34" s="943"/>
      <c r="J34" s="992">
        <f>D34*F34*IF(G34=0,1,G34)*IF(H34=0,1,H34)*IF(I34=0,1,I34)</f>
        <v>200</v>
      </c>
      <c r="L34" s="949" t="s">
        <v>4198</v>
      </c>
      <c r="O34" s="950">
        <f>J15+J20+J29+J32</f>
        <v>2163.1</v>
      </c>
    </row>
    <row r="35" spans="1:15" ht="51" hidden="1" x14ac:dyDescent="0.25">
      <c r="A35" s="921" t="s">
        <v>588</v>
      </c>
      <c r="B35" s="945" t="s">
        <v>4173</v>
      </c>
      <c r="C35" s="945"/>
      <c r="D35" s="945"/>
      <c r="E35" s="945" t="s">
        <v>4194</v>
      </c>
      <c r="F35" s="945"/>
      <c r="G35" s="946"/>
      <c r="H35" s="917"/>
      <c r="I35" s="917"/>
      <c r="J35" s="987"/>
    </row>
    <row r="36" spans="1:15" s="944" customFormat="1" ht="102" x14ac:dyDescent="0.25">
      <c r="A36" s="948" t="s">
        <v>4199</v>
      </c>
      <c r="B36" s="939" t="s">
        <v>4200</v>
      </c>
      <c r="C36" s="939" t="s">
        <v>4201</v>
      </c>
      <c r="D36" s="939">
        <v>1</v>
      </c>
      <c r="E36" s="939" t="s">
        <v>4202</v>
      </c>
      <c r="F36" s="947">
        <f>1000+10%*(J29+J32)</f>
        <v>1145.8</v>
      </c>
      <c r="G36" s="941"/>
      <c r="H36" s="943"/>
      <c r="I36" s="943"/>
      <c r="J36" s="986">
        <f>D36*F36*IF(G36=0,1,G36)*IF(H36=0,1,H36)*IF(I36=0,1,I36)</f>
        <v>1145.8</v>
      </c>
    </row>
    <row r="37" spans="1:15" s="944" customFormat="1" ht="51" hidden="1" x14ac:dyDescent="0.25">
      <c r="A37" s="951"/>
      <c r="B37" s="945" t="s">
        <v>4173</v>
      </c>
      <c r="C37" s="945"/>
      <c r="D37" s="945"/>
      <c r="E37" s="945" t="s">
        <v>4194</v>
      </c>
      <c r="F37" s="952"/>
      <c r="G37" s="953"/>
      <c r="H37" s="943"/>
      <c r="I37" s="943"/>
      <c r="J37" s="991"/>
    </row>
    <row r="38" spans="1:15" x14ac:dyDescent="0.25">
      <c r="A38" s="930" t="s">
        <v>4203</v>
      </c>
      <c r="B38" s="931" t="s">
        <v>4204</v>
      </c>
      <c r="C38" s="931"/>
      <c r="D38" s="931"/>
      <c r="E38" s="931"/>
      <c r="F38" s="931"/>
      <c r="G38" s="932"/>
      <c r="H38" s="917"/>
      <c r="I38" s="917"/>
      <c r="J38" s="991">
        <f>SUM(J29:J37)</f>
        <v>2803.8</v>
      </c>
    </row>
    <row r="39" spans="1:15" x14ac:dyDescent="0.25">
      <c r="A39" s="921" t="s">
        <v>4205</v>
      </c>
      <c r="B39" s="939" t="s">
        <v>4206</v>
      </c>
      <c r="C39" s="939"/>
      <c r="D39" s="939"/>
      <c r="E39" s="939"/>
      <c r="F39" s="939"/>
      <c r="G39" s="940"/>
      <c r="H39" s="917"/>
      <c r="I39" s="917"/>
      <c r="J39" s="991">
        <f>J38</f>
        <v>2803.8</v>
      </c>
    </row>
    <row r="40" spans="1:15" x14ac:dyDescent="0.25">
      <c r="A40" s="921" t="s">
        <v>640</v>
      </c>
      <c r="B40" s="939" t="s">
        <v>4207</v>
      </c>
      <c r="C40" s="939"/>
      <c r="D40" s="939"/>
      <c r="E40" s="939"/>
      <c r="F40" s="939"/>
      <c r="G40" s="941"/>
      <c r="H40" s="917"/>
      <c r="I40" s="917"/>
      <c r="J40" s="987"/>
    </row>
    <row r="41" spans="1:15" ht="63.75" x14ac:dyDescent="0.25">
      <c r="A41" s="921" t="s">
        <v>240</v>
      </c>
      <c r="B41" s="936" t="s">
        <v>4231</v>
      </c>
      <c r="C41" s="936"/>
      <c r="D41" s="936"/>
      <c r="E41" s="936" t="s">
        <v>4232</v>
      </c>
      <c r="F41" s="954">
        <v>0.15</v>
      </c>
      <c r="G41" s="955"/>
      <c r="H41" s="938"/>
      <c r="I41" s="938"/>
      <c r="J41" s="993">
        <f>J27*F41</f>
        <v>105.77</v>
      </c>
    </row>
    <row r="42" spans="1:15" ht="63.75" x14ac:dyDescent="0.25">
      <c r="A42" s="921" t="s">
        <v>508</v>
      </c>
      <c r="B42" s="936" t="s">
        <v>4208</v>
      </c>
      <c r="C42" s="936"/>
      <c r="D42" s="936"/>
      <c r="E42" s="936" t="s">
        <v>4209</v>
      </c>
      <c r="F42" s="954">
        <v>0.26</v>
      </c>
      <c r="G42" s="956"/>
      <c r="H42" s="920"/>
      <c r="I42" s="920"/>
      <c r="J42" s="993">
        <f>(J27+J41)*F42</f>
        <v>210.83</v>
      </c>
    </row>
    <row r="43" spans="1:15" ht="51" x14ac:dyDescent="0.25">
      <c r="A43" s="921" t="s">
        <v>509</v>
      </c>
      <c r="B43" s="936" t="s">
        <v>4210</v>
      </c>
      <c r="C43" s="936"/>
      <c r="D43" s="936"/>
      <c r="E43" s="936" t="s">
        <v>4211</v>
      </c>
      <c r="F43" s="954">
        <v>0.06</v>
      </c>
      <c r="G43" s="955"/>
      <c r="H43" s="938"/>
      <c r="I43" s="938"/>
      <c r="J43" s="993">
        <f>(J27+J41)*F43</f>
        <v>48.65</v>
      </c>
    </row>
    <row r="44" spans="1:15" ht="51" x14ac:dyDescent="0.25">
      <c r="A44" s="921" t="s">
        <v>510</v>
      </c>
      <c r="B44" s="936" t="s">
        <v>4212</v>
      </c>
      <c r="C44" s="936"/>
      <c r="D44" s="936"/>
      <c r="E44" s="936" t="s">
        <v>4211</v>
      </c>
      <c r="F44" s="954">
        <v>0.05</v>
      </c>
      <c r="G44" s="955"/>
      <c r="H44" s="938"/>
      <c r="I44" s="938"/>
      <c r="J44" s="993">
        <f>(J27+J41)*F44</f>
        <v>40.54</v>
      </c>
    </row>
    <row r="45" spans="1:15" ht="89.25" x14ac:dyDescent="0.25">
      <c r="A45" s="921" t="s">
        <v>4213</v>
      </c>
      <c r="B45" s="936" t="s">
        <v>4214</v>
      </c>
      <c r="C45" s="936"/>
      <c r="D45" s="957">
        <f>J27+J39+J41</f>
        <v>3614.67</v>
      </c>
      <c r="E45" s="936" t="s">
        <v>4215</v>
      </c>
      <c r="F45" s="954">
        <v>0.05</v>
      </c>
      <c r="G45" s="955"/>
      <c r="H45" s="938"/>
      <c r="I45" s="938"/>
      <c r="J45" s="993">
        <f>D45*F45</f>
        <v>180.73</v>
      </c>
    </row>
    <row r="46" spans="1:15" x14ac:dyDescent="0.25">
      <c r="A46" s="921" t="s">
        <v>4216</v>
      </c>
      <c r="B46" s="939" t="s">
        <v>4217</v>
      </c>
      <c r="C46" s="939"/>
      <c r="D46" s="939"/>
      <c r="E46" s="939"/>
      <c r="F46" s="939"/>
      <c r="G46" s="940"/>
      <c r="H46" s="917"/>
      <c r="I46" s="917"/>
      <c r="J46" s="991">
        <f>SUM(J41:J45)</f>
        <v>586.52</v>
      </c>
    </row>
    <row r="47" spans="1:15" x14ac:dyDescent="0.25">
      <c r="A47" s="921" t="s">
        <v>232</v>
      </c>
      <c r="B47" s="939" t="s">
        <v>4218</v>
      </c>
      <c r="C47" s="939"/>
      <c r="D47" s="939"/>
      <c r="E47" s="939"/>
      <c r="F47" s="939"/>
      <c r="G47" s="940"/>
      <c r="H47" s="917"/>
      <c r="I47" s="917"/>
      <c r="J47" s="991">
        <f>J27+J38+J46</f>
        <v>4095.42</v>
      </c>
    </row>
    <row r="48" spans="1:15" ht="34.5" customHeight="1" x14ac:dyDescent="0.25">
      <c r="A48" s="921" t="s">
        <v>233</v>
      </c>
      <c r="B48" s="2456" t="s">
        <v>4233</v>
      </c>
      <c r="C48" s="2457"/>
      <c r="D48" s="2457"/>
      <c r="E48" s="2457"/>
      <c r="F48" s="2458"/>
      <c r="G48" s="958">
        <v>80.319999999999993</v>
      </c>
      <c r="H48" s="943"/>
      <c r="I48" s="943"/>
      <c r="J48" s="994">
        <f>J47*G48</f>
        <v>328944.13</v>
      </c>
    </row>
    <row r="49" spans="1:11" hidden="1" x14ac:dyDescent="0.25">
      <c r="A49" s="921" t="s">
        <v>238</v>
      </c>
      <c r="B49" s="936" t="s">
        <v>4219</v>
      </c>
      <c r="C49" s="936"/>
      <c r="D49" s="936"/>
      <c r="E49" s="936"/>
      <c r="F49" s="954">
        <v>0.2</v>
      </c>
      <c r="G49" s="959"/>
      <c r="H49" s="960"/>
      <c r="I49" s="960"/>
      <c r="J49" s="961">
        <f>J48*F49</f>
        <v>65788.83</v>
      </c>
    </row>
    <row r="50" spans="1:11" hidden="1" x14ac:dyDescent="0.25">
      <c r="A50" s="962" t="s">
        <v>641</v>
      </c>
      <c r="B50" s="936" t="s">
        <v>6295</v>
      </c>
      <c r="C50" s="963"/>
      <c r="D50" s="963"/>
      <c r="E50" s="963"/>
      <c r="F50" s="963"/>
      <c r="G50" s="959"/>
      <c r="H50" s="960"/>
      <c r="I50" s="960"/>
      <c r="J50" s="961">
        <f>J48+J49</f>
        <v>394732.96</v>
      </c>
    </row>
    <row r="51" spans="1:11" ht="25.5" hidden="1" x14ac:dyDescent="0.25">
      <c r="A51" s="962" t="s">
        <v>650</v>
      </c>
      <c r="B51" s="936" t="s">
        <v>4220</v>
      </c>
      <c r="C51" s="963"/>
      <c r="D51" s="963"/>
      <c r="E51" s="963"/>
      <c r="F51" s="964">
        <v>0.1</v>
      </c>
      <c r="G51" s="959"/>
      <c r="H51" s="960"/>
      <c r="I51" s="960"/>
      <c r="J51" s="961">
        <f>J50*1.1</f>
        <v>434206.26</v>
      </c>
    </row>
    <row r="52" spans="1:11" x14ac:dyDescent="0.25">
      <c r="A52" s="965"/>
      <c r="B52" s="965"/>
      <c r="C52" s="965"/>
      <c r="D52" s="965"/>
      <c r="E52" s="965"/>
      <c r="F52" s="965"/>
      <c r="G52" s="965"/>
    </row>
    <row r="60" spans="1:11" hidden="1" x14ac:dyDescent="0.25"/>
    <row r="61" spans="1:11" s="944" customFormat="1" ht="93.75" hidden="1" customHeight="1" x14ac:dyDescent="0.25">
      <c r="A61" s="966" t="s">
        <v>435</v>
      </c>
      <c r="B61" s="908" t="s">
        <v>4221</v>
      </c>
      <c r="C61" s="908" t="s">
        <v>4167</v>
      </c>
      <c r="D61" s="908">
        <v>3</v>
      </c>
      <c r="E61" s="908" t="s">
        <v>4222</v>
      </c>
      <c r="F61" s="908">
        <v>40</v>
      </c>
      <c r="G61" s="967">
        <v>1.2</v>
      </c>
      <c r="H61" s="968">
        <v>1.21</v>
      </c>
      <c r="I61" s="969"/>
      <c r="J61" s="970">
        <f>D61*F61*IF(G61=0,1,G61)*IF(H61=0,1,H61)*IF(I61=0,1,I61)</f>
        <v>174.24</v>
      </c>
      <c r="K61" s="971"/>
    </row>
    <row r="62" spans="1:11" ht="67.5" hidden="1" customHeight="1" x14ac:dyDescent="0.25">
      <c r="A62" s="914"/>
      <c r="B62" s="923" t="s">
        <v>4223</v>
      </c>
      <c r="C62" s="926"/>
      <c r="D62" s="926"/>
      <c r="E62" s="923" t="s">
        <v>4224</v>
      </c>
      <c r="F62" s="908"/>
      <c r="G62" s="916"/>
      <c r="H62" s="917"/>
      <c r="I62" s="917"/>
      <c r="J62" s="917"/>
    </row>
    <row r="63" spans="1:11" ht="51" hidden="1" x14ac:dyDescent="0.25">
      <c r="A63" s="921" t="s">
        <v>588</v>
      </c>
      <c r="B63" s="945" t="s">
        <v>4173</v>
      </c>
      <c r="C63" s="945"/>
      <c r="D63" s="945"/>
      <c r="E63" s="945" t="s">
        <v>4191</v>
      </c>
      <c r="F63" s="945"/>
      <c r="G63" s="946"/>
      <c r="H63" s="917"/>
      <c r="I63" s="917"/>
      <c r="J63" s="917"/>
    </row>
    <row r="64" spans="1:11" hidden="1" x14ac:dyDescent="0.25"/>
  </sheetData>
  <mergeCells count="17">
    <mergeCell ref="B48:F48"/>
    <mergeCell ref="A8:C8"/>
    <mergeCell ref="D8:G9"/>
    <mergeCell ref="A10:G10"/>
    <mergeCell ref="A12:A13"/>
    <mergeCell ref="B12:B13"/>
    <mergeCell ref="C12:C13"/>
    <mergeCell ref="D12:D13"/>
    <mergeCell ref="E12:E13"/>
    <mergeCell ref="F12:I12"/>
    <mergeCell ref="A6:C6"/>
    <mergeCell ref="D6:G7"/>
    <mergeCell ref="B1:F1"/>
    <mergeCell ref="B2:F2"/>
    <mergeCell ref="A3:G3"/>
    <mergeCell ref="A4:C4"/>
    <mergeCell ref="D4:G4"/>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F941"/>
  <sheetViews>
    <sheetView showGridLines="0" topLeftCell="B914" zoomScale="115" zoomScaleNormal="115" workbookViewId="0">
      <selection activeCell="G941" sqref="G941"/>
    </sheetView>
  </sheetViews>
  <sheetFormatPr defaultColWidth="8.85546875" defaultRowHeight="13.5" customHeight="1" outlineLevelRow="1" x14ac:dyDescent="0.2"/>
  <cols>
    <col min="1" max="1" width="0" style="1011" hidden="1" customWidth="1"/>
    <col min="2" max="2" width="4.28515625" style="1011" customWidth="1"/>
    <col min="3" max="3" width="46.140625" style="1011" customWidth="1"/>
    <col min="4" max="4" width="46.42578125" style="1011" customWidth="1"/>
    <col min="5" max="5" width="31.42578125" style="1011" customWidth="1"/>
    <col min="6" max="6" width="14" style="1011" customWidth="1"/>
    <col min="7" max="16384" width="8.85546875" style="1011"/>
  </cols>
  <sheetData>
    <row r="1" spans="2:6" s="1198" customFormat="1" ht="15" x14ac:dyDescent="0.25">
      <c r="B1" s="1009"/>
      <c r="C1" s="1009"/>
      <c r="D1" s="1009"/>
      <c r="E1" s="1010" t="s">
        <v>590</v>
      </c>
    </row>
    <row r="2" spans="2:6" s="1198" customFormat="1" ht="14.25" customHeight="1" x14ac:dyDescent="0.25">
      <c r="B2" s="2470" t="s">
        <v>613</v>
      </c>
      <c r="C2" s="2470"/>
      <c r="D2" s="1045"/>
      <c r="E2" s="1045"/>
      <c r="F2" s="1046"/>
    </row>
    <row r="3" spans="2:6" s="1198" customFormat="1" ht="18" customHeight="1" x14ac:dyDescent="0.25">
      <c r="B3" s="1197"/>
      <c r="C3" s="1197"/>
      <c r="D3" s="2471" t="s">
        <v>614</v>
      </c>
      <c r="E3" s="2471"/>
      <c r="F3" s="2472"/>
    </row>
    <row r="4" spans="2:6" s="1198" customFormat="1" ht="24.75" customHeight="1" x14ac:dyDescent="0.25">
      <c r="B4" s="2473" t="s">
        <v>4105</v>
      </c>
      <c r="C4" s="2474"/>
      <c r="D4" s="2474"/>
      <c r="E4" s="2474"/>
      <c r="F4" s="2474"/>
    </row>
    <row r="5" spans="2:6" s="1198" customFormat="1" ht="20.25" customHeight="1" x14ac:dyDescent="0.25">
      <c r="B5" s="2475" t="s">
        <v>615</v>
      </c>
      <c r="C5" s="2475"/>
      <c r="D5" s="2475"/>
      <c r="E5" s="2475"/>
      <c r="F5" s="1012"/>
    </row>
    <row r="6" spans="2:6" s="1198" customFormat="1" ht="5.25" customHeight="1" x14ac:dyDescent="0.25">
      <c r="B6" s="1012"/>
      <c r="C6" s="1012"/>
      <c r="D6" s="1012"/>
      <c r="E6" s="1012"/>
      <c r="F6" s="1012"/>
    </row>
    <row r="7" spans="2:6" s="1198" customFormat="1" ht="24" customHeight="1" x14ac:dyDescent="0.25">
      <c r="B7" s="2476" t="s">
        <v>4596</v>
      </c>
      <c r="C7" s="2476"/>
      <c r="D7" s="2476"/>
      <c r="E7" s="2476"/>
      <c r="F7" s="2476"/>
    </row>
    <row r="8" spans="2:6" s="1198" customFormat="1" ht="19.5" customHeight="1" x14ac:dyDescent="0.25">
      <c r="B8" s="2477" t="s">
        <v>616</v>
      </c>
      <c r="C8" s="2477"/>
      <c r="D8" s="2477"/>
      <c r="E8" s="2477"/>
      <c r="F8" s="1047"/>
    </row>
    <row r="9" spans="2:6" s="1198" customFormat="1" ht="15" x14ac:dyDescent="0.25">
      <c r="B9" s="1012"/>
      <c r="C9" s="1012"/>
      <c r="D9" s="1012"/>
      <c r="E9" s="1012"/>
      <c r="F9" s="1012"/>
    </row>
    <row r="10" spans="2:6" s="1198" customFormat="1" ht="17.25" customHeight="1" x14ac:dyDescent="0.25">
      <c r="B10" s="1030" t="s">
        <v>626</v>
      </c>
      <c r="C10" s="1012"/>
      <c r="D10" s="1031"/>
      <c r="E10" s="1031"/>
      <c r="F10" s="1031"/>
    </row>
    <row r="11" spans="2:6" s="1198" customFormat="1" ht="17.25" customHeight="1" x14ac:dyDescent="0.25">
      <c r="C11" s="2465"/>
      <c r="D11" s="2465"/>
      <c r="E11" s="2465"/>
      <c r="F11" s="2465"/>
    </row>
    <row r="12" spans="2:6" s="1198" customFormat="1" ht="25.5" customHeight="1" x14ac:dyDescent="0.25">
      <c r="B12" s="1012" t="s">
        <v>627</v>
      </c>
      <c r="C12" s="1012"/>
      <c r="D12" s="1048"/>
      <c r="E12" s="1048"/>
      <c r="F12" s="1048"/>
    </row>
    <row r="13" spans="2:6" s="1198" customFormat="1" ht="24" customHeight="1" x14ac:dyDescent="0.25">
      <c r="C13" s="2465" t="s">
        <v>608</v>
      </c>
      <c r="D13" s="2465"/>
      <c r="E13" s="2465"/>
      <c r="F13" s="2465"/>
    </row>
    <row r="14" spans="2:6" s="1198" customFormat="1" ht="24" customHeight="1" x14ac:dyDescent="0.25">
      <c r="C14" s="1197"/>
      <c r="D14" s="1197"/>
      <c r="E14" s="1197"/>
      <c r="F14" s="1197"/>
    </row>
    <row r="15" spans="2:6" s="1198" customFormat="1" ht="15" customHeight="1" outlineLevel="1" x14ac:dyDescent="0.25">
      <c r="B15" s="1049" t="s">
        <v>5470</v>
      </c>
      <c r="C15" s="1197"/>
      <c r="D15" s="1197"/>
      <c r="E15" s="1197"/>
      <c r="F15" s="1197"/>
    </row>
    <row r="16" spans="2:6" s="1198" customFormat="1" ht="15" x14ac:dyDescent="0.25">
      <c r="B16" s="1012"/>
      <c r="C16" s="1012"/>
      <c r="D16" s="1199"/>
      <c r="E16" s="1199"/>
      <c r="F16" s="1013"/>
    </row>
    <row r="17" spans="1:6" s="1198" customFormat="1" ht="80.25" customHeight="1" x14ac:dyDescent="0.25">
      <c r="B17" s="1014" t="s">
        <v>512</v>
      </c>
      <c r="C17" s="1015" t="s">
        <v>617</v>
      </c>
      <c r="D17" s="1015" t="s">
        <v>618</v>
      </c>
      <c r="E17" s="1014" t="s">
        <v>619</v>
      </c>
      <c r="F17" s="1014" t="s">
        <v>4068</v>
      </c>
    </row>
    <row r="18" spans="1:6" s="1198" customFormat="1" ht="15" x14ac:dyDescent="0.25">
      <c r="B18" s="1016">
        <v>1</v>
      </c>
      <c r="C18" s="1017">
        <v>2</v>
      </c>
      <c r="D18" s="1017">
        <v>3</v>
      </c>
      <c r="E18" s="1016">
        <v>4</v>
      </c>
      <c r="F18" s="1016">
        <v>5</v>
      </c>
    </row>
    <row r="19" spans="1:6" s="1198" customFormat="1" ht="15" x14ac:dyDescent="0.25">
      <c r="A19" s="1018"/>
      <c r="B19" s="2466" t="s">
        <v>4389</v>
      </c>
      <c r="C19" s="2467"/>
      <c r="D19" s="2467"/>
      <c r="E19" s="2467"/>
      <c r="F19" s="2467"/>
    </row>
    <row r="20" spans="1:6" s="1198" customFormat="1" ht="15" x14ac:dyDescent="0.25">
      <c r="A20" s="1018"/>
      <c r="B20" s="1050"/>
      <c r="C20" s="2468" t="s">
        <v>4390</v>
      </c>
      <c r="D20" s="2468"/>
      <c r="E20" s="2468"/>
      <c r="F20" s="2468"/>
    </row>
    <row r="21" spans="1:6" s="1198" customFormat="1" ht="24" customHeight="1" x14ac:dyDescent="0.25">
      <c r="A21" s="1018"/>
      <c r="B21" s="1050"/>
      <c r="C21" s="2468" t="s">
        <v>4391</v>
      </c>
      <c r="D21" s="2468"/>
      <c r="E21" s="2468"/>
      <c r="F21" s="2468"/>
    </row>
    <row r="22" spans="1:6" s="1198" customFormat="1" ht="15" x14ac:dyDescent="0.25">
      <c r="A22" s="1018"/>
      <c r="B22" s="2469" t="s">
        <v>4392</v>
      </c>
      <c r="C22" s="2467"/>
      <c r="D22" s="2467"/>
      <c r="E22" s="2467"/>
      <c r="F22" s="2467"/>
    </row>
    <row r="23" spans="1:6" s="1198" customFormat="1" ht="15" x14ac:dyDescent="0.25">
      <c r="A23" s="1018"/>
      <c r="B23" s="1050"/>
      <c r="C23" s="2468" t="s">
        <v>4393</v>
      </c>
      <c r="D23" s="2468"/>
      <c r="E23" s="2468"/>
      <c r="F23" s="2468"/>
    </row>
    <row r="24" spans="1:6" s="1198" customFormat="1" ht="51" x14ac:dyDescent="0.25">
      <c r="A24" s="1020"/>
      <c r="B24" s="2478" t="s">
        <v>190</v>
      </c>
      <c r="C24" s="1021" t="s">
        <v>4394</v>
      </c>
      <c r="D24" s="1021" t="s">
        <v>4282</v>
      </c>
      <c r="E24" s="1022" t="s">
        <v>4597</v>
      </c>
      <c r="F24" s="1023" t="s">
        <v>4598</v>
      </c>
    </row>
    <row r="25" spans="1:6" s="1198" customFormat="1" ht="38.25" x14ac:dyDescent="0.25">
      <c r="B25" s="2479"/>
      <c r="C25" s="1051"/>
      <c r="D25" s="1051" t="s">
        <v>4395</v>
      </c>
      <c r="E25" s="1052" t="s">
        <v>4396</v>
      </c>
      <c r="F25" s="1053" t="s">
        <v>522</v>
      </c>
    </row>
    <row r="26" spans="1:6" s="1198" customFormat="1" ht="15" x14ac:dyDescent="0.25">
      <c r="B26" s="2479"/>
      <c r="C26" s="1051"/>
      <c r="D26" s="1051" t="s">
        <v>4070</v>
      </c>
      <c r="E26" s="1052" t="s">
        <v>4106</v>
      </c>
      <c r="F26" s="1053" t="s">
        <v>522</v>
      </c>
    </row>
    <row r="27" spans="1:6" s="1198" customFormat="1" ht="51" x14ac:dyDescent="0.25">
      <c r="B27" s="2479"/>
      <c r="C27" s="1051"/>
      <c r="D27" s="1051" t="s">
        <v>4071</v>
      </c>
      <c r="E27" s="1052" t="s">
        <v>4072</v>
      </c>
      <c r="F27" s="1053" t="s">
        <v>522</v>
      </c>
    </row>
    <row r="28" spans="1:6" s="1198" customFormat="1" ht="15" x14ac:dyDescent="0.25">
      <c r="B28" s="2479"/>
      <c r="C28" s="1051"/>
      <c r="D28" s="1051" t="s">
        <v>4095</v>
      </c>
      <c r="E28" s="1052" t="s">
        <v>4091</v>
      </c>
      <c r="F28" s="1053" t="s">
        <v>4397</v>
      </c>
    </row>
    <row r="29" spans="1:6" s="1198" customFormat="1" ht="15" x14ac:dyDescent="0.25">
      <c r="B29" s="2479"/>
      <c r="C29" s="1051"/>
      <c r="D29" s="1051" t="s">
        <v>4096</v>
      </c>
      <c r="E29" s="1052" t="s">
        <v>4110</v>
      </c>
      <c r="F29" s="1053" t="s">
        <v>4599</v>
      </c>
    </row>
    <row r="30" spans="1:6" s="1198" customFormat="1" ht="15" x14ac:dyDescent="0.25">
      <c r="B30" s="2480"/>
      <c r="C30" s="1024"/>
      <c r="D30" s="1024" t="s">
        <v>4075</v>
      </c>
      <c r="E30" s="1025" t="s">
        <v>4111</v>
      </c>
      <c r="F30" s="1026"/>
    </row>
    <row r="31" spans="1:6" s="1198" customFormat="1" ht="51" x14ac:dyDescent="0.25">
      <c r="A31" s="1020"/>
      <c r="B31" s="2478" t="s">
        <v>191</v>
      </c>
      <c r="C31" s="1021" t="s">
        <v>4398</v>
      </c>
      <c r="D31" s="1021" t="s">
        <v>4282</v>
      </c>
      <c r="E31" s="1022" t="s">
        <v>4600</v>
      </c>
      <c r="F31" s="1023" t="s">
        <v>4601</v>
      </c>
    </row>
    <row r="32" spans="1:6" s="1198" customFormat="1" ht="15" x14ac:dyDescent="0.25">
      <c r="B32" s="2479"/>
      <c r="C32" s="1051"/>
      <c r="D32" s="1051" t="s">
        <v>4070</v>
      </c>
      <c r="E32" s="1052" t="s">
        <v>4106</v>
      </c>
      <c r="F32" s="1053" t="s">
        <v>522</v>
      </c>
    </row>
    <row r="33" spans="1:6" s="1198" customFormat="1" ht="51" x14ac:dyDescent="0.25">
      <c r="B33" s="2479"/>
      <c r="C33" s="1051"/>
      <c r="D33" s="1051" t="s">
        <v>4071</v>
      </c>
      <c r="E33" s="1052" t="s">
        <v>4072</v>
      </c>
      <c r="F33" s="1053" t="s">
        <v>522</v>
      </c>
    </row>
    <row r="34" spans="1:6" s="1198" customFormat="1" ht="15" x14ac:dyDescent="0.25">
      <c r="B34" s="2479"/>
      <c r="C34" s="1051"/>
      <c r="D34" s="1051" t="s">
        <v>4076</v>
      </c>
      <c r="E34" s="1052" t="s">
        <v>4077</v>
      </c>
      <c r="F34" s="1053" t="s">
        <v>4602</v>
      </c>
    </row>
    <row r="35" spans="1:6" s="1198" customFormat="1" ht="15" x14ac:dyDescent="0.25">
      <c r="B35" s="2479"/>
      <c r="C35" s="1051"/>
      <c r="D35" s="1051" t="s">
        <v>4078</v>
      </c>
      <c r="E35" s="1052" t="s">
        <v>4079</v>
      </c>
      <c r="F35" s="1053" t="s">
        <v>4603</v>
      </c>
    </row>
    <row r="36" spans="1:6" s="1198" customFormat="1" ht="15" x14ac:dyDescent="0.25">
      <c r="B36" s="2479"/>
      <c r="C36" s="1051"/>
      <c r="D36" s="1051" t="s">
        <v>4080</v>
      </c>
      <c r="E36" s="1052" t="s">
        <v>522</v>
      </c>
      <c r="F36" s="1053" t="s">
        <v>522</v>
      </c>
    </row>
    <row r="37" spans="1:6" s="1198" customFormat="1" ht="15" x14ac:dyDescent="0.25">
      <c r="B37" s="2479"/>
      <c r="C37" s="1051"/>
      <c r="D37" s="1051" t="s">
        <v>4082</v>
      </c>
      <c r="E37" s="1052" t="s">
        <v>522</v>
      </c>
      <c r="F37" s="1053" t="s">
        <v>522</v>
      </c>
    </row>
    <row r="38" spans="1:6" s="1198" customFormat="1" ht="15" x14ac:dyDescent="0.25">
      <c r="B38" s="2479"/>
      <c r="C38" s="1051"/>
      <c r="D38" s="1051" t="s">
        <v>4084</v>
      </c>
      <c r="E38" s="1052" t="s">
        <v>4090</v>
      </c>
      <c r="F38" s="1053" t="s">
        <v>4399</v>
      </c>
    </row>
    <row r="39" spans="1:6" s="1198" customFormat="1" ht="15" x14ac:dyDescent="0.25">
      <c r="B39" s="2480"/>
      <c r="C39" s="1024"/>
      <c r="D39" s="1024" t="s">
        <v>4075</v>
      </c>
      <c r="E39" s="1025" t="s">
        <v>4112</v>
      </c>
      <c r="F39" s="1026"/>
    </row>
    <row r="40" spans="1:6" s="1198" customFormat="1" ht="51" x14ac:dyDescent="0.25">
      <c r="A40" s="1020"/>
      <c r="B40" s="2478" t="s">
        <v>639</v>
      </c>
      <c r="C40" s="1021" t="s">
        <v>4394</v>
      </c>
      <c r="D40" s="1021" t="s">
        <v>4282</v>
      </c>
      <c r="E40" s="1022" t="s">
        <v>4604</v>
      </c>
      <c r="F40" s="1023" t="s">
        <v>4605</v>
      </c>
    </row>
    <row r="41" spans="1:6" s="1198" customFormat="1" ht="63.75" x14ac:dyDescent="0.25">
      <c r="B41" s="2479"/>
      <c r="C41" s="1051"/>
      <c r="D41" s="1051" t="s">
        <v>4279</v>
      </c>
      <c r="E41" s="1052" t="s">
        <v>4280</v>
      </c>
      <c r="F41" s="1053" t="s">
        <v>522</v>
      </c>
    </row>
    <row r="42" spans="1:6" s="1198" customFormat="1" ht="38.25" x14ac:dyDescent="0.25">
      <c r="B42" s="2479"/>
      <c r="C42" s="1051"/>
      <c r="D42" s="1051" t="s">
        <v>4395</v>
      </c>
      <c r="E42" s="1052" t="s">
        <v>4400</v>
      </c>
      <c r="F42" s="1053" t="s">
        <v>522</v>
      </c>
    </row>
    <row r="43" spans="1:6" s="1198" customFormat="1" ht="15" x14ac:dyDescent="0.25">
      <c r="B43" s="2479"/>
      <c r="C43" s="1051"/>
      <c r="D43" s="1051" t="s">
        <v>4070</v>
      </c>
      <c r="E43" s="1052" t="s">
        <v>4106</v>
      </c>
      <c r="F43" s="1053" t="s">
        <v>522</v>
      </c>
    </row>
    <row r="44" spans="1:6" s="1198" customFormat="1" ht="51" x14ac:dyDescent="0.25">
      <c r="B44" s="2479"/>
      <c r="C44" s="1051"/>
      <c r="D44" s="1051" t="s">
        <v>4071</v>
      </c>
      <c r="E44" s="1052" t="s">
        <v>4072</v>
      </c>
      <c r="F44" s="1053" t="s">
        <v>522</v>
      </c>
    </row>
    <row r="45" spans="1:6" s="1198" customFormat="1" ht="15" x14ac:dyDescent="0.25">
      <c r="B45" s="2479"/>
      <c r="C45" s="1051"/>
      <c r="D45" s="1051" t="s">
        <v>4095</v>
      </c>
      <c r="E45" s="1052" t="s">
        <v>4091</v>
      </c>
      <c r="F45" s="1053" t="s">
        <v>4401</v>
      </c>
    </row>
    <row r="46" spans="1:6" s="1198" customFormat="1" ht="15" x14ac:dyDescent="0.25">
      <c r="B46" s="2479"/>
      <c r="C46" s="1051"/>
      <c r="D46" s="1051" t="s">
        <v>4096</v>
      </c>
      <c r="E46" s="1052" t="s">
        <v>4110</v>
      </c>
      <c r="F46" s="1053" t="s">
        <v>4606</v>
      </c>
    </row>
    <row r="47" spans="1:6" s="1198" customFormat="1" ht="15" x14ac:dyDescent="0.25">
      <c r="B47" s="2480"/>
      <c r="C47" s="1024"/>
      <c r="D47" s="1024" t="s">
        <v>4075</v>
      </c>
      <c r="E47" s="1025" t="s">
        <v>4111</v>
      </c>
      <c r="F47" s="1026"/>
    </row>
    <row r="48" spans="1:6" s="1198" customFormat="1" ht="51" x14ac:dyDescent="0.25">
      <c r="A48" s="1020"/>
      <c r="B48" s="2478" t="s">
        <v>197</v>
      </c>
      <c r="C48" s="1021" t="s">
        <v>4398</v>
      </c>
      <c r="D48" s="1021" t="s">
        <v>4282</v>
      </c>
      <c r="E48" s="1022" t="s">
        <v>4607</v>
      </c>
      <c r="F48" s="1023" t="s">
        <v>4608</v>
      </c>
    </row>
    <row r="49" spans="1:6" s="1198" customFormat="1" ht="63.75" x14ac:dyDescent="0.25">
      <c r="B49" s="2479"/>
      <c r="C49" s="1051"/>
      <c r="D49" s="1051" t="s">
        <v>4279</v>
      </c>
      <c r="E49" s="1052" t="s">
        <v>4281</v>
      </c>
      <c r="F49" s="1053" t="s">
        <v>522</v>
      </c>
    </row>
    <row r="50" spans="1:6" s="1198" customFormat="1" ht="15" x14ac:dyDescent="0.25">
      <c r="B50" s="2479"/>
      <c r="C50" s="1051"/>
      <c r="D50" s="1051" t="s">
        <v>4070</v>
      </c>
      <c r="E50" s="1052" t="s">
        <v>4106</v>
      </c>
      <c r="F50" s="1053" t="s">
        <v>522</v>
      </c>
    </row>
    <row r="51" spans="1:6" s="1198" customFormat="1" ht="51" x14ac:dyDescent="0.25">
      <c r="B51" s="2479"/>
      <c r="C51" s="1051"/>
      <c r="D51" s="1051" t="s">
        <v>4071</v>
      </c>
      <c r="E51" s="1052" t="s">
        <v>4072</v>
      </c>
      <c r="F51" s="1053" t="s">
        <v>522</v>
      </c>
    </row>
    <row r="52" spans="1:6" s="1198" customFormat="1" ht="15" x14ac:dyDescent="0.25">
      <c r="B52" s="2479"/>
      <c r="C52" s="1051"/>
      <c r="D52" s="1051" t="s">
        <v>4076</v>
      </c>
      <c r="E52" s="1052" t="s">
        <v>4077</v>
      </c>
      <c r="F52" s="1053" t="s">
        <v>4609</v>
      </c>
    </row>
    <row r="53" spans="1:6" s="1198" customFormat="1" ht="15" x14ac:dyDescent="0.25">
      <c r="B53" s="2479"/>
      <c r="C53" s="1051"/>
      <c r="D53" s="1051" t="s">
        <v>4078</v>
      </c>
      <c r="E53" s="1052" t="s">
        <v>4079</v>
      </c>
      <c r="F53" s="1053" t="s">
        <v>4610</v>
      </c>
    </row>
    <row r="54" spans="1:6" s="1198" customFormat="1" ht="15" x14ac:dyDescent="0.25">
      <c r="B54" s="2479"/>
      <c r="C54" s="1051"/>
      <c r="D54" s="1051" t="s">
        <v>4080</v>
      </c>
      <c r="E54" s="1052" t="s">
        <v>522</v>
      </c>
      <c r="F54" s="1053" t="s">
        <v>522</v>
      </c>
    </row>
    <row r="55" spans="1:6" s="1198" customFormat="1" ht="15" x14ac:dyDescent="0.25">
      <c r="B55" s="2479"/>
      <c r="C55" s="1051"/>
      <c r="D55" s="1051" t="s">
        <v>4082</v>
      </c>
      <c r="E55" s="1052" t="s">
        <v>522</v>
      </c>
      <c r="F55" s="1053" t="s">
        <v>522</v>
      </c>
    </row>
    <row r="56" spans="1:6" s="1198" customFormat="1" ht="15" x14ac:dyDescent="0.25">
      <c r="B56" s="2479"/>
      <c r="C56" s="1051"/>
      <c r="D56" s="1051" t="s">
        <v>4084</v>
      </c>
      <c r="E56" s="1052" t="s">
        <v>4090</v>
      </c>
      <c r="F56" s="1053" t="s">
        <v>4402</v>
      </c>
    </row>
    <row r="57" spans="1:6" s="1198" customFormat="1" ht="15" x14ac:dyDescent="0.25">
      <c r="B57" s="2480"/>
      <c r="C57" s="1024"/>
      <c r="D57" s="1024" t="s">
        <v>4075</v>
      </c>
      <c r="E57" s="1025" t="s">
        <v>4112</v>
      </c>
      <c r="F57" s="1026"/>
    </row>
    <row r="58" spans="1:6" s="1198" customFormat="1" ht="24" customHeight="1" x14ac:dyDescent="0.25">
      <c r="A58" s="1018"/>
      <c r="B58" s="1050"/>
      <c r="C58" s="2468" t="s">
        <v>4403</v>
      </c>
      <c r="D58" s="2468"/>
      <c r="E58" s="2468"/>
      <c r="F58" s="2468"/>
    </row>
    <row r="59" spans="1:6" s="1198" customFormat="1" ht="102" x14ac:dyDescent="0.25">
      <c r="A59" s="1020"/>
      <c r="B59" s="2478" t="s">
        <v>640</v>
      </c>
      <c r="C59" s="1021" t="s">
        <v>4404</v>
      </c>
      <c r="D59" s="1021" t="s">
        <v>4256</v>
      </c>
      <c r="E59" s="1022" t="s">
        <v>4611</v>
      </c>
      <c r="F59" s="1023" t="s">
        <v>4612</v>
      </c>
    </row>
    <row r="60" spans="1:6" s="1198" customFormat="1" ht="15" x14ac:dyDescent="0.25">
      <c r="B60" s="2479"/>
      <c r="C60" s="1051"/>
      <c r="D60" s="1051" t="s">
        <v>4405</v>
      </c>
      <c r="E60" s="1052" t="s">
        <v>4406</v>
      </c>
      <c r="F60" s="1053" t="s">
        <v>522</v>
      </c>
    </row>
    <row r="61" spans="1:6" s="1198" customFormat="1" ht="51" x14ac:dyDescent="0.25">
      <c r="B61" s="2479"/>
      <c r="C61" s="1051"/>
      <c r="D61" s="1051" t="s">
        <v>4287</v>
      </c>
      <c r="E61" s="1052" t="s">
        <v>4288</v>
      </c>
      <c r="F61" s="1053" t="s">
        <v>522</v>
      </c>
    </row>
    <row r="62" spans="1:6" s="1198" customFormat="1" ht="38.25" x14ac:dyDescent="0.25">
      <c r="B62" s="2479"/>
      <c r="C62" s="1051"/>
      <c r="D62" s="1051" t="s">
        <v>4395</v>
      </c>
      <c r="E62" s="1052" t="s">
        <v>4400</v>
      </c>
      <c r="F62" s="1053" t="s">
        <v>522</v>
      </c>
    </row>
    <row r="63" spans="1:6" s="1198" customFormat="1" ht="15" x14ac:dyDescent="0.25">
      <c r="B63" s="2479"/>
      <c r="C63" s="1051"/>
      <c r="D63" s="1051" t="s">
        <v>4070</v>
      </c>
      <c r="E63" s="1052" t="s">
        <v>4106</v>
      </c>
      <c r="F63" s="1053" t="s">
        <v>522</v>
      </c>
    </row>
    <row r="64" spans="1:6" s="1198" customFormat="1" ht="51" x14ac:dyDescent="0.25">
      <c r="B64" s="2479"/>
      <c r="C64" s="1051"/>
      <c r="D64" s="1051" t="s">
        <v>4071</v>
      </c>
      <c r="E64" s="1052" t="s">
        <v>4072</v>
      </c>
      <c r="F64" s="1053" t="s">
        <v>522</v>
      </c>
    </row>
    <row r="65" spans="1:6" s="1198" customFormat="1" ht="15" x14ac:dyDescent="0.25">
      <c r="B65" s="2479"/>
      <c r="C65" s="1051"/>
      <c r="D65" s="1051" t="s">
        <v>4095</v>
      </c>
      <c r="E65" s="1052" t="s">
        <v>4304</v>
      </c>
      <c r="F65" s="1053" t="s">
        <v>4613</v>
      </c>
    </row>
    <row r="66" spans="1:6" s="1198" customFormat="1" ht="15" x14ac:dyDescent="0.25">
      <c r="B66" s="2479"/>
      <c r="C66" s="1051"/>
      <c r="D66" s="1051" t="s">
        <v>4096</v>
      </c>
      <c r="E66" s="1052" t="s">
        <v>4305</v>
      </c>
      <c r="F66" s="1053" t="s">
        <v>4614</v>
      </c>
    </row>
    <row r="67" spans="1:6" s="1198" customFormat="1" ht="15" x14ac:dyDescent="0.25">
      <c r="B67" s="2480"/>
      <c r="C67" s="1024"/>
      <c r="D67" s="1024" t="s">
        <v>4075</v>
      </c>
      <c r="E67" s="1025" t="s">
        <v>4306</v>
      </c>
      <c r="F67" s="1026"/>
    </row>
    <row r="68" spans="1:6" s="1198" customFormat="1" ht="102" x14ac:dyDescent="0.25">
      <c r="A68" s="1020"/>
      <c r="B68" s="2478" t="s">
        <v>240</v>
      </c>
      <c r="C68" s="1021" t="s">
        <v>4407</v>
      </c>
      <c r="D68" s="1021" t="s">
        <v>4256</v>
      </c>
      <c r="E68" s="1022" t="s">
        <v>4615</v>
      </c>
      <c r="F68" s="1023" t="s">
        <v>4616</v>
      </c>
    </row>
    <row r="69" spans="1:6" s="1198" customFormat="1" ht="15" x14ac:dyDescent="0.25">
      <c r="B69" s="2479"/>
      <c r="C69" s="1051"/>
      <c r="D69" s="1051" t="s">
        <v>4405</v>
      </c>
      <c r="E69" s="1052" t="s">
        <v>4406</v>
      </c>
      <c r="F69" s="1053" t="s">
        <v>522</v>
      </c>
    </row>
    <row r="70" spans="1:6" s="1198" customFormat="1" ht="51" x14ac:dyDescent="0.25">
      <c r="B70" s="2479"/>
      <c r="C70" s="1051"/>
      <c r="D70" s="1051" t="s">
        <v>4287</v>
      </c>
      <c r="E70" s="1052" t="s">
        <v>4288</v>
      </c>
      <c r="F70" s="1053" t="s">
        <v>522</v>
      </c>
    </row>
    <row r="71" spans="1:6" s="1198" customFormat="1" ht="15" x14ac:dyDescent="0.25">
      <c r="B71" s="2479"/>
      <c r="C71" s="1051"/>
      <c r="D71" s="1051" t="s">
        <v>4070</v>
      </c>
      <c r="E71" s="1052" t="s">
        <v>4106</v>
      </c>
      <c r="F71" s="1053" t="s">
        <v>522</v>
      </c>
    </row>
    <row r="72" spans="1:6" s="1198" customFormat="1" ht="51" x14ac:dyDescent="0.25">
      <c r="B72" s="2479"/>
      <c r="C72" s="1051"/>
      <c r="D72" s="1051" t="s">
        <v>4071</v>
      </c>
      <c r="E72" s="1052" t="s">
        <v>4072</v>
      </c>
      <c r="F72" s="1053" t="s">
        <v>522</v>
      </c>
    </row>
    <row r="73" spans="1:6" s="1198" customFormat="1" ht="15" x14ac:dyDescent="0.25">
      <c r="B73" s="2479"/>
      <c r="C73" s="1051"/>
      <c r="D73" s="1051" t="s">
        <v>4076</v>
      </c>
      <c r="E73" s="1052" t="s">
        <v>4077</v>
      </c>
      <c r="F73" s="1053" t="s">
        <v>4617</v>
      </c>
    </row>
    <row r="74" spans="1:6" s="1198" customFormat="1" ht="15" x14ac:dyDescent="0.25">
      <c r="B74" s="2479"/>
      <c r="C74" s="1051"/>
      <c r="D74" s="1051" t="s">
        <v>4078</v>
      </c>
      <c r="E74" s="1052" t="s">
        <v>4277</v>
      </c>
      <c r="F74" s="1053" t="s">
        <v>4618</v>
      </c>
    </row>
    <row r="75" spans="1:6" s="1198" customFormat="1" ht="15" x14ac:dyDescent="0.25">
      <c r="B75" s="2479"/>
      <c r="C75" s="1051"/>
      <c r="D75" s="1051" t="s">
        <v>4080</v>
      </c>
      <c r="E75" s="1052" t="s">
        <v>522</v>
      </c>
      <c r="F75" s="1053" t="s">
        <v>522</v>
      </c>
    </row>
    <row r="76" spans="1:6" s="1198" customFormat="1" ht="15" x14ac:dyDescent="0.25">
      <c r="B76" s="2479"/>
      <c r="C76" s="1051"/>
      <c r="D76" s="1051" t="s">
        <v>4082</v>
      </c>
      <c r="E76" s="1052" t="s">
        <v>522</v>
      </c>
      <c r="F76" s="1053" t="s">
        <v>522</v>
      </c>
    </row>
    <row r="77" spans="1:6" s="1198" customFormat="1" ht="15" x14ac:dyDescent="0.25">
      <c r="B77" s="2479"/>
      <c r="C77" s="1051"/>
      <c r="D77" s="1051" t="s">
        <v>4084</v>
      </c>
      <c r="E77" s="1052" t="s">
        <v>4090</v>
      </c>
      <c r="F77" s="1053" t="s">
        <v>4408</v>
      </c>
    </row>
    <row r="78" spans="1:6" s="1198" customFormat="1" ht="15" x14ac:dyDescent="0.25">
      <c r="B78" s="2480"/>
      <c r="C78" s="1024"/>
      <c r="D78" s="1024" t="s">
        <v>4075</v>
      </c>
      <c r="E78" s="1025" t="s">
        <v>4307</v>
      </c>
      <c r="F78" s="1026"/>
    </row>
    <row r="79" spans="1:6" s="1198" customFormat="1" ht="102" x14ac:dyDescent="0.25">
      <c r="A79" s="1020"/>
      <c r="B79" s="2478" t="s">
        <v>232</v>
      </c>
      <c r="C79" s="1021" t="s">
        <v>4404</v>
      </c>
      <c r="D79" s="1021" t="s">
        <v>4256</v>
      </c>
      <c r="E79" s="1022" t="s">
        <v>4619</v>
      </c>
      <c r="F79" s="1023" t="s">
        <v>4620</v>
      </c>
    </row>
    <row r="80" spans="1:6" s="1198" customFormat="1" ht="15" x14ac:dyDescent="0.25">
      <c r="B80" s="2479"/>
      <c r="C80" s="1051"/>
      <c r="D80" s="1051" t="s">
        <v>4405</v>
      </c>
      <c r="E80" s="1052" t="s">
        <v>4406</v>
      </c>
      <c r="F80" s="1053" t="s">
        <v>522</v>
      </c>
    </row>
    <row r="81" spans="1:6" s="1198" customFormat="1" ht="51" x14ac:dyDescent="0.25">
      <c r="B81" s="2479"/>
      <c r="C81" s="1051"/>
      <c r="D81" s="1051" t="s">
        <v>4287</v>
      </c>
      <c r="E81" s="1052" t="s">
        <v>4288</v>
      </c>
      <c r="F81" s="1053" t="s">
        <v>522</v>
      </c>
    </row>
    <row r="82" spans="1:6" s="1198" customFormat="1" ht="76.5" x14ac:dyDescent="0.25">
      <c r="B82" s="2479"/>
      <c r="C82" s="1051"/>
      <c r="D82" s="1051" t="s">
        <v>4410</v>
      </c>
      <c r="E82" s="1052" t="s">
        <v>4411</v>
      </c>
      <c r="F82" s="1053" t="s">
        <v>522</v>
      </c>
    </row>
    <row r="83" spans="1:6" s="1198" customFormat="1" ht="38.25" x14ac:dyDescent="0.25">
      <c r="B83" s="2479"/>
      <c r="C83" s="1051"/>
      <c r="D83" s="1051" t="s">
        <v>4395</v>
      </c>
      <c r="E83" s="1052" t="s">
        <v>4412</v>
      </c>
      <c r="F83" s="1053" t="s">
        <v>522</v>
      </c>
    </row>
    <row r="84" spans="1:6" s="1198" customFormat="1" ht="15" x14ac:dyDescent="0.25">
      <c r="B84" s="2479"/>
      <c r="C84" s="1051"/>
      <c r="D84" s="1051" t="s">
        <v>4070</v>
      </c>
      <c r="E84" s="1052" t="s">
        <v>4106</v>
      </c>
      <c r="F84" s="1053" t="s">
        <v>522</v>
      </c>
    </row>
    <row r="85" spans="1:6" s="1198" customFormat="1" ht="51" x14ac:dyDescent="0.25">
      <c r="B85" s="2479"/>
      <c r="C85" s="1051"/>
      <c r="D85" s="1051" t="s">
        <v>4071</v>
      </c>
      <c r="E85" s="1052" t="s">
        <v>4072</v>
      </c>
      <c r="F85" s="1053" t="s">
        <v>522</v>
      </c>
    </row>
    <row r="86" spans="1:6" s="1198" customFormat="1" ht="15" x14ac:dyDescent="0.25">
      <c r="B86" s="2479"/>
      <c r="C86" s="1051"/>
      <c r="D86" s="1051" t="s">
        <v>4095</v>
      </c>
      <c r="E86" s="1052" t="s">
        <v>4304</v>
      </c>
      <c r="F86" s="1053" t="s">
        <v>4621</v>
      </c>
    </row>
    <row r="87" spans="1:6" s="1198" customFormat="1" ht="15" x14ac:dyDescent="0.25">
      <c r="B87" s="2479"/>
      <c r="C87" s="1051"/>
      <c r="D87" s="1051" t="s">
        <v>4096</v>
      </c>
      <c r="E87" s="1052" t="s">
        <v>4305</v>
      </c>
      <c r="F87" s="1053" t="s">
        <v>4622</v>
      </c>
    </row>
    <row r="88" spans="1:6" s="1198" customFormat="1" ht="15" x14ac:dyDescent="0.25">
      <c r="B88" s="2480"/>
      <c r="C88" s="1024"/>
      <c r="D88" s="1024" t="s">
        <v>4075</v>
      </c>
      <c r="E88" s="1025" t="s">
        <v>4306</v>
      </c>
      <c r="F88" s="1026"/>
    </row>
    <row r="89" spans="1:6" s="1198" customFormat="1" ht="102" x14ac:dyDescent="0.25">
      <c r="A89" s="1020"/>
      <c r="B89" s="2478" t="s">
        <v>237</v>
      </c>
      <c r="C89" s="1021" t="s">
        <v>4407</v>
      </c>
      <c r="D89" s="1021" t="s">
        <v>4256</v>
      </c>
      <c r="E89" s="1022" t="s">
        <v>4623</v>
      </c>
      <c r="F89" s="1023" t="s">
        <v>4624</v>
      </c>
    </row>
    <row r="90" spans="1:6" s="1198" customFormat="1" ht="15" x14ac:dyDescent="0.25">
      <c r="B90" s="2479"/>
      <c r="C90" s="1051"/>
      <c r="D90" s="1051" t="s">
        <v>4405</v>
      </c>
      <c r="E90" s="1052" t="s">
        <v>4406</v>
      </c>
      <c r="F90" s="1053" t="s">
        <v>522</v>
      </c>
    </row>
    <row r="91" spans="1:6" s="1198" customFormat="1" ht="51" x14ac:dyDescent="0.25">
      <c r="B91" s="2479"/>
      <c r="C91" s="1051"/>
      <c r="D91" s="1051" t="s">
        <v>4287</v>
      </c>
      <c r="E91" s="1052" t="s">
        <v>4288</v>
      </c>
      <c r="F91" s="1053" t="s">
        <v>522</v>
      </c>
    </row>
    <row r="92" spans="1:6" s="1198" customFormat="1" ht="76.5" x14ac:dyDescent="0.25">
      <c r="B92" s="2479"/>
      <c r="C92" s="1051"/>
      <c r="D92" s="1051" t="s">
        <v>4410</v>
      </c>
      <c r="E92" s="1052" t="s">
        <v>4413</v>
      </c>
      <c r="F92" s="1053" t="s">
        <v>522</v>
      </c>
    </row>
    <row r="93" spans="1:6" s="1198" customFormat="1" ht="15" x14ac:dyDescent="0.25">
      <c r="B93" s="2479"/>
      <c r="C93" s="1051"/>
      <c r="D93" s="1051" t="s">
        <v>4070</v>
      </c>
      <c r="E93" s="1052" t="s">
        <v>4106</v>
      </c>
      <c r="F93" s="1053" t="s">
        <v>522</v>
      </c>
    </row>
    <row r="94" spans="1:6" s="1198" customFormat="1" ht="51" x14ac:dyDescent="0.25">
      <c r="B94" s="2479"/>
      <c r="C94" s="1051"/>
      <c r="D94" s="1051" t="s">
        <v>4071</v>
      </c>
      <c r="E94" s="1052" t="s">
        <v>4072</v>
      </c>
      <c r="F94" s="1053" t="s">
        <v>522</v>
      </c>
    </row>
    <row r="95" spans="1:6" s="1198" customFormat="1" ht="15" x14ac:dyDescent="0.25">
      <c r="B95" s="2479"/>
      <c r="C95" s="1051"/>
      <c r="D95" s="1051" t="s">
        <v>4076</v>
      </c>
      <c r="E95" s="1052" t="s">
        <v>4077</v>
      </c>
      <c r="F95" s="1053" t="s">
        <v>4625</v>
      </c>
    </row>
    <row r="96" spans="1:6" s="1198" customFormat="1" ht="15" x14ac:dyDescent="0.25">
      <c r="B96" s="2479"/>
      <c r="C96" s="1051"/>
      <c r="D96" s="1051" t="s">
        <v>4078</v>
      </c>
      <c r="E96" s="1052" t="s">
        <v>4277</v>
      </c>
      <c r="F96" s="1053" t="s">
        <v>4626</v>
      </c>
    </row>
    <row r="97" spans="1:6" s="1198" customFormat="1" ht="15" x14ac:dyDescent="0.25">
      <c r="B97" s="2479"/>
      <c r="C97" s="1051"/>
      <c r="D97" s="1051" t="s">
        <v>4080</v>
      </c>
      <c r="E97" s="1052" t="s">
        <v>522</v>
      </c>
      <c r="F97" s="1053" t="s">
        <v>522</v>
      </c>
    </row>
    <row r="98" spans="1:6" s="1198" customFormat="1" ht="15" x14ac:dyDescent="0.25">
      <c r="B98" s="2479"/>
      <c r="C98" s="1051"/>
      <c r="D98" s="1051" t="s">
        <v>4082</v>
      </c>
      <c r="E98" s="1052" t="s">
        <v>522</v>
      </c>
      <c r="F98" s="1053" t="s">
        <v>522</v>
      </c>
    </row>
    <row r="99" spans="1:6" s="1198" customFormat="1" ht="15" x14ac:dyDescent="0.25">
      <c r="B99" s="2479"/>
      <c r="C99" s="1051"/>
      <c r="D99" s="1051" t="s">
        <v>4084</v>
      </c>
      <c r="E99" s="1052" t="s">
        <v>4090</v>
      </c>
      <c r="F99" s="1053" t="s">
        <v>4627</v>
      </c>
    </row>
    <row r="100" spans="1:6" s="1198" customFormat="1" ht="15" x14ac:dyDescent="0.25">
      <c r="B100" s="2480"/>
      <c r="C100" s="1024"/>
      <c r="D100" s="1024" t="s">
        <v>4075</v>
      </c>
      <c r="E100" s="1025" t="s">
        <v>4307</v>
      </c>
      <c r="F100" s="1026"/>
    </row>
    <row r="101" spans="1:6" s="1198" customFormat="1" ht="24" customHeight="1" x14ac:dyDescent="0.25">
      <c r="A101" s="1018"/>
      <c r="B101" s="2469" t="s">
        <v>4414</v>
      </c>
      <c r="C101" s="2467"/>
      <c r="D101" s="2467"/>
      <c r="E101" s="2467"/>
      <c r="F101" s="2467"/>
    </row>
    <row r="102" spans="1:6" s="1198" customFormat="1" ht="102" x14ac:dyDescent="0.25">
      <c r="A102" s="1020"/>
      <c r="B102" s="2478" t="s">
        <v>233</v>
      </c>
      <c r="C102" s="1021" t="s">
        <v>4275</v>
      </c>
      <c r="D102" s="1021" t="s">
        <v>4276</v>
      </c>
      <c r="E102" s="1022" t="s">
        <v>4628</v>
      </c>
      <c r="F102" s="1023" t="s">
        <v>4309</v>
      </c>
    </row>
    <row r="103" spans="1:6" s="1198" customFormat="1" ht="38.25" x14ac:dyDescent="0.25">
      <c r="B103" s="2479"/>
      <c r="C103" s="1051"/>
      <c r="D103" s="1051" t="s">
        <v>4395</v>
      </c>
      <c r="E103" s="1052" t="s">
        <v>4396</v>
      </c>
      <c r="F103" s="1053" t="s">
        <v>522</v>
      </c>
    </row>
    <row r="104" spans="1:6" s="1198" customFormat="1" ht="15" x14ac:dyDescent="0.25">
      <c r="B104" s="2479"/>
      <c r="C104" s="1051"/>
      <c r="D104" s="1051" t="s">
        <v>4070</v>
      </c>
      <c r="E104" s="1052" t="s">
        <v>4106</v>
      </c>
      <c r="F104" s="1053" t="s">
        <v>522</v>
      </c>
    </row>
    <row r="105" spans="1:6" s="1198" customFormat="1" ht="51" x14ac:dyDescent="0.25">
      <c r="B105" s="2479"/>
      <c r="C105" s="1051"/>
      <c r="D105" s="1051" t="s">
        <v>4071</v>
      </c>
      <c r="E105" s="1052" t="s">
        <v>4072</v>
      </c>
      <c r="F105" s="1053" t="s">
        <v>522</v>
      </c>
    </row>
    <row r="106" spans="1:6" s="1198" customFormat="1" ht="15" x14ac:dyDescent="0.25">
      <c r="B106" s="2479"/>
      <c r="C106" s="1051"/>
      <c r="D106" s="1051" t="s">
        <v>4262</v>
      </c>
      <c r="E106" s="1052" t="s">
        <v>4079</v>
      </c>
      <c r="F106" s="1053" t="s">
        <v>4310</v>
      </c>
    </row>
    <row r="107" spans="1:6" s="1198" customFormat="1" ht="15" x14ac:dyDescent="0.25">
      <c r="B107" s="2479"/>
      <c r="C107" s="1051"/>
      <c r="D107" s="1051" t="s">
        <v>4263</v>
      </c>
      <c r="E107" s="1052" t="s">
        <v>4100</v>
      </c>
      <c r="F107" s="1053" t="s">
        <v>4311</v>
      </c>
    </row>
    <row r="108" spans="1:6" s="1198" customFormat="1" ht="15" x14ac:dyDescent="0.25">
      <c r="B108" s="2479"/>
      <c r="C108" s="1051"/>
      <c r="D108" s="1051" t="s">
        <v>4073</v>
      </c>
      <c r="E108" s="1052" t="s">
        <v>4104</v>
      </c>
      <c r="F108" s="1053" t="s">
        <v>4312</v>
      </c>
    </row>
    <row r="109" spans="1:6" s="1198" customFormat="1" ht="15" x14ac:dyDescent="0.25">
      <c r="B109" s="2479"/>
      <c r="C109" s="1051"/>
      <c r="D109" s="1051" t="s">
        <v>4266</v>
      </c>
      <c r="E109" s="1052" t="s">
        <v>4313</v>
      </c>
      <c r="F109" s="1053" t="s">
        <v>4314</v>
      </c>
    </row>
    <row r="110" spans="1:6" s="1198" customFormat="1" ht="15" x14ac:dyDescent="0.25">
      <c r="B110" s="2479"/>
      <c r="C110" s="1051"/>
      <c r="D110" s="1051" t="s">
        <v>4264</v>
      </c>
      <c r="E110" s="1052" t="s">
        <v>4083</v>
      </c>
      <c r="F110" s="1053" t="s">
        <v>4315</v>
      </c>
    </row>
    <row r="111" spans="1:6" s="1198" customFormat="1" ht="15" x14ac:dyDescent="0.25">
      <c r="B111" s="2479"/>
      <c r="C111" s="1051"/>
      <c r="D111" s="1051" t="s">
        <v>4265</v>
      </c>
      <c r="E111" s="1052" t="s">
        <v>4083</v>
      </c>
      <c r="F111" s="1053" t="s">
        <v>4315</v>
      </c>
    </row>
    <row r="112" spans="1:6" s="1198" customFormat="1" ht="15" x14ac:dyDescent="0.25">
      <c r="B112" s="2480"/>
      <c r="C112" s="1024"/>
      <c r="D112" s="1024" t="s">
        <v>4075</v>
      </c>
      <c r="E112" s="1025" t="s">
        <v>4316</v>
      </c>
      <c r="F112" s="1026"/>
    </row>
    <row r="113" spans="1:6" s="1198" customFormat="1" ht="114.75" x14ac:dyDescent="0.25">
      <c r="A113" s="1020"/>
      <c r="B113" s="2478" t="s">
        <v>4415</v>
      </c>
      <c r="C113" s="1021" t="s">
        <v>4278</v>
      </c>
      <c r="D113" s="1021" t="s">
        <v>4276</v>
      </c>
      <c r="E113" s="1022" t="s">
        <v>4317</v>
      </c>
      <c r="F113" s="1023" t="s">
        <v>4318</v>
      </c>
    </row>
    <row r="114" spans="1:6" s="1198" customFormat="1" ht="15" x14ac:dyDescent="0.25">
      <c r="B114" s="2479"/>
      <c r="C114" s="1051"/>
      <c r="D114" s="1051" t="s">
        <v>4070</v>
      </c>
      <c r="E114" s="1052" t="s">
        <v>4106</v>
      </c>
      <c r="F114" s="1053" t="s">
        <v>522</v>
      </c>
    </row>
    <row r="115" spans="1:6" s="1198" customFormat="1" ht="51" x14ac:dyDescent="0.25">
      <c r="B115" s="2479"/>
      <c r="C115" s="1051"/>
      <c r="D115" s="1051" t="s">
        <v>4071</v>
      </c>
      <c r="E115" s="1052" t="s">
        <v>4072</v>
      </c>
      <c r="F115" s="1053" t="s">
        <v>522</v>
      </c>
    </row>
    <row r="116" spans="1:6" s="1198" customFormat="1" ht="15" x14ac:dyDescent="0.25">
      <c r="B116" s="2479"/>
      <c r="C116" s="1051"/>
      <c r="D116" s="1051" t="s">
        <v>4076</v>
      </c>
      <c r="E116" s="1052" t="s">
        <v>4077</v>
      </c>
      <c r="F116" s="1053" t="s">
        <v>4319</v>
      </c>
    </row>
    <row r="117" spans="1:6" s="1198" customFormat="1" ht="15" x14ac:dyDescent="0.25">
      <c r="B117" s="2479"/>
      <c r="C117" s="1051"/>
      <c r="D117" s="1051" t="s">
        <v>4078</v>
      </c>
      <c r="E117" s="1052" t="s">
        <v>4320</v>
      </c>
      <c r="F117" s="1053" t="s">
        <v>4321</v>
      </c>
    </row>
    <row r="118" spans="1:6" s="1198" customFormat="1" ht="15" x14ac:dyDescent="0.25">
      <c r="B118" s="2479"/>
      <c r="C118" s="1051"/>
      <c r="D118" s="1051" t="s">
        <v>4080</v>
      </c>
      <c r="E118" s="1052" t="s">
        <v>522</v>
      </c>
      <c r="F118" s="1053" t="s">
        <v>522</v>
      </c>
    </row>
    <row r="119" spans="1:6" s="1198" customFormat="1" ht="15" x14ac:dyDescent="0.25">
      <c r="B119" s="2479"/>
      <c r="C119" s="1051"/>
      <c r="D119" s="1051" t="s">
        <v>4082</v>
      </c>
      <c r="E119" s="1052" t="s">
        <v>522</v>
      </c>
      <c r="F119" s="1053" t="s">
        <v>522</v>
      </c>
    </row>
    <row r="120" spans="1:6" s="1198" customFormat="1" ht="15" x14ac:dyDescent="0.25">
      <c r="B120" s="2479"/>
      <c r="C120" s="1051"/>
      <c r="D120" s="1051" t="s">
        <v>4084</v>
      </c>
      <c r="E120" s="1052" t="s">
        <v>4090</v>
      </c>
      <c r="F120" s="1053" t="s">
        <v>4322</v>
      </c>
    </row>
    <row r="121" spans="1:6" s="1198" customFormat="1" ht="15" x14ac:dyDescent="0.25">
      <c r="B121" s="2480"/>
      <c r="C121" s="1024"/>
      <c r="D121" s="1024" t="s">
        <v>4075</v>
      </c>
      <c r="E121" s="1025" t="s">
        <v>4323</v>
      </c>
      <c r="F121" s="1026"/>
    </row>
    <row r="122" spans="1:6" s="1198" customFormat="1" ht="15" x14ac:dyDescent="0.25">
      <c r="A122" s="1018"/>
      <c r="B122" s="2469" t="s">
        <v>4416</v>
      </c>
      <c r="C122" s="2467"/>
      <c r="D122" s="2467"/>
      <c r="E122" s="2467"/>
      <c r="F122" s="2467"/>
    </row>
    <row r="123" spans="1:6" s="1198" customFormat="1" ht="15" x14ac:dyDescent="0.25">
      <c r="A123" s="1018"/>
      <c r="B123" s="1050"/>
      <c r="C123" s="2468" t="s">
        <v>4417</v>
      </c>
      <c r="D123" s="2468"/>
      <c r="E123" s="2468"/>
      <c r="F123" s="2468"/>
    </row>
    <row r="124" spans="1:6" s="1198" customFormat="1" ht="51" x14ac:dyDescent="0.25">
      <c r="A124" s="1020"/>
      <c r="B124" s="2478" t="s">
        <v>238</v>
      </c>
      <c r="C124" s="1021" t="s">
        <v>4418</v>
      </c>
      <c r="D124" s="1021" t="s">
        <v>4286</v>
      </c>
      <c r="E124" s="1022" t="s">
        <v>4629</v>
      </c>
      <c r="F124" s="1023" t="s">
        <v>4630</v>
      </c>
    </row>
    <row r="125" spans="1:6" s="1198" customFormat="1" ht="25.5" x14ac:dyDescent="0.25">
      <c r="B125" s="2479"/>
      <c r="C125" s="1051"/>
      <c r="D125" s="1051" t="s">
        <v>4283</v>
      </c>
      <c r="E125" s="1052" t="s">
        <v>4284</v>
      </c>
      <c r="F125" s="1053" t="s">
        <v>522</v>
      </c>
    </row>
    <row r="126" spans="1:6" s="1198" customFormat="1" ht="38.25" x14ac:dyDescent="0.25">
      <c r="B126" s="2479"/>
      <c r="C126" s="1051"/>
      <c r="D126" s="1051" t="s">
        <v>4395</v>
      </c>
      <c r="E126" s="1052" t="s">
        <v>4400</v>
      </c>
      <c r="F126" s="1053" t="s">
        <v>522</v>
      </c>
    </row>
    <row r="127" spans="1:6" s="1198" customFormat="1" ht="15" x14ac:dyDescent="0.25">
      <c r="B127" s="2479"/>
      <c r="C127" s="1051"/>
      <c r="D127" s="1051" t="s">
        <v>4070</v>
      </c>
      <c r="E127" s="1052" t="s">
        <v>4106</v>
      </c>
      <c r="F127" s="1053" t="s">
        <v>522</v>
      </c>
    </row>
    <row r="128" spans="1:6" s="1198" customFormat="1" ht="51" x14ac:dyDescent="0.25">
      <c r="B128" s="2479"/>
      <c r="C128" s="1051"/>
      <c r="D128" s="1051" t="s">
        <v>4071</v>
      </c>
      <c r="E128" s="1052" t="s">
        <v>4072</v>
      </c>
      <c r="F128" s="1053" t="s">
        <v>522</v>
      </c>
    </row>
    <row r="129" spans="1:6" s="1198" customFormat="1" ht="15" x14ac:dyDescent="0.25">
      <c r="B129" s="2479"/>
      <c r="C129" s="1051"/>
      <c r="D129" s="1051" t="s">
        <v>4095</v>
      </c>
      <c r="E129" s="1052" t="s">
        <v>4091</v>
      </c>
      <c r="F129" s="1053" t="s">
        <v>4419</v>
      </c>
    </row>
    <row r="130" spans="1:6" s="1198" customFormat="1" ht="15" x14ac:dyDescent="0.25">
      <c r="B130" s="2479"/>
      <c r="C130" s="1051"/>
      <c r="D130" s="1051" t="s">
        <v>4096</v>
      </c>
      <c r="E130" s="1052" t="s">
        <v>4110</v>
      </c>
      <c r="F130" s="1053" t="s">
        <v>4631</v>
      </c>
    </row>
    <row r="131" spans="1:6" s="1198" customFormat="1" ht="15" x14ac:dyDescent="0.25">
      <c r="B131" s="2480"/>
      <c r="C131" s="1024"/>
      <c r="D131" s="1024" t="s">
        <v>4075</v>
      </c>
      <c r="E131" s="1025" t="s">
        <v>4111</v>
      </c>
      <c r="F131" s="1026"/>
    </row>
    <row r="132" spans="1:6" s="1198" customFormat="1" ht="51" x14ac:dyDescent="0.25">
      <c r="A132" s="1020"/>
      <c r="B132" s="2478" t="s">
        <v>4420</v>
      </c>
      <c r="C132" s="1021" t="s">
        <v>4421</v>
      </c>
      <c r="D132" s="1021" t="s">
        <v>4286</v>
      </c>
      <c r="E132" s="1022" t="s">
        <v>4632</v>
      </c>
      <c r="F132" s="1023" t="s">
        <v>4633</v>
      </c>
    </row>
    <row r="133" spans="1:6" s="1198" customFormat="1" ht="25.5" x14ac:dyDescent="0.25">
      <c r="B133" s="2479"/>
      <c r="C133" s="1051"/>
      <c r="D133" s="1051" t="s">
        <v>4283</v>
      </c>
      <c r="E133" s="1052" t="s">
        <v>4285</v>
      </c>
      <c r="F133" s="1053" t="s">
        <v>522</v>
      </c>
    </row>
    <row r="134" spans="1:6" s="1198" customFormat="1" ht="15" x14ac:dyDescent="0.25">
      <c r="B134" s="2479"/>
      <c r="C134" s="1051"/>
      <c r="D134" s="1051" t="s">
        <v>4070</v>
      </c>
      <c r="E134" s="1052" t="s">
        <v>4106</v>
      </c>
      <c r="F134" s="1053" t="s">
        <v>522</v>
      </c>
    </row>
    <row r="135" spans="1:6" s="1198" customFormat="1" ht="51" x14ac:dyDescent="0.25">
      <c r="B135" s="2479"/>
      <c r="C135" s="1051"/>
      <c r="D135" s="1051" t="s">
        <v>4071</v>
      </c>
      <c r="E135" s="1052" t="s">
        <v>4072</v>
      </c>
      <c r="F135" s="1053" t="s">
        <v>522</v>
      </c>
    </row>
    <row r="136" spans="1:6" s="1198" customFormat="1" ht="15" x14ac:dyDescent="0.25">
      <c r="B136" s="2479"/>
      <c r="C136" s="1051"/>
      <c r="D136" s="1051" t="s">
        <v>4076</v>
      </c>
      <c r="E136" s="1052" t="s">
        <v>4077</v>
      </c>
      <c r="F136" s="1053" t="s">
        <v>4634</v>
      </c>
    </row>
    <row r="137" spans="1:6" s="1198" customFormat="1" ht="15" x14ac:dyDescent="0.25">
      <c r="B137" s="2479"/>
      <c r="C137" s="1051"/>
      <c r="D137" s="1051" t="s">
        <v>4078</v>
      </c>
      <c r="E137" s="1052" t="s">
        <v>4079</v>
      </c>
      <c r="F137" s="1053" t="s">
        <v>4635</v>
      </c>
    </row>
    <row r="138" spans="1:6" s="1198" customFormat="1" ht="15" x14ac:dyDescent="0.25">
      <c r="B138" s="2479"/>
      <c r="C138" s="1051"/>
      <c r="D138" s="1051" t="s">
        <v>4080</v>
      </c>
      <c r="E138" s="1052" t="s">
        <v>522</v>
      </c>
      <c r="F138" s="1053" t="s">
        <v>522</v>
      </c>
    </row>
    <row r="139" spans="1:6" s="1198" customFormat="1" ht="15" x14ac:dyDescent="0.25">
      <c r="B139" s="2479"/>
      <c r="C139" s="1051"/>
      <c r="D139" s="1051" t="s">
        <v>4082</v>
      </c>
      <c r="E139" s="1052" t="s">
        <v>522</v>
      </c>
      <c r="F139" s="1053" t="s">
        <v>522</v>
      </c>
    </row>
    <row r="140" spans="1:6" s="1198" customFormat="1" ht="15" x14ac:dyDescent="0.25">
      <c r="B140" s="2479"/>
      <c r="C140" s="1051"/>
      <c r="D140" s="1051" t="s">
        <v>4084</v>
      </c>
      <c r="E140" s="1052" t="s">
        <v>4090</v>
      </c>
      <c r="F140" s="1053" t="s">
        <v>4422</v>
      </c>
    </row>
    <row r="141" spans="1:6" s="1198" customFormat="1" ht="15" x14ac:dyDescent="0.25">
      <c r="B141" s="2480"/>
      <c r="C141" s="1024"/>
      <c r="D141" s="1024" t="s">
        <v>4075</v>
      </c>
      <c r="E141" s="1025" t="s">
        <v>4112</v>
      </c>
      <c r="F141" s="1026"/>
    </row>
    <row r="142" spans="1:6" s="1198" customFormat="1" ht="51" x14ac:dyDescent="0.25">
      <c r="A142" s="1020"/>
      <c r="B142" s="2478" t="s">
        <v>641</v>
      </c>
      <c r="C142" s="1021" t="s">
        <v>4418</v>
      </c>
      <c r="D142" s="1021" t="s">
        <v>4286</v>
      </c>
      <c r="E142" s="1022" t="s">
        <v>4636</v>
      </c>
      <c r="F142" s="1023" t="s">
        <v>4637</v>
      </c>
    </row>
    <row r="143" spans="1:6" s="1198" customFormat="1" ht="25.5" x14ac:dyDescent="0.25">
      <c r="B143" s="2479"/>
      <c r="C143" s="1051"/>
      <c r="D143" s="1051" t="s">
        <v>4283</v>
      </c>
      <c r="E143" s="1052" t="s">
        <v>4284</v>
      </c>
      <c r="F143" s="1053" t="s">
        <v>522</v>
      </c>
    </row>
    <row r="144" spans="1:6" s="1198" customFormat="1" ht="63.75" x14ac:dyDescent="0.25">
      <c r="B144" s="2479"/>
      <c r="C144" s="1051"/>
      <c r="D144" s="1051" t="s">
        <v>4279</v>
      </c>
      <c r="E144" s="1052" t="s">
        <v>4423</v>
      </c>
      <c r="F144" s="1053" t="s">
        <v>522</v>
      </c>
    </row>
    <row r="145" spans="1:6" s="1198" customFormat="1" ht="38.25" x14ac:dyDescent="0.25">
      <c r="B145" s="2479"/>
      <c r="C145" s="1051"/>
      <c r="D145" s="1051" t="s">
        <v>4395</v>
      </c>
      <c r="E145" s="1052" t="s">
        <v>4412</v>
      </c>
      <c r="F145" s="1053" t="s">
        <v>522</v>
      </c>
    </row>
    <row r="146" spans="1:6" s="1198" customFormat="1" ht="15" x14ac:dyDescent="0.25">
      <c r="B146" s="2479"/>
      <c r="C146" s="1051"/>
      <c r="D146" s="1051" t="s">
        <v>4070</v>
      </c>
      <c r="E146" s="1052" t="s">
        <v>4106</v>
      </c>
      <c r="F146" s="1053" t="s">
        <v>522</v>
      </c>
    </row>
    <row r="147" spans="1:6" s="1198" customFormat="1" ht="51" x14ac:dyDescent="0.25">
      <c r="B147" s="2479"/>
      <c r="C147" s="1051"/>
      <c r="D147" s="1051" t="s">
        <v>4071</v>
      </c>
      <c r="E147" s="1052" t="s">
        <v>4072</v>
      </c>
      <c r="F147" s="1053" t="s">
        <v>522</v>
      </c>
    </row>
    <row r="148" spans="1:6" s="1198" customFormat="1" ht="15" x14ac:dyDescent="0.25">
      <c r="B148" s="2479"/>
      <c r="C148" s="1051"/>
      <c r="D148" s="1051" t="s">
        <v>4095</v>
      </c>
      <c r="E148" s="1052" t="s">
        <v>4091</v>
      </c>
      <c r="F148" s="1053" t="s">
        <v>4424</v>
      </c>
    </row>
    <row r="149" spans="1:6" s="1198" customFormat="1" ht="15" x14ac:dyDescent="0.25">
      <c r="B149" s="2479"/>
      <c r="C149" s="1051"/>
      <c r="D149" s="1051" t="s">
        <v>4096</v>
      </c>
      <c r="E149" s="1052" t="s">
        <v>4110</v>
      </c>
      <c r="F149" s="1053" t="s">
        <v>4638</v>
      </c>
    </row>
    <row r="150" spans="1:6" s="1198" customFormat="1" ht="15" x14ac:dyDescent="0.25">
      <c r="B150" s="2480"/>
      <c r="C150" s="1024"/>
      <c r="D150" s="1024" t="s">
        <v>4075</v>
      </c>
      <c r="E150" s="1025" t="s">
        <v>4111</v>
      </c>
      <c r="F150" s="1026"/>
    </row>
    <row r="151" spans="1:6" s="1198" customFormat="1" ht="51" x14ac:dyDescent="0.25">
      <c r="A151" s="1020"/>
      <c r="B151" s="2478" t="s">
        <v>4425</v>
      </c>
      <c r="C151" s="1021" t="s">
        <v>4421</v>
      </c>
      <c r="D151" s="1021" t="s">
        <v>4286</v>
      </c>
      <c r="E151" s="1022" t="s">
        <v>4639</v>
      </c>
      <c r="F151" s="1023" t="s">
        <v>4640</v>
      </c>
    </row>
    <row r="152" spans="1:6" s="1198" customFormat="1" ht="25.5" x14ac:dyDescent="0.25">
      <c r="B152" s="2479"/>
      <c r="C152" s="1051"/>
      <c r="D152" s="1051" t="s">
        <v>4283</v>
      </c>
      <c r="E152" s="1052" t="s">
        <v>4285</v>
      </c>
      <c r="F152" s="1053" t="s">
        <v>522</v>
      </c>
    </row>
    <row r="153" spans="1:6" s="1198" customFormat="1" ht="63.75" x14ac:dyDescent="0.25">
      <c r="B153" s="2479"/>
      <c r="C153" s="1051"/>
      <c r="D153" s="1051" t="s">
        <v>4279</v>
      </c>
      <c r="E153" s="1052" t="s">
        <v>4280</v>
      </c>
      <c r="F153" s="1053" t="s">
        <v>522</v>
      </c>
    </row>
    <row r="154" spans="1:6" s="1198" customFormat="1" ht="15" x14ac:dyDescent="0.25">
      <c r="B154" s="2479"/>
      <c r="C154" s="1051"/>
      <c r="D154" s="1051" t="s">
        <v>4070</v>
      </c>
      <c r="E154" s="1052" t="s">
        <v>4106</v>
      </c>
      <c r="F154" s="1053" t="s">
        <v>522</v>
      </c>
    </row>
    <row r="155" spans="1:6" s="1198" customFormat="1" ht="51" x14ac:dyDescent="0.25">
      <c r="B155" s="2479"/>
      <c r="C155" s="1051"/>
      <c r="D155" s="1051" t="s">
        <v>4071</v>
      </c>
      <c r="E155" s="1052" t="s">
        <v>4072</v>
      </c>
      <c r="F155" s="1053" t="s">
        <v>522</v>
      </c>
    </row>
    <row r="156" spans="1:6" s="1198" customFormat="1" ht="15" x14ac:dyDescent="0.25">
      <c r="B156" s="2479"/>
      <c r="C156" s="1051"/>
      <c r="D156" s="1051" t="s">
        <v>4076</v>
      </c>
      <c r="E156" s="1052" t="s">
        <v>4077</v>
      </c>
      <c r="F156" s="1053" t="s">
        <v>4641</v>
      </c>
    </row>
    <row r="157" spans="1:6" s="1198" customFormat="1" ht="15" x14ac:dyDescent="0.25">
      <c r="B157" s="2479"/>
      <c r="C157" s="1051"/>
      <c r="D157" s="1051" t="s">
        <v>4078</v>
      </c>
      <c r="E157" s="1052" t="s">
        <v>4079</v>
      </c>
      <c r="F157" s="1053" t="s">
        <v>4642</v>
      </c>
    </row>
    <row r="158" spans="1:6" s="1198" customFormat="1" ht="15" x14ac:dyDescent="0.25">
      <c r="B158" s="2479"/>
      <c r="C158" s="1051"/>
      <c r="D158" s="1051" t="s">
        <v>4080</v>
      </c>
      <c r="E158" s="1052" t="s">
        <v>522</v>
      </c>
      <c r="F158" s="1053" t="s">
        <v>522</v>
      </c>
    </row>
    <row r="159" spans="1:6" s="1198" customFormat="1" ht="15" x14ac:dyDescent="0.25">
      <c r="B159" s="2479"/>
      <c r="C159" s="1051"/>
      <c r="D159" s="1051" t="s">
        <v>4082</v>
      </c>
      <c r="E159" s="1052" t="s">
        <v>522</v>
      </c>
      <c r="F159" s="1053" t="s">
        <v>522</v>
      </c>
    </row>
    <row r="160" spans="1:6" s="1198" customFormat="1" ht="15" x14ac:dyDescent="0.25">
      <c r="B160" s="2479"/>
      <c r="C160" s="1051"/>
      <c r="D160" s="1051" t="s">
        <v>4084</v>
      </c>
      <c r="E160" s="1052" t="s">
        <v>4090</v>
      </c>
      <c r="F160" s="1053" t="s">
        <v>4426</v>
      </c>
    </row>
    <row r="161" spans="1:6" s="1198" customFormat="1" ht="15" x14ac:dyDescent="0.25">
      <c r="B161" s="2480"/>
      <c r="C161" s="1024"/>
      <c r="D161" s="1024" t="s">
        <v>4075</v>
      </c>
      <c r="E161" s="1025" t="s">
        <v>4112</v>
      </c>
      <c r="F161" s="1026"/>
    </row>
    <row r="162" spans="1:6" s="1198" customFormat="1" ht="15" x14ac:dyDescent="0.25">
      <c r="A162" s="1018"/>
      <c r="B162" s="1050"/>
      <c r="C162" s="2468" t="s">
        <v>4427</v>
      </c>
      <c r="D162" s="2468"/>
      <c r="E162" s="2468"/>
      <c r="F162" s="2468"/>
    </row>
    <row r="163" spans="1:6" s="1198" customFormat="1" ht="51" x14ac:dyDescent="0.25">
      <c r="A163" s="1020"/>
      <c r="B163" s="2478" t="s">
        <v>650</v>
      </c>
      <c r="C163" s="1021" t="s">
        <v>4428</v>
      </c>
      <c r="D163" s="1021" t="s">
        <v>4286</v>
      </c>
      <c r="E163" s="1022" t="s">
        <v>4643</v>
      </c>
      <c r="F163" s="1023" t="s">
        <v>4644</v>
      </c>
    </row>
    <row r="164" spans="1:6" s="1198" customFormat="1" ht="25.5" x14ac:dyDescent="0.25">
      <c r="B164" s="2479"/>
      <c r="C164" s="1051"/>
      <c r="D164" s="1051" t="s">
        <v>4283</v>
      </c>
      <c r="E164" s="1052" t="s">
        <v>4284</v>
      </c>
      <c r="F164" s="1053" t="s">
        <v>522</v>
      </c>
    </row>
    <row r="165" spans="1:6" s="1198" customFormat="1" ht="38.25" x14ac:dyDescent="0.25">
      <c r="B165" s="2479"/>
      <c r="C165" s="1051"/>
      <c r="D165" s="1051" t="s">
        <v>4395</v>
      </c>
      <c r="E165" s="1052" t="s">
        <v>4400</v>
      </c>
      <c r="F165" s="1053" t="s">
        <v>522</v>
      </c>
    </row>
    <row r="166" spans="1:6" s="1198" customFormat="1" ht="15" x14ac:dyDescent="0.25">
      <c r="B166" s="2479"/>
      <c r="C166" s="1051"/>
      <c r="D166" s="1051" t="s">
        <v>4070</v>
      </c>
      <c r="E166" s="1052" t="s">
        <v>4106</v>
      </c>
      <c r="F166" s="1053" t="s">
        <v>522</v>
      </c>
    </row>
    <row r="167" spans="1:6" s="1198" customFormat="1" ht="51" x14ac:dyDescent="0.25">
      <c r="B167" s="2479"/>
      <c r="C167" s="1051"/>
      <c r="D167" s="1051" t="s">
        <v>4071</v>
      </c>
      <c r="E167" s="1052" t="s">
        <v>4072</v>
      </c>
      <c r="F167" s="1053" t="s">
        <v>522</v>
      </c>
    </row>
    <row r="168" spans="1:6" s="1198" customFormat="1" ht="15" x14ac:dyDescent="0.25">
      <c r="B168" s="2479"/>
      <c r="C168" s="1051"/>
      <c r="D168" s="1051" t="s">
        <v>4095</v>
      </c>
      <c r="E168" s="1052" t="s">
        <v>4091</v>
      </c>
      <c r="F168" s="1053" t="s">
        <v>4429</v>
      </c>
    </row>
    <row r="169" spans="1:6" s="1198" customFormat="1" ht="15" x14ac:dyDescent="0.25">
      <c r="B169" s="2479"/>
      <c r="C169" s="1051"/>
      <c r="D169" s="1051" t="s">
        <v>4096</v>
      </c>
      <c r="E169" s="1052" t="s">
        <v>4110</v>
      </c>
      <c r="F169" s="1053" t="s">
        <v>4645</v>
      </c>
    </row>
    <row r="170" spans="1:6" s="1198" customFormat="1" ht="15" x14ac:dyDescent="0.25">
      <c r="B170" s="2480"/>
      <c r="C170" s="1024"/>
      <c r="D170" s="1024" t="s">
        <v>4075</v>
      </c>
      <c r="E170" s="1025" t="s">
        <v>4111</v>
      </c>
      <c r="F170" s="1026"/>
    </row>
    <row r="171" spans="1:6" s="1198" customFormat="1" ht="51" x14ac:dyDescent="0.25">
      <c r="A171" s="1020"/>
      <c r="B171" s="2478" t="s">
        <v>888</v>
      </c>
      <c r="C171" s="1021" t="s">
        <v>4430</v>
      </c>
      <c r="D171" s="1021" t="s">
        <v>4286</v>
      </c>
      <c r="E171" s="1022" t="s">
        <v>4646</v>
      </c>
      <c r="F171" s="1023" t="s">
        <v>4647</v>
      </c>
    </row>
    <row r="172" spans="1:6" s="1198" customFormat="1" ht="25.5" x14ac:dyDescent="0.25">
      <c r="B172" s="2479"/>
      <c r="C172" s="1051"/>
      <c r="D172" s="1051" t="s">
        <v>4283</v>
      </c>
      <c r="E172" s="1052" t="s">
        <v>4285</v>
      </c>
      <c r="F172" s="1053" t="s">
        <v>522</v>
      </c>
    </row>
    <row r="173" spans="1:6" s="1198" customFormat="1" ht="15" x14ac:dyDescent="0.25">
      <c r="B173" s="2479"/>
      <c r="C173" s="1051"/>
      <c r="D173" s="1051" t="s">
        <v>4070</v>
      </c>
      <c r="E173" s="1052" t="s">
        <v>4106</v>
      </c>
      <c r="F173" s="1053" t="s">
        <v>522</v>
      </c>
    </row>
    <row r="174" spans="1:6" s="1198" customFormat="1" ht="51" x14ac:dyDescent="0.25">
      <c r="B174" s="2479"/>
      <c r="C174" s="1051"/>
      <c r="D174" s="1051" t="s">
        <v>4071</v>
      </c>
      <c r="E174" s="1052" t="s">
        <v>4072</v>
      </c>
      <c r="F174" s="1053" t="s">
        <v>522</v>
      </c>
    </row>
    <row r="175" spans="1:6" s="1198" customFormat="1" ht="15" x14ac:dyDescent="0.25">
      <c r="B175" s="2479"/>
      <c r="C175" s="1051"/>
      <c r="D175" s="1051" t="s">
        <v>4076</v>
      </c>
      <c r="E175" s="1052" t="s">
        <v>4077</v>
      </c>
      <c r="F175" s="1053" t="s">
        <v>4648</v>
      </c>
    </row>
    <row r="176" spans="1:6" s="1198" customFormat="1" ht="15" x14ac:dyDescent="0.25">
      <c r="B176" s="2479"/>
      <c r="C176" s="1051"/>
      <c r="D176" s="1051" t="s">
        <v>4078</v>
      </c>
      <c r="E176" s="1052" t="s">
        <v>4079</v>
      </c>
      <c r="F176" s="1053" t="s">
        <v>4649</v>
      </c>
    </row>
    <row r="177" spans="1:6" s="1198" customFormat="1" ht="15" x14ac:dyDescent="0.25">
      <c r="B177" s="2479"/>
      <c r="C177" s="1051"/>
      <c r="D177" s="1051" t="s">
        <v>4080</v>
      </c>
      <c r="E177" s="1052" t="s">
        <v>522</v>
      </c>
      <c r="F177" s="1053" t="s">
        <v>522</v>
      </c>
    </row>
    <row r="178" spans="1:6" s="1198" customFormat="1" ht="15" x14ac:dyDescent="0.25">
      <c r="B178" s="2479"/>
      <c r="C178" s="1051"/>
      <c r="D178" s="1051" t="s">
        <v>4082</v>
      </c>
      <c r="E178" s="1052" t="s">
        <v>522</v>
      </c>
      <c r="F178" s="1053" t="s">
        <v>522</v>
      </c>
    </row>
    <row r="179" spans="1:6" s="1198" customFormat="1" ht="15" x14ac:dyDescent="0.25">
      <c r="B179" s="2479"/>
      <c r="C179" s="1051"/>
      <c r="D179" s="1051" t="s">
        <v>4084</v>
      </c>
      <c r="E179" s="1052" t="s">
        <v>4090</v>
      </c>
      <c r="F179" s="1053" t="s">
        <v>4431</v>
      </c>
    </row>
    <row r="180" spans="1:6" s="1198" customFormat="1" ht="15" x14ac:dyDescent="0.25">
      <c r="B180" s="2480"/>
      <c r="C180" s="1024"/>
      <c r="D180" s="1024" t="s">
        <v>4075</v>
      </c>
      <c r="E180" s="1025" t="s">
        <v>4112</v>
      </c>
      <c r="F180" s="1026"/>
    </row>
    <row r="181" spans="1:6" s="1198" customFormat="1" ht="24" customHeight="1" x14ac:dyDescent="0.25">
      <c r="A181" s="1018"/>
      <c r="B181" s="2469" t="s">
        <v>4432</v>
      </c>
      <c r="C181" s="2467"/>
      <c r="D181" s="2467"/>
      <c r="E181" s="2467"/>
      <c r="F181" s="2467"/>
    </row>
    <row r="182" spans="1:6" s="1198" customFormat="1" ht="102" x14ac:dyDescent="0.25">
      <c r="A182" s="1020"/>
      <c r="B182" s="2478" t="s">
        <v>651</v>
      </c>
      <c r="C182" s="1021" t="s">
        <v>4433</v>
      </c>
      <c r="D182" s="1021" t="s">
        <v>4276</v>
      </c>
      <c r="E182" s="1022" t="s">
        <v>4650</v>
      </c>
      <c r="F182" s="1023" t="s">
        <v>4651</v>
      </c>
    </row>
    <row r="183" spans="1:6" s="1198" customFormat="1" ht="38.25" x14ac:dyDescent="0.25">
      <c r="B183" s="2479"/>
      <c r="C183" s="1051"/>
      <c r="D183" s="1051" t="s">
        <v>4395</v>
      </c>
      <c r="E183" s="1052" t="s">
        <v>4396</v>
      </c>
      <c r="F183" s="1053" t="s">
        <v>522</v>
      </c>
    </row>
    <row r="184" spans="1:6" s="1198" customFormat="1" ht="76.5" x14ac:dyDescent="0.25">
      <c r="B184" s="2479"/>
      <c r="C184" s="1051"/>
      <c r="D184" s="1051" t="s">
        <v>4434</v>
      </c>
      <c r="E184" s="1052" t="s">
        <v>4435</v>
      </c>
      <c r="F184" s="1053" t="s">
        <v>522</v>
      </c>
    </row>
    <row r="185" spans="1:6" s="1198" customFormat="1" ht="15" x14ac:dyDescent="0.25">
      <c r="B185" s="2479"/>
      <c r="C185" s="1051"/>
      <c r="D185" s="1051" t="s">
        <v>4070</v>
      </c>
      <c r="E185" s="1052" t="s">
        <v>4106</v>
      </c>
      <c r="F185" s="1053" t="s">
        <v>522</v>
      </c>
    </row>
    <row r="186" spans="1:6" s="1198" customFormat="1" ht="51" x14ac:dyDescent="0.25">
      <c r="B186" s="2479"/>
      <c r="C186" s="1051"/>
      <c r="D186" s="1051" t="s">
        <v>4071</v>
      </c>
      <c r="E186" s="1052" t="s">
        <v>4072</v>
      </c>
      <c r="F186" s="1053" t="s">
        <v>522</v>
      </c>
    </row>
    <row r="187" spans="1:6" s="1198" customFormat="1" ht="15" x14ac:dyDescent="0.25">
      <c r="B187" s="2479"/>
      <c r="C187" s="1051"/>
      <c r="D187" s="1051" t="s">
        <v>4262</v>
      </c>
      <c r="E187" s="1052" t="s">
        <v>4079</v>
      </c>
      <c r="F187" s="1053" t="s">
        <v>4652</v>
      </c>
    </row>
    <row r="188" spans="1:6" s="1198" customFormat="1" ht="15" x14ac:dyDescent="0.25">
      <c r="B188" s="2479"/>
      <c r="C188" s="1051"/>
      <c r="D188" s="1051" t="s">
        <v>4263</v>
      </c>
      <c r="E188" s="1052" t="s">
        <v>4100</v>
      </c>
      <c r="F188" s="1053" t="s">
        <v>4653</v>
      </c>
    </row>
    <row r="189" spans="1:6" s="1198" customFormat="1" ht="15" x14ac:dyDescent="0.25">
      <c r="B189" s="2479"/>
      <c r="C189" s="1051"/>
      <c r="D189" s="1051" t="s">
        <v>4073</v>
      </c>
      <c r="E189" s="1052" t="s">
        <v>4104</v>
      </c>
      <c r="F189" s="1053" t="s">
        <v>4654</v>
      </c>
    </row>
    <row r="190" spans="1:6" s="1198" customFormat="1" ht="15" x14ac:dyDescent="0.25">
      <c r="B190" s="2479"/>
      <c r="C190" s="1051"/>
      <c r="D190" s="1051" t="s">
        <v>4266</v>
      </c>
      <c r="E190" s="1052" t="s">
        <v>4313</v>
      </c>
      <c r="F190" s="1053" t="s">
        <v>4655</v>
      </c>
    </row>
    <row r="191" spans="1:6" s="1198" customFormat="1" ht="15" x14ac:dyDescent="0.25">
      <c r="B191" s="2479"/>
      <c r="C191" s="1051"/>
      <c r="D191" s="1051" t="s">
        <v>4264</v>
      </c>
      <c r="E191" s="1052" t="s">
        <v>4083</v>
      </c>
      <c r="F191" s="1053" t="s">
        <v>4656</v>
      </c>
    </row>
    <row r="192" spans="1:6" s="1198" customFormat="1" ht="15" x14ac:dyDescent="0.25">
      <c r="B192" s="2479"/>
      <c r="C192" s="1051"/>
      <c r="D192" s="1051" t="s">
        <v>4265</v>
      </c>
      <c r="E192" s="1052" t="s">
        <v>4083</v>
      </c>
      <c r="F192" s="1053" t="s">
        <v>4656</v>
      </c>
    </row>
    <row r="193" spans="1:6" s="1198" customFormat="1" ht="15" x14ac:dyDescent="0.25">
      <c r="B193" s="2480"/>
      <c r="C193" s="1024"/>
      <c r="D193" s="1024" t="s">
        <v>4075</v>
      </c>
      <c r="E193" s="1025" t="s">
        <v>4316</v>
      </c>
      <c r="F193" s="1026"/>
    </row>
    <row r="194" spans="1:6" s="1198" customFormat="1" ht="114.75" x14ac:dyDescent="0.25">
      <c r="A194" s="1020"/>
      <c r="B194" s="2478" t="s">
        <v>4436</v>
      </c>
      <c r="C194" s="1021" t="s">
        <v>4437</v>
      </c>
      <c r="D194" s="1021" t="s">
        <v>4276</v>
      </c>
      <c r="E194" s="1022" t="s">
        <v>4657</v>
      </c>
      <c r="F194" s="1023" t="s">
        <v>4658</v>
      </c>
    </row>
    <row r="195" spans="1:6" s="1198" customFormat="1" ht="76.5" x14ac:dyDescent="0.25">
      <c r="B195" s="2479"/>
      <c r="C195" s="1051"/>
      <c r="D195" s="1051" t="s">
        <v>4434</v>
      </c>
      <c r="E195" s="1052" t="s">
        <v>4435</v>
      </c>
      <c r="F195" s="1053" t="s">
        <v>522</v>
      </c>
    </row>
    <row r="196" spans="1:6" s="1198" customFormat="1" ht="15" x14ac:dyDescent="0.25">
      <c r="B196" s="2479"/>
      <c r="C196" s="1051"/>
      <c r="D196" s="1051" t="s">
        <v>4070</v>
      </c>
      <c r="E196" s="1052" t="s">
        <v>4106</v>
      </c>
      <c r="F196" s="1053" t="s">
        <v>522</v>
      </c>
    </row>
    <row r="197" spans="1:6" s="1198" customFormat="1" ht="51" x14ac:dyDescent="0.25">
      <c r="B197" s="2479"/>
      <c r="C197" s="1051"/>
      <c r="D197" s="1051" t="s">
        <v>4071</v>
      </c>
      <c r="E197" s="1052" t="s">
        <v>4072</v>
      </c>
      <c r="F197" s="1053" t="s">
        <v>522</v>
      </c>
    </row>
    <row r="198" spans="1:6" s="1198" customFormat="1" ht="15" x14ac:dyDescent="0.25">
      <c r="B198" s="2479"/>
      <c r="C198" s="1051"/>
      <c r="D198" s="1051" t="s">
        <v>4076</v>
      </c>
      <c r="E198" s="1052" t="s">
        <v>4077</v>
      </c>
      <c r="F198" s="1053" t="s">
        <v>4659</v>
      </c>
    </row>
    <row r="199" spans="1:6" s="1198" customFormat="1" ht="15" x14ac:dyDescent="0.25">
      <c r="B199" s="2479"/>
      <c r="C199" s="1051"/>
      <c r="D199" s="1051" t="s">
        <v>4078</v>
      </c>
      <c r="E199" s="1052" t="s">
        <v>4320</v>
      </c>
      <c r="F199" s="1053" t="s">
        <v>4660</v>
      </c>
    </row>
    <row r="200" spans="1:6" s="1198" customFormat="1" ht="15" x14ac:dyDescent="0.25">
      <c r="B200" s="2479"/>
      <c r="C200" s="1051"/>
      <c r="D200" s="1051" t="s">
        <v>4080</v>
      </c>
      <c r="E200" s="1052" t="s">
        <v>522</v>
      </c>
      <c r="F200" s="1053" t="s">
        <v>522</v>
      </c>
    </row>
    <row r="201" spans="1:6" s="1198" customFormat="1" ht="15" x14ac:dyDescent="0.25">
      <c r="B201" s="2479"/>
      <c r="C201" s="1051"/>
      <c r="D201" s="1051" t="s">
        <v>4082</v>
      </c>
      <c r="E201" s="1052" t="s">
        <v>522</v>
      </c>
      <c r="F201" s="1053" t="s">
        <v>522</v>
      </c>
    </row>
    <row r="202" spans="1:6" s="1198" customFormat="1" ht="15" x14ac:dyDescent="0.25">
      <c r="B202" s="2479"/>
      <c r="C202" s="1051"/>
      <c r="D202" s="1051" t="s">
        <v>4084</v>
      </c>
      <c r="E202" s="1052" t="s">
        <v>4090</v>
      </c>
      <c r="F202" s="1053" t="s">
        <v>4661</v>
      </c>
    </row>
    <row r="203" spans="1:6" s="1198" customFormat="1" ht="15" x14ac:dyDescent="0.25">
      <c r="B203" s="2480"/>
      <c r="C203" s="1024"/>
      <c r="D203" s="1024" t="s">
        <v>4075</v>
      </c>
      <c r="E203" s="1025" t="s">
        <v>4323</v>
      </c>
      <c r="F203" s="1026"/>
    </row>
    <row r="204" spans="1:6" s="1198" customFormat="1" ht="15" x14ac:dyDescent="0.25">
      <c r="A204" s="1018"/>
      <c r="B204" s="1050"/>
      <c r="C204" s="2481" t="s">
        <v>4438</v>
      </c>
      <c r="D204" s="2481"/>
      <c r="E204" s="2481"/>
      <c r="F204" s="1054"/>
    </row>
    <row r="205" spans="1:6" s="1198" customFormat="1" ht="15" x14ac:dyDescent="0.25">
      <c r="A205" s="1018"/>
      <c r="B205" s="1050"/>
      <c r="C205" s="2468" t="s">
        <v>4439</v>
      </c>
      <c r="D205" s="2468"/>
      <c r="E205" s="2468"/>
      <c r="F205" s="1019" t="s">
        <v>4662</v>
      </c>
    </row>
    <row r="206" spans="1:6" s="1198" customFormat="1" ht="15" x14ac:dyDescent="0.25">
      <c r="A206" s="1018"/>
      <c r="B206" s="1050"/>
      <c r="C206" s="2481" t="s">
        <v>4440</v>
      </c>
      <c r="D206" s="2481"/>
      <c r="E206" s="2481"/>
      <c r="F206" s="1054" t="s">
        <v>4662</v>
      </c>
    </row>
    <row r="207" spans="1:6" s="1198" customFormat="1" ht="15" x14ac:dyDescent="0.25">
      <c r="A207" s="1018"/>
      <c r="B207" s="2466" t="s">
        <v>4441</v>
      </c>
      <c r="C207" s="2467"/>
      <c r="D207" s="2467"/>
      <c r="E207" s="2467"/>
      <c r="F207" s="2467"/>
    </row>
    <row r="208" spans="1:6" s="1198" customFormat="1" ht="15" x14ac:dyDescent="0.25">
      <c r="A208" s="1018"/>
      <c r="B208" s="2469" t="s">
        <v>4442</v>
      </c>
      <c r="C208" s="2467"/>
      <c r="D208" s="2467"/>
      <c r="E208" s="2467"/>
      <c r="F208" s="2467"/>
    </row>
    <row r="209" spans="1:6" s="1198" customFormat="1" ht="15" x14ac:dyDescent="0.25">
      <c r="A209" s="1018"/>
      <c r="B209" s="1050"/>
      <c r="C209" s="2468" t="s">
        <v>4443</v>
      </c>
      <c r="D209" s="2468"/>
      <c r="E209" s="2468"/>
      <c r="F209" s="2468"/>
    </row>
    <row r="210" spans="1:6" s="1198" customFormat="1" ht="63.75" x14ac:dyDescent="0.25">
      <c r="A210" s="1020"/>
      <c r="B210" s="2478" t="s">
        <v>652</v>
      </c>
      <c r="C210" s="1021" t="s">
        <v>4444</v>
      </c>
      <c r="D210" s="1021" t="s">
        <v>4445</v>
      </c>
      <c r="E210" s="1022" t="s">
        <v>4663</v>
      </c>
      <c r="F210" s="1023" t="s">
        <v>4664</v>
      </c>
    </row>
    <row r="211" spans="1:6" s="1198" customFormat="1" ht="51" x14ac:dyDescent="0.25">
      <c r="B211" s="2479"/>
      <c r="C211" s="1051"/>
      <c r="D211" s="1051" t="s">
        <v>4254</v>
      </c>
      <c r="E211" s="1052" t="s">
        <v>4255</v>
      </c>
      <c r="F211" s="1053" t="s">
        <v>522</v>
      </c>
    </row>
    <row r="212" spans="1:6" s="1198" customFormat="1" ht="38.25" x14ac:dyDescent="0.25">
      <c r="B212" s="2479"/>
      <c r="C212" s="1051"/>
      <c r="D212" s="1051" t="s">
        <v>4395</v>
      </c>
      <c r="E212" s="1052" t="s">
        <v>4400</v>
      </c>
      <c r="F212" s="1053" t="s">
        <v>522</v>
      </c>
    </row>
    <row r="213" spans="1:6" s="1198" customFormat="1" ht="15" x14ac:dyDescent="0.25">
      <c r="B213" s="2479"/>
      <c r="C213" s="1051"/>
      <c r="D213" s="1051" t="s">
        <v>4070</v>
      </c>
      <c r="E213" s="1052" t="s">
        <v>4106</v>
      </c>
      <c r="F213" s="1053" t="s">
        <v>522</v>
      </c>
    </row>
    <row r="214" spans="1:6" s="1198" customFormat="1" ht="51" x14ac:dyDescent="0.25">
      <c r="B214" s="2479"/>
      <c r="C214" s="1051"/>
      <c r="D214" s="1051" t="s">
        <v>4071</v>
      </c>
      <c r="E214" s="1052" t="s">
        <v>4072</v>
      </c>
      <c r="F214" s="1053" t="s">
        <v>522</v>
      </c>
    </row>
    <row r="215" spans="1:6" s="1198" customFormat="1" ht="15" x14ac:dyDescent="0.25">
      <c r="B215" s="2479"/>
      <c r="C215" s="1051"/>
      <c r="D215" s="1051" t="s">
        <v>4095</v>
      </c>
      <c r="E215" s="1052" t="s">
        <v>4091</v>
      </c>
      <c r="F215" s="1053" t="s">
        <v>4446</v>
      </c>
    </row>
    <row r="216" spans="1:6" s="1198" customFormat="1" ht="15" x14ac:dyDescent="0.25">
      <c r="B216" s="2479"/>
      <c r="C216" s="1051"/>
      <c r="D216" s="1051" t="s">
        <v>4096</v>
      </c>
      <c r="E216" s="1052" t="s">
        <v>4301</v>
      </c>
      <c r="F216" s="1053" t="s">
        <v>4665</v>
      </c>
    </row>
    <row r="217" spans="1:6" s="1198" customFormat="1" ht="15" x14ac:dyDescent="0.25">
      <c r="B217" s="2480"/>
      <c r="C217" s="1024"/>
      <c r="D217" s="1024" t="s">
        <v>4075</v>
      </c>
      <c r="E217" s="1025" t="s">
        <v>4302</v>
      </c>
      <c r="F217" s="1026"/>
    </row>
    <row r="218" spans="1:6" s="1198" customFormat="1" ht="63.75" x14ac:dyDescent="0.25">
      <c r="A218" s="1020"/>
      <c r="B218" s="2478" t="s">
        <v>4447</v>
      </c>
      <c r="C218" s="1021" t="s">
        <v>4448</v>
      </c>
      <c r="D218" s="1021" t="s">
        <v>4445</v>
      </c>
      <c r="E218" s="1022" t="s">
        <v>4666</v>
      </c>
      <c r="F218" s="1023" t="s">
        <v>4667</v>
      </c>
    </row>
    <row r="219" spans="1:6" s="1198" customFormat="1" ht="51" x14ac:dyDescent="0.25">
      <c r="B219" s="2479"/>
      <c r="C219" s="1051"/>
      <c r="D219" s="1051" t="s">
        <v>4254</v>
      </c>
      <c r="E219" s="1052" t="s">
        <v>4255</v>
      </c>
      <c r="F219" s="1053" t="s">
        <v>522</v>
      </c>
    </row>
    <row r="220" spans="1:6" s="1198" customFormat="1" ht="15" x14ac:dyDescent="0.25">
      <c r="B220" s="2479"/>
      <c r="C220" s="1051"/>
      <c r="D220" s="1051" t="s">
        <v>4070</v>
      </c>
      <c r="E220" s="1052" t="s">
        <v>4106</v>
      </c>
      <c r="F220" s="1053" t="s">
        <v>522</v>
      </c>
    </row>
    <row r="221" spans="1:6" s="1198" customFormat="1" ht="51" x14ac:dyDescent="0.25">
      <c r="B221" s="2479"/>
      <c r="C221" s="1051"/>
      <c r="D221" s="1051" t="s">
        <v>4071</v>
      </c>
      <c r="E221" s="1052" t="s">
        <v>4072</v>
      </c>
      <c r="F221" s="1053" t="s">
        <v>522</v>
      </c>
    </row>
    <row r="222" spans="1:6" s="1198" customFormat="1" ht="15" x14ac:dyDescent="0.25">
      <c r="B222" s="2479"/>
      <c r="C222" s="1051"/>
      <c r="D222" s="1051" t="s">
        <v>4076</v>
      </c>
      <c r="E222" s="1052" t="s">
        <v>4077</v>
      </c>
      <c r="F222" s="1053" t="s">
        <v>4668</v>
      </c>
    </row>
    <row r="223" spans="1:6" s="1198" customFormat="1" ht="15" x14ac:dyDescent="0.25">
      <c r="B223" s="2479"/>
      <c r="C223" s="1051"/>
      <c r="D223" s="1051" t="s">
        <v>4078</v>
      </c>
      <c r="E223" s="1052" t="s">
        <v>4090</v>
      </c>
      <c r="F223" s="1053" t="s">
        <v>4449</v>
      </c>
    </row>
    <row r="224" spans="1:6" s="1198" customFormat="1" ht="15" x14ac:dyDescent="0.25">
      <c r="B224" s="2479"/>
      <c r="C224" s="1051"/>
      <c r="D224" s="1051" t="s">
        <v>4080</v>
      </c>
      <c r="E224" s="1052" t="s">
        <v>522</v>
      </c>
      <c r="F224" s="1053" t="s">
        <v>522</v>
      </c>
    </row>
    <row r="225" spans="1:6" s="1198" customFormat="1" ht="15" x14ac:dyDescent="0.25">
      <c r="B225" s="2479"/>
      <c r="C225" s="1051"/>
      <c r="D225" s="1051" t="s">
        <v>4082</v>
      </c>
      <c r="E225" s="1052" t="s">
        <v>522</v>
      </c>
      <c r="F225" s="1053" t="s">
        <v>522</v>
      </c>
    </row>
    <row r="226" spans="1:6" s="1198" customFormat="1" ht="15" x14ac:dyDescent="0.25">
      <c r="B226" s="2479"/>
      <c r="C226" s="1051"/>
      <c r="D226" s="1051" t="s">
        <v>4084</v>
      </c>
      <c r="E226" s="1052" t="s">
        <v>4090</v>
      </c>
      <c r="F226" s="1053" t="s">
        <v>4449</v>
      </c>
    </row>
    <row r="227" spans="1:6" s="1198" customFormat="1" ht="15" x14ac:dyDescent="0.25">
      <c r="B227" s="2480"/>
      <c r="C227" s="1024"/>
      <c r="D227" s="1024" t="s">
        <v>4075</v>
      </c>
      <c r="E227" s="1025" t="s">
        <v>4303</v>
      </c>
      <c r="F227" s="1026"/>
    </row>
    <row r="228" spans="1:6" s="1198" customFormat="1" ht="15" x14ac:dyDescent="0.25">
      <c r="A228" s="1018"/>
      <c r="B228" s="1050"/>
      <c r="C228" s="2468" t="s">
        <v>4450</v>
      </c>
      <c r="D228" s="2468"/>
      <c r="E228" s="2468"/>
      <c r="F228" s="2468"/>
    </row>
    <row r="229" spans="1:6" s="1198" customFormat="1" ht="63.75" x14ac:dyDescent="0.25">
      <c r="A229" s="1020"/>
      <c r="B229" s="2478" t="s">
        <v>653</v>
      </c>
      <c r="C229" s="1021" t="s">
        <v>4451</v>
      </c>
      <c r="D229" s="1021" t="s">
        <v>4267</v>
      </c>
      <c r="E229" s="1022" t="s">
        <v>4669</v>
      </c>
      <c r="F229" s="1023" t="s">
        <v>4670</v>
      </c>
    </row>
    <row r="230" spans="1:6" s="1198" customFormat="1" ht="51" x14ac:dyDescent="0.25">
      <c r="B230" s="2479"/>
      <c r="C230" s="1051"/>
      <c r="D230" s="1051" t="s">
        <v>4254</v>
      </c>
      <c r="E230" s="1052" t="s">
        <v>4255</v>
      </c>
      <c r="F230" s="1053" t="s">
        <v>522</v>
      </c>
    </row>
    <row r="231" spans="1:6" s="1198" customFormat="1" ht="38.25" x14ac:dyDescent="0.25">
      <c r="B231" s="2479"/>
      <c r="C231" s="1051"/>
      <c r="D231" s="1051" t="s">
        <v>4395</v>
      </c>
      <c r="E231" s="1052" t="s">
        <v>4400</v>
      </c>
      <c r="F231" s="1053" t="s">
        <v>522</v>
      </c>
    </row>
    <row r="232" spans="1:6" s="1198" customFormat="1" ht="15" x14ac:dyDescent="0.25">
      <c r="B232" s="2479"/>
      <c r="C232" s="1051"/>
      <c r="D232" s="1051" t="s">
        <v>4070</v>
      </c>
      <c r="E232" s="1052" t="s">
        <v>4106</v>
      </c>
      <c r="F232" s="1053" t="s">
        <v>522</v>
      </c>
    </row>
    <row r="233" spans="1:6" s="1198" customFormat="1" ht="51" x14ac:dyDescent="0.25">
      <c r="B233" s="2479"/>
      <c r="C233" s="1051"/>
      <c r="D233" s="1051" t="s">
        <v>4071</v>
      </c>
      <c r="E233" s="1052" t="s">
        <v>4072</v>
      </c>
      <c r="F233" s="1053" t="s">
        <v>522</v>
      </c>
    </row>
    <row r="234" spans="1:6" s="1198" customFormat="1" ht="15" x14ac:dyDescent="0.25">
      <c r="B234" s="2479"/>
      <c r="C234" s="1051"/>
      <c r="D234" s="1051" t="s">
        <v>4095</v>
      </c>
      <c r="E234" s="1052" t="s">
        <v>4091</v>
      </c>
      <c r="F234" s="1053" t="s">
        <v>4452</v>
      </c>
    </row>
    <row r="235" spans="1:6" s="1198" customFormat="1" ht="15" x14ac:dyDescent="0.25">
      <c r="B235" s="2479"/>
      <c r="C235" s="1051"/>
      <c r="D235" s="1051" t="s">
        <v>4096</v>
      </c>
      <c r="E235" s="1052" t="s">
        <v>4301</v>
      </c>
      <c r="F235" s="1053" t="s">
        <v>4671</v>
      </c>
    </row>
    <row r="236" spans="1:6" s="1198" customFormat="1" ht="15" x14ac:dyDescent="0.25">
      <c r="B236" s="2480"/>
      <c r="C236" s="1024"/>
      <c r="D236" s="1024" t="s">
        <v>4075</v>
      </c>
      <c r="E236" s="1025" t="s">
        <v>4302</v>
      </c>
      <c r="F236" s="1026"/>
    </row>
    <row r="237" spans="1:6" s="1198" customFormat="1" ht="63.75" x14ac:dyDescent="0.25">
      <c r="A237" s="1020"/>
      <c r="B237" s="2478" t="s">
        <v>4453</v>
      </c>
      <c r="C237" s="1021" t="s">
        <v>4454</v>
      </c>
      <c r="D237" s="1021" t="s">
        <v>4267</v>
      </c>
      <c r="E237" s="1022" t="s">
        <v>4672</v>
      </c>
      <c r="F237" s="1023" t="s">
        <v>4673</v>
      </c>
    </row>
    <row r="238" spans="1:6" s="1198" customFormat="1" ht="51" x14ac:dyDescent="0.25">
      <c r="B238" s="2479"/>
      <c r="C238" s="1051"/>
      <c r="D238" s="1051" t="s">
        <v>4254</v>
      </c>
      <c r="E238" s="1052" t="s">
        <v>4255</v>
      </c>
      <c r="F238" s="1053" t="s">
        <v>522</v>
      </c>
    </row>
    <row r="239" spans="1:6" s="1198" customFormat="1" ht="15" x14ac:dyDescent="0.25">
      <c r="B239" s="2479"/>
      <c r="C239" s="1051"/>
      <c r="D239" s="1051" t="s">
        <v>4070</v>
      </c>
      <c r="E239" s="1052" t="s">
        <v>4106</v>
      </c>
      <c r="F239" s="1053" t="s">
        <v>522</v>
      </c>
    </row>
    <row r="240" spans="1:6" s="1198" customFormat="1" ht="51" x14ac:dyDescent="0.25">
      <c r="B240" s="2479"/>
      <c r="C240" s="1051"/>
      <c r="D240" s="1051" t="s">
        <v>4071</v>
      </c>
      <c r="E240" s="1052" t="s">
        <v>4072</v>
      </c>
      <c r="F240" s="1053" t="s">
        <v>522</v>
      </c>
    </row>
    <row r="241" spans="1:6" s="1198" customFormat="1" ht="15" x14ac:dyDescent="0.25">
      <c r="B241" s="2479"/>
      <c r="C241" s="1051"/>
      <c r="D241" s="1051" t="s">
        <v>4076</v>
      </c>
      <c r="E241" s="1052" t="s">
        <v>4077</v>
      </c>
      <c r="F241" s="1053" t="s">
        <v>4460</v>
      </c>
    </row>
    <row r="242" spans="1:6" s="1198" customFormat="1" ht="15" x14ac:dyDescent="0.25">
      <c r="B242" s="2479"/>
      <c r="C242" s="1051"/>
      <c r="D242" s="1051" t="s">
        <v>4078</v>
      </c>
      <c r="E242" s="1052" t="s">
        <v>4090</v>
      </c>
      <c r="F242" s="1053" t="s">
        <v>4455</v>
      </c>
    </row>
    <row r="243" spans="1:6" s="1198" customFormat="1" ht="15" x14ac:dyDescent="0.25">
      <c r="B243" s="2479"/>
      <c r="C243" s="1051"/>
      <c r="D243" s="1051" t="s">
        <v>4080</v>
      </c>
      <c r="E243" s="1052" t="s">
        <v>522</v>
      </c>
      <c r="F243" s="1053" t="s">
        <v>522</v>
      </c>
    </row>
    <row r="244" spans="1:6" s="1198" customFormat="1" ht="15" x14ac:dyDescent="0.25">
      <c r="B244" s="2479"/>
      <c r="C244" s="1051"/>
      <c r="D244" s="1051" t="s">
        <v>4082</v>
      </c>
      <c r="E244" s="1052" t="s">
        <v>522</v>
      </c>
      <c r="F244" s="1053" t="s">
        <v>522</v>
      </c>
    </row>
    <row r="245" spans="1:6" s="1198" customFormat="1" ht="15" x14ac:dyDescent="0.25">
      <c r="B245" s="2479"/>
      <c r="C245" s="1051"/>
      <c r="D245" s="1051" t="s">
        <v>4084</v>
      </c>
      <c r="E245" s="1052" t="s">
        <v>4090</v>
      </c>
      <c r="F245" s="1053" t="s">
        <v>4455</v>
      </c>
    </row>
    <row r="246" spans="1:6" s="1198" customFormat="1" ht="15" x14ac:dyDescent="0.25">
      <c r="B246" s="2480"/>
      <c r="C246" s="1024"/>
      <c r="D246" s="1024" t="s">
        <v>4075</v>
      </c>
      <c r="E246" s="1025" t="s">
        <v>4303</v>
      </c>
      <c r="F246" s="1026"/>
    </row>
    <row r="247" spans="1:6" s="1198" customFormat="1" ht="63.75" x14ac:dyDescent="0.25">
      <c r="A247" s="1020"/>
      <c r="B247" s="2478" t="s">
        <v>654</v>
      </c>
      <c r="C247" s="1021" t="s">
        <v>4451</v>
      </c>
      <c r="D247" s="1021" t="s">
        <v>4267</v>
      </c>
      <c r="E247" s="1022" t="s">
        <v>4674</v>
      </c>
      <c r="F247" s="1023" t="s">
        <v>4675</v>
      </c>
    </row>
    <row r="248" spans="1:6" s="1198" customFormat="1" ht="51" x14ac:dyDescent="0.25">
      <c r="B248" s="2479"/>
      <c r="C248" s="1051"/>
      <c r="D248" s="1051" t="s">
        <v>4254</v>
      </c>
      <c r="E248" s="1052" t="s">
        <v>4255</v>
      </c>
      <c r="F248" s="1053" t="s">
        <v>522</v>
      </c>
    </row>
    <row r="249" spans="1:6" s="1198" customFormat="1" ht="25.5" x14ac:dyDescent="0.25">
      <c r="B249" s="2479"/>
      <c r="C249" s="1051"/>
      <c r="D249" s="1051" t="s">
        <v>4456</v>
      </c>
      <c r="E249" s="1052" t="s">
        <v>4457</v>
      </c>
      <c r="F249" s="1053" t="s">
        <v>522</v>
      </c>
    </row>
    <row r="250" spans="1:6" s="1198" customFormat="1" ht="38.25" x14ac:dyDescent="0.25">
      <c r="B250" s="2479"/>
      <c r="C250" s="1051"/>
      <c r="D250" s="1051" t="s">
        <v>4395</v>
      </c>
      <c r="E250" s="1052" t="s">
        <v>4412</v>
      </c>
      <c r="F250" s="1053" t="s">
        <v>522</v>
      </c>
    </row>
    <row r="251" spans="1:6" s="1198" customFormat="1" ht="15" x14ac:dyDescent="0.25">
      <c r="B251" s="2479"/>
      <c r="C251" s="1051"/>
      <c r="D251" s="1051" t="s">
        <v>4070</v>
      </c>
      <c r="E251" s="1052" t="s">
        <v>4106</v>
      </c>
      <c r="F251" s="1053" t="s">
        <v>522</v>
      </c>
    </row>
    <row r="252" spans="1:6" s="1198" customFormat="1" ht="51" x14ac:dyDescent="0.25">
      <c r="B252" s="2479"/>
      <c r="C252" s="1051"/>
      <c r="D252" s="1051" t="s">
        <v>4071</v>
      </c>
      <c r="E252" s="1052" t="s">
        <v>4072</v>
      </c>
      <c r="F252" s="1053" t="s">
        <v>522</v>
      </c>
    </row>
    <row r="253" spans="1:6" s="1198" customFormat="1" ht="15" x14ac:dyDescent="0.25">
      <c r="B253" s="2479"/>
      <c r="C253" s="1051"/>
      <c r="D253" s="1051" t="s">
        <v>4095</v>
      </c>
      <c r="E253" s="1052" t="s">
        <v>4091</v>
      </c>
      <c r="F253" s="1053" t="s">
        <v>4458</v>
      </c>
    </row>
    <row r="254" spans="1:6" s="1198" customFormat="1" ht="15" x14ac:dyDescent="0.25">
      <c r="B254" s="2479"/>
      <c r="C254" s="1051"/>
      <c r="D254" s="1051" t="s">
        <v>4096</v>
      </c>
      <c r="E254" s="1052" t="s">
        <v>4301</v>
      </c>
      <c r="F254" s="1053" t="s">
        <v>4676</v>
      </c>
    </row>
    <row r="255" spans="1:6" s="1198" customFormat="1" ht="15" x14ac:dyDescent="0.25">
      <c r="B255" s="2480"/>
      <c r="C255" s="1024"/>
      <c r="D255" s="1024" t="s">
        <v>4075</v>
      </c>
      <c r="E255" s="1025" t="s">
        <v>4302</v>
      </c>
      <c r="F255" s="1026"/>
    </row>
    <row r="256" spans="1:6" s="1198" customFormat="1" ht="63.75" x14ac:dyDescent="0.25">
      <c r="A256" s="1020"/>
      <c r="B256" s="2478" t="s">
        <v>913</v>
      </c>
      <c r="C256" s="1021" t="s">
        <v>4454</v>
      </c>
      <c r="D256" s="1021" t="s">
        <v>4267</v>
      </c>
      <c r="E256" s="1022" t="s">
        <v>4677</v>
      </c>
      <c r="F256" s="1023" t="s">
        <v>4678</v>
      </c>
    </row>
    <row r="257" spans="1:6" s="1198" customFormat="1" ht="51" x14ac:dyDescent="0.25">
      <c r="B257" s="2479"/>
      <c r="C257" s="1051"/>
      <c r="D257" s="1051" t="s">
        <v>4254</v>
      </c>
      <c r="E257" s="1052" t="s">
        <v>4255</v>
      </c>
      <c r="F257" s="1053" t="s">
        <v>522</v>
      </c>
    </row>
    <row r="258" spans="1:6" s="1198" customFormat="1" ht="25.5" x14ac:dyDescent="0.25">
      <c r="B258" s="2479"/>
      <c r="C258" s="1051"/>
      <c r="D258" s="1051" t="s">
        <v>4456</v>
      </c>
      <c r="E258" s="1052" t="s">
        <v>4459</v>
      </c>
      <c r="F258" s="1053" t="s">
        <v>522</v>
      </c>
    </row>
    <row r="259" spans="1:6" s="1198" customFormat="1" ht="15" x14ac:dyDescent="0.25">
      <c r="B259" s="2479"/>
      <c r="C259" s="1051"/>
      <c r="D259" s="1051" t="s">
        <v>4070</v>
      </c>
      <c r="E259" s="1052" t="s">
        <v>4106</v>
      </c>
      <c r="F259" s="1053" t="s">
        <v>522</v>
      </c>
    </row>
    <row r="260" spans="1:6" s="1198" customFormat="1" ht="51" x14ac:dyDescent="0.25">
      <c r="B260" s="2479"/>
      <c r="C260" s="1051"/>
      <c r="D260" s="1051" t="s">
        <v>4071</v>
      </c>
      <c r="E260" s="1052" t="s">
        <v>4072</v>
      </c>
      <c r="F260" s="1053" t="s">
        <v>522</v>
      </c>
    </row>
    <row r="261" spans="1:6" s="1198" customFormat="1" ht="15" x14ac:dyDescent="0.25">
      <c r="B261" s="2479"/>
      <c r="C261" s="1051"/>
      <c r="D261" s="1051" t="s">
        <v>4076</v>
      </c>
      <c r="E261" s="1052" t="s">
        <v>4077</v>
      </c>
      <c r="F261" s="1053" t="s">
        <v>4679</v>
      </c>
    </row>
    <row r="262" spans="1:6" s="1198" customFormat="1" ht="15" x14ac:dyDescent="0.25">
      <c r="B262" s="2479"/>
      <c r="C262" s="1051"/>
      <c r="D262" s="1051" t="s">
        <v>4078</v>
      </c>
      <c r="E262" s="1052" t="s">
        <v>4090</v>
      </c>
      <c r="F262" s="1053" t="s">
        <v>4461</v>
      </c>
    </row>
    <row r="263" spans="1:6" s="1198" customFormat="1" ht="15" x14ac:dyDescent="0.25">
      <c r="B263" s="2479"/>
      <c r="C263" s="1051"/>
      <c r="D263" s="1051" t="s">
        <v>4080</v>
      </c>
      <c r="E263" s="1052" t="s">
        <v>522</v>
      </c>
      <c r="F263" s="1053" t="s">
        <v>522</v>
      </c>
    </row>
    <row r="264" spans="1:6" s="1198" customFormat="1" ht="15" x14ac:dyDescent="0.25">
      <c r="B264" s="2479"/>
      <c r="C264" s="1051"/>
      <c r="D264" s="1051" t="s">
        <v>4082</v>
      </c>
      <c r="E264" s="1052" t="s">
        <v>522</v>
      </c>
      <c r="F264" s="1053" t="s">
        <v>522</v>
      </c>
    </row>
    <row r="265" spans="1:6" s="1198" customFormat="1" ht="15" x14ac:dyDescent="0.25">
      <c r="B265" s="2479"/>
      <c r="C265" s="1051"/>
      <c r="D265" s="1051" t="s">
        <v>4084</v>
      </c>
      <c r="E265" s="1052" t="s">
        <v>4090</v>
      </c>
      <c r="F265" s="1053" t="s">
        <v>4461</v>
      </c>
    </row>
    <row r="266" spans="1:6" s="1198" customFormat="1" ht="15" x14ac:dyDescent="0.25">
      <c r="B266" s="2480"/>
      <c r="C266" s="1024"/>
      <c r="D266" s="1024" t="s">
        <v>4075</v>
      </c>
      <c r="E266" s="1025" t="s">
        <v>4303</v>
      </c>
      <c r="F266" s="1026"/>
    </row>
    <row r="267" spans="1:6" s="1198" customFormat="1" ht="15" x14ac:dyDescent="0.25">
      <c r="A267" s="1018"/>
      <c r="B267" s="1050"/>
      <c r="C267" s="2468" t="s">
        <v>4462</v>
      </c>
      <c r="D267" s="2468"/>
      <c r="E267" s="2468"/>
      <c r="F267" s="2468"/>
    </row>
    <row r="268" spans="1:6" s="1198" customFormat="1" ht="63.75" x14ac:dyDescent="0.25">
      <c r="A268" s="1020"/>
      <c r="B268" s="2478" t="s">
        <v>655</v>
      </c>
      <c r="C268" s="1021" t="s">
        <v>4463</v>
      </c>
      <c r="D268" s="1021" t="s">
        <v>4268</v>
      </c>
      <c r="E268" s="1022" t="s">
        <v>4680</v>
      </c>
      <c r="F268" s="1023" t="s">
        <v>4681</v>
      </c>
    </row>
    <row r="269" spans="1:6" s="1198" customFormat="1" ht="51" x14ac:dyDescent="0.25">
      <c r="B269" s="2479"/>
      <c r="C269" s="1051"/>
      <c r="D269" s="1051" t="s">
        <v>4269</v>
      </c>
      <c r="E269" s="1052" t="s">
        <v>4270</v>
      </c>
      <c r="F269" s="1053" t="s">
        <v>522</v>
      </c>
    </row>
    <row r="270" spans="1:6" s="1198" customFormat="1" ht="38.25" x14ac:dyDescent="0.25">
      <c r="B270" s="2479"/>
      <c r="C270" s="1051"/>
      <c r="D270" s="1051" t="s">
        <v>4395</v>
      </c>
      <c r="E270" s="1052" t="s">
        <v>4400</v>
      </c>
      <c r="F270" s="1053" t="s">
        <v>522</v>
      </c>
    </row>
    <row r="271" spans="1:6" s="1198" customFormat="1" ht="15" x14ac:dyDescent="0.25">
      <c r="B271" s="2479"/>
      <c r="C271" s="1051"/>
      <c r="D271" s="1051" t="s">
        <v>4070</v>
      </c>
      <c r="E271" s="1052" t="s">
        <v>4106</v>
      </c>
      <c r="F271" s="1053" t="s">
        <v>522</v>
      </c>
    </row>
    <row r="272" spans="1:6" s="1198" customFormat="1" ht="51" x14ac:dyDescent="0.25">
      <c r="B272" s="2479"/>
      <c r="C272" s="1051"/>
      <c r="D272" s="1051" t="s">
        <v>4071</v>
      </c>
      <c r="E272" s="1052" t="s">
        <v>4072</v>
      </c>
      <c r="F272" s="1053" t="s">
        <v>522</v>
      </c>
    </row>
    <row r="273" spans="1:6" s="1198" customFormat="1" ht="15" x14ac:dyDescent="0.25">
      <c r="B273" s="2479"/>
      <c r="C273" s="1051"/>
      <c r="D273" s="1051" t="s">
        <v>4095</v>
      </c>
      <c r="E273" s="1052" t="s">
        <v>4091</v>
      </c>
      <c r="F273" s="1053" t="s">
        <v>4682</v>
      </c>
    </row>
    <row r="274" spans="1:6" s="1198" customFormat="1" ht="15" x14ac:dyDescent="0.25">
      <c r="B274" s="2479"/>
      <c r="C274" s="1051"/>
      <c r="D274" s="1051" t="s">
        <v>4096</v>
      </c>
      <c r="E274" s="1052" t="s">
        <v>4301</v>
      </c>
      <c r="F274" s="1053" t="s">
        <v>4683</v>
      </c>
    </row>
    <row r="275" spans="1:6" s="1198" customFormat="1" ht="15" x14ac:dyDescent="0.25">
      <c r="B275" s="2480"/>
      <c r="C275" s="1024"/>
      <c r="D275" s="1024" t="s">
        <v>4075</v>
      </c>
      <c r="E275" s="1025" t="s">
        <v>4302</v>
      </c>
      <c r="F275" s="1026"/>
    </row>
    <row r="276" spans="1:6" s="1198" customFormat="1" ht="63.75" x14ac:dyDescent="0.25">
      <c r="A276" s="1020"/>
      <c r="B276" s="2478" t="s">
        <v>4464</v>
      </c>
      <c r="C276" s="1021" t="s">
        <v>4465</v>
      </c>
      <c r="D276" s="1021" t="s">
        <v>4268</v>
      </c>
      <c r="E276" s="1022" t="s">
        <v>4684</v>
      </c>
      <c r="F276" s="1023" t="s">
        <v>4685</v>
      </c>
    </row>
    <row r="277" spans="1:6" s="1198" customFormat="1" ht="51" x14ac:dyDescent="0.25">
      <c r="B277" s="2479"/>
      <c r="C277" s="1051"/>
      <c r="D277" s="1051" t="s">
        <v>4269</v>
      </c>
      <c r="E277" s="1052" t="s">
        <v>4270</v>
      </c>
      <c r="F277" s="1053" t="s">
        <v>522</v>
      </c>
    </row>
    <row r="278" spans="1:6" s="1198" customFormat="1" ht="15" x14ac:dyDescent="0.25">
      <c r="B278" s="2479"/>
      <c r="C278" s="1051"/>
      <c r="D278" s="1051" t="s">
        <v>4070</v>
      </c>
      <c r="E278" s="1052" t="s">
        <v>4106</v>
      </c>
      <c r="F278" s="1053" t="s">
        <v>522</v>
      </c>
    </row>
    <row r="279" spans="1:6" s="1198" customFormat="1" ht="51" x14ac:dyDescent="0.25">
      <c r="B279" s="2479"/>
      <c r="C279" s="1051"/>
      <c r="D279" s="1051" t="s">
        <v>4071</v>
      </c>
      <c r="E279" s="1052" t="s">
        <v>4072</v>
      </c>
      <c r="F279" s="1053" t="s">
        <v>522</v>
      </c>
    </row>
    <row r="280" spans="1:6" s="1198" customFormat="1" ht="15" x14ac:dyDescent="0.25">
      <c r="B280" s="2479"/>
      <c r="C280" s="1051"/>
      <c r="D280" s="1051" t="s">
        <v>4076</v>
      </c>
      <c r="E280" s="1052" t="s">
        <v>4077</v>
      </c>
      <c r="F280" s="1053" t="s">
        <v>4686</v>
      </c>
    </row>
    <row r="281" spans="1:6" s="1198" customFormat="1" ht="15" x14ac:dyDescent="0.25">
      <c r="B281" s="2479"/>
      <c r="C281" s="1051"/>
      <c r="D281" s="1051" t="s">
        <v>4078</v>
      </c>
      <c r="E281" s="1052" t="s">
        <v>4090</v>
      </c>
      <c r="F281" s="1053" t="s">
        <v>4687</v>
      </c>
    </row>
    <row r="282" spans="1:6" s="1198" customFormat="1" ht="15" x14ac:dyDescent="0.25">
      <c r="B282" s="2479"/>
      <c r="C282" s="1051"/>
      <c r="D282" s="1051" t="s">
        <v>4080</v>
      </c>
      <c r="E282" s="1052" t="s">
        <v>522</v>
      </c>
      <c r="F282" s="1053" t="s">
        <v>522</v>
      </c>
    </row>
    <row r="283" spans="1:6" s="1198" customFormat="1" ht="15" x14ac:dyDescent="0.25">
      <c r="B283" s="2479"/>
      <c r="C283" s="1051"/>
      <c r="D283" s="1051" t="s">
        <v>4082</v>
      </c>
      <c r="E283" s="1052" t="s">
        <v>522</v>
      </c>
      <c r="F283" s="1053" t="s">
        <v>522</v>
      </c>
    </row>
    <row r="284" spans="1:6" s="1198" customFormat="1" ht="15" x14ac:dyDescent="0.25">
      <c r="B284" s="2479"/>
      <c r="C284" s="1051"/>
      <c r="D284" s="1051" t="s">
        <v>4084</v>
      </c>
      <c r="E284" s="1052" t="s">
        <v>4090</v>
      </c>
      <c r="F284" s="1053" t="s">
        <v>4687</v>
      </c>
    </row>
    <row r="285" spans="1:6" s="1198" customFormat="1" ht="15" x14ac:dyDescent="0.25">
      <c r="B285" s="2480"/>
      <c r="C285" s="1024"/>
      <c r="D285" s="1024" t="s">
        <v>4075</v>
      </c>
      <c r="E285" s="1025" t="s">
        <v>4303</v>
      </c>
      <c r="F285" s="1026"/>
    </row>
    <row r="286" spans="1:6" s="1198" customFormat="1" ht="24" customHeight="1" x14ac:dyDescent="0.25">
      <c r="A286" s="1018"/>
      <c r="B286" s="1050"/>
      <c r="C286" s="2468" t="s">
        <v>4466</v>
      </c>
      <c r="D286" s="2468"/>
      <c r="E286" s="2468"/>
      <c r="F286" s="2468"/>
    </row>
    <row r="287" spans="1:6" s="1198" customFormat="1" ht="38.25" x14ac:dyDescent="0.25">
      <c r="A287" s="1020"/>
      <c r="B287" s="2478" t="s">
        <v>656</v>
      </c>
      <c r="C287" s="1021" t="s">
        <v>4467</v>
      </c>
      <c r="D287" s="1021" t="s">
        <v>4468</v>
      </c>
      <c r="E287" s="1022" t="s">
        <v>4688</v>
      </c>
      <c r="F287" s="1023" t="s">
        <v>4689</v>
      </c>
    </row>
    <row r="288" spans="1:6" s="1198" customFormat="1" ht="38.25" x14ac:dyDescent="0.25">
      <c r="B288" s="2479"/>
      <c r="C288" s="1051"/>
      <c r="D288" s="1051" t="s">
        <v>4395</v>
      </c>
      <c r="E288" s="1052" t="s">
        <v>4469</v>
      </c>
      <c r="F288" s="1053" t="s">
        <v>522</v>
      </c>
    </row>
    <row r="289" spans="1:6" s="1198" customFormat="1" ht="15" x14ac:dyDescent="0.25">
      <c r="B289" s="2479"/>
      <c r="C289" s="1051"/>
      <c r="D289" s="1051" t="s">
        <v>4070</v>
      </c>
      <c r="E289" s="1052" t="s">
        <v>4106</v>
      </c>
      <c r="F289" s="1053" t="s">
        <v>522</v>
      </c>
    </row>
    <row r="290" spans="1:6" s="1198" customFormat="1" ht="51" x14ac:dyDescent="0.25">
      <c r="B290" s="2479"/>
      <c r="C290" s="1051"/>
      <c r="D290" s="1051" t="s">
        <v>4071</v>
      </c>
      <c r="E290" s="1052" t="s">
        <v>4072</v>
      </c>
      <c r="F290" s="1053" t="s">
        <v>522</v>
      </c>
    </row>
    <row r="291" spans="1:6" s="1198" customFormat="1" ht="15" x14ac:dyDescent="0.25">
      <c r="B291" s="2479"/>
      <c r="C291" s="1051"/>
      <c r="D291" s="1051" t="s">
        <v>4095</v>
      </c>
      <c r="E291" s="1052" t="s">
        <v>4091</v>
      </c>
      <c r="F291" s="1053" t="s">
        <v>4690</v>
      </c>
    </row>
    <row r="292" spans="1:6" s="1198" customFormat="1" ht="15" x14ac:dyDescent="0.25">
      <c r="B292" s="2479"/>
      <c r="C292" s="1051"/>
      <c r="D292" s="1051" t="s">
        <v>4096</v>
      </c>
      <c r="E292" s="1052" t="s">
        <v>4301</v>
      </c>
      <c r="F292" s="1053" t="s">
        <v>4691</v>
      </c>
    </row>
    <row r="293" spans="1:6" s="1198" customFormat="1" ht="15" x14ac:dyDescent="0.25">
      <c r="B293" s="2480"/>
      <c r="C293" s="1024"/>
      <c r="D293" s="1024" t="s">
        <v>4075</v>
      </c>
      <c r="E293" s="1025" t="s">
        <v>4302</v>
      </c>
      <c r="F293" s="1026"/>
    </row>
    <row r="294" spans="1:6" s="1198" customFormat="1" ht="38.25" x14ac:dyDescent="0.25">
      <c r="A294" s="1020"/>
      <c r="B294" s="2478" t="s">
        <v>4470</v>
      </c>
      <c r="C294" s="1021" t="s">
        <v>4471</v>
      </c>
      <c r="D294" s="1021" t="s">
        <v>4468</v>
      </c>
      <c r="E294" s="1022" t="s">
        <v>4692</v>
      </c>
      <c r="F294" s="1023" t="s">
        <v>4693</v>
      </c>
    </row>
    <row r="295" spans="1:6" s="1198" customFormat="1" ht="15" x14ac:dyDescent="0.25">
      <c r="B295" s="2479"/>
      <c r="C295" s="1051"/>
      <c r="D295" s="1051" t="s">
        <v>4070</v>
      </c>
      <c r="E295" s="1052" t="s">
        <v>4106</v>
      </c>
      <c r="F295" s="1053" t="s">
        <v>522</v>
      </c>
    </row>
    <row r="296" spans="1:6" s="1198" customFormat="1" ht="51" x14ac:dyDescent="0.25">
      <c r="B296" s="2479"/>
      <c r="C296" s="1051"/>
      <c r="D296" s="1051" t="s">
        <v>4071</v>
      </c>
      <c r="E296" s="1052" t="s">
        <v>4072</v>
      </c>
      <c r="F296" s="1053" t="s">
        <v>522</v>
      </c>
    </row>
    <row r="297" spans="1:6" s="1198" customFormat="1" ht="15" x14ac:dyDescent="0.25">
      <c r="B297" s="2479"/>
      <c r="C297" s="1051"/>
      <c r="D297" s="1051" t="s">
        <v>4076</v>
      </c>
      <c r="E297" s="1052" t="s">
        <v>4077</v>
      </c>
      <c r="F297" s="1053" t="s">
        <v>4694</v>
      </c>
    </row>
    <row r="298" spans="1:6" s="1198" customFormat="1" ht="15" x14ac:dyDescent="0.25">
      <c r="B298" s="2479"/>
      <c r="C298" s="1051"/>
      <c r="D298" s="1051" t="s">
        <v>4078</v>
      </c>
      <c r="E298" s="1052" t="s">
        <v>4090</v>
      </c>
      <c r="F298" s="1053" t="s">
        <v>4695</v>
      </c>
    </row>
    <row r="299" spans="1:6" s="1198" customFormat="1" ht="15" x14ac:dyDescent="0.25">
      <c r="B299" s="2479"/>
      <c r="C299" s="1051"/>
      <c r="D299" s="1051" t="s">
        <v>4080</v>
      </c>
      <c r="E299" s="1052" t="s">
        <v>522</v>
      </c>
      <c r="F299" s="1053" t="s">
        <v>522</v>
      </c>
    </row>
    <row r="300" spans="1:6" s="1198" customFormat="1" ht="15" x14ac:dyDescent="0.25">
      <c r="B300" s="2479"/>
      <c r="C300" s="1051"/>
      <c r="D300" s="1051" t="s">
        <v>4082</v>
      </c>
      <c r="E300" s="1052" t="s">
        <v>522</v>
      </c>
      <c r="F300" s="1053" t="s">
        <v>522</v>
      </c>
    </row>
    <row r="301" spans="1:6" s="1198" customFormat="1" ht="15" x14ac:dyDescent="0.25">
      <c r="B301" s="2479"/>
      <c r="C301" s="1051"/>
      <c r="D301" s="1051" t="s">
        <v>4084</v>
      </c>
      <c r="E301" s="1052" t="s">
        <v>4090</v>
      </c>
      <c r="F301" s="1053" t="s">
        <v>4695</v>
      </c>
    </row>
    <row r="302" spans="1:6" s="1198" customFormat="1" ht="15" x14ac:dyDescent="0.25">
      <c r="B302" s="2480"/>
      <c r="C302" s="1024"/>
      <c r="D302" s="1024" t="s">
        <v>4075</v>
      </c>
      <c r="E302" s="1025" t="s">
        <v>4303</v>
      </c>
      <c r="F302" s="1026"/>
    </row>
    <row r="303" spans="1:6" s="1198" customFormat="1" ht="15" x14ac:dyDescent="0.25">
      <c r="A303" s="1018"/>
      <c r="B303" s="1050"/>
      <c r="C303" s="2481" t="s">
        <v>4472</v>
      </c>
      <c r="D303" s="2481"/>
      <c r="E303" s="2481"/>
      <c r="F303" s="1054"/>
    </row>
    <row r="304" spans="1:6" s="1198" customFormat="1" ht="15" x14ac:dyDescent="0.25">
      <c r="A304" s="1018"/>
      <c r="B304" s="1050"/>
      <c r="C304" s="2468" t="s">
        <v>4439</v>
      </c>
      <c r="D304" s="2468"/>
      <c r="E304" s="2468"/>
      <c r="F304" s="1019" t="s">
        <v>4696</v>
      </c>
    </row>
    <row r="305" spans="1:6" s="1198" customFormat="1" ht="15" x14ac:dyDescent="0.25">
      <c r="A305" s="1018"/>
      <c r="B305" s="1050"/>
      <c r="C305" s="2481" t="s">
        <v>4473</v>
      </c>
      <c r="D305" s="2481"/>
      <c r="E305" s="2481"/>
      <c r="F305" s="1054" t="s">
        <v>4696</v>
      </c>
    </row>
    <row r="306" spans="1:6" s="1198" customFormat="1" ht="15" x14ac:dyDescent="0.25">
      <c r="A306" s="1018"/>
      <c r="B306" s="2466" t="s">
        <v>4474</v>
      </c>
      <c r="C306" s="2467"/>
      <c r="D306" s="2467"/>
      <c r="E306" s="2467"/>
      <c r="F306" s="2467"/>
    </row>
    <row r="307" spans="1:6" s="1198" customFormat="1" ht="15" x14ac:dyDescent="0.25">
      <c r="A307" s="1018"/>
      <c r="B307" s="2469" t="s">
        <v>4475</v>
      </c>
      <c r="C307" s="2467"/>
      <c r="D307" s="2467"/>
      <c r="E307" s="2467"/>
      <c r="F307" s="2467"/>
    </row>
    <row r="308" spans="1:6" s="1198" customFormat="1" ht="24" customHeight="1" x14ac:dyDescent="0.25">
      <c r="A308" s="1018"/>
      <c r="B308" s="1050"/>
      <c r="C308" s="2468" t="s">
        <v>4476</v>
      </c>
      <c r="D308" s="2468"/>
      <c r="E308" s="2468"/>
      <c r="F308" s="2468"/>
    </row>
    <row r="309" spans="1:6" s="1198" customFormat="1" ht="51" x14ac:dyDescent="0.25">
      <c r="A309" s="1020"/>
      <c r="B309" s="2478" t="s">
        <v>657</v>
      </c>
      <c r="C309" s="1021" t="s">
        <v>4477</v>
      </c>
      <c r="D309" s="1021" t="s">
        <v>4478</v>
      </c>
      <c r="E309" s="1022" t="s">
        <v>4697</v>
      </c>
      <c r="F309" s="1023" t="s">
        <v>4698</v>
      </c>
    </row>
    <row r="310" spans="1:6" s="1198" customFormat="1" ht="51" x14ac:dyDescent="0.25">
      <c r="B310" s="2479"/>
      <c r="C310" s="1051"/>
      <c r="D310" s="1051" t="s">
        <v>4272</v>
      </c>
      <c r="E310" s="1052" t="s">
        <v>4273</v>
      </c>
      <c r="F310" s="1053" t="s">
        <v>522</v>
      </c>
    </row>
    <row r="311" spans="1:6" s="1198" customFormat="1" ht="38.25" x14ac:dyDescent="0.25">
      <c r="B311" s="2479"/>
      <c r="C311" s="1051"/>
      <c r="D311" s="1051" t="s">
        <v>4395</v>
      </c>
      <c r="E311" s="1052" t="s">
        <v>4400</v>
      </c>
      <c r="F311" s="1053" t="s">
        <v>522</v>
      </c>
    </row>
    <row r="312" spans="1:6" s="1198" customFormat="1" ht="51" x14ac:dyDescent="0.25">
      <c r="B312" s="2479"/>
      <c r="C312" s="1051"/>
      <c r="D312" s="1051" t="s">
        <v>4479</v>
      </c>
      <c r="E312" s="1052" t="s">
        <v>4480</v>
      </c>
      <c r="F312" s="1053" t="s">
        <v>522</v>
      </c>
    </row>
    <row r="313" spans="1:6" s="1198" customFormat="1" ht="15" x14ac:dyDescent="0.25">
      <c r="B313" s="2479"/>
      <c r="C313" s="1051"/>
      <c r="D313" s="1051" t="s">
        <v>4070</v>
      </c>
      <c r="E313" s="1052" t="s">
        <v>4106</v>
      </c>
      <c r="F313" s="1053" t="s">
        <v>522</v>
      </c>
    </row>
    <row r="314" spans="1:6" s="1198" customFormat="1" ht="51" x14ac:dyDescent="0.25">
      <c r="B314" s="2479"/>
      <c r="C314" s="1051"/>
      <c r="D314" s="1051" t="s">
        <v>4071</v>
      </c>
      <c r="E314" s="1052" t="s">
        <v>4072</v>
      </c>
      <c r="F314" s="1053" t="s">
        <v>522</v>
      </c>
    </row>
    <row r="315" spans="1:6" s="1198" customFormat="1" ht="15" x14ac:dyDescent="0.25">
      <c r="B315" s="2479"/>
      <c r="C315" s="1051"/>
      <c r="D315" s="1051" t="s">
        <v>4095</v>
      </c>
      <c r="E315" s="1052" t="s">
        <v>4304</v>
      </c>
      <c r="F315" s="1053" t="s">
        <v>4699</v>
      </c>
    </row>
    <row r="316" spans="1:6" s="1198" customFormat="1" ht="15" x14ac:dyDescent="0.25">
      <c r="B316" s="2479"/>
      <c r="C316" s="1051"/>
      <c r="D316" s="1051" t="s">
        <v>4096</v>
      </c>
      <c r="E316" s="1052" t="s">
        <v>4305</v>
      </c>
      <c r="F316" s="1053" t="s">
        <v>4700</v>
      </c>
    </row>
    <row r="317" spans="1:6" s="1198" customFormat="1" ht="15" x14ac:dyDescent="0.25">
      <c r="B317" s="2480"/>
      <c r="C317" s="1024"/>
      <c r="D317" s="1024" t="s">
        <v>4075</v>
      </c>
      <c r="E317" s="1025" t="s">
        <v>4306</v>
      </c>
      <c r="F317" s="1026"/>
    </row>
    <row r="318" spans="1:6" s="1198" customFormat="1" ht="51" x14ac:dyDescent="0.25">
      <c r="A318" s="1020"/>
      <c r="B318" s="2478" t="s">
        <v>4481</v>
      </c>
      <c r="C318" s="1021" t="s">
        <v>4482</v>
      </c>
      <c r="D318" s="1021" t="s">
        <v>4478</v>
      </c>
      <c r="E318" s="1022" t="s">
        <v>4701</v>
      </c>
      <c r="F318" s="1023" t="s">
        <v>4702</v>
      </c>
    </row>
    <row r="319" spans="1:6" s="1198" customFormat="1" ht="51" x14ac:dyDescent="0.25">
      <c r="B319" s="2479"/>
      <c r="C319" s="1051"/>
      <c r="D319" s="1051" t="s">
        <v>4272</v>
      </c>
      <c r="E319" s="1052" t="s">
        <v>4273</v>
      </c>
      <c r="F319" s="1053" t="s">
        <v>522</v>
      </c>
    </row>
    <row r="320" spans="1:6" s="1198" customFormat="1" ht="51" x14ac:dyDescent="0.25">
      <c r="B320" s="2479"/>
      <c r="C320" s="1051"/>
      <c r="D320" s="1051" t="s">
        <v>4479</v>
      </c>
      <c r="E320" s="1052" t="s">
        <v>4483</v>
      </c>
      <c r="F320" s="1053" t="s">
        <v>522</v>
      </c>
    </row>
    <row r="321" spans="1:6" s="1198" customFormat="1" ht="15" x14ac:dyDescent="0.25">
      <c r="B321" s="2479"/>
      <c r="C321" s="1051"/>
      <c r="D321" s="1051" t="s">
        <v>4070</v>
      </c>
      <c r="E321" s="1052" t="s">
        <v>4106</v>
      </c>
      <c r="F321" s="1053" t="s">
        <v>522</v>
      </c>
    </row>
    <row r="322" spans="1:6" s="1198" customFormat="1" ht="51" x14ac:dyDescent="0.25">
      <c r="B322" s="2479"/>
      <c r="C322" s="1051"/>
      <c r="D322" s="1051" t="s">
        <v>4071</v>
      </c>
      <c r="E322" s="1052" t="s">
        <v>4072</v>
      </c>
      <c r="F322" s="1053" t="s">
        <v>522</v>
      </c>
    </row>
    <row r="323" spans="1:6" s="1198" customFormat="1" ht="15" x14ac:dyDescent="0.25">
      <c r="B323" s="2479"/>
      <c r="C323" s="1051"/>
      <c r="D323" s="1051" t="s">
        <v>4076</v>
      </c>
      <c r="E323" s="1052" t="s">
        <v>4077</v>
      </c>
      <c r="F323" s="1053" t="s">
        <v>4703</v>
      </c>
    </row>
    <row r="324" spans="1:6" s="1198" customFormat="1" ht="15" x14ac:dyDescent="0.25">
      <c r="B324" s="2479"/>
      <c r="C324" s="1051"/>
      <c r="D324" s="1051" t="s">
        <v>4078</v>
      </c>
      <c r="E324" s="1052" t="s">
        <v>4277</v>
      </c>
      <c r="F324" s="1053" t="s">
        <v>4704</v>
      </c>
    </row>
    <row r="325" spans="1:6" s="1198" customFormat="1" ht="15" x14ac:dyDescent="0.25">
      <c r="B325" s="2479"/>
      <c r="C325" s="1051"/>
      <c r="D325" s="1051" t="s">
        <v>4080</v>
      </c>
      <c r="E325" s="1052" t="s">
        <v>522</v>
      </c>
      <c r="F325" s="1053" t="s">
        <v>522</v>
      </c>
    </row>
    <row r="326" spans="1:6" s="1198" customFormat="1" ht="15" x14ac:dyDescent="0.25">
      <c r="B326" s="2479"/>
      <c r="C326" s="1051"/>
      <c r="D326" s="1051" t="s">
        <v>4082</v>
      </c>
      <c r="E326" s="1052" t="s">
        <v>522</v>
      </c>
      <c r="F326" s="1053" t="s">
        <v>522</v>
      </c>
    </row>
    <row r="327" spans="1:6" s="1198" customFormat="1" ht="15" x14ac:dyDescent="0.25">
      <c r="B327" s="2479"/>
      <c r="C327" s="1051"/>
      <c r="D327" s="1051" t="s">
        <v>4084</v>
      </c>
      <c r="E327" s="1052" t="s">
        <v>4090</v>
      </c>
      <c r="F327" s="1053" t="s">
        <v>4705</v>
      </c>
    </row>
    <row r="328" spans="1:6" s="1198" customFormat="1" ht="15" x14ac:dyDescent="0.25">
      <c r="B328" s="2480"/>
      <c r="C328" s="1024"/>
      <c r="D328" s="1024" t="s">
        <v>4075</v>
      </c>
      <c r="E328" s="1025" t="s">
        <v>4307</v>
      </c>
      <c r="F328" s="1026"/>
    </row>
    <row r="329" spans="1:6" s="1198" customFormat="1" ht="15" x14ac:dyDescent="0.25">
      <c r="A329" s="1018"/>
      <c r="B329" s="2469" t="s">
        <v>4484</v>
      </c>
      <c r="C329" s="2467"/>
      <c r="D329" s="2467"/>
      <c r="E329" s="2467"/>
      <c r="F329" s="2467"/>
    </row>
    <row r="330" spans="1:6" s="1198" customFormat="1" ht="15" x14ac:dyDescent="0.25">
      <c r="A330" s="1018"/>
      <c r="B330" s="1050"/>
      <c r="C330" s="2468" t="s">
        <v>4485</v>
      </c>
      <c r="D330" s="2468"/>
      <c r="E330" s="2468"/>
      <c r="F330" s="2468"/>
    </row>
    <row r="331" spans="1:6" s="1198" customFormat="1" ht="63.75" x14ac:dyDescent="0.25">
      <c r="A331" s="1020"/>
      <c r="B331" s="2478" t="s">
        <v>658</v>
      </c>
      <c r="C331" s="1021" t="s">
        <v>4486</v>
      </c>
      <c r="D331" s="1021" t="s">
        <v>4487</v>
      </c>
      <c r="E331" s="1022" t="s">
        <v>4706</v>
      </c>
      <c r="F331" s="1023" t="s">
        <v>4707</v>
      </c>
    </row>
    <row r="332" spans="1:6" s="1198" customFormat="1" ht="51" x14ac:dyDescent="0.25">
      <c r="B332" s="2479"/>
      <c r="C332" s="1051"/>
      <c r="D332" s="1051" t="s">
        <v>4272</v>
      </c>
      <c r="E332" s="1052" t="s">
        <v>4273</v>
      </c>
      <c r="F332" s="1053" t="s">
        <v>522</v>
      </c>
    </row>
    <row r="333" spans="1:6" s="1198" customFormat="1" ht="38.25" x14ac:dyDescent="0.25">
      <c r="B333" s="2479"/>
      <c r="C333" s="1051"/>
      <c r="D333" s="1051" t="s">
        <v>4395</v>
      </c>
      <c r="E333" s="1052" t="s">
        <v>4400</v>
      </c>
      <c r="F333" s="1053" t="s">
        <v>522</v>
      </c>
    </row>
    <row r="334" spans="1:6" s="1198" customFormat="1" ht="15" x14ac:dyDescent="0.25">
      <c r="B334" s="2479"/>
      <c r="C334" s="1051"/>
      <c r="D334" s="1051" t="s">
        <v>4070</v>
      </c>
      <c r="E334" s="1052" t="s">
        <v>4106</v>
      </c>
      <c r="F334" s="1053" t="s">
        <v>522</v>
      </c>
    </row>
    <row r="335" spans="1:6" s="1198" customFormat="1" ht="51" x14ac:dyDescent="0.25">
      <c r="B335" s="2479"/>
      <c r="C335" s="1051"/>
      <c r="D335" s="1051" t="s">
        <v>4071</v>
      </c>
      <c r="E335" s="1052" t="s">
        <v>4072</v>
      </c>
      <c r="F335" s="1053" t="s">
        <v>522</v>
      </c>
    </row>
    <row r="336" spans="1:6" s="1198" customFormat="1" ht="15" x14ac:dyDescent="0.25">
      <c r="B336" s="2479"/>
      <c r="C336" s="1051"/>
      <c r="D336" s="1051" t="s">
        <v>4095</v>
      </c>
      <c r="E336" s="1052" t="s">
        <v>4304</v>
      </c>
      <c r="F336" s="1053" t="s">
        <v>4708</v>
      </c>
    </row>
    <row r="337" spans="1:6" s="1198" customFormat="1" ht="15" x14ac:dyDescent="0.25">
      <c r="B337" s="2479"/>
      <c r="C337" s="1051"/>
      <c r="D337" s="1051" t="s">
        <v>4096</v>
      </c>
      <c r="E337" s="1052" t="s">
        <v>4305</v>
      </c>
      <c r="F337" s="1053" t="s">
        <v>4709</v>
      </c>
    </row>
    <row r="338" spans="1:6" s="1198" customFormat="1" ht="15" x14ac:dyDescent="0.25">
      <c r="B338" s="2480"/>
      <c r="C338" s="1024"/>
      <c r="D338" s="1024" t="s">
        <v>4075</v>
      </c>
      <c r="E338" s="1025" t="s">
        <v>4306</v>
      </c>
      <c r="F338" s="1026"/>
    </row>
    <row r="339" spans="1:6" s="1198" customFormat="1" ht="63.75" x14ac:dyDescent="0.25">
      <c r="A339" s="1020"/>
      <c r="B339" s="2478" t="s">
        <v>4488</v>
      </c>
      <c r="C339" s="1021" t="s">
        <v>4489</v>
      </c>
      <c r="D339" s="1021" t="s">
        <v>4487</v>
      </c>
      <c r="E339" s="1022" t="s">
        <v>4710</v>
      </c>
      <c r="F339" s="1023" t="s">
        <v>4711</v>
      </c>
    </row>
    <row r="340" spans="1:6" s="1198" customFormat="1" ht="51" x14ac:dyDescent="0.25">
      <c r="B340" s="2479"/>
      <c r="C340" s="1051"/>
      <c r="D340" s="1051" t="s">
        <v>4272</v>
      </c>
      <c r="E340" s="1052" t="s">
        <v>4273</v>
      </c>
      <c r="F340" s="1053" t="s">
        <v>522</v>
      </c>
    </row>
    <row r="341" spans="1:6" s="1198" customFormat="1" ht="15" x14ac:dyDescent="0.25">
      <c r="B341" s="2479"/>
      <c r="C341" s="1051"/>
      <c r="D341" s="1051" t="s">
        <v>4070</v>
      </c>
      <c r="E341" s="1052" t="s">
        <v>4106</v>
      </c>
      <c r="F341" s="1053" t="s">
        <v>522</v>
      </c>
    </row>
    <row r="342" spans="1:6" s="1198" customFormat="1" ht="51" x14ac:dyDescent="0.25">
      <c r="B342" s="2479"/>
      <c r="C342" s="1051"/>
      <c r="D342" s="1051" t="s">
        <v>4071</v>
      </c>
      <c r="E342" s="1052" t="s">
        <v>4072</v>
      </c>
      <c r="F342" s="1053" t="s">
        <v>522</v>
      </c>
    </row>
    <row r="343" spans="1:6" s="1198" customFormat="1" ht="15" x14ac:dyDescent="0.25">
      <c r="B343" s="2479"/>
      <c r="C343" s="1051"/>
      <c r="D343" s="1051" t="s">
        <v>4076</v>
      </c>
      <c r="E343" s="1052" t="s">
        <v>4077</v>
      </c>
      <c r="F343" s="1053" t="s">
        <v>4712</v>
      </c>
    </row>
    <row r="344" spans="1:6" s="1198" customFormat="1" ht="15" x14ac:dyDescent="0.25">
      <c r="B344" s="2479"/>
      <c r="C344" s="1051"/>
      <c r="D344" s="1051" t="s">
        <v>4078</v>
      </c>
      <c r="E344" s="1052" t="s">
        <v>4277</v>
      </c>
      <c r="F344" s="1053" t="s">
        <v>4713</v>
      </c>
    </row>
    <row r="345" spans="1:6" s="1198" customFormat="1" ht="15" x14ac:dyDescent="0.25">
      <c r="B345" s="2479"/>
      <c r="C345" s="1051"/>
      <c r="D345" s="1051" t="s">
        <v>4080</v>
      </c>
      <c r="E345" s="1052" t="s">
        <v>522</v>
      </c>
      <c r="F345" s="1053" t="s">
        <v>522</v>
      </c>
    </row>
    <row r="346" spans="1:6" s="1198" customFormat="1" ht="15" x14ac:dyDescent="0.25">
      <c r="B346" s="2479"/>
      <c r="C346" s="1051"/>
      <c r="D346" s="1051" t="s">
        <v>4082</v>
      </c>
      <c r="E346" s="1052" t="s">
        <v>522</v>
      </c>
      <c r="F346" s="1053" t="s">
        <v>522</v>
      </c>
    </row>
    <row r="347" spans="1:6" s="1198" customFormat="1" ht="15" x14ac:dyDescent="0.25">
      <c r="B347" s="2479"/>
      <c r="C347" s="1051"/>
      <c r="D347" s="1051" t="s">
        <v>4084</v>
      </c>
      <c r="E347" s="1052" t="s">
        <v>4090</v>
      </c>
      <c r="F347" s="1053" t="s">
        <v>4714</v>
      </c>
    </row>
    <row r="348" spans="1:6" s="1198" customFormat="1" ht="15" x14ac:dyDescent="0.25">
      <c r="B348" s="2480"/>
      <c r="C348" s="1024"/>
      <c r="D348" s="1024" t="s">
        <v>4075</v>
      </c>
      <c r="E348" s="1025" t="s">
        <v>4307</v>
      </c>
      <c r="F348" s="1026"/>
    </row>
    <row r="349" spans="1:6" s="1198" customFormat="1" ht="24" customHeight="1" x14ac:dyDescent="0.25">
      <c r="A349" s="1018"/>
      <c r="B349" s="2469" t="s">
        <v>4490</v>
      </c>
      <c r="C349" s="2467"/>
      <c r="D349" s="2467"/>
      <c r="E349" s="2467"/>
      <c r="F349" s="2467"/>
    </row>
    <row r="350" spans="1:6" s="1198" customFormat="1" ht="15" x14ac:dyDescent="0.25">
      <c r="A350" s="1018"/>
      <c r="B350" s="1050"/>
      <c r="C350" s="2468" t="s">
        <v>4491</v>
      </c>
      <c r="D350" s="2468"/>
      <c r="E350" s="2468"/>
      <c r="F350" s="2468"/>
    </row>
    <row r="351" spans="1:6" s="1198" customFormat="1" ht="76.5" x14ac:dyDescent="0.25">
      <c r="A351" s="1020"/>
      <c r="B351" s="2478" t="s">
        <v>659</v>
      </c>
      <c r="C351" s="1021" t="s">
        <v>4492</v>
      </c>
      <c r="D351" s="1021" t="s">
        <v>4493</v>
      </c>
      <c r="E351" s="1022" t="s">
        <v>4715</v>
      </c>
      <c r="F351" s="1023" t="s">
        <v>4716</v>
      </c>
    </row>
    <row r="352" spans="1:6" s="1198" customFormat="1" ht="15" x14ac:dyDescent="0.25">
      <c r="B352" s="2479"/>
      <c r="C352" s="1051"/>
      <c r="D352" s="1051" t="s">
        <v>4237</v>
      </c>
      <c r="E352" s="1052" t="s">
        <v>4297</v>
      </c>
      <c r="F352" s="1053" t="s">
        <v>522</v>
      </c>
    </row>
    <row r="353" spans="1:6" s="1198" customFormat="1" ht="15" x14ac:dyDescent="0.25">
      <c r="B353" s="2479"/>
      <c r="C353" s="1051"/>
      <c r="D353" s="1051" t="s">
        <v>4069</v>
      </c>
      <c r="E353" s="1052" t="s">
        <v>4238</v>
      </c>
      <c r="F353" s="1053" t="s">
        <v>522</v>
      </c>
    </row>
    <row r="354" spans="1:6" s="1198" customFormat="1" ht="51" x14ac:dyDescent="0.25">
      <c r="B354" s="2479"/>
      <c r="C354" s="1051"/>
      <c r="D354" s="1051" t="s">
        <v>4260</v>
      </c>
      <c r="E354" s="1052" t="s">
        <v>4274</v>
      </c>
      <c r="F354" s="1053" t="s">
        <v>522</v>
      </c>
    </row>
    <row r="355" spans="1:6" s="1198" customFormat="1" ht="51" x14ac:dyDescent="0.25">
      <c r="B355" s="2479"/>
      <c r="C355" s="1051"/>
      <c r="D355" s="1051" t="s">
        <v>4092</v>
      </c>
      <c r="E355" s="1052" t="s">
        <v>4093</v>
      </c>
      <c r="F355" s="1053" t="s">
        <v>522</v>
      </c>
    </row>
    <row r="356" spans="1:6" s="1198" customFormat="1" ht="25.5" x14ac:dyDescent="0.25">
      <c r="B356" s="2479"/>
      <c r="C356" s="1051"/>
      <c r="D356" s="1051" t="s">
        <v>4239</v>
      </c>
      <c r="E356" s="1052" t="s">
        <v>4090</v>
      </c>
      <c r="F356" s="1053" t="s">
        <v>4308</v>
      </c>
    </row>
    <row r="357" spans="1:6" s="1198" customFormat="1" ht="15" x14ac:dyDescent="0.25">
      <c r="B357" s="2479"/>
      <c r="C357" s="1051"/>
      <c r="D357" s="1051" t="s">
        <v>4240</v>
      </c>
      <c r="E357" s="1052" t="s">
        <v>4088</v>
      </c>
      <c r="F357" s="1053" t="s">
        <v>4717</v>
      </c>
    </row>
    <row r="358" spans="1:6" s="1198" customFormat="1" ht="25.5" x14ac:dyDescent="0.25">
      <c r="B358" s="2479"/>
      <c r="C358" s="1051"/>
      <c r="D358" s="1051" t="s">
        <v>4241</v>
      </c>
      <c r="E358" s="1052" t="s">
        <v>4298</v>
      </c>
      <c r="F358" s="1053" t="s">
        <v>4718</v>
      </c>
    </row>
    <row r="359" spans="1:6" s="1198" customFormat="1" ht="38.25" x14ac:dyDescent="0.25">
      <c r="B359" s="2479"/>
      <c r="C359" s="1051"/>
      <c r="D359" s="1051" t="s">
        <v>4242</v>
      </c>
      <c r="E359" s="1052" t="s">
        <v>4088</v>
      </c>
      <c r="F359" s="1053" t="s">
        <v>4717</v>
      </c>
    </row>
    <row r="360" spans="1:6" s="1198" customFormat="1" ht="38.25" x14ac:dyDescent="0.25">
      <c r="B360" s="2479"/>
      <c r="C360" s="1051"/>
      <c r="D360" s="1051" t="s">
        <v>4243</v>
      </c>
      <c r="E360" s="1052" t="s">
        <v>4079</v>
      </c>
      <c r="F360" s="1053" t="s">
        <v>4494</v>
      </c>
    </row>
    <row r="361" spans="1:6" s="1198" customFormat="1" ht="38.25" x14ac:dyDescent="0.25">
      <c r="B361" s="2479"/>
      <c r="C361" s="1051"/>
      <c r="D361" s="1051" t="s">
        <v>4244</v>
      </c>
      <c r="E361" s="1052" t="s">
        <v>4079</v>
      </c>
      <c r="F361" s="1053" t="s">
        <v>4494</v>
      </c>
    </row>
    <row r="362" spans="1:6" s="1198" customFormat="1" ht="38.25" x14ac:dyDescent="0.25">
      <c r="B362" s="2479"/>
      <c r="C362" s="1051"/>
      <c r="D362" s="1051" t="s">
        <v>4245</v>
      </c>
      <c r="E362" s="1052" t="s">
        <v>4085</v>
      </c>
      <c r="F362" s="1053" t="s">
        <v>4719</v>
      </c>
    </row>
    <row r="363" spans="1:6" s="1198" customFormat="1" ht="51" x14ac:dyDescent="0.25">
      <c r="B363" s="2479"/>
      <c r="C363" s="1051"/>
      <c r="D363" s="1051" t="s">
        <v>4246</v>
      </c>
      <c r="E363" s="1052" t="s">
        <v>4091</v>
      </c>
      <c r="F363" s="1053" t="s">
        <v>4720</v>
      </c>
    </row>
    <row r="364" spans="1:6" s="1198" customFormat="1" ht="38.25" x14ac:dyDescent="0.25">
      <c r="B364" s="2479"/>
      <c r="C364" s="1051"/>
      <c r="D364" s="1051" t="s">
        <v>4247</v>
      </c>
      <c r="E364" s="1052" t="s">
        <v>4089</v>
      </c>
      <c r="F364" s="1053" t="s">
        <v>4721</v>
      </c>
    </row>
    <row r="365" spans="1:6" s="1198" customFormat="1" ht="15" x14ac:dyDescent="0.25">
      <c r="B365" s="2480"/>
      <c r="C365" s="1024"/>
      <c r="D365" s="1024" t="s">
        <v>4075</v>
      </c>
      <c r="E365" s="1025" t="s">
        <v>4299</v>
      </c>
      <c r="F365" s="1026"/>
    </row>
    <row r="366" spans="1:6" s="1198" customFormat="1" ht="76.5" x14ac:dyDescent="0.25">
      <c r="A366" s="1020"/>
      <c r="B366" s="2478" t="s">
        <v>4495</v>
      </c>
      <c r="C366" s="1021" t="s">
        <v>4496</v>
      </c>
      <c r="D366" s="1021" t="s">
        <v>4493</v>
      </c>
      <c r="E366" s="1022" t="s">
        <v>4722</v>
      </c>
      <c r="F366" s="1023" t="s">
        <v>4723</v>
      </c>
    </row>
    <row r="367" spans="1:6" s="1198" customFormat="1" ht="15" x14ac:dyDescent="0.25">
      <c r="B367" s="2479"/>
      <c r="C367" s="1051"/>
      <c r="D367" s="1051" t="s">
        <v>4237</v>
      </c>
      <c r="E367" s="1052" t="s">
        <v>4297</v>
      </c>
      <c r="F367" s="1053" t="s">
        <v>522</v>
      </c>
    </row>
    <row r="368" spans="1:6" s="1198" customFormat="1" ht="51" x14ac:dyDescent="0.25">
      <c r="B368" s="2479"/>
      <c r="C368" s="1051"/>
      <c r="D368" s="1051" t="s">
        <v>4260</v>
      </c>
      <c r="E368" s="1052" t="s">
        <v>4274</v>
      </c>
      <c r="F368" s="1053" t="s">
        <v>522</v>
      </c>
    </row>
    <row r="369" spans="1:6" s="1198" customFormat="1" ht="51" x14ac:dyDescent="0.25">
      <c r="B369" s="2479"/>
      <c r="C369" s="1051"/>
      <c r="D369" s="1051" t="s">
        <v>4092</v>
      </c>
      <c r="E369" s="1052" t="s">
        <v>4093</v>
      </c>
      <c r="F369" s="1053" t="s">
        <v>522</v>
      </c>
    </row>
    <row r="370" spans="1:6" s="1198" customFormat="1" ht="15" x14ac:dyDescent="0.25">
      <c r="B370" s="2479"/>
      <c r="C370" s="1051"/>
      <c r="D370" s="1051" t="s">
        <v>4248</v>
      </c>
      <c r="E370" s="1052" t="s">
        <v>522</v>
      </c>
      <c r="F370" s="1053" t="s">
        <v>522</v>
      </c>
    </row>
    <row r="371" spans="1:6" s="1198" customFormat="1" ht="15" x14ac:dyDescent="0.25">
      <c r="B371" s="2479"/>
      <c r="C371" s="1051"/>
      <c r="D371" s="1051" t="s">
        <v>4094</v>
      </c>
      <c r="E371" s="1052" t="s">
        <v>522</v>
      </c>
      <c r="F371" s="1053" t="s">
        <v>522</v>
      </c>
    </row>
    <row r="372" spans="1:6" s="1198" customFormat="1" ht="25.5" x14ac:dyDescent="0.25">
      <c r="B372" s="2479"/>
      <c r="C372" s="1051"/>
      <c r="D372" s="1051" t="s">
        <v>4249</v>
      </c>
      <c r="E372" s="1052" t="s">
        <v>522</v>
      </c>
      <c r="F372" s="1053" t="s">
        <v>522</v>
      </c>
    </row>
    <row r="373" spans="1:6" s="1198" customFormat="1" ht="25.5" x14ac:dyDescent="0.25">
      <c r="B373" s="2479"/>
      <c r="C373" s="1051"/>
      <c r="D373" s="1051" t="s">
        <v>4250</v>
      </c>
      <c r="E373" s="1052" t="s">
        <v>522</v>
      </c>
      <c r="F373" s="1053" t="s">
        <v>522</v>
      </c>
    </row>
    <row r="374" spans="1:6" s="1198" customFormat="1" ht="25.5" x14ac:dyDescent="0.25">
      <c r="B374" s="2479"/>
      <c r="C374" s="1051"/>
      <c r="D374" s="1051" t="s">
        <v>4251</v>
      </c>
      <c r="E374" s="1052" t="s">
        <v>522</v>
      </c>
      <c r="F374" s="1053" t="s">
        <v>522</v>
      </c>
    </row>
    <row r="375" spans="1:6" s="1198" customFormat="1" ht="63.75" x14ac:dyDescent="0.25">
      <c r="B375" s="2479"/>
      <c r="C375" s="1051"/>
      <c r="D375" s="1051" t="s">
        <v>4252</v>
      </c>
      <c r="E375" s="1052" t="s">
        <v>522</v>
      </c>
      <c r="F375" s="1053" t="s">
        <v>522</v>
      </c>
    </row>
    <row r="376" spans="1:6" s="1198" customFormat="1" ht="15" x14ac:dyDescent="0.25">
      <c r="B376" s="2479"/>
      <c r="C376" s="1051"/>
      <c r="D376" s="1051" t="s">
        <v>4253</v>
      </c>
      <c r="E376" s="1052" t="s">
        <v>4085</v>
      </c>
      <c r="F376" s="1053" t="s">
        <v>4724</v>
      </c>
    </row>
    <row r="377" spans="1:6" s="1198" customFormat="1" ht="15" x14ac:dyDescent="0.25">
      <c r="B377" s="2480"/>
      <c r="C377" s="1024"/>
      <c r="D377" s="1024" t="s">
        <v>4075</v>
      </c>
      <c r="E377" s="1025" t="s">
        <v>4300</v>
      </c>
      <c r="F377" s="1026"/>
    </row>
    <row r="378" spans="1:6" s="1198" customFormat="1" ht="15" x14ac:dyDescent="0.25">
      <c r="A378" s="1018"/>
      <c r="B378" s="1050"/>
      <c r="C378" s="2468" t="s">
        <v>5046</v>
      </c>
      <c r="D378" s="2468"/>
      <c r="E378" s="2468"/>
      <c r="F378" s="2468"/>
    </row>
    <row r="379" spans="1:6" s="1198" customFormat="1" ht="38.25" x14ac:dyDescent="0.25">
      <c r="A379" s="1020"/>
      <c r="B379" s="2478" t="s">
        <v>660</v>
      </c>
      <c r="C379" s="1021" t="s">
        <v>5439</v>
      </c>
      <c r="D379" s="1021" t="s">
        <v>5440</v>
      </c>
      <c r="E379" s="1022" t="s">
        <v>5471</v>
      </c>
      <c r="F379" s="1023" t="s">
        <v>5472</v>
      </c>
    </row>
    <row r="380" spans="1:6" s="1198" customFormat="1" ht="15" x14ac:dyDescent="0.25">
      <c r="B380" s="2479"/>
      <c r="C380" s="1051"/>
      <c r="D380" s="1051" t="s">
        <v>4237</v>
      </c>
      <c r="E380" s="1052" t="s">
        <v>4297</v>
      </c>
      <c r="F380" s="1053" t="s">
        <v>522</v>
      </c>
    </row>
    <row r="381" spans="1:6" s="1198" customFormat="1" ht="15" x14ac:dyDescent="0.25">
      <c r="B381" s="2479"/>
      <c r="C381" s="1051"/>
      <c r="D381" s="1051" t="s">
        <v>4069</v>
      </c>
      <c r="E381" s="1052" t="s">
        <v>4238</v>
      </c>
      <c r="F381" s="1053" t="s">
        <v>522</v>
      </c>
    </row>
    <row r="382" spans="1:6" s="1198" customFormat="1" ht="51" x14ac:dyDescent="0.25">
      <c r="B382" s="2479"/>
      <c r="C382" s="1051"/>
      <c r="D382" s="1051" t="s">
        <v>4260</v>
      </c>
      <c r="E382" s="1052" t="s">
        <v>4261</v>
      </c>
      <c r="F382" s="1053" t="s">
        <v>522</v>
      </c>
    </row>
    <row r="383" spans="1:6" s="1198" customFormat="1" ht="51" x14ac:dyDescent="0.25">
      <c r="B383" s="2479"/>
      <c r="C383" s="1051"/>
      <c r="D383" s="1051" t="s">
        <v>4092</v>
      </c>
      <c r="E383" s="1052" t="s">
        <v>4093</v>
      </c>
      <c r="F383" s="1053" t="s">
        <v>522</v>
      </c>
    </row>
    <row r="384" spans="1:6" s="1198" customFormat="1" ht="25.5" x14ac:dyDescent="0.25">
      <c r="B384" s="2479"/>
      <c r="C384" s="1051"/>
      <c r="D384" s="1051" t="s">
        <v>4239</v>
      </c>
      <c r="E384" s="1052" t="s">
        <v>4090</v>
      </c>
      <c r="F384" s="1053" t="s">
        <v>5473</v>
      </c>
    </row>
    <row r="385" spans="1:6" s="1198" customFormat="1" ht="15" x14ac:dyDescent="0.25">
      <c r="B385" s="2479"/>
      <c r="C385" s="1051"/>
      <c r="D385" s="1051" t="s">
        <v>4240</v>
      </c>
      <c r="E385" s="1052" t="s">
        <v>4088</v>
      </c>
      <c r="F385" s="1053" t="s">
        <v>5474</v>
      </c>
    </row>
    <row r="386" spans="1:6" s="1198" customFormat="1" ht="25.5" x14ac:dyDescent="0.25">
      <c r="B386" s="2479"/>
      <c r="C386" s="1051"/>
      <c r="D386" s="1051" t="s">
        <v>4241</v>
      </c>
      <c r="E386" s="1052" t="s">
        <v>4298</v>
      </c>
      <c r="F386" s="1053" t="s">
        <v>5475</v>
      </c>
    </row>
    <row r="387" spans="1:6" s="1198" customFormat="1" ht="38.25" x14ac:dyDescent="0.25">
      <c r="B387" s="2479"/>
      <c r="C387" s="1051"/>
      <c r="D387" s="1051" t="s">
        <v>4242</v>
      </c>
      <c r="E387" s="1052" t="s">
        <v>4088</v>
      </c>
      <c r="F387" s="1053" t="s">
        <v>5474</v>
      </c>
    </row>
    <row r="388" spans="1:6" s="1198" customFormat="1" ht="38.25" x14ac:dyDescent="0.25">
      <c r="B388" s="2479"/>
      <c r="C388" s="1051"/>
      <c r="D388" s="1051" t="s">
        <v>4243</v>
      </c>
      <c r="E388" s="1052" t="s">
        <v>4079</v>
      </c>
      <c r="F388" s="1053" t="s">
        <v>5441</v>
      </c>
    </row>
    <row r="389" spans="1:6" s="1198" customFormat="1" ht="38.25" x14ac:dyDescent="0.25">
      <c r="B389" s="2479"/>
      <c r="C389" s="1051"/>
      <c r="D389" s="1051" t="s">
        <v>4244</v>
      </c>
      <c r="E389" s="1052" t="s">
        <v>4079</v>
      </c>
      <c r="F389" s="1053" t="s">
        <v>5441</v>
      </c>
    </row>
    <row r="390" spans="1:6" s="1198" customFormat="1" ht="38.25" x14ac:dyDescent="0.25">
      <c r="B390" s="2479"/>
      <c r="C390" s="1051"/>
      <c r="D390" s="1051" t="s">
        <v>4245</v>
      </c>
      <c r="E390" s="1052" t="s">
        <v>4085</v>
      </c>
      <c r="F390" s="1053" t="s">
        <v>5476</v>
      </c>
    </row>
    <row r="391" spans="1:6" s="1198" customFormat="1" ht="51" x14ac:dyDescent="0.25">
      <c r="B391" s="2479"/>
      <c r="C391" s="1051"/>
      <c r="D391" s="1051" t="s">
        <v>4246</v>
      </c>
      <c r="E391" s="1052" t="s">
        <v>4091</v>
      </c>
      <c r="F391" s="1053" t="s">
        <v>5477</v>
      </c>
    </row>
    <row r="392" spans="1:6" s="1198" customFormat="1" ht="38.25" x14ac:dyDescent="0.25">
      <c r="B392" s="2479"/>
      <c r="C392" s="1051"/>
      <c r="D392" s="1051" t="s">
        <v>4247</v>
      </c>
      <c r="E392" s="1052" t="s">
        <v>4089</v>
      </c>
      <c r="F392" s="1053" t="s">
        <v>5478</v>
      </c>
    </row>
    <row r="393" spans="1:6" s="1198" customFormat="1" ht="15" x14ac:dyDescent="0.25">
      <c r="B393" s="2480"/>
      <c r="C393" s="1024"/>
      <c r="D393" s="1024" t="s">
        <v>4075</v>
      </c>
      <c r="E393" s="1025" t="s">
        <v>4299</v>
      </c>
      <c r="F393" s="1026"/>
    </row>
    <row r="394" spans="1:6" s="1198" customFormat="1" ht="51" x14ac:dyDescent="0.25">
      <c r="A394" s="1020"/>
      <c r="B394" s="2478" t="s">
        <v>4500</v>
      </c>
      <c r="C394" s="1021" t="s">
        <v>5442</v>
      </c>
      <c r="D394" s="1021" t="s">
        <v>5440</v>
      </c>
      <c r="E394" s="1022" t="s">
        <v>5479</v>
      </c>
      <c r="F394" s="1023" t="s">
        <v>5480</v>
      </c>
    </row>
    <row r="395" spans="1:6" s="1198" customFormat="1" ht="15" x14ac:dyDescent="0.25">
      <c r="B395" s="2479"/>
      <c r="C395" s="1051"/>
      <c r="D395" s="1051" t="s">
        <v>4237</v>
      </c>
      <c r="E395" s="1052" t="s">
        <v>4297</v>
      </c>
      <c r="F395" s="1053" t="s">
        <v>522</v>
      </c>
    </row>
    <row r="396" spans="1:6" s="1198" customFormat="1" ht="51" x14ac:dyDescent="0.25">
      <c r="B396" s="2479"/>
      <c r="C396" s="1051"/>
      <c r="D396" s="1051" t="s">
        <v>4260</v>
      </c>
      <c r="E396" s="1052" t="s">
        <v>4261</v>
      </c>
      <c r="F396" s="1053" t="s">
        <v>522</v>
      </c>
    </row>
    <row r="397" spans="1:6" s="1198" customFormat="1" ht="51" x14ac:dyDescent="0.25">
      <c r="B397" s="2479"/>
      <c r="C397" s="1051"/>
      <c r="D397" s="1051" t="s">
        <v>4092</v>
      </c>
      <c r="E397" s="1052" t="s">
        <v>4093</v>
      </c>
      <c r="F397" s="1053" t="s">
        <v>522</v>
      </c>
    </row>
    <row r="398" spans="1:6" s="1198" customFormat="1" ht="15" x14ac:dyDescent="0.25">
      <c r="B398" s="2479"/>
      <c r="C398" s="1051"/>
      <c r="D398" s="1051" t="s">
        <v>4248</v>
      </c>
      <c r="E398" s="1052" t="s">
        <v>522</v>
      </c>
      <c r="F398" s="1053" t="s">
        <v>522</v>
      </c>
    </row>
    <row r="399" spans="1:6" s="1198" customFormat="1" ht="15" x14ac:dyDescent="0.25">
      <c r="B399" s="2479"/>
      <c r="C399" s="1051"/>
      <c r="D399" s="1051" t="s">
        <v>4094</v>
      </c>
      <c r="E399" s="1052" t="s">
        <v>522</v>
      </c>
      <c r="F399" s="1053" t="s">
        <v>522</v>
      </c>
    </row>
    <row r="400" spans="1:6" s="1198" customFormat="1" ht="25.5" x14ac:dyDescent="0.25">
      <c r="B400" s="2479"/>
      <c r="C400" s="1051"/>
      <c r="D400" s="1051" t="s">
        <v>4249</v>
      </c>
      <c r="E400" s="1052" t="s">
        <v>522</v>
      </c>
      <c r="F400" s="1053" t="s">
        <v>522</v>
      </c>
    </row>
    <row r="401" spans="1:6" s="1198" customFormat="1" ht="25.5" x14ac:dyDescent="0.25">
      <c r="B401" s="2479"/>
      <c r="C401" s="1051"/>
      <c r="D401" s="1051" t="s">
        <v>4250</v>
      </c>
      <c r="E401" s="1052" t="s">
        <v>522</v>
      </c>
      <c r="F401" s="1053" t="s">
        <v>522</v>
      </c>
    </row>
    <row r="402" spans="1:6" s="1198" customFormat="1" ht="25.5" x14ac:dyDescent="0.25">
      <c r="B402" s="2479"/>
      <c r="C402" s="1051"/>
      <c r="D402" s="1051" t="s">
        <v>4251</v>
      </c>
      <c r="E402" s="1052" t="s">
        <v>522</v>
      </c>
      <c r="F402" s="1053" t="s">
        <v>522</v>
      </c>
    </row>
    <row r="403" spans="1:6" s="1198" customFormat="1" ht="63.75" x14ac:dyDescent="0.25">
      <c r="B403" s="2479"/>
      <c r="C403" s="1051"/>
      <c r="D403" s="1051" t="s">
        <v>4252</v>
      </c>
      <c r="E403" s="1052" t="s">
        <v>522</v>
      </c>
      <c r="F403" s="1053" t="s">
        <v>522</v>
      </c>
    </row>
    <row r="404" spans="1:6" s="1198" customFormat="1" ht="15" x14ac:dyDescent="0.25">
      <c r="B404" s="2479"/>
      <c r="C404" s="1051"/>
      <c r="D404" s="1051" t="s">
        <v>4253</v>
      </c>
      <c r="E404" s="1052" t="s">
        <v>4085</v>
      </c>
      <c r="F404" s="1053" t="s">
        <v>5481</v>
      </c>
    </row>
    <row r="405" spans="1:6" s="1198" customFormat="1" ht="15" x14ac:dyDescent="0.25">
      <c r="B405" s="2480"/>
      <c r="C405" s="1024"/>
      <c r="D405" s="1024" t="s">
        <v>4075</v>
      </c>
      <c r="E405" s="1025" t="s">
        <v>4300</v>
      </c>
      <c r="F405" s="1026"/>
    </row>
    <row r="406" spans="1:6" s="1198" customFormat="1" ht="76.5" x14ac:dyDescent="0.25">
      <c r="A406" s="1020"/>
      <c r="B406" s="2478" t="s">
        <v>915</v>
      </c>
      <c r="C406" s="1021" t="s">
        <v>5443</v>
      </c>
      <c r="D406" s="1021" t="s">
        <v>5444</v>
      </c>
      <c r="E406" s="1022" t="s">
        <v>5482</v>
      </c>
      <c r="F406" s="1023" t="s">
        <v>5483</v>
      </c>
    </row>
    <row r="407" spans="1:6" s="1198" customFormat="1" ht="25.5" x14ac:dyDescent="0.25">
      <c r="B407" s="2479"/>
      <c r="C407" s="1051"/>
      <c r="D407" s="1051" t="s">
        <v>5445</v>
      </c>
      <c r="E407" s="1052" t="s">
        <v>5446</v>
      </c>
      <c r="F407" s="1053" t="s">
        <v>522</v>
      </c>
    </row>
    <row r="408" spans="1:6" s="1198" customFormat="1" ht="38.25" x14ac:dyDescent="0.25">
      <c r="B408" s="2479"/>
      <c r="C408" s="1051"/>
      <c r="D408" s="1051" t="s">
        <v>5447</v>
      </c>
      <c r="E408" s="1052" t="s">
        <v>5448</v>
      </c>
      <c r="F408" s="1053" t="s">
        <v>522</v>
      </c>
    </row>
    <row r="409" spans="1:6" s="1198" customFormat="1" ht="38.25" x14ac:dyDescent="0.25">
      <c r="B409" s="2479"/>
      <c r="C409" s="1051"/>
      <c r="D409" s="1051" t="s">
        <v>4395</v>
      </c>
      <c r="E409" s="1052" t="s">
        <v>4400</v>
      </c>
      <c r="F409" s="1053" t="s">
        <v>522</v>
      </c>
    </row>
    <row r="410" spans="1:6" s="1198" customFormat="1" ht="15" x14ac:dyDescent="0.25">
      <c r="B410" s="2479"/>
      <c r="C410" s="1051"/>
      <c r="D410" s="1051" t="s">
        <v>4070</v>
      </c>
      <c r="E410" s="1052" t="s">
        <v>4106</v>
      </c>
      <c r="F410" s="1053" t="s">
        <v>522</v>
      </c>
    </row>
    <row r="411" spans="1:6" s="1198" customFormat="1" ht="51" x14ac:dyDescent="0.25">
      <c r="B411" s="2479"/>
      <c r="C411" s="1051"/>
      <c r="D411" s="1051" t="s">
        <v>4071</v>
      </c>
      <c r="E411" s="1052" t="s">
        <v>4072</v>
      </c>
      <c r="F411" s="1053" t="s">
        <v>522</v>
      </c>
    </row>
    <row r="412" spans="1:6" s="1198" customFormat="1" ht="15" x14ac:dyDescent="0.25">
      <c r="B412" s="2479"/>
      <c r="C412" s="1051"/>
      <c r="D412" s="1051" t="s">
        <v>4262</v>
      </c>
      <c r="E412" s="1052" t="s">
        <v>522</v>
      </c>
      <c r="F412" s="1053" t="s">
        <v>522</v>
      </c>
    </row>
    <row r="413" spans="1:6" s="1198" customFormat="1" ht="15" x14ac:dyDescent="0.25">
      <c r="B413" s="2479"/>
      <c r="C413" s="1051"/>
      <c r="D413" s="1051" t="s">
        <v>4073</v>
      </c>
      <c r="E413" s="1052" t="s">
        <v>5484</v>
      </c>
      <c r="F413" s="1053" t="s">
        <v>5485</v>
      </c>
    </row>
    <row r="414" spans="1:6" s="1198" customFormat="1" ht="15" x14ac:dyDescent="0.25">
      <c r="B414" s="2479"/>
      <c r="C414" s="1051"/>
      <c r="D414" s="1051" t="s">
        <v>4290</v>
      </c>
      <c r="E414" s="1052" t="s">
        <v>4089</v>
      </c>
      <c r="F414" s="1053" t="s">
        <v>5486</v>
      </c>
    </row>
    <row r="415" spans="1:6" s="1198" customFormat="1" ht="15" x14ac:dyDescent="0.25">
      <c r="B415" s="2480"/>
      <c r="C415" s="1024"/>
      <c r="D415" s="1024" t="s">
        <v>4075</v>
      </c>
      <c r="E415" s="1025" t="s">
        <v>5487</v>
      </c>
      <c r="F415" s="1026"/>
    </row>
    <row r="416" spans="1:6" s="1198" customFormat="1" ht="76.5" x14ac:dyDescent="0.25">
      <c r="A416" s="1020"/>
      <c r="B416" s="2478" t="s">
        <v>4507</v>
      </c>
      <c r="C416" s="1021" t="s">
        <v>5449</v>
      </c>
      <c r="D416" s="1021" t="s">
        <v>5444</v>
      </c>
      <c r="E416" s="1022" t="s">
        <v>5488</v>
      </c>
      <c r="F416" s="1023" t="s">
        <v>5489</v>
      </c>
    </row>
    <row r="417" spans="1:6" s="1198" customFormat="1" ht="25.5" x14ac:dyDescent="0.25">
      <c r="B417" s="2479"/>
      <c r="C417" s="1051"/>
      <c r="D417" s="1051" t="s">
        <v>5445</v>
      </c>
      <c r="E417" s="1052" t="s">
        <v>5446</v>
      </c>
      <c r="F417" s="1053" t="s">
        <v>522</v>
      </c>
    </row>
    <row r="418" spans="1:6" s="1198" customFormat="1" ht="38.25" x14ac:dyDescent="0.25">
      <c r="B418" s="2479"/>
      <c r="C418" s="1051"/>
      <c r="D418" s="1051" t="s">
        <v>5447</v>
      </c>
      <c r="E418" s="1052" t="s">
        <v>5448</v>
      </c>
      <c r="F418" s="1053" t="s">
        <v>522</v>
      </c>
    </row>
    <row r="419" spans="1:6" s="1198" customFormat="1" ht="15" x14ac:dyDescent="0.25">
      <c r="B419" s="2479"/>
      <c r="C419" s="1051"/>
      <c r="D419" s="1051" t="s">
        <v>4070</v>
      </c>
      <c r="E419" s="1052" t="s">
        <v>4106</v>
      </c>
      <c r="F419" s="1053" t="s">
        <v>522</v>
      </c>
    </row>
    <row r="420" spans="1:6" s="1198" customFormat="1" ht="51" x14ac:dyDescent="0.25">
      <c r="B420" s="2479"/>
      <c r="C420" s="1051"/>
      <c r="D420" s="1051" t="s">
        <v>4071</v>
      </c>
      <c r="E420" s="1052" t="s">
        <v>4072</v>
      </c>
      <c r="F420" s="1053" t="s">
        <v>522</v>
      </c>
    </row>
    <row r="421" spans="1:6" s="1198" customFormat="1" ht="15" x14ac:dyDescent="0.25">
      <c r="B421" s="2479"/>
      <c r="C421" s="1051"/>
      <c r="D421" s="1051" t="s">
        <v>4076</v>
      </c>
      <c r="E421" s="1052" t="s">
        <v>522</v>
      </c>
      <c r="F421" s="1053" t="s">
        <v>522</v>
      </c>
    </row>
    <row r="422" spans="1:6" s="1198" customFormat="1" ht="15" x14ac:dyDescent="0.25">
      <c r="B422" s="2479"/>
      <c r="C422" s="1051"/>
      <c r="D422" s="1051" t="s">
        <v>4078</v>
      </c>
      <c r="E422" s="1052" t="s">
        <v>522</v>
      </c>
      <c r="F422" s="1053" t="s">
        <v>522</v>
      </c>
    </row>
    <row r="423" spans="1:6" s="1198" customFormat="1" ht="15" x14ac:dyDescent="0.25">
      <c r="B423" s="2479"/>
      <c r="C423" s="1051"/>
      <c r="D423" s="1051" t="s">
        <v>4084</v>
      </c>
      <c r="E423" s="1052" t="s">
        <v>4293</v>
      </c>
      <c r="F423" s="1053" t="s">
        <v>5490</v>
      </c>
    </row>
    <row r="424" spans="1:6" s="1198" customFormat="1" ht="15" x14ac:dyDescent="0.25">
      <c r="B424" s="2480"/>
      <c r="C424" s="1024"/>
      <c r="D424" s="1024" t="s">
        <v>4075</v>
      </c>
      <c r="E424" s="1025" t="s">
        <v>5491</v>
      </c>
      <c r="F424" s="1026"/>
    </row>
    <row r="425" spans="1:6" s="1198" customFormat="1" ht="76.5" x14ac:dyDescent="0.25">
      <c r="A425" s="1020"/>
      <c r="B425" s="2478" t="s">
        <v>916</v>
      </c>
      <c r="C425" s="1021" t="s">
        <v>5450</v>
      </c>
      <c r="D425" s="1021" t="s">
        <v>5451</v>
      </c>
      <c r="E425" s="1022" t="s">
        <v>5492</v>
      </c>
      <c r="F425" s="1023" t="s">
        <v>5493</v>
      </c>
    </row>
    <row r="426" spans="1:6" s="1198" customFormat="1" ht="38.25" x14ac:dyDescent="0.25">
      <c r="B426" s="2479"/>
      <c r="C426" s="1051"/>
      <c r="D426" s="1051" t="s">
        <v>4395</v>
      </c>
      <c r="E426" s="1052" t="s">
        <v>4469</v>
      </c>
      <c r="F426" s="1053" t="s">
        <v>522</v>
      </c>
    </row>
    <row r="427" spans="1:6" s="1198" customFormat="1" ht="15" x14ac:dyDescent="0.25">
      <c r="B427" s="2479"/>
      <c r="C427" s="1051"/>
      <c r="D427" s="1051" t="s">
        <v>4070</v>
      </c>
      <c r="E427" s="1052" t="s">
        <v>4106</v>
      </c>
      <c r="F427" s="1053" t="s">
        <v>522</v>
      </c>
    </row>
    <row r="428" spans="1:6" s="1198" customFormat="1" ht="51" x14ac:dyDescent="0.25">
      <c r="B428" s="2479"/>
      <c r="C428" s="1051"/>
      <c r="D428" s="1051" t="s">
        <v>4071</v>
      </c>
      <c r="E428" s="1052" t="s">
        <v>4072</v>
      </c>
      <c r="F428" s="1053" t="s">
        <v>522</v>
      </c>
    </row>
    <row r="429" spans="1:6" s="1198" customFormat="1" ht="15" x14ac:dyDescent="0.25">
      <c r="B429" s="2479"/>
      <c r="C429" s="1051"/>
      <c r="D429" s="1051" t="s">
        <v>4262</v>
      </c>
      <c r="E429" s="1052" t="s">
        <v>522</v>
      </c>
      <c r="F429" s="1053" t="s">
        <v>522</v>
      </c>
    </row>
    <row r="430" spans="1:6" s="1198" customFormat="1" ht="15" x14ac:dyDescent="0.25">
      <c r="B430" s="2479"/>
      <c r="C430" s="1051"/>
      <c r="D430" s="1051" t="s">
        <v>4073</v>
      </c>
      <c r="E430" s="1052" t="s">
        <v>5484</v>
      </c>
      <c r="F430" s="1053" t="s">
        <v>5494</v>
      </c>
    </row>
    <row r="431" spans="1:6" s="1198" customFormat="1" ht="15" x14ac:dyDescent="0.25">
      <c r="B431" s="2479"/>
      <c r="C431" s="1051"/>
      <c r="D431" s="1051" t="s">
        <v>4290</v>
      </c>
      <c r="E431" s="1052" t="s">
        <v>4089</v>
      </c>
      <c r="F431" s="1053" t="s">
        <v>5495</v>
      </c>
    </row>
    <row r="432" spans="1:6" s="1198" customFormat="1" ht="15" x14ac:dyDescent="0.25">
      <c r="B432" s="2480"/>
      <c r="C432" s="1024"/>
      <c r="D432" s="1024" t="s">
        <v>4075</v>
      </c>
      <c r="E432" s="1025" t="s">
        <v>5487</v>
      </c>
      <c r="F432" s="1026"/>
    </row>
    <row r="433" spans="1:6" s="1198" customFormat="1" ht="76.5" x14ac:dyDescent="0.25">
      <c r="A433" s="1020"/>
      <c r="B433" s="2478" t="s">
        <v>4522</v>
      </c>
      <c r="C433" s="1021" t="s">
        <v>5452</v>
      </c>
      <c r="D433" s="1021" t="s">
        <v>5451</v>
      </c>
      <c r="E433" s="1022" t="s">
        <v>5496</v>
      </c>
      <c r="F433" s="1023" t="s">
        <v>5497</v>
      </c>
    </row>
    <row r="434" spans="1:6" s="1198" customFormat="1" ht="15" x14ac:dyDescent="0.25">
      <c r="B434" s="2479"/>
      <c r="C434" s="1051"/>
      <c r="D434" s="1051" t="s">
        <v>4070</v>
      </c>
      <c r="E434" s="1052" t="s">
        <v>4106</v>
      </c>
      <c r="F434" s="1053" t="s">
        <v>522</v>
      </c>
    </row>
    <row r="435" spans="1:6" s="1198" customFormat="1" ht="51" x14ac:dyDescent="0.25">
      <c r="B435" s="2479"/>
      <c r="C435" s="1051"/>
      <c r="D435" s="1051" t="s">
        <v>4071</v>
      </c>
      <c r="E435" s="1052" t="s">
        <v>4072</v>
      </c>
      <c r="F435" s="1053" t="s">
        <v>522</v>
      </c>
    </row>
    <row r="436" spans="1:6" s="1198" customFormat="1" ht="15" x14ac:dyDescent="0.25">
      <c r="B436" s="2479"/>
      <c r="C436" s="1051"/>
      <c r="D436" s="1051" t="s">
        <v>4076</v>
      </c>
      <c r="E436" s="1052" t="s">
        <v>522</v>
      </c>
      <c r="F436" s="1053" t="s">
        <v>522</v>
      </c>
    </row>
    <row r="437" spans="1:6" s="1198" customFormat="1" ht="15" x14ac:dyDescent="0.25">
      <c r="B437" s="2479"/>
      <c r="C437" s="1051"/>
      <c r="D437" s="1051" t="s">
        <v>4078</v>
      </c>
      <c r="E437" s="1052" t="s">
        <v>522</v>
      </c>
      <c r="F437" s="1053" t="s">
        <v>522</v>
      </c>
    </row>
    <row r="438" spans="1:6" s="1198" customFormat="1" ht="15" x14ac:dyDescent="0.25">
      <c r="B438" s="2479"/>
      <c r="C438" s="1051"/>
      <c r="D438" s="1051" t="s">
        <v>4084</v>
      </c>
      <c r="E438" s="1052" t="s">
        <v>4293</v>
      </c>
      <c r="F438" s="1053" t="s">
        <v>5498</v>
      </c>
    </row>
    <row r="439" spans="1:6" s="1198" customFormat="1" ht="15" x14ac:dyDescent="0.25">
      <c r="B439" s="2480"/>
      <c r="C439" s="1024"/>
      <c r="D439" s="1024" t="s">
        <v>4075</v>
      </c>
      <c r="E439" s="1025" t="s">
        <v>5491</v>
      </c>
      <c r="F439" s="1026"/>
    </row>
    <row r="440" spans="1:6" s="1198" customFormat="1" ht="15" x14ac:dyDescent="0.25">
      <c r="A440" s="1018"/>
      <c r="B440" s="1050"/>
      <c r="C440" s="2468" t="s">
        <v>5453</v>
      </c>
      <c r="D440" s="2468"/>
      <c r="E440" s="2468"/>
      <c r="F440" s="2468"/>
    </row>
    <row r="441" spans="1:6" s="1198" customFormat="1" ht="51" x14ac:dyDescent="0.25">
      <c r="A441" s="1020"/>
      <c r="B441" s="2478" t="s">
        <v>917</v>
      </c>
      <c r="C441" s="1021" t="s">
        <v>5454</v>
      </c>
      <c r="D441" s="1021" t="s">
        <v>5455</v>
      </c>
      <c r="E441" s="1022" t="s">
        <v>5499</v>
      </c>
      <c r="F441" s="1023" t="s">
        <v>5500</v>
      </c>
    </row>
    <row r="442" spans="1:6" s="1198" customFormat="1" ht="15" x14ac:dyDescent="0.25">
      <c r="B442" s="2479"/>
      <c r="C442" s="1051"/>
      <c r="D442" s="1051" t="s">
        <v>5456</v>
      </c>
      <c r="E442" s="1052" t="s">
        <v>5457</v>
      </c>
      <c r="F442" s="1053" t="s">
        <v>522</v>
      </c>
    </row>
    <row r="443" spans="1:6" s="1198" customFormat="1" ht="15" x14ac:dyDescent="0.25">
      <c r="B443" s="2479"/>
      <c r="C443" s="1051"/>
      <c r="D443" s="1051" t="s">
        <v>4069</v>
      </c>
      <c r="E443" s="1052" t="s">
        <v>4103</v>
      </c>
      <c r="F443" s="1053" t="s">
        <v>522</v>
      </c>
    </row>
    <row r="444" spans="1:6" s="1198" customFormat="1" ht="15" x14ac:dyDescent="0.25">
      <c r="B444" s="2479"/>
      <c r="C444" s="1051"/>
      <c r="D444" s="1051" t="s">
        <v>4070</v>
      </c>
      <c r="E444" s="1052" t="s">
        <v>4106</v>
      </c>
      <c r="F444" s="1053" t="s">
        <v>522</v>
      </c>
    </row>
    <row r="445" spans="1:6" s="1198" customFormat="1" ht="51" x14ac:dyDescent="0.25">
      <c r="B445" s="2479"/>
      <c r="C445" s="1051"/>
      <c r="D445" s="1051" t="s">
        <v>4092</v>
      </c>
      <c r="E445" s="1052" t="s">
        <v>4093</v>
      </c>
      <c r="F445" s="1053" t="s">
        <v>522</v>
      </c>
    </row>
    <row r="446" spans="1:6" s="1198" customFormat="1" ht="51" x14ac:dyDescent="0.25">
      <c r="B446" s="2479"/>
      <c r="C446" s="1051"/>
      <c r="D446" s="1051" t="s">
        <v>4585</v>
      </c>
      <c r="E446" s="1052" t="s">
        <v>5194</v>
      </c>
      <c r="F446" s="1053" t="s">
        <v>5501</v>
      </c>
    </row>
    <row r="447" spans="1:6" s="1198" customFormat="1" ht="51" x14ac:dyDescent="0.25">
      <c r="B447" s="2479"/>
      <c r="C447" s="1051"/>
      <c r="D447" s="1051" t="s">
        <v>5458</v>
      </c>
      <c r="E447" s="1052" t="s">
        <v>5502</v>
      </c>
      <c r="F447" s="1053" t="s">
        <v>5503</v>
      </c>
    </row>
    <row r="448" spans="1:6" s="1198" customFormat="1" ht="15" x14ac:dyDescent="0.25">
      <c r="B448" s="2480"/>
      <c r="C448" s="1024"/>
      <c r="D448" s="1024" t="s">
        <v>4075</v>
      </c>
      <c r="E448" s="1025" t="s">
        <v>5504</v>
      </c>
      <c r="F448" s="1026"/>
    </row>
    <row r="449" spans="1:6" s="1198" customFormat="1" ht="51" x14ac:dyDescent="0.25">
      <c r="A449" s="1020"/>
      <c r="B449" s="2478" t="s">
        <v>4530</v>
      </c>
      <c r="C449" s="1021" t="s">
        <v>5459</v>
      </c>
      <c r="D449" s="1021" t="s">
        <v>5455</v>
      </c>
      <c r="E449" s="1022" t="s">
        <v>5505</v>
      </c>
      <c r="F449" s="1023" t="s">
        <v>5506</v>
      </c>
    </row>
    <row r="450" spans="1:6" s="1198" customFormat="1" ht="15" x14ac:dyDescent="0.25">
      <c r="B450" s="2479"/>
      <c r="C450" s="1051"/>
      <c r="D450" s="1051" t="s">
        <v>5456</v>
      </c>
      <c r="E450" s="1052" t="s">
        <v>5457</v>
      </c>
      <c r="F450" s="1053" t="s">
        <v>522</v>
      </c>
    </row>
    <row r="451" spans="1:6" s="1198" customFormat="1" ht="15" x14ac:dyDescent="0.25">
      <c r="B451" s="2479"/>
      <c r="C451" s="1051"/>
      <c r="D451" s="1051" t="s">
        <v>4070</v>
      </c>
      <c r="E451" s="1052" t="s">
        <v>4106</v>
      </c>
      <c r="F451" s="1053" t="s">
        <v>522</v>
      </c>
    </row>
    <row r="452" spans="1:6" s="1198" customFormat="1" ht="51" x14ac:dyDescent="0.25">
      <c r="B452" s="2479"/>
      <c r="C452" s="1051"/>
      <c r="D452" s="1051" t="s">
        <v>4092</v>
      </c>
      <c r="E452" s="1052" t="s">
        <v>4093</v>
      </c>
      <c r="F452" s="1053" t="s">
        <v>522</v>
      </c>
    </row>
    <row r="453" spans="1:6" s="1198" customFormat="1" ht="15" x14ac:dyDescent="0.25">
      <c r="B453" s="2479"/>
      <c r="C453" s="1051"/>
      <c r="D453" s="1051" t="s">
        <v>4248</v>
      </c>
      <c r="E453" s="1052" t="s">
        <v>522</v>
      </c>
      <c r="F453" s="1053" t="s">
        <v>522</v>
      </c>
    </row>
    <row r="454" spans="1:6" s="1198" customFormat="1" ht="15" x14ac:dyDescent="0.25">
      <c r="B454" s="2479"/>
      <c r="C454" s="1051"/>
      <c r="D454" s="1051" t="s">
        <v>5460</v>
      </c>
      <c r="E454" s="1052" t="s">
        <v>522</v>
      </c>
      <c r="F454" s="1053" t="s">
        <v>522</v>
      </c>
    </row>
    <row r="455" spans="1:6" s="1198" customFormat="1" ht="15" x14ac:dyDescent="0.25">
      <c r="B455" s="2479"/>
      <c r="C455" s="1051"/>
      <c r="D455" s="1051" t="s">
        <v>4094</v>
      </c>
      <c r="E455" s="1052" t="s">
        <v>522</v>
      </c>
      <c r="F455" s="1053" t="s">
        <v>522</v>
      </c>
    </row>
    <row r="456" spans="1:6" s="1198" customFormat="1" ht="15" x14ac:dyDescent="0.25">
      <c r="B456" s="2479"/>
      <c r="C456" s="1051"/>
      <c r="D456" s="1051" t="s">
        <v>5461</v>
      </c>
      <c r="E456" s="1052" t="s">
        <v>522</v>
      </c>
      <c r="F456" s="1053" t="s">
        <v>522</v>
      </c>
    </row>
    <row r="457" spans="1:6" s="1198" customFormat="1" ht="25.5" x14ac:dyDescent="0.25">
      <c r="B457" s="2479"/>
      <c r="C457" s="1051"/>
      <c r="D457" s="1051" t="s">
        <v>4250</v>
      </c>
      <c r="E457" s="1052" t="s">
        <v>522</v>
      </c>
      <c r="F457" s="1053" t="s">
        <v>522</v>
      </c>
    </row>
    <row r="458" spans="1:6" s="1198" customFormat="1" ht="15" x14ac:dyDescent="0.25">
      <c r="B458" s="2479"/>
      <c r="C458" s="1051"/>
      <c r="D458" s="1051" t="s">
        <v>4253</v>
      </c>
      <c r="E458" s="1052" t="s">
        <v>4088</v>
      </c>
      <c r="F458" s="1053" t="s">
        <v>5507</v>
      </c>
    </row>
    <row r="459" spans="1:6" s="1198" customFormat="1" ht="15" x14ac:dyDescent="0.25">
      <c r="B459" s="2480"/>
      <c r="C459" s="1024"/>
      <c r="D459" s="1024" t="s">
        <v>4075</v>
      </c>
      <c r="E459" s="1025" t="s">
        <v>5508</v>
      </c>
      <c r="F459" s="1026"/>
    </row>
    <row r="460" spans="1:6" s="1198" customFormat="1" ht="15" x14ac:dyDescent="0.25">
      <c r="A460" s="1018"/>
      <c r="B460" s="1050"/>
      <c r="C460" s="2468" t="s">
        <v>4497</v>
      </c>
      <c r="D460" s="2468"/>
      <c r="E460" s="2468"/>
      <c r="F460" s="2468"/>
    </row>
    <row r="461" spans="1:6" s="1198" customFormat="1" ht="38.25" x14ac:dyDescent="0.25">
      <c r="A461" s="1020"/>
      <c r="B461" s="2478" t="s">
        <v>918</v>
      </c>
      <c r="C461" s="1021" t="s">
        <v>4498</v>
      </c>
      <c r="D461" s="1021" t="s">
        <v>4259</v>
      </c>
      <c r="E461" s="1022" t="s">
        <v>4725</v>
      </c>
      <c r="F461" s="1023" t="s">
        <v>4726</v>
      </c>
    </row>
    <row r="462" spans="1:6" s="1198" customFormat="1" ht="15" x14ac:dyDescent="0.25">
      <c r="B462" s="2479"/>
      <c r="C462" s="1051"/>
      <c r="D462" s="1051" t="s">
        <v>4237</v>
      </c>
      <c r="E462" s="1052" t="s">
        <v>4297</v>
      </c>
      <c r="F462" s="1053" t="s">
        <v>522</v>
      </c>
    </row>
    <row r="463" spans="1:6" s="1198" customFormat="1" ht="15" x14ac:dyDescent="0.25">
      <c r="B463" s="2479"/>
      <c r="C463" s="1051"/>
      <c r="D463" s="1051" t="s">
        <v>4069</v>
      </c>
      <c r="E463" s="1052" t="s">
        <v>4238</v>
      </c>
      <c r="F463" s="1053" t="s">
        <v>522</v>
      </c>
    </row>
    <row r="464" spans="1:6" s="1198" customFormat="1" ht="51" x14ac:dyDescent="0.25">
      <c r="B464" s="2479"/>
      <c r="C464" s="1051"/>
      <c r="D464" s="1051" t="s">
        <v>4260</v>
      </c>
      <c r="E464" s="1052" t="s">
        <v>4261</v>
      </c>
      <c r="F464" s="1053" t="s">
        <v>522</v>
      </c>
    </row>
    <row r="465" spans="1:6" s="1198" customFormat="1" ht="51" x14ac:dyDescent="0.25">
      <c r="B465" s="2479"/>
      <c r="C465" s="1051"/>
      <c r="D465" s="1051" t="s">
        <v>4092</v>
      </c>
      <c r="E465" s="1052" t="s">
        <v>4093</v>
      </c>
      <c r="F465" s="1053" t="s">
        <v>522</v>
      </c>
    </row>
    <row r="466" spans="1:6" s="1198" customFormat="1" ht="25.5" x14ac:dyDescent="0.25">
      <c r="B466" s="2479"/>
      <c r="C466" s="1051"/>
      <c r="D466" s="1051" t="s">
        <v>4239</v>
      </c>
      <c r="E466" s="1052" t="s">
        <v>4090</v>
      </c>
      <c r="F466" s="1053" t="s">
        <v>4727</v>
      </c>
    </row>
    <row r="467" spans="1:6" s="1198" customFormat="1" ht="15" x14ac:dyDescent="0.25">
      <c r="B467" s="2479"/>
      <c r="C467" s="1051"/>
      <c r="D467" s="1051" t="s">
        <v>4240</v>
      </c>
      <c r="E467" s="1052" t="s">
        <v>4088</v>
      </c>
      <c r="F467" s="1053" t="s">
        <v>4728</v>
      </c>
    </row>
    <row r="468" spans="1:6" s="1198" customFormat="1" ht="25.5" x14ac:dyDescent="0.25">
      <c r="B468" s="2479"/>
      <c r="C468" s="1051"/>
      <c r="D468" s="1051" t="s">
        <v>4241</v>
      </c>
      <c r="E468" s="1052" t="s">
        <v>4298</v>
      </c>
      <c r="F468" s="1053" t="s">
        <v>4729</v>
      </c>
    </row>
    <row r="469" spans="1:6" s="1198" customFormat="1" ht="38.25" x14ac:dyDescent="0.25">
      <c r="B469" s="2479"/>
      <c r="C469" s="1051"/>
      <c r="D469" s="1051" t="s">
        <v>4242</v>
      </c>
      <c r="E469" s="1052" t="s">
        <v>4088</v>
      </c>
      <c r="F469" s="1053" t="s">
        <v>4728</v>
      </c>
    </row>
    <row r="470" spans="1:6" s="1198" customFormat="1" ht="38.25" x14ac:dyDescent="0.25">
      <c r="B470" s="2479"/>
      <c r="C470" s="1051"/>
      <c r="D470" s="1051" t="s">
        <v>4243</v>
      </c>
      <c r="E470" s="1052" t="s">
        <v>4079</v>
      </c>
      <c r="F470" s="1053" t="s">
        <v>4499</v>
      </c>
    </row>
    <row r="471" spans="1:6" s="1198" customFormat="1" ht="38.25" x14ac:dyDescent="0.25">
      <c r="B471" s="2479"/>
      <c r="C471" s="1051"/>
      <c r="D471" s="1051" t="s">
        <v>4244</v>
      </c>
      <c r="E471" s="1052" t="s">
        <v>4079</v>
      </c>
      <c r="F471" s="1053" t="s">
        <v>4499</v>
      </c>
    </row>
    <row r="472" spans="1:6" s="1198" customFormat="1" ht="38.25" x14ac:dyDescent="0.25">
      <c r="B472" s="2479"/>
      <c r="C472" s="1051"/>
      <c r="D472" s="1051" t="s">
        <v>4245</v>
      </c>
      <c r="E472" s="1052" t="s">
        <v>4085</v>
      </c>
      <c r="F472" s="1053" t="s">
        <v>4730</v>
      </c>
    </row>
    <row r="473" spans="1:6" s="1198" customFormat="1" ht="51" x14ac:dyDescent="0.25">
      <c r="B473" s="2479"/>
      <c r="C473" s="1051"/>
      <c r="D473" s="1051" t="s">
        <v>4246</v>
      </c>
      <c r="E473" s="1052" t="s">
        <v>4091</v>
      </c>
      <c r="F473" s="1053" t="s">
        <v>4731</v>
      </c>
    </row>
    <row r="474" spans="1:6" s="1198" customFormat="1" ht="38.25" x14ac:dyDescent="0.25">
      <c r="B474" s="2479"/>
      <c r="C474" s="1051"/>
      <c r="D474" s="1051" t="s">
        <v>4247</v>
      </c>
      <c r="E474" s="1052" t="s">
        <v>4089</v>
      </c>
      <c r="F474" s="1053" t="s">
        <v>4732</v>
      </c>
    </row>
    <row r="475" spans="1:6" s="1198" customFormat="1" ht="15" x14ac:dyDescent="0.25">
      <c r="B475" s="2480"/>
      <c r="C475" s="1024"/>
      <c r="D475" s="1024" t="s">
        <v>4075</v>
      </c>
      <c r="E475" s="1025" t="s">
        <v>4299</v>
      </c>
      <c r="F475" s="1026"/>
    </row>
    <row r="476" spans="1:6" s="1198" customFormat="1" ht="38.25" x14ac:dyDescent="0.25">
      <c r="A476" s="1020"/>
      <c r="B476" s="2478" t="s">
        <v>4537</v>
      </c>
      <c r="C476" s="1021" t="s">
        <v>4501</v>
      </c>
      <c r="D476" s="1021" t="s">
        <v>4259</v>
      </c>
      <c r="E476" s="1022" t="s">
        <v>4733</v>
      </c>
      <c r="F476" s="1023" t="s">
        <v>4734</v>
      </c>
    </row>
    <row r="477" spans="1:6" s="1198" customFormat="1" ht="15" x14ac:dyDescent="0.25">
      <c r="B477" s="2479"/>
      <c r="C477" s="1051"/>
      <c r="D477" s="1051" t="s">
        <v>4237</v>
      </c>
      <c r="E477" s="1052" t="s">
        <v>4297</v>
      </c>
      <c r="F477" s="1053" t="s">
        <v>522</v>
      </c>
    </row>
    <row r="478" spans="1:6" s="1198" customFormat="1" ht="51" x14ac:dyDescent="0.25">
      <c r="B478" s="2479"/>
      <c r="C478" s="1051"/>
      <c r="D478" s="1051" t="s">
        <v>4260</v>
      </c>
      <c r="E478" s="1052" t="s">
        <v>4261</v>
      </c>
      <c r="F478" s="1053" t="s">
        <v>522</v>
      </c>
    </row>
    <row r="479" spans="1:6" s="1198" customFormat="1" ht="51" x14ac:dyDescent="0.25">
      <c r="B479" s="2479"/>
      <c r="C479" s="1051"/>
      <c r="D479" s="1051" t="s">
        <v>4092</v>
      </c>
      <c r="E479" s="1052" t="s">
        <v>4093</v>
      </c>
      <c r="F479" s="1053" t="s">
        <v>522</v>
      </c>
    </row>
    <row r="480" spans="1:6" s="1198" customFormat="1" ht="15" x14ac:dyDescent="0.25">
      <c r="B480" s="2479"/>
      <c r="C480" s="1051"/>
      <c r="D480" s="1051" t="s">
        <v>4248</v>
      </c>
      <c r="E480" s="1052" t="s">
        <v>522</v>
      </c>
      <c r="F480" s="1053" t="s">
        <v>522</v>
      </c>
    </row>
    <row r="481" spans="1:6" s="1198" customFormat="1" ht="15" x14ac:dyDescent="0.25">
      <c r="B481" s="2479"/>
      <c r="C481" s="1051"/>
      <c r="D481" s="1051" t="s">
        <v>4094</v>
      </c>
      <c r="E481" s="1052" t="s">
        <v>522</v>
      </c>
      <c r="F481" s="1053" t="s">
        <v>522</v>
      </c>
    </row>
    <row r="482" spans="1:6" s="1198" customFormat="1" ht="25.5" x14ac:dyDescent="0.25">
      <c r="B482" s="2479"/>
      <c r="C482" s="1051"/>
      <c r="D482" s="1051" t="s">
        <v>4249</v>
      </c>
      <c r="E482" s="1052" t="s">
        <v>522</v>
      </c>
      <c r="F482" s="1053" t="s">
        <v>522</v>
      </c>
    </row>
    <row r="483" spans="1:6" s="1198" customFormat="1" ht="25.5" x14ac:dyDescent="0.25">
      <c r="B483" s="2479"/>
      <c r="C483" s="1051"/>
      <c r="D483" s="1051" t="s">
        <v>4250</v>
      </c>
      <c r="E483" s="1052" t="s">
        <v>522</v>
      </c>
      <c r="F483" s="1053" t="s">
        <v>522</v>
      </c>
    </row>
    <row r="484" spans="1:6" s="1198" customFormat="1" ht="25.5" x14ac:dyDescent="0.25">
      <c r="B484" s="2479"/>
      <c r="C484" s="1051"/>
      <c r="D484" s="1051" t="s">
        <v>4251</v>
      </c>
      <c r="E484" s="1052" t="s">
        <v>522</v>
      </c>
      <c r="F484" s="1053" t="s">
        <v>522</v>
      </c>
    </row>
    <row r="485" spans="1:6" s="1198" customFormat="1" ht="63.75" x14ac:dyDescent="0.25">
      <c r="B485" s="2479"/>
      <c r="C485" s="1051"/>
      <c r="D485" s="1051" t="s">
        <v>4252</v>
      </c>
      <c r="E485" s="1052" t="s">
        <v>522</v>
      </c>
      <c r="F485" s="1053" t="s">
        <v>522</v>
      </c>
    </row>
    <row r="486" spans="1:6" s="1198" customFormat="1" ht="15" x14ac:dyDescent="0.25">
      <c r="B486" s="2479"/>
      <c r="C486" s="1051"/>
      <c r="D486" s="1051" t="s">
        <v>4253</v>
      </c>
      <c r="E486" s="1052" t="s">
        <v>4085</v>
      </c>
      <c r="F486" s="1053" t="s">
        <v>4735</v>
      </c>
    </row>
    <row r="487" spans="1:6" s="1198" customFormat="1" ht="15" x14ac:dyDescent="0.25">
      <c r="B487" s="2480"/>
      <c r="C487" s="1024"/>
      <c r="D487" s="1024" t="s">
        <v>4075</v>
      </c>
      <c r="E487" s="1025" t="s">
        <v>4300</v>
      </c>
      <c r="F487" s="1026"/>
    </row>
    <row r="488" spans="1:6" s="1198" customFormat="1" ht="15" x14ac:dyDescent="0.25">
      <c r="A488" s="1018"/>
      <c r="B488" s="1050"/>
      <c r="C488" s="2468" t="s">
        <v>5073</v>
      </c>
      <c r="D488" s="2468"/>
      <c r="E488" s="2468"/>
      <c r="F488" s="2468"/>
    </row>
    <row r="489" spans="1:6" s="1198" customFormat="1" ht="63.75" x14ac:dyDescent="0.25">
      <c r="A489" s="1020"/>
      <c r="B489" s="2478" t="s">
        <v>919</v>
      </c>
      <c r="C489" s="1021" t="s">
        <v>5074</v>
      </c>
      <c r="D489" s="1021" t="s">
        <v>5075</v>
      </c>
      <c r="E489" s="1022" t="s">
        <v>5135</v>
      </c>
      <c r="F489" s="1023" t="s">
        <v>5136</v>
      </c>
    </row>
    <row r="490" spans="1:6" s="1198" customFormat="1" ht="15" x14ac:dyDescent="0.25">
      <c r="B490" s="2479"/>
      <c r="C490" s="1051"/>
      <c r="D490" s="1051" t="s">
        <v>5076</v>
      </c>
      <c r="E490" s="1052" t="s">
        <v>5077</v>
      </c>
      <c r="F490" s="1053" t="s">
        <v>522</v>
      </c>
    </row>
    <row r="491" spans="1:6" s="1198" customFormat="1" ht="38.25" x14ac:dyDescent="0.25">
      <c r="B491" s="2479"/>
      <c r="C491" s="1051"/>
      <c r="D491" s="1051" t="s">
        <v>4395</v>
      </c>
      <c r="E491" s="1052" t="s">
        <v>4469</v>
      </c>
      <c r="F491" s="1053" t="s">
        <v>522</v>
      </c>
    </row>
    <row r="492" spans="1:6" s="1198" customFormat="1" ht="15" x14ac:dyDescent="0.25">
      <c r="B492" s="2479"/>
      <c r="C492" s="1051"/>
      <c r="D492" s="1051" t="s">
        <v>4070</v>
      </c>
      <c r="E492" s="1052" t="s">
        <v>4106</v>
      </c>
      <c r="F492" s="1053" t="s">
        <v>522</v>
      </c>
    </row>
    <row r="493" spans="1:6" s="1198" customFormat="1" ht="51" x14ac:dyDescent="0.25">
      <c r="B493" s="2479"/>
      <c r="C493" s="1051"/>
      <c r="D493" s="1051" t="s">
        <v>4071</v>
      </c>
      <c r="E493" s="1052" t="s">
        <v>4072</v>
      </c>
      <c r="F493" s="1053" t="s">
        <v>522</v>
      </c>
    </row>
    <row r="494" spans="1:6" s="1198" customFormat="1" ht="15" x14ac:dyDescent="0.25">
      <c r="B494" s="2479"/>
      <c r="C494" s="1051"/>
      <c r="D494" s="1051" t="s">
        <v>4262</v>
      </c>
      <c r="E494" s="1052" t="s">
        <v>4083</v>
      </c>
      <c r="F494" s="1053" t="s">
        <v>5137</v>
      </c>
    </row>
    <row r="495" spans="1:6" s="1198" customFormat="1" ht="15" x14ac:dyDescent="0.25">
      <c r="B495" s="2479"/>
      <c r="C495" s="1051"/>
      <c r="D495" s="1051" t="s">
        <v>4073</v>
      </c>
      <c r="E495" s="1052" t="s">
        <v>5138</v>
      </c>
      <c r="F495" s="1053" t="s">
        <v>5139</v>
      </c>
    </row>
    <row r="496" spans="1:6" s="1198" customFormat="1" ht="15" x14ac:dyDescent="0.25">
      <c r="B496" s="2479"/>
      <c r="C496" s="1051"/>
      <c r="D496" s="1051" t="s">
        <v>5078</v>
      </c>
      <c r="E496" s="1052" t="s">
        <v>5140</v>
      </c>
      <c r="F496" s="1053" t="s">
        <v>5141</v>
      </c>
    </row>
    <row r="497" spans="1:6" s="1198" customFormat="1" ht="15" x14ac:dyDescent="0.25">
      <c r="B497" s="2479"/>
      <c r="C497" s="1051"/>
      <c r="D497" s="1051" t="s">
        <v>4264</v>
      </c>
      <c r="E497" s="1052" t="s">
        <v>4097</v>
      </c>
      <c r="F497" s="1053" t="s">
        <v>5080</v>
      </c>
    </row>
    <row r="498" spans="1:6" s="1198" customFormat="1" ht="15" x14ac:dyDescent="0.25">
      <c r="B498" s="2479"/>
      <c r="C498" s="1051"/>
      <c r="D498" s="1051" t="s">
        <v>4265</v>
      </c>
      <c r="E498" s="1052" t="s">
        <v>5140</v>
      </c>
      <c r="F498" s="1053" t="s">
        <v>5141</v>
      </c>
    </row>
    <row r="499" spans="1:6" s="1198" customFormat="1" ht="15" x14ac:dyDescent="0.25">
      <c r="B499" s="2479"/>
      <c r="C499" s="1051"/>
      <c r="D499" s="1051" t="s">
        <v>4266</v>
      </c>
      <c r="E499" s="1052" t="s">
        <v>4101</v>
      </c>
      <c r="F499" s="1053" t="s">
        <v>5142</v>
      </c>
    </row>
    <row r="500" spans="1:6" s="1198" customFormat="1" ht="15" x14ac:dyDescent="0.25">
      <c r="B500" s="2479"/>
      <c r="C500" s="1051"/>
      <c r="D500" s="1051" t="s">
        <v>5079</v>
      </c>
      <c r="E500" s="1052" t="s">
        <v>4088</v>
      </c>
      <c r="F500" s="1053" t="s">
        <v>5143</v>
      </c>
    </row>
    <row r="501" spans="1:6" s="1198" customFormat="1" ht="15" x14ac:dyDescent="0.25">
      <c r="B501" s="2479"/>
      <c r="C501" s="1051"/>
      <c r="D501" s="1051" t="s">
        <v>5081</v>
      </c>
      <c r="E501" s="1052" t="s">
        <v>4079</v>
      </c>
      <c r="F501" s="1053" t="s">
        <v>5144</v>
      </c>
    </row>
    <row r="502" spans="1:6" s="1198" customFormat="1" ht="15" x14ac:dyDescent="0.25">
      <c r="B502" s="2480"/>
      <c r="C502" s="1024"/>
      <c r="D502" s="1024" t="s">
        <v>4075</v>
      </c>
      <c r="E502" s="1025" t="s">
        <v>5145</v>
      </c>
      <c r="F502" s="1026"/>
    </row>
    <row r="503" spans="1:6" s="1198" customFormat="1" ht="76.5" x14ac:dyDescent="0.25">
      <c r="A503" s="1020"/>
      <c r="B503" s="2478" t="s">
        <v>4539</v>
      </c>
      <c r="C503" s="1021" t="s">
        <v>5082</v>
      </c>
      <c r="D503" s="1021" t="s">
        <v>5075</v>
      </c>
      <c r="E503" s="1022" t="s">
        <v>5146</v>
      </c>
      <c r="F503" s="1023" t="s">
        <v>5147</v>
      </c>
    </row>
    <row r="504" spans="1:6" s="1198" customFormat="1" ht="15" x14ac:dyDescent="0.25">
      <c r="B504" s="2479"/>
      <c r="C504" s="1051"/>
      <c r="D504" s="1051" t="s">
        <v>5076</v>
      </c>
      <c r="E504" s="1052" t="s">
        <v>5077</v>
      </c>
      <c r="F504" s="1053" t="s">
        <v>522</v>
      </c>
    </row>
    <row r="505" spans="1:6" s="1198" customFormat="1" ht="15" x14ac:dyDescent="0.25">
      <c r="B505" s="2479"/>
      <c r="C505" s="1051"/>
      <c r="D505" s="1051" t="s">
        <v>4070</v>
      </c>
      <c r="E505" s="1052" t="s">
        <v>4106</v>
      </c>
      <c r="F505" s="1053" t="s">
        <v>522</v>
      </c>
    </row>
    <row r="506" spans="1:6" s="1198" customFormat="1" ht="51" x14ac:dyDescent="0.25">
      <c r="B506" s="2479"/>
      <c r="C506" s="1051"/>
      <c r="D506" s="1051" t="s">
        <v>4071</v>
      </c>
      <c r="E506" s="1052" t="s">
        <v>4072</v>
      </c>
      <c r="F506" s="1053" t="s">
        <v>522</v>
      </c>
    </row>
    <row r="507" spans="1:6" s="1198" customFormat="1" ht="15" x14ac:dyDescent="0.25">
      <c r="B507" s="2479"/>
      <c r="C507" s="1051"/>
      <c r="D507" s="1051" t="s">
        <v>4076</v>
      </c>
      <c r="E507" s="1052" t="s">
        <v>4077</v>
      </c>
      <c r="F507" s="1053" t="s">
        <v>5148</v>
      </c>
    </row>
    <row r="508" spans="1:6" s="1198" customFormat="1" ht="15" x14ac:dyDescent="0.25">
      <c r="B508" s="2479"/>
      <c r="C508" s="1051"/>
      <c r="D508" s="1051" t="s">
        <v>4078</v>
      </c>
      <c r="E508" s="1052" t="s">
        <v>4097</v>
      </c>
      <c r="F508" s="1053" t="s">
        <v>5149</v>
      </c>
    </row>
    <row r="509" spans="1:6" s="1198" customFormat="1" ht="15" x14ac:dyDescent="0.25">
      <c r="B509" s="2479"/>
      <c r="C509" s="1051"/>
      <c r="D509" s="1051" t="s">
        <v>4080</v>
      </c>
      <c r="E509" s="1052" t="s">
        <v>522</v>
      </c>
      <c r="F509" s="1053" t="s">
        <v>522</v>
      </c>
    </row>
    <row r="510" spans="1:6" s="1198" customFormat="1" ht="15" x14ac:dyDescent="0.25">
      <c r="B510" s="2479"/>
      <c r="C510" s="1051"/>
      <c r="D510" s="1051" t="s">
        <v>4082</v>
      </c>
      <c r="E510" s="1052" t="s">
        <v>522</v>
      </c>
      <c r="F510" s="1053" t="s">
        <v>522</v>
      </c>
    </row>
    <row r="511" spans="1:6" s="1198" customFormat="1" ht="15" x14ac:dyDescent="0.25">
      <c r="B511" s="2479"/>
      <c r="C511" s="1051"/>
      <c r="D511" s="1051" t="s">
        <v>5083</v>
      </c>
      <c r="E511" s="1052" t="s">
        <v>522</v>
      </c>
      <c r="F511" s="1053" t="s">
        <v>522</v>
      </c>
    </row>
    <row r="512" spans="1:6" s="1198" customFormat="1" ht="15" x14ac:dyDescent="0.25">
      <c r="B512" s="2479"/>
      <c r="C512" s="1051"/>
      <c r="D512" s="1051" t="s">
        <v>5084</v>
      </c>
      <c r="E512" s="1052" t="s">
        <v>522</v>
      </c>
      <c r="F512" s="1053" t="s">
        <v>522</v>
      </c>
    </row>
    <row r="513" spans="1:6" s="1198" customFormat="1" ht="15" x14ac:dyDescent="0.25">
      <c r="B513" s="2479"/>
      <c r="C513" s="1051"/>
      <c r="D513" s="1051" t="s">
        <v>4084</v>
      </c>
      <c r="E513" s="1052" t="s">
        <v>4090</v>
      </c>
      <c r="F513" s="1053" t="s">
        <v>5150</v>
      </c>
    </row>
    <row r="514" spans="1:6" s="1198" customFormat="1" ht="15" x14ac:dyDescent="0.25">
      <c r="B514" s="2480"/>
      <c r="C514" s="1024"/>
      <c r="D514" s="1024" t="s">
        <v>4075</v>
      </c>
      <c r="E514" s="1025" t="s">
        <v>5151</v>
      </c>
      <c r="F514" s="1026"/>
    </row>
    <row r="515" spans="1:6" s="1198" customFormat="1" ht="24" customHeight="1" x14ac:dyDescent="0.25">
      <c r="A515" s="1018"/>
      <c r="B515" s="1050"/>
      <c r="C515" s="2468" t="s">
        <v>4502</v>
      </c>
      <c r="D515" s="2468"/>
      <c r="E515" s="2468"/>
      <c r="F515" s="2468"/>
    </row>
    <row r="516" spans="1:6" s="1198" customFormat="1" ht="102" x14ac:dyDescent="0.25">
      <c r="A516" s="1020"/>
      <c r="B516" s="2478" t="s">
        <v>920</v>
      </c>
      <c r="C516" s="1021" t="s">
        <v>4404</v>
      </c>
      <c r="D516" s="1021" t="s">
        <v>4256</v>
      </c>
      <c r="E516" s="1022" t="s">
        <v>4736</v>
      </c>
      <c r="F516" s="1023" t="s">
        <v>4737</v>
      </c>
    </row>
    <row r="517" spans="1:6" s="1198" customFormat="1" ht="15" x14ac:dyDescent="0.25">
      <c r="B517" s="2479"/>
      <c r="C517" s="1051"/>
      <c r="D517" s="1051" t="s">
        <v>4405</v>
      </c>
      <c r="E517" s="1052" t="s">
        <v>4406</v>
      </c>
      <c r="F517" s="1053" t="s">
        <v>522</v>
      </c>
    </row>
    <row r="518" spans="1:6" s="1198" customFormat="1" ht="38.25" x14ac:dyDescent="0.25">
      <c r="B518" s="2479"/>
      <c r="C518" s="1051"/>
      <c r="D518" s="1051" t="s">
        <v>4395</v>
      </c>
      <c r="E518" s="1052" t="s">
        <v>4400</v>
      </c>
      <c r="F518" s="1053" t="s">
        <v>522</v>
      </c>
    </row>
    <row r="519" spans="1:6" s="1198" customFormat="1" ht="76.5" x14ac:dyDescent="0.25">
      <c r="B519" s="2479"/>
      <c r="C519" s="1051"/>
      <c r="D519" s="1051" t="s">
        <v>4503</v>
      </c>
      <c r="E519" s="1052" t="s">
        <v>4504</v>
      </c>
      <c r="F519" s="1053" t="s">
        <v>522</v>
      </c>
    </row>
    <row r="520" spans="1:6" s="1198" customFormat="1" ht="25.5" x14ac:dyDescent="0.25">
      <c r="B520" s="2479"/>
      <c r="C520" s="1051"/>
      <c r="D520" s="1051" t="s">
        <v>4505</v>
      </c>
      <c r="E520" s="1052" t="s">
        <v>4106</v>
      </c>
      <c r="F520" s="1053" t="s">
        <v>522</v>
      </c>
    </row>
    <row r="521" spans="1:6" s="1198" customFormat="1" ht="15" x14ac:dyDescent="0.25">
      <c r="B521" s="2479"/>
      <c r="C521" s="1051"/>
      <c r="D521" s="1051" t="s">
        <v>4506</v>
      </c>
      <c r="E521" s="1052" t="s">
        <v>4072</v>
      </c>
      <c r="F521" s="1053" t="s">
        <v>522</v>
      </c>
    </row>
    <row r="522" spans="1:6" s="1198" customFormat="1" ht="15" x14ac:dyDescent="0.25">
      <c r="B522" s="2479"/>
      <c r="C522" s="1051"/>
      <c r="D522" s="1051" t="s">
        <v>4070</v>
      </c>
      <c r="E522" s="1052" t="s">
        <v>4304</v>
      </c>
      <c r="F522" s="1053" t="s">
        <v>4738</v>
      </c>
    </row>
    <row r="523" spans="1:6" s="1198" customFormat="1" ht="51" x14ac:dyDescent="0.25">
      <c r="B523" s="2479"/>
      <c r="C523" s="1051"/>
      <c r="D523" s="1051" t="s">
        <v>4071</v>
      </c>
      <c r="E523" s="1052" t="s">
        <v>4305</v>
      </c>
      <c r="F523" s="1053" t="s">
        <v>4739</v>
      </c>
    </row>
    <row r="524" spans="1:6" s="1198" customFormat="1" ht="15" x14ac:dyDescent="0.25">
      <c r="B524" s="2479"/>
      <c r="C524" s="1051"/>
      <c r="D524" s="1051" t="s">
        <v>4095</v>
      </c>
      <c r="E524" s="1052" t="s">
        <v>4306</v>
      </c>
      <c r="F524" s="1053"/>
    </row>
    <row r="525" spans="1:6" s="1198" customFormat="1" ht="15" x14ac:dyDescent="0.25">
      <c r="B525" s="2479"/>
      <c r="C525" s="1051"/>
      <c r="D525" s="1051" t="s">
        <v>4096</v>
      </c>
      <c r="E525" s="1052"/>
      <c r="F525" s="1053"/>
    </row>
    <row r="526" spans="1:6" s="1198" customFormat="1" ht="15" x14ac:dyDescent="0.25">
      <c r="B526" s="2480"/>
      <c r="C526" s="1024"/>
      <c r="D526" s="1024" t="s">
        <v>4075</v>
      </c>
      <c r="E526" s="1025"/>
      <c r="F526" s="1026"/>
    </row>
    <row r="527" spans="1:6" s="1198" customFormat="1" ht="102" x14ac:dyDescent="0.25">
      <c r="A527" s="1020"/>
      <c r="B527" s="2478" t="s">
        <v>4540</v>
      </c>
      <c r="C527" s="1021" t="s">
        <v>4407</v>
      </c>
      <c r="D527" s="1021" t="s">
        <v>4256</v>
      </c>
      <c r="E527" s="1022" t="s">
        <v>4740</v>
      </c>
      <c r="F527" s="1023" t="s">
        <v>4741</v>
      </c>
    </row>
    <row r="528" spans="1:6" s="1198" customFormat="1" ht="15" x14ac:dyDescent="0.25">
      <c r="B528" s="2479"/>
      <c r="C528" s="1051"/>
      <c r="D528" s="1051" t="s">
        <v>4405</v>
      </c>
      <c r="E528" s="1052" t="s">
        <v>4406</v>
      </c>
      <c r="F528" s="1053" t="s">
        <v>522</v>
      </c>
    </row>
    <row r="529" spans="1:6" s="1198" customFormat="1" ht="76.5" x14ac:dyDescent="0.25">
      <c r="B529" s="2479"/>
      <c r="C529" s="1051"/>
      <c r="D529" s="1051" t="s">
        <v>4503</v>
      </c>
      <c r="E529" s="1052" t="s">
        <v>4504</v>
      </c>
      <c r="F529" s="1053" t="s">
        <v>522</v>
      </c>
    </row>
    <row r="530" spans="1:6" s="1198" customFormat="1" ht="25.5" x14ac:dyDescent="0.25">
      <c r="B530" s="2479"/>
      <c r="C530" s="1051"/>
      <c r="D530" s="1051" t="s">
        <v>4505</v>
      </c>
      <c r="E530" s="1052" t="s">
        <v>4106</v>
      </c>
      <c r="F530" s="1053" t="s">
        <v>522</v>
      </c>
    </row>
    <row r="531" spans="1:6" s="1198" customFormat="1" ht="15" x14ac:dyDescent="0.25">
      <c r="B531" s="2479"/>
      <c r="C531" s="1051"/>
      <c r="D531" s="1051" t="s">
        <v>4506</v>
      </c>
      <c r="E531" s="1052" t="s">
        <v>4072</v>
      </c>
      <c r="F531" s="1053" t="s">
        <v>522</v>
      </c>
    </row>
    <row r="532" spans="1:6" s="1198" customFormat="1" ht="15" x14ac:dyDescent="0.25">
      <c r="B532" s="2479"/>
      <c r="C532" s="1051"/>
      <c r="D532" s="1051" t="s">
        <v>4070</v>
      </c>
      <c r="E532" s="1052" t="s">
        <v>4077</v>
      </c>
      <c r="F532" s="1053" t="s">
        <v>4409</v>
      </c>
    </row>
    <row r="533" spans="1:6" s="1198" customFormat="1" ht="51" x14ac:dyDescent="0.25">
      <c r="B533" s="2479"/>
      <c r="C533" s="1051"/>
      <c r="D533" s="1051" t="s">
        <v>4071</v>
      </c>
      <c r="E533" s="1052" t="s">
        <v>4277</v>
      </c>
      <c r="F533" s="1053" t="s">
        <v>4742</v>
      </c>
    </row>
    <row r="534" spans="1:6" s="1198" customFormat="1" ht="15" x14ac:dyDescent="0.25">
      <c r="B534" s="2479"/>
      <c r="C534" s="1051"/>
      <c r="D534" s="1051" t="s">
        <v>4076</v>
      </c>
      <c r="E534" s="1052" t="s">
        <v>522</v>
      </c>
      <c r="F534" s="1053" t="s">
        <v>522</v>
      </c>
    </row>
    <row r="535" spans="1:6" s="1198" customFormat="1" ht="15" x14ac:dyDescent="0.25">
      <c r="B535" s="2479"/>
      <c r="C535" s="1051"/>
      <c r="D535" s="1051" t="s">
        <v>4078</v>
      </c>
      <c r="E535" s="1052" t="s">
        <v>522</v>
      </c>
      <c r="F535" s="1053" t="s">
        <v>522</v>
      </c>
    </row>
    <row r="536" spans="1:6" s="1198" customFormat="1" ht="15" x14ac:dyDescent="0.25">
      <c r="B536" s="2479"/>
      <c r="C536" s="1051"/>
      <c r="D536" s="1051" t="s">
        <v>4080</v>
      </c>
      <c r="E536" s="1052" t="s">
        <v>4090</v>
      </c>
      <c r="F536" s="1053" t="s">
        <v>4508</v>
      </c>
    </row>
    <row r="537" spans="1:6" s="1198" customFormat="1" ht="15" x14ac:dyDescent="0.25">
      <c r="B537" s="2479"/>
      <c r="C537" s="1051"/>
      <c r="D537" s="1051" t="s">
        <v>4082</v>
      </c>
      <c r="E537" s="1052" t="s">
        <v>4307</v>
      </c>
      <c r="F537" s="1053"/>
    </row>
    <row r="538" spans="1:6" s="1198" customFormat="1" ht="15" x14ac:dyDescent="0.25">
      <c r="B538" s="2479"/>
      <c r="C538" s="1051"/>
      <c r="D538" s="1051" t="s">
        <v>4084</v>
      </c>
      <c r="E538" s="1052"/>
      <c r="F538" s="1053"/>
    </row>
    <row r="539" spans="1:6" s="1198" customFormat="1" ht="15" x14ac:dyDescent="0.25">
      <c r="B539" s="2480"/>
      <c r="C539" s="1024"/>
      <c r="D539" s="1024" t="s">
        <v>4075</v>
      </c>
      <c r="E539" s="1025"/>
      <c r="F539" s="1026"/>
    </row>
    <row r="540" spans="1:6" s="1198" customFormat="1" ht="15" x14ac:dyDescent="0.25">
      <c r="A540" s="1018"/>
      <c r="B540" s="1050"/>
      <c r="C540" s="2481" t="s">
        <v>4509</v>
      </c>
      <c r="D540" s="2481"/>
      <c r="E540" s="2481"/>
      <c r="F540" s="1054"/>
    </row>
    <row r="541" spans="1:6" s="1198" customFormat="1" ht="15" x14ac:dyDescent="0.25">
      <c r="A541" s="1018"/>
      <c r="B541" s="1050"/>
      <c r="C541" s="2468" t="s">
        <v>4439</v>
      </c>
      <c r="D541" s="2468"/>
      <c r="E541" s="2468"/>
      <c r="F541" s="1019" t="s">
        <v>5509</v>
      </c>
    </row>
    <row r="542" spans="1:6" s="1198" customFormat="1" ht="15" x14ac:dyDescent="0.25">
      <c r="A542" s="1018"/>
      <c r="B542" s="1050"/>
      <c r="C542" s="2468" t="s">
        <v>4510</v>
      </c>
      <c r="D542" s="2468"/>
      <c r="E542" s="2468"/>
      <c r="F542" s="1019" t="s">
        <v>5510</v>
      </c>
    </row>
    <row r="543" spans="1:6" s="1198" customFormat="1" ht="15" x14ac:dyDescent="0.25">
      <c r="A543" s="1018"/>
      <c r="B543" s="1050"/>
      <c r="C543" s="2468" t="s">
        <v>4511</v>
      </c>
      <c r="D543" s="2468"/>
      <c r="E543" s="2468"/>
      <c r="F543" s="1019" t="s">
        <v>5511</v>
      </c>
    </row>
    <row r="544" spans="1:6" s="1198" customFormat="1" ht="15" x14ac:dyDescent="0.25">
      <c r="A544" s="1018"/>
      <c r="B544" s="1050"/>
      <c r="C544" s="2481" t="s">
        <v>4512</v>
      </c>
      <c r="D544" s="2481"/>
      <c r="E544" s="2481"/>
      <c r="F544" s="1054" t="s">
        <v>5511</v>
      </c>
    </row>
    <row r="545" spans="1:6" s="1198" customFormat="1" ht="15" x14ac:dyDescent="0.25">
      <c r="A545" s="1018"/>
      <c r="B545" s="2466" t="s">
        <v>4513</v>
      </c>
      <c r="C545" s="2467"/>
      <c r="D545" s="2467"/>
      <c r="E545" s="2467"/>
      <c r="F545" s="2467"/>
    </row>
    <row r="546" spans="1:6" s="1198" customFormat="1" ht="15" x14ac:dyDescent="0.25">
      <c r="A546" s="1018"/>
      <c r="B546" s="2469" t="s">
        <v>4514</v>
      </c>
      <c r="C546" s="2467"/>
      <c r="D546" s="2467"/>
      <c r="E546" s="2467"/>
      <c r="F546" s="2467"/>
    </row>
    <row r="547" spans="1:6" s="1198" customFormat="1" ht="15" x14ac:dyDescent="0.25">
      <c r="A547" s="1018"/>
      <c r="B547" s="1050"/>
      <c r="C547" s="2468" t="s">
        <v>4515</v>
      </c>
      <c r="D547" s="2468"/>
      <c r="E547" s="2468"/>
      <c r="F547" s="2468"/>
    </row>
    <row r="548" spans="1:6" s="1198" customFormat="1" ht="51" x14ac:dyDescent="0.25">
      <c r="A548" s="1020"/>
      <c r="B548" s="2478" t="s">
        <v>1048</v>
      </c>
      <c r="C548" s="1021" t="s">
        <v>4516</v>
      </c>
      <c r="D548" s="1021" t="s">
        <v>4517</v>
      </c>
      <c r="E548" s="1022" t="s">
        <v>4743</v>
      </c>
      <c r="F548" s="1023" t="s">
        <v>4744</v>
      </c>
    </row>
    <row r="549" spans="1:6" s="1198" customFormat="1" ht="15" x14ac:dyDescent="0.25">
      <c r="B549" s="2479"/>
      <c r="C549" s="1051"/>
      <c r="D549" s="1051" t="s">
        <v>4518</v>
      </c>
      <c r="E549" s="1052" t="s">
        <v>4519</v>
      </c>
      <c r="F549" s="1053" t="s">
        <v>522</v>
      </c>
    </row>
    <row r="550" spans="1:6" s="1198" customFormat="1" ht="15" x14ac:dyDescent="0.25">
      <c r="B550" s="2479"/>
      <c r="C550" s="1051"/>
      <c r="D550" s="1051" t="s">
        <v>4069</v>
      </c>
      <c r="E550" s="1052" t="s">
        <v>4238</v>
      </c>
      <c r="F550" s="1053" t="s">
        <v>522</v>
      </c>
    </row>
    <row r="551" spans="1:6" s="1198" customFormat="1" ht="15" x14ac:dyDescent="0.25">
      <c r="B551" s="2479"/>
      <c r="C551" s="1051"/>
      <c r="D551" s="1051" t="s">
        <v>4070</v>
      </c>
      <c r="E551" s="1052" t="s">
        <v>4106</v>
      </c>
      <c r="F551" s="1053" t="s">
        <v>522</v>
      </c>
    </row>
    <row r="552" spans="1:6" s="1198" customFormat="1" ht="51" x14ac:dyDescent="0.25">
      <c r="B552" s="2479"/>
      <c r="C552" s="1051"/>
      <c r="D552" s="1051" t="s">
        <v>4092</v>
      </c>
      <c r="E552" s="1052" t="s">
        <v>4093</v>
      </c>
      <c r="F552" s="1053" t="s">
        <v>522</v>
      </c>
    </row>
    <row r="553" spans="1:6" s="1198" customFormat="1" ht="25.5" x14ac:dyDescent="0.25">
      <c r="B553" s="2479"/>
      <c r="C553" s="1051"/>
      <c r="D553" s="1051" t="s">
        <v>4520</v>
      </c>
      <c r="E553" s="1052" t="s">
        <v>4097</v>
      </c>
      <c r="F553" s="1053" t="s">
        <v>4745</v>
      </c>
    </row>
    <row r="554" spans="1:6" s="1198" customFormat="1" ht="38.25" x14ac:dyDescent="0.25">
      <c r="B554" s="2479"/>
      <c r="C554" s="1051"/>
      <c r="D554" s="1051" t="s">
        <v>4521</v>
      </c>
      <c r="E554" s="1052" t="s">
        <v>4746</v>
      </c>
      <c r="F554" s="1053" t="s">
        <v>4747</v>
      </c>
    </row>
    <row r="555" spans="1:6" s="1198" customFormat="1" ht="15" x14ac:dyDescent="0.25">
      <c r="B555" s="2480"/>
      <c r="C555" s="1024"/>
      <c r="D555" s="1024" t="s">
        <v>4075</v>
      </c>
      <c r="E555" s="1025" t="s">
        <v>4748</v>
      </c>
      <c r="F555" s="1026"/>
    </row>
    <row r="556" spans="1:6" s="1198" customFormat="1" ht="51" x14ac:dyDescent="0.25">
      <c r="A556" s="1020"/>
      <c r="B556" s="2478" t="s">
        <v>4545</v>
      </c>
      <c r="C556" s="1021" t="s">
        <v>4523</v>
      </c>
      <c r="D556" s="1021" t="s">
        <v>4517</v>
      </c>
      <c r="E556" s="1022" t="s">
        <v>4749</v>
      </c>
      <c r="F556" s="1023" t="s">
        <v>4750</v>
      </c>
    </row>
    <row r="557" spans="1:6" s="1198" customFormat="1" ht="15" x14ac:dyDescent="0.25">
      <c r="B557" s="2479"/>
      <c r="C557" s="1051"/>
      <c r="D557" s="1051" t="s">
        <v>4518</v>
      </c>
      <c r="E557" s="1052" t="s">
        <v>4519</v>
      </c>
      <c r="F557" s="1053" t="s">
        <v>522</v>
      </c>
    </row>
    <row r="558" spans="1:6" s="1198" customFormat="1" ht="15" x14ac:dyDescent="0.25">
      <c r="B558" s="2479"/>
      <c r="C558" s="1051"/>
      <c r="D558" s="1051" t="s">
        <v>4070</v>
      </c>
      <c r="E558" s="1052" t="s">
        <v>4106</v>
      </c>
      <c r="F558" s="1053" t="s">
        <v>522</v>
      </c>
    </row>
    <row r="559" spans="1:6" s="1198" customFormat="1" ht="51" x14ac:dyDescent="0.25">
      <c r="B559" s="2479"/>
      <c r="C559" s="1051"/>
      <c r="D559" s="1051" t="s">
        <v>4092</v>
      </c>
      <c r="E559" s="1052" t="s">
        <v>4093</v>
      </c>
      <c r="F559" s="1053" t="s">
        <v>522</v>
      </c>
    </row>
    <row r="560" spans="1:6" s="1198" customFormat="1" ht="15" x14ac:dyDescent="0.25">
      <c r="B560" s="2479"/>
      <c r="C560" s="1051"/>
      <c r="D560" s="1051" t="s">
        <v>4248</v>
      </c>
      <c r="E560" s="1052" t="s">
        <v>522</v>
      </c>
      <c r="F560" s="1053" t="s">
        <v>522</v>
      </c>
    </row>
    <row r="561" spans="1:6" s="1198" customFormat="1" ht="15" x14ac:dyDescent="0.25">
      <c r="B561" s="2479"/>
      <c r="C561" s="1051"/>
      <c r="D561" s="1051" t="s">
        <v>4524</v>
      </c>
      <c r="E561" s="1052" t="s">
        <v>4081</v>
      </c>
      <c r="F561" s="1053" t="s">
        <v>4751</v>
      </c>
    </row>
    <row r="562" spans="1:6" s="1198" customFormat="1" ht="15" x14ac:dyDescent="0.25">
      <c r="B562" s="2479"/>
      <c r="C562" s="1051"/>
      <c r="D562" s="1051" t="s">
        <v>4253</v>
      </c>
      <c r="E562" s="1052" t="s">
        <v>4088</v>
      </c>
      <c r="F562" s="1053" t="s">
        <v>4752</v>
      </c>
    </row>
    <row r="563" spans="1:6" s="1198" customFormat="1" ht="15" x14ac:dyDescent="0.25">
      <c r="B563" s="2480"/>
      <c r="C563" s="1024"/>
      <c r="D563" s="1024" t="s">
        <v>4075</v>
      </c>
      <c r="E563" s="1025" t="s">
        <v>4753</v>
      </c>
      <c r="F563" s="1026"/>
    </row>
    <row r="564" spans="1:6" s="1198" customFormat="1" ht="15" x14ac:dyDescent="0.25">
      <c r="A564" s="1018"/>
      <c r="B564" s="1050"/>
      <c r="C564" s="2468" t="s">
        <v>4525</v>
      </c>
      <c r="D564" s="2468"/>
      <c r="E564" s="2468"/>
      <c r="F564" s="2468"/>
    </row>
    <row r="565" spans="1:6" s="1198" customFormat="1" ht="51" x14ac:dyDescent="0.25">
      <c r="A565" s="1020"/>
      <c r="B565" s="2478" t="s">
        <v>1053</v>
      </c>
      <c r="C565" s="1021" t="s">
        <v>4526</v>
      </c>
      <c r="D565" s="1021" t="s">
        <v>4527</v>
      </c>
      <c r="E565" s="1022" t="s">
        <v>4754</v>
      </c>
      <c r="F565" s="1023" t="s">
        <v>4755</v>
      </c>
    </row>
    <row r="566" spans="1:6" s="1198" customFormat="1" ht="15" x14ac:dyDescent="0.25">
      <c r="B566" s="2479"/>
      <c r="C566" s="1051"/>
      <c r="D566" s="1051" t="s">
        <v>4070</v>
      </c>
      <c r="E566" s="1052" t="s">
        <v>4756</v>
      </c>
      <c r="F566" s="1053" t="s">
        <v>522</v>
      </c>
    </row>
    <row r="567" spans="1:6" s="1198" customFormat="1" ht="38.25" x14ac:dyDescent="0.25">
      <c r="B567" s="2479"/>
      <c r="C567" s="1051"/>
      <c r="D567" s="1051" t="s">
        <v>4395</v>
      </c>
      <c r="E567" s="1052" t="s">
        <v>4469</v>
      </c>
      <c r="F567" s="1053" t="s">
        <v>522</v>
      </c>
    </row>
    <row r="568" spans="1:6" s="1198" customFormat="1" ht="51" x14ac:dyDescent="0.25">
      <c r="B568" s="2479"/>
      <c r="C568" s="1051"/>
      <c r="D568" s="1051" t="s">
        <v>4086</v>
      </c>
      <c r="E568" s="1052" t="s">
        <v>4087</v>
      </c>
      <c r="F568" s="1053" t="s">
        <v>522</v>
      </c>
    </row>
    <row r="569" spans="1:6" s="1198" customFormat="1" ht="15" x14ac:dyDescent="0.25">
      <c r="B569" s="2479"/>
      <c r="C569" s="1051"/>
      <c r="D569" s="1051" t="s">
        <v>4095</v>
      </c>
      <c r="E569" s="1052" t="s">
        <v>522</v>
      </c>
      <c r="F569" s="1053" t="s">
        <v>522</v>
      </c>
    </row>
    <row r="570" spans="1:6" s="1198" customFormat="1" ht="15" x14ac:dyDescent="0.25">
      <c r="B570" s="2479"/>
      <c r="C570" s="1051"/>
      <c r="D570" s="1051" t="s">
        <v>4290</v>
      </c>
      <c r="E570" s="1052" t="s">
        <v>4757</v>
      </c>
      <c r="F570" s="1053" t="s">
        <v>4758</v>
      </c>
    </row>
    <row r="571" spans="1:6" s="1198" customFormat="1" ht="15" x14ac:dyDescent="0.25">
      <c r="B571" s="2479"/>
      <c r="C571" s="1051"/>
      <c r="D571" s="1051" t="s">
        <v>4528</v>
      </c>
      <c r="E571" s="1052" t="s">
        <v>4101</v>
      </c>
      <c r="F571" s="1053" t="s">
        <v>4759</v>
      </c>
    </row>
    <row r="572" spans="1:6" s="1198" customFormat="1" ht="15" x14ac:dyDescent="0.25">
      <c r="B572" s="2479"/>
      <c r="C572" s="1051"/>
      <c r="D572" s="1051" t="s">
        <v>4529</v>
      </c>
      <c r="E572" s="1052" t="s">
        <v>4085</v>
      </c>
      <c r="F572" s="1053" t="s">
        <v>4760</v>
      </c>
    </row>
    <row r="573" spans="1:6" s="1198" customFormat="1" ht="15" x14ac:dyDescent="0.25">
      <c r="B573" s="2480"/>
      <c r="C573" s="1024"/>
      <c r="D573" s="1024" t="s">
        <v>4075</v>
      </c>
      <c r="E573" s="1025" t="s">
        <v>4316</v>
      </c>
      <c r="F573" s="1026"/>
    </row>
    <row r="574" spans="1:6" s="1198" customFormat="1" ht="51" x14ac:dyDescent="0.25">
      <c r="A574" s="1020"/>
      <c r="B574" s="2478" t="s">
        <v>4549</v>
      </c>
      <c r="C574" s="1021" t="s">
        <v>4531</v>
      </c>
      <c r="D574" s="1021" t="s">
        <v>4527</v>
      </c>
      <c r="E574" s="1022" t="s">
        <v>4761</v>
      </c>
      <c r="F574" s="1023" t="s">
        <v>4762</v>
      </c>
    </row>
    <row r="575" spans="1:6" s="1198" customFormat="1" ht="15" x14ac:dyDescent="0.25">
      <c r="B575" s="2479"/>
      <c r="C575" s="1051"/>
      <c r="D575" s="1051" t="s">
        <v>4070</v>
      </c>
      <c r="E575" s="1052" t="s">
        <v>4756</v>
      </c>
      <c r="F575" s="1053" t="s">
        <v>522</v>
      </c>
    </row>
    <row r="576" spans="1:6" s="1198" customFormat="1" ht="51" x14ac:dyDescent="0.25">
      <c r="B576" s="2479"/>
      <c r="C576" s="1051"/>
      <c r="D576" s="1051" t="s">
        <v>4086</v>
      </c>
      <c r="E576" s="1052" t="s">
        <v>4087</v>
      </c>
      <c r="F576" s="1053" t="s">
        <v>522</v>
      </c>
    </row>
    <row r="577" spans="1:6" s="1198" customFormat="1" ht="15" x14ac:dyDescent="0.25">
      <c r="B577" s="2479"/>
      <c r="C577" s="1051"/>
      <c r="D577" s="1051" t="s">
        <v>4076</v>
      </c>
      <c r="E577" s="1052" t="s">
        <v>522</v>
      </c>
      <c r="F577" s="1053" t="s">
        <v>522</v>
      </c>
    </row>
    <row r="578" spans="1:6" s="1198" customFormat="1" ht="15" x14ac:dyDescent="0.25">
      <c r="B578" s="2479"/>
      <c r="C578" s="1051"/>
      <c r="D578" s="1051" t="s">
        <v>4078</v>
      </c>
      <c r="E578" s="1052" t="s">
        <v>522</v>
      </c>
      <c r="F578" s="1053" t="s">
        <v>522</v>
      </c>
    </row>
    <row r="579" spans="1:6" s="1198" customFormat="1" ht="15" x14ac:dyDescent="0.25">
      <c r="B579" s="2479"/>
      <c r="C579" s="1051"/>
      <c r="D579" s="1051" t="s">
        <v>4080</v>
      </c>
      <c r="E579" s="1052" t="s">
        <v>522</v>
      </c>
      <c r="F579" s="1053" t="s">
        <v>522</v>
      </c>
    </row>
    <row r="580" spans="1:6" s="1198" customFormat="1" ht="15" x14ac:dyDescent="0.25">
      <c r="B580" s="2479"/>
      <c r="C580" s="1051"/>
      <c r="D580" s="1051" t="s">
        <v>4082</v>
      </c>
      <c r="E580" s="1052" t="s">
        <v>522</v>
      </c>
      <c r="F580" s="1053" t="s">
        <v>522</v>
      </c>
    </row>
    <row r="581" spans="1:6" s="1198" customFormat="1" ht="15" x14ac:dyDescent="0.25">
      <c r="B581" s="2479"/>
      <c r="C581" s="1051"/>
      <c r="D581" s="1051" t="s">
        <v>4084</v>
      </c>
      <c r="E581" s="1052" t="s">
        <v>4074</v>
      </c>
      <c r="F581" s="1053" t="s">
        <v>4532</v>
      </c>
    </row>
    <row r="582" spans="1:6" s="1198" customFormat="1" ht="15" x14ac:dyDescent="0.25">
      <c r="B582" s="2480"/>
      <c r="C582" s="1024"/>
      <c r="D582" s="1024" t="s">
        <v>4075</v>
      </c>
      <c r="E582" s="1025" t="s">
        <v>4323</v>
      </c>
      <c r="F582" s="1026"/>
    </row>
    <row r="583" spans="1:6" s="1198" customFormat="1" ht="15" x14ac:dyDescent="0.25">
      <c r="A583" s="1018"/>
      <c r="B583" s="1050"/>
      <c r="C583" s="2481" t="s">
        <v>4533</v>
      </c>
      <c r="D583" s="2481"/>
      <c r="E583" s="2481"/>
      <c r="F583" s="1054"/>
    </row>
    <row r="584" spans="1:6" s="1198" customFormat="1" ht="15" x14ac:dyDescent="0.25">
      <c r="A584" s="1018"/>
      <c r="B584" s="1050"/>
      <c r="C584" s="2468" t="s">
        <v>4439</v>
      </c>
      <c r="D584" s="2468"/>
      <c r="E584" s="2468"/>
      <c r="F584" s="1019" t="s">
        <v>4763</v>
      </c>
    </row>
    <row r="585" spans="1:6" s="1198" customFormat="1" ht="15" x14ac:dyDescent="0.25">
      <c r="A585" s="1018"/>
      <c r="B585" s="1050"/>
      <c r="C585" s="2468" t="s">
        <v>4534</v>
      </c>
      <c r="D585" s="2468"/>
      <c r="E585" s="2468"/>
      <c r="F585" s="1019" t="s">
        <v>4764</v>
      </c>
    </row>
    <row r="586" spans="1:6" s="1198" customFormat="1" ht="15" x14ac:dyDescent="0.25">
      <c r="A586" s="1018"/>
      <c r="B586" s="1050"/>
      <c r="C586" s="2468" t="s">
        <v>4511</v>
      </c>
      <c r="D586" s="2468"/>
      <c r="E586" s="2468"/>
      <c r="F586" s="1019" t="s">
        <v>4765</v>
      </c>
    </row>
    <row r="587" spans="1:6" s="1198" customFormat="1" ht="15" x14ac:dyDescent="0.25">
      <c r="A587" s="1018"/>
      <c r="B587" s="1050"/>
      <c r="C587" s="2481" t="s">
        <v>4535</v>
      </c>
      <c r="D587" s="2481"/>
      <c r="E587" s="2481"/>
      <c r="F587" s="1054" t="s">
        <v>4765</v>
      </c>
    </row>
    <row r="588" spans="1:6" s="1198" customFormat="1" ht="15" x14ac:dyDescent="0.25">
      <c r="A588" s="1018"/>
      <c r="B588" s="2466" t="s">
        <v>4536</v>
      </c>
      <c r="C588" s="2467"/>
      <c r="D588" s="2467"/>
      <c r="E588" s="2467"/>
      <c r="F588" s="2467"/>
    </row>
    <row r="589" spans="1:6" s="1198" customFormat="1" ht="15" x14ac:dyDescent="0.25">
      <c r="A589" s="1018"/>
      <c r="B589" s="2469" t="s">
        <v>5085</v>
      </c>
      <c r="C589" s="2467"/>
      <c r="D589" s="2467"/>
      <c r="E589" s="2467"/>
      <c r="F589" s="2467"/>
    </row>
    <row r="590" spans="1:6" s="1198" customFormat="1" ht="15" x14ac:dyDescent="0.25">
      <c r="A590" s="1018"/>
      <c r="B590" s="1050"/>
      <c r="C590" s="2468" t="s">
        <v>5086</v>
      </c>
      <c r="D590" s="2468"/>
      <c r="E590" s="2468"/>
      <c r="F590" s="2468"/>
    </row>
    <row r="591" spans="1:6" s="1198" customFormat="1" ht="76.5" x14ac:dyDescent="0.25">
      <c r="A591" s="1020"/>
      <c r="B591" s="2478" t="s">
        <v>1058</v>
      </c>
      <c r="C591" s="1021" t="s">
        <v>5087</v>
      </c>
      <c r="D591" s="1021" t="s">
        <v>5088</v>
      </c>
      <c r="E591" s="1022" t="s">
        <v>5152</v>
      </c>
      <c r="F591" s="1023" t="s">
        <v>5153</v>
      </c>
    </row>
    <row r="592" spans="1:6" s="1198" customFormat="1" ht="38.25" x14ac:dyDescent="0.25">
      <c r="B592" s="2479"/>
      <c r="C592" s="1051"/>
      <c r="D592" s="1051" t="s">
        <v>4395</v>
      </c>
      <c r="E592" s="1052" t="s">
        <v>4396</v>
      </c>
      <c r="F592" s="1053" t="s">
        <v>522</v>
      </c>
    </row>
    <row r="593" spans="1:6" s="1198" customFormat="1" ht="15" x14ac:dyDescent="0.25">
      <c r="B593" s="2479"/>
      <c r="C593" s="1051"/>
      <c r="D593" s="1051" t="s">
        <v>4070</v>
      </c>
      <c r="E593" s="1052" t="s">
        <v>4106</v>
      </c>
      <c r="F593" s="1053" t="s">
        <v>522</v>
      </c>
    </row>
    <row r="594" spans="1:6" s="1198" customFormat="1" ht="51" x14ac:dyDescent="0.25">
      <c r="B594" s="2479"/>
      <c r="C594" s="1051"/>
      <c r="D594" s="1051" t="s">
        <v>4071</v>
      </c>
      <c r="E594" s="1052" t="s">
        <v>4072</v>
      </c>
      <c r="F594" s="1053" t="s">
        <v>522</v>
      </c>
    </row>
    <row r="595" spans="1:6" s="1198" customFormat="1" ht="15" x14ac:dyDescent="0.25">
      <c r="B595" s="2479"/>
      <c r="C595" s="1051"/>
      <c r="D595" s="1051" t="s">
        <v>4095</v>
      </c>
      <c r="E595" s="1052" t="s">
        <v>4091</v>
      </c>
      <c r="F595" s="1053" t="s">
        <v>5089</v>
      </c>
    </row>
    <row r="596" spans="1:6" s="1198" customFormat="1" ht="15" x14ac:dyDescent="0.25">
      <c r="B596" s="2479"/>
      <c r="C596" s="1051"/>
      <c r="D596" s="1051" t="s">
        <v>4096</v>
      </c>
      <c r="E596" s="1052" t="s">
        <v>4110</v>
      </c>
      <c r="F596" s="1053" t="s">
        <v>5154</v>
      </c>
    </row>
    <row r="597" spans="1:6" s="1198" customFormat="1" ht="15" x14ac:dyDescent="0.25">
      <c r="B597" s="2480"/>
      <c r="C597" s="1024"/>
      <c r="D597" s="1024" t="s">
        <v>4075</v>
      </c>
      <c r="E597" s="1025" t="s">
        <v>4111</v>
      </c>
      <c r="F597" s="1026"/>
    </row>
    <row r="598" spans="1:6" s="1198" customFormat="1" ht="76.5" x14ac:dyDescent="0.25">
      <c r="A598" s="1020"/>
      <c r="B598" s="2478" t="s">
        <v>4555</v>
      </c>
      <c r="C598" s="1021" t="s">
        <v>5090</v>
      </c>
      <c r="D598" s="1021" t="s">
        <v>5088</v>
      </c>
      <c r="E598" s="1022" t="s">
        <v>5155</v>
      </c>
      <c r="F598" s="1023" t="s">
        <v>5156</v>
      </c>
    </row>
    <row r="599" spans="1:6" s="1198" customFormat="1" ht="15" x14ac:dyDescent="0.25">
      <c r="B599" s="2479"/>
      <c r="C599" s="1051"/>
      <c r="D599" s="1051" t="s">
        <v>4070</v>
      </c>
      <c r="E599" s="1052" t="s">
        <v>4106</v>
      </c>
      <c r="F599" s="1053" t="s">
        <v>522</v>
      </c>
    </row>
    <row r="600" spans="1:6" s="1198" customFormat="1" ht="51" x14ac:dyDescent="0.25">
      <c r="B600" s="2479"/>
      <c r="C600" s="1051"/>
      <c r="D600" s="1051" t="s">
        <v>4071</v>
      </c>
      <c r="E600" s="1052" t="s">
        <v>4072</v>
      </c>
      <c r="F600" s="1053" t="s">
        <v>522</v>
      </c>
    </row>
    <row r="601" spans="1:6" s="1198" customFormat="1" ht="15" x14ac:dyDescent="0.25">
      <c r="B601" s="2479"/>
      <c r="C601" s="1051"/>
      <c r="D601" s="1051" t="s">
        <v>4076</v>
      </c>
      <c r="E601" s="1052" t="s">
        <v>4077</v>
      </c>
      <c r="F601" s="1053" t="s">
        <v>5157</v>
      </c>
    </row>
    <row r="602" spans="1:6" s="1198" customFormat="1" ht="15" x14ac:dyDescent="0.25">
      <c r="B602" s="2479"/>
      <c r="C602" s="1051"/>
      <c r="D602" s="1051" t="s">
        <v>4078</v>
      </c>
      <c r="E602" s="1052" t="s">
        <v>4079</v>
      </c>
      <c r="F602" s="1053" t="s">
        <v>5158</v>
      </c>
    </row>
    <row r="603" spans="1:6" s="1198" customFormat="1" ht="15" x14ac:dyDescent="0.25">
      <c r="B603" s="2479"/>
      <c r="C603" s="1051"/>
      <c r="D603" s="1051" t="s">
        <v>4080</v>
      </c>
      <c r="E603" s="1052" t="s">
        <v>522</v>
      </c>
      <c r="F603" s="1053" t="s">
        <v>522</v>
      </c>
    </row>
    <row r="604" spans="1:6" s="1198" customFormat="1" ht="15" x14ac:dyDescent="0.25">
      <c r="B604" s="2479"/>
      <c r="C604" s="1051"/>
      <c r="D604" s="1051" t="s">
        <v>4082</v>
      </c>
      <c r="E604" s="1052" t="s">
        <v>522</v>
      </c>
      <c r="F604" s="1053" t="s">
        <v>522</v>
      </c>
    </row>
    <row r="605" spans="1:6" s="1198" customFormat="1" ht="15" x14ac:dyDescent="0.25">
      <c r="B605" s="2479"/>
      <c r="C605" s="1051"/>
      <c r="D605" s="1051" t="s">
        <v>4084</v>
      </c>
      <c r="E605" s="1052" t="s">
        <v>4090</v>
      </c>
      <c r="F605" s="1053" t="s">
        <v>5091</v>
      </c>
    </row>
    <row r="606" spans="1:6" s="1198" customFormat="1" ht="15" x14ac:dyDescent="0.25">
      <c r="B606" s="2480"/>
      <c r="C606" s="1024"/>
      <c r="D606" s="1024" t="s">
        <v>4075</v>
      </c>
      <c r="E606" s="1025" t="s">
        <v>4112</v>
      </c>
      <c r="F606" s="1026"/>
    </row>
    <row r="607" spans="1:6" s="1198" customFormat="1" ht="15" x14ac:dyDescent="0.25">
      <c r="A607" s="1018"/>
      <c r="B607" s="1050"/>
      <c r="C607" s="2468" t="s">
        <v>5092</v>
      </c>
      <c r="D607" s="2468"/>
      <c r="E607" s="2468"/>
      <c r="F607" s="2468"/>
    </row>
    <row r="608" spans="1:6" s="1198" customFormat="1" ht="76.5" x14ac:dyDescent="0.25">
      <c r="A608" s="1020"/>
      <c r="B608" s="2478" t="s">
        <v>1063</v>
      </c>
      <c r="C608" s="1021" t="s">
        <v>5093</v>
      </c>
      <c r="D608" s="1021" t="s">
        <v>5094</v>
      </c>
      <c r="E608" s="1022" t="s">
        <v>5159</v>
      </c>
      <c r="F608" s="1023" t="s">
        <v>5160</v>
      </c>
    </row>
    <row r="609" spans="1:6" s="1198" customFormat="1" ht="38.25" x14ac:dyDescent="0.25">
      <c r="B609" s="2479"/>
      <c r="C609" s="1051"/>
      <c r="D609" s="1051" t="s">
        <v>4395</v>
      </c>
      <c r="E609" s="1052" t="s">
        <v>4396</v>
      </c>
      <c r="F609" s="1053" t="s">
        <v>522</v>
      </c>
    </row>
    <row r="610" spans="1:6" s="1198" customFormat="1" ht="15" x14ac:dyDescent="0.25">
      <c r="B610" s="2479"/>
      <c r="C610" s="1051"/>
      <c r="D610" s="1051" t="s">
        <v>4070</v>
      </c>
      <c r="E610" s="1052" t="s">
        <v>4106</v>
      </c>
      <c r="F610" s="1053" t="s">
        <v>522</v>
      </c>
    </row>
    <row r="611" spans="1:6" s="1198" customFormat="1" ht="51" x14ac:dyDescent="0.25">
      <c r="B611" s="2479"/>
      <c r="C611" s="1051"/>
      <c r="D611" s="1051" t="s">
        <v>4071</v>
      </c>
      <c r="E611" s="1052" t="s">
        <v>4072</v>
      </c>
      <c r="F611" s="1053" t="s">
        <v>522</v>
      </c>
    </row>
    <row r="612" spans="1:6" s="1198" customFormat="1" ht="15" x14ac:dyDescent="0.25">
      <c r="B612" s="2479"/>
      <c r="C612" s="1051"/>
      <c r="D612" s="1051" t="s">
        <v>4095</v>
      </c>
      <c r="E612" s="1052" t="s">
        <v>4091</v>
      </c>
      <c r="F612" s="1053" t="s">
        <v>5095</v>
      </c>
    </row>
    <row r="613" spans="1:6" s="1198" customFormat="1" ht="15" x14ac:dyDescent="0.25">
      <c r="B613" s="2479"/>
      <c r="C613" s="1051"/>
      <c r="D613" s="1051" t="s">
        <v>4096</v>
      </c>
      <c r="E613" s="1052" t="s">
        <v>4110</v>
      </c>
      <c r="F613" s="1053" t="s">
        <v>5161</v>
      </c>
    </row>
    <row r="614" spans="1:6" s="1198" customFormat="1" ht="15" x14ac:dyDescent="0.25">
      <c r="B614" s="2480"/>
      <c r="C614" s="1024"/>
      <c r="D614" s="1024" t="s">
        <v>4075</v>
      </c>
      <c r="E614" s="1025" t="s">
        <v>4111</v>
      </c>
      <c r="F614" s="1026"/>
    </row>
    <row r="615" spans="1:6" s="1198" customFormat="1" ht="76.5" x14ac:dyDescent="0.25">
      <c r="A615" s="1020"/>
      <c r="B615" s="2478" t="s">
        <v>4561</v>
      </c>
      <c r="C615" s="1021" t="s">
        <v>5096</v>
      </c>
      <c r="D615" s="1021" t="s">
        <v>5094</v>
      </c>
      <c r="E615" s="1022" t="s">
        <v>5162</v>
      </c>
      <c r="F615" s="1023" t="s">
        <v>5163</v>
      </c>
    </row>
    <row r="616" spans="1:6" s="1198" customFormat="1" ht="15" x14ac:dyDescent="0.25">
      <c r="B616" s="2479"/>
      <c r="C616" s="1051"/>
      <c r="D616" s="1051" t="s">
        <v>4070</v>
      </c>
      <c r="E616" s="1052" t="s">
        <v>4106</v>
      </c>
      <c r="F616" s="1053" t="s">
        <v>522</v>
      </c>
    </row>
    <row r="617" spans="1:6" s="1198" customFormat="1" ht="51" x14ac:dyDescent="0.25">
      <c r="B617" s="2479"/>
      <c r="C617" s="1051"/>
      <c r="D617" s="1051" t="s">
        <v>4071</v>
      </c>
      <c r="E617" s="1052" t="s">
        <v>4072</v>
      </c>
      <c r="F617" s="1053" t="s">
        <v>522</v>
      </c>
    </row>
    <row r="618" spans="1:6" s="1198" customFormat="1" ht="15" x14ac:dyDescent="0.25">
      <c r="B618" s="2479"/>
      <c r="C618" s="1051"/>
      <c r="D618" s="1051" t="s">
        <v>4076</v>
      </c>
      <c r="E618" s="1052" t="s">
        <v>4077</v>
      </c>
      <c r="F618" s="1053" t="s">
        <v>5164</v>
      </c>
    </row>
    <row r="619" spans="1:6" s="1198" customFormat="1" ht="15" x14ac:dyDescent="0.25">
      <c r="B619" s="2479"/>
      <c r="C619" s="1051"/>
      <c r="D619" s="1051" t="s">
        <v>4078</v>
      </c>
      <c r="E619" s="1052" t="s">
        <v>4079</v>
      </c>
      <c r="F619" s="1053" t="s">
        <v>5165</v>
      </c>
    </row>
    <row r="620" spans="1:6" s="1198" customFormat="1" ht="15" x14ac:dyDescent="0.25">
      <c r="B620" s="2479"/>
      <c r="C620" s="1051"/>
      <c r="D620" s="1051" t="s">
        <v>4080</v>
      </c>
      <c r="E620" s="1052" t="s">
        <v>522</v>
      </c>
      <c r="F620" s="1053" t="s">
        <v>522</v>
      </c>
    </row>
    <row r="621" spans="1:6" s="1198" customFormat="1" ht="15" x14ac:dyDescent="0.25">
      <c r="B621" s="2479"/>
      <c r="C621" s="1051"/>
      <c r="D621" s="1051" t="s">
        <v>4082</v>
      </c>
      <c r="E621" s="1052" t="s">
        <v>522</v>
      </c>
      <c r="F621" s="1053" t="s">
        <v>522</v>
      </c>
    </row>
    <row r="622" spans="1:6" s="1198" customFormat="1" ht="15" x14ac:dyDescent="0.25">
      <c r="B622" s="2479"/>
      <c r="C622" s="1051"/>
      <c r="D622" s="1051" t="s">
        <v>4084</v>
      </c>
      <c r="E622" s="1052" t="s">
        <v>4090</v>
      </c>
      <c r="F622" s="1053" t="s">
        <v>5097</v>
      </c>
    </row>
    <row r="623" spans="1:6" s="1198" customFormat="1" ht="15" x14ac:dyDescent="0.25">
      <c r="B623" s="2480"/>
      <c r="C623" s="1024"/>
      <c r="D623" s="1024" t="s">
        <v>4075</v>
      </c>
      <c r="E623" s="1025" t="s">
        <v>4112</v>
      </c>
      <c r="F623" s="1026"/>
    </row>
    <row r="624" spans="1:6" s="1198" customFormat="1" ht="24" customHeight="1" x14ac:dyDescent="0.25">
      <c r="A624" s="1018"/>
      <c r="B624" s="2469" t="s">
        <v>5098</v>
      </c>
      <c r="C624" s="2467"/>
      <c r="D624" s="2467"/>
      <c r="E624" s="2467"/>
      <c r="F624" s="2467"/>
    </row>
    <row r="625" spans="1:6" s="1198" customFormat="1" ht="76.5" x14ac:dyDescent="0.25">
      <c r="A625" s="1020"/>
      <c r="B625" s="2478" t="s">
        <v>1068</v>
      </c>
      <c r="C625" s="1021" t="s">
        <v>5099</v>
      </c>
      <c r="D625" s="1021" t="s">
        <v>4538</v>
      </c>
      <c r="E625" s="1022" t="s">
        <v>5166</v>
      </c>
      <c r="F625" s="1023" t="s">
        <v>5167</v>
      </c>
    </row>
    <row r="626" spans="1:6" s="1198" customFormat="1" ht="38.25" x14ac:dyDescent="0.25">
      <c r="B626" s="2479"/>
      <c r="C626" s="1051"/>
      <c r="D626" s="1051" t="s">
        <v>4395</v>
      </c>
      <c r="E626" s="1052" t="s">
        <v>4396</v>
      </c>
      <c r="F626" s="1053" t="s">
        <v>522</v>
      </c>
    </row>
    <row r="627" spans="1:6" s="1198" customFormat="1" ht="15" x14ac:dyDescent="0.25">
      <c r="B627" s="2479"/>
      <c r="C627" s="1051"/>
      <c r="D627" s="1051" t="s">
        <v>4070</v>
      </c>
      <c r="E627" s="1052" t="s">
        <v>4106</v>
      </c>
      <c r="F627" s="1053" t="s">
        <v>522</v>
      </c>
    </row>
    <row r="628" spans="1:6" s="1198" customFormat="1" ht="51" x14ac:dyDescent="0.25">
      <c r="B628" s="2479"/>
      <c r="C628" s="1051"/>
      <c r="D628" s="1051" t="s">
        <v>4071</v>
      </c>
      <c r="E628" s="1052" t="s">
        <v>4072</v>
      </c>
      <c r="F628" s="1053" t="s">
        <v>522</v>
      </c>
    </row>
    <row r="629" spans="1:6" s="1198" customFormat="1" ht="15" x14ac:dyDescent="0.25">
      <c r="B629" s="2479"/>
      <c r="C629" s="1051"/>
      <c r="D629" s="1051" t="s">
        <v>4095</v>
      </c>
      <c r="E629" s="1052" t="s">
        <v>4091</v>
      </c>
      <c r="F629" s="1053" t="s">
        <v>5100</v>
      </c>
    </row>
    <row r="630" spans="1:6" s="1198" customFormat="1" ht="15" x14ac:dyDescent="0.25">
      <c r="B630" s="2479"/>
      <c r="C630" s="1051"/>
      <c r="D630" s="1051" t="s">
        <v>4096</v>
      </c>
      <c r="E630" s="1052" t="s">
        <v>4766</v>
      </c>
      <c r="F630" s="1053" t="s">
        <v>5168</v>
      </c>
    </row>
    <row r="631" spans="1:6" s="1198" customFormat="1" ht="15" x14ac:dyDescent="0.25">
      <c r="B631" s="2480"/>
      <c r="C631" s="1024"/>
      <c r="D631" s="1024" t="s">
        <v>4075</v>
      </c>
      <c r="E631" s="1025" t="s">
        <v>4767</v>
      </c>
      <c r="F631" s="1026"/>
    </row>
    <row r="632" spans="1:6" s="1198" customFormat="1" ht="76.5" x14ac:dyDescent="0.25">
      <c r="A632" s="1020"/>
      <c r="B632" s="2478" t="s">
        <v>4565</v>
      </c>
      <c r="C632" s="1021" t="s">
        <v>5101</v>
      </c>
      <c r="D632" s="1021" t="s">
        <v>4538</v>
      </c>
      <c r="E632" s="1022" t="s">
        <v>5169</v>
      </c>
      <c r="F632" s="1023" t="s">
        <v>5170</v>
      </c>
    </row>
    <row r="633" spans="1:6" s="1198" customFormat="1" ht="15" x14ac:dyDescent="0.25">
      <c r="B633" s="2479"/>
      <c r="C633" s="1051"/>
      <c r="D633" s="1051" t="s">
        <v>4070</v>
      </c>
      <c r="E633" s="1052" t="s">
        <v>4106</v>
      </c>
      <c r="F633" s="1053" t="s">
        <v>522</v>
      </c>
    </row>
    <row r="634" spans="1:6" s="1198" customFormat="1" ht="51" x14ac:dyDescent="0.25">
      <c r="B634" s="2479"/>
      <c r="C634" s="1051"/>
      <c r="D634" s="1051" t="s">
        <v>4071</v>
      </c>
      <c r="E634" s="1052" t="s">
        <v>4072</v>
      </c>
      <c r="F634" s="1053" t="s">
        <v>522</v>
      </c>
    </row>
    <row r="635" spans="1:6" s="1198" customFormat="1" ht="15" x14ac:dyDescent="0.25">
      <c r="B635" s="2479"/>
      <c r="C635" s="1051"/>
      <c r="D635" s="1051" t="s">
        <v>4076</v>
      </c>
      <c r="E635" s="1052" t="s">
        <v>4077</v>
      </c>
      <c r="F635" s="1053" t="s">
        <v>5171</v>
      </c>
    </row>
    <row r="636" spans="1:6" s="1198" customFormat="1" ht="15" x14ac:dyDescent="0.25">
      <c r="B636" s="2479"/>
      <c r="C636" s="1051"/>
      <c r="D636" s="1051" t="s">
        <v>4080</v>
      </c>
      <c r="E636" s="1052" t="s">
        <v>522</v>
      </c>
      <c r="F636" s="1053" t="s">
        <v>522</v>
      </c>
    </row>
    <row r="637" spans="1:6" s="1198" customFormat="1" ht="15" x14ac:dyDescent="0.25">
      <c r="B637" s="2479"/>
      <c r="C637" s="1051"/>
      <c r="D637" s="1051" t="s">
        <v>4082</v>
      </c>
      <c r="E637" s="1052" t="s">
        <v>522</v>
      </c>
      <c r="F637" s="1053" t="s">
        <v>522</v>
      </c>
    </row>
    <row r="638" spans="1:6" s="1198" customFormat="1" ht="15" x14ac:dyDescent="0.25">
      <c r="B638" s="2479"/>
      <c r="C638" s="1051"/>
      <c r="D638" s="1051" t="s">
        <v>4084</v>
      </c>
      <c r="E638" s="1052" t="s">
        <v>4090</v>
      </c>
      <c r="F638" s="1053" t="s">
        <v>5102</v>
      </c>
    </row>
    <row r="639" spans="1:6" s="1198" customFormat="1" ht="15" x14ac:dyDescent="0.25">
      <c r="B639" s="2480"/>
      <c r="C639" s="1024"/>
      <c r="D639" s="1024" t="s">
        <v>4075</v>
      </c>
      <c r="E639" s="1025" t="s">
        <v>4768</v>
      </c>
      <c r="F639" s="1026"/>
    </row>
    <row r="640" spans="1:6" s="1198" customFormat="1" ht="24" customHeight="1" x14ac:dyDescent="0.25">
      <c r="A640" s="1018"/>
      <c r="B640" s="2469" t="s">
        <v>5103</v>
      </c>
      <c r="C640" s="2467"/>
      <c r="D640" s="2467"/>
      <c r="E640" s="2467"/>
      <c r="F640" s="2467"/>
    </row>
    <row r="641" spans="1:6" s="1198" customFormat="1" ht="15" x14ac:dyDescent="0.25">
      <c r="A641" s="1018"/>
      <c r="B641" s="2469" t="s">
        <v>5104</v>
      </c>
      <c r="C641" s="2467"/>
      <c r="D641" s="2467"/>
      <c r="E641" s="2467"/>
      <c r="F641" s="2467"/>
    </row>
    <row r="642" spans="1:6" s="1198" customFormat="1" ht="76.5" x14ac:dyDescent="0.25">
      <c r="A642" s="1020"/>
      <c r="B642" s="2478" t="s">
        <v>1073</v>
      </c>
      <c r="C642" s="1021" t="s">
        <v>4541</v>
      </c>
      <c r="D642" s="1021" t="s">
        <v>4289</v>
      </c>
      <c r="E642" s="1022" t="s">
        <v>4769</v>
      </c>
      <c r="F642" s="1023" t="s">
        <v>4770</v>
      </c>
    </row>
    <row r="643" spans="1:6" s="1198" customFormat="1" ht="15" x14ac:dyDescent="0.25">
      <c r="B643" s="2479"/>
      <c r="C643" s="1051"/>
      <c r="D643" s="1051" t="s">
        <v>4542</v>
      </c>
      <c r="E643" s="1052" t="s">
        <v>4543</v>
      </c>
      <c r="F643" s="1053" t="s">
        <v>522</v>
      </c>
    </row>
    <row r="644" spans="1:6" s="1198" customFormat="1" ht="38.25" x14ac:dyDescent="0.25">
      <c r="B644" s="2479"/>
      <c r="C644" s="1051"/>
      <c r="D644" s="1051" t="s">
        <v>4395</v>
      </c>
      <c r="E644" s="1052" t="s">
        <v>4396</v>
      </c>
      <c r="F644" s="1053" t="s">
        <v>522</v>
      </c>
    </row>
    <row r="645" spans="1:6" s="1198" customFormat="1" ht="15" x14ac:dyDescent="0.25">
      <c r="B645" s="2479"/>
      <c r="C645" s="1051"/>
      <c r="D645" s="1051" t="s">
        <v>4070</v>
      </c>
      <c r="E645" s="1052" t="s">
        <v>4106</v>
      </c>
      <c r="F645" s="1053" t="s">
        <v>522</v>
      </c>
    </row>
    <row r="646" spans="1:6" s="1198" customFormat="1" ht="51" x14ac:dyDescent="0.25">
      <c r="B646" s="2479"/>
      <c r="C646" s="1051"/>
      <c r="D646" s="1051" t="s">
        <v>4071</v>
      </c>
      <c r="E646" s="1052" t="s">
        <v>4072</v>
      </c>
      <c r="F646" s="1053" t="s">
        <v>522</v>
      </c>
    </row>
    <row r="647" spans="1:6" s="1198" customFormat="1" ht="15" x14ac:dyDescent="0.25">
      <c r="B647" s="2479"/>
      <c r="C647" s="1051"/>
      <c r="D647" s="1051" t="s">
        <v>4073</v>
      </c>
      <c r="E647" s="1052" t="s">
        <v>4074</v>
      </c>
      <c r="F647" s="1053" t="s">
        <v>4771</v>
      </c>
    </row>
    <row r="648" spans="1:6" s="1198" customFormat="1" ht="15" x14ac:dyDescent="0.25">
      <c r="B648" s="2479"/>
      <c r="C648" s="1051"/>
      <c r="D648" s="1051" t="s">
        <v>4290</v>
      </c>
      <c r="E648" s="1052" t="s">
        <v>4109</v>
      </c>
      <c r="F648" s="1053" t="s">
        <v>4772</v>
      </c>
    </row>
    <row r="649" spans="1:6" s="1198" customFormat="1" ht="15" x14ac:dyDescent="0.25">
      <c r="B649" s="2479"/>
      <c r="C649" s="1051"/>
      <c r="D649" s="1051" t="s">
        <v>4291</v>
      </c>
      <c r="E649" s="1052" t="s">
        <v>4101</v>
      </c>
      <c r="F649" s="1053" t="s">
        <v>4773</v>
      </c>
    </row>
    <row r="650" spans="1:6" s="1198" customFormat="1" ht="15" x14ac:dyDescent="0.25">
      <c r="B650" s="2479"/>
      <c r="C650" s="1051"/>
      <c r="D650" s="1051" t="s">
        <v>4292</v>
      </c>
      <c r="E650" s="1052" t="s">
        <v>4101</v>
      </c>
      <c r="F650" s="1053" t="s">
        <v>4773</v>
      </c>
    </row>
    <row r="651" spans="1:6" s="1198" customFormat="1" ht="15" x14ac:dyDescent="0.25">
      <c r="B651" s="2480"/>
      <c r="C651" s="1024"/>
      <c r="D651" s="1024" t="s">
        <v>4075</v>
      </c>
      <c r="E651" s="1025" t="s">
        <v>4107</v>
      </c>
      <c r="F651" s="1026"/>
    </row>
    <row r="652" spans="1:6" s="1198" customFormat="1" ht="76.5" x14ac:dyDescent="0.25">
      <c r="A652" s="1020"/>
      <c r="B652" s="2478" t="s">
        <v>4569</v>
      </c>
      <c r="C652" s="1021" t="s">
        <v>4546</v>
      </c>
      <c r="D652" s="1021" t="s">
        <v>4289</v>
      </c>
      <c r="E652" s="1022" t="s">
        <v>4774</v>
      </c>
      <c r="F652" s="1023" t="s">
        <v>4775</v>
      </c>
    </row>
    <row r="653" spans="1:6" s="1198" customFormat="1" ht="15" x14ac:dyDescent="0.25">
      <c r="B653" s="2479"/>
      <c r="C653" s="1051"/>
      <c r="D653" s="1051" t="s">
        <v>4542</v>
      </c>
      <c r="E653" s="1052" t="s">
        <v>4543</v>
      </c>
      <c r="F653" s="1053" t="s">
        <v>522</v>
      </c>
    </row>
    <row r="654" spans="1:6" s="1198" customFormat="1" ht="15" x14ac:dyDescent="0.25">
      <c r="B654" s="2479"/>
      <c r="C654" s="1051"/>
      <c r="D654" s="1051" t="s">
        <v>4070</v>
      </c>
      <c r="E654" s="1052" t="s">
        <v>4106</v>
      </c>
      <c r="F654" s="1053" t="s">
        <v>522</v>
      </c>
    </row>
    <row r="655" spans="1:6" s="1198" customFormat="1" ht="51" x14ac:dyDescent="0.25">
      <c r="B655" s="2479"/>
      <c r="C655" s="1051"/>
      <c r="D655" s="1051" t="s">
        <v>4071</v>
      </c>
      <c r="E655" s="1052" t="s">
        <v>4072</v>
      </c>
      <c r="F655" s="1053" t="s">
        <v>522</v>
      </c>
    </row>
    <row r="656" spans="1:6" s="1198" customFormat="1" ht="15" x14ac:dyDescent="0.25">
      <c r="B656" s="2479"/>
      <c r="C656" s="1051"/>
      <c r="D656" s="1051" t="s">
        <v>4076</v>
      </c>
      <c r="E656" s="1052" t="s">
        <v>522</v>
      </c>
      <c r="F656" s="1053" t="s">
        <v>522</v>
      </c>
    </row>
    <row r="657" spans="1:6" s="1198" customFormat="1" ht="15" x14ac:dyDescent="0.25">
      <c r="B657" s="2479"/>
      <c r="C657" s="1051"/>
      <c r="D657" s="1051" t="s">
        <v>4078</v>
      </c>
      <c r="E657" s="1052" t="s">
        <v>522</v>
      </c>
      <c r="F657" s="1053" t="s">
        <v>522</v>
      </c>
    </row>
    <row r="658" spans="1:6" s="1198" customFormat="1" ht="15" x14ac:dyDescent="0.25">
      <c r="B658" s="2479"/>
      <c r="C658" s="1051"/>
      <c r="D658" s="1051" t="s">
        <v>4084</v>
      </c>
      <c r="E658" s="1052" t="s">
        <v>4102</v>
      </c>
      <c r="F658" s="1053" t="s">
        <v>4776</v>
      </c>
    </row>
    <row r="659" spans="1:6" s="1198" customFormat="1" ht="15" x14ac:dyDescent="0.25">
      <c r="B659" s="2480"/>
      <c r="C659" s="1024"/>
      <c r="D659" s="1024" t="s">
        <v>4075</v>
      </c>
      <c r="E659" s="1025" t="s">
        <v>4108</v>
      </c>
      <c r="F659" s="1026"/>
    </row>
    <row r="660" spans="1:6" s="1198" customFormat="1" ht="76.5" x14ac:dyDescent="0.25">
      <c r="A660" s="1020"/>
      <c r="B660" s="2478" t="s">
        <v>1078</v>
      </c>
      <c r="C660" s="1021" t="s">
        <v>5105</v>
      </c>
      <c r="D660" s="1021" t="s">
        <v>4289</v>
      </c>
      <c r="E660" s="1022" t="s">
        <v>5172</v>
      </c>
      <c r="F660" s="1023" t="s">
        <v>5173</v>
      </c>
    </row>
    <row r="661" spans="1:6" s="1198" customFormat="1" ht="15" x14ac:dyDescent="0.25">
      <c r="B661" s="2479"/>
      <c r="C661" s="1051"/>
      <c r="D661" s="1051" t="s">
        <v>4542</v>
      </c>
      <c r="E661" s="1052" t="s">
        <v>4543</v>
      </c>
      <c r="F661" s="1053" t="s">
        <v>522</v>
      </c>
    </row>
    <row r="662" spans="1:6" s="1198" customFormat="1" ht="38.25" x14ac:dyDescent="0.25">
      <c r="B662" s="2479"/>
      <c r="C662" s="1051"/>
      <c r="D662" s="1051" t="s">
        <v>4395</v>
      </c>
      <c r="E662" s="1052" t="s">
        <v>4396</v>
      </c>
      <c r="F662" s="1053" t="s">
        <v>522</v>
      </c>
    </row>
    <row r="663" spans="1:6" s="1198" customFormat="1" ht="38.25" x14ac:dyDescent="0.25">
      <c r="B663" s="2479"/>
      <c r="C663" s="1051"/>
      <c r="D663" s="1051" t="s">
        <v>4547</v>
      </c>
      <c r="E663" s="1052" t="s">
        <v>4548</v>
      </c>
      <c r="F663" s="1053" t="s">
        <v>522</v>
      </c>
    </row>
    <row r="664" spans="1:6" s="1198" customFormat="1" ht="15" x14ac:dyDescent="0.25">
      <c r="B664" s="2479"/>
      <c r="C664" s="1051"/>
      <c r="D664" s="1051" t="s">
        <v>4070</v>
      </c>
      <c r="E664" s="1052" t="s">
        <v>4106</v>
      </c>
      <c r="F664" s="1053" t="s">
        <v>522</v>
      </c>
    </row>
    <row r="665" spans="1:6" s="1198" customFormat="1" ht="51" x14ac:dyDescent="0.25">
      <c r="B665" s="2479"/>
      <c r="C665" s="1051"/>
      <c r="D665" s="1051" t="s">
        <v>4071</v>
      </c>
      <c r="E665" s="1052" t="s">
        <v>4072</v>
      </c>
      <c r="F665" s="1053" t="s">
        <v>522</v>
      </c>
    </row>
    <row r="666" spans="1:6" s="1198" customFormat="1" ht="15" x14ac:dyDescent="0.25">
      <c r="B666" s="2479"/>
      <c r="C666" s="1051"/>
      <c r="D666" s="1051" t="s">
        <v>4073</v>
      </c>
      <c r="E666" s="1052" t="s">
        <v>4074</v>
      </c>
      <c r="F666" s="1053" t="s">
        <v>5174</v>
      </c>
    </row>
    <row r="667" spans="1:6" s="1198" customFormat="1" ht="15" x14ac:dyDescent="0.25">
      <c r="B667" s="2479"/>
      <c r="C667" s="1051"/>
      <c r="D667" s="1051" t="s">
        <v>4290</v>
      </c>
      <c r="E667" s="1052" t="s">
        <v>4109</v>
      </c>
      <c r="F667" s="1053" t="s">
        <v>5175</v>
      </c>
    </row>
    <row r="668" spans="1:6" s="1198" customFormat="1" ht="15" x14ac:dyDescent="0.25">
      <c r="B668" s="2479"/>
      <c r="C668" s="1051"/>
      <c r="D668" s="1051" t="s">
        <v>4291</v>
      </c>
      <c r="E668" s="1052" t="s">
        <v>4101</v>
      </c>
      <c r="F668" s="1053" t="s">
        <v>5176</v>
      </c>
    </row>
    <row r="669" spans="1:6" s="1198" customFormat="1" ht="15" x14ac:dyDescent="0.25">
      <c r="B669" s="2479"/>
      <c r="C669" s="1051"/>
      <c r="D669" s="1051" t="s">
        <v>4292</v>
      </c>
      <c r="E669" s="1052" t="s">
        <v>4101</v>
      </c>
      <c r="F669" s="1053" t="s">
        <v>5176</v>
      </c>
    </row>
    <row r="670" spans="1:6" s="1198" customFormat="1" ht="15" x14ac:dyDescent="0.25">
      <c r="B670" s="2480"/>
      <c r="C670" s="1024"/>
      <c r="D670" s="1024" t="s">
        <v>4075</v>
      </c>
      <c r="E670" s="1025" t="s">
        <v>4107</v>
      </c>
      <c r="F670" s="1026"/>
    </row>
    <row r="671" spans="1:6" s="1198" customFormat="1" ht="76.5" x14ac:dyDescent="0.25">
      <c r="A671" s="1020"/>
      <c r="B671" s="2478" t="s">
        <v>4572</v>
      </c>
      <c r="C671" s="1021" t="s">
        <v>5106</v>
      </c>
      <c r="D671" s="1021" t="s">
        <v>4289</v>
      </c>
      <c r="E671" s="1022" t="s">
        <v>5177</v>
      </c>
      <c r="F671" s="1023" t="s">
        <v>5178</v>
      </c>
    </row>
    <row r="672" spans="1:6" s="1198" customFormat="1" ht="15" x14ac:dyDescent="0.25">
      <c r="B672" s="2479"/>
      <c r="C672" s="1051"/>
      <c r="D672" s="1051" t="s">
        <v>4542</v>
      </c>
      <c r="E672" s="1052" t="s">
        <v>4543</v>
      </c>
      <c r="F672" s="1053" t="s">
        <v>522</v>
      </c>
    </row>
    <row r="673" spans="1:6" s="1198" customFormat="1" ht="38.25" x14ac:dyDescent="0.25">
      <c r="B673" s="2479"/>
      <c r="C673" s="1051"/>
      <c r="D673" s="1051" t="s">
        <v>4547</v>
      </c>
      <c r="E673" s="1052" t="s">
        <v>4550</v>
      </c>
      <c r="F673" s="1053" t="s">
        <v>522</v>
      </c>
    </row>
    <row r="674" spans="1:6" s="1198" customFormat="1" ht="15" x14ac:dyDescent="0.25">
      <c r="B674" s="2479"/>
      <c r="C674" s="1051"/>
      <c r="D674" s="1051" t="s">
        <v>4070</v>
      </c>
      <c r="E674" s="1052" t="s">
        <v>4106</v>
      </c>
      <c r="F674" s="1053" t="s">
        <v>522</v>
      </c>
    </row>
    <row r="675" spans="1:6" s="1198" customFormat="1" ht="51" x14ac:dyDescent="0.25">
      <c r="B675" s="2479"/>
      <c r="C675" s="1051"/>
      <c r="D675" s="1051" t="s">
        <v>4071</v>
      </c>
      <c r="E675" s="1052" t="s">
        <v>4072</v>
      </c>
      <c r="F675" s="1053" t="s">
        <v>522</v>
      </c>
    </row>
    <row r="676" spans="1:6" s="1198" customFormat="1" ht="15" x14ac:dyDescent="0.25">
      <c r="B676" s="2479"/>
      <c r="C676" s="1051"/>
      <c r="D676" s="1051" t="s">
        <v>4076</v>
      </c>
      <c r="E676" s="1052" t="s">
        <v>522</v>
      </c>
      <c r="F676" s="1053" t="s">
        <v>522</v>
      </c>
    </row>
    <row r="677" spans="1:6" s="1198" customFormat="1" ht="15" x14ac:dyDescent="0.25">
      <c r="B677" s="2479"/>
      <c r="C677" s="1051"/>
      <c r="D677" s="1051" t="s">
        <v>4078</v>
      </c>
      <c r="E677" s="1052" t="s">
        <v>522</v>
      </c>
      <c r="F677" s="1053" t="s">
        <v>522</v>
      </c>
    </row>
    <row r="678" spans="1:6" s="1198" customFormat="1" ht="15" x14ac:dyDescent="0.25">
      <c r="B678" s="2479"/>
      <c r="C678" s="1051"/>
      <c r="D678" s="1051" t="s">
        <v>4084</v>
      </c>
      <c r="E678" s="1052" t="s">
        <v>4102</v>
      </c>
      <c r="F678" s="1053" t="s">
        <v>4544</v>
      </c>
    </row>
    <row r="679" spans="1:6" s="1198" customFormat="1" ht="15" x14ac:dyDescent="0.25">
      <c r="B679" s="2480"/>
      <c r="C679" s="1024"/>
      <c r="D679" s="1024" t="s">
        <v>4075</v>
      </c>
      <c r="E679" s="1025" t="s">
        <v>4108</v>
      </c>
      <c r="F679" s="1026"/>
    </row>
    <row r="680" spans="1:6" s="1198" customFormat="1" ht="15" x14ac:dyDescent="0.25">
      <c r="A680" s="1018"/>
      <c r="B680" s="2469" t="s">
        <v>5107</v>
      </c>
      <c r="C680" s="2467"/>
      <c r="D680" s="2467"/>
      <c r="E680" s="2467"/>
      <c r="F680" s="2467"/>
    </row>
    <row r="681" spans="1:6" s="1198" customFormat="1" ht="76.5" x14ac:dyDescent="0.25">
      <c r="A681" s="1020"/>
      <c r="B681" s="2478" t="s">
        <v>1088</v>
      </c>
      <c r="C681" s="1021" t="s">
        <v>5108</v>
      </c>
      <c r="D681" s="1021" t="s">
        <v>5109</v>
      </c>
      <c r="E681" s="1022" t="s">
        <v>5179</v>
      </c>
      <c r="F681" s="1023" t="s">
        <v>5180</v>
      </c>
    </row>
    <row r="682" spans="1:6" s="1198" customFormat="1" ht="38.25" x14ac:dyDescent="0.25">
      <c r="B682" s="2479"/>
      <c r="C682" s="1051"/>
      <c r="D682" s="1051" t="s">
        <v>4395</v>
      </c>
      <c r="E682" s="1052" t="s">
        <v>4469</v>
      </c>
      <c r="F682" s="1053" t="s">
        <v>522</v>
      </c>
    </row>
    <row r="683" spans="1:6" s="1198" customFormat="1" ht="15" x14ac:dyDescent="0.25">
      <c r="B683" s="2479"/>
      <c r="C683" s="1051"/>
      <c r="D683" s="1051" t="s">
        <v>4070</v>
      </c>
      <c r="E683" s="1052" t="s">
        <v>4106</v>
      </c>
      <c r="F683" s="1053" t="s">
        <v>522</v>
      </c>
    </row>
    <row r="684" spans="1:6" s="1198" customFormat="1" ht="51" x14ac:dyDescent="0.25">
      <c r="B684" s="2479"/>
      <c r="C684" s="1051"/>
      <c r="D684" s="1051" t="s">
        <v>4071</v>
      </c>
      <c r="E684" s="1052" t="s">
        <v>4072</v>
      </c>
      <c r="F684" s="1053" t="s">
        <v>522</v>
      </c>
    </row>
    <row r="685" spans="1:6" s="1198" customFormat="1" ht="15" x14ac:dyDescent="0.25">
      <c r="B685" s="2479"/>
      <c r="C685" s="1051"/>
      <c r="D685" s="1051" t="s">
        <v>4262</v>
      </c>
      <c r="E685" s="1052" t="s">
        <v>522</v>
      </c>
      <c r="F685" s="1053" t="s">
        <v>522</v>
      </c>
    </row>
    <row r="686" spans="1:6" s="1198" customFormat="1" ht="15" x14ac:dyDescent="0.25">
      <c r="B686" s="2479"/>
      <c r="C686" s="1051"/>
      <c r="D686" s="1051" t="s">
        <v>4073</v>
      </c>
      <c r="E686" s="1052" t="s">
        <v>4098</v>
      </c>
      <c r="F686" s="1053" t="s">
        <v>5181</v>
      </c>
    </row>
    <row r="687" spans="1:6" s="1198" customFormat="1" ht="15" x14ac:dyDescent="0.25">
      <c r="B687" s="2479"/>
      <c r="C687" s="1051"/>
      <c r="D687" s="1051" t="s">
        <v>4290</v>
      </c>
      <c r="E687" s="1052" t="s">
        <v>5182</v>
      </c>
      <c r="F687" s="1053" t="s">
        <v>5183</v>
      </c>
    </row>
    <row r="688" spans="1:6" s="1198" customFormat="1" ht="15" x14ac:dyDescent="0.25">
      <c r="B688" s="2479"/>
      <c r="C688" s="1051"/>
      <c r="D688" s="1051" t="s">
        <v>4291</v>
      </c>
      <c r="E688" s="1052" t="s">
        <v>4101</v>
      </c>
      <c r="F688" s="1053" t="s">
        <v>5184</v>
      </c>
    </row>
    <row r="689" spans="1:6" s="1198" customFormat="1" ht="15" x14ac:dyDescent="0.25">
      <c r="B689" s="2479"/>
      <c r="C689" s="1051"/>
      <c r="D689" s="1051" t="s">
        <v>4292</v>
      </c>
      <c r="E689" s="1052" t="s">
        <v>4101</v>
      </c>
      <c r="F689" s="1053" t="s">
        <v>5184</v>
      </c>
    </row>
    <row r="690" spans="1:6" s="1198" customFormat="1" ht="15" x14ac:dyDescent="0.25">
      <c r="B690" s="2480"/>
      <c r="C690" s="1024"/>
      <c r="D690" s="1024" t="s">
        <v>4075</v>
      </c>
      <c r="E690" s="1025" t="s">
        <v>5185</v>
      </c>
      <c r="F690" s="1026"/>
    </row>
    <row r="691" spans="1:6" s="1198" customFormat="1" ht="76.5" x14ac:dyDescent="0.25">
      <c r="A691" s="1020"/>
      <c r="B691" s="2478" t="s">
        <v>4576</v>
      </c>
      <c r="C691" s="1021" t="s">
        <v>5110</v>
      </c>
      <c r="D691" s="1021" t="s">
        <v>5109</v>
      </c>
      <c r="E691" s="1022" t="s">
        <v>5186</v>
      </c>
      <c r="F691" s="1023" t="s">
        <v>5187</v>
      </c>
    </row>
    <row r="692" spans="1:6" s="1198" customFormat="1" ht="15" x14ac:dyDescent="0.25">
      <c r="B692" s="2479"/>
      <c r="C692" s="1051"/>
      <c r="D692" s="1051" t="s">
        <v>4070</v>
      </c>
      <c r="E692" s="1052" t="s">
        <v>4106</v>
      </c>
      <c r="F692" s="1053" t="s">
        <v>522</v>
      </c>
    </row>
    <row r="693" spans="1:6" s="1198" customFormat="1" ht="51" x14ac:dyDescent="0.25">
      <c r="B693" s="2479"/>
      <c r="C693" s="1051"/>
      <c r="D693" s="1051" t="s">
        <v>4071</v>
      </c>
      <c r="E693" s="1052" t="s">
        <v>4072</v>
      </c>
      <c r="F693" s="1053" t="s">
        <v>522</v>
      </c>
    </row>
    <row r="694" spans="1:6" s="1198" customFormat="1" ht="15" x14ac:dyDescent="0.25">
      <c r="B694" s="2479"/>
      <c r="C694" s="1051"/>
      <c r="D694" s="1051" t="s">
        <v>4076</v>
      </c>
      <c r="E694" s="1052" t="s">
        <v>522</v>
      </c>
      <c r="F694" s="1053" t="s">
        <v>522</v>
      </c>
    </row>
    <row r="695" spans="1:6" s="1198" customFormat="1" ht="15" x14ac:dyDescent="0.25">
      <c r="B695" s="2479"/>
      <c r="C695" s="1051"/>
      <c r="D695" s="1051" t="s">
        <v>4078</v>
      </c>
      <c r="E695" s="1052" t="s">
        <v>522</v>
      </c>
      <c r="F695" s="1053" t="s">
        <v>522</v>
      </c>
    </row>
    <row r="696" spans="1:6" s="1198" customFormat="1" ht="15" x14ac:dyDescent="0.25">
      <c r="B696" s="2479"/>
      <c r="C696" s="1051"/>
      <c r="D696" s="1051" t="s">
        <v>4084</v>
      </c>
      <c r="E696" s="1052" t="s">
        <v>4101</v>
      </c>
      <c r="F696" s="1053" t="s">
        <v>5188</v>
      </c>
    </row>
    <row r="697" spans="1:6" s="1198" customFormat="1" ht="15" x14ac:dyDescent="0.25">
      <c r="B697" s="2480"/>
      <c r="C697" s="1024"/>
      <c r="D697" s="1024" t="s">
        <v>4075</v>
      </c>
      <c r="E697" s="1025" t="s">
        <v>5189</v>
      </c>
      <c r="F697" s="1026"/>
    </row>
    <row r="698" spans="1:6" s="1198" customFormat="1" ht="76.5" x14ac:dyDescent="0.25">
      <c r="A698" s="1020"/>
      <c r="B698" s="2478" t="s">
        <v>1093</v>
      </c>
      <c r="C698" s="1021" t="s">
        <v>5111</v>
      </c>
      <c r="D698" s="1021" t="s">
        <v>5112</v>
      </c>
      <c r="E698" s="1022" t="s">
        <v>5190</v>
      </c>
      <c r="F698" s="1023" t="s">
        <v>5191</v>
      </c>
    </row>
    <row r="699" spans="1:6" s="1198" customFormat="1" ht="38.25" x14ac:dyDescent="0.25">
      <c r="B699" s="2479"/>
      <c r="C699" s="1051"/>
      <c r="D699" s="1051" t="s">
        <v>4395</v>
      </c>
      <c r="E699" s="1052" t="s">
        <v>4469</v>
      </c>
      <c r="F699" s="1053" t="s">
        <v>522</v>
      </c>
    </row>
    <row r="700" spans="1:6" s="1198" customFormat="1" ht="15" x14ac:dyDescent="0.25">
      <c r="B700" s="2479"/>
      <c r="C700" s="1051"/>
      <c r="D700" s="1051" t="s">
        <v>4070</v>
      </c>
      <c r="E700" s="1052" t="s">
        <v>4106</v>
      </c>
      <c r="F700" s="1053" t="s">
        <v>522</v>
      </c>
    </row>
    <row r="701" spans="1:6" s="1198" customFormat="1" ht="51" x14ac:dyDescent="0.25">
      <c r="B701" s="2479"/>
      <c r="C701" s="1051"/>
      <c r="D701" s="1051" t="s">
        <v>4071</v>
      </c>
      <c r="E701" s="1052" t="s">
        <v>4072</v>
      </c>
      <c r="F701" s="1053" t="s">
        <v>522</v>
      </c>
    </row>
    <row r="702" spans="1:6" s="1198" customFormat="1" ht="15" x14ac:dyDescent="0.25">
      <c r="B702" s="2479"/>
      <c r="C702" s="1051"/>
      <c r="D702" s="1051" t="s">
        <v>4073</v>
      </c>
      <c r="E702" s="1052" t="s">
        <v>5192</v>
      </c>
      <c r="F702" s="1053" t="s">
        <v>5193</v>
      </c>
    </row>
    <row r="703" spans="1:6" s="1198" customFormat="1" ht="15" x14ac:dyDescent="0.25">
      <c r="B703" s="2479"/>
      <c r="C703" s="1051"/>
      <c r="D703" s="1051" t="s">
        <v>4290</v>
      </c>
      <c r="E703" s="1052" t="s">
        <v>5194</v>
      </c>
      <c r="F703" s="1053" t="s">
        <v>5195</v>
      </c>
    </row>
    <row r="704" spans="1:6" s="1198" customFormat="1" ht="15" x14ac:dyDescent="0.25">
      <c r="B704" s="2479"/>
      <c r="C704" s="1051"/>
      <c r="D704" s="1051" t="s">
        <v>4291</v>
      </c>
      <c r="E704" s="1052" t="s">
        <v>4074</v>
      </c>
      <c r="F704" s="1053" t="s">
        <v>5196</v>
      </c>
    </row>
    <row r="705" spans="1:6" s="1198" customFormat="1" ht="15" x14ac:dyDescent="0.25">
      <c r="B705" s="2480"/>
      <c r="C705" s="1024"/>
      <c r="D705" s="1024" t="s">
        <v>4075</v>
      </c>
      <c r="E705" s="1025" t="s">
        <v>5197</v>
      </c>
      <c r="F705" s="1026"/>
    </row>
    <row r="706" spans="1:6" s="1198" customFormat="1" ht="76.5" x14ac:dyDescent="0.25">
      <c r="A706" s="1020"/>
      <c r="B706" s="2478" t="s">
        <v>4579</v>
      </c>
      <c r="C706" s="1021" t="s">
        <v>5113</v>
      </c>
      <c r="D706" s="1021" t="s">
        <v>5112</v>
      </c>
      <c r="E706" s="1022" t="s">
        <v>5198</v>
      </c>
      <c r="F706" s="1023" t="s">
        <v>5199</v>
      </c>
    </row>
    <row r="707" spans="1:6" s="1198" customFormat="1" ht="15" x14ac:dyDescent="0.25">
      <c r="B707" s="2479"/>
      <c r="C707" s="1051"/>
      <c r="D707" s="1051" t="s">
        <v>4070</v>
      </c>
      <c r="E707" s="1052" t="s">
        <v>4106</v>
      </c>
      <c r="F707" s="1053" t="s">
        <v>522</v>
      </c>
    </row>
    <row r="708" spans="1:6" s="1198" customFormat="1" ht="51" x14ac:dyDescent="0.25">
      <c r="B708" s="2479"/>
      <c r="C708" s="1051"/>
      <c r="D708" s="1051" t="s">
        <v>4071</v>
      </c>
      <c r="E708" s="1052" t="s">
        <v>4072</v>
      </c>
      <c r="F708" s="1053" t="s">
        <v>522</v>
      </c>
    </row>
    <row r="709" spans="1:6" s="1198" customFormat="1" ht="15" x14ac:dyDescent="0.25">
      <c r="B709" s="2479"/>
      <c r="C709" s="1051"/>
      <c r="D709" s="1051" t="s">
        <v>4076</v>
      </c>
      <c r="E709" s="1052" t="s">
        <v>522</v>
      </c>
      <c r="F709" s="1053" t="s">
        <v>522</v>
      </c>
    </row>
    <row r="710" spans="1:6" s="1198" customFormat="1" ht="15" x14ac:dyDescent="0.25">
      <c r="B710" s="2479"/>
      <c r="C710" s="1051"/>
      <c r="D710" s="1051" t="s">
        <v>4078</v>
      </c>
      <c r="E710" s="1052" t="s">
        <v>522</v>
      </c>
      <c r="F710" s="1053" t="s">
        <v>522</v>
      </c>
    </row>
    <row r="711" spans="1:6" s="1198" customFormat="1" ht="15" x14ac:dyDescent="0.25">
      <c r="B711" s="2479"/>
      <c r="C711" s="1051"/>
      <c r="D711" s="1051" t="s">
        <v>4084</v>
      </c>
      <c r="E711" s="1052" t="s">
        <v>5200</v>
      </c>
      <c r="F711" s="1053" t="s">
        <v>5201</v>
      </c>
    </row>
    <row r="712" spans="1:6" s="1198" customFormat="1" ht="15" x14ac:dyDescent="0.25">
      <c r="B712" s="2480"/>
      <c r="C712" s="1024"/>
      <c r="D712" s="1024" t="s">
        <v>4075</v>
      </c>
      <c r="E712" s="1025" t="s">
        <v>5202</v>
      </c>
      <c r="F712" s="1026"/>
    </row>
    <row r="713" spans="1:6" s="1198" customFormat="1" ht="76.5" x14ac:dyDescent="0.25">
      <c r="A713" s="1020"/>
      <c r="B713" s="2478" t="s">
        <v>1098</v>
      </c>
      <c r="C713" s="1021" t="s">
        <v>5114</v>
      </c>
      <c r="D713" s="1021" t="s">
        <v>5115</v>
      </c>
      <c r="E713" s="1022" t="s">
        <v>5203</v>
      </c>
      <c r="F713" s="1023" t="s">
        <v>5204</v>
      </c>
    </row>
    <row r="714" spans="1:6" s="1198" customFormat="1" ht="38.25" x14ac:dyDescent="0.25">
      <c r="B714" s="2479"/>
      <c r="C714" s="1051"/>
      <c r="D714" s="1051" t="s">
        <v>4395</v>
      </c>
      <c r="E714" s="1052" t="s">
        <v>4469</v>
      </c>
      <c r="F714" s="1053" t="s">
        <v>522</v>
      </c>
    </row>
    <row r="715" spans="1:6" s="1198" customFormat="1" ht="15" x14ac:dyDescent="0.25">
      <c r="B715" s="2479"/>
      <c r="C715" s="1051"/>
      <c r="D715" s="1051" t="s">
        <v>4070</v>
      </c>
      <c r="E715" s="1052" t="s">
        <v>4106</v>
      </c>
      <c r="F715" s="1053" t="s">
        <v>522</v>
      </c>
    </row>
    <row r="716" spans="1:6" s="1198" customFormat="1" ht="51" x14ac:dyDescent="0.25">
      <c r="B716" s="2479"/>
      <c r="C716" s="1051"/>
      <c r="D716" s="1051" t="s">
        <v>4071</v>
      </c>
      <c r="E716" s="1052" t="s">
        <v>4072</v>
      </c>
      <c r="F716" s="1053" t="s">
        <v>522</v>
      </c>
    </row>
    <row r="717" spans="1:6" s="1198" customFormat="1" ht="15" x14ac:dyDescent="0.25">
      <c r="B717" s="2479"/>
      <c r="C717" s="1051"/>
      <c r="D717" s="1051" t="s">
        <v>4073</v>
      </c>
      <c r="E717" s="1052" t="s">
        <v>4098</v>
      </c>
      <c r="F717" s="1053" t="s">
        <v>5205</v>
      </c>
    </row>
    <row r="718" spans="1:6" s="1198" customFormat="1" ht="15" x14ac:dyDescent="0.25">
      <c r="B718" s="2479"/>
      <c r="C718" s="1051"/>
      <c r="D718" s="1051" t="s">
        <v>4290</v>
      </c>
      <c r="E718" s="1052" t="s">
        <v>4109</v>
      </c>
      <c r="F718" s="1053" t="s">
        <v>5206</v>
      </c>
    </row>
    <row r="719" spans="1:6" s="1198" customFormat="1" ht="15" x14ac:dyDescent="0.25">
      <c r="B719" s="2479"/>
      <c r="C719" s="1051"/>
      <c r="D719" s="1051" t="s">
        <v>4291</v>
      </c>
      <c r="E719" s="1052" t="s">
        <v>4074</v>
      </c>
      <c r="F719" s="1053" t="s">
        <v>5207</v>
      </c>
    </row>
    <row r="720" spans="1:6" s="1198" customFormat="1" ht="15" x14ac:dyDescent="0.25">
      <c r="B720" s="2480"/>
      <c r="C720" s="1024"/>
      <c r="D720" s="1024" t="s">
        <v>4075</v>
      </c>
      <c r="E720" s="1025" t="s">
        <v>4107</v>
      </c>
      <c r="F720" s="1026"/>
    </row>
    <row r="721" spans="1:6" s="1198" customFormat="1" ht="76.5" x14ac:dyDescent="0.25">
      <c r="A721" s="1020"/>
      <c r="B721" s="2478" t="s">
        <v>4586</v>
      </c>
      <c r="C721" s="1021" t="s">
        <v>5116</v>
      </c>
      <c r="D721" s="1021" t="s">
        <v>5115</v>
      </c>
      <c r="E721" s="1022" t="s">
        <v>5208</v>
      </c>
      <c r="F721" s="1023" t="s">
        <v>5209</v>
      </c>
    </row>
    <row r="722" spans="1:6" s="1198" customFormat="1" ht="15" x14ac:dyDescent="0.25">
      <c r="B722" s="2479"/>
      <c r="C722" s="1051"/>
      <c r="D722" s="1051" t="s">
        <v>4070</v>
      </c>
      <c r="E722" s="1052" t="s">
        <v>4106</v>
      </c>
      <c r="F722" s="1053" t="s">
        <v>522</v>
      </c>
    </row>
    <row r="723" spans="1:6" s="1198" customFormat="1" ht="51" x14ac:dyDescent="0.25">
      <c r="B723" s="2479"/>
      <c r="C723" s="1051"/>
      <c r="D723" s="1051" t="s">
        <v>4071</v>
      </c>
      <c r="E723" s="1052" t="s">
        <v>4072</v>
      </c>
      <c r="F723" s="1053" t="s">
        <v>522</v>
      </c>
    </row>
    <row r="724" spans="1:6" s="1198" customFormat="1" ht="15" x14ac:dyDescent="0.25">
      <c r="B724" s="2479"/>
      <c r="C724" s="1051"/>
      <c r="D724" s="1051" t="s">
        <v>4076</v>
      </c>
      <c r="E724" s="1052" t="s">
        <v>522</v>
      </c>
      <c r="F724" s="1053" t="s">
        <v>522</v>
      </c>
    </row>
    <row r="725" spans="1:6" s="1198" customFormat="1" ht="15" x14ac:dyDescent="0.25">
      <c r="B725" s="2479"/>
      <c r="C725" s="1051"/>
      <c r="D725" s="1051" t="s">
        <v>4078</v>
      </c>
      <c r="E725" s="1052" t="s">
        <v>522</v>
      </c>
      <c r="F725" s="1053" t="s">
        <v>522</v>
      </c>
    </row>
    <row r="726" spans="1:6" s="1198" customFormat="1" ht="15" x14ac:dyDescent="0.25">
      <c r="B726" s="2479"/>
      <c r="C726" s="1051"/>
      <c r="D726" s="1051" t="s">
        <v>4084</v>
      </c>
      <c r="E726" s="1052" t="s">
        <v>4102</v>
      </c>
      <c r="F726" s="1053" t="s">
        <v>5210</v>
      </c>
    </row>
    <row r="727" spans="1:6" s="1198" customFormat="1" ht="15" x14ac:dyDescent="0.25">
      <c r="B727" s="2480"/>
      <c r="C727" s="1024"/>
      <c r="D727" s="1024" t="s">
        <v>4075</v>
      </c>
      <c r="E727" s="1025" t="s">
        <v>4108</v>
      </c>
      <c r="F727" s="1026"/>
    </row>
    <row r="728" spans="1:6" s="1198" customFormat="1" ht="15" x14ac:dyDescent="0.25">
      <c r="A728" s="1018"/>
      <c r="B728" s="2469" t="s">
        <v>5117</v>
      </c>
      <c r="C728" s="2467"/>
      <c r="D728" s="2467"/>
      <c r="E728" s="2467"/>
      <c r="F728" s="2467"/>
    </row>
    <row r="729" spans="1:6" s="1198" customFormat="1" ht="38.25" x14ac:dyDescent="0.25">
      <c r="A729" s="1020"/>
      <c r="B729" s="2478" t="s">
        <v>1302</v>
      </c>
      <c r="C729" s="1021" t="s">
        <v>5118</v>
      </c>
      <c r="D729" s="1021" t="s">
        <v>5119</v>
      </c>
      <c r="E729" s="1022" t="s">
        <v>5211</v>
      </c>
      <c r="F729" s="1023" t="s">
        <v>5212</v>
      </c>
    </row>
    <row r="730" spans="1:6" s="1198" customFormat="1" ht="63.75" x14ac:dyDescent="0.25">
      <c r="B730" s="2479"/>
      <c r="C730" s="1051"/>
      <c r="D730" s="1051" t="s">
        <v>5120</v>
      </c>
      <c r="E730" s="1052" t="s">
        <v>5121</v>
      </c>
      <c r="F730" s="1053" t="s">
        <v>522</v>
      </c>
    </row>
    <row r="731" spans="1:6" s="1198" customFormat="1" ht="38.25" x14ac:dyDescent="0.25">
      <c r="B731" s="2479"/>
      <c r="C731" s="1051"/>
      <c r="D731" s="1051" t="s">
        <v>4395</v>
      </c>
      <c r="E731" s="1052" t="s">
        <v>4396</v>
      </c>
      <c r="F731" s="1053" t="s">
        <v>522</v>
      </c>
    </row>
    <row r="732" spans="1:6" s="1198" customFormat="1" ht="15" x14ac:dyDescent="0.25">
      <c r="B732" s="2479"/>
      <c r="C732" s="1051"/>
      <c r="D732" s="1051" t="s">
        <v>4070</v>
      </c>
      <c r="E732" s="1052" t="s">
        <v>4106</v>
      </c>
      <c r="F732" s="1053" t="s">
        <v>522</v>
      </c>
    </row>
    <row r="733" spans="1:6" s="1198" customFormat="1" ht="51" x14ac:dyDescent="0.25">
      <c r="B733" s="2479"/>
      <c r="C733" s="1051"/>
      <c r="D733" s="1051" t="s">
        <v>4071</v>
      </c>
      <c r="E733" s="1052" t="s">
        <v>4072</v>
      </c>
      <c r="F733" s="1053" t="s">
        <v>522</v>
      </c>
    </row>
    <row r="734" spans="1:6" s="1198" customFormat="1" ht="15" x14ac:dyDescent="0.25">
      <c r="B734" s="2479"/>
      <c r="C734" s="1051"/>
      <c r="D734" s="1051" t="s">
        <v>4095</v>
      </c>
      <c r="E734" s="1052" t="s">
        <v>4091</v>
      </c>
      <c r="F734" s="1053" t="s">
        <v>5122</v>
      </c>
    </row>
    <row r="735" spans="1:6" s="1198" customFormat="1" ht="15" x14ac:dyDescent="0.25">
      <c r="B735" s="2479"/>
      <c r="C735" s="1051"/>
      <c r="D735" s="1051" t="s">
        <v>4096</v>
      </c>
      <c r="E735" s="1052" t="s">
        <v>4110</v>
      </c>
      <c r="F735" s="1053" t="s">
        <v>5213</v>
      </c>
    </row>
    <row r="736" spans="1:6" s="1198" customFormat="1" ht="15" x14ac:dyDescent="0.25">
      <c r="B736" s="2480"/>
      <c r="C736" s="1024"/>
      <c r="D736" s="1024" t="s">
        <v>4075</v>
      </c>
      <c r="E736" s="1025" t="s">
        <v>4111</v>
      </c>
      <c r="F736" s="1026"/>
    </row>
    <row r="737" spans="1:6" s="1198" customFormat="1" ht="38.25" x14ac:dyDescent="0.25">
      <c r="A737" s="1020"/>
      <c r="B737" s="2478" t="s">
        <v>4590</v>
      </c>
      <c r="C737" s="1021" t="s">
        <v>5123</v>
      </c>
      <c r="D737" s="1021" t="s">
        <v>5119</v>
      </c>
      <c r="E737" s="1022" t="s">
        <v>5214</v>
      </c>
      <c r="F737" s="1023" t="s">
        <v>5215</v>
      </c>
    </row>
    <row r="738" spans="1:6" s="1198" customFormat="1" ht="63.75" x14ac:dyDescent="0.25">
      <c r="B738" s="2479"/>
      <c r="C738" s="1051"/>
      <c r="D738" s="1051" t="s">
        <v>5120</v>
      </c>
      <c r="E738" s="1052" t="s">
        <v>5121</v>
      </c>
      <c r="F738" s="1053" t="s">
        <v>522</v>
      </c>
    </row>
    <row r="739" spans="1:6" s="1198" customFormat="1" ht="15" x14ac:dyDescent="0.25">
      <c r="B739" s="2479"/>
      <c r="C739" s="1051"/>
      <c r="D739" s="1051" t="s">
        <v>4070</v>
      </c>
      <c r="E739" s="1052" t="s">
        <v>4106</v>
      </c>
      <c r="F739" s="1053" t="s">
        <v>522</v>
      </c>
    </row>
    <row r="740" spans="1:6" s="1198" customFormat="1" ht="51" x14ac:dyDescent="0.25">
      <c r="B740" s="2479"/>
      <c r="C740" s="1051"/>
      <c r="D740" s="1051" t="s">
        <v>4071</v>
      </c>
      <c r="E740" s="1052" t="s">
        <v>4072</v>
      </c>
      <c r="F740" s="1053" t="s">
        <v>522</v>
      </c>
    </row>
    <row r="741" spans="1:6" s="1198" customFormat="1" ht="15" x14ac:dyDescent="0.25">
      <c r="B741" s="2479"/>
      <c r="C741" s="1051"/>
      <c r="D741" s="1051" t="s">
        <v>4076</v>
      </c>
      <c r="E741" s="1052" t="s">
        <v>4077</v>
      </c>
      <c r="F741" s="1053" t="s">
        <v>5216</v>
      </c>
    </row>
    <row r="742" spans="1:6" s="1198" customFormat="1" ht="15" x14ac:dyDescent="0.25">
      <c r="B742" s="2479"/>
      <c r="C742" s="1051"/>
      <c r="D742" s="1051" t="s">
        <v>4078</v>
      </c>
      <c r="E742" s="1052" t="s">
        <v>4079</v>
      </c>
      <c r="F742" s="1053" t="s">
        <v>5217</v>
      </c>
    </row>
    <row r="743" spans="1:6" s="1198" customFormat="1" ht="15" x14ac:dyDescent="0.25">
      <c r="B743" s="2479"/>
      <c r="C743" s="1051"/>
      <c r="D743" s="1051" t="s">
        <v>4080</v>
      </c>
      <c r="E743" s="1052" t="s">
        <v>522</v>
      </c>
      <c r="F743" s="1053" t="s">
        <v>522</v>
      </c>
    </row>
    <row r="744" spans="1:6" s="1198" customFormat="1" ht="15" x14ac:dyDescent="0.25">
      <c r="B744" s="2479"/>
      <c r="C744" s="1051"/>
      <c r="D744" s="1051" t="s">
        <v>4082</v>
      </c>
      <c r="E744" s="1052" t="s">
        <v>522</v>
      </c>
      <c r="F744" s="1053" t="s">
        <v>522</v>
      </c>
    </row>
    <row r="745" spans="1:6" s="1198" customFormat="1" ht="15" x14ac:dyDescent="0.25">
      <c r="B745" s="2479"/>
      <c r="C745" s="1051"/>
      <c r="D745" s="1051" t="s">
        <v>4084</v>
      </c>
      <c r="E745" s="1052" t="s">
        <v>4090</v>
      </c>
      <c r="F745" s="1053" t="s">
        <v>5124</v>
      </c>
    </row>
    <row r="746" spans="1:6" s="1198" customFormat="1" ht="15" x14ac:dyDescent="0.25">
      <c r="B746" s="2480"/>
      <c r="C746" s="1024"/>
      <c r="D746" s="1024" t="s">
        <v>4075</v>
      </c>
      <c r="E746" s="1025" t="s">
        <v>4112</v>
      </c>
      <c r="F746" s="1026"/>
    </row>
    <row r="747" spans="1:6" s="1198" customFormat="1" ht="15" x14ac:dyDescent="0.25">
      <c r="A747" s="1018"/>
      <c r="B747" s="1050"/>
      <c r="C747" s="2481" t="s">
        <v>4551</v>
      </c>
      <c r="D747" s="2481"/>
      <c r="E747" s="2481"/>
      <c r="F747" s="1054"/>
    </row>
    <row r="748" spans="1:6" s="1198" customFormat="1" ht="15" x14ac:dyDescent="0.25">
      <c r="A748" s="1018"/>
      <c r="B748" s="1050"/>
      <c r="C748" s="2468" t="s">
        <v>4439</v>
      </c>
      <c r="D748" s="2468"/>
      <c r="E748" s="2468"/>
      <c r="F748" s="1019" t="s">
        <v>5218</v>
      </c>
    </row>
    <row r="749" spans="1:6" s="1198" customFormat="1" ht="15" x14ac:dyDescent="0.25">
      <c r="A749" s="1018"/>
      <c r="B749" s="1050"/>
      <c r="C749" s="2481" t="s">
        <v>4552</v>
      </c>
      <c r="D749" s="2481"/>
      <c r="E749" s="2481"/>
      <c r="F749" s="1054" t="s">
        <v>5218</v>
      </c>
    </row>
    <row r="750" spans="1:6" s="1198" customFormat="1" ht="15" x14ac:dyDescent="0.25">
      <c r="A750" s="1018"/>
      <c r="B750" s="2466" t="s">
        <v>5462</v>
      </c>
      <c r="C750" s="2467"/>
      <c r="D750" s="2467"/>
      <c r="E750" s="2467"/>
      <c r="F750" s="2467"/>
    </row>
    <row r="751" spans="1:6" s="1198" customFormat="1" ht="15" x14ac:dyDescent="0.25">
      <c r="A751" s="1018"/>
      <c r="B751" s="2469" t="s">
        <v>4385</v>
      </c>
      <c r="C751" s="2467"/>
      <c r="D751" s="2467"/>
      <c r="E751" s="2467"/>
      <c r="F751" s="2467"/>
    </row>
    <row r="752" spans="1:6" s="1198" customFormat="1" ht="63.75" x14ac:dyDescent="0.25">
      <c r="A752" s="1020"/>
      <c r="B752" s="2478" t="s">
        <v>1306</v>
      </c>
      <c r="C752" s="1021" t="s">
        <v>4553</v>
      </c>
      <c r="D752" s="1021" t="s">
        <v>4267</v>
      </c>
      <c r="E752" s="1022" t="s">
        <v>4777</v>
      </c>
      <c r="F752" s="1023" t="s">
        <v>4778</v>
      </c>
    </row>
    <row r="753" spans="1:6" s="1198" customFormat="1" ht="38.25" x14ac:dyDescent="0.25">
      <c r="B753" s="2479"/>
      <c r="C753" s="1051"/>
      <c r="D753" s="1051" t="s">
        <v>4395</v>
      </c>
      <c r="E753" s="1052" t="s">
        <v>4400</v>
      </c>
      <c r="F753" s="1053" t="s">
        <v>522</v>
      </c>
    </row>
    <row r="754" spans="1:6" s="1198" customFormat="1" ht="25.5" x14ac:dyDescent="0.25">
      <c r="B754" s="2479"/>
      <c r="C754" s="1051"/>
      <c r="D754" s="1051" t="s">
        <v>4294</v>
      </c>
      <c r="E754" s="1052" t="s">
        <v>4295</v>
      </c>
      <c r="F754" s="1053" t="s">
        <v>522</v>
      </c>
    </row>
    <row r="755" spans="1:6" s="1198" customFormat="1" ht="15" x14ac:dyDescent="0.25">
      <c r="B755" s="2479"/>
      <c r="C755" s="1051"/>
      <c r="D755" s="1051" t="s">
        <v>4070</v>
      </c>
      <c r="E755" s="1052" t="s">
        <v>4106</v>
      </c>
      <c r="F755" s="1053" t="s">
        <v>522</v>
      </c>
    </row>
    <row r="756" spans="1:6" s="1198" customFormat="1" ht="51" x14ac:dyDescent="0.25">
      <c r="B756" s="2479"/>
      <c r="C756" s="1051"/>
      <c r="D756" s="1051" t="s">
        <v>4071</v>
      </c>
      <c r="E756" s="1052" t="s">
        <v>4072</v>
      </c>
      <c r="F756" s="1053" t="s">
        <v>522</v>
      </c>
    </row>
    <row r="757" spans="1:6" s="1198" customFormat="1" ht="15" x14ac:dyDescent="0.25">
      <c r="B757" s="2479"/>
      <c r="C757" s="1051"/>
      <c r="D757" s="1051" t="s">
        <v>4095</v>
      </c>
      <c r="E757" s="1052" t="s">
        <v>4091</v>
      </c>
      <c r="F757" s="1053" t="s">
        <v>4554</v>
      </c>
    </row>
    <row r="758" spans="1:6" s="1198" customFormat="1" ht="15" x14ac:dyDescent="0.25">
      <c r="B758" s="2479"/>
      <c r="C758" s="1051"/>
      <c r="D758" s="1051" t="s">
        <v>4096</v>
      </c>
      <c r="E758" s="1052" t="s">
        <v>4301</v>
      </c>
      <c r="F758" s="1053" t="s">
        <v>4779</v>
      </c>
    </row>
    <row r="759" spans="1:6" s="1198" customFormat="1" ht="15" x14ac:dyDescent="0.25">
      <c r="B759" s="2480"/>
      <c r="C759" s="1024"/>
      <c r="D759" s="1024" t="s">
        <v>4075</v>
      </c>
      <c r="E759" s="1025" t="s">
        <v>4302</v>
      </c>
      <c r="F759" s="1026"/>
    </row>
    <row r="760" spans="1:6" s="1198" customFormat="1" ht="63.75" x14ac:dyDescent="0.25">
      <c r="A760" s="1020"/>
      <c r="B760" s="2478" t="s">
        <v>5125</v>
      </c>
      <c r="C760" s="1021" t="s">
        <v>4556</v>
      </c>
      <c r="D760" s="1021" t="s">
        <v>4267</v>
      </c>
      <c r="E760" s="1022" t="s">
        <v>4780</v>
      </c>
      <c r="F760" s="1023" t="s">
        <v>4781</v>
      </c>
    </row>
    <row r="761" spans="1:6" s="1198" customFormat="1" ht="25.5" x14ac:dyDescent="0.25">
      <c r="B761" s="2479"/>
      <c r="C761" s="1051"/>
      <c r="D761" s="1051" t="s">
        <v>4294</v>
      </c>
      <c r="E761" s="1052" t="s">
        <v>4295</v>
      </c>
      <c r="F761" s="1053" t="s">
        <v>522</v>
      </c>
    </row>
    <row r="762" spans="1:6" s="1198" customFormat="1" ht="15" x14ac:dyDescent="0.25">
      <c r="B762" s="2479"/>
      <c r="C762" s="1051"/>
      <c r="D762" s="1051" t="s">
        <v>4070</v>
      </c>
      <c r="E762" s="1052" t="s">
        <v>4106</v>
      </c>
      <c r="F762" s="1053" t="s">
        <v>522</v>
      </c>
    </row>
    <row r="763" spans="1:6" s="1198" customFormat="1" ht="51" x14ac:dyDescent="0.25">
      <c r="B763" s="2479"/>
      <c r="C763" s="1051"/>
      <c r="D763" s="1051" t="s">
        <v>4071</v>
      </c>
      <c r="E763" s="1052" t="s">
        <v>4072</v>
      </c>
      <c r="F763" s="1053" t="s">
        <v>522</v>
      </c>
    </row>
    <row r="764" spans="1:6" s="1198" customFormat="1" ht="15" x14ac:dyDescent="0.25">
      <c r="B764" s="2479"/>
      <c r="C764" s="1051"/>
      <c r="D764" s="1051" t="s">
        <v>4076</v>
      </c>
      <c r="E764" s="1052" t="s">
        <v>4077</v>
      </c>
      <c r="F764" s="1053" t="s">
        <v>4782</v>
      </c>
    </row>
    <row r="765" spans="1:6" s="1198" customFormat="1" ht="15" x14ac:dyDescent="0.25">
      <c r="B765" s="2479"/>
      <c r="C765" s="1051"/>
      <c r="D765" s="1051" t="s">
        <v>4078</v>
      </c>
      <c r="E765" s="1052" t="s">
        <v>4090</v>
      </c>
      <c r="F765" s="1053" t="s">
        <v>4557</v>
      </c>
    </row>
    <row r="766" spans="1:6" s="1198" customFormat="1" ht="15" x14ac:dyDescent="0.25">
      <c r="B766" s="2479"/>
      <c r="C766" s="1051"/>
      <c r="D766" s="1051" t="s">
        <v>4080</v>
      </c>
      <c r="E766" s="1052" t="s">
        <v>522</v>
      </c>
      <c r="F766" s="1053" t="s">
        <v>522</v>
      </c>
    </row>
    <row r="767" spans="1:6" s="1198" customFormat="1" ht="15" x14ac:dyDescent="0.25">
      <c r="B767" s="2479"/>
      <c r="C767" s="1051"/>
      <c r="D767" s="1051" t="s">
        <v>4082</v>
      </c>
      <c r="E767" s="1052" t="s">
        <v>522</v>
      </c>
      <c r="F767" s="1053" t="s">
        <v>522</v>
      </c>
    </row>
    <row r="768" spans="1:6" s="1198" customFormat="1" ht="15" x14ac:dyDescent="0.25">
      <c r="B768" s="2479"/>
      <c r="C768" s="1051"/>
      <c r="D768" s="1051" t="s">
        <v>4084</v>
      </c>
      <c r="E768" s="1052" t="s">
        <v>4090</v>
      </c>
      <c r="F768" s="1053" t="s">
        <v>4557</v>
      </c>
    </row>
    <row r="769" spans="1:6" s="1198" customFormat="1" ht="15" x14ac:dyDescent="0.25">
      <c r="B769" s="2480"/>
      <c r="C769" s="1024"/>
      <c r="D769" s="1024" t="s">
        <v>4075</v>
      </c>
      <c r="E769" s="1025" t="s">
        <v>4303</v>
      </c>
      <c r="F769" s="1026"/>
    </row>
    <row r="770" spans="1:6" s="1198" customFormat="1" ht="15" x14ac:dyDescent="0.25">
      <c r="A770" s="1018"/>
      <c r="B770" s="2469" t="s">
        <v>4386</v>
      </c>
      <c r="C770" s="2467"/>
      <c r="D770" s="2467"/>
      <c r="E770" s="2467"/>
      <c r="F770" s="2467"/>
    </row>
    <row r="771" spans="1:6" s="1198" customFormat="1" ht="15" x14ac:dyDescent="0.25">
      <c r="A771" s="1018"/>
      <c r="B771" s="1050"/>
      <c r="C771" s="2468" t="s">
        <v>4558</v>
      </c>
      <c r="D771" s="2468"/>
      <c r="E771" s="2468"/>
      <c r="F771" s="2468"/>
    </row>
    <row r="772" spans="1:6" s="1198" customFormat="1" ht="51" x14ac:dyDescent="0.25">
      <c r="A772" s="1020"/>
      <c r="B772" s="2478" t="s">
        <v>1309</v>
      </c>
      <c r="C772" s="1021" t="s">
        <v>4559</v>
      </c>
      <c r="D772" s="1021" t="s">
        <v>4286</v>
      </c>
      <c r="E772" s="1022" t="s">
        <v>4783</v>
      </c>
      <c r="F772" s="1023" t="s">
        <v>4784</v>
      </c>
    </row>
    <row r="773" spans="1:6" s="1198" customFormat="1" ht="38.25" x14ac:dyDescent="0.25">
      <c r="B773" s="2479"/>
      <c r="C773" s="1051"/>
      <c r="D773" s="1051" t="s">
        <v>4395</v>
      </c>
      <c r="E773" s="1052" t="s">
        <v>4396</v>
      </c>
      <c r="F773" s="1053" t="s">
        <v>522</v>
      </c>
    </row>
    <row r="774" spans="1:6" s="1198" customFormat="1" ht="25.5" x14ac:dyDescent="0.25">
      <c r="B774" s="2479"/>
      <c r="C774" s="1051"/>
      <c r="D774" s="1051" t="s">
        <v>4294</v>
      </c>
      <c r="E774" s="1052" t="s">
        <v>4295</v>
      </c>
      <c r="F774" s="1053" t="s">
        <v>522</v>
      </c>
    </row>
    <row r="775" spans="1:6" s="1198" customFormat="1" ht="15" x14ac:dyDescent="0.25">
      <c r="B775" s="2479"/>
      <c r="C775" s="1051"/>
      <c r="D775" s="1051" t="s">
        <v>4070</v>
      </c>
      <c r="E775" s="1052" t="s">
        <v>4106</v>
      </c>
      <c r="F775" s="1053" t="s">
        <v>522</v>
      </c>
    </row>
    <row r="776" spans="1:6" s="1198" customFormat="1" ht="51" x14ac:dyDescent="0.25">
      <c r="B776" s="2479"/>
      <c r="C776" s="1051"/>
      <c r="D776" s="1051" t="s">
        <v>4071</v>
      </c>
      <c r="E776" s="1052" t="s">
        <v>4072</v>
      </c>
      <c r="F776" s="1053" t="s">
        <v>522</v>
      </c>
    </row>
    <row r="777" spans="1:6" s="1198" customFormat="1" ht="15" x14ac:dyDescent="0.25">
      <c r="B777" s="2479"/>
      <c r="C777" s="1051"/>
      <c r="D777" s="1051" t="s">
        <v>4095</v>
      </c>
      <c r="E777" s="1052" t="s">
        <v>4091</v>
      </c>
      <c r="F777" s="1053" t="s">
        <v>4560</v>
      </c>
    </row>
    <row r="778" spans="1:6" s="1198" customFormat="1" ht="15" x14ac:dyDescent="0.25">
      <c r="B778" s="2479"/>
      <c r="C778" s="1051"/>
      <c r="D778" s="1051" t="s">
        <v>4096</v>
      </c>
      <c r="E778" s="1052" t="s">
        <v>4110</v>
      </c>
      <c r="F778" s="1053" t="s">
        <v>4785</v>
      </c>
    </row>
    <row r="779" spans="1:6" s="1198" customFormat="1" ht="15" x14ac:dyDescent="0.25">
      <c r="B779" s="2480"/>
      <c r="C779" s="1024"/>
      <c r="D779" s="1024" t="s">
        <v>4075</v>
      </c>
      <c r="E779" s="1025" t="s">
        <v>4111</v>
      </c>
      <c r="F779" s="1026"/>
    </row>
    <row r="780" spans="1:6" s="1198" customFormat="1" ht="51" x14ac:dyDescent="0.25">
      <c r="A780" s="1020"/>
      <c r="B780" s="2478" t="s">
        <v>5126</v>
      </c>
      <c r="C780" s="1021" t="s">
        <v>4562</v>
      </c>
      <c r="D780" s="1021" t="s">
        <v>4286</v>
      </c>
      <c r="E780" s="1022" t="s">
        <v>4786</v>
      </c>
      <c r="F780" s="1023" t="s">
        <v>4787</v>
      </c>
    </row>
    <row r="781" spans="1:6" s="1198" customFormat="1" ht="25.5" x14ac:dyDescent="0.25">
      <c r="B781" s="2479"/>
      <c r="C781" s="1051"/>
      <c r="D781" s="1051" t="s">
        <v>4294</v>
      </c>
      <c r="E781" s="1052" t="s">
        <v>4295</v>
      </c>
      <c r="F781" s="1053" t="s">
        <v>522</v>
      </c>
    </row>
    <row r="782" spans="1:6" s="1198" customFormat="1" ht="15" x14ac:dyDescent="0.25">
      <c r="B782" s="2479"/>
      <c r="C782" s="1051"/>
      <c r="D782" s="1051" t="s">
        <v>4070</v>
      </c>
      <c r="E782" s="1052" t="s">
        <v>4106</v>
      </c>
      <c r="F782" s="1053" t="s">
        <v>522</v>
      </c>
    </row>
    <row r="783" spans="1:6" s="1198" customFormat="1" ht="51" x14ac:dyDescent="0.25">
      <c r="B783" s="2479"/>
      <c r="C783" s="1051"/>
      <c r="D783" s="1051" t="s">
        <v>4071</v>
      </c>
      <c r="E783" s="1052" t="s">
        <v>4072</v>
      </c>
      <c r="F783" s="1053" t="s">
        <v>522</v>
      </c>
    </row>
    <row r="784" spans="1:6" s="1198" customFormat="1" ht="15" x14ac:dyDescent="0.25">
      <c r="B784" s="2479"/>
      <c r="C784" s="1051"/>
      <c r="D784" s="1051" t="s">
        <v>4076</v>
      </c>
      <c r="E784" s="1052" t="s">
        <v>4077</v>
      </c>
      <c r="F784" s="1053" t="s">
        <v>4788</v>
      </c>
    </row>
    <row r="785" spans="1:6" s="1198" customFormat="1" ht="15" x14ac:dyDescent="0.25">
      <c r="B785" s="2479"/>
      <c r="C785" s="1051"/>
      <c r="D785" s="1051" t="s">
        <v>4078</v>
      </c>
      <c r="E785" s="1052" t="s">
        <v>4079</v>
      </c>
      <c r="F785" s="1053" t="s">
        <v>4789</v>
      </c>
    </row>
    <row r="786" spans="1:6" s="1198" customFormat="1" ht="15" x14ac:dyDescent="0.25">
      <c r="B786" s="2479"/>
      <c r="C786" s="1051"/>
      <c r="D786" s="1051" t="s">
        <v>4080</v>
      </c>
      <c r="E786" s="1052" t="s">
        <v>522</v>
      </c>
      <c r="F786" s="1053" t="s">
        <v>522</v>
      </c>
    </row>
    <row r="787" spans="1:6" s="1198" customFormat="1" ht="15" x14ac:dyDescent="0.25">
      <c r="B787" s="2479"/>
      <c r="C787" s="1051"/>
      <c r="D787" s="1051" t="s">
        <v>4082</v>
      </c>
      <c r="E787" s="1052" t="s">
        <v>522</v>
      </c>
      <c r="F787" s="1053" t="s">
        <v>522</v>
      </c>
    </row>
    <row r="788" spans="1:6" s="1198" customFormat="1" ht="15" x14ac:dyDescent="0.25">
      <c r="B788" s="2479"/>
      <c r="C788" s="1051"/>
      <c r="D788" s="1051" t="s">
        <v>4084</v>
      </c>
      <c r="E788" s="1052" t="s">
        <v>4090</v>
      </c>
      <c r="F788" s="1053" t="s">
        <v>4790</v>
      </c>
    </row>
    <row r="789" spans="1:6" s="1198" customFormat="1" ht="15" x14ac:dyDescent="0.25">
      <c r="B789" s="2480"/>
      <c r="C789" s="1024"/>
      <c r="D789" s="1024" t="s">
        <v>4075</v>
      </c>
      <c r="E789" s="1025" t="s">
        <v>4112</v>
      </c>
      <c r="F789" s="1026"/>
    </row>
    <row r="790" spans="1:6" s="1198" customFormat="1" ht="51" x14ac:dyDescent="0.25">
      <c r="A790" s="1020"/>
      <c r="B790" s="2478" t="s">
        <v>1312</v>
      </c>
      <c r="C790" s="1021" t="s">
        <v>4559</v>
      </c>
      <c r="D790" s="1021" t="s">
        <v>4286</v>
      </c>
      <c r="E790" s="1022" t="s">
        <v>4791</v>
      </c>
      <c r="F790" s="1023" t="s">
        <v>4792</v>
      </c>
    </row>
    <row r="791" spans="1:6" s="1198" customFormat="1" ht="38.25" x14ac:dyDescent="0.25">
      <c r="B791" s="2479"/>
      <c r="C791" s="1051"/>
      <c r="D791" s="1051" t="s">
        <v>4395</v>
      </c>
      <c r="E791" s="1052" t="s">
        <v>4396</v>
      </c>
      <c r="F791" s="1053" t="s">
        <v>522</v>
      </c>
    </row>
    <row r="792" spans="1:6" s="1198" customFormat="1" ht="63.75" x14ac:dyDescent="0.25">
      <c r="B792" s="2479"/>
      <c r="C792" s="1051"/>
      <c r="D792" s="1051" t="s">
        <v>4279</v>
      </c>
      <c r="E792" s="1052" t="s">
        <v>4281</v>
      </c>
      <c r="F792" s="1053" t="s">
        <v>522</v>
      </c>
    </row>
    <row r="793" spans="1:6" s="1198" customFormat="1" ht="25.5" x14ac:dyDescent="0.25">
      <c r="B793" s="2479"/>
      <c r="C793" s="1051"/>
      <c r="D793" s="1051" t="s">
        <v>4294</v>
      </c>
      <c r="E793" s="1052" t="s">
        <v>4563</v>
      </c>
      <c r="F793" s="1053" t="s">
        <v>522</v>
      </c>
    </row>
    <row r="794" spans="1:6" s="1198" customFormat="1" ht="15" x14ac:dyDescent="0.25">
      <c r="B794" s="2479"/>
      <c r="C794" s="1051"/>
      <c r="D794" s="1051" t="s">
        <v>4070</v>
      </c>
      <c r="E794" s="1052" t="s">
        <v>4106</v>
      </c>
      <c r="F794" s="1053" t="s">
        <v>522</v>
      </c>
    </row>
    <row r="795" spans="1:6" s="1198" customFormat="1" ht="51" x14ac:dyDescent="0.25">
      <c r="B795" s="2479"/>
      <c r="C795" s="1051"/>
      <c r="D795" s="1051" t="s">
        <v>4071</v>
      </c>
      <c r="E795" s="1052" t="s">
        <v>4072</v>
      </c>
      <c r="F795" s="1053" t="s">
        <v>522</v>
      </c>
    </row>
    <row r="796" spans="1:6" s="1198" customFormat="1" ht="15" x14ac:dyDescent="0.25">
      <c r="B796" s="2479"/>
      <c r="C796" s="1051"/>
      <c r="D796" s="1051" t="s">
        <v>4095</v>
      </c>
      <c r="E796" s="1052" t="s">
        <v>4091</v>
      </c>
      <c r="F796" s="1053" t="s">
        <v>4564</v>
      </c>
    </row>
    <row r="797" spans="1:6" s="1198" customFormat="1" ht="15" x14ac:dyDescent="0.25">
      <c r="B797" s="2479"/>
      <c r="C797" s="1051"/>
      <c r="D797" s="1051" t="s">
        <v>4096</v>
      </c>
      <c r="E797" s="1052" t="s">
        <v>4110</v>
      </c>
      <c r="F797" s="1053" t="s">
        <v>4793</v>
      </c>
    </row>
    <row r="798" spans="1:6" s="1198" customFormat="1" ht="15" x14ac:dyDescent="0.25">
      <c r="B798" s="2480"/>
      <c r="C798" s="1024"/>
      <c r="D798" s="1024" t="s">
        <v>4075</v>
      </c>
      <c r="E798" s="1025" t="s">
        <v>4111</v>
      </c>
      <c r="F798" s="1026"/>
    </row>
    <row r="799" spans="1:6" s="1198" customFormat="1" ht="51" x14ac:dyDescent="0.25">
      <c r="A799" s="1020"/>
      <c r="B799" s="2478" t="s">
        <v>5127</v>
      </c>
      <c r="C799" s="1021" t="s">
        <v>4562</v>
      </c>
      <c r="D799" s="1021" t="s">
        <v>4286</v>
      </c>
      <c r="E799" s="1022" t="s">
        <v>4794</v>
      </c>
      <c r="F799" s="1023" t="s">
        <v>4795</v>
      </c>
    </row>
    <row r="800" spans="1:6" s="1198" customFormat="1" ht="63.75" x14ac:dyDescent="0.25">
      <c r="B800" s="2479"/>
      <c r="C800" s="1051"/>
      <c r="D800" s="1051" t="s">
        <v>4279</v>
      </c>
      <c r="E800" s="1052" t="s">
        <v>4281</v>
      </c>
      <c r="F800" s="1053" t="s">
        <v>522</v>
      </c>
    </row>
    <row r="801" spans="1:6" s="1198" customFormat="1" ht="25.5" x14ac:dyDescent="0.25">
      <c r="B801" s="2479"/>
      <c r="C801" s="1051"/>
      <c r="D801" s="1051" t="s">
        <v>4294</v>
      </c>
      <c r="E801" s="1052" t="s">
        <v>4296</v>
      </c>
      <c r="F801" s="1053" t="s">
        <v>522</v>
      </c>
    </row>
    <row r="802" spans="1:6" s="1198" customFormat="1" ht="15" x14ac:dyDescent="0.25">
      <c r="B802" s="2479"/>
      <c r="C802" s="1051"/>
      <c r="D802" s="1051" t="s">
        <v>4070</v>
      </c>
      <c r="E802" s="1052" t="s">
        <v>4106</v>
      </c>
      <c r="F802" s="1053" t="s">
        <v>522</v>
      </c>
    </row>
    <row r="803" spans="1:6" s="1198" customFormat="1" ht="51" x14ac:dyDescent="0.25">
      <c r="B803" s="2479"/>
      <c r="C803" s="1051"/>
      <c r="D803" s="1051" t="s">
        <v>4071</v>
      </c>
      <c r="E803" s="1052" t="s">
        <v>4072</v>
      </c>
      <c r="F803" s="1053" t="s">
        <v>522</v>
      </c>
    </row>
    <row r="804" spans="1:6" s="1198" customFormat="1" ht="15" x14ac:dyDescent="0.25">
      <c r="B804" s="2479"/>
      <c r="C804" s="1051"/>
      <c r="D804" s="1051" t="s">
        <v>4076</v>
      </c>
      <c r="E804" s="1052" t="s">
        <v>4077</v>
      </c>
      <c r="F804" s="1053" t="s">
        <v>4796</v>
      </c>
    </row>
    <row r="805" spans="1:6" s="1198" customFormat="1" ht="15" x14ac:dyDescent="0.25">
      <c r="B805" s="2479"/>
      <c r="C805" s="1051"/>
      <c r="D805" s="1051" t="s">
        <v>4078</v>
      </c>
      <c r="E805" s="1052" t="s">
        <v>4079</v>
      </c>
      <c r="F805" s="1053" t="s">
        <v>4797</v>
      </c>
    </row>
    <row r="806" spans="1:6" s="1198" customFormat="1" ht="15" x14ac:dyDescent="0.25">
      <c r="B806" s="2479"/>
      <c r="C806" s="1051"/>
      <c r="D806" s="1051" t="s">
        <v>4080</v>
      </c>
      <c r="E806" s="1052" t="s">
        <v>522</v>
      </c>
      <c r="F806" s="1053" t="s">
        <v>522</v>
      </c>
    </row>
    <row r="807" spans="1:6" s="1198" customFormat="1" ht="15" x14ac:dyDescent="0.25">
      <c r="B807" s="2479"/>
      <c r="C807" s="1051"/>
      <c r="D807" s="1051" t="s">
        <v>4082</v>
      </c>
      <c r="E807" s="1052" t="s">
        <v>522</v>
      </c>
      <c r="F807" s="1053" t="s">
        <v>522</v>
      </c>
    </row>
    <row r="808" spans="1:6" s="1198" customFormat="1" ht="15" x14ac:dyDescent="0.25">
      <c r="B808" s="2479"/>
      <c r="C808" s="1051"/>
      <c r="D808" s="1051" t="s">
        <v>4084</v>
      </c>
      <c r="E808" s="1052" t="s">
        <v>4090</v>
      </c>
      <c r="F808" s="1053" t="s">
        <v>4566</v>
      </c>
    </row>
    <row r="809" spans="1:6" s="1198" customFormat="1" ht="15" x14ac:dyDescent="0.25">
      <c r="B809" s="2480"/>
      <c r="C809" s="1024"/>
      <c r="D809" s="1024" t="s">
        <v>4075</v>
      </c>
      <c r="E809" s="1025" t="s">
        <v>4112</v>
      </c>
      <c r="F809" s="1026"/>
    </row>
    <row r="810" spans="1:6" s="1198" customFormat="1" ht="15" x14ac:dyDescent="0.25">
      <c r="A810" s="1018"/>
      <c r="B810" s="1050"/>
      <c r="C810" s="2468" t="s">
        <v>4567</v>
      </c>
      <c r="D810" s="2468"/>
      <c r="E810" s="2468"/>
      <c r="F810" s="2468"/>
    </row>
    <row r="811" spans="1:6" s="1198" customFormat="1" ht="51" x14ac:dyDescent="0.25">
      <c r="A811" s="1020"/>
      <c r="B811" s="2478" t="s">
        <v>1314</v>
      </c>
      <c r="C811" s="1021" t="s">
        <v>4559</v>
      </c>
      <c r="D811" s="1021" t="s">
        <v>4286</v>
      </c>
      <c r="E811" s="1022" t="s">
        <v>4798</v>
      </c>
      <c r="F811" s="1023" t="s">
        <v>4799</v>
      </c>
    </row>
    <row r="812" spans="1:6" s="1198" customFormat="1" ht="38.25" x14ac:dyDescent="0.25">
      <c r="B812" s="2479"/>
      <c r="C812" s="1051"/>
      <c r="D812" s="1051" t="s">
        <v>4395</v>
      </c>
      <c r="E812" s="1052" t="s">
        <v>4396</v>
      </c>
      <c r="F812" s="1053" t="s">
        <v>522</v>
      </c>
    </row>
    <row r="813" spans="1:6" s="1198" customFormat="1" ht="15" x14ac:dyDescent="0.25">
      <c r="B813" s="2479"/>
      <c r="C813" s="1051"/>
      <c r="D813" s="1051" t="s">
        <v>4070</v>
      </c>
      <c r="E813" s="1052" t="s">
        <v>4106</v>
      </c>
      <c r="F813" s="1053" t="s">
        <v>522</v>
      </c>
    </row>
    <row r="814" spans="1:6" s="1198" customFormat="1" ht="51" x14ac:dyDescent="0.25">
      <c r="B814" s="2479"/>
      <c r="C814" s="1051"/>
      <c r="D814" s="1051" t="s">
        <v>4071</v>
      </c>
      <c r="E814" s="1052" t="s">
        <v>4072</v>
      </c>
      <c r="F814" s="1053" t="s">
        <v>522</v>
      </c>
    </row>
    <row r="815" spans="1:6" s="1198" customFormat="1" ht="15" x14ac:dyDescent="0.25">
      <c r="B815" s="2479"/>
      <c r="C815" s="1051"/>
      <c r="D815" s="1051" t="s">
        <v>4095</v>
      </c>
      <c r="E815" s="1052" t="s">
        <v>4091</v>
      </c>
      <c r="F815" s="1053" t="s">
        <v>4568</v>
      </c>
    </row>
    <row r="816" spans="1:6" s="1198" customFormat="1" ht="15" x14ac:dyDescent="0.25">
      <c r="B816" s="2479"/>
      <c r="C816" s="1051"/>
      <c r="D816" s="1051" t="s">
        <v>4096</v>
      </c>
      <c r="E816" s="1052" t="s">
        <v>4110</v>
      </c>
      <c r="F816" s="1053" t="s">
        <v>4800</v>
      </c>
    </row>
    <row r="817" spans="1:6" s="1198" customFormat="1" ht="15" x14ac:dyDescent="0.25">
      <c r="B817" s="2480"/>
      <c r="C817" s="1024"/>
      <c r="D817" s="1024" t="s">
        <v>4075</v>
      </c>
      <c r="E817" s="1025" t="s">
        <v>4111</v>
      </c>
      <c r="F817" s="1026"/>
    </row>
    <row r="818" spans="1:6" s="1198" customFormat="1" ht="51" x14ac:dyDescent="0.25">
      <c r="A818" s="1020"/>
      <c r="B818" s="2478" t="s">
        <v>5131</v>
      </c>
      <c r="C818" s="1021" t="s">
        <v>4562</v>
      </c>
      <c r="D818" s="1021" t="s">
        <v>4286</v>
      </c>
      <c r="E818" s="1022" t="s">
        <v>4801</v>
      </c>
      <c r="F818" s="1023" t="s">
        <v>4802</v>
      </c>
    </row>
    <row r="819" spans="1:6" s="1198" customFormat="1" ht="15" x14ac:dyDescent="0.25">
      <c r="B819" s="2479"/>
      <c r="C819" s="1051"/>
      <c r="D819" s="1051" t="s">
        <v>4070</v>
      </c>
      <c r="E819" s="1052" t="s">
        <v>4106</v>
      </c>
      <c r="F819" s="1053" t="s">
        <v>522</v>
      </c>
    </row>
    <row r="820" spans="1:6" s="1198" customFormat="1" ht="51" x14ac:dyDescent="0.25">
      <c r="B820" s="2479"/>
      <c r="C820" s="1051"/>
      <c r="D820" s="1051" t="s">
        <v>4071</v>
      </c>
      <c r="E820" s="1052" t="s">
        <v>4072</v>
      </c>
      <c r="F820" s="1053" t="s">
        <v>522</v>
      </c>
    </row>
    <row r="821" spans="1:6" s="1198" customFormat="1" ht="15" x14ac:dyDescent="0.25">
      <c r="B821" s="2479"/>
      <c r="C821" s="1051"/>
      <c r="D821" s="1051" t="s">
        <v>4076</v>
      </c>
      <c r="E821" s="1052" t="s">
        <v>4077</v>
      </c>
      <c r="F821" s="1053" t="s">
        <v>4803</v>
      </c>
    </row>
    <row r="822" spans="1:6" s="1198" customFormat="1" ht="15" x14ac:dyDescent="0.25">
      <c r="B822" s="2479"/>
      <c r="C822" s="1051"/>
      <c r="D822" s="1051" t="s">
        <v>4078</v>
      </c>
      <c r="E822" s="1052" t="s">
        <v>4079</v>
      </c>
      <c r="F822" s="1053" t="s">
        <v>4804</v>
      </c>
    </row>
    <row r="823" spans="1:6" s="1198" customFormat="1" ht="15" x14ac:dyDescent="0.25">
      <c r="B823" s="2479"/>
      <c r="C823" s="1051"/>
      <c r="D823" s="1051" t="s">
        <v>4080</v>
      </c>
      <c r="E823" s="1052" t="s">
        <v>522</v>
      </c>
      <c r="F823" s="1053" t="s">
        <v>522</v>
      </c>
    </row>
    <row r="824" spans="1:6" s="1198" customFormat="1" ht="15" x14ac:dyDescent="0.25">
      <c r="B824" s="2479"/>
      <c r="C824" s="1051"/>
      <c r="D824" s="1051" t="s">
        <v>4082</v>
      </c>
      <c r="E824" s="1052" t="s">
        <v>522</v>
      </c>
      <c r="F824" s="1053" t="s">
        <v>522</v>
      </c>
    </row>
    <row r="825" spans="1:6" s="1198" customFormat="1" ht="15" x14ac:dyDescent="0.25">
      <c r="B825" s="2479"/>
      <c r="C825" s="1051"/>
      <c r="D825" s="1051" t="s">
        <v>4084</v>
      </c>
      <c r="E825" s="1052" t="s">
        <v>4090</v>
      </c>
      <c r="F825" s="1053" t="s">
        <v>4570</v>
      </c>
    </row>
    <row r="826" spans="1:6" s="1198" customFormat="1" ht="15" x14ac:dyDescent="0.25">
      <c r="B826" s="2480"/>
      <c r="C826" s="1024"/>
      <c r="D826" s="1024" t="s">
        <v>4075</v>
      </c>
      <c r="E826" s="1025" t="s">
        <v>4112</v>
      </c>
      <c r="F826" s="1026"/>
    </row>
    <row r="827" spans="1:6" s="1198" customFormat="1" ht="51" x14ac:dyDescent="0.25">
      <c r="A827" s="1020"/>
      <c r="B827" s="2478" t="s">
        <v>1316</v>
      </c>
      <c r="C827" s="1021" t="s">
        <v>4559</v>
      </c>
      <c r="D827" s="1021" t="s">
        <v>4286</v>
      </c>
      <c r="E827" s="1022" t="s">
        <v>4805</v>
      </c>
      <c r="F827" s="1023" t="s">
        <v>4806</v>
      </c>
    </row>
    <row r="828" spans="1:6" s="1198" customFormat="1" ht="38.25" x14ac:dyDescent="0.25">
      <c r="B828" s="2479"/>
      <c r="C828" s="1051"/>
      <c r="D828" s="1051" t="s">
        <v>4395</v>
      </c>
      <c r="E828" s="1052" t="s">
        <v>4396</v>
      </c>
      <c r="F828" s="1053" t="s">
        <v>522</v>
      </c>
    </row>
    <row r="829" spans="1:6" s="1198" customFormat="1" ht="63.75" x14ac:dyDescent="0.25">
      <c r="B829" s="2479"/>
      <c r="C829" s="1051"/>
      <c r="D829" s="1051" t="s">
        <v>4279</v>
      </c>
      <c r="E829" s="1052" t="s">
        <v>4281</v>
      </c>
      <c r="F829" s="1053" t="s">
        <v>522</v>
      </c>
    </row>
    <row r="830" spans="1:6" s="1198" customFormat="1" ht="15" x14ac:dyDescent="0.25">
      <c r="B830" s="2479"/>
      <c r="C830" s="1051"/>
      <c r="D830" s="1051" t="s">
        <v>4070</v>
      </c>
      <c r="E830" s="1052" t="s">
        <v>4106</v>
      </c>
      <c r="F830" s="1053" t="s">
        <v>522</v>
      </c>
    </row>
    <row r="831" spans="1:6" s="1198" customFormat="1" ht="51" x14ac:dyDescent="0.25">
      <c r="B831" s="2479"/>
      <c r="C831" s="1051"/>
      <c r="D831" s="1051" t="s">
        <v>4071</v>
      </c>
      <c r="E831" s="1052" t="s">
        <v>4072</v>
      </c>
      <c r="F831" s="1053" t="s">
        <v>522</v>
      </c>
    </row>
    <row r="832" spans="1:6" s="1198" customFormat="1" ht="15" x14ac:dyDescent="0.25">
      <c r="B832" s="2479"/>
      <c r="C832" s="1051"/>
      <c r="D832" s="1051" t="s">
        <v>4095</v>
      </c>
      <c r="E832" s="1052" t="s">
        <v>4091</v>
      </c>
      <c r="F832" s="1053" t="s">
        <v>4571</v>
      </c>
    </row>
    <row r="833" spans="1:6" s="1198" customFormat="1" ht="15" x14ac:dyDescent="0.25">
      <c r="B833" s="2479"/>
      <c r="C833" s="1051"/>
      <c r="D833" s="1051" t="s">
        <v>4096</v>
      </c>
      <c r="E833" s="1052" t="s">
        <v>4110</v>
      </c>
      <c r="F833" s="1053" t="s">
        <v>4807</v>
      </c>
    </row>
    <row r="834" spans="1:6" s="1198" customFormat="1" ht="15" x14ac:dyDescent="0.25">
      <c r="B834" s="2480"/>
      <c r="C834" s="1024"/>
      <c r="D834" s="1024" t="s">
        <v>4075</v>
      </c>
      <c r="E834" s="1025" t="s">
        <v>4111</v>
      </c>
      <c r="F834" s="1026"/>
    </row>
    <row r="835" spans="1:6" s="1198" customFormat="1" ht="51" x14ac:dyDescent="0.25">
      <c r="A835" s="1020"/>
      <c r="B835" s="2478" t="s">
        <v>5133</v>
      </c>
      <c r="C835" s="1021" t="s">
        <v>4562</v>
      </c>
      <c r="D835" s="1021" t="s">
        <v>4286</v>
      </c>
      <c r="E835" s="1022" t="s">
        <v>4808</v>
      </c>
      <c r="F835" s="1023" t="s">
        <v>4809</v>
      </c>
    </row>
    <row r="836" spans="1:6" s="1198" customFormat="1" ht="63.75" x14ac:dyDescent="0.25">
      <c r="B836" s="2479"/>
      <c r="C836" s="1051"/>
      <c r="D836" s="1051" t="s">
        <v>4279</v>
      </c>
      <c r="E836" s="1052" t="s">
        <v>4281</v>
      </c>
      <c r="F836" s="1053" t="s">
        <v>522</v>
      </c>
    </row>
    <row r="837" spans="1:6" s="1198" customFormat="1" ht="15" x14ac:dyDescent="0.25">
      <c r="B837" s="2479"/>
      <c r="C837" s="1051"/>
      <c r="D837" s="1051" t="s">
        <v>4070</v>
      </c>
      <c r="E837" s="1052" t="s">
        <v>4106</v>
      </c>
      <c r="F837" s="1053" t="s">
        <v>522</v>
      </c>
    </row>
    <row r="838" spans="1:6" s="1198" customFormat="1" ht="51" x14ac:dyDescent="0.25">
      <c r="B838" s="2479"/>
      <c r="C838" s="1051"/>
      <c r="D838" s="1051" t="s">
        <v>4071</v>
      </c>
      <c r="E838" s="1052" t="s">
        <v>4072</v>
      </c>
      <c r="F838" s="1053" t="s">
        <v>522</v>
      </c>
    </row>
    <row r="839" spans="1:6" s="1198" customFormat="1" ht="15" x14ac:dyDescent="0.25">
      <c r="B839" s="2479"/>
      <c r="C839" s="1051"/>
      <c r="D839" s="1051" t="s">
        <v>4076</v>
      </c>
      <c r="E839" s="1052" t="s">
        <v>4077</v>
      </c>
      <c r="F839" s="1053" t="s">
        <v>4789</v>
      </c>
    </row>
    <row r="840" spans="1:6" s="1198" customFormat="1" ht="15" x14ac:dyDescent="0.25">
      <c r="B840" s="2479"/>
      <c r="C840" s="1051"/>
      <c r="D840" s="1051" t="s">
        <v>4078</v>
      </c>
      <c r="E840" s="1052" t="s">
        <v>4079</v>
      </c>
      <c r="F840" s="1053" t="s">
        <v>4810</v>
      </c>
    </row>
    <row r="841" spans="1:6" s="1198" customFormat="1" ht="15" x14ac:dyDescent="0.25">
      <c r="B841" s="2479"/>
      <c r="C841" s="1051"/>
      <c r="D841" s="1051" t="s">
        <v>4080</v>
      </c>
      <c r="E841" s="1052" t="s">
        <v>522</v>
      </c>
      <c r="F841" s="1053" t="s">
        <v>522</v>
      </c>
    </row>
    <row r="842" spans="1:6" s="1198" customFormat="1" ht="15" x14ac:dyDescent="0.25">
      <c r="B842" s="2479"/>
      <c r="C842" s="1051"/>
      <c r="D842" s="1051" t="s">
        <v>4082</v>
      </c>
      <c r="E842" s="1052" t="s">
        <v>522</v>
      </c>
      <c r="F842" s="1053" t="s">
        <v>522</v>
      </c>
    </row>
    <row r="843" spans="1:6" s="1198" customFormat="1" ht="15" x14ac:dyDescent="0.25">
      <c r="B843" s="2479"/>
      <c r="C843" s="1051"/>
      <c r="D843" s="1051" t="s">
        <v>4084</v>
      </c>
      <c r="E843" s="1052" t="s">
        <v>4090</v>
      </c>
      <c r="F843" s="1053" t="s">
        <v>4573</v>
      </c>
    </row>
    <row r="844" spans="1:6" s="1198" customFormat="1" ht="15" x14ac:dyDescent="0.25">
      <c r="B844" s="2480"/>
      <c r="C844" s="1024"/>
      <c r="D844" s="1024" t="s">
        <v>4075</v>
      </c>
      <c r="E844" s="1025" t="s">
        <v>4112</v>
      </c>
      <c r="F844" s="1026"/>
    </row>
    <row r="845" spans="1:6" s="1198" customFormat="1" ht="15" x14ac:dyDescent="0.25">
      <c r="A845" s="1018"/>
      <c r="B845" s="2469" t="s">
        <v>4387</v>
      </c>
      <c r="C845" s="2467"/>
      <c r="D845" s="2467"/>
      <c r="E845" s="2467"/>
      <c r="F845" s="2467"/>
    </row>
    <row r="846" spans="1:6" s="1198" customFormat="1" ht="15" x14ac:dyDescent="0.25">
      <c r="A846" s="1018"/>
      <c r="B846" s="1050"/>
      <c r="C846" s="2468" t="s">
        <v>4574</v>
      </c>
      <c r="D846" s="2468"/>
      <c r="E846" s="2468"/>
      <c r="F846" s="2468"/>
    </row>
    <row r="847" spans="1:6" s="1198" customFormat="1" ht="51" x14ac:dyDescent="0.25">
      <c r="A847" s="1020"/>
      <c r="B847" s="2478" t="s">
        <v>1319</v>
      </c>
      <c r="C847" s="1021" t="s">
        <v>4575</v>
      </c>
      <c r="D847" s="1021" t="s">
        <v>4271</v>
      </c>
      <c r="E847" s="1022" t="s">
        <v>4811</v>
      </c>
      <c r="F847" s="1023" t="s">
        <v>4812</v>
      </c>
    </row>
    <row r="848" spans="1:6" s="1198" customFormat="1" ht="38.25" x14ac:dyDescent="0.25">
      <c r="B848" s="2479"/>
      <c r="C848" s="1051"/>
      <c r="D848" s="1051" t="s">
        <v>4395</v>
      </c>
      <c r="E848" s="1052" t="s">
        <v>4400</v>
      </c>
      <c r="F848" s="1053" t="s">
        <v>522</v>
      </c>
    </row>
    <row r="849" spans="1:6" s="1198" customFormat="1" ht="25.5" x14ac:dyDescent="0.25">
      <c r="B849" s="2479"/>
      <c r="C849" s="1051"/>
      <c r="D849" s="1051" t="s">
        <v>4294</v>
      </c>
      <c r="E849" s="1052" t="s">
        <v>4295</v>
      </c>
      <c r="F849" s="1053" t="s">
        <v>522</v>
      </c>
    </row>
    <row r="850" spans="1:6" s="1198" customFormat="1" ht="15" x14ac:dyDescent="0.25">
      <c r="B850" s="2479"/>
      <c r="C850" s="1051"/>
      <c r="D850" s="1051" t="s">
        <v>4070</v>
      </c>
      <c r="E850" s="1052" t="s">
        <v>4106</v>
      </c>
      <c r="F850" s="1053" t="s">
        <v>522</v>
      </c>
    </row>
    <row r="851" spans="1:6" s="1198" customFormat="1" ht="51" x14ac:dyDescent="0.25">
      <c r="B851" s="2479"/>
      <c r="C851" s="1051"/>
      <c r="D851" s="1051" t="s">
        <v>4071</v>
      </c>
      <c r="E851" s="1052" t="s">
        <v>4072</v>
      </c>
      <c r="F851" s="1053" t="s">
        <v>522</v>
      </c>
    </row>
    <row r="852" spans="1:6" s="1198" customFormat="1" ht="15" x14ac:dyDescent="0.25">
      <c r="B852" s="2479"/>
      <c r="C852" s="1051"/>
      <c r="D852" s="1051" t="s">
        <v>4095</v>
      </c>
      <c r="E852" s="1052" t="s">
        <v>4304</v>
      </c>
      <c r="F852" s="1053" t="s">
        <v>4813</v>
      </c>
    </row>
    <row r="853" spans="1:6" s="1198" customFormat="1" ht="15" x14ac:dyDescent="0.25">
      <c r="B853" s="2479"/>
      <c r="C853" s="1051"/>
      <c r="D853" s="1051" t="s">
        <v>4096</v>
      </c>
      <c r="E853" s="1052" t="s">
        <v>4305</v>
      </c>
      <c r="F853" s="1053" t="s">
        <v>4814</v>
      </c>
    </row>
    <row r="854" spans="1:6" s="1198" customFormat="1" ht="15" x14ac:dyDescent="0.25">
      <c r="B854" s="2480"/>
      <c r="C854" s="1024"/>
      <c r="D854" s="1024" t="s">
        <v>4075</v>
      </c>
      <c r="E854" s="1025" t="s">
        <v>4306</v>
      </c>
      <c r="F854" s="1026"/>
    </row>
    <row r="855" spans="1:6" s="1198" customFormat="1" ht="51" x14ac:dyDescent="0.25">
      <c r="A855" s="1020"/>
      <c r="B855" s="2478" t="s">
        <v>5463</v>
      </c>
      <c r="C855" s="1021" t="s">
        <v>4577</v>
      </c>
      <c r="D855" s="1021" t="s">
        <v>4271</v>
      </c>
      <c r="E855" s="1022" t="s">
        <v>4815</v>
      </c>
      <c r="F855" s="1023" t="s">
        <v>4816</v>
      </c>
    </row>
    <row r="856" spans="1:6" s="1198" customFormat="1" ht="25.5" x14ac:dyDescent="0.25">
      <c r="B856" s="2479"/>
      <c r="C856" s="1051"/>
      <c r="D856" s="1051" t="s">
        <v>4294</v>
      </c>
      <c r="E856" s="1052" t="s">
        <v>4295</v>
      </c>
      <c r="F856" s="1053" t="s">
        <v>522</v>
      </c>
    </row>
    <row r="857" spans="1:6" s="1198" customFormat="1" ht="15" x14ac:dyDescent="0.25">
      <c r="B857" s="2479"/>
      <c r="C857" s="1051"/>
      <c r="D857" s="1051" t="s">
        <v>4070</v>
      </c>
      <c r="E857" s="1052" t="s">
        <v>4106</v>
      </c>
      <c r="F857" s="1053" t="s">
        <v>522</v>
      </c>
    </row>
    <row r="858" spans="1:6" s="1198" customFormat="1" ht="51" x14ac:dyDescent="0.25">
      <c r="B858" s="2479"/>
      <c r="C858" s="1051"/>
      <c r="D858" s="1051" t="s">
        <v>4071</v>
      </c>
      <c r="E858" s="1052" t="s">
        <v>4072</v>
      </c>
      <c r="F858" s="1053" t="s">
        <v>522</v>
      </c>
    </row>
    <row r="859" spans="1:6" s="1198" customFormat="1" ht="15" x14ac:dyDescent="0.25">
      <c r="B859" s="2479"/>
      <c r="C859" s="1051"/>
      <c r="D859" s="1051" t="s">
        <v>4076</v>
      </c>
      <c r="E859" s="1052" t="s">
        <v>4077</v>
      </c>
      <c r="F859" s="1053" t="s">
        <v>4817</v>
      </c>
    </row>
    <row r="860" spans="1:6" s="1198" customFormat="1" ht="15" x14ac:dyDescent="0.25">
      <c r="B860" s="2479"/>
      <c r="C860" s="1051"/>
      <c r="D860" s="1051" t="s">
        <v>4078</v>
      </c>
      <c r="E860" s="1052" t="s">
        <v>4277</v>
      </c>
      <c r="F860" s="1053" t="s">
        <v>4818</v>
      </c>
    </row>
    <row r="861" spans="1:6" s="1198" customFormat="1" ht="15" x14ac:dyDescent="0.25">
      <c r="B861" s="2479"/>
      <c r="C861" s="1051"/>
      <c r="D861" s="1051" t="s">
        <v>4080</v>
      </c>
      <c r="E861" s="1052" t="s">
        <v>522</v>
      </c>
      <c r="F861" s="1053" t="s">
        <v>522</v>
      </c>
    </row>
    <row r="862" spans="1:6" s="1198" customFormat="1" ht="15" x14ac:dyDescent="0.25">
      <c r="B862" s="2479"/>
      <c r="C862" s="1051"/>
      <c r="D862" s="1051" t="s">
        <v>4082</v>
      </c>
      <c r="E862" s="1052" t="s">
        <v>522</v>
      </c>
      <c r="F862" s="1053" t="s">
        <v>522</v>
      </c>
    </row>
    <row r="863" spans="1:6" s="1198" customFormat="1" ht="15" x14ac:dyDescent="0.25">
      <c r="B863" s="2479"/>
      <c r="C863" s="1051"/>
      <c r="D863" s="1051" t="s">
        <v>4084</v>
      </c>
      <c r="E863" s="1052" t="s">
        <v>4090</v>
      </c>
      <c r="F863" s="1053" t="s">
        <v>4819</v>
      </c>
    </row>
    <row r="864" spans="1:6" s="1198" customFormat="1" ht="15" x14ac:dyDescent="0.25">
      <c r="B864" s="2480"/>
      <c r="C864" s="1024"/>
      <c r="D864" s="1024" t="s">
        <v>4075</v>
      </c>
      <c r="E864" s="1025" t="s">
        <v>4307</v>
      </c>
      <c r="F864" s="1026"/>
    </row>
    <row r="865" spans="1:6" s="1198" customFormat="1" ht="15" x14ac:dyDescent="0.25">
      <c r="A865" s="1018"/>
      <c r="B865" s="1050"/>
      <c r="C865" s="2468" t="s">
        <v>4578</v>
      </c>
      <c r="D865" s="2468"/>
      <c r="E865" s="2468"/>
      <c r="F865" s="2468"/>
    </row>
    <row r="866" spans="1:6" s="1198" customFormat="1" ht="51" x14ac:dyDescent="0.25">
      <c r="A866" s="1020"/>
      <c r="B866" s="2478" t="s">
        <v>1322</v>
      </c>
      <c r="C866" s="1021" t="s">
        <v>4575</v>
      </c>
      <c r="D866" s="1021" t="s">
        <v>4271</v>
      </c>
      <c r="E866" s="1022" t="s">
        <v>4820</v>
      </c>
      <c r="F866" s="1023" t="s">
        <v>4821</v>
      </c>
    </row>
    <row r="867" spans="1:6" s="1198" customFormat="1" ht="38.25" x14ac:dyDescent="0.25">
      <c r="B867" s="2479"/>
      <c r="C867" s="1051"/>
      <c r="D867" s="1051" t="s">
        <v>4395</v>
      </c>
      <c r="E867" s="1052" t="s">
        <v>4400</v>
      </c>
      <c r="F867" s="1053" t="s">
        <v>522</v>
      </c>
    </row>
    <row r="868" spans="1:6" s="1198" customFormat="1" ht="15" x14ac:dyDescent="0.25">
      <c r="B868" s="2479"/>
      <c r="C868" s="1051"/>
      <c r="D868" s="1051" t="s">
        <v>4070</v>
      </c>
      <c r="E868" s="1052" t="s">
        <v>4106</v>
      </c>
      <c r="F868" s="1053" t="s">
        <v>522</v>
      </c>
    </row>
    <row r="869" spans="1:6" s="1198" customFormat="1" ht="51" x14ac:dyDescent="0.25">
      <c r="B869" s="2479"/>
      <c r="C869" s="1051"/>
      <c r="D869" s="1051" t="s">
        <v>4071</v>
      </c>
      <c r="E869" s="1052" t="s">
        <v>4072</v>
      </c>
      <c r="F869" s="1053" t="s">
        <v>522</v>
      </c>
    </row>
    <row r="870" spans="1:6" s="1198" customFormat="1" ht="15" x14ac:dyDescent="0.25">
      <c r="B870" s="2479"/>
      <c r="C870" s="1051"/>
      <c r="D870" s="1051" t="s">
        <v>4095</v>
      </c>
      <c r="E870" s="1052" t="s">
        <v>4304</v>
      </c>
      <c r="F870" s="1053" t="s">
        <v>4822</v>
      </c>
    </row>
    <row r="871" spans="1:6" s="1198" customFormat="1" ht="15" x14ac:dyDescent="0.25">
      <c r="B871" s="2479"/>
      <c r="C871" s="1051"/>
      <c r="D871" s="1051" t="s">
        <v>4096</v>
      </c>
      <c r="E871" s="1052" t="s">
        <v>4305</v>
      </c>
      <c r="F871" s="1053" t="s">
        <v>4823</v>
      </c>
    </row>
    <row r="872" spans="1:6" s="1198" customFormat="1" ht="15" x14ac:dyDescent="0.25">
      <c r="B872" s="2480"/>
      <c r="C872" s="1024"/>
      <c r="D872" s="1024" t="s">
        <v>4075</v>
      </c>
      <c r="E872" s="1025" t="s">
        <v>4306</v>
      </c>
      <c r="F872" s="1026"/>
    </row>
    <row r="873" spans="1:6" s="1198" customFormat="1" ht="51" x14ac:dyDescent="0.25">
      <c r="A873" s="1020"/>
      <c r="B873" s="2478" t="s">
        <v>5464</v>
      </c>
      <c r="C873" s="1021" t="s">
        <v>4577</v>
      </c>
      <c r="D873" s="1021" t="s">
        <v>4271</v>
      </c>
      <c r="E873" s="1022" t="s">
        <v>4824</v>
      </c>
      <c r="F873" s="1023" t="s">
        <v>4825</v>
      </c>
    </row>
    <row r="874" spans="1:6" s="1198" customFormat="1" ht="15" x14ac:dyDescent="0.25">
      <c r="B874" s="2479"/>
      <c r="C874" s="1051"/>
      <c r="D874" s="1051" t="s">
        <v>4070</v>
      </c>
      <c r="E874" s="1052" t="s">
        <v>4106</v>
      </c>
      <c r="F874" s="1053" t="s">
        <v>522</v>
      </c>
    </row>
    <row r="875" spans="1:6" s="1198" customFormat="1" ht="51" x14ac:dyDescent="0.25">
      <c r="B875" s="2479"/>
      <c r="C875" s="1051"/>
      <c r="D875" s="1051" t="s">
        <v>4071</v>
      </c>
      <c r="E875" s="1052" t="s">
        <v>4072</v>
      </c>
      <c r="F875" s="1053" t="s">
        <v>522</v>
      </c>
    </row>
    <row r="876" spans="1:6" s="1198" customFormat="1" ht="15" x14ac:dyDescent="0.25">
      <c r="B876" s="2479"/>
      <c r="C876" s="1051"/>
      <c r="D876" s="1051" t="s">
        <v>4076</v>
      </c>
      <c r="E876" s="1052" t="s">
        <v>4077</v>
      </c>
      <c r="F876" s="1053" t="s">
        <v>4826</v>
      </c>
    </row>
    <row r="877" spans="1:6" s="1198" customFormat="1" ht="15" x14ac:dyDescent="0.25">
      <c r="B877" s="2479"/>
      <c r="C877" s="1051"/>
      <c r="D877" s="1051" t="s">
        <v>4078</v>
      </c>
      <c r="E877" s="1052" t="s">
        <v>4277</v>
      </c>
      <c r="F877" s="1053" t="s">
        <v>4827</v>
      </c>
    </row>
    <row r="878" spans="1:6" s="1198" customFormat="1" ht="15" x14ac:dyDescent="0.25">
      <c r="B878" s="2479"/>
      <c r="C878" s="1051"/>
      <c r="D878" s="1051" t="s">
        <v>4080</v>
      </c>
      <c r="E878" s="1052" t="s">
        <v>522</v>
      </c>
      <c r="F878" s="1053" t="s">
        <v>522</v>
      </c>
    </row>
    <row r="879" spans="1:6" s="1198" customFormat="1" ht="15" x14ac:dyDescent="0.25">
      <c r="B879" s="2479"/>
      <c r="C879" s="1051"/>
      <c r="D879" s="1051" t="s">
        <v>4082</v>
      </c>
      <c r="E879" s="1052" t="s">
        <v>522</v>
      </c>
      <c r="F879" s="1053" t="s">
        <v>522</v>
      </c>
    </row>
    <row r="880" spans="1:6" s="1198" customFormat="1" ht="15" x14ac:dyDescent="0.25">
      <c r="B880" s="2479"/>
      <c r="C880" s="1051"/>
      <c r="D880" s="1051" t="s">
        <v>4084</v>
      </c>
      <c r="E880" s="1052" t="s">
        <v>4090</v>
      </c>
      <c r="F880" s="1053" t="s">
        <v>4828</v>
      </c>
    </row>
    <row r="881" spans="1:6" s="1198" customFormat="1" ht="15" x14ac:dyDescent="0.25">
      <c r="B881" s="2480"/>
      <c r="C881" s="1024"/>
      <c r="D881" s="1024" t="s">
        <v>4075</v>
      </c>
      <c r="E881" s="1025" t="s">
        <v>4307</v>
      </c>
      <c r="F881" s="1026"/>
    </row>
    <row r="882" spans="1:6" s="1198" customFormat="1" ht="15" x14ac:dyDescent="0.25">
      <c r="A882" s="1018"/>
      <c r="B882" s="2469" t="s">
        <v>5128</v>
      </c>
      <c r="C882" s="2467"/>
      <c r="D882" s="2467"/>
      <c r="E882" s="2467"/>
      <c r="F882" s="2467"/>
    </row>
    <row r="883" spans="1:6" s="1198" customFormat="1" ht="15" x14ac:dyDescent="0.25">
      <c r="A883" s="1018"/>
      <c r="B883" s="1050"/>
      <c r="C883" s="2468" t="s">
        <v>4580</v>
      </c>
      <c r="D883" s="2468"/>
      <c r="E883" s="2468"/>
      <c r="F883" s="2468"/>
    </row>
    <row r="884" spans="1:6" s="1198" customFormat="1" ht="51" x14ac:dyDescent="0.25">
      <c r="A884" s="1020"/>
      <c r="B884" s="2478" t="s">
        <v>1325</v>
      </c>
      <c r="C884" s="1021" t="s">
        <v>4581</v>
      </c>
      <c r="D884" s="1021" t="s">
        <v>4582</v>
      </c>
      <c r="E884" s="1022" t="s">
        <v>5219</v>
      </c>
      <c r="F884" s="1023" t="s">
        <v>5220</v>
      </c>
    </row>
    <row r="885" spans="1:6" s="1198" customFormat="1" ht="15" x14ac:dyDescent="0.25">
      <c r="B885" s="2479"/>
      <c r="C885" s="1051"/>
      <c r="D885" s="1051" t="s">
        <v>4069</v>
      </c>
      <c r="E885" s="1052" t="s">
        <v>4103</v>
      </c>
      <c r="F885" s="1053" t="s">
        <v>522</v>
      </c>
    </row>
    <row r="886" spans="1:6" s="1198" customFormat="1" ht="25.5" x14ac:dyDescent="0.25">
      <c r="B886" s="2479"/>
      <c r="C886" s="1051"/>
      <c r="D886" s="1051" t="s">
        <v>4583</v>
      </c>
      <c r="E886" s="1052" t="s">
        <v>4584</v>
      </c>
      <c r="F886" s="1053" t="s">
        <v>522</v>
      </c>
    </row>
    <row r="887" spans="1:6" s="1198" customFormat="1" ht="25.5" x14ac:dyDescent="0.25">
      <c r="B887" s="2479"/>
      <c r="C887" s="1051"/>
      <c r="D887" s="1051" t="s">
        <v>5129</v>
      </c>
      <c r="E887" s="1052" t="s">
        <v>5130</v>
      </c>
      <c r="F887" s="1053" t="s">
        <v>522</v>
      </c>
    </row>
    <row r="888" spans="1:6" s="1198" customFormat="1" ht="15" x14ac:dyDescent="0.25">
      <c r="B888" s="2479"/>
      <c r="C888" s="1051"/>
      <c r="D888" s="1051" t="s">
        <v>4070</v>
      </c>
      <c r="E888" s="1052" t="s">
        <v>4106</v>
      </c>
      <c r="F888" s="1053" t="s">
        <v>522</v>
      </c>
    </row>
    <row r="889" spans="1:6" s="1198" customFormat="1" ht="51" x14ac:dyDescent="0.25">
      <c r="B889" s="2479"/>
      <c r="C889" s="1051"/>
      <c r="D889" s="1051" t="s">
        <v>4092</v>
      </c>
      <c r="E889" s="1052" t="s">
        <v>4093</v>
      </c>
      <c r="F889" s="1053" t="s">
        <v>522</v>
      </c>
    </row>
    <row r="890" spans="1:6" s="1198" customFormat="1" ht="51" x14ac:dyDescent="0.25">
      <c r="B890" s="2479"/>
      <c r="C890" s="1051"/>
      <c r="D890" s="1051" t="s">
        <v>4585</v>
      </c>
      <c r="E890" s="1052" t="s">
        <v>4829</v>
      </c>
      <c r="F890" s="1053" t="s">
        <v>5221</v>
      </c>
    </row>
    <row r="891" spans="1:6" s="1198" customFormat="1" ht="15" x14ac:dyDescent="0.25">
      <c r="B891" s="2480"/>
      <c r="C891" s="1024"/>
      <c r="D891" s="1024" t="s">
        <v>4075</v>
      </c>
      <c r="E891" s="1025" t="s">
        <v>4257</v>
      </c>
      <c r="F891" s="1026"/>
    </row>
    <row r="892" spans="1:6" s="1198" customFormat="1" ht="51" x14ac:dyDescent="0.25">
      <c r="A892" s="1020"/>
      <c r="B892" s="2478" t="s">
        <v>5465</v>
      </c>
      <c r="C892" s="1021" t="s">
        <v>4587</v>
      </c>
      <c r="D892" s="1021" t="s">
        <v>4582</v>
      </c>
      <c r="E892" s="1022" t="s">
        <v>5222</v>
      </c>
      <c r="F892" s="1023" t="s">
        <v>5223</v>
      </c>
    </row>
    <row r="893" spans="1:6" s="1198" customFormat="1" ht="25.5" x14ac:dyDescent="0.25">
      <c r="B893" s="2479"/>
      <c r="C893" s="1051"/>
      <c r="D893" s="1051" t="s">
        <v>4583</v>
      </c>
      <c r="E893" s="1052" t="s">
        <v>4588</v>
      </c>
      <c r="F893" s="1053" t="s">
        <v>522</v>
      </c>
    </row>
    <row r="894" spans="1:6" s="1198" customFormat="1" ht="25.5" x14ac:dyDescent="0.25">
      <c r="B894" s="2479"/>
      <c r="C894" s="1051"/>
      <c r="D894" s="1051" t="s">
        <v>5129</v>
      </c>
      <c r="E894" s="1052" t="s">
        <v>5132</v>
      </c>
      <c r="F894" s="1053" t="s">
        <v>522</v>
      </c>
    </row>
    <row r="895" spans="1:6" s="1198" customFormat="1" ht="15" x14ac:dyDescent="0.25">
      <c r="B895" s="2479"/>
      <c r="C895" s="1051"/>
      <c r="D895" s="1051" t="s">
        <v>4070</v>
      </c>
      <c r="E895" s="1052" t="s">
        <v>4106</v>
      </c>
      <c r="F895" s="1053" t="s">
        <v>522</v>
      </c>
    </row>
    <row r="896" spans="1:6" s="1198" customFormat="1" ht="51" x14ac:dyDescent="0.25">
      <c r="B896" s="2479"/>
      <c r="C896" s="1051"/>
      <c r="D896" s="1051" t="s">
        <v>4092</v>
      </c>
      <c r="E896" s="1052" t="s">
        <v>4093</v>
      </c>
      <c r="F896" s="1053" t="s">
        <v>522</v>
      </c>
    </row>
    <row r="897" spans="1:6" s="1198" customFormat="1" ht="15" x14ac:dyDescent="0.25">
      <c r="B897" s="2479"/>
      <c r="C897" s="1051"/>
      <c r="D897" s="1051" t="s">
        <v>4248</v>
      </c>
      <c r="E897" s="1052" t="s">
        <v>522</v>
      </c>
      <c r="F897" s="1053" t="s">
        <v>522</v>
      </c>
    </row>
    <row r="898" spans="1:6" s="1198" customFormat="1" ht="15" x14ac:dyDescent="0.25">
      <c r="B898" s="2479"/>
      <c r="C898" s="1051"/>
      <c r="D898" s="1051" t="s">
        <v>4524</v>
      </c>
      <c r="E898" s="1052" t="s">
        <v>4088</v>
      </c>
      <c r="F898" s="1053" t="s">
        <v>5224</v>
      </c>
    </row>
    <row r="899" spans="1:6" s="1198" customFormat="1" ht="15" x14ac:dyDescent="0.25">
      <c r="B899" s="2479"/>
      <c r="C899" s="1051"/>
      <c r="D899" s="1051" t="s">
        <v>4253</v>
      </c>
      <c r="E899" s="1052" t="s">
        <v>4088</v>
      </c>
      <c r="F899" s="1053" t="s">
        <v>5224</v>
      </c>
    </row>
    <row r="900" spans="1:6" s="1198" customFormat="1" ht="25.5" x14ac:dyDescent="0.25">
      <c r="B900" s="2479"/>
      <c r="C900" s="1051"/>
      <c r="D900" s="1051" t="s">
        <v>4250</v>
      </c>
      <c r="E900" s="1052" t="s">
        <v>4091</v>
      </c>
      <c r="F900" s="1053" t="s">
        <v>5225</v>
      </c>
    </row>
    <row r="901" spans="1:6" s="1198" customFormat="1" ht="15" x14ac:dyDescent="0.25">
      <c r="B901" s="2480"/>
      <c r="C901" s="1024"/>
      <c r="D901" s="1024" t="s">
        <v>4075</v>
      </c>
      <c r="E901" s="1025" t="s">
        <v>4258</v>
      </c>
      <c r="F901" s="1026"/>
    </row>
    <row r="902" spans="1:6" s="1198" customFormat="1" ht="15" x14ac:dyDescent="0.25">
      <c r="A902" s="1018"/>
      <c r="B902" s="1050"/>
      <c r="C902" s="2468" t="s">
        <v>4589</v>
      </c>
      <c r="D902" s="2468"/>
      <c r="E902" s="2468"/>
      <c r="F902" s="2468"/>
    </row>
    <row r="903" spans="1:6" s="1198" customFormat="1" ht="51" x14ac:dyDescent="0.25">
      <c r="A903" s="1020"/>
      <c r="B903" s="2478" t="s">
        <v>1327</v>
      </c>
      <c r="C903" s="1021" t="s">
        <v>4581</v>
      </c>
      <c r="D903" s="1021" t="s">
        <v>4582</v>
      </c>
      <c r="E903" s="1022" t="s">
        <v>5226</v>
      </c>
      <c r="F903" s="1023" t="s">
        <v>5227</v>
      </c>
    </row>
    <row r="904" spans="1:6" s="1198" customFormat="1" ht="15" x14ac:dyDescent="0.25">
      <c r="B904" s="2479"/>
      <c r="C904" s="1051"/>
      <c r="D904" s="1051" t="s">
        <v>4069</v>
      </c>
      <c r="E904" s="1052" t="s">
        <v>4103</v>
      </c>
      <c r="F904" s="1053" t="s">
        <v>522</v>
      </c>
    </row>
    <row r="905" spans="1:6" s="1198" customFormat="1" ht="25.5" x14ac:dyDescent="0.25">
      <c r="B905" s="2479"/>
      <c r="C905" s="1051"/>
      <c r="D905" s="1051" t="s">
        <v>5129</v>
      </c>
      <c r="E905" s="1052" t="s">
        <v>5132</v>
      </c>
      <c r="F905" s="1053" t="s">
        <v>522</v>
      </c>
    </row>
    <row r="906" spans="1:6" s="1198" customFormat="1" ht="15" x14ac:dyDescent="0.25">
      <c r="B906" s="2479"/>
      <c r="C906" s="1051"/>
      <c r="D906" s="1051" t="s">
        <v>4070</v>
      </c>
      <c r="E906" s="1052" t="s">
        <v>4106</v>
      </c>
      <c r="F906" s="1053" t="s">
        <v>522</v>
      </c>
    </row>
    <row r="907" spans="1:6" s="1198" customFormat="1" ht="51" x14ac:dyDescent="0.25">
      <c r="B907" s="2479"/>
      <c r="C907" s="1051"/>
      <c r="D907" s="1051" t="s">
        <v>4092</v>
      </c>
      <c r="E907" s="1052" t="s">
        <v>4093</v>
      </c>
      <c r="F907" s="1053" t="s">
        <v>522</v>
      </c>
    </row>
    <row r="908" spans="1:6" s="1198" customFormat="1" ht="51" x14ac:dyDescent="0.25">
      <c r="B908" s="2479"/>
      <c r="C908" s="1051"/>
      <c r="D908" s="1051" t="s">
        <v>4585</v>
      </c>
      <c r="E908" s="1052" t="s">
        <v>4829</v>
      </c>
      <c r="F908" s="1053" t="s">
        <v>5228</v>
      </c>
    </row>
    <row r="909" spans="1:6" s="1198" customFormat="1" ht="15" x14ac:dyDescent="0.25">
      <c r="B909" s="2480"/>
      <c r="C909" s="1024"/>
      <c r="D909" s="1024" t="s">
        <v>4075</v>
      </c>
      <c r="E909" s="1025" t="s">
        <v>4257</v>
      </c>
      <c r="F909" s="1026"/>
    </row>
    <row r="910" spans="1:6" s="1198" customFormat="1" ht="51" x14ac:dyDescent="0.25">
      <c r="A910" s="1020"/>
      <c r="B910" s="2478" t="s">
        <v>5466</v>
      </c>
      <c r="C910" s="1021" t="s">
        <v>4587</v>
      </c>
      <c r="D910" s="1021" t="s">
        <v>4582</v>
      </c>
      <c r="E910" s="1022" t="s">
        <v>5229</v>
      </c>
      <c r="F910" s="1023" t="s">
        <v>5230</v>
      </c>
    </row>
    <row r="911" spans="1:6" s="1198" customFormat="1" ht="25.5" x14ac:dyDescent="0.25">
      <c r="B911" s="2479"/>
      <c r="C911" s="1051"/>
      <c r="D911" s="1051" t="s">
        <v>5129</v>
      </c>
      <c r="E911" s="1052" t="s">
        <v>5134</v>
      </c>
      <c r="F911" s="1053" t="s">
        <v>522</v>
      </c>
    </row>
    <row r="912" spans="1:6" s="1198" customFormat="1" ht="15" x14ac:dyDescent="0.25">
      <c r="B912" s="2479"/>
      <c r="C912" s="1051"/>
      <c r="D912" s="1051" t="s">
        <v>4070</v>
      </c>
      <c r="E912" s="1052" t="s">
        <v>4106</v>
      </c>
      <c r="F912" s="1053" t="s">
        <v>522</v>
      </c>
    </row>
    <row r="913" spans="1:6" s="1198" customFormat="1" ht="51" x14ac:dyDescent="0.25">
      <c r="B913" s="2479"/>
      <c r="C913" s="1051"/>
      <c r="D913" s="1051" t="s">
        <v>4092</v>
      </c>
      <c r="E913" s="1052" t="s">
        <v>4093</v>
      </c>
      <c r="F913" s="1053" t="s">
        <v>522</v>
      </c>
    </row>
    <row r="914" spans="1:6" s="1198" customFormat="1" ht="15" x14ac:dyDescent="0.25">
      <c r="B914" s="2479"/>
      <c r="C914" s="1051"/>
      <c r="D914" s="1051" t="s">
        <v>4248</v>
      </c>
      <c r="E914" s="1052" t="s">
        <v>522</v>
      </c>
      <c r="F914" s="1053" t="s">
        <v>522</v>
      </c>
    </row>
    <row r="915" spans="1:6" s="1198" customFormat="1" ht="15" x14ac:dyDescent="0.25">
      <c r="B915" s="2479"/>
      <c r="C915" s="1051"/>
      <c r="D915" s="1051" t="s">
        <v>4524</v>
      </c>
      <c r="E915" s="1052" t="s">
        <v>4088</v>
      </c>
      <c r="F915" s="1053" t="s">
        <v>5231</v>
      </c>
    </row>
    <row r="916" spans="1:6" s="1198" customFormat="1" ht="15" x14ac:dyDescent="0.25">
      <c r="B916" s="2479"/>
      <c r="C916" s="1051"/>
      <c r="D916" s="1051" t="s">
        <v>4253</v>
      </c>
      <c r="E916" s="1052" t="s">
        <v>4088</v>
      </c>
      <c r="F916" s="1053" t="s">
        <v>5231</v>
      </c>
    </row>
    <row r="917" spans="1:6" s="1198" customFormat="1" ht="25.5" x14ac:dyDescent="0.25">
      <c r="B917" s="2479"/>
      <c r="C917" s="1051"/>
      <c r="D917" s="1051" t="s">
        <v>4250</v>
      </c>
      <c r="E917" s="1052" t="s">
        <v>4091</v>
      </c>
      <c r="F917" s="1053" t="s">
        <v>5232</v>
      </c>
    </row>
    <row r="918" spans="1:6" s="1198" customFormat="1" ht="15" x14ac:dyDescent="0.25">
      <c r="B918" s="2480"/>
      <c r="C918" s="1024"/>
      <c r="D918" s="1024" t="s">
        <v>4075</v>
      </c>
      <c r="E918" s="1025" t="s">
        <v>4258</v>
      </c>
      <c r="F918" s="1026"/>
    </row>
    <row r="919" spans="1:6" s="1198" customFormat="1" ht="15" x14ac:dyDescent="0.25">
      <c r="A919" s="1018"/>
      <c r="B919" s="1050"/>
      <c r="C919" s="2481" t="s">
        <v>5467</v>
      </c>
      <c r="D919" s="2481"/>
      <c r="E919" s="2481"/>
      <c r="F919" s="1054"/>
    </row>
    <row r="920" spans="1:6" s="1198" customFormat="1" ht="15" x14ac:dyDescent="0.25">
      <c r="A920" s="1018"/>
      <c r="B920" s="1050"/>
      <c r="C920" s="2468" t="s">
        <v>4439</v>
      </c>
      <c r="D920" s="2468"/>
      <c r="E920" s="2468"/>
      <c r="F920" s="1019" t="s">
        <v>4830</v>
      </c>
    </row>
    <row r="921" spans="1:6" s="1198" customFormat="1" ht="15" x14ac:dyDescent="0.25">
      <c r="A921" s="1018"/>
      <c r="B921" s="1050"/>
      <c r="C921" s="2468" t="s">
        <v>4534</v>
      </c>
      <c r="D921" s="2468"/>
      <c r="E921" s="2468"/>
      <c r="F921" s="1019" t="s">
        <v>5233</v>
      </c>
    </row>
    <row r="922" spans="1:6" s="1198" customFormat="1" ht="15" x14ac:dyDescent="0.25">
      <c r="A922" s="1018"/>
      <c r="B922" s="1050"/>
      <c r="C922" s="2468" t="s">
        <v>4511</v>
      </c>
      <c r="D922" s="2468"/>
      <c r="E922" s="2468"/>
      <c r="F922" s="1019" t="s">
        <v>5234</v>
      </c>
    </row>
    <row r="923" spans="1:6" s="1198" customFormat="1" ht="15" x14ac:dyDescent="0.25">
      <c r="A923" s="1018"/>
      <c r="B923" s="1050"/>
      <c r="C923" s="2481" t="s">
        <v>5468</v>
      </c>
      <c r="D923" s="2481"/>
      <c r="E923" s="2481"/>
      <c r="F923" s="1054" t="s">
        <v>5234</v>
      </c>
    </row>
    <row r="924" spans="1:6" s="1198" customFormat="1" ht="15" x14ac:dyDescent="0.25">
      <c r="A924" s="1018"/>
      <c r="B924" s="1050"/>
      <c r="C924" s="2481" t="s">
        <v>612</v>
      </c>
      <c r="D924" s="2481"/>
      <c r="E924" s="2481"/>
      <c r="F924" s="1054"/>
    </row>
    <row r="925" spans="1:6" s="1198" customFormat="1" ht="15" x14ac:dyDescent="0.25">
      <c r="A925" s="1018"/>
      <c r="B925" s="1050"/>
      <c r="C925" s="2468" t="s">
        <v>4591</v>
      </c>
      <c r="D925" s="2468"/>
      <c r="E925" s="2468"/>
      <c r="F925" s="1019" t="s">
        <v>4662</v>
      </c>
    </row>
    <row r="926" spans="1:6" s="1198" customFormat="1" ht="15" x14ac:dyDescent="0.25">
      <c r="A926" s="1018"/>
      <c r="B926" s="1050"/>
      <c r="C926" s="2468" t="s">
        <v>4592</v>
      </c>
      <c r="D926" s="2468"/>
      <c r="E926" s="2468"/>
      <c r="F926" s="1019" t="s">
        <v>4696</v>
      </c>
    </row>
    <row r="927" spans="1:6" s="1198" customFormat="1" ht="15" x14ac:dyDescent="0.25">
      <c r="A927" s="1018"/>
      <c r="B927" s="1050"/>
      <c r="C927" s="2468" t="s">
        <v>4593</v>
      </c>
      <c r="D927" s="2468"/>
      <c r="E927" s="2468"/>
      <c r="F927" s="1019" t="s">
        <v>5511</v>
      </c>
    </row>
    <row r="928" spans="1:6" s="1198" customFormat="1" ht="15" x14ac:dyDescent="0.25">
      <c r="A928" s="1018"/>
      <c r="B928" s="1050"/>
      <c r="C928" s="2468" t="s">
        <v>4594</v>
      </c>
      <c r="D928" s="2468"/>
      <c r="E928" s="2468"/>
      <c r="F928" s="1019" t="s">
        <v>4765</v>
      </c>
    </row>
    <row r="929" spans="1:6" s="1198" customFormat="1" ht="15" x14ac:dyDescent="0.25">
      <c r="A929" s="1018"/>
      <c r="B929" s="1050"/>
      <c r="C929" s="2468" t="s">
        <v>4595</v>
      </c>
      <c r="D929" s="2468"/>
      <c r="E929" s="2468"/>
      <c r="F929" s="1019" t="s">
        <v>5218</v>
      </c>
    </row>
    <row r="930" spans="1:6" s="1198" customFormat="1" ht="15" x14ac:dyDescent="0.25">
      <c r="A930" s="1018"/>
      <c r="B930" s="1050"/>
      <c r="C930" s="2468" t="s">
        <v>5469</v>
      </c>
      <c r="D930" s="2468"/>
      <c r="E930" s="2468"/>
      <c r="F930" s="1019" t="s">
        <v>5234</v>
      </c>
    </row>
    <row r="931" spans="1:6" s="1198" customFormat="1" ht="15" x14ac:dyDescent="0.25">
      <c r="A931" s="1018"/>
      <c r="B931" s="1050"/>
      <c r="C931" s="2468" t="s">
        <v>4511</v>
      </c>
      <c r="D931" s="2468"/>
      <c r="E931" s="2468"/>
      <c r="F931" s="1019" t="s">
        <v>5512</v>
      </c>
    </row>
    <row r="932" spans="1:6" s="1198" customFormat="1" ht="15" x14ac:dyDescent="0.25">
      <c r="A932" s="1018"/>
      <c r="B932" s="1050"/>
      <c r="C932" s="2481" t="s">
        <v>593</v>
      </c>
      <c r="D932" s="2481"/>
      <c r="E932" s="2481"/>
      <c r="F932" s="1057">
        <v>21115937.719999999</v>
      </c>
    </row>
    <row r="933" spans="1:6" s="1198" customFormat="1" ht="15" x14ac:dyDescent="0.25">
      <c r="B933" s="1055"/>
      <c r="C933" s="1027"/>
      <c r="D933" s="1027"/>
      <c r="E933" s="1028"/>
      <c r="F933" s="1029"/>
    </row>
    <row r="934" spans="1:6" s="1198" customFormat="1" ht="15" x14ac:dyDescent="0.25">
      <c r="B934" s="1031"/>
      <c r="C934" s="1031"/>
      <c r="D934" s="1031"/>
      <c r="E934" s="1031"/>
      <c r="F934" s="1031"/>
    </row>
    <row r="936" spans="1:6" s="1198" customFormat="1" ht="15" x14ac:dyDescent="0.25">
      <c r="B936" s="1032" t="s">
        <v>661</v>
      </c>
    </row>
    <row r="937" spans="1:6" s="1198" customFormat="1" ht="15" x14ac:dyDescent="0.25">
      <c r="B937" s="1032" t="s">
        <v>662</v>
      </c>
    </row>
    <row r="938" spans="1:6" s="1198" customFormat="1" ht="15" x14ac:dyDescent="0.25">
      <c r="B938" s="1032" t="s">
        <v>663</v>
      </c>
    </row>
    <row r="939" spans="1:6" s="1198" customFormat="1" ht="15" x14ac:dyDescent="0.25">
      <c r="B939" s="1032" t="s">
        <v>664</v>
      </c>
    </row>
    <row r="941" spans="1:6" s="1198" customFormat="1" ht="15" x14ac:dyDescent="0.25">
      <c r="B941" s="1056"/>
    </row>
  </sheetData>
  <mergeCells count="182">
    <mergeCell ref="C931:E931"/>
    <mergeCell ref="C932:E932"/>
    <mergeCell ref="C925:E925"/>
    <mergeCell ref="C926:E926"/>
    <mergeCell ref="C927:E927"/>
    <mergeCell ref="C928:E928"/>
    <mergeCell ref="C929:E929"/>
    <mergeCell ref="C930:E930"/>
    <mergeCell ref="C919:E919"/>
    <mergeCell ref="C920:E920"/>
    <mergeCell ref="C921:E921"/>
    <mergeCell ref="C922:E922"/>
    <mergeCell ref="C923:E923"/>
    <mergeCell ref="C924:E924"/>
    <mergeCell ref="C883:F883"/>
    <mergeCell ref="B884:B891"/>
    <mergeCell ref="B892:B901"/>
    <mergeCell ref="C902:F902"/>
    <mergeCell ref="B903:B909"/>
    <mergeCell ref="B910:B918"/>
    <mergeCell ref="B847:B854"/>
    <mergeCell ref="B855:B864"/>
    <mergeCell ref="C865:F865"/>
    <mergeCell ref="B866:B872"/>
    <mergeCell ref="B873:B881"/>
    <mergeCell ref="B882:F882"/>
    <mergeCell ref="B811:B817"/>
    <mergeCell ref="B818:B826"/>
    <mergeCell ref="B827:B834"/>
    <mergeCell ref="B835:B844"/>
    <mergeCell ref="B845:F845"/>
    <mergeCell ref="C846:F846"/>
    <mergeCell ref="C771:F771"/>
    <mergeCell ref="B772:B779"/>
    <mergeCell ref="B780:B789"/>
    <mergeCell ref="B790:B798"/>
    <mergeCell ref="B799:B809"/>
    <mergeCell ref="C810:F810"/>
    <mergeCell ref="C749:E749"/>
    <mergeCell ref="B750:F750"/>
    <mergeCell ref="B751:F751"/>
    <mergeCell ref="B752:B759"/>
    <mergeCell ref="B760:B769"/>
    <mergeCell ref="B770:F770"/>
    <mergeCell ref="B721:B727"/>
    <mergeCell ref="B728:F728"/>
    <mergeCell ref="B729:B736"/>
    <mergeCell ref="B737:B746"/>
    <mergeCell ref="C747:E747"/>
    <mergeCell ref="C748:E748"/>
    <mergeCell ref="B680:F680"/>
    <mergeCell ref="B681:B690"/>
    <mergeCell ref="B691:B697"/>
    <mergeCell ref="B698:B705"/>
    <mergeCell ref="B706:B712"/>
    <mergeCell ref="B713:B720"/>
    <mergeCell ref="B640:F640"/>
    <mergeCell ref="B641:F641"/>
    <mergeCell ref="B642:B651"/>
    <mergeCell ref="B652:B659"/>
    <mergeCell ref="B660:B670"/>
    <mergeCell ref="B671:B679"/>
    <mergeCell ref="C607:F607"/>
    <mergeCell ref="B608:B614"/>
    <mergeCell ref="B615:B623"/>
    <mergeCell ref="B624:F624"/>
    <mergeCell ref="B625:B631"/>
    <mergeCell ref="B632:B639"/>
    <mergeCell ref="C587:E587"/>
    <mergeCell ref="B588:F588"/>
    <mergeCell ref="B589:F589"/>
    <mergeCell ref="C590:F590"/>
    <mergeCell ref="B591:B597"/>
    <mergeCell ref="B598:B606"/>
    <mergeCell ref="B565:B573"/>
    <mergeCell ref="B574:B582"/>
    <mergeCell ref="C583:E583"/>
    <mergeCell ref="C584:E584"/>
    <mergeCell ref="C585:E585"/>
    <mergeCell ref="C586:E586"/>
    <mergeCell ref="B545:F545"/>
    <mergeCell ref="B546:F546"/>
    <mergeCell ref="C547:F547"/>
    <mergeCell ref="B548:B555"/>
    <mergeCell ref="B556:B563"/>
    <mergeCell ref="C564:F564"/>
    <mergeCell ref="B527:B539"/>
    <mergeCell ref="C540:E540"/>
    <mergeCell ref="C541:E541"/>
    <mergeCell ref="C542:E542"/>
    <mergeCell ref="C543:E543"/>
    <mergeCell ref="C544:E544"/>
    <mergeCell ref="B476:B487"/>
    <mergeCell ref="C488:F488"/>
    <mergeCell ref="B489:B502"/>
    <mergeCell ref="B503:B514"/>
    <mergeCell ref="C515:F515"/>
    <mergeCell ref="B516:B526"/>
    <mergeCell ref="B433:B439"/>
    <mergeCell ref="C440:F440"/>
    <mergeCell ref="B441:B448"/>
    <mergeCell ref="B449:B459"/>
    <mergeCell ref="C460:F460"/>
    <mergeCell ref="B461:B475"/>
    <mergeCell ref="C378:F378"/>
    <mergeCell ref="B379:B393"/>
    <mergeCell ref="B394:B405"/>
    <mergeCell ref="B406:B415"/>
    <mergeCell ref="B416:B424"/>
    <mergeCell ref="B425:B432"/>
    <mergeCell ref="B331:B338"/>
    <mergeCell ref="B339:B348"/>
    <mergeCell ref="B349:F349"/>
    <mergeCell ref="C350:F350"/>
    <mergeCell ref="B351:B365"/>
    <mergeCell ref="B366:B377"/>
    <mergeCell ref="B307:F307"/>
    <mergeCell ref="C308:F308"/>
    <mergeCell ref="B309:B317"/>
    <mergeCell ref="B318:B328"/>
    <mergeCell ref="B329:F329"/>
    <mergeCell ref="C330:F330"/>
    <mergeCell ref="B287:B293"/>
    <mergeCell ref="B294:B302"/>
    <mergeCell ref="C303:E303"/>
    <mergeCell ref="C304:E304"/>
    <mergeCell ref="C305:E305"/>
    <mergeCell ref="B306:F306"/>
    <mergeCell ref="B247:B255"/>
    <mergeCell ref="B256:B266"/>
    <mergeCell ref="C267:F267"/>
    <mergeCell ref="B268:B275"/>
    <mergeCell ref="B276:B285"/>
    <mergeCell ref="C286:F286"/>
    <mergeCell ref="C209:F209"/>
    <mergeCell ref="B210:B217"/>
    <mergeCell ref="B218:B227"/>
    <mergeCell ref="C228:F228"/>
    <mergeCell ref="B229:B236"/>
    <mergeCell ref="B237:B246"/>
    <mergeCell ref="B194:B203"/>
    <mergeCell ref="C204:E204"/>
    <mergeCell ref="C205:E205"/>
    <mergeCell ref="C206:E206"/>
    <mergeCell ref="B207:F207"/>
    <mergeCell ref="B208:F208"/>
    <mergeCell ref="B151:B161"/>
    <mergeCell ref="C162:F162"/>
    <mergeCell ref="B163:B170"/>
    <mergeCell ref="B171:B180"/>
    <mergeCell ref="B181:F181"/>
    <mergeCell ref="B182:B193"/>
    <mergeCell ref="B113:B121"/>
    <mergeCell ref="B122:F122"/>
    <mergeCell ref="C123:F123"/>
    <mergeCell ref="B124:B131"/>
    <mergeCell ref="B132:B141"/>
    <mergeCell ref="B142:B150"/>
    <mergeCell ref="B59:B67"/>
    <mergeCell ref="B68:B78"/>
    <mergeCell ref="B79:B88"/>
    <mergeCell ref="B89:B100"/>
    <mergeCell ref="B101:F101"/>
    <mergeCell ref="B102:B112"/>
    <mergeCell ref="C23:F23"/>
    <mergeCell ref="B24:B30"/>
    <mergeCell ref="B31:B39"/>
    <mergeCell ref="B40:B47"/>
    <mergeCell ref="B48:B57"/>
    <mergeCell ref="C58:F58"/>
    <mergeCell ref="C11:F11"/>
    <mergeCell ref="C13:F13"/>
    <mergeCell ref="B19:F19"/>
    <mergeCell ref="C20:F20"/>
    <mergeCell ref="C21:F21"/>
    <mergeCell ref="B22:F22"/>
    <mergeCell ref="B2:C2"/>
    <mergeCell ref="D3:F3"/>
    <mergeCell ref="B4:F4"/>
    <mergeCell ref="B5:E5"/>
    <mergeCell ref="B7:F7"/>
    <mergeCell ref="B8:E8"/>
  </mergeCells>
  <pageMargins left="0.35433071851730302" right="0.23622047901153601" top="0.74803149700164795" bottom="0.74803149700164795" header="0.31496062874794001" footer="0.31496062874794001"/>
  <pageSetup paperSize="9" fitToHeight="0" orientation="landscape"/>
  <headerFooter>
    <oddFooter>&amp;R&amp;P</oddFooter>
  </headerFooter>
  <legacy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0"/>
  <sheetViews>
    <sheetView workbookViewId="0">
      <selection activeCell="G941" sqref="G941"/>
    </sheetView>
  </sheetViews>
  <sheetFormatPr defaultColWidth="11.5703125" defaultRowHeight="12.75" x14ac:dyDescent="0.2"/>
  <cols>
    <col min="1" max="1" width="17.28515625" style="845" customWidth="1"/>
    <col min="2" max="2" width="19.28515625" style="845" customWidth="1"/>
    <col min="3" max="3" width="20.85546875" style="845" customWidth="1"/>
    <col min="4" max="4" width="23" style="845" customWidth="1"/>
    <col min="5" max="5" width="19.7109375" style="845" customWidth="1"/>
    <col min="6" max="6" width="24.85546875" style="845" customWidth="1"/>
    <col min="7" max="8" width="11.5703125" style="845"/>
    <col min="9" max="256" width="11.5703125" style="846"/>
    <col min="257" max="257" width="17.28515625" style="846" customWidth="1"/>
    <col min="258" max="258" width="19.28515625" style="846" customWidth="1"/>
    <col min="259" max="259" width="20.85546875" style="846" customWidth="1"/>
    <col min="260" max="261" width="19.7109375" style="846" customWidth="1"/>
    <col min="262" max="262" width="24.85546875" style="846" customWidth="1"/>
    <col min="263" max="512" width="11.5703125" style="846"/>
    <col min="513" max="513" width="17.28515625" style="846" customWidth="1"/>
    <col min="514" max="514" width="19.28515625" style="846" customWidth="1"/>
    <col min="515" max="515" width="20.85546875" style="846" customWidth="1"/>
    <col min="516" max="517" width="19.7109375" style="846" customWidth="1"/>
    <col min="518" max="518" width="24.85546875" style="846" customWidth="1"/>
    <col min="519" max="768" width="11.5703125" style="846"/>
    <col min="769" max="769" width="17.28515625" style="846" customWidth="1"/>
    <col min="770" max="770" width="19.28515625" style="846" customWidth="1"/>
    <col min="771" max="771" width="20.85546875" style="846" customWidth="1"/>
    <col min="772" max="773" width="19.7109375" style="846" customWidth="1"/>
    <col min="774" max="774" width="24.85546875" style="846" customWidth="1"/>
    <col min="775" max="1024" width="11.5703125" style="846"/>
    <col min="1025" max="1025" width="17.28515625" style="846" customWidth="1"/>
    <col min="1026" max="1026" width="19.28515625" style="846" customWidth="1"/>
    <col min="1027" max="1027" width="20.85546875" style="846" customWidth="1"/>
    <col min="1028" max="1029" width="19.7109375" style="846" customWidth="1"/>
    <col min="1030" max="1030" width="24.85546875" style="846" customWidth="1"/>
    <col min="1031" max="1280" width="11.5703125" style="846"/>
    <col min="1281" max="1281" width="17.28515625" style="846" customWidth="1"/>
    <col min="1282" max="1282" width="19.28515625" style="846" customWidth="1"/>
    <col min="1283" max="1283" width="20.85546875" style="846" customWidth="1"/>
    <col min="1284" max="1285" width="19.7109375" style="846" customWidth="1"/>
    <col min="1286" max="1286" width="24.85546875" style="846" customWidth="1"/>
    <col min="1287" max="1536" width="11.5703125" style="846"/>
    <col min="1537" max="1537" width="17.28515625" style="846" customWidth="1"/>
    <col min="1538" max="1538" width="19.28515625" style="846" customWidth="1"/>
    <col min="1539" max="1539" width="20.85546875" style="846" customWidth="1"/>
    <col min="1540" max="1541" width="19.7109375" style="846" customWidth="1"/>
    <col min="1542" max="1542" width="24.85546875" style="846" customWidth="1"/>
    <col min="1543" max="1792" width="11.5703125" style="846"/>
    <col min="1793" max="1793" width="17.28515625" style="846" customWidth="1"/>
    <col min="1794" max="1794" width="19.28515625" style="846" customWidth="1"/>
    <col min="1795" max="1795" width="20.85546875" style="846" customWidth="1"/>
    <col min="1796" max="1797" width="19.7109375" style="846" customWidth="1"/>
    <col min="1798" max="1798" width="24.85546875" style="846" customWidth="1"/>
    <col min="1799" max="2048" width="11.5703125" style="846"/>
    <col min="2049" max="2049" width="17.28515625" style="846" customWidth="1"/>
    <col min="2050" max="2050" width="19.28515625" style="846" customWidth="1"/>
    <col min="2051" max="2051" width="20.85546875" style="846" customWidth="1"/>
    <col min="2052" max="2053" width="19.7109375" style="846" customWidth="1"/>
    <col min="2054" max="2054" width="24.85546875" style="846" customWidth="1"/>
    <col min="2055" max="2304" width="11.5703125" style="846"/>
    <col min="2305" max="2305" width="17.28515625" style="846" customWidth="1"/>
    <col min="2306" max="2306" width="19.28515625" style="846" customWidth="1"/>
    <col min="2307" max="2307" width="20.85546875" style="846" customWidth="1"/>
    <col min="2308" max="2309" width="19.7109375" style="846" customWidth="1"/>
    <col min="2310" max="2310" width="24.85546875" style="846" customWidth="1"/>
    <col min="2311" max="2560" width="11.5703125" style="846"/>
    <col min="2561" max="2561" width="17.28515625" style="846" customWidth="1"/>
    <col min="2562" max="2562" width="19.28515625" style="846" customWidth="1"/>
    <col min="2563" max="2563" width="20.85546875" style="846" customWidth="1"/>
    <col min="2564" max="2565" width="19.7109375" style="846" customWidth="1"/>
    <col min="2566" max="2566" width="24.85546875" style="846" customWidth="1"/>
    <col min="2567" max="2816" width="11.5703125" style="846"/>
    <col min="2817" max="2817" width="17.28515625" style="846" customWidth="1"/>
    <col min="2818" max="2818" width="19.28515625" style="846" customWidth="1"/>
    <col min="2819" max="2819" width="20.85546875" style="846" customWidth="1"/>
    <col min="2820" max="2821" width="19.7109375" style="846" customWidth="1"/>
    <col min="2822" max="2822" width="24.85546875" style="846" customWidth="1"/>
    <col min="2823" max="3072" width="11.5703125" style="846"/>
    <col min="3073" max="3073" width="17.28515625" style="846" customWidth="1"/>
    <col min="3074" max="3074" width="19.28515625" style="846" customWidth="1"/>
    <col min="3075" max="3075" width="20.85546875" style="846" customWidth="1"/>
    <col min="3076" max="3077" width="19.7109375" style="846" customWidth="1"/>
    <col min="3078" max="3078" width="24.85546875" style="846" customWidth="1"/>
    <col min="3079" max="3328" width="11.5703125" style="846"/>
    <col min="3329" max="3329" width="17.28515625" style="846" customWidth="1"/>
    <col min="3330" max="3330" width="19.28515625" style="846" customWidth="1"/>
    <col min="3331" max="3331" width="20.85546875" style="846" customWidth="1"/>
    <col min="3332" max="3333" width="19.7109375" style="846" customWidth="1"/>
    <col min="3334" max="3334" width="24.85546875" style="846" customWidth="1"/>
    <col min="3335" max="3584" width="11.5703125" style="846"/>
    <col min="3585" max="3585" width="17.28515625" style="846" customWidth="1"/>
    <col min="3586" max="3586" width="19.28515625" style="846" customWidth="1"/>
    <col min="3587" max="3587" width="20.85546875" style="846" customWidth="1"/>
    <col min="3588" max="3589" width="19.7109375" style="846" customWidth="1"/>
    <col min="3590" max="3590" width="24.85546875" style="846" customWidth="1"/>
    <col min="3591" max="3840" width="11.5703125" style="846"/>
    <col min="3841" max="3841" width="17.28515625" style="846" customWidth="1"/>
    <col min="3842" max="3842" width="19.28515625" style="846" customWidth="1"/>
    <col min="3843" max="3843" width="20.85546875" style="846" customWidth="1"/>
    <col min="3844" max="3845" width="19.7109375" style="846" customWidth="1"/>
    <col min="3846" max="3846" width="24.85546875" style="846" customWidth="1"/>
    <col min="3847" max="4096" width="11.5703125" style="846"/>
    <col min="4097" max="4097" width="17.28515625" style="846" customWidth="1"/>
    <col min="4098" max="4098" width="19.28515625" style="846" customWidth="1"/>
    <col min="4099" max="4099" width="20.85546875" style="846" customWidth="1"/>
    <col min="4100" max="4101" width="19.7109375" style="846" customWidth="1"/>
    <col min="4102" max="4102" width="24.85546875" style="846" customWidth="1"/>
    <col min="4103" max="4352" width="11.5703125" style="846"/>
    <col min="4353" max="4353" width="17.28515625" style="846" customWidth="1"/>
    <col min="4354" max="4354" width="19.28515625" style="846" customWidth="1"/>
    <col min="4355" max="4355" width="20.85546875" style="846" customWidth="1"/>
    <col min="4356" max="4357" width="19.7109375" style="846" customWidth="1"/>
    <col min="4358" max="4358" width="24.85546875" style="846" customWidth="1"/>
    <col min="4359" max="4608" width="11.5703125" style="846"/>
    <col min="4609" max="4609" width="17.28515625" style="846" customWidth="1"/>
    <col min="4610" max="4610" width="19.28515625" style="846" customWidth="1"/>
    <col min="4611" max="4611" width="20.85546875" style="846" customWidth="1"/>
    <col min="4612" max="4613" width="19.7109375" style="846" customWidth="1"/>
    <col min="4614" max="4614" width="24.85546875" style="846" customWidth="1"/>
    <col min="4615" max="4864" width="11.5703125" style="846"/>
    <col min="4865" max="4865" width="17.28515625" style="846" customWidth="1"/>
    <col min="4866" max="4866" width="19.28515625" style="846" customWidth="1"/>
    <col min="4867" max="4867" width="20.85546875" style="846" customWidth="1"/>
    <col min="4868" max="4869" width="19.7109375" style="846" customWidth="1"/>
    <col min="4870" max="4870" width="24.85546875" style="846" customWidth="1"/>
    <col min="4871" max="5120" width="11.5703125" style="846"/>
    <col min="5121" max="5121" width="17.28515625" style="846" customWidth="1"/>
    <col min="5122" max="5122" width="19.28515625" style="846" customWidth="1"/>
    <col min="5123" max="5123" width="20.85546875" style="846" customWidth="1"/>
    <col min="5124" max="5125" width="19.7109375" style="846" customWidth="1"/>
    <col min="5126" max="5126" width="24.85546875" style="846" customWidth="1"/>
    <col min="5127" max="5376" width="11.5703125" style="846"/>
    <col min="5377" max="5377" width="17.28515625" style="846" customWidth="1"/>
    <col min="5378" max="5378" width="19.28515625" style="846" customWidth="1"/>
    <col min="5379" max="5379" width="20.85546875" style="846" customWidth="1"/>
    <col min="5380" max="5381" width="19.7109375" style="846" customWidth="1"/>
    <col min="5382" max="5382" width="24.85546875" style="846" customWidth="1"/>
    <col min="5383" max="5632" width="11.5703125" style="846"/>
    <col min="5633" max="5633" width="17.28515625" style="846" customWidth="1"/>
    <col min="5634" max="5634" width="19.28515625" style="846" customWidth="1"/>
    <col min="5635" max="5635" width="20.85546875" style="846" customWidth="1"/>
    <col min="5636" max="5637" width="19.7109375" style="846" customWidth="1"/>
    <col min="5638" max="5638" width="24.85546875" style="846" customWidth="1"/>
    <col min="5639" max="5888" width="11.5703125" style="846"/>
    <col min="5889" max="5889" width="17.28515625" style="846" customWidth="1"/>
    <col min="5890" max="5890" width="19.28515625" style="846" customWidth="1"/>
    <col min="5891" max="5891" width="20.85546875" style="846" customWidth="1"/>
    <col min="5892" max="5893" width="19.7109375" style="846" customWidth="1"/>
    <col min="5894" max="5894" width="24.85546875" style="846" customWidth="1"/>
    <col min="5895" max="6144" width="11.5703125" style="846"/>
    <col min="6145" max="6145" width="17.28515625" style="846" customWidth="1"/>
    <col min="6146" max="6146" width="19.28515625" style="846" customWidth="1"/>
    <col min="6147" max="6147" width="20.85546875" style="846" customWidth="1"/>
    <col min="6148" max="6149" width="19.7109375" style="846" customWidth="1"/>
    <col min="6150" max="6150" width="24.85546875" style="846" customWidth="1"/>
    <col min="6151" max="6400" width="11.5703125" style="846"/>
    <col min="6401" max="6401" width="17.28515625" style="846" customWidth="1"/>
    <col min="6402" max="6402" width="19.28515625" style="846" customWidth="1"/>
    <col min="6403" max="6403" width="20.85546875" style="846" customWidth="1"/>
    <col min="6404" max="6405" width="19.7109375" style="846" customWidth="1"/>
    <col min="6406" max="6406" width="24.85546875" style="846" customWidth="1"/>
    <col min="6407" max="6656" width="11.5703125" style="846"/>
    <col min="6657" max="6657" width="17.28515625" style="846" customWidth="1"/>
    <col min="6658" max="6658" width="19.28515625" style="846" customWidth="1"/>
    <col min="6659" max="6659" width="20.85546875" style="846" customWidth="1"/>
    <col min="6660" max="6661" width="19.7109375" style="846" customWidth="1"/>
    <col min="6662" max="6662" width="24.85546875" style="846" customWidth="1"/>
    <col min="6663" max="6912" width="11.5703125" style="846"/>
    <col min="6913" max="6913" width="17.28515625" style="846" customWidth="1"/>
    <col min="6914" max="6914" width="19.28515625" style="846" customWidth="1"/>
    <col min="6915" max="6915" width="20.85546875" style="846" customWidth="1"/>
    <col min="6916" max="6917" width="19.7109375" style="846" customWidth="1"/>
    <col min="6918" max="6918" width="24.85546875" style="846" customWidth="1"/>
    <col min="6919" max="7168" width="11.5703125" style="846"/>
    <col min="7169" max="7169" width="17.28515625" style="846" customWidth="1"/>
    <col min="7170" max="7170" width="19.28515625" style="846" customWidth="1"/>
    <col min="7171" max="7171" width="20.85546875" style="846" customWidth="1"/>
    <col min="7172" max="7173" width="19.7109375" style="846" customWidth="1"/>
    <col min="7174" max="7174" width="24.85546875" style="846" customWidth="1"/>
    <col min="7175" max="7424" width="11.5703125" style="846"/>
    <col min="7425" max="7425" width="17.28515625" style="846" customWidth="1"/>
    <col min="7426" max="7426" width="19.28515625" style="846" customWidth="1"/>
    <col min="7427" max="7427" width="20.85546875" style="846" customWidth="1"/>
    <col min="7428" max="7429" width="19.7109375" style="846" customWidth="1"/>
    <col min="7430" max="7430" width="24.85546875" style="846" customWidth="1"/>
    <col min="7431" max="7680" width="11.5703125" style="846"/>
    <col min="7681" max="7681" width="17.28515625" style="846" customWidth="1"/>
    <col min="7682" max="7682" width="19.28515625" style="846" customWidth="1"/>
    <col min="7683" max="7683" width="20.85546875" style="846" customWidth="1"/>
    <col min="7684" max="7685" width="19.7109375" style="846" customWidth="1"/>
    <col min="7686" max="7686" width="24.85546875" style="846" customWidth="1"/>
    <col min="7687" max="7936" width="11.5703125" style="846"/>
    <col min="7937" max="7937" width="17.28515625" style="846" customWidth="1"/>
    <col min="7938" max="7938" width="19.28515625" style="846" customWidth="1"/>
    <col min="7939" max="7939" width="20.85546875" style="846" customWidth="1"/>
    <col min="7940" max="7941" width="19.7109375" style="846" customWidth="1"/>
    <col min="7942" max="7942" width="24.85546875" style="846" customWidth="1"/>
    <col min="7943" max="8192" width="11.5703125" style="846"/>
    <col min="8193" max="8193" width="17.28515625" style="846" customWidth="1"/>
    <col min="8194" max="8194" width="19.28515625" style="846" customWidth="1"/>
    <col min="8195" max="8195" width="20.85546875" style="846" customWidth="1"/>
    <col min="8196" max="8197" width="19.7109375" style="846" customWidth="1"/>
    <col min="8198" max="8198" width="24.85546875" style="846" customWidth="1"/>
    <col min="8199" max="8448" width="11.5703125" style="846"/>
    <col min="8449" max="8449" width="17.28515625" style="846" customWidth="1"/>
    <col min="8450" max="8450" width="19.28515625" style="846" customWidth="1"/>
    <col min="8451" max="8451" width="20.85546875" style="846" customWidth="1"/>
    <col min="8452" max="8453" width="19.7109375" style="846" customWidth="1"/>
    <col min="8454" max="8454" width="24.85546875" style="846" customWidth="1"/>
    <col min="8455" max="8704" width="11.5703125" style="846"/>
    <col min="8705" max="8705" width="17.28515625" style="846" customWidth="1"/>
    <col min="8706" max="8706" width="19.28515625" style="846" customWidth="1"/>
    <col min="8707" max="8707" width="20.85546875" style="846" customWidth="1"/>
    <col min="8708" max="8709" width="19.7109375" style="846" customWidth="1"/>
    <col min="8710" max="8710" width="24.85546875" style="846" customWidth="1"/>
    <col min="8711" max="8960" width="11.5703125" style="846"/>
    <col min="8961" max="8961" width="17.28515625" style="846" customWidth="1"/>
    <col min="8962" max="8962" width="19.28515625" style="846" customWidth="1"/>
    <col min="8963" max="8963" width="20.85546875" style="846" customWidth="1"/>
    <col min="8964" max="8965" width="19.7109375" style="846" customWidth="1"/>
    <col min="8966" max="8966" width="24.85546875" style="846" customWidth="1"/>
    <col min="8967" max="9216" width="11.5703125" style="846"/>
    <col min="9217" max="9217" width="17.28515625" style="846" customWidth="1"/>
    <col min="9218" max="9218" width="19.28515625" style="846" customWidth="1"/>
    <col min="9219" max="9219" width="20.85546875" style="846" customWidth="1"/>
    <col min="9220" max="9221" width="19.7109375" style="846" customWidth="1"/>
    <col min="9222" max="9222" width="24.85546875" style="846" customWidth="1"/>
    <col min="9223" max="9472" width="11.5703125" style="846"/>
    <col min="9473" max="9473" width="17.28515625" style="846" customWidth="1"/>
    <col min="9474" max="9474" width="19.28515625" style="846" customWidth="1"/>
    <col min="9475" max="9475" width="20.85546875" style="846" customWidth="1"/>
    <col min="9476" max="9477" width="19.7109375" style="846" customWidth="1"/>
    <col min="9478" max="9478" width="24.85546875" style="846" customWidth="1"/>
    <col min="9479" max="9728" width="11.5703125" style="846"/>
    <col min="9729" max="9729" width="17.28515625" style="846" customWidth="1"/>
    <col min="9730" max="9730" width="19.28515625" style="846" customWidth="1"/>
    <col min="9731" max="9731" width="20.85546875" style="846" customWidth="1"/>
    <col min="9732" max="9733" width="19.7109375" style="846" customWidth="1"/>
    <col min="9734" max="9734" width="24.85546875" style="846" customWidth="1"/>
    <col min="9735" max="9984" width="11.5703125" style="846"/>
    <col min="9985" max="9985" width="17.28515625" style="846" customWidth="1"/>
    <col min="9986" max="9986" width="19.28515625" style="846" customWidth="1"/>
    <col min="9987" max="9987" width="20.85546875" style="846" customWidth="1"/>
    <col min="9988" max="9989" width="19.7109375" style="846" customWidth="1"/>
    <col min="9990" max="9990" width="24.85546875" style="846" customWidth="1"/>
    <col min="9991" max="10240" width="11.5703125" style="846"/>
    <col min="10241" max="10241" width="17.28515625" style="846" customWidth="1"/>
    <col min="10242" max="10242" width="19.28515625" style="846" customWidth="1"/>
    <col min="10243" max="10243" width="20.85546875" style="846" customWidth="1"/>
    <col min="10244" max="10245" width="19.7109375" style="846" customWidth="1"/>
    <col min="10246" max="10246" width="24.85546875" style="846" customWidth="1"/>
    <col min="10247" max="10496" width="11.5703125" style="846"/>
    <col min="10497" max="10497" width="17.28515625" style="846" customWidth="1"/>
    <col min="10498" max="10498" width="19.28515625" style="846" customWidth="1"/>
    <col min="10499" max="10499" width="20.85546875" style="846" customWidth="1"/>
    <col min="10500" max="10501" width="19.7109375" style="846" customWidth="1"/>
    <col min="10502" max="10502" width="24.85546875" style="846" customWidth="1"/>
    <col min="10503" max="10752" width="11.5703125" style="846"/>
    <col min="10753" max="10753" width="17.28515625" style="846" customWidth="1"/>
    <col min="10754" max="10754" width="19.28515625" style="846" customWidth="1"/>
    <col min="10755" max="10755" width="20.85546875" style="846" customWidth="1"/>
    <col min="10756" max="10757" width="19.7109375" style="846" customWidth="1"/>
    <col min="10758" max="10758" width="24.85546875" style="846" customWidth="1"/>
    <col min="10759" max="11008" width="11.5703125" style="846"/>
    <col min="11009" max="11009" width="17.28515625" style="846" customWidth="1"/>
    <col min="11010" max="11010" width="19.28515625" style="846" customWidth="1"/>
    <col min="11011" max="11011" width="20.85546875" style="846" customWidth="1"/>
    <col min="11012" max="11013" width="19.7109375" style="846" customWidth="1"/>
    <col min="11014" max="11014" width="24.85546875" style="846" customWidth="1"/>
    <col min="11015" max="11264" width="11.5703125" style="846"/>
    <col min="11265" max="11265" width="17.28515625" style="846" customWidth="1"/>
    <col min="11266" max="11266" width="19.28515625" style="846" customWidth="1"/>
    <col min="11267" max="11267" width="20.85546875" style="846" customWidth="1"/>
    <col min="11268" max="11269" width="19.7109375" style="846" customWidth="1"/>
    <col min="11270" max="11270" width="24.85546875" style="846" customWidth="1"/>
    <col min="11271" max="11520" width="11.5703125" style="846"/>
    <col min="11521" max="11521" width="17.28515625" style="846" customWidth="1"/>
    <col min="11522" max="11522" width="19.28515625" style="846" customWidth="1"/>
    <col min="11523" max="11523" width="20.85546875" style="846" customWidth="1"/>
    <col min="11524" max="11525" width="19.7109375" style="846" customWidth="1"/>
    <col min="11526" max="11526" width="24.85546875" style="846" customWidth="1"/>
    <col min="11527" max="11776" width="11.5703125" style="846"/>
    <col min="11777" max="11777" width="17.28515625" style="846" customWidth="1"/>
    <col min="11778" max="11778" width="19.28515625" style="846" customWidth="1"/>
    <col min="11779" max="11779" width="20.85546875" style="846" customWidth="1"/>
    <col min="11780" max="11781" width="19.7109375" style="846" customWidth="1"/>
    <col min="11782" max="11782" width="24.85546875" style="846" customWidth="1"/>
    <col min="11783" max="12032" width="11.5703125" style="846"/>
    <col min="12033" max="12033" width="17.28515625" style="846" customWidth="1"/>
    <col min="12034" max="12034" width="19.28515625" style="846" customWidth="1"/>
    <col min="12035" max="12035" width="20.85546875" style="846" customWidth="1"/>
    <col min="12036" max="12037" width="19.7109375" style="846" customWidth="1"/>
    <col min="12038" max="12038" width="24.85546875" style="846" customWidth="1"/>
    <col min="12039" max="12288" width="11.5703125" style="846"/>
    <col min="12289" max="12289" width="17.28515625" style="846" customWidth="1"/>
    <col min="12290" max="12290" width="19.28515625" style="846" customWidth="1"/>
    <col min="12291" max="12291" width="20.85546875" style="846" customWidth="1"/>
    <col min="12292" max="12293" width="19.7109375" style="846" customWidth="1"/>
    <col min="12294" max="12294" width="24.85546875" style="846" customWidth="1"/>
    <col min="12295" max="12544" width="11.5703125" style="846"/>
    <col min="12545" max="12545" width="17.28515625" style="846" customWidth="1"/>
    <col min="12546" max="12546" width="19.28515625" style="846" customWidth="1"/>
    <col min="12547" max="12547" width="20.85546875" style="846" customWidth="1"/>
    <col min="12548" max="12549" width="19.7109375" style="846" customWidth="1"/>
    <col min="12550" max="12550" width="24.85546875" style="846" customWidth="1"/>
    <col min="12551" max="12800" width="11.5703125" style="846"/>
    <col min="12801" max="12801" width="17.28515625" style="846" customWidth="1"/>
    <col min="12802" max="12802" width="19.28515625" style="846" customWidth="1"/>
    <col min="12803" max="12803" width="20.85546875" style="846" customWidth="1"/>
    <col min="12804" max="12805" width="19.7109375" style="846" customWidth="1"/>
    <col min="12806" max="12806" width="24.85546875" style="846" customWidth="1"/>
    <col min="12807" max="13056" width="11.5703125" style="846"/>
    <col min="13057" max="13057" width="17.28515625" style="846" customWidth="1"/>
    <col min="13058" max="13058" width="19.28515625" style="846" customWidth="1"/>
    <col min="13059" max="13059" width="20.85546875" style="846" customWidth="1"/>
    <col min="13060" max="13061" width="19.7109375" style="846" customWidth="1"/>
    <col min="13062" max="13062" width="24.85546875" style="846" customWidth="1"/>
    <col min="13063" max="13312" width="11.5703125" style="846"/>
    <col min="13313" max="13313" width="17.28515625" style="846" customWidth="1"/>
    <col min="13314" max="13314" width="19.28515625" style="846" customWidth="1"/>
    <col min="13315" max="13315" width="20.85546875" style="846" customWidth="1"/>
    <col min="13316" max="13317" width="19.7109375" style="846" customWidth="1"/>
    <col min="13318" max="13318" width="24.85546875" style="846" customWidth="1"/>
    <col min="13319" max="13568" width="11.5703125" style="846"/>
    <col min="13569" max="13569" width="17.28515625" style="846" customWidth="1"/>
    <col min="13570" max="13570" width="19.28515625" style="846" customWidth="1"/>
    <col min="13571" max="13571" width="20.85546875" style="846" customWidth="1"/>
    <col min="13572" max="13573" width="19.7109375" style="846" customWidth="1"/>
    <col min="13574" max="13574" width="24.85546875" style="846" customWidth="1"/>
    <col min="13575" max="13824" width="11.5703125" style="846"/>
    <col min="13825" max="13825" width="17.28515625" style="846" customWidth="1"/>
    <col min="13826" max="13826" width="19.28515625" style="846" customWidth="1"/>
    <col min="13827" max="13827" width="20.85546875" style="846" customWidth="1"/>
    <col min="13828" max="13829" width="19.7109375" style="846" customWidth="1"/>
    <col min="13830" max="13830" width="24.85546875" style="846" customWidth="1"/>
    <col min="13831" max="14080" width="11.5703125" style="846"/>
    <col min="14081" max="14081" width="17.28515625" style="846" customWidth="1"/>
    <col min="14082" max="14082" width="19.28515625" style="846" customWidth="1"/>
    <col min="14083" max="14083" width="20.85546875" style="846" customWidth="1"/>
    <col min="14084" max="14085" width="19.7109375" style="846" customWidth="1"/>
    <col min="14086" max="14086" width="24.85546875" style="846" customWidth="1"/>
    <col min="14087" max="14336" width="11.5703125" style="846"/>
    <col min="14337" max="14337" width="17.28515625" style="846" customWidth="1"/>
    <col min="14338" max="14338" width="19.28515625" style="846" customWidth="1"/>
    <col min="14339" max="14339" width="20.85546875" style="846" customWidth="1"/>
    <col min="14340" max="14341" width="19.7109375" style="846" customWidth="1"/>
    <col min="14342" max="14342" width="24.85546875" style="846" customWidth="1"/>
    <col min="14343" max="14592" width="11.5703125" style="846"/>
    <col min="14593" max="14593" width="17.28515625" style="846" customWidth="1"/>
    <col min="14594" max="14594" width="19.28515625" style="846" customWidth="1"/>
    <col min="14595" max="14595" width="20.85546875" style="846" customWidth="1"/>
    <col min="14596" max="14597" width="19.7109375" style="846" customWidth="1"/>
    <col min="14598" max="14598" width="24.85546875" style="846" customWidth="1"/>
    <col min="14599" max="14848" width="11.5703125" style="846"/>
    <col min="14849" max="14849" width="17.28515625" style="846" customWidth="1"/>
    <col min="14850" max="14850" width="19.28515625" style="846" customWidth="1"/>
    <col min="14851" max="14851" width="20.85546875" style="846" customWidth="1"/>
    <col min="14852" max="14853" width="19.7109375" style="846" customWidth="1"/>
    <col min="14854" max="14854" width="24.85546875" style="846" customWidth="1"/>
    <col min="14855" max="15104" width="11.5703125" style="846"/>
    <col min="15105" max="15105" width="17.28515625" style="846" customWidth="1"/>
    <col min="15106" max="15106" width="19.28515625" style="846" customWidth="1"/>
    <col min="15107" max="15107" width="20.85546875" style="846" customWidth="1"/>
    <col min="15108" max="15109" width="19.7109375" style="846" customWidth="1"/>
    <col min="15110" max="15110" width="24.85546875" style="846" customWidth="1"/>
    <col min="15111" max="15360" width="11.5703125" style="846"/>
    <col min="15361" max="15361" width="17.28515625" style="846" customWidth="1"/>
    <col min="15362" max="15362" width="19.28515625" style="846" customWidth="1"/>
    <col min="15363" max="15363" width="20.85546875" style="846" customWidth="1"/>
    <col min="15364" max="15365" width="19.7109375" style="846" customWidth="1"/>
    <col min="15366" max="15366" width="24.85546875" style="846" customWidth="1"/>
    <col min="15367" max="15616" width="11.5703125" style="846"/>
    <col min="15617" max="15617" width="17.28515625" style="846" customWidth="1"/>
    <col min="15618" max="15618" width="19.28515625" style="846" customWidth="1"/>
    <col min="15619" max="15619" width="20.85546875" style="846" customWidth="1"/>
    <col min="15620" max="15621" width="19.7109375" style="846" customWidth="1"/>
    <col min="15622" max="15622" width="24.85546875" style="846" customWidth="1"/>
    <col min="15623" max="15872" width="11.5703125" style="846"/>
    <col min="15873" max="15873" width="17.28515625" style="846" customWidth="1"/>
    <col min="15874" max="15874" width="19.28515625" style="846" customWidth="1"/>
    <col min="15875" max="15875" width="20.85546875" style="846" customWidth="1"/>
    <col min="15876" max="15877" width="19.7109375" style="846" customWidth="1"/>
    <col min="15878" max="15878" width="24.85546875" style="846" customWidth="1"/>
    <col min="15879" max="16128" width="11.5703125" style="846"/>
    <col min="16129" max="16129" width="17.28515625" style="846" customWidth="1"/>
    <col min="16130" max="16130" width="19.28515625" style="846" customWidth="1"/>
    <col min="16131" max="16131" width="20.85546875" style="846" customWidth="1"/>
    <col min="16132" max="16133" width="19.7109375" style="846" customWidth="1"/>
    <col min="16134" max="16134" width="24.85546875" style="846" customWidth="1"/>
    <col min="16135" max="16384" width="11.5703125" style="846"/>
  </cols>
  <sheetData>
    <row r="1" spans="1:9" x14ac:dyDescent="0.2">
      <c r="A1" s="845" t="s">
        <v>637</v>
      </c>
    </row>
    <row r="2" spans="1:9" x14ac:dyDescent="0.2">
      <c r="A2" s="2483" t="s">
        <v>4113</v>
      </c>
      <c r="B2" s="2483"/>
      <c r="C2" s="2483"/>
      <c r="D2" s="2483"/>
      <c r="E2" s="2483"/>
      <c r="F2" s="2483"/>
    </row>
    <row r="3" spans="1:9" ht="29.25" customHeight="1" x14ac:dyDescent="0.2">
      <c r="A3" s="2484" t="e">
        <f>#REF!</f>
        <v>#REF!</v>
      </c>
      <c r="B3" s="2484"/>
      <c r="C3" s="2484"/>
      <c r="D3" s="2484"/>
      <c r="E3" s="2484"/>
      <c r="F3" s="2484"/>
    </row>
    <row r="4" spans="1:9" ht="37.5" customHeight="1" x14ac:dyDescent="0.2">
      <c r="A4" s="2485" t="s">
        <v>4114</v>
      </c>
      <c r="B4" s="2485"/>
      <c r="C4" s="2485"/>
      <c r="D4" s="2486" t="s">
        <v>4115</v>
      </c>
      <c r="E4" s="2486" t="s">
        <v>4116</v>
      </c>
      <c r="F4" s="2486" t="s">
        <v>630</v>
      </c>
    </row>
    <row r="5" spans="1:9" ht="42.75" customHeight="1" x14ac:dyDescent="0.2">
      <c r="A5" s="847" t="s">
        <v>4117</v>
      </c>
      <c r="B5" s="847" t="s">
        <v>4118</v>
      </c>
      <c r="C5" s="848" t="s">
        <v>631</v>
      </c>
      <c r="D5" s="2486"/>
      <c r="E5" s="2486"/>
      <c r="F5" s="2486"/>
    </row>
    <row r="6" spans="1:9" ht="38.25" x14ac:dyDescent="0.2">
      <c r="A6" s="849" t="e">
        <f>#REF!</f>
        <v>#REF!</v>
      </c>
      <c r="B6" s="849">
        <f>'РД (для расчета ОВОС)'!$F$932</f>
        <v>21115937.719999999</v>
      </c>
      <c r="C6" s="849" t="e">
        <f>A6+B6</f>
        <v>#REF!</v>
      </c>
      <c r="D6" s="850">
        <v>0.04</v>
      </c>
      <c r="E6" s="849" t="e">
        <f>C6*D6</f>
        <v>#REF!</v>
      </c>
      <c r="F6" s="851" t="s">
        <v>4119</v>
      </c>
    </row>
    <row r="7" spans="1:9" x14ac:dyDescent="0.2">
      <c r="A7" s="852"/>
      <c r="B7" s="852"/>
      <c r="C7" s="852"/>
      <c r="E7" s="852"/>
    </row>
    <row r="8" spans="1:9" x14ac:dyDescent="0.2">
      <c r="A8" s="852"/>
      <c r="B8" s="852"/>
      <c r="C8" s="852"/>
      <c r="E8" s="852"/>
    </row>
    <row r="9" spans="1:9" x14ac:dyDescent="0.2">
      <c r="A9" s="852"/>
      <c r="B9" s="852"/>
      <c r="C9" s="852"/>
      <c r="E9" s="852"/>
    </row>
    <row r="10" spans="1:9" ht="15" x14ac:dyDescent="0.25">
      <c r="A10" s="2482"/>
      <c r="B10" s="2482"/>
      <c r="C10" s="2482"/>
      <c r="D10" s="2482"/>
      <c r="E10" s="2482"/>
      <c r="F10" s="2482"/>
      <c r="G10" s="2482"/>
      <c r="H10" s="2482"/>
      <c r="I10" s="2482"/>
    </row>
  </sheetData>
  <mergeCells count="7">
    <mergeCell ref="A10:I10"/>
    <mergeCell ref="A2:F2"/>
    <mergeCell ref="A3:F3"/>
    <mergeCell ref="A4:C4"/>
    <mergeCell ref="D4:D5"/>
    <mergeCell ref="E4:E5"/>
    <mergeCell ref="F4:F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78"/>
  <sheetViews>
    <sheetView zoomScale="145" zoomScaleNormal="145" zoomScaleSheetLayoutView="100" workbookViewId="0">
      <selection activeCell="F60" sqref="F60"/>
    </sheetView>
  </sheetViews>
  <sheetFormatPr defaultRowHeight="12.75" x14ac:dyDescent="0.2"/>
  <cols>
    <col min="1" max="1" width="6.7109375" style="985" customWidth="1"/>
    <col min="2" max="2" width="63.7109375" style="976" customWidth="1"/>
    <col min="3" max="3" width="14.7109375" style="976" customWidth="1"/>
    <col min="4" max="4" width="31.42578125" style="976" customWidth="1"/>
    <col min="5" max="5" width="9.140625" style="976"/>
    <col min="6" max="6" width="11.5703125" style="976" customWidth="1"/>
    <col min="7" max="7" width="15.28515625" style="976" customWidth="1"/>
    <col min="8" max="16384" width="9.140625" style="976"/>
  </cols>
  <sheetData>
    <row r="1" spans="1:7" x14ac:dyDescent="0.2">
      <c r="A1" s="2510" t="s">
        <v>4838</v>
      </c>
      <c r="B1" s="2510"/>
      <c r="C1" s="2510"/>
      <c r="D1" s="2510"/>
      <c r="E1" s="2510"/>
      <c r="F1" s="2510"/>
      <c r="G1" s="2510"/>
    </row>
    <row r="2" spans="1:7" x14ac:dyDescent="0.2">
      <c r="A2" s="2511" t="s">
        <v>4328</v>
      </c>
      <c r="B2" s="2511"/>
      <c r="C2" s="2511"/>
      <c r="D2" s="2511"/>
      <c r="E2" s="2511"/>
      <c r="F2" s="2511"/>
      <c r="G2" s="2511"/>
    </row>
    <row r="3" spans="1:7" x14ac:dyDescent="0.2">
      <c r="A3" s="977"/>
      <c r="B3" s="978"/>
      <c r="C3" s="979"/>
      <c r="D3" s="980"/>
      <c r="E3" s="981"/>
      <c r="F3" s="978"/>
      <c r="G3" s="982"/>
    </row>
    <row r="4" spans="1:7" ht="18.75" customHeight="1" x14ac:dyDescent="0.2">
      <c r="A4" s="2512" t="s">
        <v>4329</v>
      </c>
      <c r="B4" s="2513"/>
      <c r="C4" s="1741"/>
      <c r="D4" s="2514" t="s">
        <v>6141</v>
      </c>
      <c r="E4" s="2514"/>
      <c r="F4" s="2514"/>
      <c r="G4" s="2515"/>
    </row>
    <row r="5" spans="1:7" ht="11.25" customHeight="1" x14ac:dyDescent="0.2">
      <c r="A5" s="983"/>
      <c r="B5" s="983"/>
      <c r="C5" s="983"/>
      <c r="D5" s="2516"/>
      <c r="E5" s="2516"/>
      <c r="F5" s="2516"/>
      <c r="G5" s="2516"/>
    </row>
    <row r="6" spans="1:7" x14ac:dyDescent="0.2">
      <c r="A6" s="2512" t="s">
        <v>6535</v>
      </c>
      <c r="B6" s="2517"/>
      <c r="C6" s="1742"/>
      <c r="D6" s="2518" t="s">
        <v>4330</v>
      </c>
      <c r="E6" s="2519"/>
      <c r="F6" s="2519"/>
      <c r="G6" s="2520"/>
    </row>
    <row r="7" spans="1:7" x14ac:dyDescent="0.2">
      <c r="A7" s="977"/>
      <c r="B7" s="978"/>
      <c r="C7" s="978"/>
      <c r="D7" s="984"/>
      <c r="E7" s="984"/>
      <c r="F7" s="984"/>
      <c r="G7" s="984"/>
    </row>
    <row r="8" spans="1:7" ht="12.75" customHeight="1" x14ac:dyDescent="0.2">
      <c r="A8" s="2521" t="s">
        <v>626</v>
      </c>
      <c r="B8" s="2522"/>
      <c r="C8" s="2523"/>
      <c r="D8" s="2527"/>
      <c r="E8" s="2528"/>
      <c r="F8" s="2528"/>
      <c r="G8" s="2529"/>
    </row>
    <row r="9" spans="1:7" ht="4.5" customHeight="1" x14ac:dyDescent="0.2">
      <c r="A9" s="2524"/>
      <c r="B9" s="2525"/>
      <c r="C9" s="2526"/>
      <c r="D9" s="2530"/>
      <c r="E9" s="2531"/>
      <c r="F9" s="2531"/>
      <c r="G9" s="2532"/>
    </row>
    <row r="10" spans="1:7" ht="16.5" customHeight="1" x14ac:dyDescent="0.2">
      <c r="A10" s="2512" t="s">
        <v>4154</v>
      </c>
      <c r="B10" s="2517"/>
      <c r="C10" s="1743" t="s">
        <v>522</v>
      </c>
      <c r="D10" s="2533" t="s">
        <v>608</v>
      </c>
      <c r="E10" s="2534"/>
      <c r="F10" s="2534"/>
      <c r="G10" s="2535"/>
    </row>
    <row r="11" spans="1:7" ht="39" customHeight="1" x14ac:dyDescent="0.2">
      <c r="A11" s="1744"/>
      <c r="B11" s="2536" t="s">
        <v>4331</v>
      </c>
      <c r="C11" s="2536"/>
      <c r="D11" s="2536"/>
      <c r="E11" s="2536"/>
      <c r="F11" s="2536"/>
      <c r="G11" s="2537"/>
    </row>
    <row r="12" spans="1:7" x14ac:dyDescent="0.2">
      <c r="A12" s="1745" t="s">
        <v>5</v>
      </c>
      <c r="B12" s="1746" t="s">
        <v>4332</v>
      </c>
      <c r="C12" s="1746" t="s">
        <v>187</v>
      </c>
      <c r="D12" s="1746" t="s">
        <v>4333</v>
      </c>
      <c r="E12" s="1746" t="s">
        <v>6536</v>
      </c>
      <c r="F12" s="1746" t="s">
        <v>4334</v>
      </c>
      <c r="G12" s="1746" t="s">
        <v>6537</v>
      </c>
    </row>
    <row r="13" spans="1:7" x14ac:dyDescent="0.2">
      <c r="A13" s="2508" t="s">
        <v>4335</v>
      </c>
      <c r="B13" s="2508"/>
      <c r="C13" s="2508"/>
      <c r="D13" s="2508"/>
      <c r="E13" s="2508"/>
      <c r="F13" s="2508"/>
      <c r="G13" s="2508"/>
    </row>
    <row r="14" spans="1:7" ht="36" customHeight="1" x14ac:dyDescent="0.2">
      <c r="A14" s="1747" t="s">
        <v>191</v>
      </c>
      <c r="B14" s="1746" t="s">
        <v>6538</v>
      </c>
      <c r="C14" s="1746" t="s">
        <v>156</v>
      </c>
      <c r="D14" s="1748" t="s">
        <v>6606</v>
      </c>
      <c r="E14" s="1746">
        <v>1</v>
      </c>
      <c r="F14" s="1749">
        <v>36</v>
      </c>
      <c r="G14" s="1750">
        <f>E14*F14*1.25</f>
        <v>45</v>
      </c>
    </row>
    <row r="15" spans="1:7" ht="40.5" customHeight="1" x14ac:dyDescent="0.2">
      <c r="A15" s="1751" t="s">
        <v>192</v>
      </c>
      <c r="B15" s="1746" t="s">
        <v>6539</v>
      </c>
      <c r="C15" s="1746" t="s">
        <v>4235</v>
      </c>
      <c r="D15" s="1746" t="s">
        <v>6540</v>
      </c>
      <c r="E15" s="1746">
        <v>2</v>
      </c>
      <c r="F15" s="1749">
        <v>21.3</v>
      </c>
      <c r="G15" s="1750">
        <f>E15*F15*1.3*0.6</f>
        <v>33.229999999999997</v>
      </c>
    </row>
    <row r="16" spans="1:7" ht="41.25" customHeight="1" x14ac:dyDescent="0.2">
      <c r="A16" s="1751" t="s">
        <v>435</v>
      </c>
      <c r="B16" s="1746" t="s">
        <v>6541</v>
      </c>
      <c r="C16" s="1746" t="s">
        <v>6542</v>
      </c>
      <c r="D16" s="1748" t="s">
        <v>6543</v>
      </c>
      <c r="E16" s="1746">
        <v>20</v>
      </c>
      <c r="F16" s="1749">
        <v>6.9</v>
      </c>
      <c r="G16" s="1750">
        <f>E16*F16*0.9</f>
        <v>124.2</v>
      </c>
    </row>
    <row r="17" spans="1:7" ht="33" customHeight="1" x14ac:dyDescent="0.2">
      <c r="A17" s="1751" t="s">
        <v>437</v>
      </c>
      <c r="B17" s="1746" t="s">
        <v>6544</v>
      </c>
      <c r="C17" s="1746" t="s">
        <v>6542</v>
      </c>
      <c r="D17" s="1748" t="s">
        <v>6545</v>
      </c>
      <c r="E17" s="1746">
        <v>4</v>
      </c>
      <c r="F17" s="1749">
        <v>6.9</v>
      </c>
      <c r="G17" s="1750">
        <f>E17*F17</f>
        <v>27.6</v>
      </c>
    </row>
    <row r="18" spans="1:7" ht="20.25" customHeight="1" x14ac:dyDescent="0.2">
      <c r="A18" s="1751" t="s">
        <v>440</v>
      </c>
      <c r="B18" s="1746" t="s">
        <v>6546</v>
      </c>
      <c r="C18" s="1746" t="s">
        <v>6542</v>
      </c>
      <c r="D18" s="1748" t="s">
        <v>6547</v>
      </c>
      <c r="E18" s="1746">
        <v>3</v>
      </c>
      <c r="F18" s="1749">
        <v>37.700000000000003</v>
      </c>
      <c r="G18" s="1750">
        <f>F18*E18</f>
        <v>113.1</v>
      </c>
    </row>
    <row r="19" spans="1:7" ht="30.75" customHeight="1" x14ac:dyDescent="0.2">
      <c r="A19" s="1751" t="s">
        <v>4184</v>
      </c>
      <c r="B19" s="1746" t="s">
        <v>6548</v>
      </c>
      <c r="C19" s="1746" t="s">
        <v>6542</v>
      </c>
      <c r="D19" s="1748" t="s">
        <v>6608</v>
      </c>
      <c r="E19" s="1746">
        <v>4</v>
      </c>
      <c r="F19" s="1749">
        <f>37.7*0.9</f>
        <v>33.93</v>
      </c>
      <c r="G19" s="1750">
        <f>E19*F19</f>
        <v>135.72</v>
      </c>
    </row>
    <row r="20" spans="1:7" ht="31.5" customHeight="1" x14ac:dyDescent="0.2">
      <c r="A20" s="1751" t="s">
        <v>4336</v>
      </c>
      <c r="B20" s="1746" t="s">
        <v>6549</v>
      </c>
      <c r="C20" s="1746" t="s">
        <v>6542</v>
      </c>
      <c r="D20" s="1748" t="s">
        <v>6607</v>
      </c>
      <c r="E20" s="1746">
        <v>4</v>
      </c>
      <c r="F20" s="1749">
        <v>37.700000000000003</v>
      </c>
      <c r="G20" s="1750">
        <f>E20*F20</f>
        <v>150.80000000000001</v>
      </c>
    </row>
    <row r="21" spans="1:7" ht="19.5" customHeight="1" x14ac:dyDescent="0.2">
      <c r="A21" s="1751" t="s">
        <v>4337</v>
      </c>
      <c r="B21" s="1746" t="s">
        <v>6550</v>
      </c>
      <c r="C21" s="1746" t="s">
        <v>6551</v>
      </c>
      <c r="D21" s="1748" t="s">
        <v>6552</v>
      </c>
      <c r="E21" s="1746">
        <v>1</v>
      </c>
      <c r="F21" s="1749">
        <v>535</v>
      </c>
      <c r="G21" s="1750">
        <f>F21*E21</f>
        <v>535</v>
      </c>
    </row>
    <row r="22" spans="1:7" ht="47.25" customHeight="1" x14ac:dyDescent="0.2">
      <c r="A22" s="1751" t="s">
        <v>4338</v>
      </c>
      <c r="B22" s="1752" t="s">
        <v>6553</v>
      </c>
      <c r="C22" s="1752" t="s">
        <v>6542</v>
      </c>
      <c r="D22" s="1753" t="s">
        <v>6554</v>
      </c>
      <c r="E22" s="1752">
        <v>4</v>
      </c>
      <c r="F22" s="1754">
        <v>6.9</v>
      </c>
      <c r="G22" s="1755">
        <f>F22*E22*1.2</f>
        <v>33.119999999999997</v>
      </c>
    </row>
    <row r="23" spans="1:7" ht="26.25" customHeight="1" x14ac:dyDescent="0.2">
      <c r="A23" s="1751" t="s">
        <v>366</v>
      </c>
      <c r="B23" s="1746" t="s">
        <v>6555</v>
      </c>
      <c r="C23" s="1746" t="s">
        <v>6556</v>
      </c>
      <c r="D23" s="1748" t="s">
        <v>6557</v>
      </c>
      <c r="E23" s="1746">
        <v>7</v>
      </c>
      <c r="F23" s="1749">
        <v>60</v>
      </c>
      <c r="G23" s="1750">
        <f>F23*E23</f>
        <v>420</v>
      </c>
    </row>
    <row r="24" spans="1:7" ht="15.75" customHeight="1" x14ac:dyDescent="0.2">
      <c r="A24" s="2493" t="s">
        <v>6620</v>
      </c>
      <c r="B24" s="2493"/>
      <c r="C24" s="2493"/>
      <c r="D24" s="2493"/>
      <c r="E24" s="2493"/>
      <c r="F24" s="2493"/>
      <c r="G24" s="1756">
        <f>SUM(G14:G23)</f>
        <v>1617.77</v>
      </c>
    </row>
    <row r="25" spans="1:7" x14ac:dyDescent="0.2">
      <c r="A25" s="2508" t="s">
        <v>6560</v>
      </c>
      <c r="B25" s="2508"/>
      <c r="C25" s="2508"/>
      <c r="D25" s="2508"/>
      <c r="E25" s="2508"/>
      <c r="F25" s="2508"/>
      <c r="G25" s="2508"/>
    </row>
    <row r="26" spans="1:7" hidden="1" x14ac:dyDescent="0.2">
      <c r="A26" s="1761"/>
      <c r="B26" s="2506" t="s">
        <v>6561</v>
      </c>
      <c r="C26" s="2506"/>
      <c r="D26" s="2506"/>
      <c r="E26" s="2509"/>
      <c r="F26" s="2509"/>
      <c r="G26" s="2509"/>
    </row>
    <row r="27" spans="1:7" ht="16.5" customHeight="1" x14ac:dyDescent="0.2">
      <c r="A27" s="1761"/>
      <c r="B27" s="2500" t="s">
        <v>6562</v>
      </c>
      <c r="C27" s="2501"/>
      <c r="D27" s="2502"/>
      <c r="E27" s="1761"/>
      <c r="F27" s="1761"/>
      <c r="G27" s="1767"/>
    </row>
    <row r="28" spans="1:7" x14ac:dyDescent="0.2">
      <c r="A28" s="1747" t="s">
        <v>197</v>
      </c>
      <c r="B28" s="1746" t="s">
        <v>4356</v>
      </c>
      <c r="C28" s="1746" t="s">
        <v>4236</v>
      </c>
      <c r="D28" s="1746" t="s">
        <v>6563</v>
      </c>
      <c r="E28" s="1761">
        <f>E18</f>
        <v>3</v>
      </c>
      <c r="F28" s="1761">
        <v>3.8</v>
      </c>
      <c r="G28" s="1786">
        <f>F28*E28</f>
        <v>11.4</v>
      </c>
    </row>
    <row r="29" spans="1:7" x14ac:dyDescent="0.2">
      <c r="A29" s="1747" t="s">
        <v>200</v>
      </c>
      <c r="B29" s="1746" t="s">
        <v>6564</v>
      </c>
      <c r="C29" s="1746" t="s">
        <v>4236</v>
      </c>
      <c r="D29" s="1746" t="s">
        <v>4346</v>
      </c>
      <c r="E29" s="1746">
        <f>E18</f>
        <v>3</v>
      </c>
      <c r="F29" s="1749">
        <v>2</v>
      </c>
      <c r="G29" s="1750">
        <f t="shared" ref="G29:G31" si="0">E29*F29</f>
        <v>6</v>
      </c>
    </row>
    <row r="30" spans="1:7" x14ac:dyDescent="0.2">
      <c r="A30" s="1747" t="s">
        <v>203</v>
      </c>
      <c r="B30" s="1746" t="s">
        <v>6565</v>
      </c>
      <c r="C30" s="1746" t="s">
        <v>4236</v>
      </c>
      <c r="D30" s="1746" t="s">
        <v>6566</v>
      </c>
      <c r="E30" s="1746">
        <f>E18</f>
        <v>3</v>
      </c>
      <c r="F30" s="1749">
        <v>8.6</v>
      </c>
      <c r="G30" s="1750">
        <f t="shared" si="0"/>
        <v>25.8</v>
      </c>
    </row>
    <row r="31" spans="1:7" ht="19.5" customHeight="1" x14ac:dyDescent="0.2">
      <c r="A31" s="1747" t="s">
        <v>4199</v>
      </c>
      <c r="B31" s="1746" t="s">
        <v>6567</v>
      </c>
      <c r="C31" s="1746" t="s">
        <v>4236</v>
      </c>
      <c r="D31" s="1746" t="s">
        <v>6568</v>
      </c>
      <c r="E31" s="1746">
        <f>E18</f>
        <v>3</v>
      </c>
      <c r="F31" s="1749">
        <v>13.7</v>
      </c>
      <c r="G31" s="1750">
        <f t="shared" si="0"/>
        <v>41.1</v>
      </c>
    </row>
    <row r="32" spans="1:7" x14ac:dyDescent="0.2">
      <c r="A32" s="1745"/>
      <c r="B32" s="2506" t="s">
        <v>6569</v>
      </c>
      <c r="C32" s="2506"/>
      <c r="D32" s="2506"/>
      <c r="E32" s="1781"/>
      <c r="F32" s="1781"/>
      <c r="G32" s="1787"/>
    </row>
    <row r="33" spans="1:7" x14ac:dyDescent="0.2">
      <c r="A33" s="1747" t="s">
        <v>4203</v>
      </c>
      <c r="B33" s="1746" t="s">
        <v>4343</v>
      </c>
      <c r="C33" s="1746" t="s">
        <v>4236</v>
      </c>
      <c r="D33" s="1746" t="s">
        <v>4344</v>
      </c>
      <c r="E33" s="1746">
        <f>8</f>
        <v>8</v>
      </c>
      <c r="F33" s="1746">
        <v>8.5</v>
      </c>
      <c r="G33" s="1750">
        <f>F33*E33</f>
        <v>68</v>
      </c>
    </row>
    <row r="34" spans="1:7" x14ac:dyDescent="0.2">
      <c r="A34" s="1747" t="s">
        <v>4205</v>
      </c>
      <c r="B34" s="1746" t="s">
        <v>4345</v>
      </c>
      <c r="C34" s="1746" t="s">
        <v>4236</v>
      </c>
      <c r="D34" s="1746" t="s">
        <v>4346</v>
      </c>
      <c r="E34" s="1746">
        <f>E33</f>
        <v>8</v>
      </c>
      <c r="F34" s="1762">
        <v>2</v>
      </c>
      <c r="G34" s="1750">
        <f>F34*E34</f>
        <v>16</v>
      </c>
    </row>
    <row r="35" spans="1:7" ht="25.5" x14ac:dyDescent="0.2">
      <c r="A35" s="1747" t="s">
        <v>4350</v>
      </c>
      <c r="B35" s="1746" t="s">
        <v>6570</v>
      </c>
      <c r="C35" s="1746" t="s">
        <v>4236</v>
      </c>
      <c r="D35" s="1746" t="s">
        <v>6571</v>
      </c>
      <c r="E35" s="1746">
        <f>E34</f>
        <v>8</v>
      </c>
      <c r="F35" s="1762">
        <v>52.3</v>
      </c>
      <c r="G35" s="1750">
        <f>F35*E35</f>
        <v>418.4</v>
      </c>
    </row>
    <row r="36" spans="1:7" ht="25.5" x14ac:dyDescent="0.2">
      <c r="A36" s="1747" t="s">
        <v>4353</v>
      </c>
      <c r="B36" s="1746" t="s">
        <v>6572</v>
      </c>
      <c r="C36" s="1746" t="s">
        <v>4236</v>
      </c>
      <c r="D36" s="1746" t="s">
        <v>4347</v>
      </c>
      <c r="E36" s="1746">
        <f>E33*7</f>
        <v>56</v>
      </c>
      <c r="F36" s="1749">
        <v>7.8</v>
      </c>
      <c r="G36" s="1750">
        <f>E36*F36</f>
        <v>436.8</v>
      </c>
    </row>
    <row r="37" spans="1:7" x14ac:dyDescent="0.2">
      <c r="A37" s="1747" t="s">
        <v>4354</v>
      </c>
      <c r="B37" s="1746" t="s">
        <v>4348</v>
      </c>
      <c r="C37" s="1746" t="s">
        <v>4236</v>
      </c>
      <c r="D37" s="1746" t="s">
        <v>4349</v>
      </c>
      <c r="E37" s="1746">
        <f>E17+4</f>
        <v>8</v>
      </c>
      <c r="F37" s="1749">
        <v>19.7</v>
      </c>
      <c r="G37" s="1750">
        <f>E37*F37</f>
        <v>157.6</v>
      </c>
    </row>
    <row r="38" spans="1:7" ht="17.25" customHeight="1" x14ac:dyDescent="0.2">
      <c r="A38" s="1747" t="s">
        <v>4355</v>
      </c>
      <c r="B38" s="1746" t="s">
        <v>4351</v>
      </c>
      <c r="C38" s="1746" t="s">
        <v>4236</v>
      </c>
      <c r="D38" s="1746" t="s">
        <v>4352</v>
      </c>
      <c r="E38" s="1746">
        <f>E37</f>
        <v>8</v>
      </c>
      <c r="F38" s="1749">
        <v>95.8</v>
      </c>
      <c r="G38" s="1750">
        <f>E38*F38</f>
        <v>766.4</v>
      </c>
    </row>
    <row r="39" spans="1:7" ht="25.5" customHeight="1" x14ac:dyDescent="0.2">
      <c r="A39" s="1747"/>
      <c r="B39" s="2500" t="s">
        <v>6573</v>
      </c>
      <c r="C39" s="2501"/>
      <c r="D39" s="2501"/>
      <c r="E39" s="1782"/>
      <c r="F39" s="1782"/>
      <c r="G39" s="1788"/>
    </row>
    <row r="40" spans="1:7" ht="31.5" customHeight="1" x14ac:dyDescent="0.2">
      <c r="A40" s="1747" t="s">
        <v>4357</v>
      </c>
      <c r="B40" s="1746" t="s">
        <v>6574</v>
      </c>
      <c r="C40" s="1746" t="s">
        <v>4236</v>
      </c>
      <c r="D40" s="1746" t="s">
        <v>6575</v>
      </c>
      <c r="E40" s="1746">
        <f>E22</f>
        <v>4</v>
      </c>
      <c r="F40" s="1749">
        <v>147.4</v>
      </c>
      <c r="G40" s="1750">
        <f>E40*F40</f>
        <v>589.6</v>
      </c>
    </row>
    <row r="41" spans="1:7" ht="14.25" customHeight="1" x14ac:dyDescent="0.2">
      <c r="A41" s="2493" t="s">
        <v>6621</v>
      </c>
      <c r="B41" s="2493"/>
      <c r="C41" s="2493"/>
      <c r="D41" s="2493"/>
      <c r="E41" s="2493"/>
      <c r="F41" s="2493"/>
      <c r="G41" s="1756">
        <f>SUM(G28:G40)</f>
        <v>2537.1</v>
      </c>
    </row>
    <row r="42" spans="1:7" ht="16.5" customHeight="1" x14ac:dyDescent="0.2">
      <c r="A42" s="2508" t="s">
        <v>4358</v>
      </c>
      <c r="B42" s="2508"/>
      <c r="C42" s="2508"/>
      <c r="D42" s="2508"/>
      <c r="E42" s="2508"/>
      <c r="F42" s="2508"/>
      <c r="G42" s="2508"/>
    </row>
    <row r="43" spans="1:7" ht="39.75" customHeight="1" x14ac:dyDescent="0.2">
      <c r="A43" s="1747" t="s">
        <v>240</v>
      </c>
      <c r="B43" s="1746" t="s">
        <v>6610</v>
      </c>
      <c r="C43" s="1746" t="s">
        <v>4131</v>
      </c>
      <c r="D43" s="1746" t="s">
        <v>6609</v>
      </c>
      <c r="E43" s="1746">
        <f>E14</f>
        <v>1</v>
      </c>
      <c r="F43" s="1762">
        <f>23.4</f>
        <v>23.4</v>
      </c>
      <c r="G43" s="1750">
        <f>E43*F43*1.25</f>
        <v>29.25</v>
      </c>
    </row>
    <row r="44" spans="1:7" ht="39.75" customHeight="1" x14ac:dyDescent="0.2">
      <c r="A44" s="1747" t="s">
        <v>508</v>
      </c>
      <c r="B44" s="1746" t="s">
        <v>6611</v>
      </c>
      <c r="C44" s="1746" t="s">
        <v>4235</v>
      </c>
      <c r="D44" s="1746" t="s">
        <v>6540</v>
      </c>
      <c r="E44" s="1746">
        <v>2</v>
      </c>
      <c r="F44" s="1762">
        <f>13.3</f>
        <v>13.3</v>
      </c>
      <c r="G44" s="1750">
        <f>E44*F44*0.6*1.3</f>
        <v>20.75</v>
      </c>
    </row>
    <row r="45" spans="1:7" ht="24.75" customHeight="1" x14ac:dyDescent="0.2">
      <c r="A45" s="1747" t="s">
        <v>509</v>
      </c>
      <c r="B45" s="1746" t="s">
        <v>6550</v>
      </c>
      <c r="C45" s="1746" t="s">
        <v>6577</v>
      </c>
      <c r="D45" s="1746" t="s">
        <v>6552</v>
      </c>
      <c r="E45" s="1746">
        <f>E21</f>
        <v>1</v>
      </c>
      <c r="F45" s="1762">
        <v>161</v>
      </c>
      <c r="G45" s="1750">
        <f>E45*F45</f>
        <v>161</v>
      </c>
    </row>
    <row r="46" spans="1:7" ht="34.5" customHeight="1" x14ac:dyDescent="0.2">
      <c r="A46" s="1747" t="s">
        <v>510</v>
      </c>
      <c r="B46" s="1746" t="s">
        <v>6578</v>
      </c>
      <c r="C46" s="1746" t="s">
        <v>4131</v>
      </c>
      <c r="D46" s="1746" t="s">
        <v>6557</v>
      </c>
      <c r="E46" s="1746">
        <f>E23</f>
        <v>7</v>
      </c>
      <c r="F46" s="1749">
        <v>17.8</v>
      </c>
      <c r="G46" s="1750">
        <f>F46*E46</f>
        <v>124.6</v>
      </c>
    </row>
    <row r="47" spans="1:7" ht="43.5" customHeight="1" x14ac:dyDescent="0.2">
      <c r="A47" s="1747" t="s">
        <v>4213</v>
      </c>
      <c r="B47" s="1746" t="s">
        <v>6579</v>
      </c>
      <c r="C47" s="1746" t="s">
        <v>636</v>
      </c>
      <c r="D47" s="1746" t="s">
        <v>4361</v>
      </c>
      <c r="E47" s="1749">
        <f>G41-G31</f>
        <v>2496</v>
      </c>
      <c r="F47" s="1762">
        <v>0.2</v>
      </c>
      <c r="G47" s="1750">
        <f>E47*F47</f>
        <v>499.2</v>
      </c>
    </row>
    <row r="48" spans="1:7" ht="17.25" customHeight="1" x14ac:dyDescent="0.2">
      <c r="A48" s="2492" t="s">
        <v>4362</v>
      </c>
      <c r="B48" s="2492"/>
      <c r="C48" s="2492"/>
      <c r="D48" s="2492"/>
      <c r="E48" s="2492"/>
      <c r="F48" s="2492"/>
      <c r="G48" s="1785">
        <f>SUM(G43:G47)</f>
        <v>834.8</v>
      </c>
    </row>
    <row r="49" spans="1:7" ht="30" customHeight="1" x14ac:dyDescent="0.2">
      <c r="A49" s="1747" t="s">
        <v>4216</v>
      </c>
      <c r="B49" s="1746" t="s">
        <v>6613</v>
      </c>
      <c r="C49" s="1746" t="s">
        <v>4359</v>
      </c>
      <c r="D49" s="1746" t="s">
        <v>6576</v>
      </c>
      <c r="E49" s="1746">
        <v>1</v>
      </c>
      <c r="F49" s="1746">
        <f>200*1.4</f>
        <v>280</v>
      </c>
      <c r="G49" s="1750">
        <f>E49*F49</f>
        <v>280</v>
      </c>
    </row>
    <row r="50" spans="1:7" ht="31.5" customHeight="1" x14ac:dyDescent="0.2">
      <c r="A50" s="1747" t="s">
        <v>6236</v>
      </c>
      <c r="B50" s="1746" t="s">
        <v>6612</v>
      </c>
      <c r="C50" s="1746" t="s">
        <v>4363</v>
      </c>
      <c r="D50" s="1746" t="s">
        <v>4364</v>
      </c>
      <c r="E50" s="1746">
        <v>1</v>
      </c>
      <c r="F50" s="1762">
        <f>G48-G45-G46</f>
        <v>549.20000000000005</v>
      </c>
      <c r="G50" s="1750">
        <f>F50*0.25</f>
        <v>137.30000000000001</v>
      </c>
    </row>
    <row r="51" spans="1:7" ht="24" customHeight="1" x14ac:dyDescent="0.2">
      <c r="A51" s="2493" t="s">
        <v>6615</v>
      </c>
      <c r="B51" s="2493"/>
      <c r="C51" s="2493"/>
      <c r="D51" s="2493"/>
      <c r="E51" s="2493"/>
      <c r="F51" s="2493"/>
      <c r="G51" s="1756">
        <f>G48+G49+G50</f>
        <v>1252.0999999999999</v>
      </c>
    </row>
    <row r="52" spans="1:7" x14ac:dyDescent="0.2">
      <c r="A52" s="1757"/>
      <c r="B52" s="2500" t="s">
        <v>6614</v>
      </c>
      <c r="C52" s="2501"/>
      <c r="D52" s="2501"/>
      <c r="E52" s="2501"/>
      <c r="F52" s="2502"/>
      <c r="G52" s="1750"/>
    </row>
    <row r="53" spans="1:7" ht="45" x14ac:dyDescent="0.2">
      <c r="A53" s="1757" t="s">
        <v>372</v>
      </c>
      <c r="B53" s="1759" t="s">
        <v>6617</v>
      </c>
      <c r="C53" s="1746" t="s">
        <v>636</v>
      </c>
      <c r="D53" s="1746" t="s">
        <v>6618</v>
      </c>
      <c r="E53" s="1758">
        <v>0.1125</v>
      </c>
      <c r="F53" s="1749">
        <f>G24</f>
        <v>1617.77</v>
      </c>
      <c r="G53" s="1750">
        <f>E53*F53</f>
        <v>182</v>
      </c>
    </row>
    <row r="54" spans="1:7" ht="25.5" x14ac:dyDescent="0.2">
      <c r="A54" s="1757" t="s">
        <v>4340</v>
      </c>
      <c r="B54" s="1746" t="s">
        <v>6558</v>
      </c>
      <c r="C54" s="1746" t="s">
        <v>636</v>
      </c>
      <c r="D54" s="1746" t="s">
        <v>6559</v>
      </c>
      <c r="E54" s="1746">
        <v>0.19600000000000001</v>
      </c>
      <c r="F54" s="1749">
        <f>G24+G53</f>
        <v>1799.77</v>
      </c>
      <c r="G54" s="1750">
        <f>F54*E54</f>
        <v>352.75</v>
      </c>
    </row>
    <row r="55" spans="1:7" x14ac:dyDescent="0.2">
      <c r="A55" s="1757" t="s">
        <v>4341</v>
      </c>
      <c r="B55" s="1746" t="s">
        <v>4342</v>
      </c>
      <c r="C55" s="1746" t="s">
        <v>636</v>
      </c>
      <c r="D55" s="1746" t="s">
        <v>6619</v>
      </c>
      <c r="E55" s="1746">
        <f>0.06*2.5</f>
        <v>0.15</v>
      </c>
      <c r="F55" s="1749">
        <f>F54</f>
        <v>1799.77</v>
      </c>
      <c r="G55" s="1750">
        <f>F55*E55</f>
        <v>269.97000000000003</v>
      </c>
    </row>
    <row r="56" spans="1:7" ht="17.25" customHeight="1" x14ac:dyDescent="0.2">
      <c r="A56" s="2492" t="s">
        <v>6616</v>
      </c>
      <c r="B56" s="2492"/>
      <c r="C56" s="2492"/>
      <c r="D56" s="2492"/>
      <c r="E56" s="2492"/>
      <c r="F56" s="2492"/>
      <c r="G56" s="1760">
        <f>SUM(G53:G55)</f>
        <v>804.72</v>
      </c>
    </row>
    <row r="57" spans="1:7" ht="24" customHeight="1" x14ac:dyDescent="0.2">
      <c r="A57" s="1763"/>
      <c r="B57" s="2488" t="s">
        <v>6670</v>
      </c>
      <c r="C57" s="2488"/>
      <c r="D57" s="2488"/>
      <c r="E57" s="2488"/>
      <c r="F57" s="2488"/>
      <c r="G57" s="1756">
        <f>G24+G41+G51+G56</f>
        <v>6211.69</v>
      </c>
    </row>
    <row r="58" spans="1:7" ht="30" customHeight="1" x14ac:dyDescent="0.2">
      <c r="A58" s="1763"/>
      <c r="B58" s="2488" t="s">
        <v>6622</v>
      </c>
      <c r="C58" s="2488"/>
      <c r="D58" s="2488"/>
      <c r="E58" s="2488"/>
      <c r="F58" s="2488"/>
      <c r="G58" s="1756">
        <f>G57*80.58</f>
        <v>500537.98</v>
      </c>
    </row>
    <row r="59" spans="1:7" ht="24" customHeight="1" x14ac:dyDescent="0.2">
      <c r="A59" s="2494" t="s">
        <v>6669</v>
      </c>
      <c r="B59" s="2495"/>
      <c r="C59" s="2495"/>
      <c r="D59" s="2495"/>
      <c r="E59" s="2495"/>
      <c r="F59" s="2495"/>
      <c r="G59" s="2496"/>
    </row>
    <row r="60" spans="1:7" ht="134.25" customHeight="1" x14ac:dyDescent="0.2">
      <c r="A60" s="1747" t="s">
        <v>237</v>
      </c>
      <c r="B60" s="1764" t="s">
        <v>6580</v>
      </c>
      <c r="C60" s="2497" t="s">
        <v>6581</v>
      </c>
      <c r="D60" s="1761" t="s">
        <v>6582</v>
      </c>
      <c r="E60" s="1765">
        <v>4</v>
      </c>
      <c r="F60" s="1766">
        <v>2180</v>
      </c>
      <c r="G60" s="1783">
        <f>E60*F60</f>
        <v>8720</v>
      </c>
    </row>
    <row r="61" spans="1:7" ht="18" customHeight="1" x14ac:dyDescent="0.2">
      <c r="A61" s="1747" t="s">
        <v>511</v>
      </c>
      <c r="B61" s="1764" t="s">
        <v>6583</v>
      </c>
      <c r="C61" s="2498"/>
      <c r="D61" s="1761" t="s">
        <v>6584</v>
      </c>
      <c r="E61" s="1765">
        <f>E60</f>
        <v>4</v>
      </c>
      <c r="F61" s="1766">
        <v>1940</v>
      </c>
      <c r="G61" s="1783">
        <f>F61*E61</f>
        <v>7760</v>
      </c>
    </row>
    <row r="62" spans="1:7" ht="18" customHeight="1" x14ac:dyDescent="0.2">
      <c r="A62" s="1747" t="s">
        <v>4366</v>
      </c>
      <c r="B62" s="1764" t="s">
        <v>6585</v>
      </c>
      <c r="C62" s="2498"/>
      <c r="D62" s="1761" t="s">
        <v>6586</v>
      </c>
      <c r="E62" s="1765">
        <f>E60</f>
        <v>4</v>
      </c>
      <c r="F62" s="1766">
        <v>1090</v>
      </c>
      <c r="G62" s="1783">
        <f>F62*E62</f>
        <v>4360</v>
      </c>
    </row>
    <row r="63" spans="1:7" ht="18" customHeight="1" x14ac:dyDescent="0.2">
      <c r="A63" s="1747" t="s">
        <v>4367</v>
      </c>
      <c r="B63" s="1764" t="s">
        <v>6587</v>
      </c>
      <c r="C63" s="2498"/>
      <c r="D63" s="1761" t="s">
        <v>6588</v>
      </c>
      <c r="E63" s="1765">
        <f>E60</f>
        <v>4</v>
      </c>
      <c r="F63" s="1766">
        <v>2300</v>
      </c>
      <c r="G63" s="1783">
        <f>F63*E63</f>
        <v>9200</v>
      </c>
    </row>
    <row r="64" spans="1:7" ht="18.75" customHeight="1" x14ac:dyDescent="0.2">
      <c r="A64" s="1747" t="s">
        <v>4368</v>
      </c>
      <c r="B64" s="1764" t="s">
        <v>6589</v>
      </c>
      <c r="C64" s="2499"/>
      <c r="D64" s="1761" t="s">
        <v>6590</v>
      </c>
      <c r="E64" s="1765">
        <f>E60</f>
        <v>4</v>
      </c>
      <c r="F64" s="1766">
        <v>1580</v>
      </c>
      <c r="G64" s="1783">
        <f>F64*E64</f>
        <v>6320</v>
      </c>
    </row>
    <row r="65" spans="1:8" ht="84.75" customHeight="1" x14ac:dyDescent="0.2">
      <c r="A65" s="1747">
        <v>4.5999999999999996</v>
      </c>
      <c r="B65" s="1761" t="s">
        <v>6666</v>
      </c>
      <c r="C65" s="1765" t="s">
        <v>6591</v>
      </c>
      <c r="D65" s="1761" t="s">
        <v>6592</v>
      </c>
      <c r="E65" s="1765">
        <v>1</v>
      </c>
      <c r="F65" s="1767">
        <v>33086</v>
      </c>
      <c r="G65" s="1783">
        <f>E65*F65</f>
        <v>33086</v>
      </c>
    </row>
    <row r="66" spans="1:8" ht="24" customHeight="1" x14ac:dyDescent="0.2">
      <c r="A66" s="2503" t="s">
        <v>6668</v>
      </c>
      <c r="B66" s="2504"/>
      <c r="C66" s="2504"/>
      <c r="D66" s="2504"/>
      <c r="E66" s="2504"/>
      <c r="F66" s="2505"/>
      <c r="G66" s="1783">
        <f>SUM(G60:G65)</f>
        <v>69446</v>
      </c>
    </row>
    <row r="67" spans="1:8" hidden="1" x14ac:dyDescent="0.2">
      <c r="A67" s="2506" t="s">
        <v>4365</v>
      </c>
      <c r="B67" s="2506"/>
      <c r="C67" s="2506"/>
      <c r="D67" s="2506"/>
      <c r="E67" s="2506"/>
      <c r="F67" s="2506"/>
      <c r="G67" s="2506"/>
    </row>
    <row r="68" spans="1:8" ht="31.5" hidden="1" customHeight="1" x14ac:dyDescent="0.2">
      <c r="A68" s="1768" t="s">
        <v>237</v>
      </c>
      <c r="B68" s="1769" t="s">
        <v>6593</v>
      </c>
      <c r="C68" s="1770" t="s">
        <v>6594</v>
      </c>
      <c r="D68" s="1746"/>
      <c r="E68" s="1770">
        <f>1*0</f>
        <v>0</v>
      </c>
      <c r="F68" s="1771"/>
      <c r="G68" s="1771"/>
    </row>
    <row r="69" spans="1:8" ht="26.25" hidden="1" customHeight="1" x14ac:dyDescent="0.2">
      <c r="A69" s="1768" t="s">
        <v>511</v>
      </c>
      <c r="B69" s="1770" t="s">
        <v>6595</v>
      </c>
      <c r="C69" s="1770" t="s">
        <v>6596</v>
      </c>
      <c r="D69" s="2507" t="s">
        <v>6597</v>
      </c>
      <c r="E69" s="1770" t="e">
        <f>#REF!*0</f>
        <v>#REF!</v>
      </c>
      <c r="F69" s="1772">
        <v>1102</v>
      </c>
      <c r="G69" s="1773" t="e">
        <f>E69*F69</f>
        <v>#REF!</v>
      </c>
      <c r="H69" s="976" t="s">
        <v>6598</v>
      </c>
    </row>
    <row r="70" spans="1:8" ht="24.75" hidden="1" customHeight="1" x14ac:dyDescent="0.2">
      <c r="A70" s="1768" t="s">
        <v>4366</v>
      </c>
      <c r="B70" s="1770" t="s">
        <v>6599</v>
      </c>
      <c r="C70" s="1770" t="s">
        <v>6596</v>
      </c>
      <c r="D70" s="2507"/>
      <c r="E70" s="1770">
        <f>5*0</f>
        <v>0</v>
      </c>
      <c r="F70" s="1772">
        <v>910</v>
      </c>
      <c r="G70" s="1773">
        <f>F70*E70</f>
        <v>0</v>
      </c>
    </row>
    <row r="71" spans="1:8" ht="24.75" hidden="1" customHeight="1" x14ac:dyDescent="0.2">
      <c r="A71" s="1770"/>
      <c r="B71" s="1770" t="s">
        <v>6600</v>
      </c>
      <c r="C71" s="1770" t="s">
        <v>6596</v>
      </c>
      <c r="D71" s="2507"/>
      <c r="E71" s="1770">
        <f>5*0</f>
        <v>0</v>
      </c>
      <c r="F71" s="1772">
        <v>1121</v>
      </c>
      <c r="G71" s="1773">
        <f>F71*E71</f>
        <v>0</v>
      </c>
    </row>
    <row r="72" spans="1:8" s="1776" customFormat="1" ht="24.75" hidden="1" customHeight="1" x14ac:dyDescent="0.2">
      <c r="A72" s="1774" t="s">
        <v>4367</v>
      </c>
      <c r="B72" s="1746" t="s">
        <v>6601</v>
      </c>
      <c r="C72" s="1746" t="s">
        <v>6596</v>
      </c>
      <c r="D72" s="2507"/>
      <c r="E72" s="1746">
        <f>5*0</f>
        <v>0</v>
      </c>
      <c r="F72" s="1762">
        <v>666</v>
      </c>
      <c r="G72" s="1775">
        <f>F72*E72</f>
        <v>0</v>
      </c>
    </row>
    <row r="73" spans="1:8" s="1776" customFormat="1" ht="29.25" hidden="1" customHeight="1" x14ac:dyDescent="0.2">
      <c r="A73" s="1774" t="s">
        <v>4368</v>
      </c>
      <c r="B73" s="1746" t="s">
        <v>6602</v>
      </c>
      <c r="C73" s="1746" t="s">
        <v>6596</v>
      </c>
      <c r="D73" s="2507"/>
      <c r="E73" s="1746">
        <f>5*0</f>
        <v>0</v>
      </c>
      <c r="F73" s="1762">
        <v>666</v>
      </c>
      <c r="G73" s="1775">
        <f>F73*E73</f>
        <v>0</v>
      </c>
    </row>
    <row r="74" spans="1:8" ht="18.75" hidden="1" customHeight="1" x14ac:dyDescent="0.2">
      <c r="A74" s="1777" t="s">
        <v>4369</v>
      </c>
      <c r="B74" s="1770" t="s">
        <v>6603</v>
      </c>
      <c r="C74" s="1770" t="s">
        <v>4360</v>
      </c>
      <c r="D74" s="2507"/>
      <c r="E74" s="1770">
        <f>2*0</f>
        <v>0</v>
      </c>
      <c r="F74" s="1770">
        <v>840.38</v>
      </c>
      <c r="G74" s="1773">
        <f>F74*E74</f>
        <v>0</v>
      </c>
    </row>
    <row r="75" spans="1:8" ht="19.5" customHeight="1" x14ac:dyDescent="0.2">
      <c r="A75" s="1761"/>
      <c r="B75" s="2487" t="s">
        <v>6667</v>
      </c>
      <c r="C75" s="2488"/>
      <c r="D75" s="2489"/>
      <c r="E75" s="1761"/>
      <c r="F75" s="1761"/>
      <c r="G75" s="1784">
        <f>G58+G66</f>
        <v>569983.98</v>
      </c>
    </row>
    <row r="76" spans="1:8" ht="23.25" hidden="1" customHeight="1" x14ac:dyDescent="0.2">
      <c r="A76" s="2490" t="s">
        <v>6604</v>
      </c>
      <c r="B76" s="2490"/>
      <c r="C76" s="1778">
        <v>0.22</v>
      </c>
      <c r="D76" s="1779"/>
      <c r="E76" s="1779"/>
      <c r="F76" s="1779"/>
      <c r="G76" s="1780">
        <f>G75*1.22</f>
        <v>695380.46</v>
      </c>
    </row>
    <row r="77" spans="1:8" ht="23.25" customHeight="1" x14ac:dyDescent="0.2">
      <c r="B77" s="2491" t="s">
        <v>6605</v>
      </c>
      <c r="C77" s="2491"/>
    </row>
    <row r="78" spans="1:8" ht="18.75" customHeight="1" x14ac:dyDescent="0.2"/>
  </sheetData>
  <mergeCells count="36">
    <mergeCell ref="A13:G13"/>
    <mergeCell ref="A1:G1"/>
    <mergeCell ref="A2:G2"/>
    <mergeCell ref="A4:B4"/>
    <mergeCell ref="D4:G4"/>
    <mergeCell ref="D5:G5"/>
    <mergeCell ref="A6:B6"/>
    <mergeCell ref="D6:G6"/>
    <mergeCell ref="A8:C9"/>
    <mergeCell ref="D8:G9"/>
    <mergeCell ref="A10:B10"/>
    <mergeCell ref="D10:G10"/>
    <mergeCell ref="B11:G11"/>
    <mergeCell ref="B27:D27"/>
    <mergeCell ref="B32:D32"/>
    <mergeCell ref="A41:F41"/>
    <mergeCell ref="A42:G42"/>
    <mergeCell ref="A24:F24"/>
    <mergeCell ref="A25:G25"/>
    <mergeCell ref="B26:D26"/>
    <mergeCell ref="E26:G26"/>
    <mergeCell ref="B39:D39"/>
    <mergeCell ref="B75:D75"/>
    <mergeCell ref="A76:B76"/>
    <mergeCell ref="B77:C77"/>
    <mergeCell ref="A48:F48"/>
    <mergeCell ref="A51:F51"/>
    <mergeCell ref="B57:F57"/>
    <mergeCell ref="B58:F58"/>
    <mergeCell ref="A59:G59"/>
    <mergeCell ref="C60:C64"/>
    <mergeCell ref="A56:F56"/>
    <mergeCell ref="B52:F52"/>
    <mergeCell ref="A66:F66"/>
    <mergeCell ref="A67:G67"/>
    <mergeCell ref="D69:D74"/>
  </mergeCells>
  <printOptions horizontalCentered="1"/>
  <pageMargins left="0.70866141732283472" right="0.70866141732283472" top="0.74803149606299213" bottom="0.74803149606299213" header="0.31496062992125984" footer="0.31496062992125984"/>
  <pageSetup paperSize="9" scale="57" fitToHeight="4" orientation="portrait" horizontalDpi="1200" r:id="rId1"/>
  <headerFooter>
    <oddFooter>&amp;Rстр. &amp;P из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31"/>
  <sheetViews>
    <sheetView zoomScaleNormal="100" zoomScaleSheetLayoutView="75" workbookViewId="0">
      <selection activeCell="C10" sqref="C10"/>
    </sheetView>
  </sheetViews>
  <sheetFormatPr defaultRowHeight="70.5" customHeight="1" x14ac:dyDescent="0.25"/>
  <cols>
    <col min="1" max="1" width="9.140625" style="1789" customWidth="1"/>
    <col min="2" max="2" width="72.5703125" style="1789" customWidth="1"/>
    <col min="3" max="3" width="34.140625" style="1789" customWidth="1"/>
    <col min="4" max="4" width="28.7109375" style="1789" customWidth="1"/>
    <col min="5" max="5" width="20.7109375" style="1789" customWidth="1"/>
    <col min="6" max="6" width="21.85546875" style="1793" customWidth="1"/>
    <col min="7" max="7" width="16.5703125" style="1793" customWidth="1"/>
    <col min="8" max="9" width="9.140625" style="1789"/>
    <col min="10" max="10" width="12.28515625" style="1789" customWidth="1"/>
    <col min="11" max="16384" width="9.140625" style="1789"/>
  </cols>
  <sheetData>
    <row r="1" spans="1:9" ht="18" customHeight="1" x14ac:dyDescent="0.25">
      <c r="A1" s="2550" t="s">
        <v>7772</v>
      </c>
      <c r="B1" s="2550"/>
      <c r="C1" s="2550"/>
      <c r="D1" s="2550"/>
      <c r="E1" s="2550"/>
      <c r="F1" s="2550"/>
      <c r="G1" s="2550"/>
    </row>
    <row r="2" spans="1:9" ht="18" customHeight="1" x14ac:dyDescent="0.25">
      <c r="A2" s="2550"/>
      <c r="B2" s="2550"/>
      <c r="C2" s="2550"/>
      <c r="D2" s="2550"/>
      <c r="E2" s="2550"/>
      <c r="F2" s="2550"/>
      <c r="G2" s="2550"/>
    </row>
    <row r="3" spans="1:9" ht="18" customHeight="1" x14ac:dyDescent="0.25">
      <c r="A3" s="2551" t="s">
        <v>6623</v>
      </c>
      <c r="B3" s="2551"/>
      <c r="C3" s="2552" t="s">
        <v>6624</v>
      </c>
      <c r="D3" s="2552"/>
      <c r="E3" s="2552"/>
      <c r="F3" s="2552"/>
      <c r="G3" s="2552"/>
    </row>
    <row r="4" spans="1:9" ht="29.25" customHeight="1" x14ac:dyDescent="0.25">
      <c r="A4" s="2551"/>
      <c r="B4" s="2551"/>
      <c r="C4" s="2552"/>
      <c r="D4" s="2552"/>
      <c r="E4" s="2552"/>
      <c r="F4" s="2552"/>
      <c r="G4" s="2552"/>
    </row>
    <row r="5" spans="1:9" ht="17.25" customHeight="1" x14ac:dyDescent="0.25">
      <c r="A5" s="2551" t="s">
        <v>6625</v>
      </c>
      <c r="B5" s="2551"/>
      <c r="C5" s="2552" t="s">
        <v>6141</v>
      </c>
      <c r="D5" s="2552"/>
      <c r="E5" s="2552"/>
      <c r="F5" s="2552"/>
      <c r="G5" s="2552"/>
    </row>
    <row r="6" spans="1:9" ht="40.5" hidden="1" customHeight="1" x14ac:dyDescent="0.25">
      <c r="A6" s="2551"/>
      <c r="B6" s="2551"/>
      <c r="C6" s="2552"/>
      <c r="D6" s="2552"/>
      <c r="E6" s="2552"/>
      <c r="F6" s="2552"/>
      <c r="G6" s="2552"/>
    </row>
    <row r="7" spans="1:9" ht="18" customHeight="1" x14ac:dyDescent="0.25">
      <c r="A7" s="2551" t="s">
        <v>627</v>
      </c>
      <c r="B7" s="2551"/>
      <c r="C7" s="2552" t="s">
        <v>608</v>
      </c>
      <c r="D7" s="2552"/>
      <c r="E7" s="2552"/>
      <c r="F7" s="2552"/>
      <c r="G7" s="2552"/>
    </row>
    <row r="8" spans="1:9" ht="18" customHeight="1" x14ac:dyDescent="0.25">
      <c r="A8" s="2551"/>
      <c r="B8" s="2551"/>
      <c r="C8" s="2552"/>
      <c r="D8" s="2552"/>
      <c r="E8" s="2552"/>
      <c r="F8" s="2552"/>
      <c r="G8" s="2552"/>
    </row>
    <row r="9" spans="1:9" ht="18" customHeight="1" x14ac:dyDescent="0.25">
      <c r="B9" s="1791"/>
      <c r="C9" s="1792"/>
    </row>
    <row r="10" spans="1:9" ht="18.75" customHeight="1" thickBot="1" x14ac:dyDescent="0.3">
      <c r="B10" s="1791"/>
      <c r="C10" s="1792"/>
    </row>
    <row r="11" spans="1:9" ht="36.75" customHeight="1" thickBot="1" x14ac:dyDescent="0.3">
      <c r="A11" s="1794" t="s">
        <v>6626</v>
      </c>
      <c r="B11" s="1795" t="s">
        <v>185</v>
      </c>
      <c r="C11" s="1795" t="s">
        <v>6627</v>
      </c>
      <c r="D11" s="1795" t="s">
        <v>187</v>
      </c>
      <c r="E11" s="1795" t="s">
        <v>188</v>
      </c>
      <c r="F11" s="1796" t="s">
        <v>4334</v>
      </c>
      <c r="G11" s="1797" t="s">
        <v>638</v>
      </c>
    </row>
    <row r="12" spans="1:9" ht="18" customHeight="1" x14ac:dyDescent="0.25">
      <c r="A12" s="1794">
        <v>1</v>
      </c>
      <c r="B12" s="1795">
        <v>2</v>
      </c>
      <c r="C12" s="1795">
        <v>3</v>
      </c>
      <c r="D12" s="1795">
        <v>4</v>
      </c>
      <c r="E12" s="1795">
        <v>5</v>
      </c>
      <c r="F12" s="1798">
        <v>6</v>
      </c>
      <c r="G12" s="1799">
        <v>7</v>
      </c>
    </row>
    <row r="13" spans="1:9" ht="18" customHeight="1" x14ac:dyDescent="0.25">
      <c r="A13" s="2555">
        <v>1</v>
      </c>
      <c r="B13" s="2556" t="s">
        <v>6628</v>
      </c>
      <c r="C13" s="2556"/>
      <c r="D13" s="2556"/>
      <c r="E13" s="2556"/>
      <c r="F13" s="2556"/>
      <c r="G13" s="2556"/>
    </row>
    <row r="14" spans="1:9" ht="64.5" customHeight="1" x14ac:dyDescent="0.25">
      <c r="A14" s="2555"/>
      <c r="B14" s="1800" t="s">
        <v>6629</v>
      </c>
      <c r="C14" s="1801" t="s">
        <v>6630</v>
      </c>
      <c r="D14" s="1802" t="s">
        <v>6631</v>
      </c>
      <c r="E14" s="1803">
        <v>1</v>
      </c>
      <c r="F14" s="1804">
        <v>930</v>
      </c>
      <c r="G14" s="1825">
        <f>E14*F14</f>
        <v>930</v>
      </c>
      <c r="I14" s="1805"/>
    </row>
    <row r="15" spans="1:9" ht="43.5" customHeight="1" x14ac:dyDescent="0.25">
      <c r="A15" s="2555"/>
      <c r="B15" s="1806" t="s">
        <v>6632</v>
      </c>
      <c r="C15" s="1807" t="s">
        <v>6633</v>
      </c>
      <c r="D15" s="1808" t="s">
        <v>6634</v>
      </c>
      <c r="E15" s="1809">
        <v>30</v>
      </c>
      <c r="F15" s="1810">
        <v>3.52</v>
      </c>
      <c r="G15" s="1826">
        <f>E15*F15</f>
        <v>105.6</v>
      </c>
      <c r="I15" s="1805"/>
    </row>
    <row r="16" spans="1:9" ht="60.75" customHeight="1" x14ac:dyDescent="0.25">
      <c r="A16" s="2555"/>
      <c r="B16" s="1811" t="s">
        <v>6635</v>
      </c>
      <c r="C16" s="1801" t="s">
        <v>6636</v>
      </c>
      <c r="D16" s="1812" t="s">
        <v>6637</v>
      </c>
      <c r="E16" s="1813">
        <v>1</v>
      </c>
      <c r="F16" s="1814">
        <v>390</v>
      </c>
      <c r="G16" s="1825">
        <f>E16*F16</f>
        <v>390</v>
      </c>
    </row>
    <row r="17" spans="1:7" s="1792" customFormat="1" ht="18" customHeight="1" x14ac:dyDescent="0.25">
      <c r="A17" s="2544" t="s">
        <v>6638</v>
      </c>
      <c r="B17" s="2544"/>
      <c r="C17" s="2544"/>
      <c r="D17" s="2544"/>
      <c r="E17" s="2544"/>
      <c r="F17" s="2544"/>
      <c r="G17" s="1827">
        <f>SUM(G14:G16)</f>
        <v>1425.6</v>
      </c>
    </row>
    <row r="18" spans="1:7" ht="18" customHeight="1" x14ac:dyDescent="0.25">
      <c r="A18" s="2557">
        <v>2</v>
      </c>
      <c r="B18" s="2556" t="s">
        <v>6639</v>
      </c>
      <c r="C18" s="2556"/>
      <c r="D18" s="2556"/>
      <c r="E18" s="2556"/>
      <c r="F18" s="2556"/>
      <c r="G18" s="2556"/>
    </row>
    <row r="19" spans="1:7" ht="44.25" customHeight="1" x14ac:dyDescent="0.25">
      <c r="A19" s="2557"/>
      <c r="B19" s="1815" t="s">
        <v>6640</v>
      </c>
      <c r="C19" s="1801" t="s">
        <v>6641</v>
      </c>
      <c r="D19" s="1807" t="s">
        <v>6642</v>
      </c>
      <c r="E19" s="1807">
        <v>1</v>
      </c>
      <c r="F19" s="1807">
        <v>140</v>
      </c>
      <c r="G19" s="1825">
        <f>E19*F19</f>
        <v>140</v>
      </c>
    </row>
    <row r="20" spans="1:7" ht="36" customHeight="1" x14ac:dyDescent="0.25">
      <c r="A20" s="2557"/>
      <c r="B20" s="1800" t="s">
        <v>6643</v>
      </c>
      <c r="C20" s="1801" t="s">
        <v>6644</v>
      </c>
      <c r="D20" s="1801" t="s">
        <v>6645</v>
      </c>
      <c r="E20" s="1801">
        <v>2</v>
      </c>
      <c r="F20" s="1816">
        <v>530</v>
      </c>
      <c r="G20" s="1825">
        <f>E20*F20</f>
        <v>1060</v>
      </c>
    </row>
    <row r="21" spans="1:7" ht="36" customHeight="1" x14ac:dyDescent="0.25">
      <c r="A21" s="2557"/>
      <c r="B21" s="1800" t="s">
        <v>6646</v>
      </c>
      <c r="C21" s="1801" t="s">
        <v>6647</v>
      </c>
      <c r="D21" s="1801" t="s">
        <v>6648</v>
      </c>
      <c r="E21" s="1817">
        <f>E15</f>
        <v>30</v>
      </c>
      <c r="F21" s="1818">
        <v>0.25</v>
      </c>
      <c r="G21" s="1825">
        <f>E21*F21</f>
        <v>7.5</v>
      </c>
    </row>
    <row r="22" spans="1:7" ht="72" customHeight="1" x14ac:dyDescent="0.25">
      <c r="A22" s="2557"/>
      <c r="B22" s="1800" t="s">
        <v>6649</v>
      </c>
      <c r="C22" s="1801" t="s">
        <v>6650</v>
      </c>
      <c r="D22" s="1801" t="s">
        <v>6651</v>
      </c>
      <c r="E22" s="1801" t="s">
        <v>6652</v>
      </c>
      <c r="F22" s="1818" t="s">
        <v>6653</v>
      </c>
      <c r="G22" s="1828">
        <f>78+(((E21-20)/5)*16)</f>
        <v>110</v>
      </c>
    </row>
    <row r="23" spans="1:7" ht="21.75" customHeight="1" x14ac:dyDescent="0.25">
      <c r="A23" s="2544" t="s">
        <v>6654</v>
      </c>
      <c r="B23" s="2544"/>
      <c r="C23" s="2544"/>
      <c r="D23" s="2544"/>
      <c r="E23" s="2544"/>
      <c r="F23" s="2544"/>
      <c r="G23" s="1827">
        <f>SUM(G19:G22)</f>
        <v>1317.5</v>
      </c>
    </row>
    <row r="24" spans="1:7" ht="18.75" customHeight="1" thickBot="1" x14ac:dyDescent="0.3">
      <c r="A24" s="2538" t="s">
        <v>6655</v>
      </c>
      <c r="B24" s="2538"/>
      <c r="C24" s="2538"/>
      <c r="D24" s="2538"/>
      <c r="E24" s="2538"/>
      <c r="F24" s="2538"/>
      <c r="G24" s="1829">
        <f>G23+G17</f>
        <v>2743.1</v>
      </c>
    </row>
    <row r="25" spans="1:7" s="1790" customFormat="1" ht="46.5" customHeight="1" thickBot="1" x14ac:dyDescent="0.3">
      <c r="A25" s="2553" t="s">
        <v>6656</v>
      </c>
      <c r="B25" s="2553"/>
      <c r="C25" s="2554" t="s">
        <v>6657</v>
      </c>
      <c r="D25" s="2554"/>
      <c r="E25" s="2554"/>
      <c r="F25" s="2554"/>
      <c r="G25" s="1830">
        <f>ROUND((G24*14.6),0)</f>
        <v>40049</v>
      </c>
    </row>
    <row r="26" spans="1:7" s="1790" customFormat="1" ht="36" customHeight="1" thickBot="1" x14ac:dyDescent="0.3">
      <c r="A26" s="2542" t="s">
        <v>6658</v>
      </c>
      <c r="B26" s="2542"/>
      <c r="C26" s="2543" t="s">
        <v>6659</v>
      </c>
      <c r="D26" s="2543"/>
      <c r="E26" s="2543"/>
      <c r="F26" s="2543"/>
      <c r="G26" s="1831">
        <f>ROUND((G25*4),0)</f>
        <v>160196</v>
      </c>
    </row>
    <row r="27" spans="1:7" s="1790" customFormat="1" ht="18" customHeight="1" x14ac:dyDescent="0.25">
      <c r="A27" s="2544" t="s">
        <v>6655</v>
      </c>
      <c r="B27" s="2544"/>
      <c r="C27" s="2544"/>
      <c r="D27" s="2544"/>
      <c r="E27" s="2544"/>
      <c r="F27" s="2544"/>
      <c r="G27" s="1827">
        <f>G26</f>
        <v>160196</v>
      </c>
    </row>
    <row r="28" spans="1:7" ht="18.75" customHeight="1" thickBot="1" x14ac:dyDescent="0.3">
      <c r="A28" s="2538" t="s">
        <v>6660</v>
      </c>
      <c r="B28" s="2538"/>
      <c r="C28" s="2538"/>
      <c r="D28" s="2538"/>
      <c r="E28" s="2538"/>
      <c r="F28" s="2538"/>
      <c r="G28" s="1827">
        <f>G27</f>
        <v>160196</v>
      </c>
    </row>
    <row r="29" spans="1:7" ht="106.5" customHeight="1" x14ac:dyDescent="0.25">
      <c r="A29" s="2545" t="s">
        <v>6661</v>
      </c>
      <c r="B29" s="2546"/>
      <c r="C29" s="2547" t="s">
        <v>6662</v>
      </c>
      <c r="D29" s="2548"/>
      <c r="E29" s="2549"/>
      <c r="F29" s="1819">
        <v>32400</v>
      </c>
      <c r="G29" s="1832">
        <f>G28+F29</f>
        <v>192596</v>
      </c>
    </row>
    <row r="30" spans="1:7" s="1790" customFormat="1" ht="18" customHeight="1" x14ac:dyDescent="0.25">
      <c r="A30" s="2539" t="s">
        <v>6663</v>
      </c>
      <c r="B30" s="2540"/>
      <c r="C30" s="2540"/>
      <c r="D30" s="2540"/>
      <c r="E30" s="2541"/>
      <c r="F30" s="1820"/>
      <c r="G30" s="1833"/>
    </row>
    <row r="31" spans="1:7" ht="30" customHeight="1" x14ac:dyDescent="0.25">
      <c r="A31" s="1821"/>
      <c r="B31" s="1822" t="s">
        <v>6664</v>
      </c>
      <c r="C31" s="1823"/>
      <c r="D31" s="1823"/>
      <c r="E31" s="1823"/>
      <c r="F31" s="1824"/>
      <c r="G31" s="1834">
        <f>G29</f>
        <v>192596</v>
      </c>
    </row>
  </sheetData>
  <sheetProtection selectLockedCells="1" selectUnlockedCells="1"/>
  <mergeCells count="24">
    <mergeCell ref="A1:G1"/>
    <mergeCell ref="A2:G2"/>
    <mergeCell ref="A3:B4"/>
    <mergeCell ref="C3:G4"/>
    <mergeCell ref="A25:B25"/>
    <mergeCell ref="C25:F25"/>
    <mergeCell ref="A5:B6"/>
    <mergeCell ref="C5:G6"/>
    <mergeCell ref="A7:B8"/>
    <mergeCell ref="C7:G8"/>
    <mergeCell ref="A13:A16"/>
    <mergeCell ref="B13:G13"/>
    <mergeCell ref="A17:F17"/>
    <mergeCell ref="A18:A22"/>
    <mergeCell ref="B18:G18"/>
    <mergeCell ref="A23:F23"/>
    <mergeCell ref="A24:F24"/>
    <mergeCell ref="A30:E30"/>
    <mergeCell ref="A26:B26"/>
    <mergeCell ref="C26:F26"/>
    <mergeCell ref="A27:F27"/>
    <mergeCell ref="A28:F28"/>
    <mergeCell ref="A29:B29"/>
    <mergeCell ref="C29:E29"/>
  </mergeCells>
  <printOptions horizontalCentered="1"/>
  <pageMargins left="0.39374999999999999" right="0.15763888888888888" top="0.6694444444444444" bottom="0.15763888888888888" header="0.51180555555555551" footer="0.51180555555555551"/>
  <pageSetup paperSize="9" scale="58" firstPageNumber="0"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682"/>
  <sheetViews>
    <sheetView showRuler="0" topLeftCell="A55" workbookViewId="0">
      <selection activeCell="J73" sqref="J73:L73"/>
    </sheetView>
  </sheetViews>
  <sheetFormatPr defaultRowHeight="15" x14ac:dyDescent="0.25"/>
  <cols>
    <col min="1" max="1" width="6.42578125" style="1843" customWidth="1"/>
    <col min="2" max="50" width="8" style="1843" customWidth="1"/>
    <col min="51" max="16384" width="9.140625" style="1445"/>
  </cols>
  <sheetData>
    <row r="1" spans="1:16" ht="27.2" customHeight="1" x14ac:dyDescent="0.25">
      <c r="A1" s="2437" t="s">
        <v>6796</v>
      </c>
      <c r="B1" s="2437"/>
      <c r="C1" s="2437"/>
      <c r="D1" s="2437"/>
      <c r="E1" s="2438" t="s">
        <v>7256</v>
      </c>
      <c r="F1" s="2438"/>
      <c r="G1" s="2438"/>
      <c r="H1" s="2438"/>
      <c r="I1" s="2438"/>
      <c r="J1" s="2438"/>
      <c r="K1" s="2438"/>
      <c r="L1" s="2438"/>
      <c r="M1" s="2438"/>
      <c r="N1" s="2438"/>
      <c r="O1" s="2438"/>
      <c r="P1" s="2438"/>
    </row>
    <row r="2" spans="1:16" ht="15" customHeight="1" x14ac:dyDescent="0.25"/>
    <row r="3" spans="1:16" ht="15" customHeight="1" x14ac:dyDescent="0.25">
      <c r="A3" s="2446" t="s">
        <v>7770</v>
      </c>
      <c r="B3" s="2446"/>
      <c r="C3" s="2446"/>
      <c r="D3" s="2446"/>
      <c r="E3" s="2446"/>
      <c r="F3" s="2446"/>
      <c r="G3" s="2446"/>
      <c r="H3" s="2446"/>
      <c r="I3" s="2446"/>
      <c r="J3" s="2446"/>
      <c r="K3" s="2446"/>
      <c r="L3" s="2446"/>
      <c r="M3" s="2446"/>
      <c r="N3" s="2446"/>
      <c r="O3" s="2446"/>
      <c r="P3" s="2446"/>
    </row>
    <row r="4" spans="1:16" ht="15" customHeight="1" x14ac:dyDescent="0.25">
      <c r="A4" s="2447" t="s">
        <v>419</v>
      </c>
      <c r="B4" s="2447"/>
      <c r="C4" s="2447"/>
      <c r="D4" s="2447"/>
      <c r="E4" s="2447"/>
      <c r="F4" s="2447"/>
      <c r="G4" s="2447"/>
      <c r="H4" s="2447"/>
      <c r="I4" s="2447"/>
      <c r="J4" s="2447"/>
      <c r="K4" s="2447"/>
      <c r="L4" s="2447"/>
      <c r="M4" s="2447"/>
      <c r="N4" s="2447"/>
      <c r="O4" s="2447"/>
      <c r="P4" s="2447"/>
    </row>
    <row r="5" spans="1:16" ht="15" customHeight="1" x14ac:dyDescent="0.25"/>
    <row r="6" spans="1:16" ht="15" customHeight="1" x14ac:dyDescent="0.25">
      <c r="A6" s="2427" t="s">
        <v>6307</v>
      </c>
      <c r="B6" s="2427"/>
      <c r="C6" s="2427"/>
      <c r="D6" s="2427"/>
      <c r="E6" s="2427"/>
      <c r="F6" s="2448" t="s">
        <v>6141</v>
      </c>
      <c r="G6" s="2448"/>
      <c r="H6" s="2448"/>
      <c r="I6" s="2448"/>
      <c r="J6" s="2448"/>
      <c r="K6" s="2448"/>
      <c r="L6" s="2448"/>
      <c r="M6" s="2448"/>
      <c r="N6" s="2448"/>
      <c r="O6" s="2448"/>
      <c r="P6" s="2448"/>
    </row>
    <row r="7" spans="1:16" ht="15" customHeight="1" x14ac:dyDescent="0.25"/>
    <row r="8" spans="1:16" ht="54.4" customHeight="1" x14ac:dyDescent="0.25">
      <c r="A8" s="2427" t="s">
        <v>6396</v>
      </c>
      <c r="B8" s="2427"/>
      <c r="C8" s="2427"/>
      <c r="D8" s="2427"/>
      <c r="E8" s="2427"/>
      <c r="F8" s="2448" t="s">
        <v>735</v>
      </c>
      <c r="G8" s="2448"/>
      <c r="H8" s="2448"/>
      <c r="I8" s="2448"/>
      <c r="J8" s="2448"/>
      <c r="K8" s="2448"/>
      <c r="L8" s="2448"/>
      <c r="M8" s="2448"/>
      <c r="N8" s="2448"/>
      <c r="O8" s="2448"/>
      <c r="P8" s="2448"/>
    </row>
    <row r="9" spans="1:16" ht="15" customHeight="1" x14ac:dyDescent="0.25">
      <c r="A9" s="2427"/>
      <c r="B9" s="2427"/>
      <c r="C9" s="2427"/>
      <c r="D9" s="2427"/>
      <c r="E9" s="2427"/>
      <c r="F9" s="2427" t="s">
        <v>735</v>
      </c>
      <c r="G9" s="2427"/>
      <c r="H9" s="2427"/>
      <c r="I9" s="2427"/>
      <c r="J9" s="2427"/>
      <c r="K9" s="2427"/>
      <c r="L9" s="2427"/>
      <c r="M9" s="2427"/>
      <c r="N9" s="2427"/>
      <c r="O9" s="2427"/>
      <c r="P9" s="2427"/>
    </row>
    <row r="10" spans="1:16" ht="15" customHeight="1" x14ac:dyDescent="0.25"/>
    <row r="11" spans="1:16" ht="27.2" customHeight="1" x14ac:dyDescent="0.25">
      <c r="A11" s="2427" t="s">
        <v>452</v>
      </c>
      <c r="B11" s="2427"/>
      <c r="C11" s="2427"/>
      <c r="D11" s="2427"/>
      <c r="E11" s="2427"/>
      <c r="F11" s="2448"/>
      <c r="G11" s="2448"/>
      <c r="H11" s="2448"/>
      <c r="I11" s="2448"/>
      <c r="J11" s="2448"/>
      <c r="K11" s="2448"/>
      <c r="L11" s="2448"/>
      <c r="M11" s="2448"/>
      <c r="N11" s="2448"/>
      <c r="O11" s="2448"/>
      <c r="P11" s="2448"/>
    </row>
    <row r="12" spans="1:16" ht="15" customHeight="1" x14ac:dyDescent="0.25"/>
    <row r="13" spans="1:16" ht="15" customHeight="1" x14ac:dyDescent="0.25">
      <c r="A13" s="2427" t="s">
        <v>4154</v>
      </c>
      <c r="B13" s="2427"/>
      <c r="C13" s="2427"/>
      <c r="D13" s="2427"/>
      <c r="E13" s="2427"/>
      <c r="F13" s="2448"/>
      <c r="G13" s="2448"/>
      <c r="H13" s="2448"/>
      <c r="I13" s="2448"/>
      <c r="J13" s="2448"/>
      <c r="K13" s="2448"/>
      <c r="L13" s="2448"/>
      <c r="M13" s="2448"/>
      <c r="N13" s="2448"/>
      <c r="O13" s="2448"/>
      <c r="P13" s="2448"/>
    </row>
    <row r="14" spans="1:16" ht="15" customHeight="1" x14ac:dyDescent="0.25"/>
    <row r="15" spans="1:16" ht="15" customHeight="1" x14ac:dyDescent="0.25">
      <c r="A15" s="2427" t="s">
        <v>6311</v>
      </c>
      <c r="B15" s="2427"/>
      <c r="C15" s="2427"/>
      <c r="D15" s="2427"/>
      <c r="E15" s="2427"/>
      <c r="F15" s="2427"/>
      <c r="G15" s="2427"/>
      <c r="H15" s="2427"/>
      <c r="I15" s="2427"/>
      <c r="J15" s="2427"/>
      <c r="K15" s="2427"/>
      <c r="L15" s="2427"/>
      <c r="M15" s="2427"/>
      <c r="N15" s="2427"/>
      <c r="O15" s="2427"/>
      <c r="P15" s="2427"/>
    </row>
    <row r="16" spans="1:16" ht="15" customHeight="1" x14ac:dyDescent="0.25"/>
    <row r="17" spans="1:16" ht="40.9" customHeight="1" x14ac:dyDescent="0.25">
      <c r="A17" s="1847" t="s">
        <v>512</v>
      </c>
      <c r="B17" s="2440" t="s">
        <v>6143</v>
      </c>
      <c r="C17" s="2440"/>
      <c r="D17" s="2440"/>
      <c r="E17" s="2440"/>
      <c r="F17" s="2440" t="s">
        <v>6144</v>
      </c>
      <c r="G17" s="2440"/>
      <c r="H17" s="2440"/>
      <c r="I17" s="2440"/>
      <c r="J17" s="2440" t="s">
        <v>4160</v>
      </c>
      <c r="K17" s="2440"/>
      <c r="L17" s="2440"/>
      <c r="M17" s="2440" t="s">
        <v>4161</v>
      </c>
      <c r="N17" s="2440"/>
      <c r="O17" s="2440" t="s">
        <v>6312</v>
      </c>
      <c r="P17" s="2440"/>
    </row>
    <row r="18" spans="1:16" ht="15" customHeight="1" x14ac:dyDescent="0.25">
      <c r="A18" s="1847">
        <v>1</v>
      </c>
      <c r="B18" s="2440">
        <v>2</v>
      </c>
      <c r="C18" s="2440"/>
      <c r="D18" s="2440"/>
      <c r="E18" s="2440"/>
      <c r="F18" s="2440">
        <v>3</v>
      </c>
      <c r="G18" s="2440"/>
      <c r="H18" s="2440"/>
      <c r="I18" s="2440"/>
      <c r="J18" s="2440">
        <v>4</v>
      </c>
      <c r="K18" s="2440"/>
      <c r="L18" s="2440"/>
      <c r="M18" s="2440">
        <v>5</v>
      </c>
      <c r="N18" s="2440"/>
      <c r="O18" s="2440">
        <v>6</v>
      </c>
      <c r="P18" s="2440"/>
    </row>
    <row r="19" spans="1:16" ht="15" customHeight="1" x14ac:dyDescent="0.25">
      <c r="A19" s="1848" t="s">
        <v>190</v>
      </c>
      <c r="B19" s="2441" t="s">
        <v>6145</v>
      </c>
      <c r="C19" s="2441"/>
      <c r="D19" s="2441"/>
      <c r="E19" s="2441"/>
      <c r="F19" s="2441" t="s">
        <v>7255</v>
      </c>
      <c r="G19" s="2441"/>
      <c r="H19" s="2441"/>
      <c r="I19" s="2441"/>
      <c r="J19" s="2441"/>
      <c r="K19" s="2441"/>
      <c r="L19" s="2441"/>
      <c r="M19" s="2441"/>
      <c r="N19" s="2441"/>
      <c r="O19" s="2441"/>
      <c r="P19" s="2441"/>
    </row>
    <row r="20" spans="1:16" ht="149.65" customHeight="1" x14ac:dyDescent="0.25">
      <c r="A20" s="1844" t="s">
        <v>191</v>
      </c>
      <c r="B20" s="2431" t="s">
        <v>7254</v>
      </c>
      <c r="C20" s="2432"/>
      <c r="D20" s="2432"/>
      <c r="E20" s="2432"/>
      <c r="F20" s="2432" t="s">
        <v>7253</v>
      </c>
      <c r="G20" s="2432"/>
      <c r="H20" s="2432"/>
      <c r="I20" s="2432"/>
      <c r="J20" s="2432" t="s">
        <v>7769</v>
      </c>
      <c r="K20" s="2432"/>
      <c r="L20" s="2432"/>
      <c r="M20" s="2558">
        <f>ROUND((1229800 + 1422 * (0.4 * 2000 + 0.6 * (2000 / 2))) * 1 * 0.42 * 1.68 * 0.6 * 1.4 * 0.8 * 1.27348, 0)</f>
        <v>1944719</v>
      </c>
      <c r="N20" s="2432"/>
      <c r="O20" s="2432" t="s">
        <v>7768</v>
      </c>
      <c r="P20" s="2432"/>
    </row>
    <row r="21" spans="1:16" ht="15" customHeight="1" x14ac:dyDescent="0.25">
      <c r="A21" s="1845"/>
      <c r="B21" s="2442" t="s">
        <v>4168</v>
      </c>
      <c r="C21" s="2442"/>
      <c r="D21" s="2442"/>
      <c r="E21" s="2442"/>
      <c r="F21" s="2442" t="s">
        <v>588</v>
      </c>
      <c r="G21" s="2442"/>
      <c r="H21" s="2442"/>
      <c r="I21" s="2442"/>
      <c r="J21" s="2442" t="s">
        <v>588</v>
      </c>
      <c r="K21" s="2442"/>
      <c r="L21" s="2442"/>
      <c r="M21" s="2442"/>
      <c r="N21" s="2442"/>
      <c r="O21" s="2442"/>
      <c r="P21" s="2442"/>
    </row>
    <row r="22" spans="1:16" ht="15" customHeight="1" x14ac:dyDescent="0.25">
      <c r="A22" s="1846"/>
      <c r="B22" s="2443" t="s">
        <v>7321</v>
      </c>
      <c r="C22" s="2443"/>
      <c r="D22" s="2443"/>
      <c r="E22" s="2443"/>
      <c r="F22" s="2443" t="s">
        <v>7320</v>
      </c>
      <c r="G22" s="2443"/>
      <c r="H22" s="2443"/>
      <c r="I22" s="2443"/>
      <c r="J22" s="2443" t="s">
        <v>588</v>
      </c>
      <c r="K22" s="2443"/>
      <c r="L22" s="2443"/>
      <c r="M22" s="2443"/>
      <c r="N22" s="2443"/>
      <c r="O22" s="2443"/>
      <c r="P22" s="2443"/>
    </row>
    <row r="23" spans="1:16" ht="40.9" customHeight="1" x14ac:dyDescent="0.25">
      <c r="A23" s="1846"/>
      <c r="B23" s="2443" t="s">
        <v>6447</v>
      </c>
      <c r="C23" s="2443"/>
      <c r="D23" s="2443"/>
      <c r="E23" s="2443"/>
      <c r="F23" s="2443" t="s">
        <v>6448</v>
      </c>
      <c r="G23" s="2443"/>
      <c r="H23" s="2443"/>
      <c r="I23" s="2443"/>
      <c r="J23" s="2443" t="s">
        <v>588</v>
      </c>
      <c r="K23" s="2443"/>
      <c r="L23" s="2443"/>
      <c r="M23" s="2443"/>
      <c r="N23" s="2443"/>
      <c r="O23" s="2443"/>
      <c r="P23" s="2443"/>
    </row>
    <row r="24" spans="1:16" ht="95.25" customHeight="1" x14ac:dyDescent="0.25">
      <c r="A24" s="1846"/>
      <c r="B24" s="2443" t="s">
        <v>6251</v>
      </c>
      <c r="C24" s="2443"/>
      <c r="D24" s="2443"/>
      <c r="E24" s="2443"/>
      <c r="F24" s="2443" t="s">
        <v>7252</v>
      </c>
      <c r="G24" s="2443"/>
      <c r="H24" s="2443"/>
      <c r="I24" s="2443"/>
      <c r="J24" s="2443" t="s">
        <v>588</v>
      </c>
      <c r="K24" s="2443"/>
      <c r="L24" s="2443"/>
      <c r="M24" s="2443"/>
      <c r="N24" s="2443"/>
      <c r="O24" s="2443"/>
      <c r="P24" s="2443"/>
    </row>
    <row r="25" spans="1:16" ht="135.94999999999999" customHeight="1" x14ac:dyDescent="0.25">
      <c r="A25" s="1846"/>
      <c r="B25" s="2443" t="s">
        <v>7064</v>
      </c>
      <c r="C25" s="2443"/>
      <c r="D25" s="2443"/>
      <c r="E25" s="2443"/>
      <c r="F25" s="2443" t="s">
        <v>7251</v>
      </c>
      <c r="G25" s="2443"/>
      <c r="H25" s="2443"/>
      <c r="I25" s="2443"/>
      <c r="J25" s="2443" t="s">
        <v>588</v>
      </c>
      <c r="K25" s="2443"/>
      <c r="L25" s="2443"/>
      <c r="M25" s="2443"/>
      <c r="N25" s="2443"/>
      <c r="O25" s="2443"/>
      <c r="P25" s="2443"/>
    </row>
    <row r="26" spans="1:16" ht="122.45" customHeight="1" x14ac:dyDescent="0.25">
      <c r="A26" s="1846"/>
      <c r="B26" s="2443" t="s">
        <v>7245</v>
      </c>
      <c r="C26" s="2443"/>
      <c r="D26" s="2443"/>
      <c r="E26" s="2443"/>
      <c r="F26" s="2443" t="s">
        <v>7250</v>
      </c>
      <c r="G26" s="2443"/>
      <c r="H26" s="2443"/>
      <c r="I26" s="2443"/>
      <c r="J26" s="2443" t="s">
        <v>588</v>
      </c>
      <c r="K26" s="2443"/>
      <c r="L26" s="2443"/>
      <c r="M26" s="2443"/>
      <c r="N26" s="2443"/>
      <c r="O26" s="2443"/>
      <c r="P26" s="2443"/>
    </row>
    <row r="27" spans="1:16" ht="149.65" customHeight="1" x14ac:dyDescent="0.25">
      <c r="A27" s="1846"/>
      <c r="B27" s="2443" t="s">
        <v>6148</v>
      </c>
      <c r="C27" s="2443"/>
      <c r="D27" s="2443"/>
      <c r="E27" s="2443"/>
      <c r="F27" s="2443" t="s">
        <v>7242</v>
      </c>
      <c r="G27" s="2443"/>
      <c r="H27" s="2443"/>
      <c r="I27" s="2443"/>
      <c r="J27" s="2443" t="s">
        <v>588</v>
      </c>
      <c r="K27" s="2443"/>
      <c r="L27" s="2443"/>
      <c r="M27" s="2443"/>
      <c r="N27" s="2443"/>
      <c r="O27" s="2443"/>
      <c r="P27" s="2443"/>
    </row>
    <row r="28" spans="1:16" ht="122.45" customHeight="1" x14ac:dyDescent="0.25">
      <c r="A28" s="1845"/>
      <c r="B28" s="2442" t="s">
        <v>6150</v>
      </c>
      <c r="C28" s="2442"/>
      <c r="D28" s="2442"/>
      <c r="E28" s="2442"/>
      <c r="F28" s="2442" t="s">
        <v>588</v>
      </c>
      <c r="G28" s="2442"/>
      <c r="H28" s="2442"/>
      <c r="I28" s="2442"/>
      <c r="J28" s="2442" t="s">
        <v>7767</v>
      </c>
      <c r="K28" s="2442"/>
      <c r="L28" s="2442"/>
      <c r="M28" s="2442"/>
      <c r="N28" s="2442"/>
      <c r="O28" s="2442"/>
      <c r="P28" s="2442"/>
    </row>
    <row r="29" spans="1:16" ht="15" customHeight="1" x14ac:dyDescent="0.25">
      <c r="A29" s="1846"/>
      <c r="B29" s="2443" t="s">
        <v>6160</v>
      </c>
      <c r="C29" s="2443"/>
      <c r="D29" s="2443"/>
      <c r="E29" s="2443"/>
      <c r="F29" s="2443" t="s">
        <v>7766</v>
      </c>
      <c r="G29" s="2443"/>
      <c r="H29" s="2443"/>
      <c r="I29" s="2443"/>
      <c r="J29" s="2443" t="s">
        <v>588</v>
      </c>
      <c r="K29" s="2443"/>
      <c r="L29" s="2443"/>
      <c r="M29" s="2443"/>
      <c r="N29" s="2443"/>
      <c r="O29" s="2443"/>
      <c r="P29" s="2443"/>
    </row>
    <row r="30" spans="1:16" ht="15" customHeight="1" x14ac:dyDescent="0.25">
      <c r="A30" s="1846"/>
      <c r="B30" s="2443" t="s">
        <v>6199</v>
      </c>
      <c r="C30" s="2443"/>
      <c r="D30" s="2443"/>
      <c r="E30" s="2443"/>
      <c r="F30" s="2443" t="s">
        <v>7765</v>
      </c>
      <c r="G30" s="2443"/>
      <c r="H30" s="2443"/>
      <c r="I30" s="2443"/>
      <c r="J30" s="2443" t="s">
        <v>588</v>
      </c>
      <c r="K30" s="2443"/>
      <c r="L30" s="2443"/>
      <c r="M30" s="2443"/>
      <c r="N30" s="2443"/>
      <c r="O30" s="2443"/>
      <c r="P30" s="2443"/>
    </row>
    <row r="31" spans="1:16" ht="15" customHeight="1" x14ac:dyDescent="0.25">
      <c r="A31" s="1846"/>
      <c r="B31" s="2443" t="s">
        <v>6832</v>
      </c>
      <c r="C31" s="2443"/>
      <c r="D31" s="2443"/>
      <c r="E31" s="2443"/>
      <c r="F31" s="2443" t="s">
        <v>7764</v>
      </c>
      <c r="G31" s="2443"/>
      <c r="H31" s="2443"/>
      <c r="I31" s="2443"/>
      <c r="J31" s="2443" t="s">
        <v>588</v>
      </c>
      <c r="K31" s="2443"/>
      <c r="L31" s="2443"/>
      <c r="M31" s="2443"/>
      <c r="N31" s="2443"/>
      <c r="O31" s="2443"/>
      <c r="P31" s="2443"/>
    </row>
    <row r="32" spans="1:16" ht="15" customHeight="1" x14ac:dyDescent="0.25">
      <c r="A32" s="1846"/>
      <c r="B32" s="2443" t="s">
        <v>6830</v>
      </c>
      <c r="C32" s="2443"/>
      <c r="D32" s="2443"/>
      <c r="E32" s="2443"/>
      <c r="F32" s="2443" t="s">
        <v>7763</v>
      </c>
      <c r="G32" s="2443"/>
      <c r="H32" s="2443"/>
      <c r="I32" s="2443"/>
      <c r="J32" s="2443" t="s">
        <v>588</v>
      </c>
      <c r="K32" s="2443"/>
      <c r="L32" s="2443"/>
      <c r="M32" s="2443"/>
      <c r="N32" s="2443"/>
      <c r="O32" s="2443"/>
      <c r="P32" s="2443"/>
    </row>
    <row r="33" spans="1:16" ht="27.2" customHeight="1" x14ac:dyDescent="0.25">
      <c r="A33" s="1846"/>
      <c r="B33" s="2443" t="s">
        <v>6232</v>
      </c>
      <c r="C33" s="2443"/>
      <c r="D33" s="2443"/>
      <c r="E33" s="2443"/>
      <c r="F33" s="2443" t="s">
        <v>7762</v>
      </c>
      <c r="G33" s="2443"/>
      <c r="H33" s="2443"/>
      <c r="I33" s="2443"/>
      <c r="J33" s="2443" t="s">
        <v>588</v>
      </c>
      <c r="K33" s="2443"/>
      <c r="L33" s="2443"/>
      <c r="M33" s="2443"/>
      <c r="N33" s="2443"/>
      <c r="O33" s="2443"/>
      <c r="P33" s="2443"/>
    </row>
    <row r="34" spans="1:16" ht="27.2" customHeight="1" x14ac:dyDescent="0.25">
      <c r="A34" s="1846"/>
      <c r="B34" s="2443" t="s">
        <v>7240</v>
      </c>
      <c r="C34" s="2443"/>
      <c r="D34" s="2443"/>
      <c r="E34" s="2443"/>
      <c r="F34" s="2443" t="s">
        <v>7761</v>
      </c>
      <c r="G34" s="2443"/>
      <c r="H34" s="2443"/>
      <c r="I34" s="2443"/>
      <c r="J34" s="2443" t="s">
        <v>588</v>
      </c>
      <c r="K34" s="2443"/>
      <c r="L34" s="2443"/>
      <c r="M34" s="2443"/>
      <c r="N34" s="2443"/>
      <c r="O34" s="2443"/>
      <c r="P34" s="2443"/>
    </row>
    <row r="35" spans="1:16" ht="27.2" customHeight="1" x14ac:dyDescent="0.25">
      <c r="A35" s="1846"/>
      <c r="B35" s="2443" t="s">
        <v>7239</v>
      </c>
      <c r="C35" s="2443"/>
      <c r="D35" s="2443"/>
      <c r="E35" s="2443"/>
      <c r="F35" s="2443" t="s">
        <v>7760</v>
      </c>
      <c r="G35" s="2443"/>
      <c r="H35" s="2443"/>
      <c r="I35" s="2443"/>
      <c r="J35" s="2443" t="s">
        <v>588</v>
      </c>
      <c r="K35" s="2443"/>
      <c r="L35" s="2443"/>
      <c r="M35" s="2443"/>
      <c r="N35" s="2443"/>
      <c r="O35" s="2443"/>
      <c r="P35" s="2443"/>
    </row>
    <row r="36" spans="1:16" ht="27.2" customHeight="1" x14ac:dyDescent="0.25">
      <c r="A36" s="1846"/>
      <c r="B36" s="2443" t="s">
        <v>7238</v>
      </c>
      <c r="C36" s="2443"/>
      <c r="D36" s="2443"/>
      <c r="E36" s="2443"/>
      <c r="F36" s="2443" t="s">
        <v>7759</v>
      </c>
      <c r="G36" s="2443"/>
      <c r="H36" s="2443"/>
      <c r="I36" s="2443"/>
      <c r="J36" s="2443" t="s">
        <v>588</v>
      </c>
      <c r="K36" s="2443"/>
      <c r="L36" s="2443"/>
      <c r="M36" s="2443"/>
      <c r="N36" s="2443"/>
      <c r="O36" s="2443"/>
      <c r="P36" s="2443"/>
    </row>
    <row r="37" spans="1:16" ht="27.2" customHeight="1" x14ac:dyDescent="0.25">
      <c r="A37" s="1846"/>
      <c r="B37" s="2443" t="s">
        <v>7237</v>
      </c>
      <c r="C37" s="2443"/>
      <c r="D37" s="2443"/>
      <c r="E37" s="2443"/>
      <c r="F37" s="2443" t="s">
        <v>7758</v>
      </c>
      <c r="G37" s="2443"/>
      <c r="H37" s="2443"/>
      <c r="I37" s="2443"/>
      <c r="J37" s="2443" t="s">
        <v>588</v>
      </c>
      <c r="K37" s="2443"/>
      <c r="L37" s="2443"/>
      <c r="M37" s="2443"/>
      <c r="N37" s="2443"/>
      <c r="O37" s="2443"/>
      <c r="P37" s="2443"/>
    </row>
    <row r="38" spans="1:16" ht="27.2" customHeight="1" x14ac:dyDescent="0.25">
      <c r="A38" s="1846"/>
      <c r="B38" s="2443" t="s">
        <v>6955</v>
      </c>
      <c r="C38" s="2443"/>
      <c r="D38" s="2443"/>
      <c r="E38" s="2443"/>
      <c r="F38" s="2443" t="s">
        <v>7757</v>
      </c>
      <c r="G38" s="2443"/>
      <c r="H38" s="2443"/>
      <c r="I38" s="2443"/>
      <c r="J38" s="2443" t="s">
        <v>588</v>
      </c>
      <c r="K38" s="2443"/>
      <c r="L38" s="2443"/>
      <c r="M38" s="2443"/>
      <c r="N38" s="2443"/>
      <c r="O38" s="2443"/>
      <c r="P38" s="2443"/>
    </row>
    <row r="39" spans="1:16" ht="27.2" customHeight="1" x14ac:dyDescent="0.25">
      <c r="A39" s="1846"/>
      <c r="B39" s="2443" t="s">
        <v>7226</v>
      </c>
      <c r="C39" s="2443"/>
      <c r="D39" s="2443"/>
      <c r="E39" s="2443"/>
      <c r="F39" s="2443" t="s">
        <v>7756</v>
      </c>
      <c r="G39" s="2443"/>
      <c r="H39" s="2443"/>
      <c r="I39" s="2443"/>
      <c r="J39" s="2443" t="s">
        <v>588</v>
      </c>
      <c r="K39" s="2443"/>
      <c r="L39" s="2443"/>
      <c r="M39" s="2443"/>
      <c r="N39" s="2443"/>
      <c r="O39" s="2443"/>
      <c r="P39" s="2443"/>
    </row>
    <row r="40" spans="1:16" ht="27.2" customHeight="1" x14ac:dyDescent="0.25">
      <c r="A40" s="1846"/>
      <c r="B40" s="2443" t="s">
        <v>7236</v>
      </c>
      <c r="C40" s="2443"/>
      <c r="D40" s="2443"/>
      <c r="E40" s="2443"/>
      <c r="F40" s="2443" t="s">
        <v>7755</v>
      </c>
      <c r="G40" s="2443"/>
      <c r="H40" s="2443"/>
      <c r="I40" s="2443"/>
      <c r="J40" s="2443" t="s">
        <v>588</v>
      </c>
      <c r="K40" s="2443"/>
      <c r="L40" s="2443"/>
      <c r="M40" s="2443"/>
      <c r="N40" s="2443"/>
      <c r="O40" s="2443"/>
      <c r="P40" s="2443"/>
    </row>
    <row r="41" spans="1:16" ht="15" customHeight="1" x14ac:dyDescent="0.25">
      <c r="A41" s="1846"/>
      <c r="B41" s="2443" t="s">
        <v>6225</v>
      </c>
      <c r="C41" s="2443"/>
      <c r="D41" s="2443"/>
      <c r="E41" s="2443"/>
      <c r="F41" s="2443" t="s">
        <v>7754</v>
      </c>
      <c r="G41" s="2443"/>
      <c r="H41" s="2443"/>
      <c r="I41" s="2443"/>
      <c r="J41" s="2443" t="s">
        <v>588</v>
      </c>
      <c r="K41" s="2443"/>
      <c r="L41" s="2443"/>
      <c r="M41" s="2443"/>
      <c r="N41" s="2443"/>
      <c r="O41" s="2443"/>
      <c r="P41" s="2443"/>
    </row>
    <row r="42" spans="1:16" ht="15" customHeight="1" x14ac:dyDescent="0.25">
      <c r="A42" s="1846"/>
      <c r="B42" s="2443" t="s">
        <v>6995</v>
      </c>
      <c r="C42" s="2443"/>
      <c r="D42" s="2443"/>
      <c r="E42" s="2443"/>
      <c r="F42" s="2443" t="s">
        <v>7753</v>
      </c>
      <c r="G42" s="2443"/>
      <c r="H42" s="2443"/>
      <c r="I42" s="2443"/>
      <c r="J42" s="2443" t="s">
        <v>588</v>
      </c>
      <c r="K42" s="2443"/>
      <c r="L42" s="2443"/>
      <c r="M42" s="2443"/>
      <c r="N42" s="2443"/>
      <c r="O42" s="2443"/>
      <c r="P42" s="2443"/>
    </row>
    <row r="43" spans="1:16" ht="15" customHeight="1" x14ac:dyDescent="0.25">
      <c r="A43" s="1846"/>
      <c r="B43" s="2443" t="s">
        <v>7733</v>
      </c>
      <c r="C43" s="2443"/>
      <c r="D43" s="2443"/>
      <c r="E43" s="2443"/>
      <c r="F43" s="2443" t="s">
        <v>7752</v>
      </c>
      <c r="G43" s="2443"/>
      <c r="H43" s="2443"/>
      <c r="I43" s="2443"/>
      <c r="J43" s="2443" t="s">
        <v>588</v>
      </c>
      <c r="K43" s="2443"/>
      <c r="L43" s="2443"/>
      <c r="M43" s="2443"/>
      <c r="N43" s="2443"/>
      <c r="O43" s="2443"/>
      <c r="P43" s="2443"/>
    </row>
    <row r="44" spans="1:16" ht="15" customHeight="1" x14ac:dyDescent="0.25">
      <c r="A44" s="1846"/>
      <c r="B44" s="2443" t="s">
        <v>7731</v>
      </c>
      <c r="C44" s="2443"/>
      <c r="D44" s="2443"/>
      <c r="E44" s="2443"/>
      <c r="F44" s="2443" t="s">
        <v>7751</v>
      </c>
      <c r="G44" s="2443"/>
      <c r="H44" s="2443"/>
      <c r="I44" s="2443"/>
      <c r="J44" s="2443" t="s">
        <v>588</v>
      </c>
      <c r="K44" s="2443"/>
      <c r="L44" s="2443"/>
      <c r="M44" s="2443"/>
      <c r="N44" s="2443"/>
      <c r="O44" s="2443"/>
      <c r="P44" s="2443"/>
    </row>
    <row r="45" spans="1:16" ht="15" customHeight="1" x14ac:dyDescent="0.25">
      <c r="A45" s="2445" t="s">
        <v>7248</v>
      </c>
      <c r="B45" s="2445"/>
      <c r="C45" s="2445"/>
      <c r="D45" s="2445"/>
      <c r="E45" s="2445"/>
      <c r="F45" s="2445"/>
      <c r="G45" s="2445"/>
      <c r="H45" s="2445"/>
      <c r="I45" s="2445"/>
      <c r="J45" s="2445"/>
      <c r="K45" s="2445"/>
      <c r="L45" s="2445"/>
      <c r="M45" s="2445"/>
      <c r="N45" s="2445"/>
      <c r="O45" s="2445"/>
      <c r="P45" s="2445"/>
    </row>
    <row r="46" spans="1:16" ht="135.94999999999999" customHeight="1" x14ac:dyDescent="0.25">
      <c r="A46" s="1844" t="s">
        <v>192</v>
      </c>
      <c r="B46" s="2431" t="s">
        <v>7247</v>
      </c>
      <c r="C46" s="2432"/>
      <c r="D46" s="2432"/>
      <c r="E46" s="2432"/>
      <c r="F46" s="2432" t="s">
        <v>7246</v>
      </c>
      <c r="G46" s="2432"/>
      <c r="H46" s="2432"/>
      <c r="I46" s="2432"/>
      <c r="J46" s="2432" t="s">
        <v>7750</v>
      </c>
      <c r="K46" s="2432"/>
      <c r="L46" s="2432"/>
      <c r="M46" s="2558">
        <f>ROUND((320600 + 15335 * (0.4 * 75 + 0.6 * 49)) * 1 * 1.68 * 0.6 * 0.8 * (0.12) * 1.28095, 0)</f>
        <v>152650</v>
      </c>
      <c r="N46" s="2432"/>
      <c r="O46" s="2432" t="s">
        <v>7749</v>
      </c>
      <c r="P46" s="2432"/>
    </row>
    <row r="47" spans="1:16" ht="15" customHeight="1" x14ac:dyDescent="0.25">
      <c r="A47" s="1845"/>
      <c r="B47" s="2442" t="s">
        <v>4168</v>
      </c>
      <c r="C47" s="2442"/>
      <c r="D47" s="2442"/>
      <c r="E47" s="2442"/>
      <c r="F47" s="2442" t="s">
        <v>588</v>
      </c>
      <c r="G47" s="2442"/>
      <c r="H47" s="2442"/>
      <c r="I47" s="2442"/>
      <c r="J47" s="2442" t="s">
        <v>588</v>
      </c>
      <c r="K47" s="2442"/>
      <c r="L47" s="2442"/>
      <c r="M47" s="2442"/>
      <c r="N47" s="2442"/>
      <c r="O47" s="2442"/>
      <c r="P47" s="2442"/>
    </row>
    <row r="48" spans="1:16" ht="15" customHeight="1" x14ac:dyDescent="0.25">
      <c r="A48" s="1846"/>
      <c r="B48" s="2443" t="s">
        <v>7321</v>
      </c>
      <c r="C48" s="2443"/>
      <c r="D48" s="2443"/>
      <c r="E48" s="2443"/>
      <c r="F48" s="2443" t="s">
        <v>7320</v>
      </c>
      <c r="G48" s="2443"/>
      <c r="H48" s="2443"/>
      <c r="I48" s="2443"/>
      <c r="J48" s="2443" t="s">
        <v>588</v>
      </c>
      <c r="K48" s="2443"/>
      <c r="L48" s="2443"/>
      <c r="M48" s="2443"/>
      <c r="N48" s="2443"/>
      <c r="O48" s="2443"/>
      <c r="P48" s="2443"/>
    </row>
    <row r="49" spans="1:16" ht="40.9" customHeight="1" x14ac:dyDescent="0.25">
      <c r="A49" s="1846"/>
      <c r="B49" s="2443" t="s">
        <v>6447</v>
      </c>
      <c r="C49" s="2443"/>
      <c r="D49" s="2443"/>
      <c r="E49" s="2443"/>
      <c r="F49" s="2443" t="s">
        <v>6448</v>
      </c>
      <c r="G49" s="2443"/>
      <c r="H49" s="2443"/>
      <c r="I49" s="2443"/>
      <c r="J49" s="2443" t="s">
        <v>588</v>
      </c>
      <c r="K49" s="2443"/>
      <c r="L49" s="2443"/>
      <c r="M49" s="2443"/>
      <c r="N49" s="2443"/>
      <c r="O49" s="2443"/>
      <c r="P49" s="2443"/>
    </row>
    <row r="50" spans="1:16" ht="122.45" customHeight="1" x14ac:dyDescent="0.25">
      <c r="A50" s="1846"/>
      <c r="B50" s="2443" t="s">
        <v>7245</v>
      </c>
      <c r="C50" s="2443"/>
      <c r="D50" s="2443"/>
      <c r="E50" s="2443"/>
      <c r="F50" s="2443" t="s">
        <v>7244</v>
      </c>
      <c r="G50" s="2443"/>
      <c r="H50" s="2443"/>
      <c r="I50" s="2443"/>
      <c r="J50" s="2443" t="s">
        <v>588</v>
      </c>
      <c r="K50" s="2443"/>
      <c r="L50" s="2443"/>
      <c r="M50" s="2443"/>
      <c r="N50" s="2443"/>
      <c r="O50" s="2443"/>
      <c r="P50" s="2443"/>
    </row>
    <row r="51" spans="1:16" ht="81.599999999999994" customHeight="1" x14ac:dyDescent="0.25">
      <c r="A51" s="1846"/>
      <c r="B51" s="2443" t="s">
        <v>7230</v>
      </c>
      <c r="C51" s="2443"/>
      <c r="D51" s="2443"/>
      <c r="E51" s="2443"/>
      <c r="F51" s="2443" t="s">
        <v>7243</v>
      </c>
      <c r="G51" s="2443"/>
      <c r="H51" s="2443"/>
      <c r="I51" s="2443"/>
      <c r="J51" s="2443" t="s">
        <v>588</v>
      </c>
      <c r="K51" s="2443"/>
      <c r="L51" s="2443"/>
      <c r="M51" s="2443"/>
      <c r="N51" s="2443"/>
      <c r="O51" s="2443"/>
      <c r="P51" s="2443"/>
    </row>
    <row r="52" spans="1:16" ht="149.65" customHeight="1" x14ac:dyDescent="0.25">
      <c r="A52" s="1846"/>
      <c r="B52" s="2443" t="s">
        <v>6148</v>
      </c>
      <c r="C52" s="2443"/>
      <c r="D52" s="2443"/>
      <c r="E52" s="2443"/>
      <c r="F52" s="2443" t="s">
        <v>7242</v>
      </c>
      <c r="G52" s="2443"/>
      <c r="H52" s="2443"/>
      <c r="I52" s="2443"/>
      <c r="J52" s="2443" t="s">
        <v>588</v>
      </c>
      <c r="K52" s="2443"/>
      <c r="L52" s="2443"/>
      <c r="M52" s="2443"/>
      <c r="N52" s="2443"/>
      <c r="O52" s="2443"/>
      <c r="P52" s="2443"/>
    </row>
    <row r="53" spans="1:16" ht="122.45" customHeight="1" x14ac:dyDescent="0.25">
      <c r="A53" s="1845"/>
      <c r="B53" s="2442" t="s">
        <v>6150</v>
      </c>
      <c r="C53" s="2442"/>
      <c r="D53" s="2442"/>
      <c r="E53" s="2442"/>
      <c r="F53" s="2442" t="s">
        <v>588</v>
      </c>
      <c r="G53" s="2442"/>
      <c r="H53" s="2442"/>
      <c r="I53" s="2442"/>
      <c r="J53" s="2442" t="s">
        <v>7748</v>
      </c>
      <c r="K53" s="2442"/>
      <c r="L53" s="2442"/>
      <c r="M53" s="2442"/>
      <c r="N53" s="2442"/>
      <c r="O53" s="2442"/>
      <c r="P53" s="2442"/>
    </row>
    <row r="54" spans="1:16" x14ac:dyDescent="0.25">
      <c r="A54" s="1846"/>
      <c r="B54" s="2443" t="s">
        <v>6160</v>
      </c>
      <c r="C54" s="2443"/>
      <c r="D54" s="2443"/>
      <c r="E54" s="2443"/>
      <c r="F54" s="2443" t="s">
        <v>7747</v>
      </c>
      <c r="G54" s="2443"/>
      <c r="H54" s="2443"/>
      <c r="I54" s="2443"/>
      <c r="J54" s="2443" t="s">
        <v>588</v>
      </c>
      <c r="K54" s="2443"/>
      <c r="L54" s="2443"/>
      <c r="M54" s="2443"/>
      <c r="N54" s="2443"/>
      <c r="O54" s="2443"/>
      <c r="P54" s="2443"/>
    </row>
    <row r="55" spans="1:16" x14ac:dyDescent="0.25">
      <c r="A55" s="1846"/>
      <c r="B55" s="2443" t="s">
        <v>6199</v>
      </c>
      <c r="C55" s="2443"/>
      <c r="D55" s="2443"/>
      <c r="E55" s="2443"/>
      <c r="F55" s="2443" t="s">
        <v>7746</v>
      </c>
      <c r="G55" s="2443"/>
      <c r="H55" s="2443"/>
      <c r="I55" s="2443"/>
      <c r="J55" s="2443" t="s">
        <v>588</v>
      </c>
      <c r="K55" s="2443"/>
      <c r="L55" s="2443"/>
      <c r="M55" s="2443"/>
      <c r="N55" s="2443"/>
      <c r="O55" s="2443"/>
      <c r="P55" s="2443"/>
    </row>
    <row r="56" spans="1:16" x14ac:dyDescent="0.25">
      <c r="A56" s="1846"/>
      <c r="B56" s="2443" t="s">
        <v>6832</v>
      </c>
      <c r="C56" s="2443"/>
      <c r="D56" s="2443"/>
      <c r="E56" s="2443"/>
      <c r="F56" s="2443" t="s">
        <v>7745</v>
      </c>
      <c r="G56" s="2443"/>
      <c r="H56" s="2443"/>
      <c r="I56" s="2443"/>
      <c r="J56" s="2443" t="s">
        <v>588</v>
      </c>
      <c r="K56" s="2443"/>
      <c r="L56" s="2443"/>
      <c r="M56" s="2443"/>
      <c r="N56" s="2443"/>
      <c r="O56" s="2443"/>
      <c r="P56" s="2443"/>
    </row>
    <row r="57" spans="1:16" x14ac:dyDescent="0.25">
      <c r="A57" s="1846"/>
      <c r="B57" s="2443" t="s">
        <v>6830</v>
      </c>
      <c r="C57" s="2443"/>
      <c r="D57" s="2443"/>
      <c r="E57" s="2443"/>
      <c r="F57" s="2443" t="s">
        <v>7744</v>
      </c>
      <c r="G57" s="2443"/>
      <c r="H57" s="2443"/>
      <c r="I57" s="2443"/>
      <c r="J57" s="2443" t="s">
        <v>588</v>
      </c>
      <c r="K57" s="2443"/>
      <c r="L57" s="2443"/>
      <c r="M57" s="2443"/>
      <c r="N57" s="2443"/>
      <c r="O57" s="2443"/>
      <c r="P57" s="2443"/>
    </row>
    <row r="58" spans="1:16" ht="27.2" customHeight="1" x14ac:dyDescent="0.25">
      <c r="A58" s="1846"/>
      <c r="B58" s="2443" t="s">
        <v>6232</v>
      </c>
      <c r="C58" s="2443"/>
      <c r="D58" s="2443"/>
      <c r="E58" s="2443"/>
      <c r="F58" s="2443" t="s">
        <v>7743</v>
      </c>
      <c r="G58" s="2443"/>
      <c r="H58" s="2443"/>
      <c r="I58" s="2443"/>
      <c r="J58" s="2443" t="s">
        <v>588</v>
      </c>
      <c r="K58" s="2443"/>
      <c r="L58" s="2443"/>
      <c r="M58" s="2443"/>
      <c r="N58" s="2443"/>
      <c r="O58" s="2443"/>
      <c r="P58" s="2443"/>
    </row>
    <row r="59" spans="1:16" ht="27.2" customHeight="1" x14ac:dyDescent="0.25">
      <c r="A59" s="1846"/>
      <c r="B59" s="2443" t="s">
        <v>7240</v>
      </c>
      <c r="C59" s="2443"/>
      <c r="D59" s="2443"/>
      <c r="E59" s="2443"/>
      <c r="F59" s="2443" t="s">
        <v>7742</v>
      </c>
      <c r="G59" s="2443"/>
      <c r="H59" s="2443"/>
      <c r="I59" s="2443"/>
      <c r="J59" s="2443" t="s">
        <v>588</v>
      </c>
      <c r="K59" s="2443"/>
      <c r="L59" s="2443"/>
      <c r="M59" s="2443"/>
      <c r="N59" s="2443"/>
      <c r="O59" s="2443"/>
      <c r="P59" s="2443"/>
    </row>
    <row r="60" spans="1:16" ht="27.2" customHeight="1" x14ac:dyDescent="0.25">
      <c r="A60" s="1846"/>
      <c r="B60" s="2443" t="s">
        <v>7239</v>
      </c>
      <c r="C60" s="2443"/>
      <c r="D60" s="2443"/>
      <c r="E60" s="2443"/>
      <c r="F60" s="2443" t="s">
        <v>7741</v>
      </c>
      <c r="G60" s="2443"/>
      <c r="H60" s="2443"/>
      <c r="I60" s="2443"/>
      <c r="J60" s="2443" t="s">
        <v>588</v>
      </c>
      <c r="K60" s="2443"/>
      <c r="L60" s="2443"/>
      <c r="M60" s="2443"/>
      <c r="N60" s="2443"/>
      <c r="O60" s="2443"/>
      <c r="P60" s="2443"/>
    </row>
    <row r="61" spans="1:16" ht="27.2" customHeight="1" x14ac:dyDescent="0.25">
      <c r="A61" s="1846"/>
      <c r="B61" s="2443" t="s">
        <v>7238</v>
      </c>
      <c r="C61" s="2443"/>
      <c r="D61" s="2443"/>
      <c r="E61" s="2443"/>
      <c r="F61" s="2443" t="s">
        <v>7740</v>
      </c>
      <c r="G61" s="2443"/>
      <c r="H61" s="2443"/>
      <c r="I61" s="2443"/>
      <c r="J61" s="2443" t="s">
        <v>588</v>
      </c>
      <c r="K61" s="2443"/>
      <c r="L61" s="2443"/>
      <c r="M61" s="2443"/>
      <c r="N61" s="2443"/>
      <c r="O61" s="2443"/>
      <c r="P61" s="2443"/>
    </row>
    <row r="62" spans="1:16" ht="27.2" customHeight="1" x14ac:dyDescent="0.25">
      <c r="A62" s="1846"/>
      <c r="B62" s="2443" t="s">
        <v>7237</v>
      </c>
      <c r="C62" s="2443"/>
      <c r="D62" s="2443"/>
      <c r="E62" s="2443"/>
      <c r="F62" s="2443" t="s">
        <v>7739</v>
      </c>
      <c r="G62" s="2443"/>
      <c r="H62" s="2443"/>
      <c r="I62" s="2443"/>
      <c r="J62" s="2443" t="s">
        <v>588</v>
      </c>
      <c r="K62" s="2443"/>
      <c r="L62" s="2443"/>
      <c r="M62" s="2443"/>
      <c r="N62" s="2443"/>
      <c r="O62" s="2443"/>
      <c r="P62" s="2443"/>
    </row>
    <row r="63" spans="1:16" ht="27.2" customHeight="1" x14ac:dyDescent="0.25">
      <c r="A63" s="1846"/>
      <c r="B63" s="2443" t="s">
        <v>6955</v>
      </c>
      <c r="C63" s="2443"/>
      <c r="D63" s="2443"/>
      <c r="E63" s="2443"/>
      <c r="F63" s="2443" t="s">
        <v>7738</v>
      </c>
      <c r="G63" s="2443"/>
      <c r="H63" s="2443"/>
      <c r="I63" s="2443"/>
      <c r="J63" s="2443" t="s">
        <v>588</v>
      </c>
      <c r="K63" s="2443"/>
      <c r="L63" s="2443"/>
      <c r="M63" s="2443"/>
      <c r="N63" s="2443"/>
      <c r="O63" s="2443"/>
      <c r="P63" s="2443"/>
    </row>
    <row r="64" spans="1:16" ht="27.2" customHeight="1" x14ac:dyDescent="0.25">
      <c r="A64" s="1846"/>
      <c r="B64" s="2443" t="s">
        <v>7226</v>
      </c>
      <c r="C64" s="2443"/>
      <c r="D64" s="2443"/>
      <c r="E64" s="2443"/>
      <c r="F64" s="2443" t="s">
        <v>7737</v>
      </c>
      <c r="G64" s="2443"/>
      <c r="H64" s="2443"/>
      <c r="I64" s="2443"/>
      <c r="J64" s="2443" t="s">
        <v>588</v>
      </c>
      <c r="K64" s="2443"/>
      <c r="L64" s="2443"/>
      <c r="M64" s="2443"/>
      <c r="N64" s="2443"/>
      <c r="O64" s="2443"/>
      <c r="P64" s="2443"/>
    </row>
    <row r="65" spans="1:16" ht="27.2" customHeight="1" x14ac:dyDescent="0.25">
      <c r="A65" s="1846"/>
      <c r="B65" s="2443" t="s">
        <v>7236</v>
      </c>
      <c r="C65" s="2443"/>
      <c r="D65" s="2443"/>
      <c r="E65" s="2443"/>
      <c r="F65" s="2443" t="s">
        <v>7736</v>
      </c>
      <c r="G65" s="2443"/>
      <c r="H65" s="2443"/>
      <c r="I65" s="2443"/>
      <c r="J65" s="2443" t="s">
        <v>588</v>
      </c>
      <c r="K65" s="2443"/>
      <c r="L65" s="2443"/>
      <c r="M65" s="2443"/>
      <c r="N65" s="2443"/>
      <c r="O65" s="2443"/>
      <c r="P65" s="2443"/>
    </row>
    <row r="66" spans="1:16" x14ac:dyDescent="0.25">
      <c r="A66" s="1846"/>
      <c r="B66" s="2443" t="s">
        <v>6225</v>
      </c>
      <c r="C66" s="2443"/>
      <c r="D66" s="2443"/>
      <c r="E66" s="2443"/>
      <c r="F66" s="2443" t="s">
        <v>7735</v>
      </c>
      <c r="G66" s="2443"/>
      <c r="H66" s="2443"/>
      <c r="I66" s="2443"/>
      <c r="J66" s="2443" t="s">
        <v>588</v>
      </c>
      <c r="K66" s="2443"/>
      <c r="L66" s="2443"/>
      <c r="M66" s="2443"/>
      <c r="N66" s="2443"/>
      <c r="O66" s="2443"/>
      <c r="P66" s="2443"/>
    </row>
    <row r="67" spans="1:16" x14ac:dyDescent="0.25">
      <c r="A67" s="1846"/>
      <c r="B67" s="2443" t="s">
        <v>6995</v>
      </c>
      <c r="C67" s="2443"/>
      <c r="D67" s="2443"/>
      <c r="E67" s="2443"/>
      <c r="F67" s="2443" t="s">
        <v>7734</v>
      </c>
      <c r="G67" s="2443"/>
      <c r="H67" s="2443"/>
      <c r="I67" s="2443"/>
      <c r="J67" s="2443" t="s">
        <v>588</v>
      </c>
      <c r="K67" s="2443"/>
      <c r="L67" s="2443"/>
      <c r="M67" s="2443"/>
      <c r="N67" s="2443"/>
      <c r="O67" s="2443"/>
      <c r="P67" s="2443"/>
    </row>
    <row r="68" spans="1:16" x14ac:dyDescent="0.25">
      <c r="A68" s="1846"/>
      <c r="B68" s="2443" t="s">
        <v>7733</v>
      </c>
      <c r="C68" s="2443"/>
      <c r="D68" s="2443"/>
      <c r="E68" s="2443"/>
      <c r="F68" s="2443" t="s">
        <v>7732</v>
      </c>
      <c r="G68" s="2443"/>
      <c r="H68" s="2443"/>
      <c r="I68" s="2443"/>
      <c r="J68" s="2443" t="s">
        <v>588</v>
      </c>
      <c r="K68" s="2443"/>
      <c r="L68" s="2443"/>
      <c r="M68" s="2443"/>
      <c r="N68" s="2443"/>
      <c r="O68" s="2443"/>
      <c r="P68" s="2443"/>
    </row>
    <row r="69" spans="1:16" x14ac:dyDescent="0.25">
      <c r="A69" s="1846"/>
      <c r="B69" s="2443" t="s">
        <v>7731</v>
      </c>
      <c r="C69" s="2443"/>
      <c r="D69" s="2443"/>
      <c r="E69" s="2443"/>
      <c r="F69" s="2443" t="s">
        <v>7730</v>
      </c>
      <c r="G69" s="2443"/>
      <c r="H69" s="2443"/>
      <c r="I69" s="2443"/>
      <c r="J69" s="2443" t="s">
        <v>588</v>
      </c>
      <c r="K69" s="2443"/>
      <c r="L69" s="2443"/>
      <c r="M69" s="2443"/>
      <c r="N69" s="2443"/>
      <c r="O69" s="2443"/>
      <c r="P69" s="2443"/>
    </row>
    <row r="70" spans="1:16" ht="122.45" customHeight="1" x14ac:dyDescent="0.25">
      <c r="A70" s="1844" t="s">
        <v>435</v>
      </c>
      <c r="B70" s="2431" t="s">
        <v>7232</v>
      </c>
      <c r="C70" s="2432"/>
      <c r="D70" s="2432"/>
      <c r="E70" s="2432"/>
      <c r="F70" s="2432" t="s">
        <v>7231</v>
      </c>
      <c r="G70" s="2432"/>
      <c r="H70" s="2432"/>
      <c r="I70" s="2432"/>
      <c r="J70" s="2432" t="s">
        <v>7729</v>
      </c>
      <c r="K70" s="2432"/>
      <c r="L70" s="2432"/>
      <c r="M70" s="2558">
        <f>ROUND((62200 + 4139 * 38) * 1 * 1.53 * 0.6 * (0.12) * 1.3, 0)</f>
        <v>31432</v>
      </c>
      <c r="N70" s="2432"/>
      <c r="O70" s="2432" t="s">
        <v>7728</v>
      </c>
      <c r="P70" s="2432"/>
    </row>
    <row r="71" spans="1:16" x14ac:dyDescent="0.25">
      <c r="A71" s="1845"/>
      <c r="B71" s="2442" t="s">
        <v>4168</v>
      </c>
      <c r="C71" s="2442"/>
      <c r="D71" s="2442"/>
      <c r="E71" s="2442"/>
      <c r="F71" s="2442" t="s">
        <v>588</v>
      </c>
      <c r="G71" s="2442"/>
      <c r="H71" s="2442"/>
      <c r="I71" s="2442"/>
      <c r="J71" s="2442" t="s">
        <v>588</v>
      </c>
      <c r="K71" s="2442"/>
      <c r="L71" s="2442"/>
      <c r="M71" s="2442"/>
      <c r="N71" s="2442"/>
      <c r="O71" s="2442"/>
      <c r="P71" s="2442"/>
    </row>
    <row r="72" spans="1:16" x14ac:dyDescent="0.25">
      <c r="A72" s="1846"/>
      <c r="B72" s="2443" t="s">
        <v>7321</v>
      </c>
      <c r="C72" s="2443"/>
      <c r="D72" s="2443"/>
      <c r="E72" s="2443"/>
      <c r="F72" s="2443" t="s">
        <v>7320</v>
      </c>
      <c r="G72" s="2443"/>
      <c r="H72" s="2443"/>
      <c r="I72" s="2443"/>
      <c r="J72" s="2443" t="s">
        <v>588</v>
      </c>
      <c r="K72" s="2443"/>
      <c r="L72" s="2443"/>
      <c r="M72" s="2443"/>
      <c r="N72" s="2443"/>
      <c r="O72" s="2443"/>
      <c r="P72" s="2443"/>
    </row>
    <row r="73" spans="1:16" ht="40.9" customHeight="1" x14ac:dyDescent="0.25">
      <c r="A73" s="1846"/>
      <c r="B73" s="2443" t="s">
        <v>6401</v>
      </c>
      <c r="C73" s="2443"/>
      <c r="D73" s="2443"/>
      <c r="E73" s="2443"/>
      <c r="F73" s="2443" t="s">
        <v>6402</v>
      </c>
      <c r="G73" s="2443"/>
      <c r="H73" s="2443"/>
      <c r="I73" s="2443"/>
      <c r="J73" s="2443" t="s">
        <v>588</v>
      </c>
      <c r="K73" s="2443"/>
      <c r="L73" s="2443"/>
      <c r="M73" s="2443"/>
      <c r="N73" s="2443"/>
      <c r="O73" s="2443"/>
      <c r="P73" s="2443"/>
    </row>
    <row r="74" spans="1:16" ht="81.599999999999994" customHeight="1" x14ac:dyDescent="0.25">
      <c r="A74" s="1846"/>
      <c r="B74" s="2443" t="s">
        <v>7230</v>
      </c>
      <c r="C74" s="2443"/>
      <c r="D74" s="2443"/>
      <c r="E74" s="2443"/>
      <c r="F74" s="2443" t="s">
        <v>7229</v>
      </c>
      <c r="G74" s="2443"/>
      <c r="H74" s="2443"/>
      <c r="I74" s="2443"/>
      <c r="J74" s="2443" t="s">
        <v>588</v>
      </c>
      <c r="K74" s="2443"/>
      <c r="L74" s="2443"/>
      <c r="M74" s="2443"/>
      <c r="N74" s="2443"/>
      <c r="O74" s="2443"/>
      <c r="P74" s="2443"/>
    </row>
    <row r="75" spans="1:16" ht="149.65" customHeight="1" x14ac:dyDescent="0.25">
      <c r="A75" s="1846"/>
      <c r="B75" s="2443" t="s">
        <v>6148</v>
      </c>
      <c r="C75" s="2443"/>
      <c r="D75" s="2443"/>
      <c r="E75" s="2443"/>
      <c r="F75" s="2443" t="s">
        <v>7727</v>
      </c>
      <c r="G75" s="2443"/>
      <c r="H75" s="2443"/>
      <c r="I75" s="2443"/>
      <c r="J75" s="2443" t="s">
        <v>588</v>
      </c>
      <c r="K75" s="2443"/>
      <c r="L75" s="2443"/>
      <c r="M75" s="2443"/>
      <c r="N75" s="2443"/>
      <c r="O75" s="2443"/>
      <c r="P75" s="2443"/>
    </row>
    <row r="76" spans="1:16" ht="108.75" customHeight="1" x14ac:dyDescent="0.25">
      <c r="A76" s="1845"/>
      <c r="B76" s="2442" t="s">
        <v>6150</v>
      </c>
      <c r="C76" s="2442"/>
      <c r="D76" s="2442"/>
      <c r="E76" s="2442"/>
      <c r="F76" s="2442" t="s">
        <v>588</v>
      </c>
      <c r="G76" s="2442"/>
      <c r="H76" s="2442"/>
      <c r="I76" s="2442"/>
      <c r="J76" s="2442" t="s">
        <v>7726</v>
      </c>
      <c r="K76" s="2442"/>
      <c r="L76" s="2442"/>
      <c r="M76" s="2442"/>
      <c r="N76" s="2442"/>
      <c r="O76" s="2442"/>
      <c r="P76" s="2442"/>
    </row>
    <row r="77" spans="1:16" x14ac:dyDescent="0.25">
      <c r="A77" s="1846"/>
      <c r="B77" s="2443" t="s">
        <v>7346</v>
      </c>
      <c r="C77" s="2443"/>
      <c r="D77" s="2443"/>
      <c r="E77" s="2443"/>
      <c r="F77" s="2443" t="s">
        <v>7725</v>
      </c>
      <c r="G77" s="2443"/>
      <c r="H77" s="2443"/>
      <c r="I77" s="2443"/>
      <c r="J77" s="2443" t="s">
        <v>588</v>
      </c>
      <c r="K77" s="2443"/>
      <c r="L77" s="2443"/>
      <c r="M77" s="2443"/>
      <c r="N77" s="2443"/>
      <c r="O77" s="2443"/>
      <c r="P77" s="2443"/>
    </row>
    <row r="78" spans="1:16" ht="27.2" customHeight="1" x14ac:dyDescent="0.25">
      <c r="A78" s="1846"/>
      <c r="B78" s="2443" t="s">
        <v>7629</v>
      </c>
      <c r="C78" s="2443"/>
      <c r="D78" s="2443"/>
      <c r="E78" s="2443"/>
      <c r="F78" s="2443" t="s">
        <v>7724</v>
      </c>
      <c r="G78" s="2443"/>
      <c r="H78" s="2443"/>
      <c r="I78" s="2443"/>
      <c r="J78" s="2443" t="s">
        <v>588</v>
      </c>
      <c r="K78" s="2443"/>
      <c r="L78" s="2443"/>
      <c r="M78" s="2443"/>
      <c r="N78" s="2443"/>
      <c r="O78" s="2443"/>
      <c r="P78" s="2443"/>
    </row>
    <row r="79" spans="1:16" ht="27.2" customHeight="1" x14ac:dyDescent="0.25">
      <c r="A79" s="1846"/>
      <c r="B79" s="2443" t="s">
        <v>7627</v>
      </c>
      <c r="C79" s="2443"/>
      <c r="D79" s="2443"/>
      <c r="E79" s="2443"/>
      <c r="F79" s="2443" t="s">
        <v>7723</v>
      </c>
      <c r="G79" s="2443"/>
      <c r="H79" s="2443"/>
      <c r="I79" s="2443"/>
      <c r="J79" s="2443" t="s">
        <v>588</v>
      </c>
      <c r="K79" s="2443"/>
      <c r="L79" s="2443"/>
      <c r="M79" s="2443"/>
      <c r="N79" s="2443"/>
      <c r="O79" s="2443"/>
      <c r="P79" s="2443"/>
    </row>
    <row r="80" spans="1:16" ht="27.2" customHeight="1" x14ac:dyDescent="0.25">
      <c r="A80" s="1846"/>
      <c r="B80" s="2443" t="s">
        <v>7625</v>
      </c>
      <c r="C80" s="2443"/>
      <c r="D80" s="2443"/>
      <c r="E80" s="2443"/>
      <c r="F80" s="2443" t="s">
        <v>7722</v>
      </c>
      <c r="G80" s="2443"/>
      <c r="H80" s="2443"/>
      <c r="I80" s="2443"/>
      <c r="J80" s="2443" t="s">
        <v>588</v>
      </c>
      <c r="K80" s="2443"/>
      <c r="L80" s="2443"/>
      <c r="M80" s="2443"/>
      <c r="N80" s="2443"/>
      <c r="O80" s="2443"/>
      <c r="P80" s="2443"/>
    </row>
    <row r="81" spans="1:16" x14ac:dyDescent="0.25">
      <c r="A81" s="1846"/>
      <c r="B81" s="2443" t="s">
        <v>7427</v>
      </c>
      <c r="C81" s="2443"/>
      <c r="D81" s="2443"/>
      <c r="E81" s="2443"/>
      <c r="F81" s="2443" t="s">
        <v>7721</v>
      </c>
      <c r="G81" s="2443"/>
      <c r="H81" s="2443"/>
      <c r="I81" s="2443"/>
      <c r="J81" s="2443" t="s">
        <v>588</v>
      </c>
      <c r="K81" s="2443"/>
      <c r="L81" s="2443"/>
      <c r="M81" s="2443"/>
      <c r="N81" s="2443"/>
      <c r="O81" s="2443"/>
      <c r="P81" s="2443"/>
    </row>
    <row r="82" spans="1:16" x14ac:dyDescent="0.25">
      <c r="A82" s="1846"/>
      <c r="B82" s="2443" t="s">
        <v>7425</v>
      </c>
      <c r="C82" s="2443"/>
      <c r="D82" s="2443"/>
      <c r="E82" s="2443"/>
      <c r="F82" s="2443" t="s">
        <v>7720</v>
      </c>
      <c r="G82" s="2443"/>
      <c r="H82" s="2443"/>
      <c r="I82" s="2443"/>
      <c r="J82" s="2443" t="s">
        <v>588</v>
      </c>
      <c r="K82" s="2443"/>
      <c r="L82" s="2443"/>
      <c r="M82" s="2443"/>
      <c r="N82" s="2443"/>
      <c r="O82" s="2443"/>
      <c r="P82" s="2443"/>
    </row>
    <row r="83" spans="1:16" x14ac:dyDescent="0.25">
      <c r="A83" s="1846"/>
      <c r="B83" s="2443" t="s">
        <v>7621</v>
      </c>
      <c r="C83" s="2443"/>
      <c r="D83" s="2443"/>
      <c r="E83" s="2443"/>
      <c r="F83" s="2443" t="s">
        <v>7719</v>
      </c>
      <c r="G83" s="2443"/>
      <c r="H83" s="2443"/>
      <c r="I83" s="2443"/>
      <c r="J83" s="2443" t="s">
        <v>588</v>
      </c>
      <c r="K83" s="2443"/>
      <c r="L83" s="2443"/>
      <c r="M83" s="2443"/>
      <c r="N83" s="2443"/>
      <c r="O83" s="2443"/>
      <c r="P83" s="2443"/>
    </row>
    <row r="84" spans="1:16" ht="27.2" customHeight="1" x14ac:dyDescent="0.25">
      <c r="A84" s="1846"/>
      <c r="B84" s="2443" t="s">
        <v>6868</v>
      </c>
      <c r="C84" s="2443"/>
      <c r="D84" s="2443"/>
      <c r="E84" s="2443"/>
      <c r="F84" s="2443" t="s">
        <v>7716</v>
      </c>
      <c r="G84" s="2443"/>
      <c r="H84" s="2443"/>
      <c r="I84" s="2443"/>
      <c r="J84" s="2443" t="s">
        <v>588</v>
      </c>
      <c r="K84" s="2443"/>
      <c r="L84" s="2443"/>
      <c r="M84" s="2443"/>
      <c r="N84" s="2443"/>
      <c r="O84" s="2443"/>
      <c r="P84" s="2443"/>
    </row>
    <row r="85" spans="1:16" ht="27.2" customHeight="1" x14ac:dyDescent="0.25">
      <c r="A85" s="1846"/>
      <c r="B85" s="2443" t="s">
        <v>7464</v>
      </c>
      <c r="C85" s="2443"/>
      <c r="D85" s="2443"/>
      <c r="E85" s="2443"/>
      <c r="F85" s="2443" t="s">
        <v>7716</v>
      </c>
      <c r="G85" s="2443"/>
      <c r="H85" s="2443"/>
      <c r="I85" s="2443"/>
      <c r="J85" s="2443" t="s">
        <v>588</v>
      </c>
      <c r="K85" s="2443"/>
      <c r="L85" s="2443"/>
      <c r="M85" s="2443"/>
      <c r="N85" s="2443"/>
      <c r="O85" s="2443"/>
      <c r="P85" s="2443"/>
    </row>
    <row r="86" spans="1:16" x14ac:dyDescent="0.25">
      <c r="A86" s="1846"/>
      <c r="B86" s="2443" t="s">
        <v>7420</v>
      </c>
      <c r="C86" s="2443"/>
      <c r="D86" s="2443"/>
      <c r="E86" s="2443"/>
      <c r="F86" s="2443" t="s">
        <v>7717</v>
      </c>
      <c r="G86" s="2443"/>
      <c r="H86" s="2443"/>
      <c r="I86" s="2443"/>
      <c r="J86" s="2443" t="s">
        <v>588</v>
      </c>
      <c r="K86" s="2443"/>
      <c r="L86" s="2443"/>
      <c r="M86" s="2443"/>
      <c r="N86" s="2443"/>
      <c r="O86" s="2443"/>
      <c r="P86" s="2443"/>
    </row>
    <row r="87" spans="1:16" x14ac:dyDescent="0.25">
      <c r="A87" s="1846"/>
      <c r="B87" s="2443" t="s">
        <v>7718</v>
      </c>
      <c r="C87" s="2443"/>
      <c r="D87" s="2443"/>
      <c r="E87" s="2443"/>
      <c r="F87" s="2443" t="s">
        <v>7717</v>
      </c>
      <c r="G87" s="2443"/>
      <c r="H87" s="2443"/>
      <c r="I87" s="2443"/>
      <c r="J87" s="2443" t="s">
        <v>588</v>
      </c>
      <c r="K87" s="2443"/>
      <c r="L87" s="2443"/>
      <c r="M87" s="2443"/>
      <c r="N87" s="2443"/>
      <c r="O87" s="2443"/>
      <c r="P87" s="2443"/>
    </row>
    <row r="88" spans="1:16" ht="27.2" customHeight="1" x14ac:dyDescent="0.25">
      <c r="A88" s="1846"/>
      <c r="B88" s="2443" t="s">
        <v>7417</v>
      </c>
      <c r="C88" s="2443"/>
      <c r="D88" s="2443"/>
      <c r="E88" s="2443"/>
      <c r="F88" s="2443" t="s">
        <v>7716</v>
      </c>
      <c r="G88" s="2443"/>
      <c r="H88" s="2443"/>
      <c r="I88" s="2443"/>
      <c r="J88" s="2443" t="s">
        <v>588</v>
      </c>
      <c r="K88" s="2443"/>
      <c r="L88" s="2443"/>
      <c r="M88" s="2443"/>
      <c r="N88" s="2443"/>
      <c r="O88" s="2443"/>
      <c r="P88" s="2443"/>
    </row>
    <row r="89" spans="1:16" ht="27.2" customHeight="1" x14ac:dyDescent="0.25">
      <c r="A89" s="1846"/>
      <c r="B89" s="2443" t="s">
        <v>7715</v>
      </c>
      <c r="C89" s="2443"/>
      <c r="D89" s="2443"/>
      <c r="E89" s="2443"/>
      <c r="F89" s="2443" t="s">
        <v>7714</v>
      </c>
      <c r="G89" s="2443"/>
      <c r="H89" s="2443"/>
      <c r="I89" s="2443"/>
      <c r="J89" s="2443" t="s">
        <v>588</v>
      </c>
      <c r="K89" s="2443"/>
      <c r="L89" s="2443"/>
      <c r="M89" s="2443"/>
      <c r="N89" s="2443"/>
      <c r="O89" s="2443"/>
      <c r="P89" s="2443"/>
    </row>
    <row r="90" spans="1:16" x14ac:dyDescent="0.25">
      <c r="A90" s="1846"/>
      <c r="B90" s="2443" t="s">
        <v>7413</v>
      </c>
      <c r="C90" s="2443"/>
      <c r="D90" s="2443"/>
      <c r="E90" s="2443"/>
      <c r="F90" s="2443" t="s">
        <v>7713</v>
      </c>
      <c r="G90" s="2443"/>
      <c r="H90" s="2443"/>
      <c r="I90" s="2443"/>
      <c r="J90" s="2443" t="s">
        <v>588</v>
      </c>
      <c r="K90" s="2443"/>
      <c r="L90" s="2443"/>
      <c r="M90" s="2443"/>
      <c r="N90" s="2443"/>
      <c r="O90" s="2443"/>
      <c r="P90" s="2443"/>
    </row>
    <row r="91" spans="1:16" ht="27.2" customHeight="1" x14ac:dyDescent="0.25">
      <c r="A91" s="1846"/>
      <c r="B91" s="2443" t="s">
        <v>7712</v>
      </c>
      <c r="C91" s="2443"/>
      <c r="D91" s="2443"/>
      <c r="E91" s="2443"/>
      <c r="F91" s="2443" t="s">
        <v>7711</v>
      </c>
      <c r="G91" s="2443"/>
      <c r="H91" s="2443"/>
      <c r="I91" s="2443"/>
      <c r="J91" s="2443" t="s">
        <v>588</v>
      </c>
      <c r="K91" s="2443"/>
      <c r="L91" s="2443"/>
      <c r="M91" s="2443"/>
      <c r="N91" s="2443"/>
      <c r="O91" s="2443"/>
      <c r="P91" s="2443"/>
    </row>
    <row r="92" spans="1:16" ht="27.2" customHeight="1" x14ac:dyDescent="0.25">
      <c r="A92" s="1848" t="s">
        <v>437</v>
      </c>
      <c r="B92" s="2441" t="s">
        <v>7222</v>
      </c>
      <c r="C92" s="2441"/>
      <c r="D92" s="2441"/>
      <c r="E92" s="2441"/>
      <c r="F92" s="2441"/>
      <c r="G92" s="2441"/>
      <c r="H92" s="2441"/>
      <c r="I92" s="2441"/>
      <c r="J92" s="2441" t="s">
        <v>588</v>
      </c>
      <c r="K92" s="2441"/>
      <c r="L92" s="2441"/>
      <c r="M92" s="2559">
        <f>ROUND(SUM($M$20:$M$70),0)</f>
        <v>2128801</v>
      </c>
      <c r="N92" s="2441"/>
      <c r="O92" s="2441"/>
      <c r="P92" s="2441"/>
    </row>
    <row r="93" spans="1:16" ht="27.2" customHeight="1" x14ac:dyDescent="0.25">
      <c r="A93" s="1848" t="s">
        <v>440</v>
      </c>
      <c r="B93" s="2441" t="s">
        <v>7221</v>
      </c>
      <c r="C93" s="2441"/>
      <c r="D93" s="2441"/>
      <c r="E93" s="2441"/>
      <c r="F93" s="2441"/>
      <c r="G93" s="2441"/>
      <c r="H93" s="2441"/>
      <c r="I93" s="2441"/>
      <c r="J93" s="2441" t="s">
        <v>588</v>
      </c>
      <c r="K93" s="2441"/>
      <c r="L93" s="2441"/>
      <c r="M93" s="2559">
        <f>ROUND(($M$92),0)</f>
        <v>2128801</v>
      </c>
      <c r="N93" s="2441"/>
      <c r="O93" s="2441"/>
      <c r="P93" s="2441"/>
    </row>
    <row r="94" spans="1:16" x14ac:dyDescent="0.25">
      <c r="A94" s="1848" t="s">
        <v>639</v>
      </c>
      <c r="B94" s="2441" t="s">
        <v>6145</v>
      </c>
      <c r="C94" s="2441"/>
      <c r="D94" s="2441"/>
      <c r="E94" s="2441"/>
      <c r="F94" s="2441" t="s">
        <v>5963</v>
      </c>
      <c r="G94" s="2441"/>
      <c r="H94" s="2441"/>
      <c r="I94" s="2441"/>
      <c r="J94" s="2441"/>
      <c r="K94" s="2441"/>
      <c r="L94" s="2441"/>
      <c r="M94" s="2441"/>
      <c r="N94" s="2441"/>
      <c r="O94" s="2441"/>
      <c r="P94" s="2441"/>
    </row>
    <row r="95" spans="1:16" ht="108.75" customHeight="1" x14ac:dyDescent="0.25">
      <c r="A95" s="1844" t="s">
        <v>197</v>
      </c>
      <c r="B95" s="2431" t="s">
        <v>6146</v>
      </c>
      <c r="C95" s="2432"/>
      <c r="D95" s="2432"/>
      <c r="E95" s="2432"/>
      <c r="F95" s="2432" t="s">
        <v>7220</v>
      </c>
      <c r="G95" s="2432"/>
      <c r="H95" s="2432"/>
      <c r="I95" s="2432"/>
      <c r="J95" s="2432" t="s">
        <v>7710</v>
      </c>
      <c r="K95" s="2432"/>
      <c r="L95" s="2432"/>
      <c r="M95" s="2558">
        <f>ROUND((5610 + 240 * 40) * 1 * 7.1 * 0.66 * 1.3, 0)</f>
        <v>92656</v>
      </c>
      <c r="N95" s="2432"/>
      <c r="O95" s="2432" t="s">
        <v>588</v>
      </c>
      <c r="P95" s="2432"/>
    </row>
    <row r="96" spans="1:16" x14ac:dyDescent="0.25">
      <c r="A96" s="1845"/>
      <c r="B96" s="2442" t="s">
        <v>4168</v>
      </c>
      <c r="C96" s="2442"/>
      <c r="D96" s="2442"/>
      <c r="E96" s="2442"/>
      <c r="F96" s="2442" t="s">
        <v>588</v>
      </c>
      <c r="G96" s="2442"/>
      <c r="H96" s="2442"/>
      <c r="I96" s="2442"/>
      <c r="J96" s="2442" t="s">
        <v>588</v>
      </c>
      <c r="K96" s="2442"/>
      <c r="L96" s="2442"/>
      <c r="M96" s="2442"/>
      <c r="N96" s="2442"/>
      <c r="O96" s="2442"/>
      <c r="P96" s="2442"/>
    </row>
    <row r="97" spans="1:16" x14ac:dyDescent="0.25">
      <c r="A97" s="1846"/>
      <c r="B97" s="2443" t="s">
        <v>7321</v>
      </c>
      <c r="C97" s="2443"/>
      <c r="D97" s="2443"/>
      <c r="E97" s="2443"/>
      <c r="F97" s="2443" t="s">
        <v>7709</v>
      </c>
      <c r="G97" s="2443"/>
      <c r="H97" s="2443"/>
      <c r="I97" s="2443"/>
      <c r="J97" s="2443" t="s">
        <v>588</v>
      </c>
      <c r="K97" s="2443"/>
      <c r="L97" s="2443"/>
      <c r="M97" s="2443"/>
      <c r="N97" s="2443"/>
      <c r="O97" s="2443"/>
      <c r="P97" s="2443"/>
    </row>
    <row r="98" spans="1:16" ht="40.9" customHeight="1" x14ac:dyDescent="0.25">
      <c r="A98" s="1846"/>
      <c r="B98" s="2443" t="s">
        <v>6397</v>
      </c>
      <c r="C98" s="2443"/>
      <c r="D98" s="2443"/>
      <c r="E98" s="2443"/>
      <c r="F98" s="2443" t="s">
        <v>6398</v>
      </c>
      <c r="G98" s="2443"/>
      <c r="H98" s="2443"/>
      <c r="I98" s="2443"/>
      <c r="J98" s="2443" t="s">
        <v>588</v>
      </c>
      <c r="K98" s="2443"/>
      <c r="L98" s="2443"/>
      <c r="M98" s="2443"/>
      <c r="N98" s="2443"/>
      <c r="O98" s="2443"/>
      <c r="P98" s="2443"/>
    </row>
    <row r="99" spans="1:16" ht="149.65" customHeight="1" x14ac:dyDescent="0.25">
      <c r="A99" s="1846"/>
      <c r="B99" s="2443" t="s">
        <v>6148</v>
      </c>
      <c r="C99" s="2443"/>
      <c r="D99" s="2443"/>
      <c r="E99" s="2443"/>
      <c r="F99" s="2443" t="s">
        <v>6149</v>
      </c>
      <c r="G99" s="2443"/>
      <c r="H99" s="2443"/>
      <c r="I99" s="2443"/>
      <c r="J99" s="2443" t="s">
        <v>588</v>
      </c>
      <c r="K99" s="2443"/>
      <c r="L99" s="2443"/>
      <c r="M99" s="2443"/>
      <c r="N99" s="2443"/>
      <c r="O99" s="2443"/>
      <c r="P99" s="2443"/>
    </row>
    <row r="100" spans="1:16" ht="27.2" customHeight="1" x14ac:dyDescent="0.25">
      <c r="A100" s="1845"/>
      <c r="B100" s="2442" t="s">
        <v>6150</v>
      </c>
      <c r="C100" s="2442"/>
      <c r="D100" s="2442"/>
      <c r="E100" s="2442"/>
      <c r="F100" s="2442" t="s">
        <v>588</v>
      </c>
      <c r="G100" s="2442"/>
      <c r="H100" s="2442"/>
      <c r="I100" s="2442"/>
      <c r="J100" s="2442" t="s">
        <v>7708</v>
      </c>
      <c r="K100" s="2442"/>
      <c r="L100" s="2442"/>
      <c r="M100" s="2442"/>
      <c r="N100" s="2442"/>
      <c r="O100" s="2442"/>
      <c r="P100" s="2442"/>
    </row>
    <row r="101" spans="1:16" x14ac:dyDescent="0.25">
      <c r="A101" s="1846"/>
      <c r="B101" s="2443" t="s">
        <v>6151</v>
      </c>
      <c r="C101" s="2443"/>
      <c r="D101" s="2443"/>
      <c r="E101" s="2443"/>
      <c r="F101" s="2443" t="s">
        <v>7707</v>
      </c>
      <c r="G101" s="2443"/>
      <c r="H101" s="2443"/>
      <c r="I101" s="2443"/>
      <c r="J101" s="2443" t="s">
        <v>588</v>
      </c>
      <c r="K101" s="2443"/>
      <c r="L101" s="2443"/>
      <c r="M101" s="2443"/>
      <c r="N101" s="2443"/>
      <c r="O101" s="2443"/>
      <c r="P101" s="2443"/>
    </row>
    <row r="102" spans="1:16" x14ac:dyDescent="0.25">
      <c r="A102" s="1846"/>
      <c r="B102" s="2443" t="s">
        <v>7706</v>
      </c>
      <c r="C102" s="2443"/>
      <c r="D102" s="2443"/>
      <c r="E102" s="2443"/>
      <c r="F102" s="2443" t="s">
        <v>7705</v>
      </c>
      <c r="G102" s="2443"/>
      <c r="H102" s="2443"/>
      <c r="I102" s="2443"/>
      <c r="J102" s="2443" t="s">
        <v>588</v>
      </c>
      <c r="K102" s="2443"/>
      <c r="L102" s="2443"/>
      <c r="M102" s="2443"/>
      <c r="N102" s="2443"/>
      <c r="O102" s="2443"/>
      <c r="P102" s="2443"/>
    </row>
    <row r="103" spans="1:16" ht="135.94999999999999" customHeight="1" x14ac:dyDescent="0.25">
      <c r="A103" s="1844" t="s">
        <v>200</v>
      </c>
      <c r="B103" s="2431" t="s">
        <v>6154</v>
      </c>
      <c r="C103" s="2432"/>
      <c r="D103" s="2432"/>
      <c r="E103" s="2432"/>
      <c r="F103" s="2432" t="s">
        <v>6155</v>
      </c>
      <c r="G103" s="2432"/>
      <c r="H103" s="2432"/>
      <c r="I103" s="2432"/>
      <c r="J103" s="2432" t="s">
        <v>7704</v>
      </c>
      <c r="K103" s="2432"/>
      <c r="L103" s="2432"/>
      <c r="M103" s="2558">
        <f>ROUND((317900 + 26279 * 100) * 1 * 1.53 * 0.6 * (0.2) * 1.3, 0)</f>
        <v>703104</v>
      </c>
      <c r="N103" s="2432"/>
      <c r="O103" s="2432" t="s">
        <v>7703</v>
      </c>
      <c r="P103" s="2432"/>
    </row>
    <row r="104" spans="1:16" x14ac:dyDescent="0.25">
      <c r="A104" s="1845"/>
      <c r="B104" s="2442" t="s">
        <v>4168</v>
      </c>
      <c r="C104" s="2442"/>
      <c r="D104" s="2442"/>
      <c r="E104" s="2442"/>
      <c r="F104" s="2442" t="s">
        <v>588</v>
      </c>
      <c r="G104" s="2442"/>
      <c r="H104" s="2442"/>
      <c r="I104" s="2442"/>
      <c r="J104" s="2442" t="s">
        <v>588</v>
      </c>
      <c r="K104" s="2442"/>
      <c r="L104" s="2442"/>
      <c r="M104" s="2442"/>
      <c r="N104" s="2442"/>
      <c r="O104" s="2442"/>
      <c r="P104" s="2442"/>
    </row>
    <row r="105" spans="1:16" x14ac:dyDescent="0.25">
      <c r="A105" s="1846"/>
      <c r="B105" s="2443" t="s">
        <v>7321</v>
      </c>
      <c r="C105" s="2443"/>
      <c r="D105" s="2443"/>
      <c r="E105" s="2443"/>
      <c r="F105" s="2443" t="s">
        <v>7320</v>
      </c>
      <c r="G105" s="2443"/>
      <c r="H105" s="2443"/>
      <c r="I105" s="2443"/>
      <c r="J105" s="2443" t="s">
        <v>588</v>
      </c>
      <c r="K105" s="2443"/>
      <c r="L105" s="2443"/>
      <c r="M105" s="2443"/>
      <c r="N105" s="2443"/>
      <c r="O105" s="2443"/>
      <c r="P105" s="2443"/>
    </row>
    <row r="106" spans="1:16" ht="40.9" customHeight="1" x14ac:dyDescent="0.25">
      <c r="A106" s="1846"/>
      <c r="B106" s="2443" t="s">
        <v>6401</v>
      </c>
      <c r="C106" s="2443"/>
      <c r="D106" s="2443"/>
      <c r="E106" s="2443"/>
      <c r="F106" s="2443" t="s">
        <v>6402</v>
      </c>
      <c r="G106" s="2443"/>
      <c r="H106" s="2443"/>
      <c r="I106" s="2443"/>
      <c r="J106" s="2443" t="s">
        <v>588</v>
      </c>
      <c r="K106" s="2443"/>
      <c r="L106" s="2443"/>
      <c r="M106" s="2443"/>
      <c r="N106" s="2443"/>
      <c r="O106" s="2443"/>
      <c r="P106" s="2443"/>
    </row>
    <row r="107" spans="1:16" ht="54.4" customHeight="1" x14ac:dyDescent="0.25">
      <c r="A107" s="1846"/>
      <c r="B107" s="2443" t="s">
        <v>6157</v>
      </c>
      <c r="C107" s="2443"/>
      <c r="D107" s="2443"/>
      <c r="E107" s="2443"/>
      <c r="F107" s="2443" t="s">
        <v>6158</v>
      </c>
      <c r="G107" s="2443"/>
      <c r="H107" s="2443"/>
      <c r="I107" s="2443"/>
      <c r="J107" s="2443" t="s">
        <v>588</v>
      </c>
      <c r="K107" s="2443"/>
      <c r="L107" s="2443"/>
      <c r="M107" s="2443"/>
      <c r="N107" s="2443"/>
      <c r="O107" s="2443"/>
      <c r="P107" s="2443"/>
    </row>
    <row r="108" spans="1:16" ht="149.65" customHeight="1" x14ac:dyDescent="0.25">
      <c r="A108" s="1846"/>
      <c r="B108" s="2443" t="s">
        <v>6148</v>
      </c>
      <c r="C108" s="2443"/>
      <c r="D108" s="2443"/>
      <c r="E108" s="2443"/>
      <c r="F108" s="2443" t="s">
        <v>7702</v>
      </c>
      <c r="G108" s="2443"/>
      <c r="H108" s="2443"/>
      <c r="I108" s="2443"/>
      <c r="J108" s="2443" t="s">
        <v>588</v>
      </c>
      <c r="K108" s="2443"/>
      <c r="L108" s="2443"/>
      <c r="M108" s="2443"/>
      <c r="N108" s="2443"/>
      <c r="O108" s="2443"/>
      <c r="P108" s="2443"/>
    </row>
    <row r="109" spans="1:16" ht="40.9" customHeight="1" x14ac:dyDescent="0.25">
      <c r="A109" s="1845"/>
      <c r="B109" s="2442" t="s">
        <v>6150</v>
      </c>
      <c r="C109" s="2442"/>
      <c r="D109" s="2442"/>
      <c r="E109" s="2442"/>
      <c r="F109" s="2442" t="s">
        <v>588</v>
      </c>
      <c r="G109" s="2442"/>
      <c r="H109" s="2442"/>
      <c r="I109" s="2442"/>
      <c r="J109" s="2442" t="s">
        <v>7701</v>
      </c>
      <c r="K109" s="2442"/>
      <c r="L109" s="2442"/>
      <c r="M109" s="2442"/>
      <c r="N109" s="2442"/>
      <c r="O109" s="2442"/>
      <c r="P109" s="2442"/>
    </row>
    <row r="110" spans="1:16" ht="27.2" customHeight="1" x14ac:dyDescent="0.25">
      <c r="A110" s="1846"/>
      <c r="B110" s="2443" t="s">
        <v>7692</v>
      </c>
      <c r="C110" s="2443"/>
      <c r="D110" s="2443"/>
      <c r="E110" s="2443"/>
      <c r="F110" s="2443" t="s">
        <v>7700</v>
      </c>
      <c r="G110" s="2443"/>
      <c r="H110" s="2443"/>
      <c r="I110" s="2443"/>
      <c r="J110" s="2443" t="s">
        <v>588</v>
      </c>
      <c r="K110" s="2443"/>
      <c r="L110" s="2443"/>
      <c r="M110" s="2443"/>
      <c r="N110" s="2443"/>
      <c r="O110" s="2443"/>
      <c r="P110" s="2443"/>
    </row>
    <row r="111" spans="1:16" x14ac:dyDescent="0.25">
      <c r="A111" s="1846"/>
      <c r="B111" s="2443" t="s">
        <v>7690</v>
      </c>
      <c r="C111" s="2443"/>
      <c r="D111" s="2443"/>
      <c r="E111" s="2443"/>
      <c r="F111" s="2443" t="s">
        <v>7699</v>
      </c>
      <c r="G111" s="2443"/>
      <c r="H111" s="2443"/>
      <c r="I111" s="2443"/>
      <c r="J111" s="2443" t="s">
        <v>588</v>
      </c>
      <c r="K111" s="2443"/>
      <c r="L111" s="2443"/>
      <c r="M111" s="2443"/>
      <c r="N111" s="2443"/>
      <c r="O111" s="2443"/>
      <c r="P111" s="2443"/>
    </row>
    <row r="112" spans="1:16" ht="27.2" customHeight="1" x14ac:dyDescent="0.25">
      <c r="A112" s="1846"/>
      <c r="B112" s="2443" t="s">
        <v>7688</v>
      </c>
      <c r="C112" s="2443"/>
      <c r="D112" s="2443"/>
      <c r="E112" s="2443"/>
      <c r="F112" s="2443" t="s">
        <v>7698</v>
      </c>
      <c r="G112" s="2443"/>
      <c r="H112" s="2443"/>
      <c r="I112" s="2443"/>
      <c r="J112" s="2443" t="s">
        <v>588</v>
      </c>
      <c r="K112" s="2443"/>
      <c r="L112" s="2443"/>
      <c r="M112" s="2443"/>
      <c r="N112" s="2443"/>
      <c r="O112" s="2443"/>
      <c r="P112" s="2443"/>
    </row>
    <row r="113" spans="1:16" ht="27.2" customHeight="1" x14ac:dyDescent="0.25">
      <c r="A113" s="1846"/>
      <c r="B113" s="2443" t="s">
        <v>7686</v>
      </c>
      <c r="C113" s="2443"/>
      <c r="D113" s="2443"/>
      <c r="E113" s="2443"/>
      <c r="F113" s="2443" t="s">
        <v>7697</v>
      </c>
      <c r="G113" s="2443"/>
      <c r="H113" s="2443"/>
      <c r="I113" s="2443"/>
      <c r="J113" s="2443" t="s">
        <v>588</v>
      </c>
      <c r="K113" s="2443"/>
      <c r="L113" s="2443"/>
      <c r="M113" s="2443"/>
      <c r="N113" s="2443"/>
      <c r="O113" s="2443"/>
      <c r="P113" s="2443"/>
    </row>
    <row r="114" spans="1:16" ht="27.2" customHeight="1" x14ac:dyDescent="0.25">
      <c r="A114" s="1846"/>
      <c r="B114" s="2443" t="s">
        <v>7684</v>
      </c>
      <c r="C114" s="2443"/>
      <c r="D114" s="2443"/>
      <c r="E114" s="2443"/>
      <c r="F114" s="2443" t="s">
        <v>7696</v>
      </c>
      <c r="G114" s="2443"/>
      <c r="H114" s="2443"/>
      <c r="I114" s="2443"/>
      <c r="J114" s="2443" t="s">
        <v>588</v>
      </c>
      <c r="K114" s="2443"/>
      <c r="L114" s="2443"/>
      <c r="M114" s="2443"/>
      <c r="N114" s="2443"/>
      <c r="O114" s="2443"/>
      <c r="P114" s="2443"/>
    </row>
    <row r="115" spans="1:16" ht="135.94999999999999" customHeight="1" x14ac:dyDescent="0.25">
      <c r="A115" s="1844" t="s">
        <v>203</v>
      </c>
      <c r="B115" s="2431" t="s">
        <v>7219</v>
      </c>
      <c r="C115" s="2432"/>
      <c r="D115" s="2432"/>
      <c r="E115" s="2432"/>
      <c r="F115" s="2432" t="s">
        <v>7218</v>
      </c>
      <c r="G115" s="2432"/>
      <c r="H115" s="2432"/>
      <c r="I115" s="2432"/>
      <c r="J115" s="2432" t="s">
        <v>7695</v>
      </c>
      <c r="K115" s="2432"/>
      <c r="L115" s="2432"/>
      <c r="M115" s="2558">
        <f>ROUND((1806400 + 15204 * 300) * 1 * 1.53 * 0.6 * 1.3, 0)</f>
        <v>7599094</v>
      </c>
      <c r="N115" s="2432"/>
      <c r="O115" s="2432" t="s">
        <v>588</v>
      </c>
      <c r="P115" s="2432"/>
    </row>
    <row r="116" spans="1:16" x14ac:dyDescent="0.25">
      <c r="A116" s="1845"/>
      <c r="B116" s="2442" t="s">
        <v>4168</v>
      </c>
      <c r="C116" s="2442"/>
      <c r="D116" s="2442"/>
      <c r="E116" s="2442"/>
      <c r="F116" s="2442" t="s">
        <v>588</v>
      </c>
      <c r="G116" s="2442"/>
      <c r="H116" s="2442"/>
      <c r="I116" s="2442"/>
      <c r="J116" s="2442" t="s">
        <v>588</v>
      </c>
      <c r="K116" s="2442"/>
      <c r="L116" s="2442"/>
      <c r="M116" s="2442"/>
      <c r="N116" s="2442"/>
      <c r="O116" s="2442"/>
      <c r="P116" s="2442"/>
    </row>
    <row r="117" spans="1:16" x14ac:dyDescent="0.25">
      <c r="A117" s="1846"/>
      <c r="B117" s="2443" t="s">
        <v>7321</v>
      </c>
      <c r="C117" s="2443"/>
      <c r="D117" s="2443"/>
      <c r="E117" s="2443"/>
      <c r="F117" s="2443" t="s">
        <v>7320</v>
      </c>
      <c r="G117" s="2443"/>
      <c r="H117" s="2443"/>
      <c r="I117" s="2443"/>
      <c r="J117" s="2443" t="s">
        <v>588</v>
      </c>
      <c r="K117" s="2443"/>
      <c r="L117" s="2443"/>
      <c r="M117" s="2443"/>
      <c r="N117" s="2443"/>
      <c r="O117" s="2443"/>
      <c r="P117" s="2443"/>
    </row>
    <row r="118" spans="1:16" ht="40.9" customHeight="1" x14ac:dyDescent="0.25">
      <c r="A118" s="1846"/>
      <c r="B118" s="2443" t="s">
        <v>6401</v>
      </c>
      <c r="C118" s="2443"/>
      <c r="D118" s="2443"/>
      <c r="E118" s="2443"/>
      <c r="F118" s="2443" t="s">
        <v>6402</v>
      </c>
      <c r="G118" s="2443"/>
      <c r="H118" s="2443"/>
      <c r="I118" s="2443"/>
      <c r="J118" s="2443" t="s">
        <v>588</v>
      </c>
      <c r="K118" s="2443"/>
      <c r="L118" s="2443"/>
      <c r="M118" s="2443"/>
      <c r="N118" s="2443"/>
      <c r="O118" s="2443"/>
      <c r="P118" s="2443"/>
    </row>
    <row r="119" spans="1:16" ht="149.65" customHeight="1" x14ac:dyDescent="0.25">
      <c r="A119" s="1846"/>
      <c r="B119" s="2443" t="s">
        <v>6148</v>
      </c>
      <c r="C119" s="2443"/>
      <c r="D119" s="2443"/>
      <c r="E119" s="2443"/>
      <c r="F119" s="2443" t="s">
        <v>7694</v>
      </c>
      <c r="G119" s="2443"/>
      <c r="H119" s="2443"/>
      <c r="I119" s="2443"/>
      <c r="J119" s="2443" t="s">
        <v>588</v>
      </c>
      <c r="K119" s="2443"/>
      <c r="L119" s="2443"/>
      <c r="M119" s="2443"/>
      <c r="N119" s="2443"/>
      <c r="O119" s="2443"/>
      <c r="P119" s="2443"/>
    </row>
    <row r="120" spans="1:16" ht="40.9" customHeight="1" x14ac:dyDescent="0.25">
      <c r="A120" s="1845"/>
      <c r="B120" s="2442" t="s">
        <v>6150</v>
      </c>
      <c r="C120" s="2442"/>
      <c r="D120" s="2442"/>
      <c r="E120" s="2442"/>
      <c r="F120" s="2442" t="s">
        <v>588</v>
      </c>
      <c r="G120" s="2442"/>
      <c r="H120" s="2442"/>
      <c r="I120" s="2442"/>
      <c r="J120" s="2442" t="s">
        <v>7693</v>
      </c>
      <c r="K120" s="2442"/>
      <c r="L120" s="2442"/>
      <c r="M120" s="2442"/>
      <c r="N120" s="2442"/>
      <c r="O120" s="2442"/>
      <c r="P120" s="2442"/>
    </row>
    <row r="121" spans="1:16" ht="27.2" customHeight="1" x14ac:dyDescent="0.25">
      <c r="A121" s="1846"/>
      <c r="B121" s="2443" t="s">
        <v>7692</v>
      </c>
      <c r="C121" s="2443"/>
      <c r="D121" s="2443"/>
      <c r="E121" s="2443"/>
      <c r="F121" s="2443" t="s">
        <v>7691</v>
      </c>
      <c r="G121" s="2443"/>
      <c r="H121" s="2443"/>
      <c r="I121" s="2443"/>
      <c r="J121" s="2443" t="s">
        <v>588</v>
      </c>
      <c r="K121" s="2443"/>
      <c r="L121" s="2443"/>
      <c r="M121" s="2443"/>
      <c r="N121" s="2443"/>
      <c r="O121" s="2443"/>
      <c r="P121" s="2443"/>
    </row>
    <row r="122" spans="1:16" x14ac:dyDescent="0.25">
      <c r="A122" s="1846"/>
      <c r="B122" s="2443" t="s">
        <v>7690</v>
      </c>
      <c r="C122" s="2443"/>
      <c r="D122" s="2443"/>
      <c r="E122" s="2443"/>
      <c r="F122" s="2443" t="s">
        <v>7689</v>
      </c>
      <c r="G122" s="2443"/>
      <c r="H122" s="2443"/>
      <c r="I122" s="2443"/>
      <c r="J122" s="2443" t="s">
        <v>588</v>
      </c>
      <c r="K122" s="2443"/>
      <c r="L122" s="2443"/>
      <c r="M122" s="2443"/>
      <c r="N122" s="2443"/>
      <c r="O122" s="2443"/>
      <c r="P122" s="2443"/>
    </row>
    <row r="123" spans="1:16" ht="27.2" customHeight="1" x14ac:dyDescent="0.25">
      <c r="A123" s="1846"/>
      <c r="B123" s="2443" t="s">
        <v>7688</v>
      </c>
      <c r="C123" s="2443"/>
      <c r="D123" s="2443"/>
      <c r="E123" s="2443"/>
      <c r="F123" s="2443" t="s">
        <v>7687</v>
      </c>
      <c r="G123" s="2443"/>
      <c r="H123" s="2443"/>
      <c r="I123" s="2443"/>
      <c r="J123" s="2443" t="s">
        <v>588</v>
      </c>
      <c r="K123" s="2443"/>
      <c r="L123" s="2443"/>
      <c r="M123" s="2443"/>
      <c r="N123" s="2443"/>
      <c r="O123" s="2443"/>
      <c r="P123" s="2443"/>
    </row>
    <row r="124" spans="1:16" ht="27.2" customHeight="1" x14ac:dyDescent="0.25">
      <c r="A124" s="1846"/>
      <c r="B124" s="2443" t="s">
        <v>7686</v>
      </c>
      <c r="C124" s="2443"/>
      <c r="D124" s="2443"/>
      <c r="E124" s="2443"/>
      <c r="F124" s="2443" t="s">
        <v>7685</v>
      </c>
      <c r="G124" s="2443"/>
      <c r="H124" s="2443"/>
      <c r="I124" s="2443"/>
      <c r="J124" s="2443" t="s">
        <v>588</v>
      </c>
      <c r="K124" s="2443"/>
      <c r="L124" s="2443"/>
      <c r="M124" s="2443"/>
      <c r="N124" s="2443"/>
      <c r="O124" s="2443"/>
      <c r="P124" s="2443"/>
    </row>
    <row r="125" spans="1:16" ht="27.2" customHeight="1" x14ac:dyDescent="0.25">
      <c r="A125" s="1846"/>
      <c r="B125" s="2443" t="s">
        <v>7684</v>
      </c>
      <c r="C125" s="2443"/>
      <c r="D125" s="2443"/>
      <c r="E125" s="2443"/>
      <c r="F125" s="2443" t="s">
        <v>7683</v>
      </c>
      <c r="G125" s="2443"/>
      <c r="H125" s="2443"/>
      <c r="I125" s="2443"/>
      <c r="J125" s="2443" t="s">
        <v>588</v>
      </c>
      <c r="K125" s="2443"/>
      <c r="L125" s="2443"/>
      <c r="M125" s="2443"/>
      <c r="N125" s="2443"/>
      <c r="O125" s="2443"/>
      <c r="P125" s="2443"/>
    </row>
    <row r="126" spans="1:16" x14ac:dyDescent="0.25">
      <c r="A126" s="1848" t="s">
        <v>4199</v>
      </c>
      <c r="B126" s="2441" t="s">
        <v>6169</v>
      </c>
      <c r="C126" s="2441"/>
      <c r="D126" s="2441"/>
      <c r="E126" s="2441"/>
      <c r="F126" s="2441"/>
      <c r="G126" s="2441"/>
      <c r="H126" s="2441"/>
      <c r="I126" s="2441"/>
      <c r="J126" s="2441" t="s">
        <v>588</v>
      </c>
      <c r="K126" s="2441"/>
      <c r="L126" s="2441"/>
      <c r="M126" s="2559">
        <f>ROUND(SUM($M$95:$M$115),0)</f>
        <v>8394854</v>
      </c>
      <c r="N126" s="2441"/>
      <c r="O126" s="2441"/>
      <c r="P126" s="2441"/>
    </row>
    <row r="127" spans="1:16" x14ac:dyDescent="0.25">
      <c r="A127" s="1848" t="s">
        <v>4203</v>
      </c>
      <c r="B127" s="2441" t="s">
        <v>6170</v>
      </c>
      <c r="C127" s="2441"/>
      <c r="D127" s="2441"/>
      <c r="E127" s="2441"/>
      <c r="F127" s="2441"/>
      <c r="G127" s="2441"/>
      <c r="H127" s="2441"/>
      <c r="I127" s="2441"/>
      <c r="J127" s="2441" t="s">
        <v>588</v>
      </c>
      <c r="K127" s="2441"/>
      <c r="L127" s="2441"/>
      <c r="M127" s="2559">
        <f>ROUND(($M$126),0)</f>
        <v>8394854</v>
      </c>
      <c r="N127" s="2441"/>
      <c r="O127" s="2441"/>
      <c r="P127" s="2441"/>
    </row>
    <row r="128" spans="1:16" x14ac:dyDescent="0.25">
      <c r="A128" s="1848" t="s">
        <v>640</v>
      </c>
      <c r="B128" s="2441" t="s">
        <v>6145</v>
      </c>
      <c r="C128" s="2441"/>
      <c r="D128" s="2441"/>
      <c r="E128" s="2441"/>
      <c r="F128" s="2441" t="s">
        <v>6171</v>
      </c>
      <c r="G128" s="2441"/>
      <c r="H128" s="2441"/>
      <c r="I128" s="2441"/>
      <c r="J128" s="2441"/>
      <c r="K128" s="2441"/>
      <c r="L128" s="2441"/>
      <c r="M128" s="2441"/>
      <c r="N128" s="2441"/>
      <c r="O128" s="2441"/>
      <c r="P128" s="2441"/>
    </row>
    <row r="129" spans="1:16" ht="122.45" customHeight="1" x14ac:dyDescent="0.25">
      <c r="A129" s="1844" t="s">
        <v>240</v>
      </c>
      <c r="B129" s="2431" t="s">
        <v>6172</v>
      </c>
      <c r="C129" s="2432"/>
      <c r="D129" s="2432"/>
      <c r="E129" s="2432"/>
      <c r="F129" s="2432" t="s">
        <v>6173</v>
      </c>
      <c r="G129" s="2432"/>
      <c r="H129" s="2432"/>
      <c r="I129" s="2432"/>
      <c r="J129" s="2432" t="s">
        <v>7682</v>
      </c>
      <c r="K129" s="2432"/>
      <c r="L129" s="2432"/>
      <c r="M129" s="2558">
        <f>ROUND(1622600 * 1 * 1.38 * 0.6 * 0.47 * 1.3, 0)</f>
        <v>820886</v>
      </c>
      <c r="N129" s="2432"/>
      <c r="O129" s="2432" t="s">
        <v>588</v>
      </c>
      <c r="P129" s="2432"/>
    </row>
    <row r="130" spans="1:16" x14ac:dyDescent="0.25">
      <c r="A130" s="1845"/>
      <c r="B130" s="2442" t="s">
        <v>4168</v>
      </c>
      <c r="C130" s="2442"/>
      <c r="D130" s="2442"/>
      <c r="E130" s="2442"/>
      <c r="F130" s="2442" t="s">
        <v>588</v>
      </c>
      <c r="G130" s="2442"/>
      <c r="H130" s="2442"/>
      <c r="I130" s="2442"/>
      <c r="J130" s="2442" t="s">
        <v>588</v>
      </c>
      <c r="K130" s="2442"/>
      <c r="L130" s="2442"/>
      <c r="M130" s="2442"/>
      <c r="N130" s="2442"/>
      <c r="O130" s="2442"/>
      <c r="P130" s="2442"/>
    </row>
    <row r="131" spans="1:16" x14ac:dyDescent="0.25">
      <c r="A131" s="1846"/>
      <c r="B131" s="2443" t="s">
        <v>7321</v>
      </c>
      <c r="C131" s="2443"/>
      <c r="D131" s="2443"/>
      <c r="E131" s="2443"/>
      <c r="F131" s="2443" t="s">
        <v>7320</v>
      </c>
      <c r="G131" s="2443"/>
      <c r="H131" s="2443"/>
      <c r="I131" s="2443"/>
      <c r="J131" s="2443" t="s">
        <v>588</v>
      </c>
      <c r="K131" s="2443"/>
      <c r="L131" s="2443"/>
      <c r="M131" s="2443"/>
      <c r="N131" s="2443"/>
      <c r="O131" s="2443"/>
      <c r="P131" s="2443"/>
    </row>
    <row r="132" spans="1:16" ht="40.9" customHeight="1" x14ac:dyDescent="0.25">
      <c r="A132" s="1846"/>
      <c r="B132" s="2443" t="s">
        <v>6411</v>
      </c>
      <c r="C132" s="2443"/>
      <c r="D132" s="2443"/>
      <c r="E132" s="2443"/>
      <c r="F132" s="2443" t="s">
        <v>6412</v>
      </c>
      <c r="G132" s="2443"/>
      <c r="H132" s="2443"/>
      <c r="I132" s="2443"/>
      <c r="J132" s="2443" t="s">
        <v>588</v>
      </c>
      <c r="K132" s="2443"/>
      <c r="L132" s="2443"/>
      <c r="M132" s="2443"/>
      <c r="N132" s="2443"/>
      <c r="O132" s="2443"/>
      <c r="P132" s="2443"/>
    </row>
    <row r="133" spans="1:16" ht="81.599999999999994" customHeight="1" x14ac:dyDescent="0.25">
      <c r="A133" s="1846"/>
      <c r="B133" s="2443" t="s">
        <v>6174</v>
      </c>
      <c r="C133" s="2443"/>
      <c r="D133" s="2443"/>
      <c r="E133" s="2443"/>
      <c r="F133" s="2443" t="s">
        <v>6175</v>
      </c>
      <c r="G133" s="2443"/>
      <c r="H133" s="2443"/>
      <c r="I133" s="2443"/>
      <c r="J133" s="2443" t="s">
        <v>588</v>
      </c>
      <c r="K133" s="2443"/>
      <c r="L133" s="2443"/>
      <c r="M133" s="2443"/>
      <c r="N133" s="2443"/>
      <c r="O133" s="2443"/>
      <c r="P133" s="2443"/>
    </row>
    <row r="134" spans="1:16" ht="149.65" customHeight="1" x14ac:dyDescent="0.25">
      <c r="A134" s="1846"/>
      <c r="B134" s="2443" t="s">
        <v>6148</v>
      </c>
      <c r="C134" s="2443"/>
      <c r="D134" s="2443"/>
      <c r="E134" s="2443"/>
      <c r="F134" s="2443" t="s">
        <v>7672</v>
      </c>
      <c r="G134" s="2443"/>
      <c r="H134" s="2443"/>
      <c r="I134" s="2443"/>
      <c r="J134" s="2443" t="s">
        <v>588</v>
      </c>
      <c r="K134" s="2443"/>
      <c r="L134" s="2443"/>
      <c r="M134" s="2443"/>
      <c r="N134" s="2443"/>
      <c r="O134" s="2443"/>
      <c r="P134" s="2443"/>
    </row>
    <row r="135" spans="1:16" ht="54.4" customHeight="1" x14ac:dyDescent="0.25">
      <c r="A135" s="1845"/>
      <c r="B135" s="2442" t="s">
        <v>6150</v>
      </c>
      <c r="C135" s="2442"/>
      <c r="D135" s="2442"/>
      <c r="E135" s="2442"/>
      <c r="F135" s="2442" t="s">
        <v>588</v>
      </c>
      <c r="G135" s="2442"/>
      <c r="H135" s="2442"/>
      <c r="I135" s="2442"/>
      <c r="J135" s="2442" t="s">
        <v>7681</v>
      </c>
      <c r="K135" s="2442"/>
      <c r="L135" s="2442"/>
      <c r="M135" s="2442"/>
      <c r="N135" s="2442"/>
      <c r="O135" s="2442"/>
      <c r="P135" s="2442"/>
    </row>
    <row r="136" spans="1:16" x14ac:dyDescent="0.25">
      <c r="A136" s="1846"/>
      <c r="B136" s="2443" t="s">
        <v>7680</v>
      </c>
      <c r="C136" s="2443"/>
      <c r="D136" s="2443"/>
      <c r="E136" s="2443"/>
      <c r="F136" s="2443" t="s">
        <v>7679</v>
      </c>
      <c r="G136" s="2443"/>
      <c r="H136" s="2443"/>
      <c r="I136" s="2443"/>
      <c r="J136" s="2443" t="s">
        <v>588</v>
      </c>
      <c r="K136" s="2443"/>
      <c r="L136" s="2443"/>
      <c r="M136" s="2443"/>
      <c r="N136" s="2443"/>
      <c r="O136" s="2443"/>
      <c r="P136" s="2443"/>
    </row>
    <row r="137" spans="1:16" x14ac:dyDescent="0.25">
      <c r="A137" s="1846"/>
      <c r="B137" s="2443" t="s">
        <v>7660</v>
      </c>
      <c r="C137" s="2443"/>
      <c r="D137" s="2443"/>
      <c r="E137" s="2443"/>
      <c r="F137" s="2443" t="s">
        <v>7678</v>
      </c>
      <c r="G137" s="2443"/>
      <c r="H137" s="2443"/>
      <c r="I137" s="2443"/>
      <c r="J137" s="2443" t="s">
        <v>588</v>
      </c>
      <c r="K137" s="2443"/>
      <c r="L137" s="2443"/>
      <c r="M137" s="2443"/>
      <c r="N137" s="2443"/>
      <c r="O137" s="2443"/>
      <c r="P137" s="2443"/>
    </row>
    <row r="138" spans="1:16" x14ac:dyDescent="0.25">
      <c r="A138" s="1846"/>
      <c r="B138" s="2443" t="s">
        <v>7658</v>
      </c>
      <c r="C138" s="2443"/>
      <c r="D138" s="2443"/>
      <c r="E138" s="2443"/>
      <c r="F138" s="2443" t="s">
        <v>7677</v>
      </c>
      <c r="G138" s="2443"/>
      <c r="H138" s="2443"/>
      <c r="I138" s="2443"/>
      <c r="J138" s="2443" t="s">
        <v>588</v>
      </c>
      <c r="K138" s="2443"/>
      <c r="L138" s="2443"/>
      <c r="M138" s="2443"/>
      <c r="N138" s="2443"/>
      <c r="O138" s="2443"/>
      <c r="P138" s="2443"/>
    </row>
    <row r="139" spans="1:16" x14ac:dyDescent="0.25">
      <c r="A139" s="1846"/>
      <c r="B139" s="2443" t="s">
        <v>7656</v>
      </c>
      <c r="C139" s="2443"/>
      <c r="D139" s="2443"/>
      <c r="E139" s="2443"/>
      <c r="F139" s="2443" t="s">
        <v>7676</v>
      </c>
      <c r="G139" s="2443"/>
      <c r="H139" s="2443"/>
      <c r="I139" s="2443"/>
      <c r="J139" s="2443" t="s">
        <v>588</v>
      </c>
      <c r="K139" s="2443"/>
      <c r="L139" s="2443"/>
      <c r="M139" s="2443"/>
      <c r="N139" s="2443"/>
      <c r="O139" s="2443"/>
      <c r="P139" s="2443"/>
    </row>
    <row r="140" spans="1:16" x14ac:dyDescent="0.25">
      <c r="A140" s="1846"/>
      <c r="B140" s="2443" t="s">
        <v>7654</v>
      </c>
      <c r="C140" s="2443"/>
      <c r="D140" s="2443"/>
      <c r="E140" s="2443"/>
      <c r="F140" s="2443" t="s">
        <v>7675</v>
      </c>
      <c r="G140" s="2443"/>
      <c r="H140" s="2443"/>
      <c r="I140" s="2443"/>
      <c r="J140" s="2443" t="s">
        <v>588</v>
      </c>
      <c r="K140" s="2443"/>
      <c r="L140" s="2443"/>
      <c r="M140" s="2443"/>
      <c r="N140" s="2443"/>
      <c r="O140" s="2443"/>
      <c r="P140" s="2443"/>
    </row>
    <row r="141" spans="1:16" ht="27.2" customHeight="1" x14ac:dyDescent="0.25">
      <c r="A141" s="1846"/>
      <c r="B141" s="2443" t="s">
        <v>7411</v>
      </c>
      <c r="C141" s="2443"/>
      <c r="D141" s="2443"/>
      <c r="E141" s="2443"/>
      <c r="F141" s="2443" t="s">
        <v>7674</v>
      </c>
      <c r="G141" s="2443"/>
      <c r="H141" s="2443"/>
      <c r="I141" s="2443"/>
      <c r="J141" s="2443" t="s">
        <v>588</v>
      </c>
      <c r="K141" s="2443"/>
      <c r="L141" s="2443"/>
      <c r="M141" s="2443"/>
      <c r="N141" s="2443"/>
      <c r="O141" s="2443"/>
      <c r="P141" s="2443"/>
    </row>
    <row r="142" spans="1:16" ht="163.15" customHeight="1" x14ac:dyDescent="0.25">
      <c r="A142" s="1844" t="s">
        <v>508</v>
      </c>
      <c r="B142" s="2431" t="s">
        <v>6187</v>
      </c>
      <c r="C142" s="2432"/>
      <c r="D142" s="2432"/>
      <c r="E142" s="2432"/>
      <c r="F142" s="2432" t="s">
        <v>6188</v>
      </c>
      <c r="G142" s="2432"/>
      <c r="H142" s="2432"/>
      <c r="I142" s="2432"/>
      <c r="J142" s="2432" t="s">
        <v>7673</v>
      </c>
      <c r="K142" s="2432"/>
      <c r="L142" s="2432"/>
      <c r="M142" s="2558">
        <f>ROUND(520300 * 1 * 1.38 * 0.6 * 1.08 * 1.3, 0)</f>
        <v>604855</v>
      </c>
      <c r="N142" s="2432"/>
      <c r="O142" s="2432" t="s">
        <v>588</v>
      </c>
      <c r="P142" s="2432"/>
    </row>
    <row r="143" spans="1:16" x14ac:dyDescent="0.25">
      <c r="A143" s="1845"/>
      <c r="B143" s="2442" t="s">
        <v>4168</v>
      </c>
      <c r="C143" s="2442"/>
      <c r="D143" s="2442"/>
      <c r="E143" s="2442"/>
      <c r="F143" s="2442" t="s">
        <v>588</v>
      </c>
      <c r="G143" s="2442"/>
      <c r="H143" s="2442"/>
      <c r="I143" s="2442"/>
      <c r="J143" s="2442" t="s">
        <v>588</v>
      </c>
      <c r="K143" s="2442"/>
      <c r="L143" s="2442"/>
      <c r="M143" s="2442"/>
      <c r="N143" s="2442"/>
      <c r="O143" s="2442"/>
      <c r="P143" s="2442"/>
    </row>
    <row r="144" spans="1:16" x14ac:dyDescent="0.25">
      <c r="A144" s="1846"/>
      <c r="B144" s="2443" t="s">
        <v>7321</v>
      </c>
      <c r="C144" s="2443"/>
      <c r="D144" s="2443"/>
      <c r="E144" s="2443"/>
      <c r="F144" s="2443" t="s">
        <v>7320</v>
      </c>
      <c r="G144" s="2443"/>
      <c r="H144" s="2443"/>
      <c r="I144" s="2443"/>
      <c r="J144" s="2443" t="s">
        <v>588</v>
      </c>
      <c r="K144" s="2443"/>
      <c r="L144" s="2443"/>
      <c r="M144" s="2443"/>
      <c r="N144" s="2443"/>
      <c r="O144" s="2443"/>
      <c r="P144" s="2443"/>
    </row>
    <row r="145" spans="1:16" ht="40.9" customHeight="1" x14ac:dyDescent="0.25">
      <c r="A145" s="1846"/>
      <c r="B145" s="2443" t="s">
        <v>6411</v>
      </c>
      <c r="C145" s="2443"/>
      <c r="D145" s="2443"/>
      <c r="E145" s="2443"/>
      <c r="F145" s="2443" t="s">
        <v>6412</v>
      </c>
      <c r="G145" s="2443"/>
      <c r="H145" s="2443"/>
      <c r="I145" s="2443"/>
      <c r="J145" s="2443" t="s">
        <v>588</v>
      </c>
      <c r="K145" s="2443"/>
      <c r="L145" s="2443"/>
      <c r="M145" s="2443"/>
      <c r="N145" s="2443"/>
      <c r="O145" s="2443"/>
      <c r="P145" s="2443"/>
    </row>
    <row r="146" spans="1:16" ht="81.599999999999994" customHeight="1" x14ac:dyDescent="0.25">
      <c r="A146" s="1846"/>
      <c r="B146" s="2443" t="s">
        <v>6189</v>
      </c>
      <c r="C146" s="2443"/>
      <c r="D146" s="2443"/>
      <c r="E146" s="2443"/>
      <c r="F146" s="2443" t="s">
        <v>6190</v>
      </c>
      <c r="G146" s="2443"/>
      <c r="H146" s="2443"/>
      <c r="I146" s="2443"/>
      <c r="J146" s="2443" t="s">
        <v>588</v>
      </c>
      <c r="K146" s="2443"/>
      <c r="L146" s="2443"/>
      <c r="M146" s="2443"/>
      <c r="N146" s="2443"/>
      <c r="O146" s="2443"/>
      <c r="P146" s="2443"/>
    </row>
    <row r="147" spans="1:16" ht="149.65" customHeight="1" x14ac:dyDescent="0.25">
      <c r="A147" s="1846"/>
      <c r="B147" s="2443" t="s">
        <v>6148</v>
      </c>
      <c r="C147" s="2443"/>
      <c r="D147" s="2443"/>
      <c r="E147" s="2443"/>
      <c r="F147" s="2443" t="s">
        <v>7672</v>
      </c>
      <c r="G147" s="2443"/>
      <c r="H147" s="2443"/>
      <c r="I147" s="2443"/>
      <c r="J147" s="2443" t="s">
        <v>588</v>
      </c>
      <c r="K147" s="2443"/>
      <c r="L147" s="2443"/>
      <c r="M147" s="2443"/>
      <c r="N147" s="2443"/>
      <c r="O147" s="2443"/>
      <c r="P147" s="2443"/>
    </row>
    <row r="148" spans="1:16" ht="54.4" customHeight="1" x14ac:dyDescent="0.25">
      <c r="A148" s="1845"/>
      <c r="B148" s="2442" t="s">
        <v>6150</v>
      </c>
      <c r="C148" s="2442"/>
      <c r="D148" s="2442"/>
      <c r="E148" s="2442"/>
      <c r="F148" s="2442" t="s">
        <v>588</v>
      </c>
      <c r="G148" s="2442"/>
      <c r="H148" s="2442"/>
      <c r="I148" s="2442"/>
      <c r="J148" s="2442" t="s">
        <v>7663</v>
      </c>
      <c r="K148" s="2442"/>
      <c r="L148" s="2442"/>
      <c r="M148" s="2442"/>
      <c r="N148" s="2442"/>
      <c r="O148" s="2442"/>
      <c r="P148" s="2442"/>
    </row>
    <row r="149" spans="1:16" x14ac:dyDescent="0.25">
      <c r="A149" s="1846"/>
      <c r="B149" s="2443" t="s">
        <v>7662</v>
      </c>
      <c r="C149" s="2443"/>
      <c r="D149" s="2443"/>
      <c r="E149" s="2443"/>
      <c r="F149" s="2443" t="s">
        <v>7671</v>
      </c>
      <c r="G149" s="2443"/>
      <c r="H149" s="2443"/>
      <c r="I149" s="2443"/>
      <c r="J149" s="2443" t="s">
        <v>588</v>
      </c>
      <c r="K149" s="2443"/>
      <c r="L149" s="2443"/>
      <c r="M149" s="2443"/>
      <c r="N149" s="2443"/>
      <c r="O149" s="2443"/>
      <c r="P149" s="2443"/>
    </row>
    <row r="150" spans="1:16" x14ac:dyDescent="0.25">
      <c r="A150" s="1846"/>
      <c r="B150" s="2443" t="s">
        <v>7660</v>
      </c>
      <c r="C150" s="2443"/>
      <c r="D150" s="2443"/>
      <c r="E150" s="2443"/>
      <c r="F150" s="2443" t="s">
        <v>7670</v>
      </c>
      <c r="G150" s="2443"/>
      <c r="H150" s="2443"/>
      <c r="I150" s="2443"/>
      <c r="J150" s="2443" t="s">
        <v>588</v>
      </c>
      <c r="K150" s="2443"/>
      <c r="L150" s="2443"/>
      <c r="M150" s="2443"/>
      <c r="N150" s="2443"/>
      <c r="O150" s="2443"/>
      <c r="P150" s="2443"/>
    </row>
    <row r="151" spans="1:16" x14ac:dyDescent="0.25">
      <c r="A151" s="1846"/>
      <c r="B151" s="2443" t="s">
        <v>7658</v>
      </c>
      <c r="C151" s="2443"/>
      <c r="D151" s="2443"/>
      <c r="E151" s="2443"/>
      <c r="F151" s="2443" t="s">
        <v>7669</v>
      </c>
      <c r="G151" s="2443"/>
      <c r="H151" s="2443"/>
      <c r="I151" s="2443"/>
      <c r="J151" s="2443" t="s">
        <v>588</v>
      </c>
      <c r="K151" s="2443"/>
      <c r="L151" s="2443"/>
      <c r="M151" s="2443"/>
      <c r="N151" s="2443"/>
      <c r="O151" s="2443"/>
      <c r="P151" s="2443"/>
    </row>
    <row r="152" spans="1:16" x14ac:dyDescent="0.25">
      <c r="A152" s="1846"/>
      <c r="B152" s="2443" t="s">
        <v>7656</v>
      </c>
      <c r="C152" s="2443"/>
      <c r="D152" s="2443"/>
      <c r="E152" s="2443"/>
      <c r="F152" s="2443" t="s">
        <v>7668</v>
      </c>
      <c r="G152" s="2443"/>
      <c r="H152" s="2443"/>
      <c r="I152" s="2443"/>
      <c r="J152" s="2443" t="s">
        <v>588</v>
      </c>
      <c r="K152" s="2443"/>
      <c r="L152" s="2443"/>
      <c r="M152" s="2443"/>
      <c r="N152" s="2443"/>
      <c r="O152" s="2443"/>
      <c r="P152" s="2443"/>
    </row>
    <row r="153" spans="1:16" x14ac:dyDescent="0.25">
      <c r="A153" s="1846"/>
      <c r="B153" s="2443" t="s">
        <v>7654</v>
      </c>
      <c r="C153" s="2443"/>
      <c r="D153" s="2443"/>
      <c r="E153" s="2443"/>
      <c r="F153" s="2443" t="s">
        <v>7667</v>
      </c>
      <c r="G153" s="2443"/>
      <c r="H153" s="2443"/>
      <c r="I153" s="2443"/>
      <c r="J153" s="2443" t="s">
        <v>588</v>
      </c>
      <c r="K153" s="2443"/>
      <c r="L153" s="2443"/>
      <c r="M153" s="2443"/>
      <c r="N153" s="2443"/>
      <c r="O153" s="2443"/>
      <c r="P153" s="2443"/>
    </row>
    <row r="154" spans="1:16" ht="27.2" customHeight="1" x14ac:dyDescent="0.25">
      <c r="A154" s="1846"/>
      <c r="B154" s="2443" t="s">
        <v>7411</v>
      </c>
      <c r="C154" s="2443"/>
      <c r="D154" s="2443"/>
      <c r="E154" s="2443"/>
      <c r="F154" s="2443" t="s">
        <v>7666</v>
      </c>
      <c r="G154" s="2443"/>
      <c r="H154" s="2443"/>
      <c r="I154" s="2443"/>
      <c r="J154" s="2443" t="s">
        <v>588</v>
      </c>
      <c r="K154" s="2443"/>
      <c r="L154" s="2443"/>
      <c r="M154" s="2443"/>
      <c r="N154" s="2443"/>
      <c r="O154" s="2443"/>
      <c r="P154" s="2443"/>
    </row>
    <row r="155" spans="1:16" ht="176.85" customHeight="1" x14ac:dyDescent="0.25">
      <c r="A155" s="1844" t="s">
        <v>509</v>
      </c>
      <c r="B155" s="2431" t="s">
        <v>6192</v>
      </c>
      <c r="C155" s="2432"/>
      <c r="D155" s="2432"/>
      <c r="E155" s="2432"/>
      <c r="F155" s="2432" t="s">
        <v>7205</v>
      </c>
      <c r="G155" s="2432"/>
      <c r="H155" s="2432"/>
      <c r="I155" s="2432"/>
      <c r="J155" s="2432" t="s">
        <v>7665</v>
      </c>
      <c r="K155" s="2432"/>
      <c r="L155" s="2432"/>
      <c r="M155" s="2558">
        <f>ROUND((126400 + 235 * (0.4 * 1000 + 0.6 * 650)) * 1 * 1.38 * 0.6 * 1.3, 0)</f>
        <v>335891</v>
      </c>
      <c r="N155" s="2432"/>
      <c r="O155" s="2432" t="s">
        <v>5969</v>
      </c>
      <c r="P155" s="2432"/>
    </row>
    <row r="156" spans="1:16" x14ac:dyDescent="0.25">
      <c r="A156" s="1845"/>
      <c r="B156" s="2442" t="s">
        <v>4168</v>
      </c>
      <c r="C156" s="2442"/>
      <c r="D156" s="2442"/>
      <c r="E156" s="2442"/>
      <c r="F156" s="2442" t="s">
        <v>588</v>
      </c>
      <c r="G156" s="2442"/>
      <c r="H156" s="2442"/>
      <c r="I156" s="2442"/>
      <c r="J156" s="2442" t="s">
        <v>588</v>
      </c>
      <c r="K156" s="2442"/>
      <c r="L156" s="2442"/>
      <c r="M156" s="2442"/>
      <c r="N156" s="2442"/>
      <c r="O156" s="2442"/>
      <c r="P156" s="2442"/>
    </row>
    <row r="157" spans="1:16" x14ac:dyDescent="0.25">
      <c r="A157" s="1846"/>
      <c r="B157" s="2443" t="s">
        <v>7321</v>
      </c>
      <c r="C157" s="2443"/>
      <c r="D157" s="2443"/>
      <c r="E157" s="2443"/>
      <c r="F157" s="2443" t="s">
        <v>7320</v>
      </c>
      <c r="G157" s="2443"/>
      <c r="H157" s="2443"/>
      <c r="I157" s="2443"/>
      <c r="J157" s="2443" t="s">
        <v>588</v>
      </c>
      <c r="K157" s="2443"/>
      <c r="L157" s="2443"/>
      <c r="M157" s="2443"/>
      <c r="N157" s="2443"/>
      <c r="O157" s="2443"/>
      <c r="P157" s="2443"/>
    </row>
    <row r="158" spans="1:16" ht="40.9" customHeight="1" x14ac:dyDescent="0.25">
      <c r="A158" s="1846"/>
      <c r="B158" s="2443" t="s">
        <v>6411</v>
      </c>
      <c r="C158" s="2443"/>
      <c r="D158" s="2443"/>
      <c r="E158" s="2443"/>
      <c r="F158" s="2443" t="s">
        <v>6412</v>
      </c>
      <c r="G158" s="2443"/>
      <c r="H158" s="2443"/>
      <c r="I158" s="2443"/>
      <c r="J158" s="2443" t="s">
        <v>588</v>
      </c>
      <c r="K158" s="2443"/>
      <c r="L158" s="2443"/>
      <c r="M158" s="2443"/>
      <c r="N158" s="2443"/>
      <c r="O158" s="2443"/>
      <c r="P158" s="2443"/>
    </row>
    <row r="159" spans="1:16" ht="149.65" customHeight="1" x14ac:dyDescent="0.25">
      <c r="A159" s="1846"/>
      <c r="B159" s="2443" t="s">
        <v>6148</v>
      </c>
      <c r="C159" s="2443"/>
      <c r="D159" s="2443"/>
      <c r="E159" s="2443"/>
      <c r="F159" s="2443" t="s">
        <v>7664</v>
      </c>
      <c r="G159" s="2443"/>
      <c r="H159" s="2443"/>
      <c r="I159" s="2443"/>
      <c r="J159" s="2443" t="s">
        <v>588</v>
      </c>
      <c r="K159" s="2443"/>
      <c r="L159" s="2443"/>
      <c r="M159" s="2443"/>
      <c r="N159" s="2443"/>
      <c r="O159" s="2443"/>
      <c r="P159" s="2443"/>
    </row>
    <row r="160" spans="1:16" ht="54.4" customHeight="1" x14ac:dyDescent="0.25">
      <c r="A160" s="1845"/>
      <c r="B160" s="2442" t="s">
        <v>6150</v>
      </c>
      <c r="C160" s="2442"/>
      <c r="D160" s="2442"/>
      <c r="E160" s="2442"/>
      <c r="F160" s="2442" t="s">
        <v>588</v>
      </c>
      <c r="G160" s="2442"/>
      <c r="H160" s="2442"/>
      <c r="I160" s="2442"/>
      <c r="J160" s="2442" t="s">
        <v>7663</v>
      </c>
      <c r="K160" s="2442"/>
      <c r="L160" s="2442"/>
      <c r="M160" s="2442"/>
      <c r="N160" s="2442"/>
      <c r="O160" s="2442"/>
      <c r="P160" s="2442"/>
    </row>
    <row r="161" spans="1:16" x14ac:dyDescent="0.25">
      <c r="A161" s="1846"/>
      <c r="B161" s="2443" t="s">
        <v>7662</v>
      </c>
      <c r="C161" s="2443"/>
      <c r="D161" s="2443"/>
      <c r="E161" s="2443"/>
      <c r="F161" s="2443" t="s">
        <v>7661</v>
      </c>
      <c r="G161" s="2443"/>
      <c r="H161" s="2443"/>
      <c r="I161" s="2443"/>
      <c r="J161" s="2443" t="s">
        <v>588</v>
      </c>
      <c r="K161" s="2443"/>
      <c r="L161" s="2443"/>
      <c r="M161" s="2443"/>
      <c r="N161" s="2443"/>
      <c r="O161" s="2443"/>
      <c r="P161" s="2443"/>
    </row>
    <row r="162" spans="1:16" x14ac:dyDescent="0.25">
      <c r="A162" s="1846"/>
      <c r="B162" s="2443" t="s">
        <v>7660</v>
      </c>
      <c r="C162" s="2443"/>
      <c r="D162" s="2443"/>
      <c r="E162" s="2443"/>
      <c r="F162" s="2443" t="s">
        <v>7659</v>
      </c>
      <c r="G162" s="2443"/>
      <c r="H162" s="2443"/>
      <c r="I162" s="2443"/>
      <c r="J162" s="2443" t="s">
        <v>588</v>
      </c>
      <c r="K162" s="2443"/>
      <c r="L162" s="2443"/>
      <c r="M162" s="2443"/>
      <c r="N162" s="2443"/>
      <c r="O162" s="2443"/>
      <c r="P162" s="2443"/>
    </row>
    <row r="163" spans="1:16" x14ac:dyDescent="0.25">
      <c r="A163" s="1846"/>
      <c r="B163" s="2443" t="s">
        <v>7658</v>
      </c>
      <c r="C163" s="2443"/>
      <c r="D163" s="2443"/>
      <c r="E163" s="2443"/>
      <c r="F163" s="2443" t="s">
        <v>7657</v>
      </c>
      <c r="G163" s="2443"/>
      <c r="H163" s="2443"/>
      <c r="I163" s="2443"/>
      <c r="J163" s="2443" t="s">
        <v>588</v>
      </c>
      <c r="K163" s="2443"/>
      <c r="L163" s="2443"/>
      <c r="M163" s="2443"/>
      <c r="N163" s="2443"/>
      <c r="O163" s="2443"/>
      <c r="P163" s="2443"/>
    </row>
    <row r="164" spans="1:16" x14ac:dyDescent="0.25">
      <c r="A164" s="1846"/>
      <c r="B164" s="2443" t="s">
        <v>7656</v>
      </c>
      <c r="C164" s="2443"/>
      <c r="D164" s="2443"/>
      <c r="E164" s="2443"/>
      <c r="F164" s="2443" t="s">
        <v>7655</v>
      </c>
      <c r="G164" s="2443"/>
      <c r="H164" s="2443"/>
      <c r="I164" s="2443"/>
      <c r="J164" s="2443" t="s">
        <v>588</v>
      </c>
      <c r="K164" s="2443"/>
      <c r="L164" s="2443"/>
      <c r="M164" s="2443"/>
      <c r="N164" s="2443"/>
      <c r="O164" s="2443"/>
      <c r="P164" s="2443"/>
    </row>
    <row r="165" spans="1:16" x14ac:dyDescent="0.25">
      <c r="A165" s="1846"/>
      <c r="B165" s="2443" t="s">
        <v>7654</v>
      </c>
      <c r="C165" s="2443"/>
      <c r="D165" s="2443"/>
      <c r="E165" s="2443"/>
      <c r="F165" s="2443" t="s">
        <v>7653</v>
      </c>
      <c r="G165" s="2443"/>
      <c r="H165" s="2443"/>
      <c r="I165" s="2443"/>
      <c r="J165" s="2443" t="s">
        <v>588</v>
      </c>
      <c r="K165" s="2443"/>
      <c r="L165" s="2443"/>
      <c r="M165" s="2443"/>
      <c r="N165" s="2443"/>
      <c r="O165" s="2443"/>
      <c r="P165" s="2443"/>
    </row>
    <row r="166" spans="1:16" ht="27.2" customHeight="1" x14ac:dyDescent="0.25">
      <c r="A166" s="1846"/>
      <c r="B166" s="2443" t="s">
        <v>7411</v>
      </c>
      <c r="C166" s="2443"/>
      <c r="D166" s="2443"/>
      <c r="E166" s="2443"/>
      <c r="F166" s="2443" t="s">
        <v>7652</v>
      </c>
      <c r="G166" s="2443"/>
      <c r="H166" s="2443"/>
      <c r="I166" s="2443"/>
      <c r="J166" s="2443" t="s">
        <v>588</v>
      </c>
      <c r="K166" s="2443"/>
      <c r="L166" s="2443"/>
      <c r="M166" s="2443"/>
      <c r="N166" s="2443"/>
      <c r="O166" s="2443"/>
      <c r="P166" s="2443"/>
    </row>
    <row r="167" spans="1:16" x14ac:dyDescent="0.25">
      <c r="A167" s="1848" t="s">
        <v>510</v>
      </c>
      <c r="B167" s="2441" t="s">
        <v>6194</v>
      </c>
      <c r="C167" s="2441"/>
      <c r="D167" s="2441"/>
      <c r="E167" s="2441"/>
      <c r="F167" s="2441"/>
      <c r="G167" s="2441"/>
      <c r="H167" s="2441"/>
      <c r="I167" s="2441"/>
      <c r="J167" s="2441" t="s">
        <v>588</v>
      </c>
      <c r="K167" s="2441"/>
      <c r="L167" s="2441"/>
      <c r="M167" s="2559">
        <f>ROUND(SUM($M$129:$M$155),0)</f>
        <v>1761632</v>
      </c>
      <c r="N167" s="2441"/>
      <c r="O167" s="2441"/>
      <c r="P167" s="2441"/>
    </row>
    <row r="168" spans="1:16" x14ac:dyDescent="0.25">
      <c r="A168" s="1848" t="s">
        <v>4213</v>
      </c>
      <c r="B168" s="2441" t="s">
        <v>6195</v>
      </c>
      <c r="C168" s="2441"/>
      <c r="D168" s="2441"/>
      <c r="E168" s="2441"/>
      <c r="F168" s="2441"/>
      <c r="G168" s="2441"/>
      <c r="H168" s="2441"/>
      <c r="I168" s="2441"/>
      <c r="J168" s="2441" t="s">
        <v>588</v>
      </c>
      <c r="K168" s="2441"/>
      <c r="L168" s="2441"/>
      <c r="M168" s="2559">
        <f>ROUND(($M$167),0)</f>
        <v>1761632</v>
      </c>
      <c r="N168" s="2441"/>
      <c r="O168" s="2441"/>
      <c r="P168" s="2441"/>
    </row>
    <row r="169" spans="1:16" x14ac:dyDescent="0.25">
      <c r="A169" s="1848" t="s">
        <v>232</v>
      </c>
      <c r="B169" s="2441" t="s">
        <v>6145</v>
      </c>
      <c r="C169" s="2441"/>
      <c r="D169" s="2441"/>
      <c r="E169" s="2441"/>
      <c r="F169" s="2441" t="s">
        <v>5970</v>
      </c>
      <c r="G169" s="2441"/>
      <c r="H169" s="2441"/>
      <c r="I169" s="2441"/>
      <c r="J169" s="2441"/>
      <c r="K169" s="2441"/>
      <c r="L169" s="2441"/>
      <c r="M169" s="2441"/>
      <c r="N169" s="2441"/>
      <c r="O169" s="2441"/>
      <c r="P169" s="2441"/>
    </row>
    <row r="170" spans="1:16" ht="163.15" customHeight="1" x14ac:dyDescent="0.25">
      <c r="A170" s="1844" t="s">
        <v>237</v>
      </c>
      <c r="B170" s="2431" t="s">
        <v>6196</v>
      </c>
      <c r="C170" s="2432"/>
      <c r="D170" s="2432"/>
      <c r="E170" s="2432"/>
      <c r="F170" s="2432" t="s">
        <v>6197</v>
      </c>
      <c r="G170" s="2432"/>
      <c r="H170" s="2432"/>
      <c r="I170" s="2432"/>
      <c r="J170" s="2432" t="s">
        <v>7651</v>
      </c>
      <c r="K170" s="2432"/>
      <c r="L170" s="2432"/>
      <c r="M170" s="2558">
        <f>ROUND(33400 * 1 * 1.53 * 0.6 * 1.3, 0)</f>
        <v>39860</v>
      </c>
      <c r="N170" s="2432"/>
      <c r="O170" s="2432" t="s">
        <v>7650</v>
      </c>
      <c r="P170" s="2432"/>
    </row>
    <row r="171" spans="1:16" x14ac:dyDescent="0.25">
      <c r="A171" s="1845"/>
      <c r="B171" s="2442" t="s">
        <v>4168</v>
      </c>
      <c r="C171" s="2442"/>
      <c r="D171" s="2442"/>
      <c r="E171" s="2442"/>
      <c r="F171" s="2442" t="s">
        <v>588</v>
      </c>
      <c r="G171" s="2442"/>
      <c r="H171" s="2442"/>
      <c r="I171" s="2442"/>
      <c r="J171" s="2442" t="s">
        <v>588</v>
      </c>
      <c r="K171" s="2442"/>
      <c r="L171" s="2442"/>
      <c r="M171" s="2442"/>
      <c r="N171" s="2442"/>
      <c r="O171" s="2442"/>
      <c r="P171" s="2442"/>
    </row>
    <row r="172" spans="1:16" x14ac:dyDescent="0.25">
      <c r="A172" s="1846"/>
      <c r="B172" s="2443" t="s">
        <v>7321</v>
      </c>
      <c r="C172" s="2443"/>
      <c r="D172" s="2443"/>
      <c r="E172" s="2443"/>
      <c r="F172" s="2443" t="s">
        <v>7320</v>
      </c>
      <c r="G172" s="2443"/>
      <c r="H172" s="2443"/>
      <c r="I172" s="2443"/>
      <c r="J172" s="2443" t="s">
        <v>588</v>
      </c>
      <c r="K172" s="2443"/>
      <c r="L172" s="2443"/>
      <c r="M172" s="2443"/>
      <c r="N172" s="2443"/>
      <c r="O172" s="2443"/>
      <c r="P172" s="2443"/>
    </row>
    <row r="173" spans="1:16" ht="40.9" customHeight="1" x14ac:dyDescent="0.25">
      <c r="A173" s="1846"/>
      <c r="B173" s="2443" t="s">
        <v>6401</v>
      </c>
      <c r="C173" s="2443"/>
      <c r="D173" s="2443"/>
      <c r="E173" s="2443"/>
      <c r="F173" s="2443" t="s">
        <v>6402</v>
      </c>
      <c r="G173" s="2443"/>
      <c r="H173" s="2443"/>
      <c r="I173" s="2443"/>
      <c r="J173" s="2443" t="s">
        <v>588</v>
      </c>
      <c r="K173" s="2443"/>
      <c r="L173" s="2443"/>
      <c r="M173" s="2443"/>
      <c r="N173" s="2443"/>
      <c r="O173" s="2443"/>
      <c r="P173" s="2443"/>
    </row>
    <row r="174" spans="1:16" ht="149.65" customHeight="1" x14ac:dyDescent="0.25">
      <c r="A174" s="1846"/>
      <c r="B174" s="2443" t="s">
        <v>6148</v>
      </c>
      <c r="C174" s="2443"/>
      <c r="D174" s="2443"/>
      <c r="E174" s="2443"/>
      <c r="F174" s="2443" t="s">
        <v>7649</v>
      </c>
      <c r="G174" s="2443"/>
      <c r="H174" s="2443"/>
      <c r="I174" s="2443"/>
      <c r="J174" s="2443" t="s">
        <v>588</v>
      </c>
      <c r="K174" s="2443"/>
      <c r="L174" s="2443"/>
      <c r="M174" s="2443"/>
      <c r="N174" s="2443"/>
      <c r="O174" s="2443"/>
      <c r="P174" s="2443"/>
    </row>
    <row r="175" spans="1:16" ht="54.4" customHeight="1" x14ac:dyDescent="0.25">
      <c r="A175" s="1845"/>
      <c r="B175" s="2442" t="s">
        <v>6150</v>
      </c>
      <c r="C175" s="2442"/>
      <c r="D175" s="2442"/>
      <c r="E175" s="2442"/>
      <c r="F175" s="2442" t="s">
        <v>588</v>
      </c>
      <c r="G175" s="2442"/>
      <c r="H175" s="2442"/>
      <c r="I175" s="2442"/>
      <c r="J175" s="2442" t="s">
        <v>7648</v>
      </c>
      <c r="K175" s="2442"/>
      <c r="L175" s="2442"/>
      <c r="M175" s="2442"/>
      <c r="N175" s="2442"/>
      <c r="O175" s="2442"/>
      <c r="P175" s="2442"/>
    </row>
    <row r="176" spans="1:16" x14ac:dyDescent="0.25">
      <c r="A176" s="1846"/>
      <c r="B176" s="2443" t="s">
        <v>7346</v>
      </c>
      <c r="C176" s="2443"/>
      <c r="D176" s="2443"/>
      <c r="E176" s="2443"/>
      <c r="F176" s="2443" t="s">
        <v>7647</v>
      </c>
      <c r="G176" s="2443"/>
      <c r="H176" s="2443"/>
      <c r="I176" s="2443"/>
      <c r="J176" s="2443" t="s">
        <v>588</v>
      </c>
      <c r="K176" s="2443"/>
      <c r="L176" s="2443"/>
      <c r="M176" s="2443"/>
      <c r="N176" s="2443"/>
      <c r="O176" s="2443"/>
      <c r="P176" s="2443"/>
    </row>
    <row r="177" spans="1:16" ht="27.2" customHeight="1" x14ac:dyDescent="0.25">
      <c r="A177" s="1846"/>
      <c r="B177" s="2443" t="s">
        <v>7629</v>
      </c>
      <c r="C177" s="2443"/>
      <c r="D177" s="2443"/>
      <c r="E177" s="2443"/>
      <c r="F177" s="2443" t="s">
        <v>7646</v>
      </c>
      <c r="G177" s="2443"/>
      <c r="H177" s="2443"/>
      <c r="I177" s="2443"/>
      <c r="J177" s="2443" t="s">
        <v>588</v>
      </c>
      <c r="K177" s="2443"/>
      <c r="L177" s="2443"/>
      <c r="M177" s="2443"/>
      <c r="N177" s="2443"/>
      <c r="O177" s="2443"/>
      <c r="P177" s="2443"/>
    </row>
    <row r="178" spans="1:16" ht="27.2" customHeight="1" x14ac:dyDescent="0.25">
      <c r="A178" s="1846"/>
      <c r="B178" s="2443" t="s">
        <v>7627</v>
      </c>
      <c r="C178" s="2443"/>
      <c r="D178" s="2443"/>
      <c r="E178" s="2443"/>
      <c r="F178" s="2443" t="s">
        <v>7645</v>
      </c>
      <c r="G178" s="2443"/>
      <c r="H178" s="2443"/>
      <c r="I178" s="2443"/>
      <c r="J178" s="2443" t="s">
        <v>588</v>
      </c>
      <c r="K178" s="2443"/>
      <c r="L178" s="2443"/>
      <c r="M178" s="2443"/>
      <c r="N178" s="2443"/>
      <c r="O178" s="2443"/>
      <c r="P178" s="2443"/>
    </row>
    <row r="179" spans="1:16" ht="27.2" customHeight="1" x14ac:dyDescent="0.25">
      <c r="A179" s="1846"/>
      <c r="B179" s="2443" t="s">
        <v>7625</v>
      </c>
      <c r="C179" s="2443"/>
      <c r="D179" s="2443"/>
      <c r="E179" s="2443"/>
      <c r="F179" s="2443" t="s">
        <v>7645</v>
      </c>
      <c r="G179" s="2443"/>
      <c r="H179" s="2443"/>
      <c r="I179" s="2443"/>
      <c r="J179" s="2443" t="s">
        <v>588</v>
      </c>
      <c r="K179" s="2443"/>
      <c r="L179" s="2443"/>
      <c r="M179" s="2443"/>
      <c r="N179" s="2443"/>
      <c r="O179" s="2443"/>
      <c r="P179" s="2443"/>
    </row>
    <row r="180" spans="1:16" x14ac:dyDescent="0.25">
      <c r="A180" s="1846"/>
      <c r="B180" s="2443" t="s">
        <v>7427</v>
      </c>
      <c r="C180" s="2443"/>
      <c r="D180" s="2443"/>
      <c r="E180" s="2443"/>
      <c r="F180" s="2443" t="s">
        <v>7644</v>
      </c>
      <c r="G180" s="2443"/>
      <c r="H180" s="2443"/>
      <c r="I180" s="2443"/>
      <c r="J180" s="2443" t="s">
        <v>588</v>
      </c>
      <c r="K180" s="2443"/>
      <c r="L180" s="2443"/>
      <c r="M180" s="2443"/>
      <c r="N180" s="2443"/>
      <c r="O180" s="2443"/>
      <c r="P180" s="2443"/>
    </row>
    <row r="181" spans="1:16" x14ac:dyDescent="0.25">
      <c r="A181" s="1846"/>
      <c r="B181" s="2443" t="s">
        <v>7425</v>
      </c>
      <c r="C181" s="2443"/>
      <c r="D181" s="2443"/>
      <c r="E181" s="2443"/>
      <c r="F181" s="2443" t="s">
        <v>7643</v>
      </c>
      <c r="G181" s="2443"/>
      <c r="H181" s="2443"/>
      <c r="I181" s="2443"/>
      <c r="J181" s="2443" t="s">
        <v>588</v>
      </c>
      <c r="K181" s="2443"/>
      <c r="L181" s="2443"/>
      <c r="M181" s="2443"/>
      <c r="N181" s="2443"/>
      <c r="O181" s="2443"/>
      <c r="P181" s="2443"/>
    </row>
    <row r="182" spans="1:16" ht="27.2" customHeight="1" x14ac:dyDescent="0.25">
      <c r="A182" s="1846"/>
      <c r="B182" s="2443" t="s">
        <v>7642</v>
      </c>
      <c r="C182" s="2443"/>
      <c r="D182" s="2443"/>
      <c r="E182" s="2443"/>
      <c r="F182" s="2443" t="s">
        <v>7641</v>
      </c>
      <c r="G182" s="2443"/>
      <c r="H182" s="2443"/>
      <c r="I182" s="2443"/>
      <c r="J182" s="2443" t="s">
        <v>588</v>
      </c>
      <c r="K182" s="2443"/>
      <c r="L182" s="2443"/>
      <c r="M182" s="2443"/>
      <c r="N182" s="2443"/>
      <c r="O182" s="2443"/>
      <c r="P182" s="2443"/>
    </row>
    <row r="183" spans="1:16" ht="149.65" customHeight="1" x14ac:dyDescent="0.25">
      <c r="A183" s="1844" t="s">
        <v>511</v>
      </c>
      <c r="B183" s="2431" t="s">
        <v>6209</v>
      </c>
      <c r="C183" s="2432"/>
      <c r="D183" s="2432"/>
      <c r="E183" s="2432"/>
      <c r="F183" s="2432" t="s">
        <v>7204</v>
      </c>
      <c r="G183" s="2432"/>
      <c r="H183" s="2432"/>
      <c r="I183" s="2432"/>
      <c r="J183" s="2432" t="s">
        <v>7640</v>
      </c>
      <c r="K183" s="2432"/>
      <c r="L183" s="2432"/>
      <c r="M183" s="2558">
        <f>ROUND((75900 + 600 * 460) * 1 * 1.68 * 0.6 * 0.82 * 0.74 * 1.3, 0)</f>
        <v>279814</v>
      </c>
      <c r="N183" s="2432"/>
      <c r="O183" s="2432" t="s">
        <v>588</v>
      </c>
      <c r="P183" s="2432"/>
    </row>
    <row r="184" spans="1:16" x14ac:dyDescent="0.25">
      <c r="A184" s="1845"/>
      <c r="B184" s="2442" t="s">
        <v>4168</v>
      </c>
      <c r="C184" s="2442"/>
      <c r="D184" s="2442"/>
      <c r="E184" s="2442"/>
      <c r="F184" s="2442" t="s">
        <v>588</v>
      </c>
      <c r="G184" s="2442"/>
      <c r="H184" s="2442"/>
      <c r="I184" s="2442"/>
      <c r="J184" s="2442" t="s">
        <v>588</v>
      </c>
      <c r="K184" s="2442"/>
      <c r="L184" s="2442"/>
      <c r="M184" s="2442"/>
      <c r="N184" s="2442"/>
      <c r="O184" s="2442"/>
      <c r="P184" s="2442"/>
    </row>
    <row r="185" spans="1:16" x14ac:dyDescent="0.25">
      <c r="A185" s="1846"/>
      <c r="B185" s="2443" t="s">
        <v>7321</v>
      </c>
      <c r="C185" s="2443"/>
      <c r="D185" s="2443"/>
      <c r="E185" s="2443"/>
      <c r="F185" s="2443" t="s">
        <v>7320</v>
      </c>
      <c r="G185" s="2443"/>
      <c r="H185" s="2443"/>
      <c r="I185" s="2443"/>
      <c r="J185" s="2443" t="s">
        <v>588</v>
      </c>
      <c r="K185" s="2443"/>
      <c r="L185" s="2443"/>
      <c r="M185" s="2443"/>
      <c r="N185" s="2443"/>
      <c r="O185" s="2443"/>
      <c r="P185" s="2443"/>
    </row>
    <row r="186" spans="1:16" ht="40.9" customHeight="1" x14ac:dyDescent="0.25">
      <c r="A186" s="1846"/>
      <c r="B186" s="2443" t="s">
        <v>6447</v>
      </c>
      <c r="C186" s="2443"/>
      <c r="D186" s="2443"/>
      <c r="E186" s="2443"/>
      <c r="F186" s="2443" t="s">
        <v>6448</v>
      </c>
      <c r="G186" s="2443"/>
      <c r="H186" s="2443"/>
      <c r="I186" s="2443"/>
      <c r="J186" s="2443" t="s">
        <v>588</v>
      </c>
      <c r="K186" s="2443"/>
      <c r="L186" s="2443"/>
      <c r="M186" s="2443"/>
      <c r="N186" s="2443"/>
      <c r="O186" s="2443"/>
      <c r="P186" s="2443"/>
    </row>
    <row r="187" spans="1:16" ht="68.099999999999994" customHeight="1" x14ac:dyDescent="0.25">
      <c r="A187" s="1846"/>
      <c r="B187" s="2443" t="s">
        <v>6210</v>
      </c>
      <c r="C187" s="2443"/>
      <c r="D187" s="2443"/>
      <c r="E187" s="2443"/>
      <c r="F187" s="2443" t="s">
        <v>6211</v>
      </c>
      <c r="G187" s="2443"/>
      <c r="H187" s="2443"/>
      <c r="I187" s="2443"/>
      <c r="J187" s="2443" t="s">
        <v>588</v>
      </c>
      <c r="K187" s="2443"/>
      <c r="L187" s="2443"/>
      <c r="M187" s="2443"/>
      <c r="N187" s="2443"/>
      <c r="O187" s="2443"/>
      <c r="P187" s="2443"/>
    </row>
    <row r="188" spans="1:16" ht="81.599999999999994" customHeight="1" x14ac:dyDescent="0.25">
      <c r="A188" s="1846"/>
      <c r="B188" s="2443" t="s">
        <v>6212</v>
      </c>
      <c r="C188" s="2443"/>
      <c r="D188" s="2443"/>
      <c r="E188" s="2443"/>
      <c r="F188" s="2443" t="s">
        <v>6213</v>
      </c>
      <c r="G188" s="2443"/>
      <c r="H188" s="2443"/>
      <c r="I188" s="2443"/>
      <c r="J188" s="2443" t="s">
        <v>588</v>
      </c>
      <c r="K188" s="2443"/>
      <c r="L188" s="2443"/>
      <c r="M188" s="2443"/>
      <c r="N188" s="2443"/>
      <c r="O188" s="2443"/>
      <c r="P188" s="2443"/>
    </row>
    <row r="189" spans="1:16" ht="149.65" customHeight="1" x14ac:dyDescent="0.25">
      <c r="A189" s="1846"/>
      <c r="B189" s="2443" t="s">
        <v>6148</v>
      </c>
      <c r="C189" s="2443"/>
      <c r="D189" s="2443"/>
      <c r="E189" s="2443"/>
      <c r="F189" s="2443" t="s">
        <v>7639</v>
      </c>
      <c r="G189" s="2443"/>
      <c r="H189" s="2443"/>
      <c r="I189" s="2443"/>
      <c r="J189" s="2443" t="s">
        <v>588</v>
      </c>
      <c r="K189" s="2443"/>
      <c r="L189" s="2443"/>
      <c r="M189" s="2443"/>
      <c r="N189" s="2443"/>
      <c r="O189" s="2443"/>
      <c r="P189" s="2443"/>
    </row>
    <row r="190" spans="1:16" ht="27.2" customHeight="1" x14ac:dyDescent="0.25">
      <c r="A190" s="1845"/>
      <c r="B190" s="2442" t="s">
        <v>6150</v>
      </c>
      <c r="C190" s="2442"/>
      <c r="D190" s="2442"/>
      <c r="E190" s="2442"/>
      <c r="F190" s="2442" t="s">
        <v>588</v>
      </c>
      <c r="G190" s="2442"/>
      <c r="H190" s="2442"/>
      <c r="I190" s="2442"/>
      <c r="J190" s="2442" t="s">
        <v>7638</v>
      </c>
      <c r="K190" s="2442"/>
      <c r="L190" s="2442"/>
      <c r="M190" s="2442"/>
      <c r="N190" s="2442"/>
      <c r="O190" s="2442"/>
      <c r="P190" s="2442"/>
    </row>
    <row r="191" spans="1:16" x14ac:dyDescent="0.25">
      <c r="A191" s="1846"/>
      <c r="B191" s="2443" t="s">
        <v>7377</v>
      </c>
      <c r="C191" s="2443"/>
      <c r="D191" s="2443"/>
      <c r="E191" s="2443"/>
      <c r="F191" s="2443" t="s">
        <v>7637</v>
      </c>
      <c r="G191" s="2443"/>
      <c r="H191" s="2443"/>
      <c r="I191" s="2443"/>
      <c r="J191" s="2443" t="s">
        <v>588</v>
      </c>
      <c r="K191" s="2443"/>
      <c r="L191" s="2443"/>
      <c r="M191" s="2443"/>
      <c r="N191" s="2443"/>
      <c r="O191" s="2443"/>
      <c r="P191" s="2443"/>
    </row>
    <row r="192" spans="1:16" x14ac:dyDescent="0.25">
      <c r="A192" s="1846"/>
      <c r="B192" s="2443" t="s">
        <v>7375</v>
      </c>
      <c r="C192" s="2443"/>
      <c r="D192" s="2443"/>
      <c r="E192" s="2443"/>
      <c r="F192" s="2443" t="s">
        <v>7636</v>
      </c>
      <c r="G192" s="2443"/>
      <c r="H192" s="2443"/>
      <c r="I192" s="2443"/>
      <c r="J192" s="2443" t="s">
        <v>588</v>
      </c>
      <c r="K192" s="2443"/>
      <c r="L192" s="2443"/>
      <c r="M192" s="2443"/>
      <c r="N192" s="2443"/>
      <c r="O192" s="2443"/>
      <c r="P192" s="2443"/>
    </row>
    <row r="193" spans="1:16" x14ac:dyDescent="0.25">
      <c r="A193" s="1846"/>
      <c r="B193" s="2443" t="s">
        <v>7635</v>
      </c>
      <c r="C193" s="2443"/>
      <c r="D193" s="2443"/>
      <c r="E193" s="2443"/>
      <c r="F193" s="2443" t="s">
        <v>7634</v>
      </c>
      <c r="G193" s="2443"/>
      <c r="H193" s="2443"/>
      <c r="I193" s="2443"/>
      <c r="J193" s="2443" t="s">
        <v>588</v>
      </c>
      <c r="K193" s="2443"/>
      <c r="L193" s="2443"/>
      <c r="M193" s="2443"/>
      <c r="N193" s="2443"/>
      <c r="O193" s="2443"/>
      <c r="P193" s="2443"/>
    </row>
    <row r="194" spans="1:16" ht="95.25" customHeight="1" x14ac:dyDescent="0.25">
      <c r="A194" s="1844" t="s">
        <v>4366</v>
      </c>
      <c r="B194" s="2431" t="s">
        <v>6218</v>
      </c>
      <c r="C194" s="2432"/>
      <c r="D194" s="2432"/>
      <c r="E194" s="2432"/>
      <c r="F194" s="2432" t="s">
        <v>7198</v>
      </c>
      <c r="G194" s="2432"/>
      <c r="H194" s="2432"/>
      <c r="I194" s="2432"/>
      <c r="J194" s="2432" t="s">
        <v>7633</v>
      </c>
      <c r="K194" s="2432"/>
      <c r="L194" s="2432"/>
      <c r="M194" s="2558">
        <f>ROUND((5000 + 19 * 2600) * 1 * 1.53 * 0.6 * 0.6 * 1.3, 0)</f>
        <v>38953</v>
      </c>
      <c r="N194" s="2432"/>
      <c r="O194" s="2432" t="s">
        <v>588</v>
      </c>
      <c r="P194" s="2432"/>
    </row>
    <row r="195" spans="1:16" x14ac:dyDescent="0.25">
      <c r="A195" s="1845"/>
      <c r="B195" s="2442" t="s">
        <v>4168</v>
      </c>
      <c r="C195" s="2442"/>
      <c r="D195" s="2442"/>
      <c r="E195" s="2442"/>
      <c r="F195" s="2442" t="s">
        <v>588</v>
      </c>
      <c r="G195" s="2442"/>
      <c r="H195" s="2442"/>
      <c r="I195" s="2442"/>
      <c r="J195" s="2442" t="s">
        <v>588</v>
      </c>
      <c r="K195" s="2442"/>
      <c r="L195" s="2442"/>
      <c r="M195" s="2442"/>
      <c r="N195" s="2442"/>
      <c r="O195" s="2442"/>
      <c r="P195" s="2442"/>
    </row>
    <row r="196" spans="1:16" x14ac:dyDescent="0.25">
      <c r="A196" s="1846"/>
      <c r="B196" s="2443" t="s">
        <v>7321</v>
      </c>
      <c r="C196" s="2443"/>
      <c r="D196" s="2443"/>
      <c r="E196" s="2443"/>
      <c r="F196" s="2443" t="s">
        <v>7320</v>
      </c>
      <c r="G196" s="2443"/>
      <c r="H196" s="2443"/>
      <c r="I196" s="2443"/>
      <c r="J196" s="2443" t="s">
        <v>588</v>
      </c>
      <c r="K196" s="2443"/>
      <c r="L196" s="2443"/>
      <c r="M196" s="2443"/>
      <c r="N196" s="2443"/>
      <c r="O196" s="2443"/>
      <c r="P196" s="2443"/>
    </row>
    <row r="197" spans="1:16" ht="40.9" customHeight="1" x14ac:dyDescent="0.25">
      <c r="A197" s="1846"/>
      <c r="B197" s="2443" t="s">
        <v>6401</v>
      </c>
      <c r="C197" s="2443"/>
      <c r="D197" s="2443"/>
      <c r="E197" s="2443"/>
      <c r="F197" s="2443" t="s">
        <v>6402</v>
      </c>
      <c r="G197" s="2443"/>
      <c r="H197" s="2443"/>
      <c r="I197" s="2443"/>
      <c r="J197" s="2443" t="s">
        <v>588</v>
      </c>
      <c r="K197" s="2443"/>
      <c r="L197" s="2443"/>
      <c r="M197" s="2443"/>
      <c r="N197" s="2443"/>
      <c r="O197" s="2443"/>
      <c r="P197" s="2443"/>
    </row>
    <row r="198" spans="1:16" ht="68.099999999999994" customHeight="1" x14ac:dyDescent="0.25">
      <c r="A198" s="1846"/>
      <c r="B198" s="2443" t="s">
        <v>6219</v>
      </c>
      <c r="C198" s="2443"/>
      <c r="D198" s="2443"/>
      <c r="E198" s="2443"/>
      <c r="F198" s="2443" t="s">
        <v>6220</v>
      </c>
      <c r="G198" s="2443"/>
      <c r="H198" s="2443"/>
      <c r="I198" s="2443"/>
      <c r="J198" s="2443" t="s">
        <v>588</v>
      </c>
      <c r="K198" s="2443"/>
      <c r="L198" s="2443"/>
      <c r="M198" s="2443"/>
      <c r="N198" s="2443"/>
      <c r="O198" s="2443"/>
      <c r="P198" s="2443"/>
    </row>
    <row r="199" spans="1:16" ht="149.65" customHeight="1" x14ac:dyDescent="0.25">
      <c r="A199" s="1846"/>
      <c r="B199" s="2443" t="s">
        <v>6148</v>
      </c>
      <c r="C199" s="2443"/>
      <c r="D199" s="2443"/>
      <c r="E199" s="2443"/>
      <c r="F199" s="2443" t="s">
        <v>7632</v>
      </c>
      <c r="G199" s="2443"/>
      <c r="H199" s="2443"/>
      <c r="I199" s="2443"/>
      <c r="J199" s="2443" t="s">
        <v>588</v>
      </c>
      <c r="K199" s="2443"/>
      <c r="L199" s="2443"/>
      <c r="M199" s="2443"/>
      <c r="N199" s="2443"/>
      <c r="O199" s="2443"/>
      <c r="P199" s="2443"/>
    </row>
    <row r="200" spans="1:16" ht="68.099999999999994" customHeight="1" x14ac:dyDescent="0.25">
      <c r="A200" s="1845"/>
      <c r="B200" s="2442" t="s">
        <v>6150</v>
      </c>
      <c r="C200" s="2442"/>
      <c r="D200" s="2442"/>
      <c r="E200" s="2442"/>
      <c r="F200" s="2442" t="s">
        <v>588</v>
      </c>
      <c r="G200" s="2442"/>
      <c r="H200" s="2442"/>
      <c r="I200" s="2442"/>
      <c r="J200" s="2442" t="s">
        <v>7631</v>
      </c>
      <c r="K200" s="2442"/>
      <c r="L200" s="2442"/>
      <c r="M200" s="2442"/>
      <c r="N200" s="2442"/>
      <c r="O200" s="2442"/>
      <c r="P200" s="2442"/>
    </row>
    <row r="201" spans="1:16" x14ac:dyDescent="0.25">
      <c r="A201" s="1846"/>
      <c r="B201" s="2443" t="s">
        <v>7346</v>
      </c>
      <c r="C201" s="2443"/>
      <c r="D201" s="2443"/>
      <c r="E201" s="2443"/>
      <c r="F201" s="2443" t="s">
        <v>7630</v>
      </c>
      <c r="G201" s="2443"/>
      <c r="H201" s="2443"/>
      <c r="I201" s="2443"/>
      <c r="J201" s="2443" t="s">
        <v>588</v>
      </c>
      <c r="K201" s="2443"/>
      <c r="L201" s="2443"/>
      <c r="M201" s="2443"/>
      <c r="N201" s="2443"/>
      <c r="O201" s="2443"/>
      <c r="P201" s="2443"/>
    </row>
    <row r="202" spans="1:16" ht="27.2" customHeight="1" x14ac:dyDescent="0.25">
      <c r="A202" s="1846"/>
      <c r="B202" s="2443" t="s">
        <v>7629</v>
      </c>
      <c r="C202" s="2443"/>
      <c r="D202" s="2443"/>
      <c r="E202" s="2443"/>
      <c r="F202" s="2443" t="s">
        <v>7628</v>
      </c>
      <c r="G202" s="2443"/>
      <c r="H202" s="2443"/>
      <c r="I202" s="2443"/>
      <c r="J202" s="2443" t="s">
        <v>588</v>
      </c>
      <c r="K202" s="2443"/>
      <c r="L202" s="2443"/>
      <c r="M202" s="2443"/>
      <c r="N202" s="2443"/>
      <c r="O202" s="2443"/>
      <c r="P202" s="2443"/>
    </row>
    <row r="203" spans="1:16" ht="27.2" customHeight="1" x14ac:dyDescent="0.25">
      <c r="A203" s="1846"/>
      <c r="B203" s="2443" t="s">
        <v>7627</v>
      </c>
      <c r="C203" s="2443"/>
      <c r="D203" s="2443"/>
      <c r="E203" s="2443"/>
      <c r="F203" s="2443" t="s">
        <v>7626</v>
      </c>
      <c r="G203" s="2443"/>
      <c r="H203" s="2443"/>
      <c r="I203" s="2443"/>
      <c r="J203" s="2443" t="s">
        <v>588</v>
      </c>
      <c r="K203" s="2443"/>
      <c r="L203" s="2443"/>
      <c r="M203" s="2443"/>
      <c r="N203" s="2443"/>
      <c r="O203" s="2443"/>
      <c r="P203" s="2443"/>
    </row>
    <row r="204" spans="1:16" ht="27.2" customHeight="1" x14ac:dyDescent="0.25">
      <c r="A204" s="1846"/>
      <c r="B204" s="2443" t="s">
        <v>7625</v>
      </c>
      <c r="C204" s="2443"/>
      <c r="D204" s="2443"/>
      <c r="E204" s="2443"/>
      <c r="F204" s="2443" t="s">
        <v>7624</v>
      </c>
      <c r="G204" s="2443"/>
      <c r="H204" s="2443"/>
      <c r="I204" s="2443"/>
      <c r="J204" s="2443" t="s">
        <v>588</v>
      </c>
      <c r="K204" s="2443"/>
      <c r="L204" s="2443"/>
      <c r="M204" s="2443"/>
      <c r="N204" s="2443"/>
      <c r="O204" s="2443"/>
      <c r="P204" s="2443"/>
    </row>
    <row r="205" spans="1:16" x14ac:dyDescent="0.25">
      <c r="A205" s="1846"/>
      <c r="B205" s="2443" t="s">
        <v>7427</v>
      </c>
      <c r="C205" s="2443"/>
      <c r="D205" s="2443"/>
      <c r="E205" s="2443"/>
      <c r="F205" s="2443" t="s">
        <v>7623</v>
      </c>
      <c r="G205" s="2443"/>
      <c r="H205" s="2443"/>
      <c r="I205" s="2443"/>
      <c r="J205" s="2443" t="s">
        <v>588</v>
      </c>
      <c r="K205" s="2443"/>
      <c r="L205" s="2443"/>
      <c r="M205" s="2443"/>
      <c r="N205" s="2443"/>
      <c r="O205" s="2443"/>
      <c r="P205" s="2443"/>
    </row>
    <row r="206" spans="1:16" x14ac:dyDescent="0.25">
      <c r="A206" s="1846"/>
      <c r="B206" s="2443" t="s">
        <v>7425</v>
      </c>
      <c r="C206" s="2443"/>
      <c r="D206" s="2443"/>
      <c r="E206" s="2443"/>
      <c r="F206" s="2443" t="s">
        <v>7622</v>
      </c>
      <c r="G206" s="2443"/>
      <c r="H206" s="2443"/>
      <c r="I206" s="2443"/>
      <c r="J206" s="2443" t="s">
        <v>588</v>
      </c>
      <c r="K206" s="2443"/>
      <c r="L206" s="2443"/>
      <c r="M206" s="2443"/>
      <c r="N206" s="2443"/>
      <c r="O206" s="2443"/>
      <c r="P206" s="2443"/>
    </row>
    <row r="207" spans="1:16" x14ac:dyDescent="0.25">
      <c r="A207" s="1846"/>
      <c r="B207" s="2443" t="s">
        <v>7621</v>
      </c>
      <c r="C207" s="2443"/>
      <c r="D207" s="2443"/>
      <c r="E207" s="2443"/>
      <c r="F207" s="2443" t="s">
        <v>7616</v>
      </c>
      <c r="G207" s="2443"/>
      <c r="H207" s="2443"/>
      <c r="I207" s="2443"/>
      <c r="J207" s="2443" t="s">
        <v>588</v>
      </c>
      <c r="K207" s="2443"/>
      <c r="L207" s="2443"/>
      <c r="M207" s="2443"/>
      <c r="N207" s="2443"/>
      <c r="O207" s="2443"/>
      <c r="P207" s="2443"/>
    </row>
    <row r="208" spans="1:16" ht="27.2" customHeight="1" x14ac:dyDescent="0.25">
      <c r="A208" s="1846"/>
      <c r="B208" s="2443" t="s">
        <v>7620</v>
      </c>
      <c r="C208" s="2443"/>
      <c r="D208" s="2443"/>
      <c r="E208" s="2443"/>
      <c r="F208" s="2443" t="s">
        <v>7619</v>
      </c>
      <c r="G208" s="2443"/>
      <c r="H208" s="2443"/>
      <c r="I208" s="2443"/>
      <c r="J208" s="2443" t="s">
        <v>588</v>
      </c>
      <c r="K208" s="2443"/>
      <c r="L208" s="2443"/>
      <c r="M208" s="2443"/>
      <c r="N208" s="2443"/>
      <c r="O208" s="2443"/>
      <c r="P208" s="2443"/>
    </row>
    <row r="209" spans="1:16" ht="27.2" customHeight="1" x14ac:dyDescent="0.25">
      <c r="A209" s="1846"/>
      <c r="B209" s="2443" t="s">
        <v>6866</v>
      </c>
      <c r="C209" s="2443"/>
      <c r="D209" s="2443"/>
      <c r="E209" s="2443"/>
      <c r="F209" s="2443" t="s">
        <v>7618</v>
      </c>
      <c r="G209" s="2443"/>
      <c r="H209" s="2443"/>
      <c r="I209" s="2443"/>
      <c r="J209" s="2443" t="s">
        <v>588</v>
      </c>
      <c r="K209" s="2443"/>
      <c r="L209" s="2443"/>
      <c r="M209" s="2443"/>
      <c r="N209" s="2443"/>
      <c r="O209" s="2443"/>
      <c r="P209" s="2443"/>
    </row>
    <row r="210" spans="1:16" ht="27.2" customHeight="1" x14ac:dyDescent="0.25">
      <c r="A210" s="1846"/>
      <c r="B210" s="2443" t="s">
        <v>7617</v>
      </c>
      <c r="C210" s="2443"/>
      <c r="D210" s="2443"/>
      <c r="E210" s="2443"/>
      <c r="F210" s="2443" t="s">
        <v>7616</v>
      </c>
      <c r="G210" s="2443"/>
      <c r="H210" s="2443"/>
      <c r="I210" s="2443"/>
      <c r="J210" s="2443" t="s">
        <v>588</v>
      </c>
      <c r="K210" s="2443"/>
      <c r="L210" s="2443"/>
      <c r="M210" s="2443"/>
      <c r="N210" s="2443"/>
      <c r="O210" s="2443"/>
      <c r="P210" s="2443"/>
    </row>
    <row r="211" spans="1:16" ht="135.94999999999999" customHeight="1" x14ac:dyDescent="0.25">
      <c r="A211" s="1844" t="s">
        <v>4367</v>
      </c>
      <c r="B211" s="2431" t="s">
        <v>6229</v>
      </c>
      <c r="C211" s="2432"/>
      <c r="D211" s="2432"/>
      <c r="E211" s="2432"/>
      <c r="F211" s="2432" t="s">
        <v>6230</v>
      </c>
      <c r="G211" s="2432"/>
      <c r="H211" s="2432"/>
      <c r="I211" s="2432"/>
      <c r="J211" s="2432" t="s">
        <v>7615</v>
      </c>
      <c r="K211" s="2432"/>
      <c r="L211" s="2432"/>
      <c r="M211" s="2558">
        <f>ROUND(41100 * 1 * 1.68 * 0.6 * 1.3, 0)</f>
        <v>53857</v>
      </c>
      <c r="N211" s="2432"/>
      <c r="O211" s="2432" t="s">
        <v>588</v>
      </c>
      <c r="P211" s="2432"/>
    </row>
    <row r="212" spans="1:16" x14ac:dyDescent="0.25">
      <c r="A212" s="1845"/>
      <c r="B212" s="2442" t="s">
        <v>4168</v>
      </c>
      <c r="C212" s="2442"/>
      <c r="D212" s="2442"/>
      <c r="E212" s="2442"/>
      <c r="F212" s="2442" t="s">
        <v>588</v>
      </c>
      <c r="G212" s="2442"/>
      <c r="H212" s="2442"/>
      <c r="I212" s="2442"/>
      <c r="J212" s="2442" t="s">
        <v>588</v>
      </c>
      <c r="K212" s="2442"/>
      <c r="L212" s="2442"/>
      <c r="M212" s="2442"/>
      <c r="N212" s="2442"/>
      <c r="O212" s="2442"/>
      <c r="P212" s="2442"/>
    </row>
    <row r="213" spans="1:16" x14ac:dyDescent="0.25">
      <c r="A213" s="1846"/>
      <c r="B213" s="2443" t="s">
        <v>7321</v>
      </c>
      <c r="C213" s="2443"/>
      <c r="D213" s="2443"/>
      <c r="E213" s="2443"/>
      <c r="F213" s="2443" t="s">
        <v>7320</v>
      </c>
      <c r="G213" s="2443"/>
      <c r="H213" s="2443"/>
      <c r="I213" s="2443"/>
      <c r="J213" s="2443" t="s">
        <v>588</v>
      </c>
      <c r="K213" s="2443"/>
      <c r="L213" s="2443"/>
      <c r="M213" s="2443"/>
      <c r="N213" s="2443"/>
      <c r="O213" s="2443"/>
      <c r="P213" s="2443"/>
    </row>
    <row r="214" spans="1:16" ht="40.9" customHeight="1" x14ac:dyDescent="0.25">
      <c r="A214" s="1846"/>
      <c r="B214" s="2443" t="s">
        <v>6447</v>
      </c>
      <c r="C214" s="2443"/>
      <c r="D214" s="2443"/>
      <c r="E214" s="2443"/>
      <c r="F214" s="2443" t="s">
        <v>6448</v>
      </c>
      <c r="G214" s="2443"/>
      <c r="H214" s="2443"/>
      <c r="I214" s="2443"/>
      <c r="J214" s="2443" t="s">
        <v>588</v>
      </c>
      <c r="K214" s="2443"/>
      <c r="L214" s="2443"/>
      <c r="M214" s="2443"/>
      <c r="N214" s="2443"/>
      <c r="O214" s="2443"/>
      <c r="P214" s="2443"/>
    </row>
    <row r="215" spans="1:16" ht="149.65" customHeight="1" x14ac:dyDescent="0.25">
      <c r="A215" s="1846"/>
      <c r="B215" s="2443" t="s">
        <v>6148</v>
      </c>
      <c r="C215" s="2443"/>
      <c r="D215" s="2443"/>
      <c r="E215" s="2443"/>
      <c r="F215" s="2443" t="s">
        <v>7614</v>
      </c>
      <c r="G215" s="2443"/>
      <c r="H215" s="2443"/>
      <c r="I215" s="2443"/>
      <c r="J215" s="2443" t="s">
        <v>588</v>
      </c>
      <c r="K215" s="2443"/>
      <c r="L215" s="2443"/>
      <c r="M215" s="2443"/>
      <c r="N215" s="2443"/>
      <c r="O215" s="2443"/>
      <c r="P215" s="2443"/>
    </row>
    <row r="216" spans="1:16" ht="40.9" customHeight="1" x14ac:dyDescent="0.25">
      <c r="A216" s="1845"/>
      <c r="B216" s="2442" t="s">
        <v>6150</v>
      </c>
      <c r="C216" s="2442"/>
      <c r="D216" s="2442"/>
      <c r="E216" s="2442"/>
      <c r="F216" s="2442" t="s">
        <v>588</v>
      </c>
      <c r="G216" s="2442"/>
      <c r="H216" s="2442"/>
      <c r="I216" s="2442"/>
      <c r="J216" s="2442" t="s">
        <v>7613</v>
      </c>
      <c r="K216" s="2442"/>
      <c r="L216" s="2442"/>
      <c r="M216" s="2442"/>
      <c r="N216" s="2442"/>
      <c r="O216" s="2442"/>
      <c r="P216" s="2442"/>
    </row>
    <row r="217" spans="1:16" x14ac:dyDescent="0.25">
      <c r="A217" s="1846"/>
      <c r="B217" s="2443" t="s">
        <v>7377</v>
      </c>
      <c r="C217" s="2443"/>
      <c r="D217" s="2443"/>
      <c r="E217" s="2443"/>
      <c r="F217" s="2443" t="s">
        <v>7612</v>
      </c>
      <c r="G217" s="2443"/>
      <c r="H217" s="2443"/>
      <c r="I217" s="2443"/>
      <c r="J217" s="2443" t="s">
        <v>588</v>
      </c>
      <c r="K217" s="2443"/>
      <c r="L217" s="2443"/>
      <c r="M217" s="2443"/>
      <c r="N217" s="2443"/>
      <c r="O217" s="2443"/>
      <c r="P217" s="2443"/>
    </row>
    <row r="218" spans="1:16" x14ac:dyDescent="0.25">
      <c r="A218" s="1846"/>
      <c r="B218" s="2443" t="s">
        <v>7375</v>
      </c>
      <c r="C218" s="2443"/>
      <c r="D218" s="2443"/>
      <c r="E218" s="2443"/>
      <c r="F218" s="2443" t="s">
        <v>7611</v>
      </c>
      <c r="G218" s="2443"/>
      <c r="H218" s="2443"/>
      <c r="I218" s="2443"/>
      <c r="J218" s="2443" t="s">
        <v>588</v>
      </c>
      <c r="K218" s="2443"/>
      <c r="L218" s="2443"/>
      <c r="M218" s="2443"/>
      <c r="N218" s="2443"/>
      <c r="O218" s="2443"/>
      <c r="P218" s="2443"/>
    </row>
    <row r="219" spans="1:16" ht="27.2" customHeight="1" x14ac:dyDescent="0.25">
      <c r="A219" s="1846"/>
      <c r="B219" s="2443" t="s">
        <v>7373</v>
      </c>
      <c r="C219" s="2443"/>
      <c r="D219" s="2443"/>
      <c r="E219" s="2443"/>
      <c r="F219" s="2443" t="s">
        <v>7610</v>
      </c>
      <c r="G219" s="2443"/>
      <c r="H219" s="2443"/>
      <c r="I219" s="2443"/>
      <c r="J219" s="2443" t="s">
        <v>588</v>
      </c>
      <c r="K219" s="2443"/>
      <c r="L219" s="2443"/>
      <c r="M219" s="2443"/>
      <c r="N219" s="2443"/>
      <c r="O219" s="2443"/>
      <c r="P219" s="2443"/>
    </row>
    <row r="220" spans="1:16" ht="27.2" customHeight="1" x14ac:dyDescent="0.25">
      <c r="A220" s="1846"/>
      <c r="B220" s="2443" t="s">
        <v>7609</v>
      </c>
      <c r="C220" s="2443"/>
      <c r="D220" s="2443"/>
      <c r="E220" s="2443"/>
      <c r="F220" s="2443" t="s">
        <v>7608</v>
      </c>
      <c r="G220" s="2443"/>
      <c r="H220" s="2443"/>
      <c r="I220" s="2443"/>
      <c r="J220" s="2443" t="s">
        <v>588</v>
      </c>
      <c r="K220" s="2443"/>
      <c r="L220" s="2443"/>
      <c r="M220" s="2443"/>
      <c r="N220" s="2443"/>
      <c r="O220" s="2443"/>
      <c r="P220" s="2443"/>
    </row>
    <row r="221" spans="1:16" x14ac:dyDescent="0.25">
      <c r="A221" s="1846"/>
      <c r="B221" s="2443" t="s">
        <v>7368</v>
      </c>
      <c r="C221" s="2443"/>
      <c r="D221" s="2443"/>
      <c r="E221" s="2443"/>
      <c r="F221" s="2443" t="s">
        <v>7607</v>
      </c>
      <c r="G221" s="2443"/>
      <c r="H221" s="2443"/>
      <c r="I221" s="2443"/>
      <c r="J221" s="2443" t="s">
        <v>588</v>
      </c>
      <c r="K221" s="2443"/>
      <c r="L221" s="2443"/>
      <c r="M221" s="2443"/>
      <c r="N221" s="2443"/>
      <c r="O221" s="2443"/>
      <c r="P221" s="2443"/>
    </row>
    <row r="222" spans="1:16" x14ac:dyDescent="0.25">
      <c r="A222" s="1848" t="s">
        <v>4368</v>
      </c>
      <c r="B222" s="2441" t="s">
        <v>6235</v>
      </c>
      <c r="C222" s="2441"/>
      <c r="D222" s="2441"/>
      <c r="E222" s="2441"/>
      <c r="F222" s="2441"/>
      <c r="G222" s="2441"/>
      <c r="H222" s="2441"/>
      <c r="I222" s="2441"/>
      <c r="J222" s="2441" t="s">
        <v>588</v>
      </c>
      <c r="K222" s="2441"/>
      <c r="L222" s="2441"/>
      <c r="M222" s="2559">
        <f>ROUND(SUM($M$170:$M$211),0)</f>
        <v>412484</v>
      </c>
      <c r="N222" s="2441"/>
      <c r="O222" s="2441"/>
      <c r="P222" s="2441"/>
    </row>
    <row r="223" spans="1:16" x14ac:dyDescent="0.25">
      <c r="A223" s="1848" t="s">
        <v>4369</v>
      </c>
      <c r="B223" s="2441" t="s">
        <v>6237</v>
      </c>
      <c r="C223" s="2441"/>
      <c r="D223" s="2441"/>
      <c r="E223" s="2441"/>
      <c r="F223" s="2441"/>
      <c r="G223" s="2441"/>
      <c r="H223" s="2441"/>
      <c r="I223" s="2441"/>
      <c r="J223" s="2441" t="s">
        <v>588</v>
      </c>
      <c r="K223" s="2441"/>
      <c r="L223" s="2441"/>
      <c r="M223" s="2559">
        <f>ROUND(($M$222),0)</f>
        <v>412484</v>
      </c>
      <c r="N223" s="2441"/>
      <c r="O223" s="2441"/>
      <c r="P223" s="2441"/>
    </row>
    <row r="224" spans="1:16" x14ac:dyDescent="0.25">
      <c r="A224" s="1848" t="s">
        <v>233</v>
      </c>
      <c r="B224" s="2441" t="s">
        <v>6145</v>
      </c>
      <c r="C224" s="2441"/>
      <c r="D224" s="2441"/>
      <c r="E224" s="2441"/>
      <c r="F224" s="2441" t="s">
        <v>5730</v>
      </c>
      <c r="G224" s="2441"/>
      <c r="H224" s="2441"/>
      <c r="I224" s="2441"/>
      <c r="J224" s="2441"/>
      <c r="K224" s="2441"/>
      <c r="L224" s="2441"/>
      <c r="M224" s="2441"/>
      <c r="N224" s="2441"/>
      <c r="O224" s="2441"/>
      <c r="P224" s="2441"/>
    </row>
    <row r="225" spans="1:16" ht="409.6" customHeight="1" x14ac:dyDescent="0.25">
      <c r="A225" s="1844" t="s">
        <v>4415</v>
      </c>
      <c r="B225" s="2431" t="s">
        <v>6238</v>
      </c>
      <c r="C225" s="2432"/>
      <c r="D225" s="2432"/>
      <c r="E225" s="2432"/>
      <c r="F225" s="2432" t="s">
        <v>6239</v>
      </c>
      <c r="G225" s="2432"/>
      <c r="H225" s="2432"/>
      <c r="I225" s="2432"/>
      <c r="J225" s="2432" t="s">
        <v>7606</v>
      </c>
      <c r="K225" s="2432"/>
      <c r="L225" s="2432"/>
      <c r="M225" s="2558">
        <f>ROUND(70000 * 1 * 1.68 * 0.6 * 0.35 * 1.3, 0)</f>
        <v>32105</v>
      </c>
      <c r="N225" s="2432"/>
      <c r="O225" s="2432" t="s">
        <v>7605</v>
      </c>
      <c r="P225" s="2432"/>
    </row>
    <row r="226" spans="1:16" x14ac:dyDescent="0.25">
      <c r="A226" s="1845"/>
      <c r="B226" s="2442" t="s">
        <v>4168</v>
      </c>
      <c r="C226" s="2442"/>
      <c r="D226" s="2442"/>
      <c r="E226" s="2442"/>
      <c r="F226" s="2442" t="s">
        <v>588</v>
      </c>
      <c r="G226" s="2442"/>
      <c r="H226" s="2442"/>
      <c r="I226" s="2442"/>
      <c r="J226" s="2442" t="s">
        <v>588</v>
      </c>
      <c r="K226" s="2442"/>
      <c r="L226" s="2442"/>
      <c r="M226" s="2442"/>
      <c r="N226" s="2442"/>
      <c r="O226" s="2442"/>
      <c r="P226" s="2442"/>
    </row>
    <row r="227" spans="1:16" x14ac:dyDescent="0.25">
      <c r="A227" s="1846"/>
      <c r="B227" s="2443" t="s">
        <v>7321</v>
      </c>
      <c r="C227" s="2443"/>
      <c r="D227" s="2443"/>
      <c r="E227" s="2443"/>
      <c r="F227" s="2443" t="s">
        <v>7320</v>
      </c>
      <c r="G227" s="2443"/>
      <c r="H227" s="2443"/>
      <c r="I227" s="2443"/>
      <c r="J227" s="2443" t="s">
        <v>588</v>
      </c>
      <c r="K227" s="2443"/>
      <c r="L227" s="2443"/>
      <c r="M227" s="2443"/>
      <c r="N227" s="2443"/>
      <c r="O227" s="2443"/>
      <c r="P227" s="2443"/>
    </row>
    <row r="228" spans="1:16" ht="40.9" customHeight="1" x14ac:dyDescent="0.25">
      <c r="A228" s="1846"/>
      <c r="B228" s="2443" t="s">
        <v>6447</v>
      </c>
      <c r="C228" s="2443"/>
      <c r="D228" s="2443"/>
      <c r="E228" s="2443"/>
      <c r="F228" s="2443" t="s">
        <v>6448</v>
      </c>
      <c r="G228" s="2443"/>
      <c r="H228" s="2443"/>
      <c r="I228" s="2443"/>
      <c r="J228" s="2443" t="s">
        <v>588</v>
      </c>
      <c r="K228" s="2443"/>
      <c r="L228" s="2443"/>
      <c r="M228" s="2443"/>
      <c r="N228" s="2443"/>
      <c r="O228" s="2443"/>
      <c r="P228" s="2443"/>
    </row>
    <row r="229" spans="1:16" ht="68.099999999999994" customHeight="1" x14ac:dyDescent="0.25">
      <c r="A229" s="1846"/>
      <c r="B229" s="2443" t="s">
        <v>6240</v>
      </c>
      <c r="C229" s="2443"/>
      <c r="D229" s="2443"/>
      <c r="E229" s="2443"/>
      <c r="F229" s="2443" t="s">
        <v>6241</v>
      </c>
      <c r="G229" s="2443"/>
      <c r="H229" s="2443"/>
      <c r="I229" s="2443"/>
      <c r="J229" s="2443" t="s">
        <v>588</v>
      </c>
      <c r="K229" s="2443"/>
      <c r="L229" s="2443"/>
      <c r="M229" s="2443"/>
      <c r="N229" s="2443"/>
      <c r="O229" s="2443"/>
      <c r="P229" s="2443"/>
    </row>
    <row r="230" spans="1:16" ht="149.65" customHeight="1" x14ac:dyDescent="0.25">
      <c r="A230" s="1846"/>
      <c r="B230" s="2443" t="s">
        <v>6148</v>
      </c>
      <c r="C230" s="2443"/>
      <c r="D230" s="2443"/>
      <c r="E230" s="2443"/>
      <c r="F230" s="2443" t="s">
        <v>6242</v>
      </c>
      <c r="G230" s="2443"/>
      <c r="H230" s="2443"/>
      <c r="I230" s="2443"/>
      <c r="J230" s="2443" t="s">
        <v>588</v>
      </c>
      <c r="K230" s="2443"/>
      <c r="L230" s="2443"/>
      <c r="M230" s="2443"/>
      <c r="N230" s="2443"/>
      <c r="O230" s="2443"/>
      <c r="P230" s="2443"/>
    </row>
    <row r="231" spans="1:16" x14ac:dyDescent="0.25">
      <c r="A231" s="1845"/>
      <c r="B231" s="2442" t="s">
        <v>6150</v>
      </c>
      <c r="C231" s="2442"/>
      <c r="D231" s="2442"/>
      <c r="E231" s="2442"/>
      <c r="F231" s="2442" t="s">
        <v>588</v>
      </c>
      <c r="G231" s="2442"/>
      <c r="H231" s="2442"/>
      <c r="I231" s="2442"/>
      <c r="J231" s="2442" t="s">
        <v>6243</v>
      </c>
      <c r="K231" s="2442"/>
      <c r="L231" s="2442"/>
      <c r="M231" s="2442"/>
      <c r="N231" s="2442"/>
      <c r="O231" s="2442"/>
      <c r="P231" s="2442"/>
    </row>
    <row r="232" spans="1:16" x14ac:dyDescent="0.25">
      <c r="A232" s="1846"/>
      <c r="B232" s="2443" t="s">
        <v>6244</v>
      </c>
      <c r="C232" s="2443"/>
      <c r="D232" s="2443"/>
      <c r="E232" s="2443"/>
      <c r="F232" s="2443" t="s">
        <v>7604</v>
      </c>
      <c r="G232" s="2443"/>
      <c r="H232" s="2443"/>
      <c r="I232" s="2443"/>
      <c r="J232" s="2443" t="s">
        <v>588</v>
      </c>
      <c r="K232" s="2443"/>
      <c r="L232" s="2443"/>
      <c r="M232" s="2443"/>
      <c r="N232" s="2443"/>
      <c r="O232" s="2443"/>
      <c r="P232" s="2443"/>
    </row>
    <row r="233" spans="1:16" ht="135.94999999999999" customHeight="1" x14ac:dyDescent="0.25">
      <c r="A233" s="1844" t="s">
        <v>6132</v>
      </c>
      <c r="B233" s="2431" t="s">
        <v>6245</v>
      </c>
      <c r="C233" s="2432"/>
      <c r="D233" s="2432"/>
      <c r="E233" s="2432"/>
      <c r="F233" s="2432" t="s">
        <v>7185</v>
      </c>
      <c r="G233" s="2432"/>
      <c r="H233" s="2432"/>
      <c r="I233" s="2432"/>
      <c r="J233" s="2432" t="s">
        <v>7603</v>
      </c>
      <c r="K233" s="2432"/>
      <c r="L233" s="2432"/>
      <c r="M233" s="2558">
        <f>ROUND((30300 + 209 * 800) * 1 * 1.68 * 0.6 * 0.8 * 1.28895, 0)</f>
        <v>205283</v>
      </c>
      <c r="N233" s="2432"/>
      <c r="O233" s="2432" t="s">
        <v>7602</v>
      </c>
      <c r="P233" s="2432"/>
    </row>
    <row r="234" spans="1:16" x14ac:dyDescent="0.25">
      <c r="A234" s="1845"/>
      <c r="B234" s="2442" t="s">
        <v>4168</v>
      </c>
      <c r="C234" s="2442"/>
      <c r="D234" s="2442"/>
      <c r="E234" s="2442"/>
      <c r="F234" s="2442" t="s">
        <v>588</v>
      </c>
      <c r="G234" s="2442"/>
      <c r="H234" s="2442"/>
      <c r="I234" s="2442"/>
      <c r="J234" s="2442" t="s">
        <v>588</v>
      </c>
      <c r="K234" s="2442"/>
      <c r="L234" s="2442"/>
      <c r="M234" s="2442"/>
      <c r="N234" s="2442"/>
      <c r="O234" s="2442"/>
      <c r="P234" s="2442"/>
    </row>
    <row r="235" spans="1:16" x14ac:dyDescent="0.25">
      <c r="A235" s="1846"/>
      <c r="B235" s="2443" t="s">
        <v>7321</v>
      </c>
      <c r="C235" s="2443"/>
      <c r="D235" s="2443"/>
      <c r="E235" s="2443"/>
      <c r="F235" s="2443" t="s">
        <v>7320</v>
      </c>
      <c r="G235" s="2443"/>
      <c r="H235" s="2443"/>
      <c r="I235" s="2443"/>
      <c r="J235" s="2443" t="s">
        <v>588</v>
      </c>
      <c r="K235" s="2443"/>
      <c r="L235" s="2443"/>
      <c r="M235" s="2443"/>
      <c r="N235" s="2443"/>
      <c r="O235" s="2443"/>
      <c r="P235" s="2443"/>
    </row>
    <row r="236" spans="1:16" ht="40.9" customHeight="1" x14ac:dyDescent="0.25">
      <c r="A236" s="1846"/>
      <c r="B236" s="2443" t="s">
        <v>6447</v>
      </c>
      <c r="C236" s="2443"/>
      <c r="D236" s="2443"/>
      <c r="E236" s="2443"/>
      <c r="F236" s="2443" t="s">
        <v>6448</v>
      </c>
      <c r="G236" s="2443"/>
      <c r="H236" s="2443"/>
      <c r="I236" s="2443"/>
      <c r="J236" s="2443" t="s">
        <v>588</v>
      </c>
      <c r="K236" s="2443"/>
      <c r="L236" s="2443"/>
      <c r="M236" s="2443"/>
      <c r="N236" s="2443"/>
      <c r="O236" s="2443"/>
      <c r="P236" s="2443"/>
    </row>
    <row r="237" spans="1:16" ht="54.4" customHeight="1" x14ac:dyDescent="0.25">
      <c r="A237" s="1846"/>
      <c r="B237" s="2443" t="s">
        <v>6246</v>
      </c>
      <c r="C237" s="2443"/>
      <c r="D237" s="2443"/>
      <c r="E237" s="2443"/>
      <c r="F237" s="2443" t="s">
        <v>6247</v>
      </c>
      <c r="G237" s="2443"/>
      <c r="H237" s="2443"/>
      <c r="I237" s="2443"/>
      <c r="J237" s="2443" t="s">
        <v>588</v>
      </c>
      <c r="K237" s="2443"/>
      <c r="L237" s="2443"/>
      <c r="M237" s="2443"/>
      <c r="N237" s="2443"/>
      <c r="O237" s="2443"/>
      <c r="P237" s="2443"/>
    </row>
    <row r="238" spans="1:16" ht="149.65" customHeight="1" x14ac:dyDescent="0.25">
      <c r="A238" s="1846"/>
      <c r="B238" s="2443" t="s">
        <v>6148</v>
      </c>
      <c r="C238" s="2443"/>
      <c r="D238" s="2443"/>
      <c r="E238" s="2443"/>
      <c r="F238" s="2443" t="s">
        <v>6248</v>
      </c>
      <c r="G238" s="2443"/>
      <c r="H238" s="2443"/>
      <c r="I238" s="2443"/>
      <c r="J238" s="2443" t="s">
        <v>588</v>
      </c>
      <c r="K238" s="2443"/>
      <c r="L238" s="2443"/>
      <c r="M238" s="2443"/>
      <c r="N238" s="2443"/>
      <c r="O238" s="2443"/>
      <c r="P238" s="2443"/>
    </row>
    <row r="239" spans="1:16" ht="40.9" customHeight="1" x14ac:dyDescent="0.25">
      <c r="A239" s="1845"/>
      <c r="B239" s="2442" t="s">
        <v>6150</v>
      </c>
      <c r="C239" s="2442"/>
      <c r="D239" s="2442"/>
      <c r="E239" s="2442"/>
      <c r="F239" s="2442" t="s">
        <v>588</v>
      </c>
      <c r="G239" s="2442"/>
      <c r="H239" s="2442"/>
      <c r="I239" s="2442"/>
      <c r="J239" s="2442" t="s">
        <v>7557</v>
      </c>
      <c r="K239" s="2442"/>
      <c r="L239" s="2442"/>
      <c r="M239" s="2442"/>
      <c r="N239" s="2442"/>
      <c r="O239" s="2442"/>
      <c r="P239" s="2442"/>
    </row>
    <row r="240" spans="1:16" x14ac:dyDescent="0.25">
      <c r="A240" s="1846"/>
      <c r="B240" s="2443" t="s">
        <v>6160</v>
      </c>
      <c r="C240" s="2443"/>
      <c r="D240" s="2443"/>
      <c r="E240" s="2443"/>
      <c r="F240" s="2443" t="s">
        <v>7601</v>
      </c>
      <c r="G240" s="2443"/>
      <c r="H240" s="2443"/>
      <c r="I240" s="2443"/>
      <c r="J240" s="2443" t="s">
        <v>588</v>
      </c>
      <c r="K240" s="2443"/>
      <c r="L240" s="2443"/>
      <c r="M240" s="2443"/>
      <c r="N240" s="2443"/>
      <c r="O240" s="2443"/>
      <c r="P240" s="2443"/>
    </row>
    <row r="241" spans="1:16" x14ac:dyDescent="0.25">
      <c r="A241" s="1846"/>
      <c r="B241" s="2443" t="s">
        <v>6177</v>
      </c>
      <c r="C241" s="2443"/>
      <c r="D241" s="2443"/>
      <c r="E241" s="2443"/>
      <c r="F241" s="2443" t="s">
        <v>7600</v>
      </c>
      <c r="G241" s="2443"/>
      <c r="H241" s="2443"/>
      <c r="I241" s="2443"/>
      <c r="J241" s="2443" t="s">
        <v>588</v>
      </c>
      <c r="K241" s="2443"/>
      <c r="L241" s="2443"/>
      <c r="M241" s="2443"/>
      <c r="N241" s="2443"/>
      <c r="O241" s="2443"/>
      <c r="P241" s="2443"/>
    </row>
    <row r="242" spans="1:16" x14ac:dyDescent="0.25">
      <c r="A242" s="1846"/>
      <c r="B242" s="2443" t="s">
        <v>6249</v>
      </c>
      <c r="C242" s="2443"/>
      <c r="D242" s="2443"/>
      <c r="E242" s="2443"/>
      <c r="F242" s="2443" t="s">
        <v>7599</v>
      </c>
      <c r="G242" s="2443"/>
      <c r="H242" s="2443"/>
      <c r="I242" s="2443"/>
      <c r="J242" s="2443" t="s">
        <v>588</v>
      </c>
      <c r="K242" s="2443"/>
      <c r="L242" s="2443"/>
      <c r="M242" s="2443"/>
      <c r="N242" s="2443"/>
      <c r="O242" s="2443"/>
      <c r="P242" s="2443"/>
    </row>
    <row r="243" spans="1:16" x14ac:dyDescent="0.25">
      <c r="A243" s="1846"/>
      <c r="B243" s="2443" t="s">
        <v>6165</v>
      </c>
      <c r="C243" s="2443"/>
      <c r="D243" s="2443"/>
      <c r="E243" s="2443"/>
      <c r="F243" s="2443" t="s">
        <v>7598</v>
      </c>
      <c r="G243" s="2443"/>
      <c r="H243" s="2443"/>
      <c r="I243" s="2443"/>
      <c r="J243" s="2443" t="s">
        <v>588</v>
      </c>
      <c r="K243" s="2443"/>
      <c r="L243" s="2443"/>
      <c r="M243" s="2443"/>
      <c r="N243" s="2443"/>
      <c r="O243" s="2443"/>
      <c r="P243" s="2443"/>
    </row>
    <row r="244" spans="1:16" x14ac:dyDescent="0.25">
      <c r="A244" s="1846"/>
      <c r="B244" s="2443" t="s">
        <v>6286</v>
      </c>
      <c r="C244" s="2443"/>
      <c r="D244" s="2443"/>
      <c r="E244" s="2443"/>
      <c r="F244" s="2443" t="s">
        <v>7597</v>
      </c>
      <c r="G244" s="2443"/>
      <c r="H244" s="2443"/>
      <c r="I244" s="2443"/>
      <c r="J244" s="2443" t="s">
        <v>588</v>
      </c>
      <c r="K244" s="2443"/>
      <c r="L244" s="2443"/>
      <c r="M244" s="2443"/>
      <c r="N244" s="2443"/>
      <c r="O244" s="2443"/>
      <c r="P244" s="2443"/>
    </row>
    <row r="245" spans="1:16" ht="163.15" customHeight="1" x14ac:dyDescent="0.25">
      <c r="A245" s="1844" t="s">
        <v>6264</v>
      </c>
      <c r="B245" s="2431" t="s">
        <v>6250</v>
      </c>
      <c r="C245" s="2432"/>
      <c r="D245" s="2432"/>
      <c r="E245" s="2432"/>
      <c r="F245" s="2432" t="s">
        <v>7088</v>
      </c>
      <c r="G245" s="2432"/>
      <c r="H245" s="2432"/>
      <c r="I245" s="2432"/>
      <c r="J245" s="2432" t="s">
        <v>7524</v>
      </c>
      <c r="K245" s="2432"/>
      <c r="L245" s="2432"/>
      <c r="M245" s="2558">
        <f>ROUND((297700 + 2290 * (0.4 * 100 + 0.6 * (100 / 2))) * 1 * 0.4 * 1.68 * 0.6 * 1.1 * 0.9 * 1.28105, 0)</f>
        <v>234200</v>
      </c>
      <c r="N245" s="2432"/>
      <c r="O245" s="2432" t="s">
        <v>588</v>
      </c>
      <c r="P245" s="2432"/>
    </row>
    <row r="246" spans="1:16" x14ac:dyDescent="0.25">
      <c r="A246" s="1845"/>
      <c r="B246" s="2442" t="s">
        <v>4168</v>
      </c>
      <c r="C246" s="2442"/>
      <c r="D246" s="2442"/>
      <c r="E246" s="2442"/>
      <c r="F246" s="2442" t="s">
        <v>588</v>
      </c>
      <c r="G246" s="2442"/>
      <c r="H246" s="2442"/>
      <c r="I246" s="2442"/>
      <c r="J246" s="2442" t="s">
        <v>588</v>
      </c>
      <c r="K246" s="2442"/>
      <c r="L246" s="2442"/>
      <c r="M246" s="2442"/>
      <c r="N246" s="2442"/>
      <c r="O246" s="2442"/>
      <c r="P246" s="2442"/>
    </row>
    <row r="247" spans="1:16" x14ac:dyDescent="0.25">
      <c r="A247" s="1846"/>
      <c r="B247" s="2443" t="s">
        <v>7321</v>
      </c>
      <c r="C247" s="2443"/>
      <c r="D247" s="2443"/>
      <c r="E247" s="2443"/>
      <c r="F247" s="2443" t="s">
        <v>7320</v>
      </c>
      <c r="G247" s="2443"/>
      <c r="H247" s="2443"/>
      <c r="I247" s="2443"/>
      <c r="J247" s="2443" t="s">
        <v>588</v>
      </c>
      <c r="K247" s="2443"/>
      <c r="L247" s="2443"/>
      <c r="M247" s="2443"/>
      <c r="N247" s="2443"/>
      <c r="O247" s="2443"/>
      <c r="P247" s="2443"/>
    </row>
    <row r="248" spans="1:16" ht="40.9" customHeight="1" x14ac:dyDescent="0.25">
      <c r="A248" s="1846"/>
      <c r="B248" s="2443" t="s">
        <v>6447</v>
      </c>
      <c r="C248" s="2443"/>
      <c r="D248" s="2443"/>
      <c r="E248" s="2443"/>
      <c r="F248" s="2443" t="s">
        <v>6448</v>
      </c>
      <c r="G248" s="2443"/>
      <c r="H248" s="2443"/>
      <c r="I248" s="2443"/>
      <c r="J248" s="2443" t="s">
        <v>588</v>
      </c>
      <c r="K248" s="2443"/>
      <c r="L248" s="2443"/>
      <c r="M248" s="2443"/>
      <c r="N248" s="2443"/>
      <c r="O248" s="2443"/>
      <c r="P248" s="2443"/>
    </row>
    <row r="249" spans="1:16" ht="95.25" customHeight="1" x14ac:dyDescent="0.25">
      <c r="A249" s="1846"/>
      <c r="B249" s="2443" t="s">
        <v>6251</v>
      </c>
      <c r="C249" s="2443"/>
      <c r="D249" s="2443"/>
      <c r="E249" s="2443"/>
      <c r="F249" s="2443" t="s">
        <v>6252</v>
      </c>
      <c r="G249" s="2443"/>
      <c r="H249" s="2443"/>
      <c r="I249" s="2443"/>
      <c r="J249" s="2443" t="s">
        <v>588</v>
      </c>
      <c r="K249" s="2443"/>
      <c r="L249" s="2443"/>
      <c r="M249" s="2443"/>
      <c r="N249" s="2443"/>
      <c r="O249" s="2443"/>
      <c r="P249" s="2443"/>
    </row>
    <row r="250" spans="1:16" ht="40.9" customHeight="1" x14ac:dyDescent="0.25">
      <c r="A250" s="1846"/>
      <c r="B250" s="2443" t="s">
        <v>6253</v>
      </c>
      <c r="C250" s="2443"/>
      <c r="D250" s="2443"/>
      <c r="E250" s="2443"/>
      <c r="F250" s="2443" t="s">
        <v>6254</v>
      </c>
      <c r="G250" s="2443"/>
      <c r="H250" s="2443"/>
      <c r="I250" s="2443"/>
      <c r="J250" s="2443" t="s">
        <v>588</v>
      </c>
      <c r="K250" s="2443"/>
      <c r="L250" s="2443"/>
      <c r="M250" s="2443"/>
      <c r="N250" s="2443"/>
      <c r="O250" s="2443"/>
      <c r="P250" s="2443"/>
    </row>
    <row r="251" spans="1:16" ht="108.75" customHeight="1" x14ac:dyDescent="0.25">
      <c r="A251" s="1846"/>
      <c r="B251" s="2443" t="s">
        <v>6255</v>
      </c>
      <c r="C251" s="2443"/>
      <c r="D251" s="2443"/>
      <c r="E251" s="2443"/>
      <c r="F251" s="2443" t="s">
        <v>6256</v>
      </c>
      <c r="G251" s="2443"/>
      <c r="H251" s="2443"/>
      <c r="I251" s="2443"/>
      <c r="J251" s="2443" t="s">
        <v>588</v>
      </c>
      <c r="K251" s="2443"/>
      <c r="L251" s="2443"/>
      <c r="M251" s="2443"/>
      <c r="N251" s="2443"/>
      <c r="O251" s="2443"/>
      <c r="P251" s="2443"/>
    </row>
    <row r="252" spans="1:16" ht="149.65" customHeight="1" x14ac:dyDescent="0.25">
      <c r="A252" s="1846"/>
      <c r="B252" s="2443" t="s">
        <v>6148</v>
      </c>
      <c r="C252" s="2443"/>
      <c r="D252" s="2443"/>
      <c r="E252" s="2443"/>
      <c r="F252" s="2443" t="s">
        <v>6257</v>
      </c>
      <c r="G252" s="2443"/>
      <c r="H252" s="2443"/>
      <c r="I252" s="2443"/>
      <c r="J252" s="2443" t="s">
        <v>588</v>
      </c>
      <c r="K252" s="2443"/>
      <c r="L252" s="2443"/>
      <c r="M252" s="2443"/>
      <c r="N252" s="2443"/>
      <c r="O252" s="2443"/>
      <c r="P252" s="2443"/>
    </row>
    <row r="253" spans="1:16" ht="40.9" customHeight="1" x14ac:dyDescent="0.25">
      <c r="A253" s="1845"/>
      <c r="B253" s="2442" t="s">
        <v>6150</v>
      </c>
      <c r="C253" s="2442"/>
      <c r="D253" s="2442"/>
      <c r="E253" s="2442"/>
      <c r="F253" s="2442" t="s">
        <v>588</v>
      </c>
      <c r="G253" s="2442"/>
      <c r="H253" s="2442"/>
      <c r="I253" s="2442"/>
      <c r="J253" s="2442" t="s">
        <v>7479</v>
      </c>
      <c r="K253" s="2442"/>
      <c r="L253" s="2442"/>
      <c r="M253" s="2442"/>
      <c r="N253" s="2442"/>
      <c r="O253" s="2442"/>
      <c r="P253" s="2442"/>
    </row>
    <row r="254" spans="1:16" x14ac:dyDescent="0.25">
      <c r="A254" s="1846"/>
      <c r="B254" s="2443" t="s">
        <v>6160</v>
      </c>
      <c r="C254" s="2443"/>
      <c r="D254" s="2443"/>
      <c r="E254" s="2443"/>
      <c r="F254" s="2443" t="s">
        <v>7523</v>
      </c>
      <c r="G254" s="2443"/>
      <c r="H254" s="2443"/>
      <c r="I254" s="2443"/>
      <c r="J254" s="2443" t="s">
        <v>588</v>
      </c>
      <c r="K254" s="2443"/>
      <c r="L254" s="2443"/>
      <c r="M254" s="2443"/>
      <c r="N254" s="2443"/>
      <c r="O254" s="2443"/>
      <c r="P254" s="2443"/>
    </row>
    <row r="255" spans="1:16" x14ac:dyDescent="0.25">
      <c r="A255" s="1846"/>
      <c r="B255" s="2443" t="s">
        <v>6177</v>
      </c>
      <c r="C255" s="2443"/>
      <c r="D255" s="2443"/>
      <c r="E255" s="2443"/>
      <c r="F255" s="2443" t="s">
        <v>7522</v>
      </c>
      <c r="G255" s="2443"/>
      <c r="H255" s="2443"/>
      <c r="I255" s="2443"/>
      <c r="J255" s="2443" t="s">
        <v>588</v>
      </c>
      <c r="K255" s="2443"/>
      <c r="L255" s="2443"/>
      <c r="M255" s="2443"/>
      <c r="N255" s="2443"/>
      <c r="O255" s="2443"/>
      <c r="P255" s="2443"/>
    </row>
    <row r="256" spans="1:16" x14ac:dyDescent="0.25">
      <c r="A256" s="1846"/>
      <c r="B256" s="2443" t="s">
        <v>6249</v>
      </c>
      <c r="C256" s="2443"/>
      <c r="D256" s="2443"/>
      <c r="E256" s="2443"/>
      <c r="F256" s="2443" t="s">
        <v>7521</v>
      </c>
      <c r="G256" s="2443"/>
      <c r="H256" s="2443"/>
      <c r="I256" s="2443"/>
      <c r="J256" s="2443" t="s">
        <v>588</v>
      </c>
      <c r="K256" s="2443"/>
      <c r="L256" s="2443"/>
      <c r="M256" s="2443"/>
      <c r="N256" s="2443"/>
      <c r="O256" s="2443"/>
      <c r="P256" s="2443"/>
    </row>
    <row r="257" spans="1:16" x14ac:dyDescent="0.25">
      <c r="A257" s="1846"/>
      <c r="B257" s="2443" t="s">
        <v>6165</v>
      </c>
      <c r="C257" s="2443"/>
      <c r="D257" s="2443"/>
      <c r="E257" s="2443"/>
      <c r="F257" s="2443" t="s">
        <v>7520</v>
      </c>
      <c r="G257" s="2443"/>
      <c r="H257" s="2443"/>
      <c r="I257" s="2443"/>
      <c r="J257" s="2443" t="s">
        <v>588</v>
      </c>
      <c r="K257" s="2443"/>
      <c r="L257" s="2443"/>
      <c r="M257" s="2443"/>
      <c r="N257" s="2443"/>
      <c r="O257" s="2443"/>
      <c r="P257" s="2443"/>
    </row>
    <row r="258" spans="1:16" x14ac:dyDescent="0.25">
      <c r="A258" s="1846"/>
      <c r="B258" s="2443" t="s">
        <v>6286</v>
      </c>
      <c r="C258" s="2443"/>
      <c r="D258" s="2443"/>
      <c r="E258" s="2443"/>
      <c r="F258" s="2443" t="s">
        <v>7519</v>
      </c>
      <c r="G258" s="2443"/>
      <c r="H258" s="2443"/>
      <c r="I258" s="2443"/>
      <c r="J258" s="2443" t="s">
        <v>588</v>
      </c>
      <c r="K258" s="2443"/>
      <c r="L258" s="2443"/>
      <c r="M258" s="2443"/>
      <c r="N258" s="2443"/>
      <c r="O258" s="2443"/>
      <c r="P258" s="2443"/>
    </row>
    <row r="259" spans="1:16" x14ac:dyDescent="0.25">
      <c r="A259" s="1848" t="s">
        <v>6266</v>
      </c>
      <c r="B259" s="2441" t="s">
        <v>6258</v>
      </c>
      <c r="C259" s="2441"/>
      <c r="D259" s="2441"/>
      <c r="E259" s="2441"/>
      <c r="F259" s="2441"/>
      <c r="G259" s="2441"/>
      <c r="H259" s="2441"/>
      <c r="I259" s="2441"/>
      <c r="J259" s="2441" t="s">
        <v>588</v>
      </c>
      <c r="K259" s="2441"/>
      <c r="L259" s="2441"/>
      <c r="M259" s="2559">
        <f>ROUND(SUM($M$225:$M$245),0)</f>
        <v>471588</v>
      </c>
      <c r="N259" s="2441"/>
      <c r="O259" s="2441"/>
      <c r="P259" s="2441"/>
    </row>
    <row r="260" spans="1:16" x14ac:dyDescent="0.25">
      <c r="A260" s="1848" t="s">
        <v>7178</v>
      </c>
      <c r="B260" s="2441" t="s">
        <v>6259</v>
      </c>
      <c r="C260" s="2441"/>
      <c r="D260" s="2441"/>
      <c r="E260" s="2441"/>
      <c r="F260" s="2441"/>
      <c r="G260" s="2441"/>
      <c r="H260" s="2441"/>
      <c r="I260" s="2441"/>
      <c r="J260" s="2441" t="s">
        <v>588</v>
      </c>
      <c r="K260" s="2441"/>
      <c r="L260" s="2441"/>
      <c r="M260" s="2559">
        <f>ROUND(($M$259),0)</f>
        <v>471588</v>
      </c>
      <c r="N260" s="2441"/>
      <c r="O260" s="2441"/>
      <c r="P260" s="2441"/>
    </row>
    <row r="261" spans="1:16" x14ac:dyDescent="0.25">
      <c r="A261" s="1848" t="s">
        <v>238</v>
      </c>
      <c r="B261" s="2441" t="s">
        <v>6145</v>
      </c>
      <c r="C261" s="2441"/>
      <c r="D261" s="2441"/>
      <c r="E261" s="2441"/>
      <c r="F261" s="2441" t="s">
        <v>291</v>
      </c>
      <c r="G261" s="2441"/>
      <c r="H261" s="2441"/>
      <c r="I261" s="2441"/>
      <c r="J261" s="2441"/>
      <c r="K261" s="2441"/>
      <c r="L261" s="2441"/>
      <c r="M261" s="2441"/>
      <c r="N261" s="2441"/>
      <c r="O261" s="2441"/>
      <c r="P261" s="2441"/>
    </row>
    <row r="262" spans="1:16" ht="135.94999999999999" customHeight="1" x14ac:dyDescent="0.25">
      <c r="A262" s="1844" t="s">
        <v>4420</v>
      </c>
      <c r="B262" s="2431" t="s">
        <v>6260</v>
      </c>
      <c r="C262" s="2432"/>
      <c r="D262" s="2432"/>
      <c r="E262" s="2432"/>
      <c r="F262" s="2432" t="s">
        <v>7177</v>
      </c>
      <c r="G262" s="2432"/>
      <c r="H262" s="2432"/>
      <c r="I262" s="2432"/>
      <c r="J262" s="2432" t="s">
        <v>7596</v>
      </c>
      <c r="K262" s="2432"/>
      <c r="L262" s="2432"/>
      <c r="M262" s="2558">
        <f>ROUND((61600 + 92 * 800) * 1 * 1.68 * 0.6 * 1.28263, 0)</f>
        <v>174799</v>
      </c>
      <c r="N262" s="2432"/>
      <c r="O262" s="2432" t="s">
        <v>588</v>
      </c>
      <c r="P262" s="2432"/>
    </row>
    <row r="263" spans="1:16" x14ac:dyDescent="0.25">
      <c r="A263" s="1845"/>
      <c r="B263" s="2442" t="s">
        <v>4168</v>
      </c>
      <c r="C263" s="2442"/>
      <c r="D263" s="2442"/>
      <c r="E263" s="2442"/>
      <c r="F263" s="2442" t="s">
        <v>588</v>
      </c>
      <c r="G263" s="2442"/>
      <c r="H263" s="2442"/>
      <c r="I263" s="2442"/>
      <c r="J263" s="2442" t="s">
        <v>588</v>
      </c>
      <c r="K263" s="2442"/>
      <c r="L263" s="2442"/>
      <c r="M263" s="2442"/>
      <c r="N263" s="2442"/>
      <c r="O263" s="2442"/>
      <c r="P263" s="2442"/>
    </row>
    <row r="264" spans="1:16" x14ac:dyDescent="0.25">
      <c r="A264" s="1846"/>
      <c r="B264" s="2443" t="s">
        <v>7321</v>
      </c>
      <c r="C264" s="2443"/>
      <c r="D264" s="2443"/>
      <c r="E264" s="2443"/>
      <c r="F264" s="2443" t="s">
        <v>7320</v>
      </c>
      <c r="G264" s="2443"/>
      <c r="H264" s="2443"/>
      <c r="I264" s="2443"/>
      <c r="J264" s="2443" t="s">
        <v>588</v>
      </c>
      <c r="K264" s="2443"/>
      <c r="L264" s="2443"/>
      <c r="M264" s="2443"/>
      <c r="N264" s="2443"/>
      <c r="O264" s="2443"/>
      <c r="P264" s="2443"/>
    </row>
    <row r="265" spans="1:16" ht="40.9" customHeight="1" x14ac:dyDescent="0.25">
      <c r="A265" s="1846"/>
      <c r="B265" s="2443" t="s">
        <v>6447</v>
      </c>
      <c r="C265" s="2443"/>
      <c r="D265" s="2443"/>
      <c r="E265" s="2443"/>
      <c r="F265" s="2443" t="s">
        <v>6448</v>
      </c>
      <c r="G265" s="2443"/>
      <c r="H265" s="2443"/>
      <c r="I265" s="2443"/>
      <c r="J265" s="2443" t="s">
        <v>588</v>
      </c>
      <c r="K265" s="2443"/>
      <c r="L265" s="2443"/>
      <c r="M265" s="2443"/>
      <c r="N265" s="2443"/>
      <c r="O265" s="2443"/>
      <c r="P265" s="2443"/>
    </row>
    <row r="266" spans="1:16" ht="149.65" customHeight="1" x14ac:dyDescent="0.25">
      <c r="A266" s="1846"/>
      <c r="B266" s="2443" t="s">
        <v>6148</v>
      </c>
      <c r="C266" s="2443"/>
      <c r="D266" s="2443"/>
      <c r="E266" s="2443"/>
      <c r="F266" s="2443" t="s">
        <v>6193</v>
      </c>
      <c r="G266" s="2443"/>
      <c r="H266" s="2443"/>
      <c r="I266" s="2443"/>
      <c r="J266" s="2443" t="s">
        <v>588</v>
      </c>
      <c r="K266" s="2443"/>
      <c r="L266" s="2443"/>
      <c r="M266" s="2443"/>
      <c r="N266" s="2443"/>
      <c r="O266" s="2443"/>
      <c r="P266" s="2443"/>
    </row>
    <row r="267" spans="1:16" ht="40.9" customHeight="1" x14ac:dyDescent="0.25">
      <c r="A267" s="1845"/>
      <c r="B267" s="2442" t="s">
        <v>6150</v>
      </c>
      <c r="C267" s="2442"/>
      <c r="D267" s="2442"/>
      <c r="E267" s="2442"/>
      <c r="F267" s="2442" t="s">
        <v>588</v>
      </c>
      <c r="G267" s="2442"/>
      <c r="H267" s="2442"/>
      <c r="I267" s="2442"/>
      <c r="J267" s="2442" t="s">
        <v>7595</v>
      </c>
      <c r="K267" s="2442"/>
      <c r="L267" s="2442"/>
      <c r="M267" s="2442"/>
      <c r="N267" s="2442"/>
      <c r="O267" s="2442"/>
      <c r="P267" s="2442"/>
    </row>
    <row r="268" spans="1:16" x14ac:dyDescent="0.25">
      <c r="A268" s="1846"/>
      <c r="B268" s="2443" t="s">
        <v>6160</v>
      </c>
      <c r="C268" s="2443"/>
      <c r="D268" s="2443"/>
      <c r="E268" s="2443"/>
      <c r="F268" s="2443" t="s">
        <v>7594</v>
      </c>
      <c r="G268" s="2443"/>
      <c r="H268" s="2443"/>
      <c r="I268" s="2443"/>
      <c r="J268" s="2443" t="s">
        <v>588</v>
      </c>
      <c r="K268" s="2443"/>
      <c r="L268" s="2443"/>
      <c r="M268" s="2443"/>
      <c r="N268" s="2443"/>
      <c r="O268" s="2443"/>
      <c r="P268" s="2443"/>
    </row>
    <row r="269" spans="1:16" x14ac:dyDescent="0.25">
      <c r="A269" s="1846"/>
      <c r="B269" s="2443" t="s">
        <v>6177</v>
      </c>
      <c r="C269" s="2443"/>
      <c r="D269" s="2443"/>
      <c r="E269" s="2443"/>
      <c r="F269" s="2443" t="s">
        <v>7593</v>
      </c>
      <c r="G269" s="2443"/>
      <c r="H269" s="2443"/>
      <c r="I269" s="2443"/>
      <c r="J269" s="2443" t="s">
        <v>588</v>
      </c>
      <c r="K269" s="2443"/>
      <c r="L269" s="2443"/>
      <c r="M269" s="2443"/>
      <c r="N269" s="2443"/>
      <c r="O269" s="2443"/>
      <c r="P269" s="2443"/>
    </row>
    <row r="270" spans="1:16" x14ac:dyDescent="0.25">
      <c r="A270" s="1846"/>
      <c r="B270" s="2443" t="s">
        <v>6249</v>
      </c>
      <c r="C270" s="2443"/>
      <c r="D270" s="2443"/>
      <c r="E270" s="2443"/>
      <c r="F270" s="2443" t="s">
        <v>7592</v>
      </c>
      <c r="G270" s="2443"/>
      <c r="H270" s="2443"/>
      <c r="I270" s="2443"/>
      <c r="J270" s="2443" t="s">
        <v>588</v>
      </c>
      <c r="K270" s="2443"/>
      <c r="L270" s="2443"/>
      <c r="M270" s="2443"/>
      <c r="N270" s="2443"/>
      <c r="O270" s="2443"/>
      <c r="P270" s="2443"/>
    </row>
    <row r="271" spans="1:16" x14ac:dyDescent="0.25">
      <c r="A271" s="1846"/>
      <c r="B271" s="2443" t="s">
        <v>6165</v>
      </c>
      <c r="C271" s="2443"/>
      <c r="D271" s="2443"/>
      <c r="E271" s="2443"/>
      <c r="F271" s="2443" t="s">
        <v>7591</v>
      </c>
      <c r="G271" s="2443"/>
      <c r="H271" s="2443"/>
      <c r="I271" s="2443"/>
      <c r="J271" s="2443" t="s">
        <v>588</v>
      </c>
      <c r="K271" s="2443"/>
      <c r="L271" s="2443"/>
      <c r="M271" s="2443"/>
      <c r="N271" s="2443"/>
      <c r="O271" s="2443"/>
      <c r="P271" s="2443"/>
    </row>
    <row r="272" spans="1:16" x14ac:dyDescent="0.25">
      <c r="A272" s="1846"/>
      <c r="B272" s="2443" t="s">
        <v>6286</v>
      </c>
      <c r="C272" s="2443"/>
      <c r="D272" s="2443"/>
      <c r="E272" s="2443"/>
      <c r="F272" s="2443" t="s">
        <v>7590</v>
      </c>
      <c r="G272" s="2443"/>
      <c r="H272" s="2443"/>
      <c r="I272" s="2443"/>
      <c r="J272" s="2443" t="s">
        <v>588</v>
      </c>
      <c r="K272" s="2443"/>
      <c r="L272" s="2443"/>
      <c r="M272" s="2443"/>
      <c r="N272" s="2443"/>
      <c r="O272" s="2443"/>
      <c r="P272" s="2443"/>
    </row>
    <row r="273" spans="1:16" ht="135.94999999999999" customHeight="1" x14ac:dyDescent="0.25">
      <c r="A273" s="1844" t="s">
        <v>6270</v>
      </c>
      <c r="B273" s="2431" t="s">
        <v>6261</v>
      </c>
      <c r="C273" s="2432"/>
      <c r="D273" s="2432"/>
      <c r="E273" s="2432"/>
      <c r="F273" s="2432" t="s">
        <v>7171</v>
      </c>
      <c r="G273" s="2432"/>
      <c r="H273" s="2432"/>
      <c r="I273" s="2432"/>
      <c r="J273" s="2432" t="s">
        <v>7589</v>
      </c>
      <c r="K273" s="2432"/>
      <c r="L273" s="2432"/>
      <c r="M273" s="2558">
        <f>ROUND((61800 + 95 * 380) * 1 * 1.68 * 0.6 * 1.29842, 0)</f>
        <v>128132</v>
      </c>
      <c r="N273" s="2432"/>
      <c r="O273" s="2432" t="s">
        <v>588</v>
      </c>
      <c r="P273" s="2432"/>
    </row>
    <row r="274" spans="1:16" x14ac:dyDescent="0.25">
      <c r="A274" s="1845"/>
      <c r="B274" s="2442" t="s">
        <v>4168</v>
      </c>
      <c r="C274" s="2442"/>
      <c r="D274" s="2442"/>
      <c r="E274" s="2442"/>
      <c r="F274" s="2442" t="s">
        <v>588</v>
      </c>
      <c r="G274" s="2442"/>
      <c r="H274" s="2442"/>
      <c r="I274" s="2442"/>
      <c r="J274" s="2442" t="s">
        <v>588</v>
      </c>
      <c r="K274" s="2442"/>
      <c r="L274" s="2442"/>
      <c r="M274" s="2442"/>
      <c r="N274" s="2442"/>
      <c r="O274" s="2442"/>
      <c r="P274" s="2442"/>
    </row>
    <row r="275" spans="1:16" x14ac:dyDescent="0.25">
      <c r="A275" s="1846"/>
      <c r="B275" s="2443" t="s">
        <v>7321</v>
      </c>
      <c r="C275" s="2443"/>
      <c r="D275" s="2443"/>
      <c r="E275" s="2443"/>
      <c r="F275" s="2443" t="s">
        <v>7320</v>
      </c>
      <c r="G275" s="2443"/>
      <c r="H275" s="2443"/>
      <c r="I275" s="2443"/>
      <c r="J275" s="2443" t="s">
        <v>588</v>
      </c>
      <c r="K275" s="2443"/>
      <c r="L275" s="2443"/>
      <c r="M275" s="2443"/>
      <c r="N275" s="2443"/>
      <c r="O275" s="2443"/>
      <c r="P275" s="2443"/>
    </row>
    <row r="276" spans="1:16" ht="40.9" customHeight="1" x14ac:dyDescent="0.25">
      <c r="A276" s="1846"/>
      <c r="B276" s="2443" t="s">
        <v>6447</v>
      </c>
      <c r="C276" s="2443"/>
      <c r="D276" s="2443"/>
      <c r="E276" s="2443"/>
      <c r="F276" s="2443" t="s">
        <v>6448</v>
      </c>
      <c r="G276" s="2443"/>
      <c r="H276" s="2443"/>
      <c r="I276" s="2443"/>
      <c r="J276" s="2443" t="s">
        <v>588</v>
      </c>
      <c r="K276" s="2443"/>
      <c r="L276" s="2443"/>
      <c r="M276" s="2443"/>
      <c r="N276" s="2443"/>
      <c r="O276" s="2443"/>
      <c r="P276" s="2443"/>
    </row>
    <row r="277" spans="1:16" ht="149.65" customHeight="1" x14ac:dyDescent="0.25">
      <c r="A277" s="1846"/>
      <c r="B277" s="2443" t="s">
        <v>6148</v>
      </c>
      <c r="C277" s="2443"/>
      <c r="D277" s="2443"/>
      <c r="E277" s="2443"/>
      <c r="F277" s="2443" t="s">
        <v>6193</v>
      </c>
      <c r="G277" s="2443"/>
      <c r="H277" s="2443"/>
      <c r="I277" s="2443"/>
      <c r="J277" s="2443" t="s">
        <v>588</v>
      </c>
      <c r="K277" s="2443"/>
      <c r="L277" s="2443"/>
      <c r="M277" s="2443"/>
      <c r="N277" s="2443"/>
      <c r="O277" s="2443"/>
      <c r="P277" s="2443"/>
    </row>
    <row r="278" spans="1:16" ht="40.9" customHeight="1" x14ac:dyDescent="0.25">
      <c r="A278" s="1845"/>
      <c r="B278" s="2442" t="s">
        <v>6150</v>
      </c>
      <c r="C278" s="2442"/>
      <c r="D278" s="2442"/>
      <c r="E278" s="2442"/>
      <c r="F278" s="2442" t="s">
        <v>588</v>
      </c>
      <c r="G278" s="2442"/>
      <c r="H278" s="2442"/>
      <c r="I278" s="2442"/>
      <c r="J278" s="2442" t="s">
        <v>7588</v>
      </c>
      <c r="K278" s="2442"/>
      <c r="L278" s="2442"/>
      <c r="M278" s="2442"/>
      <c r="N278" s="2442"/>
      <c r="O278" s="2442"/>
      <c r="P278" s="2442"/>
    </row>
    <row r="279" spans="1:16" x14ac:dyDescent="0.25">
      <c r="A279" s="1846"/>
      <c r="B279" s="2443" t="s">
        <v>6160</v>
      </c>
      <c r="C279" s="2443"/>
      <c r="D279" s="2443"/>
      <c r="E279" s="2443"/>
      <c r="F279" s="2443" t="s">
        <v>7587</v>
      </c>
      <c r="G279" s="2443"/>
      <c r="H279" s="2443"/>
      <c r="I279" s="2443"/>
      <c r="J279" s="2443" t="s">
        <v>588</v>
      </c>
      <c r="K279" s="2443"/>
      <c r="L279" s="2443"/>
      <c r="M279" s="2443"/>
      <c r="N279" s="2443"/>
      <c r="O279" s="2443"/>
      <c r="P279" s="2443"/>
    </row>
    <row r="280" spans="1:16" x14ac:dyDescent="0.25">
      <c r="A280" s="1846"/>
      <c r="B280" s="2443" t="s">
        <v>6177</v>
      </c>
      <c r="C280" s="2443"/>
      <c r="D280" s="2443"/>
      <c r="E280" s="2443"/>
      <c r="F280" s="2443" t="s">
        <v>7586</v>
      </c>
      <c r="G280" s="2443"/>
      <c r="H280" s="2443"/>
      <c r="I280" s="2443"/>
      <c r="J280" s="2443" t="s">
        <v>588</v>
      </c>
      <c r="K280" s="2443"/>
      <c r="L280" s="2443"/>
      <c r="M280" s="2443"/>
      <c r="N280" s="2443"/>
      <c r="O280" s="2443"/>
      <c r="P280" s="2443"/>
    </row>
    <row r="281" spans="1:16" x14ac:dyDescent="0.25">
      <c r="A281" s="1846"/>
      <c r="B281" s="2443" t="s">
        <v>6249</v>
      </c>
      <c r="C281" s="2443"/>
      <c r="D281" s="2443"/>
      <c r="E281" s="2443"/>
      <c r="F281" s="2443" t="s">
        <v>7585</v>
      </c>
      <c r="G281" s="2443"/>
      <c r="H281" s="2443"/>
      <c r="I281" s="2443"/>
      <c r="J281" s="2443" t="s">
        <v>588</v>
      </c>
      <c r="K281" s="2443"/>
      <c r="L281" s="2443"/>
      <c r="M281" s="2443"/>
      <c r="N281" s="2443"/>
      <c r="O281" s="2443"/>
      <c r="P281" s="2443"/>
    </row>
    <row r="282" spans="1:16" x14ac:dyDescent="0.25">
      <c r="A282" s="1846"/>
      <c r="B282" s="2443" t="s">
        <v>7368</v>
      </c>
      <c r="C282" s="2443"/>
      <c r="D282" s="2443"/>
      <c r="E282" s="2443"/>
      <c r="F282" s="2443" t="s">
        <v>7584</v>
      </c>
      <c r="G282" s="2443"/>
      <c r="H282" s="2443"/>
      <c r="I282" s="2443"/>
      <c r="J282" s="2443" t="s">
        <v>588</v>
      </c>
      <c r="K282" s="2443"/>
      <c r="L282" s="2443"/>
      <c r="M282" s="2443"/>
      <c r="N282" s="2443"/>
      <c r="O282" s="2443"/>
      <c r="P282" s="2443"/>
    </row>
    <row r="283" spans="1:16" ht="163.15" customHeight="1" x14ac:dyDescent="0.25">
      <c r="A283" s="1844" t="s">
        <v>6271</v>
      </c>
      <c r="B283" s="2431" t="s">
        <v>7165</v>
      </c>
      <c r="C283" s="2432"/>
      <c r="D283" s="2432"/>
      <c r="E283" s="2432"/>
      <c r="F283" s="2432" t="s">
        <v>7164</v>
      </c>
      <c r="G283" s="2432"/>
      <c r="H283" s="2432"/>
      <c r="I283" s="2432"/>
      <c r="J283" s="2432" t="s">
        <v>7583</v>
      </c>
      <c r="K283" s="2432"/>
      <c r="L283" s="2432"/>
      <c r="M283" s="2558">
        <f>ROUND((14000 + 2000 * (0.4 * 25 + 0.6 * (25 / 2))) * 1 * 0.72 * 1.53 * 0.6 * 0.7 * 1.3, 0)</f>
        <v>29472</v>
      </c>
      <c r="N283" s="2432"/>
      <c r="O283" s="2432" t="s">
        <v>588</v>
      </c>
      <c r="P283" s="2432"/>
    </row>
    <row r="284" spans="1:16" x14ac:dyDescent="0.25">
      <c r="A284" s="1845"/>
      <c r="B284" s="2442" t="s">
        <v>4168</v>
      </c>
      <c r="C284" s="2442"/>
      <c r="D284" s="2442"/>
      <c r="E284" s="2442"/>
      <c r="F284" s="2442" t="s">
        <v>588</v>
      </c>
      <c r="G284" s="2442"/>
      <c r="H284" s="2442"/>
      <c r="I284" s="2442"/>
      <c r="J284" s="2442" t="s">
        <v>588</v>
      </c>
      <c r="K284" s="2442"/>
      <c r="L284" s="2442"/>
      <c r="M284" s="2442"/>
      <c r="N284" s="2442"/>
      <c r="O284" s="2442"/>
      <c r="P284" s="2442"/>
    </row>
    <row r="285" spans="1:16" x14ac:dyDescent="0.25">
      <c r="A285" s="1846"/>
      <c r="B285" s="2443" t="s">
        <v>7321</v>
      </c>
      <c r="C285" s="2443"/>
      <c r="D285" s="2443"/>
      <c r="E285" s="2443"/>
      <c r="F285" s="2443" t="s">
        <v>7320</v>
      </c>
      <c r="G285" s="2443"/>
      <c r="H285" s="2443"/>
      <c r="I285" s="2443"/>
      <c r="J285" s="2443" t="s">
        <v>588</v>
      </c>
      <c r="K285" s="2443"/>
      <c r="L285" s="2443"/>
      <c r="M285" s="2443"/>
      <c r="N285" s="2443"/>
      <c r="O285" s="2443"/>
      <c r="P285" s="2443"/>
    </row>
    <row r="286" spans="1:16" ht="40.9" customHeight="1" x14ac:dyDescent="0.25">
      <c r="A286" s="1846"/>
      <c r="B286" s="2443" t="s">
        <v>6401</v>
      </c>
      <c r="C286" s="2443"/>
      <c r="D286" s="2443"/>
      <c r="E286" s="2443"/>
      <c r="F286" s="2443" t="s">
        <v>6402</v>
      </c>
      <c r="G286" s="2443"/>
      <c r="H286" s="2443"/>
      <c r="I286" s="2443"/>
      <c r="J286" s="2443" t="s">
        <v>588</v>
      </c>
      <c r="K286" s="2443"/>
      <c r="L286" s="2443"/>
      <c r="M286" s="2443"/>
      <c r="N286" s="2443"/>
      <c r="O286" s="2443"/>
      <c r="P286" s="2443"/>
    </row>
    <row r="287" spans="1:16" ht="95.25" customHeight="1" x14ac:dyDescent="0.25">
      <c r="A287" s="1846"/>
      <c r="B287" s="2443" t="s">
        <v>6251</v>
      </c>
      <c r="C287" s="2443"/>
      <c r="D287" s="2443"/>
      <c r="E287" s="2443"/>
      <c r="F287" s="2443" t="s">
        <v>7015</v>
      </c>
      <c r="G287" s="2443"/>
      <c r="H287" s="2443"/>
      <c r="I287" s="2443"/>
      <c r="J287" s="2443" t="s">
        <v>588</v>
      </c>
      <c r="K287" s="2443"/>
      <c r="L287" s="2443"/>
      <c r="M287" s="2443"/>
      <c r="N287" s="2443"/>
      <c r="O287" s="2443"/>
      <c r="P287" s="2443"/>
    </row>
    <row r="288" spans="1:16" ht="176.85" customHeight="1" x14ac:dyDescent="0.25">
      <c r="A288" s="1846"/>
      <c r="B288" s="2443" t="s">
        <v>7162</v>
      </c>
      <c r="C288" s="2443"/>
      <c r="D288" s="2443"/>
      <c r="E288" s="2443"/>
      <c r="F288" s="2443" t="s">
        <v>7161</v>
      </c>
      <c r="G288" s="2443"/>
      <c r="H288" s="2443"/>
      <c r="I288" s="2443"/>
      <c r="J288" s="2443" t="s">
        <v>588</v>
      </c>
      <c r="K288" s="2443"/>
      <c r="L288" s="2443"/>
      <c r="M288" s="2443"/>
      <c r="N288" s="2443"/>
      <c r="O288" s="2443"/>
      <c r="P288" s="2443"/>
    </row>
    <row r="289" spans="1:16" ht="149.65" customHeight="1" x14ac:dyDescent="0.25">
      <c r="A289" s="1846"/>
      <c r="B289" s="2443" t="s">
        <v>6148</v>
      </c>
      <c r="C289" s="2443"/>
      <c r="D289" s="2443"/>
      <c r="E289" s="2443"/>
      <c r="F289" s="2443" t="s">
        <v>6242</v>
      </c>
      <c r="G289" s="2443"/>
      <c r="H289" s="2443"/>
      <c r="I289" s="2443"/>
      <c r="J289" s="2443" t="s">
        <v>588</v>
      </c>
      <c r="K289" s="2443"/>
      <c r="L289" s="2443"/>
      <c r="M289" s="2443"/>
      <c r="N289" s="2443"/>
      <c r="O289" s="2443"/>
      <c r="P289" s="2443"/>
    </row>
    <row r="290" spans="1:16" x14ac:dyDescent="0.25">
      <c r="A290" s="1845"/>
      <c r="B290" s="2442" t="s">
        <v>6150</v>
      </c>
      <c r="C290" s="2442"/>
      <c r="D290" s="2442"/>
      <c r="E290" s="2442"/>
      <c r="F290" s="2442" t="s">
        <v>588</v>
      </c>
      <c r="G290" s="2442"/>
      <c r="H290" s="2442"/>
      <c r="I290" s="2442"/>
      <c r="J290" s="2442" t="s">
        <v>6243</v>
      </c>
      <c r="K290" s="2442"/>
      <c r="L290" s="2442"/>
      <c r="M290" s="2442"/>
      <c r="N290" s="2442"/>
      <c r="O290" s="2442"/>
      <c r="P290" s="2442"/>
    </row>
    <row r="291" spans="1:16" x14ac:dyDescent="0.25">
      <c r="A291" s="1846"/>
      <c r="B291" s="2443" t="s">
        <v>6244</v>
      </c>
      <c r="C291" s="2443"/>
      <c r="D291" s="2443"/>
      <c r="E291" s="2443"/>
      <c r="F291" s="2443" t="s">
        <v>7582</v>
      </c>
      <c r="G291" s="2443"/>
      <c r="H291" s="2443"/>
      <c r="I291" s="2443"/>
      <c r="J291" s="2443" t="s">
        <v>588</v>
      </c>
      <c r="K291" s="2443"/>
      <c r="L291" s="2443"/>
      <c r="M291" s="2443"/>
      <c r="N291" s="2443"/>
      <c r="O291" s="2443"/>
      <c r="P291" s="2443"/>
    </row>
    <row r="292" spans="1:16" ht="122.45" customHeight="1" x14ac:dyDescent="0.25">
      <c r="A292" s="1844" t="s">
        <v>6272</v>
      </c>
      <c r="B292" s="2431" t="s">
        <v>7159</v>
      </c>
      <c r="C292" s="2432"/>
      <c r="D292" s="2432"/>
      <c r="E292" s="2432"/>
      <c r="F292" s="2432" t="s">
        <v>7158</v>
      </c>
      <c r="G292" s="2432"/>
      <c r="H292" s="2432"/>
      <c r="I292" s="2432"/>
      <c r="J292" s="2432" t="s">
        <v>7581</v>
      </c>
      <c r="K292" s="2432"/>
      <c r="L292" s="2432"/>
      <c r="M292" s="2558">
        <f>ROUND((34200 + 790 * 36) * 1 * 7.1 * 0.5 * 1.28333, 0)</f>
        <v>285377</v>
      </c>
      <c r="N292" s="2432"/>
      <c r="O292" s="2432" t="s">
        <v>588</v>
      </c>
      <c r="P292" s="2432"/>
    </row>
    <row r="293" spans="1:16" x14ac:dyDescent="0.25">
      <c r="A293" s="1845"/>
      <c r="B293" s="2442" t="s">
        <v>4168</v>
      </c>
      <c r="C293" s="2442"/>
      <c r="D293" s="2442"/>
      <c r="E293" s="2442"/>
      <c r="F293" s="2442" t="s">
        <v>588</v>
      </c>
      <c r="G293" s="2442"/>
      <c r="H293" s="2442"/>
      <c r="I293" s="2442"/>
      <c r="J293" s="2442" t="s">
        <v>588</v>
      </c>
      <c r="K293" s="2442"/>
      <c r="L293" s="2442"/>
      <c r="M293" s="2442"/>
      <c r="N293" s="2442"/>
      <c r="O293" s="2442"/>
      <c r="P293" s="2442"/>
    </row>
    <row r="294" spans="1:16" x14ac:dyDescent="0.25">
      <c r="A294" s="1846"/>
      <c r="B294" s="2443" t="s">
        <v>7321</v>
      </c>
      <c r="C294" s="2443"/>
      <c r="D294" s="2443"/>
      <c r="E294" s="2443"/>
      <c r="F294" s="2443" t="s">
        <v>7156</v>
      </c>
      <c r="G294" s="2443"/>
      <c r="H294" s="2443"/>
      <c r="I294" s="2443"/>
      <c r="J294" s="2443" t="s">
        <v>588</v>
      </c>
      <c r="K294" s="2443"/>
      <c r="L294" s="2443"/>
      <c r="M294" s="2443"/>
      <c r="N294" s="2443"/>
      <c r="O294" s="2443"/>
      <c r="P294" s="2443"/>
    </row>
    <row r="295" spans="1:16" ht="40.9" customHeight="1" x14ac:dyDescent="0.25">
      <c r="A295" s="1846"/>
      <c r="B295" s="2443" t="s">
        <v>6397</v>
      </c>
      <c r="C295" s="2443"/>
      <c r="D295" s="2443"/>
      <c r="E295" s="2443"/>
      <c r="F295" s="2443" t="s">
        <v>6398</v>
      </c>
      <c r="G295" s="2443"/>
      <c r="H295" s="2443"/>
      <c r="I295" s="2443"/>
      <c r="J295" s="2443" t="s">
        <v>588</v>
      </c>
      <c r="K295" s="2443"/>
      <c r="L295" s="2443"/>
      <c r="M295" s="2443"/>
      <c r="N295" s="2443"/>
      <c r="O295" s="2443"/>
      <c r="P295" s="2443"/>
    </row>
    <row r="296" spans="1:16" ht="149.65" customHeight="1" x14ac:dyDescent="0.25">
      <c r="A296" s="1846"/>
      <c r="B296" s="2443" t="s">
        <v>6148</v>
      </c>
      <c r="C296" s="2443"/>
      <c r="D296" s="2443"/>
      <c r="E296" s="2443"/>
      <c r="F296" s="2443" t="s">
        <v>7580</v>
      </c>
      <c r="G296" s="2443"/>
      <c r="H296" s="2443"/>
      <c r="I296" s="2443"/>
      <c r="J296" s="2443" t="s">
        <v>588</v>
      </c>
      <c r="K296" s="2443"/>
      <c r="L296" s="2443"/>
      <c r="M296" s="2443"/>
      <c r="N296" s="2443"/>
      <c r="O296" s="2443"/>
      <c r="P296" s="2443"/>
    </row>
    <row r="297" spans="1:16" ht="81.599999999999994" customHeight="1" x14ac:dyDescent="0.25">
      <c r="A297" s="1845"/>
      <c r="B297" s="2442" t="s">
        <v>6150</v>
      </c>
      <c r="C297" s="2442"/>
      <c r="D297" s="2442"/>
      <c r="E297" s="2442"/>
      <c r="F297" s="2442" t="s">
        <v>588</v>
      </c>
      <c r="G297" s="2442"/>
      <c r="H297" s="2442"/>
      <c r="I297" s="2442"/>
      <c r="J297" s="2442" t="s">
        <v>7579</v>
      </c>
      <c r="K297" s="2442"/>
      <c r="L297" s="2442"/>
      <c r="M297" s="2442"/>
      <c r="N297" s="2442"/>
      <c r="O297" s="2442"/>
      <c r="P297" s="2442"/>
    </row>
    <row r="298" spans="1:16" ht="27.2" customHeight="1" x14ac:dyDescent="0.25">
      <c r="A298" s="1846"/>
      <c r="B298" s="2443" t="s">
        <v>7578</v>
      </c>
      <c r="C298" s="2443"/>
      <c r="D298" s="2443"/>
      <c r="E298" s="2443"/>
      <c r="F298" s="2443" t="s">
        <v>7577</v>
      </c>
      <c r="G298" s="2443"/>
      <c r="H298" s="2443"/>
      <c r="I298" s="2443"/>
      <c r="J298" s="2443" t="s">
        <v>588</v>
      </c>
      <c r="K298" s="2443"/>
      <c r="L298" s="2443"/>
      <c r="M298" s="2443"/>
      <c r="N298" s="2443"/>
      <c r="O298" s="2443"/>
      <c r="P298" s="2443"/>
    </row>
    <row r="299" spans="1:16" ht="27.2" customHeight="1" x14ac:dyDescent="0.25">
      <c r="A299" s="1846"/>
      <c r="B299" s="2443" t="s">
        <v>7576</v>
      </c>
      <c r="C299" s="2443"/>
      <c r="D299" s="2443"/>
      <c r="E299" s="2443"/>
      <c r="F299" s="2443" t="s">
        <v>7575</v>
      </c>
      <c r="G299" s="2443"/>
      <c r="H299" s="2443"/>
      <c r="I299" s="2443"/>
      <c r="J299" s="2443" t="s">
        <v>588</v>
      </c>
      <c r="K299" s="2443"/>
      <c r="L299" s="2443"/>
      <c r="M299" s="2443"/>
      <c r="N299" s="2443"/>
      <c r="O299" s="2443"/>
      <c r="P299" s="2443"/>
    </row>
    <row r="300" spans="1:16" ht="27.2" customHeight="1" x14ac:dyDescent="0.25">
      <c r="A300" s="1846"/>
      <c r="B300" s="2443" t="s">
        <v>7574</v>
      </c>
      <c r="C300" s="2443"/>
      <c r="D300" s="2443"/>
      <c r="E300" s="2443"/>
      <c r="F300" s="2443" t="s">
        <v>7573</v>
      </c>
      <c r="G300" s="2443"/>
      <c r="H300" s="2443"/>
      <c r="I300" s="2443"/>
      <c r="J300" s="2443" t="s">
        <v>588</v>
      </c>
      <c r="K300" s="2443"/>
      <c r="L300" s="2443"/>
      <c r="M300" s="2443"/>
      <c r="N300" s="2443"/>
      <c r="O300" s="2443"/>
      <c r="P300" s="2443"/>
    </row>
    <row r="301" spans="1:16" ht="27.2" customHeight="1" x14ac:dyDescent="0.25">
      <c r="A301" s="1846"/>
      <c r="B301" s="2443" t="s">
        <v>7572</v>
      </c>
      <c r="C301" s="2443"/>
      <c r="D301" s="2443"/>
      <c r="E301" s="2443"/>
      <c r="F301" s="2443" t="s">
        <v>7571</v>
      </c>
      <c r="G301" s="2443"/>
      <c r="H301" s="2443"/>
      <c r="I301" s="2443"/>
      <c r="J301" s="2443" t="s">
        <v>588</v>
      </c>
      <c r="K301" s="2443"/>
      <c r="L301" s="2443"/>
      <c r="M301" s="2443"/>
      <c r="N301" s="2443"/>
      <c r="O301" s="2443"/>
      <c r="P301" s="2443"/>
    </row>
    <row r="302" spans="1:16" ht="27.2" customHeight="1" x14ac:dyDescent="0.25">
      <c r="A302" s="1846"/>
      <c r="B302" s="2443" t="s">
        <v>7570</v>
      </c>
      <c r="C302" s="2443"/>
      <c r="D302" s="2443"/>
      <c r="E302" s="2443"/>
      <c r="F302" s="2443" t="s">
        <v>7564</v>
      </c>
      <c r="G302" s="2443"/>
      <c r="H302" s="2443"/>
      <c r="I302" s="2443"/>
      <c r="J302" s="2443" t="s">
        <v>588</v>
      </c>
      <c r="K302" s="2443"/>
      <c r="L302" s="2443"/>
      <c r="M302" s="2443"/>
      <c r="N302" s="2443"/>
      <c r="O302" s="2443"/>
      <c r="P302" s="2443"/>
    </row>
    <row r="303" spans="1:16" ht="27.2" customHeight="1" x14ac:dyDescent="0.25">
      <c r="A303" s="1846"/>
      <c r="B303" s="2443" t="s">
        <v>7569</v>
      </c>
      <c r="C303" s="2443"/>
      <c r="D303" s="2443"/>
      <c r="E303" s="2443"/>
      <c r="F303" s="2443" t="s">
        <v>7568</v>
      </c>
      <c r="G303" s="2443"/>
      <c r="H303" s="2443"/>
      <c r="I303" s="2443"/>
      <c r="J303" s="2443" t="s">
        <v>588</v>
      </c>
      <c r="K303" s="2443"/>
      <c r="L303" s="2443"/>
      <c r="M303" s="2443"/>
      <c r="N303" s="2443"/>
      <c r="O303" s="2443"/>
      <c r="P303" s="2443"/>
    </row>
    <row r="304" spans="1:16" ht="27.2" customHeight="1" x14ac:dyDescent="0.25">
      <c r="A304" s="1846"/>
      <c r="B304" s="2443" t="s">
        <v>7567</v>
      </c>
      <c r="C304" s="2443"/>
      <c r="D304" s="2443"/>
      <c r="E304" s="2443"/>
      <c r="F304" s="2443" t="s">
        <v>7566</v>
      </c>
      <c r="G304" s="2443"/>
      <c r="H304" s="2443"/>
      <c r="I304" s="2443"/>
      <c r="J304" s="2443" t="s">
        <v>588</v>
      </c>
      <c r="K304" s="2443"/>
      <c r="L304" s="2443"/>
      <c r="M304" s="2443"/>
      <c r="N304" s="2443"/>
      <c r="O304" s="2443"/>
      <c r="P304" s="2443"/>
    </row>
    <row r="305" spans="1:16" ht="27.2" customHeight="1" x14ac:dyDescent="0.25">
      <c r="A305" s="1846"/>
      <c r="B305" s="2443" t="s">
        <v>7565</v>
      </c>
      <c r="C305" s="2443"/>
      <c r="D305" s="2443"/>
      <c r="E305" s="2443"/>
      <c r="F305" s="2443" t="s">
        <v>7564</v>
      </c>
      <c r="G305" s="2443"/>
      <c r="H305" s="2443"/>
      <c r="I305" s="2443"/>
      <c r="J305" s="2443" t="s">
        <v>588</v>
      </c>
      <c r="K305" s="2443"/>
      <c r="L305" s="2443"/>
      <c r="M305" s="2443"/>
      <c r="N305" s="2443"/>
      <c r="O305" s="2443"/>
      <c r="P305" s="2443"/>
    </row>
    <row r="306" spans="1:16" x14ac:dyDescent="0.25">
      <c r="A306" s="1846"/>
      <c r="B306" s="2443" t="s">
        <v>7563</v>
      </c>
      <c r="C306" s="2443"/>
      <c r="D306" s="2443"/>
      <c r="E306" s="2443"/>
      <c r="F306" s="2443" t="s">
        <v>7562</v>
      </c>
      <c r="G306" s="2443"/>
      <c r="H306" s="2443"/>
      <c r="I306" s="2443"/>
      <c r="J306" s="2443" t="s">
        <v>588</v>
      </c>
      <c r="K306" s="2443"/>
      <c r="L306" s="2443"/>
      <c r="M306" s="2443"/>
      <c r="N306" s="2443"/>
      <c r="O306" s="2443"/>
      <c r="P306" s="2443"/>
    </row>
    <row r="307" spans="1:16" x14ac:dyDescent="0.25">
      <c r="A307" s="1846"/>
      <c r="B307" s="2443" t="s">
        <v>7561</v>
      </c>
      <c r="C307" s="2443"/>
      <c r="D307" s="2443"/>
      <c r="E307" s="2443"/>
      <c r="F307" s="2443" t="s">
        <v>7560</v>
      </c>
      <c r="G307" s="2443"/>
      <c r="H307" s="2443"/>
      <c r="I307" s="2443"/>
      <c r="J307" s="2443" t="s">
        <v>588</v>
      </c>
      <c r="K307" s="2443"/>
      <c r="L307" s="2443"/>
      <c r="M307" s="2443"/>
      <c r="N307" s="2443"/>
      <c r="O307" s="2443"/>
      <c r="P307" s="2443"/>
    </row>
    <row r="308" spans="1:16" x14ac:dyDescent="0.25">
      <c r="A308" s="1846"/>
      <c r="B308" s="2443" t="s">
        <v>7368</v>
      </c>
      <c r="C308" s="2443"/>
      <c r="D308" s="2443"/>
      <c r="E308" s="2443"/>
      <c r="F308" s="2443" t="s">
        <v>7559</v>
      </c>
      <c r="G308" s="2443"/>
      <c r="H308" s="2443"/>
      <c r="I308" s="2443"/>
      <c r="J308" s="2443" t="s">
        <v>588</v>
      </c>
      <c r="K308" s="2443"/>
      <c r="L308" s="2443"/>
      <c r="M308" s="2443"/>
      <c r="N308" s="2443"/>
      <c r="O308" s="2443"/>
      <c r="P308" s="2443"/>
    </row>
    <row r="309" spans="1:16" ht="135.94999999999999" customHeight="1" x14ac:dyDescent="0.25">
      <c r="A309" s="1844" t="s">
        <v>6275</v>
      </c>
      <c r="B309" s="2431" t="s">
        <v>7129</v>
      </c>
      <c r="C309" s="2432"/>
      <c r="D309" s="2432"/>
      <c r="E309" s="2432"/>
      <c r="F309" s="2432" t="s">
        <v>7128</v>
      </c>
      <c r="G309" s="2432"/>
      <c r="H309" s="2432"/>
      <c r="I309" s="2432"/>
      <c r="J309" s="2432" t="s">
        <v>7558</v>
      </c>
      <c r="K309" s="2432"/>
      <c r="L309" s="2432"/>
      <c r="M309" s="2558">
        <f>ROUND((13400 + 399 * 250) * 1 * 1.68 * 0.6 * 0.9 * 1.28895, 0)</f>
        <v>132310</v>
      </c>
      <c r="N309" s="2432"/>
      <c r="O309" s="2432" t="s">
        <v>588</v>
      </c>
      <c r="P309" s="2432"/>
    </row>
    <row r="310" spans="1:16" x14ac:dyDescent="0.25">
      <c r="A310" s="1845"/>
      <c r="B310" s="2442" t="s">
        <v>4168</v>
      </c>
      <c r="C310" s="2442"/>
      <c r="D310" s="2442"/>
      <c r="E310" s="2442"/>
      <c r="F310" s="2442" t="s">
        <v>588</v>
      </c>
      <c r="G310" s="2442"/>
      <c r="H310" s="2442"/>
      <c r="I310" s="2442"/>
      <c r="J310" s="2442" t="s">
        <v>588</v>
      </c>
      <c r="K310" s="2442"/>
      <c r="L310" s="2442"/>
      <c r="M310" s="2442"/>
      <c r="N310" s="2442"/>
      <c r="O310" s="2442"/>
      <c r="P310" s="2442"/>
    </row>
    <row r="311" spans="1:16" x14ac:dyDescent="0.25">
      <c r="A311" s="1846"/>
      <c r="B311" s="2443" t="s">
        <v>7321</v>
      </c>
      <c r="C311" s="2443"/>
      <c r="D311" s="2443"/>
      <c r="E311" s="2443"/>
      <c r="F311" s="2443" t="s">
        <v>7320</v>
      </c>
      <c r="G311" s="2443"/>
      <c r="H311" s="2443"/>
      <c r="I311" s="2443"/>
      <c r="J311" s="2443" t="s">
        <v>588</v>
      </c>
      <c r="K311" s="2443"/>
      <c r="L311" s="2443"/>
      <c r="M311" s="2443"/>
      <c r="N311" s="2443"/>
      <c r="O311" s="2443"/>
      <c r="P311" s="2443"/>
    </row>
    <row r="312" spans="1:16" ht="40.9" customHeight="1" x14ac:dyDescent="0.25">
      <c r="A312" s="1846"/>
      <c r="B312" s="2443" t="s">
        <v>6447</v>
      </c>
      <c r="C312" s="2443"/>
      <c r="D312" s="2443"/>
      <c r="E312" s="2443"/>
      <c r="F312" s="2443" t="s">
        <v>6448</v>
      </c>
      <c r="G312" s="2443"/>
      <c r="H312" s="2443"/>
      <c r="I312" s="2443"/>
      <c r="J312" s="2443" t="s">
        <v>588</v>
      </c>
      <c r="K312" s="2443"/>
      <c r="L312" s="2443"/>
      <c r="M312" s="2443"/>
      <c r="N312" s="2443"/>
      <c r="O312" s="2443"/>
      <c r="P312" s="2443"/>
    </row>
    <row r="313" spans="1:16" ht="108.75" customHeight="1" x14ac:dyDescent="0.25">
      <c r="A313" s="1846"/>
      <c r="B313" s="2443" t="s">
        <v>7014</v>
      </c>
      <c r="C313" s="2443"/>
      <c r="D313" s="2443"/>
      <c r="E313" s="2443"/>
      <c r="F313" s="2443" t="s">
        <v>7013</v>
      </c>
      <c r="G313" s="2443"/>
      <c r="H313" s="2443"/>
      <c r="I313" s="2443"/>
      <c r="J313" s="2443" t="s">
        <v>588</v>
      </c>
      <c r="K313" s="2443"/>
      <c r="L313" s="2443"/>
      <c r="M313" s="2443"/>
      <c r="N313" s="2443"/>
      <c r="O313" s="2443"/>
      <c r="P313" s="2443"/>
    </row>
    <row r="314" spans="1:16" ht="149.65" customHeight="1" x14ac:dyDescent="0.25">
      <c r="A314" s="1846"/>
      <c r="B314" s="2443" t="s">
        <v>6148</v>
      </c>
      <c r="C314" s="2443"/>
      <c r="D314" s="2443"/>
      <c r="E314" s="2443"/>
      <c r="F314" s="2443" t="s">
        <v>6248</v>
      </c>
      <c r="G314" s="2443"/>
      <c r="H314" s="2443"/>
      <c r="I314" s="2443"/>
      <c r="J314" s="2443" t="s">
        <v>588</v>
      </c>
      <c r="K314" s="2443"/>
      <c r="L314" s="2443"/>
      <c r="M314" s="2443"/>
      <c r="N314" s="2443"/>
      <c r="O314" s="2443"/>
      <c r="P314" s="2443"/>
    </row>
    <row r="315" spans="1:16" ht="40.9" customHeight="1" x14ac:dyDescent="0.25">
      <c r="A315" s="1845"/>
      <c r="B315" s="2442" t="s">
        <v>6150</v>
      </c>
      <c r="C315" s="2442"/>
      <c r="D315" s="2442"/>
      <c r="E315" s="2442"/>
      <c r="F315" s="2442" t="s">
        <v>588</v>
      </c>
      <c r="G315" s="2442"/>
      <c r="H315" s="2442"/>
      <c r="I315" s="2442"/>
      <c r="J315" s="2442" t="s">
        <v>7557</v>
      </c>
      <c r="K315" s="2442"/>
      <c r="L315" s="2442"/>
      <c r="M315" s="2442"/>
      <c r="N315" s="2442"/>
      <c r="O315" s="2442"/>
      <c r="P315" s="2442"/>
    </row>
    <row r="316" spans="1:16" x14ac:dyDescent="0.25">
      <c r="A316" s="1846"/>
      <c r="B316" s="2443" t="s">
        <v>6160</v>
      </c>
      <c r="C316" s="2443"/>
      <c r="D316" s="2443"/>
      <c r="E316" s="2443"/>
      <c r="F316" s="2443" t="s">
        <v>7556</v>
      </c>
      <c r="G316" s="2443"/>
      <c r="H316" s="2443"/>
      <c r="I316" s="2443"/>
      <c r="J316" s="2443" t="s">
        <v>588</v>
      </c>
      <c r="K316" s="2443"/>
      <c r="L316" s="2443"/>
      <c r="M316" s="2443"/>
      <c r="N316" s="2443"/>
      <c r="O316" s="2443"/>
      <c r="P316" s="2443"/>
    </row>
    <row r="317" spans="1:16" x14ac:dyDescent="0.25">
      <c r="A317" s="1846"/>
      <c r="B317" s="2443" t="s">
        <v>6177</v>
      </c>
      <c r="C317" s="2443"/>
      <c r="D317" s="2443"/>
      <c r="E317" s="2443"/>
      <c r="F317" s="2443" t="s">
        <v>7555</v>
      </c>
      <c r="G317" s="2443"/>
      <c r="H317" s="2443"/>
      <c r="I317" s="2443"/>
      <c r="J317" s="2443" t="s">
        <v>588</v>
      </c>
      <c r="K317" s="2443"/>
      <c r="L317" s="2443"/>
      <c r="M317" s="2443"/>
      <c r="N317" s="2443"/>
      <c r="O317" s="2443"/>
      <c r="P317" s="2443"/>
    </row>
    <row r="318" spans="1:16" x14ac:dyDescent="0.25">
      <c r="A318" s="1846"/>
      <c r="B318" s="2443" t="s">
        <v>6249</v>
      </c>
      <c r="C318" s="2443"/>
      <c r="D318" s="2443"/>
      <c r="E318" s="2443"/>
      <c r="F318" s="2443" t="s">
        <v>7554</v>
      </c>
      <c r="G318" s="2443"/>
      <c r="H318" s="2443"/>
      <c r="I318" s="2443"/>
      <c r="J318" s="2443" t="s">
        <v>588</v>
      </c>
      <c r="K318" s="2443"/>
      <c r="L318" s="2443"/>
      <c r="M318" s="2443"/>
      <c r="N318" s="2443"/>
      <c r="O318" s="2443"/>
      <c r="P318" s="2443"/>
    </row>
    <row r="319" spans="1:16" x14ac:dyDescent="0.25">
      <c r="A319" s="1846"/>
      <c r="B319" s="2443" t="s">
        <v>6165</v>
      </c>
      <c r="C319" s="2443"/>
      <c r="D319" s="2443"/>
      <c r="E319" s="2443"/>
      <c r="F319" s="2443" t="s">
        <v>7553</v>
      </c>
      <c r="G319" s="2443"/>
      <c r="H319" s="2443"/>
      <c r="I319" s="2443"/>
      <c r="J319" s="2443" t="s">
        <v>588</v>
      </c>
      <c r="K319" s="2443"/>
      <c r="L319" s="2443"/>
      <c r="M319" s="2443"/>
      <c r="N319" s="2443"/>
      <c r="O319" s="2443"/>
      <c r="P319" s="2443"/>
    </row>
    <row r="320" spans="1:16" x14ac:dyDescent="0.25">
      <c r="A320" s="1846"/>
      <c r="B320" s="2443" t="s">
        <v>6286</v>
      </c>
      <c r="C320" s="2443"/>
      <c r="D320" s="2443"/>
      <c r="E320" s="2443"/>
      <c r="F320" s="2443" t="s">
        <v>7552</v>
      </c>
      <c r="G320" s="2443"/>
      <c r="H320" s="2443"/>
      <c r="I320" s="2443"/>
      <c r="J320" s="2443" t="s">
        <v>588</v>
      </c>
      <c r="K320" s="2443"/>
      <c r="L320" s="2443"/>
      <c r="M320" s="2443"/>
      <c r="N320" s="2443"/>
      <c r="O320" s="2443"/>
      <c r="P320" s="2443"/>
    </row>
    <row r="321" spans="1:16" ht="108.75" customHeight="1" x14ac:dyDescent="0.25">
      <c r="A321" s="1844" t="s">
        <v>6278</v>
      </c>
      <c r="B321" s="2431" t="s">
        <v>6861</v>
      </c>
      <c r="C321" s="2432"/>
      <c r="D321" s="2432"/>
      <c r="E321" s="2432"/>
      <c r="F321" s="2432" t="s">
        <v>7118</v>
      </c>
      <c r="G321" s="2432"/>
      <c r="H321" s="2432"/>
      <c r="I321" s="2432"/>
      <c r="J321" s="2432" t="s">
        <v>7551</v>
      </c>
      <c r="K321" s="2432"/>
      <c r="L321" s="2432"/>
      <c r="M321" s="2558">
        <f>ROUND((25980 + 4623 * 41) * 1 * 7.1 * 0.58 * 1.26413, 0)</f>
        <v>1121945</v>
      </c>
      <c r="N321" s="2432"/>
      <c r="O321" s="2432" t="s">
        <v>7550</v>
      </c>
      <c r="P321" s="2432"/>
    </row>
    <row r="322" spans="1:16" x14ac:dyDescent="0.25">
      <c r="A322" s="1845"/>
      <c r="B322" s="2442" t="s">
        <v>4168</v>
      </c>
      <c r="C322" s="2442"/>
      <c r="D322" s="2442"/>
      <c r="E322" s="2442"/>
      <c r="F322" s="2442" t="s">
        <v>588</v>
      </c>
      <c r="G322" s="2442"/>
      <c r="H322" s="2442"/>
      <c r="I322" s="2442"/>
      <c r="J322" s="2442" t="s">
        <v>588</v>
      </c>
      <c r="K322" s="2442"/>
      <c r="L322" s="2442"/>
      <c r="M322" s="2442"/>
      <c r="N322" s="2442"/>
      <c r="O322" s="2442"/>
      <c r="P322" s="2442"/>
    </row>
    <row r="323" spans="1:16" x14ac:dyDescent="0.25">
      <c r="A323" s="1846"/>
      <c r="B323" s="2443" t="s">
        <v>7321</v>
      </c>
      <c r="C323" s="2443"/>
      <c r="D323" s="2443"/>
      <c r="E323" s="2443"/>
      <c r="F323" s="2443" t="s">
        <v>7365</v>
      </c>
      <c r="G323" s="2443"/>
      <c r="H323" s="2443"/>
      <c r="I323" s="2443"/>
      <c r="J323" s="2443" t="s">
        <v>588</v>
      </c>
      <c r="K323" s="2443"/>
      <c r="L323" s="2443"/>
      <c r="M323" s="2443"/>
      <c r="N323" s="2443"/>
      <c r="O323" s="2443"/>
      <c r="P323" s="2443"/>
    </row>
    <row r="324" spans="1:16" ht="40.9" customHeight="1" x14ac:dyDescent="0.25">
      <c r="A324" s="1846"/>
      <c r="B324" s="2443" t="s">
        <v>6397</v>
      </c>
      <c r="C324" s="2443"/>
      <c r="D324" s="2443"/>
      <c r="E324" s="2443"/>
      <c r="F324" s="2443" t="s">
        <v>6398</v>
      </c>
      <c r="G324" s="2443"/>
      <c r="H324" s="2443"/>
      <c r="I324" s="2443"/>
      <c r="J324" s="2443" t="s">
        <v>588</v>
      </c>
      <c r="K324" s="2443"/>
      <c r="L324" s="2443"/>
      <c r="M324" s="2443"/>
      <c r="N324" s="2443"/>
      <c r="O324" s="2443"/>
      <c r="P324" s="2443"/>
    </row>
    <row r="325" spans="1:16" ht="149.65" customHeight="1" x14ac:dyDescent="0.25">
      <c r="A325" s="1846"/>
      <c r="B325" s="2443" t="s">
        <v>6148</v>
      </c>
      <c r="C325" s="2443"/>
      <c r="D325" s="2443"/>
      <c r="E325" s="2443"/>
      <c r="F325" s="2443" t="s">
        <v>7348</v>
      </c>
      <c r="G325" s="2443"/>
      <c r="H325" s="2443"/>
      <c r="I325" s="2443"/>
      <c r="J325" s="2443" t="s">
        <v>588</v>
      </c>
      <c r="K325" s="2443"/>
      <c r="L325" s="2443"/>
      <c r="M325" s="2443"/>
      <c r="N325" s="2443"/>
      <c r="O325" s="2443"/>
      <c r="P325" s="2443"/>
    </row>
    <row r="326" spans="1:16" ht="108.75" customHeight="1" x14ac:dyDescent="0.25">
      <c r="A326" s="1845"/>
      <c r="B326" s="2442" t="s">
        <v>6150</v>
      </c>
      <c r="C326" s="2442"/>
      <c r="D326" s="2442"/>
      <c r="E326" s="2442"/>
      <c r="F326" s="2442" t="s">
        <v>588</v>
      </c>
      <c r="G326" s="2442"/>
      <c r="H326" s="2442"/>
      <c r="I326" s="2442"/>
      <c r="J326" s="2442" t="s">
        <v>7347</v>
      </c>
      <c r="K326" s="2442"/>
      <c r="L326" s="2442"/>
      <c r="M326" s="2442"/>
      <c r="N326" s="2442"/>
      <c r="O326" s="2442"/>
      <c r="P326" s="2442"/>
    </row>
    <row r="327" spans="1:16" x14ac:dyDescent="0.25">
      <c r="A327" s="1846"/>
      <c r="B327" s="2443" t="s">
        <v>7346</v>
      </c>
      <c r="C327" s="2443"/>
      <c r="D327" s="2443"/>
      <c r="E327" s="2443"/>
      <c r="F327" s="2443" t="s">
        <v>7549</v>
      </c>
      <c r="G327" s="2443"/>
      <c r="H327" s="2443"/>
      <c r="I327" s="2443"/>
      <c r="J327" s="2443" t="s">
        <v>588</v>
      </c>
      <c r="K327" s="2443"/>
      <c r="L327" s="2443"/>
      <c r="M327" s="2443"/>
      <c r="N327" s="2443"/>
      <c r="O327" s="2443"/>
      <c r="P327" s="2443"/>
    </row>
    <row r="328" spans="1:16" x14ac:dyDescent="0.25">
      <c r="A328" s="1846"/>
      <c r="B328" s="2443" t="s">
        <v>7344</v>
      </c>
      <c r="C328" s="2443"/>
      <c r="D328" s="2443"/>
      <c r="E328" s="2443"/>
      <c r="F328" s="2443" t="s">
        <v>7548</v>
      </c>
      <c r="G328" s="2443"/>
      <c r="H328" s="2443"/>
      <c r="I328" s="2443"/>
      <c r="J328" s="2443" t="s">
        <v>588</v>
      </c>
      <c r="K328" s="2443"/>
      <c r="L328" s="2443"/>
      <c r="M328" s="2443"/>
      <c r="N328" s="2443"/>
      <c r="O328" s="2443"/>
      <c r="P328" s="2443"/>
    </row>
    <row r="329" spans="1:16" x14ac:dyDescent="0.25">
      <c r="A329" s="1846"/>
      <c r="B329" s="2443" t="s">
        <v>6215</v>
      </c>
      <c r="C329" s="2443"/>
      <c r="D329" s="2443"/>
      <c r="E329" s="2443"/>
      <c r="F329" s="2443" t="s">
        <v>7547</v>
      </c>
      <c r="G329" s="2443"/>
      <c r="H329" s="2443"/>
      <c r="I329" s="2443"/>
      <c r="J329" s="2443" t="s">
        <v>588</v>
      </c>
      <c r="K329" s="2443"/>
      <c r="L329" s="2443"/>
      <c r="M329" s="2443"/>
      <c r="N329" s="2443"/>
      <c r="O329" s="2443"/>
      <c r="P329" s="2443"/>
    </row>
    <row r="330" spans="1:16" x14ac:dyDescent="0.25">
      <c r="A330" s="1846"/>
      <c r="B330" s="2443" t="s">
        <v>7341</v>
      </c>
      <c r="C330" s="2443"/>
      <c r="D330" s="2443"/>
      <c r="E330" s="2443"/>
      <c r="F330" s="2443" t="s">
        <v>7546</v>
      </c>
      <c r="G330" s="2443"/>
      <c r="H330" s="2443"/>
      <c r="I330" s="2443"/>
      <c r="J330" s="2443" t="s">
        <v>588</v>
      </c>
      <c r="K330" s="2443"/>
      <c r="L330" s="2443"/>
      <c r="M330" s="2443"/>
      <c r="N330" s="2443"/>
      <c r="O330" s="2443"/>
      <c r="P330" s="2443"/>
    </row>
    <row r="331" spans="1:16" ht="27.2" customHeight="1" x14ac:dyDescent="0.25">
      <c r="A331" s="1846"/>
      <c r="B331" s="2443" t="s">
        <v>7339</v>
      </c>
      <c r="C331" s="2443"/>
      <c r="D331" s="2443"/>
      <c r="E331" s="2443"/>
      <c r="F331" s="2443" t="s">
        <v>7545</v>
      </c>
      <c r="G331" s="2443"/>
      <c r="H331" s="2443"/>
      <c r="I331" s="2443"/>
      <c r="J331" s="2443" t="s">
        <v>588</v>
      </c>
      <c r="K331" s="2443"/>
      <c r="L331" s="2443"/>
      <c r="M331" s="2443"/>
      <c r="N331" s="2443"/>
      <c r="O331" s="2443"/>
      <c r="P331" s="2443"/>
    </row>
    <row r="332" spans="1:16" ht="27.2" customHeight="1" x14ac:dyDescent="0.25">
      <c r="A332" s="1846"/>
      <c r="B332" s="2443" t="s">
        <v>7337</v>
      </c>
      <c r="C332" s="2443"/>
      <c r="D332" s="2443"/>
      <c r="E332" s="2443"/>
      <c r="F332" s="2443" t="s">
        <v>7544</v>
      </c>
      <c r="G332" s="2443"/>
      <c r="H332" s="2443"/>
      <c r="I332" s="2443"/>
      <c r="J332" s="2443" t="s">
        <v>588</v>
      </c>
      <c r="K332" s="2443"/>
      <c r="L332" s="2443"/>
      <c r="M332" s="2443"/>
      <c r="N332" s="2443"/>
      <c r="O332" s="2443"/>
      <c r="P332" s="2443"/>
    </row>
    <row r="333" spans="1:16" ht="27.2" customHeight="1" x14ac:dyDescent="0.25">
      <c r="A333" s="1846"/>
      <c r="B333" s="2443" t="s">
        <v>7336</v>
      </c>
      <c r="C333" s="2443"/>
      <c r="D333" s="2443"/>
      <c r="E333" s="2443"/>
      <c r="F333" s="2443" t="s">
        <v>7544</v>
      </c>
      <c r="G333" s="2443"/>
      <c r="H333" s="2443"/>
      <c r="I333" s="2443"/>
      <c r="J333" s="2443" t="s">
        <v>588</v>
      </c>
      <c r="K333" s="2443"/>
      <c r="L333" s="2443"/>
      <c r="M333" s="2443"/>
      <c r="N333" s="2443"/>
      <c r="O333" s="2443"/>
      <c r="P333" s="2443"/>
    </row>
    <row r="334" spans="1:16" ht="27.2" customHeight="1" x14ac:dyDescent="0.25">
      <c r="A334" s="1846"/>
      <c r="B334" s="2443" t="s">
        <v>7334</v>
      </c>
      <c r="C334" s="2443"/>
      <c r="D334" s="2443"/>
      <c r="E334" s="2443"/>
      <c r="F334" s="2443" t="s">
        <v>7543</v>
      </c>
      <c r="G334" s="2443"/>
      <c r="H334" s="2443"/>
      <c r="I334" s="2443"/>
      <c r="J334" s="2443" t="s">
        <v>588</v>
      </c>
      <c r="K334" s="2443"/>
      <c r="L334" s="2443"/>
      <c r="M334" s="2443"/>
      <c r="N334" s="2443"/>
      <c r="O334" s="2443"/>
      <c r="P334" s="2443"/>
    </row>
    <row r="335" spans="1:16" ht="27.2" customHeight="1" x14ac:dyDescent="0.25">
      <c r="A335" s="1846"/>
      <c r="B335" s="2443" t="s">
        <v>7332</v>
      </c>
      <c r="C335" s="2443"/>
      <c r="D335" s="2443"/>
      <c r="E335" s="2443"/>
      <c r="F335" s="2443" t="s">
        <v>7542</v>
      </c>
      <c r="G335" s="2443"/>
      <c r="H335" s="2443"/>
      <c r="I335" s="2443"/>
      <c r="J335" s="2443" t="s">
        <v>588</v>
      </c>
      <c r="K335" s="2443"/>
      <c r="L335" s="2443"/>
      <c r="M335" s="2443"/>
      <c r="N335" s="2443"/>
      <c r="O335" s="2443"/>
      <c r="P335" s="2443"/>
    </row>
    <row r="336" spans="1:16" ht="27.2" customHeight="1" x14ac:dyDescent="0.25">
      <c r="A336" s="1846"/>
      <c r="B336" s="2443" t="s">
        <v>7330</v>
      </c>
      <c r="C336" s="2443"/>
      <c r="D336" s="2443"/>
      <c r="E336" s="2443"/>
      <c r="F336" s="2443" t="s">
        <v>7541</v>
      </c>
      <c r="G336" s="2443"/>
      <c r="H336" s="2443"/>
      <c r="I336" s="2443"/>
      <c r="J336" s="2443" t="s">
        <v>588</v>
      </c>
      <c r="K336" s="2443"/>
      <c r="L336" s="2443"/>
      <c r="M336" s="2443"/>
      <c r="N336" s="2443"/>
      <c r="O336" s="2443"/>
      <c r="P336" s="2443"/>
    </row>
    <row r="337" spans="1:16" ht="27.2" customHeight="1" x14ac:dyDescent="0.25">
      <c r="A337" s="1846"/>
      <c r="B337" s="2443" t="s">
        <v>7328</v>
      </c>
      <c r="C337" s="2443"/>
      <c r="D337" s="2443"/>
      <c r="E337" s="2443"/>
      <c r="F337" s="2443" t="s">
        <v>7540</v>
      </c>
      <c r="G337" s="2443"/>
      <c r="H337" s="2443"/>
      <c r="I337" s="2443"/>
      <c r="J337" s="2443" t="s">
        <v>588</v>
      </c>
      <c r="K337" s="2443"/>
      <c r="L337" s="2443"/>
      <c r="M337" s="2443"/>
      <c r="N337" s="2443"/>
      <c r="O337" s="2443"/>
      <c r="P337" s="2443"/>
    </row>
    <row r="338" spans="1:16" x14ac:dyDescent="0.25">
      <c r="A338" s="1846"/>
      <c r="B338" s="2443" t="s">
        <v>6263</v>
      </c>
      <c r="C338" s="2443"/>
      <c r="D338" s="2443"/>
      <c r="E338" s="2443"/>
      <c r="F338" s="2443" t="s">
        <v>7539</v>
      </c>
      <c r="G338" s="2443"/>
      <c r="H338" s="2443"/>
      <c r="I338" s="2443"/>
      <c r="J338" s="2443" t="s">
        <v>588</v>
      </c>
      <c r="K338" s="2443"/>
      <c r="L338" s="2443"/>
      <c r="M338" s="2443"/>
      <c r="N338" s="2443"/>
      <c r="O338" s="2443"/>
      <c r="P338" s="2443"/>
    </row>
    <row r="339" spans="1:16" x14ac:dyDescent="0.25">
      <c r="A339" s="1846"/>
      <c r="B339" s="2443" t="s">
        <v>7325</v>
      </c>
      <c r="C339" s="2443"/>
      <c r="D339" s="2443"/>
      <c r="E339" s="2443"/>
      <c r="F339" s="2443" t="s">
        <v>7538</v>
      </c>
      <c r="G339" s="2443"/>
      <c r="H339" s="2443"/>
      <c r="I339" s="2443"/>
      <c r="J339" s="2443" t="s">
        <v>588</v>
      </c>
      <c r="K339" s="2443"/>
      <c r="L339" s="2443"/>
      <c r="M339" s="2443"/>
      <c r="N339" s="2443"/>
      <c r="O339" s="2443"/>
      <c r="P339" s="2443"/>
    </row>
    <row r="340" spans="1:16" x14ac:dyDescent="0.25">
      <c r="A340" s="1846"/>
      <c r="B340" s="2443" t="s">
        <v>6234</v>
      </c>
      <c r="C340" s="2443"/>
      <c r="D340" s="2443"/>
      <c r="E340" s="2443"/>
      <c r="F340" s="2443" t="s">
        <v>7537</v>
      </c>
      <c r="G340" s="2443"/>
      <c r="H340" s="2443"/>
      <c r="I340" s="2443"/>
      <c r="J340" s="2443" t="s">
        <v>588</v>
      </c>
      <c r="K340" s="2443"/>
      <c r="L340" s="2443"/>
      <c r="M340" s="2443"/>
      <c r="N340" s="2443"/>
      <c r="O340" s="2443"/>
      <c r="P340" s="2443"/>
    </row>
    <row r="341" spans="1:16" x14ac:dyDescent="0.25">
      <c r="A341" s="1848" t="s">
        <v>6279</v>
      </c>
      <c r="B341" s="2441" t="s">
        <v>6265</v>
      </c>
      <c r="C341" s="2441"/>
      <c r="D341" s="2441"/>
      <c r="E341" s="2441"/>
      <c r="F341" s="2441"/>
      <c r="G341" s="2441"/>
      <c r="H341" s="2441"/>
      <c r="I341" s="2441"/>
      <c r="J341" s="2441" t="s">
        <v>588</v>
      </c>
      <c r="K341" s="2441"/>
      <c r="L341" s="2441"/>
      <c r="M341" s="2559">
        <f>ROUND(SUM($M$262:$M$321),0)</f>
        <v>1872035</v>
      </c>
      <c r="N341" s="2441"/>
      <c r="O341" s="2441"/>
      <c r="P341" s="2441"/>
    </row>
    <row r="342" spans="1:16" x14ac:dyDescent="0.25">
      <c r="A342" s="1848" t="s">
        <v>6283</v>
      </c>
      <c r="B342" s="2441" t="s">
        <v>6267</v>
      </c>
      <c r="C342" s="2441"/>
      <c r="D342" s="2441"/>
      <c r="E342" s="2441"/>
      <c r="F342" s="2441"/>
      <c r="G342" s="2441"/>
      <c r="H342" s="2441"/>
      <c r="I342" s="2441"/>
      <c r="J342" s="2441" t="s">
        <v>588</v>
      </c>
      <c r="K342" s="2441"/>
      <c r="L342" s="2441"/>
      <c r="M342" s="2559">
        <f>ROUND(($M$341),0)</f>
        <v>1872035</v>
      </c>
      <c r="N342" s="2441"/>
      <c r="O342" s="2441"/>
      <c r="P342" s="2441"/>
    </row>
    <row r="343" spans="1:16" x14ac:dyDescent="0.25">
      <c r="A343" s="1848" t="s">
        <v>641</v>
      </c>
      <c r="B343" s="2441" t="s">
        <v>6145</v>
      </c>
      <c r="C343" s="2441"/>
      <c r="D343" s="2441"/>
      <c r="E343" s="2441"/>
      <c r="F343" s="2441" t="s">
        <v>5981</v>
      </c>
      <c r="G343" s="2441"/>
      <c r="H343" s="2441"/>
      <c r="I343" s="2441"/>
      <c r="J343" s="2441"/>
      <c r="K343" s="2441"/>
      <c r="L343" s="2441"/>
      <c r="M343" s="2441"/>
      <c r="N343" s="2441"/>
      <c r="O343" s="2441"/>
      <c r="P343" s="2441"/>
    </row>
    <row r="344" spans="1:16" ht="176.85" customHeight="1" x14ac:dyDescent="0.25">
      <c r="A344" s="1844" t="s">
        <v>4425</v>
      </c>
      <c r="B344" s="2431" t="s">
        <v>6268</v>
      </c>
      <c r="C344" s="2432"/>
      <c r="D344" s="2432"/>
      <c r="E344" s="2432"/>
      <c r="F344" s="2432" t="s">
        <v>7101</v>
      </c>
      <c r="G344" s="2432"/>
      <c r="H344" s="2432"/>
      <c r="I344" s="2432"/>
      <c r="J344" s="2432" t="s">
        <v>7536</v>
      </c>
      <c r="K344" s="2432"/>
      <c r="L344" s="2432"/>
      <c r="M344" s="2558">
        <f>ROUND((30800 + 608 * (0.4 * 100 + 0.6 * 60)) * 1 * 1.68 * 0.6 * 0.9 * 1.1 * 1.28263, 0)</f>
        <v>98567</v>
      </c>
      <c r="N344" s="2432"/>
      <c r="O344" s="2432" t="s">
        <v>5982</v>
      </c>
      <c r="P344" s="2432"/>
    </row>
    <row r="345" spans="1:16" x14ac:dyDescent="0.25">
      <c r="A345" s="1845"/>
      <c r="B345" s="2442" t="s">
        <v>4168</v>
      </c>
      <c r="C345" s="2442"/>
      <c r="D345" s="2442"/>
      <c r="E345" s="2442"/>
      <c r="F345" s="2442" t="s">
        <v>588</v>
      </c>
      <c r="G345" s="2442"/>
      <c r="H345" s="2442"/>
      <c r="I345" s="2442"/>
      <c r="J345" s="2442" t="s">
        <v>588</v>
      </c>
      <c r="K345" s="2442"/>
      <c r="L345" s="2442"/>
      <c r="M345" s="2442"/>
      <c r="N345" s="2442"/>
      <c r="O345" s="2442"/>
      <c r="P345" s="2442"/>
    </row>
    <row r="346" spans="1:16" x14ac:dyDescent="0.25">
      <c r="A346" s="1846"/>
      <c r="B346" s="2443" t="s">
        <v>7321</v>
      </c>
      <c r="C346" s="2443"/>
      <c r="D346" s="2443"/>
      <c r="E346" s="2443"/>
      <c r="F346" s="2443" t="s">
        <v>7320</v>
      </c>
      <c r="G346" s="2443"/>
      <c r="H346" s="2443"/>
      <c r="I346" s="2443"/>
      <c r="J346" s="2443" t="s">
        <v>588</v>
      </c>
      <c r="K346" s="2443"/>
      <c r="L346" s="2443"/>
      <c r="M346" s="2443"/>
      <c r="N346" s="2443"/>
      <c r="O346" s="2443"/>
      <c r="P346" s="2443"/>
    </row>
    <row r="347" spans="1:16" ht="40.9" customHeight="1" x14ac:dyDescent="0.25">
      <c r="A347" s="1846"/>
      <c r="B347" s="2443" t="s">
        <v>6447</v>
      </c>
      <c r="C347" s="2443"/>
      <c r="D347" s="2443"/>
      <c r="E347" s="2443"/>
      <c r="F347" s="2443" t="s">
        <v>6448</v>
      </c>
      <c r="G347" s="2443"/>
      <c r="H347" s="2443"/>
      <c r="I347" s="2443"/>
      <c r="J347" s="2443" t="s">
        <v>588</v>
      </c>
      <c r="K347" s="2443"/>
      <c r="L347" s="2443"/>
      <c r="M347" s="2443"/>
      <c r="N347" s="2443"/>
      <c r="O347" s="2443"/>
      <c r="P347" s="2443"/>
    </row>
    <row r="348" spans="1:16" ht="108.75" customHeight="1" x14ac:dyDescent="0.25">
      <c r="A348" s="1846"/>
      <c r="B348" s="2443" t="s">
        <v>7014</v>
      </c>
      <c r="C348" s="2443"/>
      <c r="D348" s="2443"/>
      <c r="E348" s="2443"/>
      <c r="F348" s="2443" t="s">
        <v>7013</v>
      </c>
      <c r="G348" s="2443"/>
      <c r="H348" s="2443"/>
      <c r="I348" s="2443"/>
      <c r="J348" s="2443" t="s">
        <v>588</v>
      </c>
      <c r="K348" s="2443"/>
      <c r="L348" s="2443"/>
      <c r="M348" s="2443"/>
      <c r="N348" s="2443"/>
      <c r="O348" s="2443"/>
      <c r="P348" s="2443"/>
    </row>
    <row r="349" spans="1:16" ht="95.25" customHeight="1" x14ac:dyDescent="0.25">
      <c r="A349" s="1846"/>
      <c r="B349" s="2443" t="s">
        <v>6269</v>
      </c>
      <c r="C349" s="2443"/>
      <c r="D349" s="2443"/>
      <c r="E349" s="2443"/>
      <c r="F349" s="2443" t="s">
        <v>7094</v>
      </c>
      <c r="G349" s="2443"/>
      <c r="H349" s="2443"/>
      <c r="I349" s="2443"/>
      <c r="J349" s="2443" t="s">
        <v>588</v>
      </c>
      <c r="K349" s="2443"/>
      <c r="L349" s="2443"/>
      <c r="M349" s="2443"/>
      <c r="N349" s="2443"/>
      <c r="O349" s="2443"/>
      <c r="P349" s="2443"/>
    </row>
    <row r="350" spans="1:16" ht="149.65" customHeight="1" x14ac:dyDescent="0.25">
      <c r="A350" s="1846"/>
      <c r="B350" s="2443" t="s">
        <v>6148</v>
      </c>
      <c r="C350" s="2443"/>
      <c r="D350" s="2443"/>
      <c r="E350" s="2443"/>
      <c r="F350" s="2443" t="s">
        <v>6257</v>
      </c>
      <c r="G350" s="2443"/>
      <c r="H350" s="2443"/>
      <c r="I350" s="2443"/>
      <c r="J350" s="2443" t="s">
        <v>588</v>
      </c>
      <c r="K350" s="2443"/>
      <c r="L350" s="2443"/>
      <c r="M350" s="2443"/>
      <c r="N350" s="2443"/>
      <c r="O350" s="2443"/>
      <c r="P350" s="2443"/>
    </row>
    <row r="351" spans="1:16" ht="40.9" customHeight="1" x14ac:dyDescent="0.25">
      <c r="A351" s="1845"/>
      <c r="B351" s="2442" t="s">
        <v>6150</v>
      </c>
      <c r="C351" s="2442"/>
      <c r="D351" s="2442"/>
      <c r="E351" s="2442"/>
      <c r="F351" s="2442" t="s">
        <v>588</v>
      </c>
      <c r="G351" s="2442"/>
      <c r="H351" s="2442"/>
      <c r="I351" s="2442"/>
      <c r="J351" s="2442" t="s">
        <v>7510</v>
      </c>
      <c r="K351" s="2442"/>
      <c r="L351" s="2442"/>
      <c r="M351" s="2442"/>
      <c r="N351" s="2442"/>
      <c r="O351" s="2442"/>
      <c r="P351" s="2442"/>
    </row>
    <row r="352" spans="1:16" x14ac:dyDescent="0.25">
      <c r="A352" s="1846"/>
      <c r="B352" s="2443" t="s">
        <v>6160</v>
      </c>
      <c r="C352" s="2443"/>
      <c r="D352" s="2443"/>
      <c r="E352" s="2443"/>
      <c r="F352" s="2443" t="s">
        <v>7535</v>
      </c>
      <c r="G352" s="2443"/>
      <c r="H352" s="2443"/>
      <c r="I352" s="2443"/>
      <c r="J352" s="2443" t="s">
        <v>588</v>
      </c>
      <c r="K352" s="2443"/>
      <c r="L352" s="2443"/>
      <c r="M352" s="2443"/>
      <c r="N352" s="2443"/>
      <c r="O352" s="2443"/>
      <c r="P352" s="2443"/>
    </row>
    <row r="353" spans="1:16" x14ac:dyDescent="0.25">
      <c r="A353" s="1846"/>
      <c r="B353" s="2443" t="s">
        <v>6177</v>
      </c>
      <c r="C353" s="2443"/>
      <c r="D353" s="2443"/>
      <c r="E353" s="2443"/>
      <c r="F353" s="2443" t="s">
        <v>7534</v>
      </c>
      <c r="G353" s="2443"/>
      <c r="H353" s="2443"/>
      <c r="I353" s="2443"/>
      <c r="J353" s="2443" t="s">
        <v>588</v>
      </c>
      <c r="K353" s="2443"/>
      <c r="L353" s="2443"/>
      <c r="M353" s="2443"/>
      <c r="N353" s="2443"/>
      <c r="O353" s="2443"/>
      <c r="P353" s="2443"/>
    </row>
    <row r="354" spans="1:16" x14ac:dyDescent="0.25">
      <c r="A354" s="1846"/>
      <c r="B354" s="2443" t="s">
        <v>6249</v>
      </c>
      <c r="C354" s="2443"/>
      <c r="D354" s="2443"/>
      <c r="E354" s="2443"/>
      <c r="F354" s="2443" t="s">
        <v>7533</v>
      </c>
      <c r="G354" s="2443"/>
      <c r="H354" s="2443"/>
      <c r="I354" s="2443"/>
      <c r="J354" s="2443" t="s">
        <v>588</v>
      </c>
      <c r="K354" s="2443"/>
      <c r="L354" s="2443"/>
      <c r="M354" s="2443"/>
      <c r="N354" s="2443"/>
      <c r="O354" s="2443"/>
      <c r="P354" s="2443"/>
    </row>
    <row r="355" spans="1:16" x14ac:dyDescent="0.25">
      <c r="A355" s="1846"/>
      <c r="B355" s="2443" t="s">
        <v>6165</v>
      </c>
      <c r="C355" s="2443"/>
      <c r="D355" s="2443"/>
      <c r="E355" s="2443"/>
      <c r="F355" s="2443" t="s">
        <v>7532</v>
      </c>
      <c r="G355" s="2443"/>
      <c r="H355" s="2443"/>
      <c r="I355" s="2443"/>
      <c r="J355" s="2443" t="s">
        <v>588</v>
      </c>
      <c r="K355" s="2443"/>
      <c r="L355" s="2443"/>
      <c r="M355" s="2443"/>
      <c r="N355" s="2443"/>
      <c r="O355" s="2443"/>
      <c r="P355" s="2443"/>
    </row>
    <row r="356" spans="1:16" x14ac:dyDescent="0.25">
      <c r="A356" s="1846"/>
      <c r="B356" s="2443" t="s">
        <v>6286</v>
      </c>
      <c r="C356" s="2443"/>
      <c r="D356" s="2443"/>
      <c r="E356" s="2443"/>
      <c r="F356" s="2443" t="s">
        <v>7531</v>
      </c>
      <c r="G356" s="2443"/>
      <c r="H356" s="2443"/>
      <c r="I356" s="2443"/>
      <c r="J356" s="2443" t="s">
        <v>588</v>
      </c>
      <c r="K356" s="2443"/>
      <c r="L356" s="2443"/>
      <c r="M356" s="2443"/>
      <c r="N356" s="2443"/>
      <c r="O356" s="2443"/>
      <c r="P356" s="2443"/>
    </row>
    <row r="357" spans="1:16" ht="163.15" customHeight="1" x14ac:dyDescent="0.25">
      <c r="A357" s="1844" t="s">
        <v>6081</v>
      </c>
      <c r="B357" s="2431" t="s">
        <v>6268</v>
      </c>
      <c r="C357" s="2432"/>
      <c r="D357" s="2432"/>
      <c r="E357" s="2432"/>
      <c r="F357" s="2432" t="s">
        <v>7095</v>
      </c>
      <c r="G357" s="2432"/>
      <c r="H357" s="2432"/>
      <c r="I357" s="2432"/>
      <c r="J357" s="2432" t="s">
        <v>7530</v>
      </c>
      <c r="K357" s="2432"/>
      <c r="L357" s="2432"/>
      <c r="M357" s="2558">
        <f>ROUND((30800 + 608 * 190) * 1 * 1.68 * 0.6 * 0.9 * 1.1 * 1.28263, 0)</f>
        <v>187284</v>
      </c>
      <c r="N357" s="2432"/>
      <c r="O357" s="2432" t="s">
        <v>5983</v>
      </c>
      <c r="P357" s="2432"/>
    </row>
    <row r="358" spans="1:16" x14ac:dyDescent="0.25">
      <c r="A358" s="1845"/>
      <c r="B358" s="2442" t="s">
        <v>4168</v>
      </c>
      <c r="C358" s="2442"/>
      <c r="D358" s="2442"/>
      <c r="E358" s="2442"/>
      <c r="F358" s="2442" t="s">
        <v>588</v>
      </c>
      <c r="G358" s="2442"/>
      <c r="H358" s="2442"/>
      <c r="I358" s="2442"/>
      <c r="J358" s="2442" t="s">
        <v>588</v>
      </c>
      <c r="K358" s="2442"/>
      <c r="L358" s="2442"/>
      <c r="M358" s="2442"/>
      <c r="N358" s="2442"/>
      <c r="O358" s="2442"/>
      <c r="P358" s="2442"/>
    </row>
    <row r="359" spans="1:16" x14ac:dyDescent="0.25">
      <c r="A359" s="1846"/>
      <c r="B359" s="2443" t="s">
        <v>7321</v>
      </c>
      <c r="C359" s="2443"/>
      <c r="D359" s="2443"/>
      <c r="E359" s="2443"/>
      <c r="F359" s="2443" t="s">
        <v>7320</v>
      </c>
      <c r="G359" s="2443"/>
      <c r="H359" s="2443"/>
      <c r="I359" s="2443"/>
      <c r="J359" s="2443" t="s">
        <v>588</v>
      </c>
      <c r="K359" s="2443"/>
      <c r="L359" s="2443"/>
      <c r="M359" s="2443"/>
      <c r="N359" s="2443"/>
      <c r="O359" s="2443"/>
      <c r="P359" s="2443"/>
    </row>
    <row r="360" spans="1:16" ht="40.9" customHeight="1" x14ac:dyDescent="0.25">
      <c r="A360" s="1846"/>
      <c r="B360" s="2443" t="s">
        <v>6447</v>
      </c>
      <c r="C360" s="2443"/>
      <c r="D360" s="2443"/>
      <c r="E360" s="2443"/>
      <c r="F360" s="2443" t="s">
        <v>6448</v>
      </c>
      <c r="G360" s="2443"/>
      <c r="H360" s="2443"/>
      <c r="I360" s="2443"/>
      <c r="J360" s="2443" t="s">
        <v>588</v>
      </c>
      <c r="K360" s="2443"/>
      <c r="L360" s="2443"/>
      <c r="M360" s="2443"/>
      <c r="N360" s="2443"/>
      <c r="O360" s="2443"/>
      <c r="P360" s="2443"/>
    </row>
    <row r="361" spans="1:16" ht="108.75" customHeight="1" x14ac:dyDescent="0.25">
      <c r="A361" s="1846"/>
      <c r="B361" s="2443" t="s">
        <v>7014</v>
      </c>
      <c r="C361" s="2443"/>
      <c r="D361" s="2443"/>
      <c r="E361" s="2443"/>
      <c r="F361" s="2443" t="s">
        <v>7013</v>
      </c>
      <c r="G361" s="2443"/>
      <c r="H361" s="2443"/>
      <c r="I361" s="2443"/>
      <c r="J361" s="2443" t="s">
        <v>588</v>
      </c>
      <c r="K361" s="2443"/>
      <c r="L361" s="2443"/>
      <c r="M361" s="2443"/>
      <c r="N361" s="2443"/>
      <c r="O361" s="2443"/>
      <c r="P361" s="2443"/>
    </row>
    <row r="362" spans="1:16" ht="95.25" customHeight="1" x14ac:dyDescent="0.25">
      <c r="A362" s="1846"/>
      <c r="B362" s="2443" t="s">
        <v>6269</v>
      </c>
      <c r="C362" s="2443"/>
      <c r="D362" s="2443"/>
      <c r="E362" s="2443"/>
      <c r="F362" s="2443" t="s">
        <v>7094</v>
      </c>
      <c r="G362" s="2443"/>
      <c r="H362" s="2443"/>
      <c r="I362" s="2443"/>
      <c r="J362" s="2443" t="s">
        <v>588</v>
      </c>
      <c r="K362" s="2443"/>
      <c r="L362" s="2443"/>
      <c r="M362" s="2443"/>
      <c r="N362" s="2443"/>
      <c r="O362" s="2443"/>
      <c r="P362" s="2443"/>
    </row>
    <row r="363" spans="1:16" ht="149.65" customHeight="1" x14ac:dyDescent="0.25">
      <c r="A363" s="1846"/>
      <c r="B363" s="2443" t="s">
        <v>6148</v>
      </c>
      <c r="C363" s="2443"/>
      <c r="D363" s="2443"/>
      <c r="E363" s="2443"/>
      <c r="F363" s="2443" t="s">
        <v>6257</v>
      </c>
      <c r="G363" s="2443"/>
      <c r="H363" s="2443"/>
      <c r="I363" s="2443"/>
      <c r="J363" s="2443" t="s">
        <v>588</v>
      </c>
      <c r="K363" s="2443"/>
      <c r="L363" s="2443"/>
      <c r="M363" s="2443"/>
      <c r="N363" s="2443"/>
      <c r="O363" s="2443"/>
      <c r="P363" s="2443"/>
    </row>
    <row r="364" spans="1:16" ht="40.9" customHeight="1" x14ac:dyDescent="0.25">
      <c r="A364" s="1845"/>
      <c r="B364" s="2442" t="s">
        <v>6150</v>
      </c>
      <c r="C364" s="2442"/>
      <c r="D364" s="2442"/>
      <c r="E364" s="2442"/>
      <c r="F364" s="2442" t="s">
        <v>588</v>
      </c>
      <c r="G364" s="2442"/>
      <c r="H364" s="2442"/>
      <c r="I364" s="2442"/>
      <c r="J364" s="2442" t="s">
        <v>7510</v>
      </c>
      <c r="K364" s="2442"/>
      <c r="L364" s="2442"/>
      <c r="M364" s="2442"/>
      <c r="N364" s="2442"/>
      <c r="O364" s="2442"/>
      <c r="P364" s="2442"/>
    </row>
    <row r="365" spans="1:16" x14ac:dyDescent="0.25">
      <c r="A365" s="1846"/>
      <c r="B365" s="2443" t="s">
        <v>6160</v>
      </c>
      <c r="C365" s="2443"/>
      <c r="D365" s="2443"/>
      <c r="E365" s="2443"/>
      <c r="F365" s="2443" t="s">
        <v>7529</v>
      </c>
      <c r="G365" s="2443"/>
      <c r="H365" s="2443"/>
      <c r="I365" s="2443"/>
      <c r="J365" s="2443" t="s">
        <v>588</v>
      </c>
      <c r="K365" s="2443"/>
      <c r="L365" s="2443"/>
      <c r="M365" s="2443"/>
      <c r="N365" s="2443"/>
      <c r="O365" s="2443"/>
      <c r="P365" s="2443"/>
    </row>
    <row r="366" spans="1:16" x14ac:dyDescent="0.25">
      <c r="A366" s="1846"/>
      <c r="B366" s="2443" t="s">
        <v>6177</v>
      </c>
      <c r="C366" s="2443"/>
      <c r="D366" s="2443"/>
      <c r="E366" s="2443"/>
      <c r="F366" s="2443" t="s">
        <v>7528</v>
      </c>
      <c r="G366" s="2443"/>
      <c r="H366" s="2443"/>
      <c r="I366" s="2443"/>
      <c r="J366" s="2443" t="s">
        <v>588</v>
      </c>
      <c r="K366" s="2443"/>
      <c r="L366" s="2443"/>
      <c r="M366" s="2443"/>
      <c r="N366" s="2443"/>
      <c r="O366" s="2443"/>
      <c r="P366" s="2443"/>
    </row>
    <row r="367" spans="1:16" x14ac:dyDescent="0.25">
      <c r="A367" s="1846"/>
      <c r="B367" s="2443" t="s">
        <v>6249</v>
      </c>
      <c r="C367" s="2443"/>
      <c r="D367" s="2443"/>
      <c r="E367" s="2443"/>
      <c r="F367" s="2443" t="s">
        <v>7527</v>
      </c>
      <c r="G367" s="2443"/>
      <c r="H367" s="2443"/>
      <c r="I367" s="2443"/>
      <c r="J367" s="2443" t="s">
        <v>588</v>
      </c>
      <c r="K367" s="2443"/>
      <c r="L367" s="2443"/>
      <c r="M367" s="2443"/>
      <c r="N367" s="2443"/>
      <c r="O367" s="2443"/>
      <c r="P367" s="2443"/>
    </row>
    <row r="368" spans="1:16" x14ac:dyDescent="0.25">
      <c r="A368" s="1846"/>
      <c r="B368" s="2443" t="s">
        <v>6165</v>
      </c>
      <c r="C368" s="2443"/>
      <c r="D368" s="2443"/>
      <c r="E368" s="2443"/>
      <c r="F368" s="2443" t="s">
        <v>7526</v>
      </c>
      <c r="G368" s="2443"/>
      <c r="H368" s="2443"/>
      <c r="I368" s="2443"/>
      <c r="J368" s="2443" t="s">
        <v>588</v>
      </c>
      <c r="K368" s="2443"/>
      <c r="L368" s="2443"/>
      <c r="M368" s="2443"/>
      <c r="N368" s="2443"/>
      <c r="O368" s="2443"/>
      <c r="P368" s="2443"/>
    </row>
    <row r="369" spans="1:16" x14ac:dyDescent="0.25">
      <c r="A369" s="1846"/>
      <c r="B369" s="2443" t="s">
        <v>6286</v>
      </c>
      <c r="C369" s="2443"/>
      <c r="D369" s="2443"/>
      <c r="E369" s="2443"/>
      <c r="F369" s="2443" t="s">
        <v>7525</v>
      </c>
      <c r="G369" s="2443"/>
      <c r="H369" s="2443"/>
      <c r="I369" s="2443"/>
      <c r="J369" s="2443" t="s">
        <v>588</v>
      </c>
      <c r="K369" s="2443"/>
      <c r="L369" s="2443"/>
      <c r="M369" s="2443"/>
      <c r="N369" s="2443"/>
      <c r="O369" s="2443"/>
      <c r="P369" s="2443"/>
    </row>
    <row r="370" spans="1:16" ht="163.15" customHeight="1" x14ac:dyDescent="0.25">
      <c r="A370" s="1844" t="s">
        <v>6293</v>
      </c>
      <c r="B370" s="2431" t="s">
        <v>6250</v>
      </c>
      <c r="C370" s="2432"/>
      <c r="D370" s="2432"/>
      <c r="E370" s="2432"/>
      <c r="F370" s="2432" t="s">
        <v>7088</v>
      </c>
      <c r="G370" s="2432"/>
      <c r="H370" s="2432"/>
      <c r="I370" s="2432"/>
      <c r="J370" s="2432" t="s">
        <v>7524</v>
      </c>
      <c r="K370" s="2432"/>
      <c r="L370" s="2432"/>
      <c r="M370" s="2558">
        <f>ROUND((297700 + 2290 * (0.4 * 100 + 0.6 * (100 / 2))) * 1 * 0.4 * 1.68 * 0.6 * 1.1 * 0.9 * 1.28105, 0)</f>
        <v>234200</v>
      </c>
      <c r="N370" s="2432"/>
      <c r="O370" s="2432" t="s">
        <v>588</v>
      </c>
      <c r="P370" s="2432"/>
    </row>
    <row r="371" spans="1:16" x14ac:dyDescent="0.25">
      <c r="A371" s="1845"/>
      <c r="B371" s="2442" t="s">
        <v>4168</v>
      </c>
      <c r="C371" s="2442"/>
      <c r="D371" s="2442"/>
      <c r="E371" s="2442"/>
      <c r="F371" s="2442" t="s">
        <v>588</v>
      </c>
      <c r="G371" s="2442"/>
      <c r="H371" s="2442"/>
      <c r="I371" s="2442"/>
      <c r="J371" s="2442" t="s">
        <v>588</v>
      </c>
      <c r="K371" s="2442"/>
      <c r="L371" s="2442"/>
      <c r="M371" s="2442"/>
      <c r="N371" s="2442"/>
      <c r="O371" s="2442"/>
      <c r="P371" s="2442"/>
    </row>
    <row r="372" spans="1:16" x14ac:dyDescent="0.25">
      <c r="A372" s="1846"/>
      <c r="B372" s="2443" t="s">
        <v>7321</v>
      </c>
      <c r="C372" s="2443"/>
      <c r="D372" s="2443"/>
      <c r="E372" s="2443"/>
      <c r="F372" s="2443" t="s">
        <v>7320</v>
      </c>
      <c r="G372" s="2443"/>
      <c r="H372" s="2443"/>
      <c r="I372" s="2443"/>
      <c r="J372" s="2443" t="s">
        <v>588</v>
      </c>
      <c r="K372" s="2443"/>
      <c r="L372" s="2443"/>
      <c r="M372" s="2443"/>
      <c r="N372" s="2443"/>
      <c r="O372" s="2443"/>
      <c r="P372" s="2443"/>
    </row>
    <row r="373" spans="1:16" ht="40.9" customHeight="1" x14ac:dyDescent="0.25">
      <c r="A373" s="1846"/>
      <c r="B373" s="2443" t="s">
        <v>6447</v>
      </c>
      <c r="C373" s="2443"/>
      <c r="D373" s="2443"/>
      <c r="E373" s="2443"/>
      <c r="F373" s="2443" t="s">
        <v>6448</v>
      </c>
      <c r="G373" s="2443"/>
      <c r="H373" s="2443"/>
      <c r="I373" s="2443"/>
      <c r="J373" s="2443" t="s">
        <v>588</v>
      </c>
      <c r="K373" s="2443"/>
      <c r="L373" s="2443"/>
      <c r="M373" s="2443"/>
      <c r="N373" s="2443"/>
      <c r="O373" s="2443"/>
      <c r="P373" s="2443"/>
    </row>
    <row r="374" spans="1:16" ht="95.25" customHeight="1" x14ac:dyDescent="0.25">
      <c r="A374" s="1846"/>
      <c r="B374" s="2443" t="s">
        <v>6251</v>
      </c>
      <c r="C374" s="2443"/>
      <c r="D374" s="2443"/>
      <c r="E374" s="2443"/>
      <c r="F374" s="2443" t="s">
        <v>6252</v>
      </c>
      <c r="G374" s="2443"/>
      <c r="H374" s="2443"/>
      <c r="I374" s="2443"/>
      <c r="J374" s="2443" t="s">
        <v>588</v>
      </c>
      <c r="K374" s="2443"/>
      <c r="L374" s="2443"/>
      <c r="M374" s="2443"/>
      <c r="N374" s="2443"/>
      <c r="O374" s="2443"/>
      <c r="P374" s="2443"/>
    </row>
    <row r="375" spans="1:16" ht="40.9" customHeight="1" x14ac:dyDescent="0.25">
      <c r="A375" s="1846"/>
      <c r="B375" s="2443" t="s">
        <v>6253</v>
      </c>
      <c r="C375" s="2443"/>
      <c r="D375" s="2443"/>
      <c r="E375" s="2443"/>
      <c r="F375" s="2443" t="s">
        <v>6254</v>
      </c>
      <c r="G375" s="2443"/>
      <c r="H375" s="2443"/>
      <c r="I375" s="2443"/>
      <c r="J375" s="2443" t="s">
        <v>588</v>
      </c>
      <c r="K375" s="2443"/>
      <c r="L375" s="2443"/>
      <c r="M375" s="2443"/>
      <c r="N375" s="2443"/>
      <c r="O375" s="2443"/>
      <c r="P375" s="2443"/>
    </row>
    <row r="376" spans="1:16" ht="108.75" customHeight="1" x14ac:dyDescent="0.25">
      <c r="A376" s="1846"/>
      <c r="B376" s="2443" t="s">
        <v>7014</v>
      </c>
      <c r="C376" s="2443"/>
      <c r="D376" s="2443"/>
      <c r="E376" s="2443"/>
      <c r="F376" s="2443" t="s">
        <v>7087</v>
      </c>
      <c r="G376" s="2443"/>
      <c r="H376" s="2443"/>
      <c r="I376" s="2443"/>
      <c r="J376" s="2443" t="s">
        <v>588</v>
      </c>
      <c r="K376" s="2443"/>
      <c r="L376" s="2443"/>
      <c r="M376" s="2443"/>
      <c r="N376" s="2443"/>
      <c r="O376" s="2443"/>
      <c r="P376" s="2443"/>
    </row>
    <row r="377" spans="1:16" ht="149.65" customHeight="1" x14ac:dyDescent="0.25">
      <c r="A377" s="1846"/>
      <c r="B377" s="2443" t="s">
        <v>6148</v>
      </c>
      <c r="C377" s="2443"/>
      <c r="D377" s="2443"/>
      <c r="E377" s="2443"/>
      <c r="F377" s="2443" t="s">
        <v>6257</v>
      </c>
      <c r="G377" s="2443"/>
      <c r="H377" s="2443"/>
      <c r="I377" s="2443"/>
      <c r="J377" s="2443" t="s">
        <v>588</v>
      </c>
      <c r="K377" s="2443"/>
      <c r="L377" s="2443"/>
      <c r="M377" s="2443"/>
      <c r="N377" s="2443"/>
      <c r="O377" s="2443"/>
      <c r="P377" s="2443"/>
    </row>
    <row r="378" spans="1:16" ht="40.9" customHeight="1" x14ac:dyDescent="0.25">
      <c r="A378" s="1845"/>
      <c r="B378" s="2442" t="s">
        <v>6150</v>
      </c>
      <c r="C378" s="2442"/>
      <c r="D378" s="2442"/>
      <c r="E378" s="2442"/>
      <c r="F378" s="2442" t="s">
        <v>588</v>
      </c>
      <c r="G378" s="2442"/>
      <c r="H378" s="2442"/>
      <c r="I378" s="2442"/>
      <c r="J378" s="2442" t="s">
        <v>7479</v>
      </c>
      <c r="K378" s="2442"/>
      <c r="L378" s="2442"/>
      <c r="M378" s="2442"/>
      <c r="N378" s="2442"/>
      <c r="O378" s="2442"/>
      <c r="P378" s="2442"/>
    </row>
    <row r="379" spans="1:16" x14ac:dyDescent="0.25">
      <c r="A379" s="1846"/>
      <c r="B379" s="2443" t="s">
        <v>6160</v>
      </c>
      <c r="C379" s="2443"/>
      <c r="D379" s="2443"/>
      <c r="E379" s="2443"/>
      <c r="F379" s="2443" t="s">
        <v>7523</v>
      </c>
      <c r="G379" s="2443"/>
      <c r="H379" s="2443"/>
      <c r="I379" s="2443"/>
      <c r="J379" s="2443" t="s">
        <v>588</v>
      </c>
      <c r="K379" s="2443"/>
      <c r="L379" s="2443"/>
      <c r="M379" s="2443"/>
      <c r="N379" s="2443"/>
      <c r="O379" s="2443"/>
      <c r="P379" s="2443"/>
    </row>
    <row r="380" spans="1:16" x14ac:dyDescent="0.25">
      <c r="A380" s="1846"/>
      <c r="B380" s="2443" t="s">
        <v>6177</v>
      </c>
      <c r="C380" s="2443"/>
      <c r="D380" s="2443"/>
      <c r="E380" s="2443"/>
      <c r="F380" s="2443" t="s">
        <v>7522</v>
      </c>
      <c r="G380" s="2443"/>
      <c r="H380" s="2443"/>
      <c r="I380" s="2443"/>
      <c r="J380" s="2443" t="s">
        <v>588</v>
      </c>
      <c r="K380" s="2443"/>
      <c r="L380" s="2443"/>
      <c r="M380" s="2443"/>
      <c r="N380" s="2443"/>
      <c r="O380" s="2443"/>
      <c r="P380" s="2443"/>
    </row>
    <row r="381" spans="1:16" x14ac:dyDescent="0.25">
      <c r="A381" s="1846"/>
      <c r="B381" s="2443" t="s">
        <v>6249</v>
      </c>
      <c r="C381" s="2443"/>
      <c r="D381" s="2443"/>
      <c r="E381" s="2443"/>
      <c r="F381" s="2443" t="s">
        <v>7521</v>
      </c>
      <c r="G381" s="2443"/>
      <c r="H381" s="2443"/>
      <c r="I381" s="2443"/>
      <c r="J381" s="2443" t="s">
        <v>588</v>
      </c>
      <c r="K381" s="2443"/>
      <c r="L381" s="2443"/>
      <c r="M381" s="2443"/>
      <c r="N381" s="2443"/>
      <c r="O381" s="2443"/>
      <c r="P381" s="2443"/>
    </row>
    <row r="382" spans="1:16" x14ac:dyDescent="0.25">
      <c r="A382" s="1846"/>
      <c r="B382" s="2443" t="s">
        <v>6165</v>
      </c>
      <c r="C382" s="2443"/>
      <c r="D382" s="2443"/>
      <c r="E382" s="2443"/>
      <c r="F382" s="2443" t="s">
        <v>7520</v>
      </c>
      <c r="G382" s="2443"/>
      <c r="H382" s="2443"/>
      <c r="I382" s="2443"/>
      <c r="J382" s="2443" t="s">
        <v>588</v>
      </c>
      <c r="K382" s="2443"/>
      <c r="L382" s="2443"/>
      <c r="M382" s="2443"/>
      <c r="N382" s="2443"/>
      <c r="O382" s="2443"/>
      <c r="P382" s="2443"/>
    </row>
    <row r="383" spans="1:16" x14ac:dyDescent="0.25">
      <c r="A383" s="1846"/>
      <c r="B383" s="2443" t="s">
        <v>6286</v>
      </c>
      <c r="C383" s="2443"/>
      <c r="D383" s="2443"/>
      <c r="E383" s="2443"/>
      <c r="F383" s="2443" t="s">
        <v>7519</v>
      </c>
      <c r="G383" s="2443"/>
      <c r="H383" s="2443"/>
      <c r="I383" s="2443"/>
      <c r="J383" s="2443" t="s">
        <v>588</v>
      </c>
      <c r="K383" s="2443"/>
      <c r="L383" s="2443"/>
      <c r="M383" s="2443"/>
      <c r="N383" s="2443"/>
      <c r="O383" s="2443"/>
      <c r="P383" s="2443"/>
    </row>
    <row r="384" spans="1:16" ht="149.65" customHeight="1" x14ac:dyDescent="0.25">
      <c r="A384" s="1844" t="s">
        <v>6294</v>
      </c>
      <c r="B384" s="2431" t="s">
        <v>6273</v>
      </c>
      <c r="C384" s="2432"/>
      <c r="D384" s="2432"/>
      <c r="E384" s="2432"/>
      <c r="F384" s="2432" t="s">
        <v>6274</v>
      </c>
      <c r="G384" s="2432"/>
      <c r="H384" s="2432"/>
      <c r="I384" s="2432"/>
      <c r="J384" s="2432" t="s">
        <v>7518</v>
      </c>
      <c r="K384" s="2432"/>
      <c r="L384" s="2432"/>
      <c r="M384" s="2558">
        <f>ROUND(52800 * 1 * 1.68 * 0.6 * 0.9 * 1.28263, 0)</f>
        <v>61438</v>
      </c>
      <c r="N384" s="2432"/>
      <c r="O384" s="2432" t="s">
        <v>588</v>
      </c>
      <c r="P384" s="2432"/>
    </row>
    <row r="385" spans="1:16" x14ac:dyDescent="0.25">
      <c r="A385" s="1845"/>
      <c r="B385" s="2442" t="s">
        <v>4168</v>
      </c>
      <c r="C385" s="2442"/>
      <c r="D385" s="2442"/>
      <c r="E385" s="2442"/>
      <c r="F385" s="2442" t="s">
        <v>588</v>
      </c>
      <c r="G385" s="2442"/>
      <c r="H385" s="2442"/>
      <c r="I385" s="2442"/>
      <c r="J385" s="2442" t="s">
        <v>588</v>
      </c>
      <c r="K385" s="2442"/>
      <c r="L385" s="2442"/>
      <c r="M385" s="2442"/>
      <c r="N385" s="2442"/>
      <c r="O385" s="2442"/>
      <c r="P385" s="2442"/>
    </row>
    <row r="386" spans="1:16" x14ac:dyDescent="0.25">
      <c r="A386" s="1846"/>
      <c r="B386" s="2443" t="s">
        <v>7321</v>
      </c>
      <c r="C386" s="2443"/>
      <c r="D386" s="2443"/>
      <c r="E386" s="2443"/>
      <c r="F386" s="2443" t="s">
        <v>7320</v>
      </c>
      <c r="G386" s="2443"/>
      <c r="H386" s="2443"/>
      <c r="I386" s="2443"/>
      <c r="J386" s="2443" t="s">
        <v>588</v>
      </c>
      <c r="K386" s="2443"/>
      <c r="L386" s="2443"/>
      <c r="M386" s="2443"/>
      <c r="N386" s="2443"/>
      <c r="O386" s="2443"/>
      <c r="P386" s="2443"/>
    </row>
    <row r="387" spans="1:16" ht="40.9" customHeight="1" x14ac:dyDescent="0.25">
      <c r="A387" s="1846"/>
      <c r="B387" s="2443" t="s">
        <v>6447</v>
      </c>
      <c r="C387" s="2443"/>
      <c r="D387" s="2443"/>
      <c r="E387" s="2443"/>
      <c r="F387" s="2443" t="s">
        <v>6448</v>
      </c>
      <c r="G387" s="2443"/>
      <c r="H387" s="2443"/>
      <c r="I387" s="2443"/>
      <c r="J387" s="2443" t="s">
        <v>588</v>
      </c>
      <c r="K387" s="2443"/>
      <c r="L387" s="2443"/>
      <c r="M387" s="2443"/>
      <c r="N387" s="2443"/>
      <c r="O387" s="2443"/>
      <c r="P387" s="2443"/>
    </row>
    <row r="388" spans="1:16" ht="108.75" customHeight="1" x14ac:dyDescent="0.25">
      <c r="A388" s="1846"/>
      <c r="B388" s="2443" t="s">
        <v>7014</v>
      </c>
      <c r="C388" s="2443"/>
      <c r="D388" s="2443"/>
      <c r="E388" s="2443"/>
      <c r="F388" s="2443" t="s">
        <v>7013</v>
      </c>
      <c r="G388" s="2443"/>
      <c r="H388" s="2443"/>
      <c r="I388" s="2443"/>
      <c r="J388" s="2443" t="s">
        <v>588</v>
      </c>
      <c r="K388" s="2443"/>
      <c r="L388" s="2443"/>
      <c r="M388" s="2443"/>
      <c r="N388" s="2443"/>
      <c r="O388" s="2443"/>
      <c r="P388" s="2443"/>
    </row>
    <row r="389" spans="1:16" ht="149.65" customHeight="1" x14ac:dyDescent="0.25">
      <c r="A389" s="1846"/>
      <c r="B389" s="2443" t="s">
        <v>6148</v>
      </c>
      <c r="C389" s="2443"/>
      <c r="D389" s="2443"/>
      <c r="E389" s="2443"/>
      <c r="F389" s="2443" t="s">
        <v>6248</v>
      </c>
      <c r="G389" s="2443"/>
      <c r="H389" s="2443"/>
      <c r="I389" s="2443"/>
      <c r="J389" s="2443" t="s">
        <v>588</v>
      </c>
      <c r="K389" s="2443"/>
      <c r="L389" s="2443"/>
      <c r="M389" s="2443"/>
      <c r="N389" s="2443"/>
      <c r="O389" s="2443"/>
      <c r="P389" s="2443"/>
    </row>
    <row r="390" spans="1:16" ht="40.9" customHeight="1" x14ac:dyDescent="0.25">
      <c r="A390" s="1845"/>
      <c r="B390" s="2442" t="s">
        <v>6150</v>
      </c>
      <c r="C390" s="2442"/>
      <c r="D390" s="2442"/>
      <c r="E390" s="2442"/>
      <c r="F390" s="2442" t="s">
        <v>588</v>
      </c>
      <c r="G390" s="2442"/>
      <c r="H390" s="2442"/>
      <c r="I390" s="2442"/>
      <c r="J390" s="2442" t="s">
        <v>7510</v>
      </c>
      <c r="K390" s="2442"/>
      <c r="L390" s="2442"/>
      <c r="M390" s="2442"/>
      <c r="N390" s="2442"/>
      <c r="O390" s="2442"/>
      <c r="P390" s="2442"/>
    </row>
    <row r="391" spans="1:16" x14ac:dyDescent="0.25">
      <c r="A391" s="1846"/>
      <c r="B391" s="2443" t="s">
        <v>6160</v>
      </c>
      <c r="C391" s="2443"/>
      <c r="D391" s="2443"/>
      <c r="E391" s="2443"/>
      <c r="F391" s="2443" t="s">
        <v>7517</v>
      </c>
      <c r="G391" s="2443"/>
      <c r="H391" s="2443"/>
      <c r="I391" s="2443"/>
      <c r="J391" s="2443" t="s">
        <v>588</v>
      </c>
      <c r="K391" s="2443"/>
      <c r="L391" s="2443"/>
      <c r="M391" s="2443"/>
      <c r="N391" s="2443"/>
      <c r="O391" s="2443"/>
      <c r="P391" s="2443"/>
    </row>
    <row r="392" spans="1:16" x14ac:dyDescent="0.25">
      <c r="A392" s="1846"/>
      <c r="B392" s="2443" t="s">
        <v>6177</v>
      </c>
      <c r="C392" s="2443"/>
      <c r="D392" s="2443"/>
      <c r="E392" s="2443"/>
      <c r="F392" s="2443" t="s">
        <v>7516</v>
      </c>
      <c r="G392" s="2443"/>
      <c r="H392" s="2443"/>
      <c r="I392" s="2443"/>
      <c r="J392" s="2443" t="s">
        <v>588</v>
      </c>
      <c r="K392" s="2443"/>
      <c r="L392" s="2443"/>
      <c r="M392" s="2443"/>
      <c r="N392" s="2443"/>
      <c r="O392" s="2443"/>
      <c r="P392" s="2443"/>
    </row>
    <row r="393" spans="1:16" x14ac:dyDescent="0.25">
      <c r="A393" s="1846"/>
      <c r="B393" s="2443" t="s">
        <v>6249</v>
      </c>
      <c r="C393" s="2443"/>
      <c r="D393" s="2443"/>
      <c r="E393" s="2443"/>
      <c r="F393" s="2443" t="s">
        <v>7515</v>
      </c>
      <c r="G393" s="2443"/>
      <c r="H393" s="2443"/>
      <c r="I393" s="2443"/>
      <c r="J393" s="2443" t="s">
        <v>588</v>
      </c>
      <c r="K393" s="2443"/>
      <c r="L393" s="2443"/>
      <c r="M393" s="2443"/>
      <c r="N393" s="2443"/>
      <c r="O393" s="2443"/>
      <c r="P393" s="2443"/>
    </row>
    <row r="394" spans="1:16" x14ac:dyDescent="0.25">
      <c r="A394" s="1846"/>
      <c r="B394" s="2443" t="s">
        <v>6165</v>
      </c>
      <c r="C394" s="2443"/>
      <c r="D394" s="2443"/>
      <c r="E394" s="2443"/>
      <c r="F394" s="2443" t="s">
        <v>7514</v>
      </c>
      <c r="G394" s="2443"/>
      <c r="H394" s="2443"/>
      <c r="I394" s="2443"/>
      <c r="J394" s="2443" t="s">
        <v>588</v>
      </c>
      <c r="K394" s="2443"/>
      <c r="L394" s="2443"/>
      <c r="M394" s="2443"/>
      <c r="N394" s="2443"/>
      <c r="O394" s="2443"/>
      <c r="P394" s="2443"/>
    </row>
    <row r="395" spans="1:16" x14ac:dyDescent="0.25">
      <c r="A395" s="1846"/>
      <c r="B395" s="2443" t="s">
        <v>6286</v>
      </c>
      <c r="C395" s="2443"/>
      <c r="D395" s="2443"/>
      <c r="E395" s="2443"/>
      <c r="F395" s="2443" t="s">
        <v>7513</v>
      </c>
      <c r="G395" s="2443"/>
      <c r="H395" s="2443"/>
      <c r="I395" s="2443"/>
      <c r="J395" s="2443" t="s">
        <v>588</v>
      </c>
      <c r="K395" s="2443"/>
      <c r="L395" s="2443"/>
      <c r="M395" s="2443"/>
      <c r="N395" s="2443"/>
      <c r="O395" s="2443"/>
      <c r="P395" s="2443"/>
    </row>
    <row r="396" spans="1:16" ht="149.65" customHeight="1" x14ac:dyDescent="0.25">
      <c r="A396" s="1844" t="s">
        <v>7080</v>
      </c>
      <c r="B396" s="2431" t="s">
        <v>6276</v>
      </c>
      <c r="C396" s="2432"/>
      <c r="D396" s="2432"/>
      <c r="E396" s="2432"/>
      <c r="F396" s="2432" t="s">
        <v>6277</v>
      </c>
      <c r="G396" s="2432"/>
      <c r="H396" s="2432"/>
      <c r="I396" s="2432"/>
      <c r="J396" s="2432" t="s">
        <v>7512</v>
      </c>
      <c r="K396" s="2432"/>
      <c r="L396" s="2432"/>
      <c r="M396" s="2558">
        <f>ROUND(95200 * 1 * 1.68 * 0.6 * 0.9 * 1.8 * 1.28263, 0)</f>
        <v>199395</v>
      </c>
      <c r="N396" s="2432"/>
      <c r="O396" s="2432" t="s">
        <v>7511</v>
      </c>
      <c r="P396" s="2432"/>
    </row>
    <row r="397" spans="1:16" x14ac:dyDescent="0.25">
      <c r="A397" s="1845"/>
      <c r="B397" s="2442" t="s">
        <v>4168</v>
      </c>
      <c r="C397" s="2442"/>
      <c r="D397" s="2442"/>
      <c r="E397" s="2442"/>
      <c r="F397" s="2442" t="s">
        <v>588</v>
      </c>
      <c r="G397" s="2442"/>
      <c r="H397" s="2442"/>
      <c r="I397" s="2442"/>
      <c r="J397" s="2442" t="s">
        <v>588</v>
      </c>
      <c r="K397" s="2442"/>
      <c r="L397" s="2442"/>
      <c r="M397" s="2442"/>
      <c r="N397" s="2442"/>
      <c r="O397" s="2442"/>
      <c r="P397" s="2442"/>
    </row>
    <row r="398" spans="1:16" x14ac:dyDescent="0.25">
      <c r="A398" s="1846"/>
      <c r="B398" s="2443" t="s">
        <v>7321</v>
      </c>
      <c r="C398" s="2443"/>
      <c r="D398" s="2443"/>
      <c r="E398" s="2443"/>
      <c r="F398" s="2443" t="s">
        <v>7320</v>
      </c>
      <c r="G398" s="2443"/>
      <c r="H398" s="2443"/>
      <c r="I398" s="2443"/>
      <c r="J398" s="2443" t="s">
        <v>588</v>
      </c>
      <c r="K398" s="2443"/>
      <c r="L398" s="2443"/>
      <c r="M398" s="2443"/>
      <c r="N398" s="2443"/>
      <c r="O398" s="2443"/>
      <c r="P398" s="2443"/>
    </row>
    <row r="399" spans="1:16" ht="40.9" customHeight="1" x14ac:dyDescent="0.25">
      <c r="A399" s="1846"/>
      <c r="B399" s="2443" t="s">
        <v>6447</v>
      </c>
      <c r="C399" s="2443"/>
      <c r="D399" s="2443"/>
      <c r="E399" s="2443"/>
      <c r="F399" s="2443" t="s">
        <v>6448</v>
      </c>
      <c r="G399" s="2443"/>
      <c r="H399" s="2443"/>
      <c r="I399" s="2443"/>
      <c r="J399" s="2443" t="s">
        <v>588</v>
      </c>
      <c r="K399" s="2443"/>
      <c r="L399" s="2443"/>
      <c r="M399" s="2443"/>
      <c r="N399" s="2443"/>
      <c r="O399" s="2443"/>
      <c r="P399" s="2443"/>
    </row>
    <row r="400" spans="1:16" ht="108.75" customHeight="1" x14ac:dyDescent="0.25">
      <c r="A400" s="1846"/>
      <c r="B400" s="2443" t="s">
        <v>7014</v>
      </c>
      <c r="C400" s="2443"/>
      <c r="D400" s="2443"/>
      <c r="E400" s="2443"/>
      <c r="F400" s="2443" t="s">
        <v>7013</v>
      </c>
      <c r="G400" s="2443"/>
      <c r="H400" s="2443"/>
      <c r="I400" s="2443"/>
      <c r="J400" s="2443" t="s">
        <v>588</v>
      </c>
      <c r="K400" s="2443"/>
      <c r="L400" s="2443"/>
      <c r="M400" s="2443"/>
      <c r="N400" s="2443"/>
      <c r="O400" s="2443"/>
      <c r="P400" s="2443"/>
    </row>
    <row r="401" spans="1:16" ht="135.94999999999999" customHeight="1" x14ac:dyDescent="0.25">
      <c r="A401" s="1846"/>
      <c r="B401" s="2443" t="s">
        <v>7064</v>
      </c>
      <c r="C401" s="2443"/>
      <c r="D401" s="2443"/>
      <c r="E401" s="2443"/>
      <c r="F401" s="2443" t="s">
        <v>7079</v>
      </c>
      <c r="G401" s="2443"/>
      <c r="H401" s="2443"/>
      <c r="I401" s="2443"/>
      <c r="J401" s="2443" t="s">
        <v>588</v>
      </c>
      <c r="K401" s="2443"/>
      <c r="L401" s="2443"/>
      <c r="M401" s="2443"/>
      <c r="N401" s="2443"/>
      <c r="O401" s="2443"/>
      <c r="P401" s="2443"/>
    </row>
    <row r="402" spans="1:16" ht="149.65" customHeight="1" x14ac:dyDescent="0.25">
      <c r="A402" s="1846"/>
      <c r="B402" s="2443" t="s">
        <v>6148</v>
      </c>
      <c r="C402" s="2443"/>
      <c r="D402" s="2443"/>
      <c r="E402" s="2443"/>
      <c r="F402" s="2443" t="s">
        <v>6257</v>
      </c>
      <c r="G402" s="2443"/>
      <c r="H402" s="2443"/>
      <c r="I402" s="2443"/>
      <c r="J402" s="2443" t="s">
        <v>588</v>
      </c>
      <c r="K402" s="2443"/>
      <c r="L402" s="2443"/>
      <c r="M402" s="2443"/>
      <c r="N402" s="2443"/>
      <c r="O402" s="2443"/>
      <c r="P402" s="2443"/>
    </row>
    <row r="403" spans="1:16" ht="40.9" customHeight="1" x14ac:dyDescent="0.25">
      <c r="A403" s="1845"/>
      <c r="B403" s="2442" t="s">
        <v>6150</v>
      </c>
      <c r="C403" s="2442"/>
      <c r="D403" s="2442"/>
      <c r="E403" s="2442"/>
      <c r="F403" s="2442" t="s">
        <v>588</v>
      </c>
      <c r="G403" s="2442"/>
      <c r="H403" s="2442"/>
      <c r="I403" s="2442"/>
      <c r="J403" s="2442" t="s">
        <v>7510</v>
      </c>
      <c r="K403" s="2442"/>
      <c r="L403" s="2442"/>
      <c r="M403" s="2442"/>
      <c r="N403" s="2442"/>
      <c r="O403" s="2442"/>
      <c r="P403" s="2442"/>
    </row>
    <row r="404" spans="1:16" x14ac:dyDescent="0.25">
      <c r="A404" s="1846"/>
      <c r="B404" s="2443" t="s">
        <v>6160</v>
      </c>
      <c r="C404" s="2443"/>
      <c r="D404" s="2443"/>
      <c r="E404" s="2443"/>
      <c r="F404" s="2443" t="s">
        <v>7509</v>
      </c>
      <c r="G404" s="2443"/>
      <c r="H404" s="2443"/>
      <c r="I404" s="2443"/>
      <c r="J404" s="2443" t="s">
        <v>588</v>
      </c>
      <c r="K404" s="2443"/>
      <c r="L404" s="2443"/>
      <c r="M404" s="2443"/>
      <c r="N404" s="2443"/>
      <c r="O404" s="2443"/>
      <c r="P404" s="2443"/>
    </row>
    <row r="405" spans="1:16" x14ac:dyDescent="0.25">
      <c r="A405" s="1846"/>
      <c r="B405" s="2443" t="s">
        <v>6177</v>
      </c>
      <c r="C405" s="2443"/>
      <c r="D405" s="2443"/>
      <c r="E405" s="2443"/>
      <c r="F405" s="2443" t="s">
        <v>7508</v>
      </c>
      <c r="G405" s="2443"/>
      <c r="H405" s="2443"/>
      <c r="I405" s="2443"/>
      <c r="J405" s="2443" t="s">
        <v>588</v>
      </c>
      <c r="K405" s="2443"/>
      <c r="L405" s="2443"/>
      <c r="M405" s="2443"/>
      <c r="N405" s="2443"/>
      <c r="O405" s="2443"/>
      <c r="P405" s="2443"/>
    </row>
    <row r="406" spans="1:16" x14ac:dyDescent="0.25">
      <c r="A406" s="1846"/>
      <c r="B406" s="2443" t="s">
        <v>6249</v>
      </c>
      <c r="C406" s="2443"/>
      <c r="D406" s="2443"/>
      <c r="E406" s="2443"/>
      <c r="F406" s="2443" t="s">
        <v>7507</v>
      </c>
      <c r="G406" s="2443"/>
      <c r="H406" s="2443"/>
      <c r="I406" s="2443"/>
      <c r="J406" s="2443" t="s">
        <v>588</v>
      </c>
      <c r="K406" s="2443"/>
      <c r="L406" s="2443"/>
      <c r="M406" s="2443"/>
      <c r="N406" s="2443"/>
      <c r="O406" s="2443"/>
      <c r="P406" s="2443"/>
    </row>
    <row r="407" spans="1:16" x14ac:dyDescent="0.25">
      <c r="A407" s="1846"/>
      <c r="B407" s="2443" t="s">
        <v>6165</v>
      </c>
      <c r="C407" s="2443"/>
      <c r="D407" s="2443"/>
      <c r="E407" s="2443"/>
      <c r="F407" s="2443" t="s">
        <v>7506</v>
      </c>
      <c r="G407" s="2443"/>
      <c r="H407" s="2443"/>
      <c r="I407" s="2443"/>
      <c r="J407" s="2443" t="s">
        <v>588</v>
      </c>
      <c r="K407" s="2443"/>
      <c r="L407" s="2443"/>
      <c r="M407" s="2443"/>
      <c r="N407" s="2443"/>
      <c r="O407" s="2443"/>
      <c r="P407" s="2443"/>
    </row>
    <row r="408" spans="1:16" x14ac:dyDescent="0.25">
      <c r="A408" s="1846"/>
      <c r="B408" s="2443" t="s">
        <v>6286</v>
      </c>
      <c r="C408" s="2443"/>
      <c r="D408" s="2443"/>
      <c r="E408" s="2443"/>
      <c r="F408" s="2443" t="s">
        <v>7505</v>
      </c>
      <c r="G408" s="2443"/>
      <c r="H408" s="2443"/>
      <c r="I408" s="2443"/>
      <c r="J408" s="2443" t="s">
        <v>588</v>
      </c>
      <c r="K408" s="2443"/>
      <c r="L408" s="2443"/>
      <c r="M408" s="2443"/>
      <c r="N408" s="2443"/>
      <c r="O408" s="2443"/>
      <c r="P408" s="2443"/>
    </row>
    <row r="409" spans="1:16" ht="149.65" customHeight="1" x14ac:dyDescent="0.25">
      <c r="A409" s="1844" t="s">
        <v>7072</v>
      </c>
      <c r="B409" s="2431" t="s">
        <v>6280</v>
      </c>
      <c r="C409" s="2432"/>
      <c r="D409" s="2432"/>
      <c r="E409" s="2432"/>
      <c r="F409" s="2432" t="s">
        <v>7071</v>
      </c>
      <c r="G409" s="2432"/>
      <c r="H409" s="2432"/>
      <c r="I409" s="2432"/>
      <c r="J409" s="2432" t="s">
        <v>7504</v>
      </c>
      <c r="K409" s="2432"/>
      <c r="L409" s="2432"/>
      <c r="M409" s="2558">
        <f>ROUND(70400 * 1 * 1.68 * 0.6 * 0.9 * 1.6 * 1.28263, 0)</f>
        <v>131068</v>
      </c>
      <c r="N409" s="2432"/>
      <c r="O409" s="2432" t="s">
        <v>588</v>
      </c>
      <c r="P409" s="2432"/>
    </row>
    <row r="410" spans="1:16" x14ac:dyDescent="0.25">
      <c r="A410" s="1845"/>
      <c r="B410" s="2442" t="s">
        <v>4168</v>
      </c>
      <c r="C410" s="2442"/>
      <c r="D410" s="2442"/>
      <c r="E410" s="2442"/>
      <c r="F410" s="2442" t="s">
        <v>588</v>
      </c>
      <c r="G410" s="2442"/>
      <c r="H410" s="2442"/>
      <c r="I410" s="2442"/>
      <c r="J410" s="2442" t="s">
        <v>588</v>
      </c>
      <c r="K410" s="2442"/>
      <c r="L410" s="2442"/>
      <c r="M410" s="2442"/>
      <c r="N410" s="2442"/>
      <c r="O410" s="2442"/>
      <c r="P410" s="2442"/>
    </row>
    <row r="411" spans="1:16" x14ac:dyDescent="0.25">
      <c r="A411" s="1846"/>
      <c r="B411" s="2443" t="s">
        <v>7321</v>
      </c>
      <c r="C411" s="2443"/>
      <c r="D411" s="2443"/>
      <c r="E411" s="2443"/>
      <c r="F411" s="2443" t="s">
        <v>7320</v>
      </c>
      <c r="G411" s="2443"/>
      <c r="H411" s="2443"/>
      <c r="I411" s="2443"/>
      <c r="J411" s="2443" t="s">
        <v>588</v>
      </c>
      <c r="K411" s="2443"/>
      <c r="L411" s="2443"/>
      <c r="M411" s="2443"/>
      <c r="N411" s="2443"/>
      <c r="O411" s="2443"/>
      <c r="P411" s="2443"/>
    </row>
    <row r="412" spans="1:16" ht="40.9" customHeight="1" x14ac:dyDescent="0.25">
      <c r="A412" s="1846"/>
      <c r="B412" s="2443" t="s">
        <v>6447</v>
      </c>
      <c r="C412" s="2443"/>
      <c r="D412" s="2443"/>
      <c r="E412" s="2443"/>
      <c r="F412" s="2443" t="s">
        <v>6448</v>
      </c>
      <c r="G412" s="2443"/>
      <c r="H412" s="2443"/>
      <c r="I412" s="2443"/>
      <c r="J412" s="2443" t="s">
        <v>588</v>
      </c>
      <c r="K412" s="2443"/>
      <c r="L412" s="2443"/>
      <c r="M412" s="2443"/>
      <c r="N412" s="2443"/>
      <c r="O412" s="2443"/>
      <c r="P412" s="2443"/>
    </row>
    <row r="413" spans="1:16" ht="108.75" customHeight="1" x14ac:dyDescent="0.25">
      <c r="A413" s="1846"/>
      <c r="B413" s="2443" t="s">
        <v>7014</v>
      </c>
      <c r="C413" s="2443"/>
      <c r="D413" s="2443"/>
      <c r="E413" s="2443"/>
      <c r="F413" s="2443" t="s">
        <v>7013</v>
      </c>
      <c r="G413" s="2443"/>
      <c r="H413" s="2443"/>
      <c r="I413" s="2443"/>
      <c r="J413" s="2443" t="s">
        <v>588</v>
      </c>
      <c r="K413" s="2443"/>
      <c r="L413" s="2443"/>
      <c r="M413" s="2443"/>
      <c r="N413" s="2443"/>
      <c r="O413" s="2443"/>
      <c r="P413" s="2443"/>
    </row>
    <row r="414" spans="1:16" ht="135.94999999999999" customHeight="1" x14ac:dyDescent="0.25">
      <c r="A414" s="1846"/>
      <c r="B414" s="2443" t="s">
        <v>7064</v>
      </c>
      <c r="C414" s="2443"/>
      <c r="D414" s="2443"/>
      <c r="E414" s="2443"/>
      <c r="F414" s="2443" t="s">
        <v>7063</v>
      </c>
      <c r="G414" s="2443"/>
      <c r="H414" s="2443"/>
      <c r="I414" s="2443"/>
      <c r="J414" s="2443" t="s">
        <v>588</v>
      </c>
      <c r="K414" s="2443"/>
      <c r="L414" s="2443"/>
      <c r="M414" s="2443"/>
      <c r="N414" s="2443"/>
      <c r="O414" s="2443"/>
      <c r="P414" s="2443"/>
    </row>
    <row r="415" spans="1:16" ht="149.65" customHeight="1" x14ac:dyDescent="0.25">
      <c r="A415" s="1846"/>
      <c r="B415" s="2443" t="s">
        <v>6148</v>
      </c>
      <c r="C415" s="2443"/>
      <c r="D415" s="2443"/>
      <c r="E415" s="2443"/>
      <c r="F415" s="2443" t="s">
        <v>7062</v>
      </c>
      <c r="G415" s="2443"/>
      <c r="H415" s="2443"/>
      <c r="I415" s="2443"/>
      <c r="J415" s="2443" t="s">
        <v>588</v>
      </c>
      <c r="K415" s="2443"/>
      <c r="L415" s="2443"/>
      <c r="M415" s="2443"/>
      <c r="N415" s="2443"/>
      <c r="O415" s="2443"/>
      <c r="P415" s="2443"/>
    </row>
    <row r="416" spans="1:16" ht="27.2" customHeight="1" x14ac:dyDescent="0.25">
      <c r="A416" s="1845"/>
      <c r="B416" s="2442" t="s">
        <v>6150</v>
      </c>
      <c r="C416" s="2442"/>
      <c r="D416" s="2442"/>
      <c r="E416" s="2442"/>
      <c r="F416" s="2442" t="s">
        <v>588</v>
      </c>
      <c r="G416" s="2442"/>
      <c r="H416" s="2442"/>
      <c r="I416" s="2442"/>
      <c r="J416" s="2442" t="s">
        <v>7498</v>
      </c>
      <c r="K416" s="2442"/>
      <c r="L416" s="2442"/>
      <c r="M416" s="2442"/>
      <c r="N416" s="2442"/>
      <c r="O416" s="2442"/>
      <c r="P416" s="2442"/>
    </row>
    <row r="417" spans="1:16" x14ac:dyDescent="0.25">
      <c r="A417" s="1846"/>
      <c r="B417" s="2443" t="s">
        <v>6160</v>
      </c>
      <c r="C417" s="2443"/>
      <c r="D417" s="2443"/>
      <c r="E417" s="2443"/>
      <c r="F417" s="2443" t="s">
        <v>7503</v>
      </c>
      <c r="G417" s="2443"/>
      <c r="H417" s="2443"/>
      <c r="I417" s="2443"/>
      <c r="J417" s="2443" t="s">
        <v>588</v>
      </c>
      <c r="K417" s="2443"/>
      <c r="L417" s="2443"/>
      <c r="M417" s="2443"/>
      <c r="N417" s="2443"/>
      <c r="O417" s="2443"/>
      <c r="P417" s="2443"/>
    </row>
    <row r="418" spans="1:16" x14ac:dyDescent="0.25">
      <c r="A418" s="1846"/>
      <c r="B418" s="2443" t="s">
        <v>6281</v>
      </c>
      <c r="C418" s="2443"/>
      <c r="D418" s="2443"/>
      <c r="E418" s="2443"/>
      <c r="F418" s="2443" t="s">
        <v>7502</v>
      </c>
      <c r="G418" s="2443"/>
      <c r="H418" s="2443"/>
      <c r="I418" s="2443"/>
      <c r="J418" s="2443" t="s">
        <v>588</v>
      </c>
      <c r="K418" s="2443"/>
      <c r="L418" s="2443"/>
      <c r="M418" s="2443"/>
      <c r="N418" s="2443"/>
      <c r="O418" s="2443"/>
      <c r="P418" s="2443"/>
    </row>
    <row r="419" spans="1:16" x14ac:dyDescent="0.25">
      <c r="A419" s="1846"/>
      <c r="B419" s="2443" t="s">
        <v>6282</v>
      </c>
      <c r="C419" s="2443"/>
      <c r="D419" s="2443"/>
      <c r="E419" s="2443"/>
      <c r="F419" s="2443" t="s">
        <v>7501</v>
      </c>
      <c r="G419" s="2443"/>
      <c r="H419" s="2443"/>
      <c r="I419" s="2443"/>
      <c r="J419" s="2443" t="s">
        <v>588</v>
      </c>
      <c r="K419" s="2443"/>
      <c r="L419" s="2443"/>
      <c r="M419" s="2443"/>
      <c r="N419" s="2443"/>
      <c r="O419" s="2443"/>
      <c r="P419" s="2443"/>
    </row>
    <row r="420" spans="1:16" x14ac:dyDescent="0.25">
      <c r="A420" s="1846"/>
      <c r="B420" s="2443" t="s">
        <v>7368</v>
      </c>
      <c r="C420" s="2443"/>
      <c r="D420" s="2443"/>
      <c r="E420" s="2443"/>
      <c r="F420" s="2443" t="s">
        <v>7500</v>
      </c>
      <c r="G420" s="2443"/>
      <c r="H420" s="2443"/>
      <c r="I420" s="2443"/>
      <c r="J420" s="2443" t="s">
        <v>588</v>
      </c>
      <c r="K420" s="2443"/>
      <c r="L420" s="2443"/>
      <c r="M420" s="2443"/>
      <c r="N420" s="2443"/>
      <c r="O420" s="2443"/>
      <c r="P420" s="2443"/>
    </row>
    <row r="421" spans="1:16" ht="149.65" customHeight="1" x14ac:dyDescent="0.25">
      <c r="A421" s="1844" t="s">
        <v>7066</v>
      </c>
      <c r="B421" s="2431" t="s">
        <v>6284</v>
      </c>
      <c r="C421" s="2432"/>
      <c r="D421" s="2432"/>
      <c r="E421" s="2432"/>
      <c r="F421" s="2432" t="s">
        <v>7065</v>
      </c>
      <c r="G421" s="2432"/>
      <c r="H421" s="2432"/>
      <c r="I421" s="2432"/>
      <c r="J421" s="2432" t="s">
        <v>7499</v>
      </c>
      <c r="K421" s="2432"/>
      <c r="L421" s="2432"/>
      <c r="M421" s="2558">
        <f>ROUND(12000 * 1 * 1.68 * 0.6 * 0.9 * 1.6 * 1.28263, 0)</f>
        <v>22341</v>
      </c>
      <c r="N421" s="2432"/>
      <c r="O421" s="2432" t="s">
        <v>5995</v>
      </c>
      <c r="P421" s="2432"/>
    </row>
    <row r="422" spans="1:16" x14ac:dyDescent="0.25">
      <c r="A422" s="1845"/>
      <c r="B422" s="2442" t="s">
        <v>4168</v>
      </c>
      <c r="C422" s="2442"/>
      <c r="D422" s="2442"/>
      <c r="E422" s="2442"/>
      <c r="F422" s="2442" t="s">
        <v>588</v>
      </c>
      <c r="G422" s="2442"/>
      <c r="H422" s="2442"/>
      <c r="I422" s="2442"/>
      <c r="J422" s="2442" t="s">
        <v>588</v>
      </c>
      <c r="K422" s="2442"/>
      <c r="L422" s="2442"/>
      <c r="M422" s="2442"/>
      <c r="N422" s="2442"/>
      <c r="O422" s="2442"/>
      <c r="P422" s="2442"/>
    </row>
    <row r="423" spans="1:16" x14ac:dyDescent="0.25">
      <c r="A423" s="1846"/>
      <c r="B423" s="2443" t="s">
        <v>7321</v>
      </c>
      <c r="C423" s="2443"/>
      <c r="D423" s="2443"/>
      <c r="E423" s="2443"/>
      <c r="F423" s="2443" t="s">
        <v>7320</v>
      </c>
      <c r="G423" s="2443"/>
      <c r="H423" s="2443"/>
      <c r="I423" s="2443"/>
      <c r="J423" s="2443" t="s">
        <v>588</v>
      </c>
      <c r="K423" s="2443"/>
      <c r="L423" s="2443"/>
      <c r="M423" s="2443"/>
      <c r="N423" s="2443"/>
      <c r="O423" s="2443"/>
      <c r="P423" s="2443"/>
    </row>
    <row r="424" spans="1:16" ht="40.9" customHeight="1" x14ac:dyDescent="0.25">
      <c r="A424" s="1846"/>
      <c r="B424" s="2443" t="s">
        <v>6447</v>
      </c>
      <c r="C424" s="2443"/>
      <c r="D424" s="2443"/>
      <c r="E424" s="2443"/>
      <c r="F424" s="2443" t="s">
        <v>6448</v>
      </c>
      <c r="G424" s="2443"/>
      <c r="H424" s="2443"/>
      <c r="I424" s="2443"/>
      <c r="J424" s="2443" t="s">
        <v>588</v>
      </c>
      <c r="K424" s="2443"/>
      <c r="L424" s="2443"/>
      <c r="M424" s="2443"/>
      <c r="N424" s="2443"/>
      <c r="O424" s="2443"/>
      <c r="P424" s="2443"/>
    </row>
    <row r="425" spans="1:16" ht="108.75" customHeight="1" x14ac:dyDescent="0.25">
      <c r="A425" s="1846"/>
      <c r="B425" s="2443" t="s">
        <v>7014</v>
      </c>
      <c r="C425" s="2443"/>
      <c r="D425" s="2443"/>
      <c r="E425" s="2443"/>
      <c r="F425" s="2443" t="s">
        <v>7013</v>
      </c>
      <c r="G425" s="2443"/>
      <c r="H425" s="2443"/>
      <c r="I425" s="2443"/>
      <c r="J425" s="2443" t="s">
        <v>588</v>
      </c>
      <c r="K425" s="2443"/>
      <c r="L425" s="2443"/>
      <c r="M425" s="2443"/>
      <c r="N425" s="2443"/>
      <c r="O425" s="2443"/>
      <c r="P425" s="2443"/>
    </row>
    <row r="426" spans="1:16" ht="135.94999999999999" customHeight="1" x14ac:dyDescent="0.25">
      <c r="A426" s="1846"/>
      <c r="B426" s="2443" t="s">
        <v>7064</v>
      </c>
      <c r="C426" s="2443"/>
      <c r="D426" s="2443"/>
      <c r="E426" s="2443"/>
      <c r="F426" s="2443" t="s">
        <v>7063</v>
      </c>
      <c r="G426" s="2443"/>
      <c r="H426" s="2443"/>
      <c r="I426" s="2443"/>
      <c r="J426" s="2443" t="s">
        <v>588</v>
      </c>
      <c r="K426" s="2443"/>
      <c r="L426" s="2443"/>
      <c r="M426" s="2443"/>
      <c r="N426" s="2443"/>
      <c r="O426" s="2443"/>
      <c r="P426" s="2443"/>
    </row>
    <row r="427" spans="1:16" ht="149.65" customHeight="1" x14ac:dyDescent="0.25">
      <c r="A427" s="1846"/>
      <c r="B427" s="2443" t="s">
        <v>6148</v>
      </c>
      <c r="C427" s="2443"/>
      <c r="D427" s="2443"/>
      <c r="E427" s="2443"/>
      <c r="F427" s="2443" t="s">
        <v>7062</v>
      </c>
      <c r="G427" s="2443"/>
      <c r="H427" s="2443"/>
      <c r="I427" s="2443"/>
      <c r="J427" s="2443" t="s">
        <v>588</v>
      </c>
      <c r="K427" s="2443"/>
      <c r="L427" s="2443"/>
      <c r="M427" s="2443"/>
      <c r="N427" s="2443"/>
      <c r="O427" s="2443"/>
      <c r="P427" s="2443"/>
    </row>
    <row r="428" spans="1:16" ht="27.2" customHeight="1" x14ac:dyDescent="0.25">
      <c r="A428" s="1845"/>
      <c r="B428" s="2442" t="s">
        <v>6150</v>
      </c>
      <c r="C428" s="2442"/>
      <c r="D428" s="2442"/>
      <c r="E428" s="2442"/>
      <c r="F428" s="2442" t="s">
        <v>588</v>
      </c>
      <c r="G428" s="2442"/>
      <c r="H428" s="2442"/>
      <c r="I428" s="2442"/>
      <c r="J428" s="2442" t="s">
        <v>7498</v>
      </c>
      <c r="K428" s="2442"/>
      <c r="L428" s="2442"/>
      <c r="M428" s="2442"/>
      <c r="N428" s="2442"/>
      <c r="O428" s="2442"/>
      <c r="P428" s="2442"/>
    </row>
    <row r="429" spans="1:16" x14ac:dyDescent="0.25">
      <c r="A429" s="1846"/>
      <c r="B429" s="2443" t="s">
        <v>6160</v>
      </c>
      <c r="C429" s="2443"/>
      <c r="D429" s="2443"/>
      <c r="E429" s="2443"/>
      <c r="F429" s="2443" t="s">
        <v>7497</v>
      </c>
      <c r="G429" s="2443"/>
      <c r="H429" s="2443"/>
      <c r="I429" s="2443"/>
      <c r="J429" s="2443" t="s">
        <v>588</v>
      </c>
      <c r="K429" s="2443"/>
      <c r="L429" s="2443"/>
      <c r="M429" s="2443"/>
      <c r="N429" s="2443"/>
      <c r="O429" s="2443"/>
      <c r="P429" s="2443"/>
    </row>
    <row r="430" spans="1:16" x14ac:dyDescent="0.25">
      <c r="A430" s="1846"/>
      <c r="B430" s="2443" t="s">
        <v>6281</v>
      </c>
      <c r="C430" s="2443"/>
      <c r="D430" s="2443"/>
      <c r="E430" s="2443"/>
      <c r="F430" s="2443" t="s">
        <v>7496</v>
      </c>
      <c r="G430" s="2443"/>
      <c r="H430" s="2443"/>
      <c r="I430" s="2443"/>
      <c r="J430" s="2443" t="s">
        <v>588</v>
      </c>
      <c r="K430" s="2443"/>
      <c r="L430" s="2443"/>
      <c r="M430" s="2443"/>
      <c r="N430" s="2443"/>
      <c r="O430" s="2443"/>
      <c r="P430" s="2443"/>
    </row>
    <row r="431" spans="1:16" x14ac:dyDescent="0.25">
      <c r="A431" s="1846"/>
      <c r="B431" s="2443" t="s">
        <v>6282</v>
      </c>
      <c r="C431" s="2443"/>
      <c r="D431" s="2443"/>
      <c r="E431" s="2443"/>
      <c r="F431" s="2443" t="s">
        <v>7495</v>
      </c>
      <c r="G431" s="2443"/>
      <c r="H431" s="2443"/>
      <c r="I431" s="2443"/>
      <c r="J431" s="2443" t="s">
        <v>588</v>
      </c>
      <c r="K431" s="2443"/>
      <c r="L431" s="2443"/>
      <c r="M431" s="2443"/>
      <c r="N431" s="2443"/>
      <c r="O431" s="2443"/>
      <c r="P431" s="2443"/>
    </row>
    <row r="432" spans="1:16" x14ac:dyDescent="0.25">
      <c r="A432" s="1846"/>
      <c r="B432" s="2443" t="s">
        <v>7368</v>
      </c>
      <c r="C432" s="2443"/>
      <c r="D432" s="2443"/>
      <c r="E432" s="2443"/>
      <c r="F432" s="2443" t="s">
        <v>7494</v>
      </c>
      <c r="G432" s="2443"/>
      <c r="H432" s="2443"/>
      <c r="I432" s="2443"/>
      <c r="J432" s="2443" t="s">
        <v>588</v>
      </c>
      <c r="K432" s="2443"/>
      <c r="L432" s="2443"/>
      <c r="M432" s="2443"/>
      <c r="N432" s="2443"/>
      <c r="O432" s="2443"/>
      <c r="P432" s="2443"/>
    </row>
    <row r="433" spans="1:16" x14ac:dyDescent="0.25">
      <c r="A433" s="1848" t="s">
        <v>7057</v>
      </c>
      <c r="B433" s="2441" t="s">
        <v>6287</v>
      </c>
      <c r="C433" s="2441"/>
      <c r="D433" s="2441"/>
      <c r="E433" s="2441"/>
      <c r="F433" s="2441"/>
      <c r="G433" s="2441"/>
      <c r="H433" s="2441"/>
      <c r="I433" s="2441"/>
      <c r="J433" s="2441" t="s">
        <v>588</v>
      </c>
      <c r="K433" s="2441"/>
      <c r="L433" s="2441"/>
      <c r="M433" s="2559">
        <f>ROUND(SUM($M$344:$M$421),0)</f>
        <v>934293</v>
      </c>
      <c r="N433" s="2441"/>
      <c r="O433" s="2441"/>
      <c r="P433" s="2441"/>
    </row>
    <row r="434" spans="1:16" x14ac:dyDescent="0.25">
      <c r="A434" s="1848" t="s">
        <v>7056</v>
      </c>
      <c r="B434" s="2441" t="s">
        <v>6288</v>
      </c>
      <c r="C434" s="2441"/>
      <c r="D434" s="2441"/>
      <c r="E434" s="2441"/>
      <c r="F434" s="2441"/>
      <c r="G434" s="2441"/>
      <c r="H434" s="2441"/>
      <c r="I434" s="2441"/>
      <c r="J434" s="2441" t="s">
        <v>588</v>
      </c>
      <c r="K434" s="2441"/>
      <c r="L434" s="2441"/>
      <c r="M434" s="2559">
        <f>ROUND(($M$433),0)</f>
        <v>934293</v>
      </c>
      <c r="N434" s="2441"/>
      <c r="O434" s="2441"/>
      <c r="P434" s="2441"/>
    </row>
    <row r="435" spans="1:16" ht="27.2" customHeight="1" x14ac:dyDescent="0.25">
      <c r="A435" s="1848" t="s">
        <v>650</v>
      </c>
      <c r="B435" s="2441" t="s">
        <v>6145</v>
      </c>
      <c r="C435" s="2441"/>
      <c r="D435" s="2441"/>
      <c r="E435" s="2441"/>
      <c r="F435" s="2441" t="s">
        <v>7055</v>
      </c>
      <c r="G435" s="2441"/>
      <c r="H435" s="2441"/>
      <c r="I435" s="2441"/>
      <c r="J435" s="2441"/>
      <c r="K435" s="2441"/>
      <c r="L435" s="2441"/>
      <c r="M435" s="2441"/>
      <c r="N435" s="2441"/>
      <c r="O435" s="2441"/>
      <c r="P435" s="2441"/>
    </row>
    <row r="436" spans="1:16" ht="176.85" customHeight="1" x14ac:dyDescent="0.25">
      <c r="A436" s="1844" t="s">
        <v>888</v>
      </c>
      <c r="B436" s="2431" t="s">
        <v>6289</v>
      </c>
      <c r="C436" s="2432"/>
      <c r="D436" s="2432"/>
      <c r="E436" s="2432"/>
      <c r="F436" s="2432" t="s">
        <v>7054</v>
      </c>
      <c r="G436" s="2432"/>
      <c r="H436" s="2432"/>
      <c r="I436" s="2432"/>
      <c r="J436" s="2432" t="s">
        <v>7493</v>
      </c>
      <c r="K436" s="2432"/>
      <c r="L436" s="2432"/>
      <c r="M436" s="2558">
        <f>ROUND((122600 + 641 * 200) * 1 * 1.68 * 0.6 * 0.9 * 1.1 * 1.28105, 0)</f>
        <v>320619</v>
      </c>
      <c r="N436" s="2432"/>
      <c r="O436" s="2432" t="s">
        <v>5997</v>
      </c>
      <c r="P436" s="2432"/>
    </row>
    <row r="437" spans="1:16" x14ac:dyDescent="0.25">
      <c r="A437" s="1845"/>
      <c r="B437" s="2442" t="s">
        <v>4168</v>
      </c>
      <c r="C437" s="2442"/>
      <c r="D437" s="2442"/>
      <c r="E437" s="2442"/>
      <c r="F437" s="2442" t="s">
        <v>588</v>
      </c>
      <c r="G437" s="2442"/>
      <c r="H437" s="2442"/>
      <c r="I437" s="2442"/>
      <c r="J437" s="2442" t="s">
        <v>588</v>
      </c>
      <c r="K437" s="2442"/>
      <c r="L437" s="2442"/>
      <c r="M437" s="2442"/>
      <c r="N437" s="2442"/>
      <c r="O437" s="2442"/>
      <c r="P437" s="2442"/>
    </row>
    <row r="438" spans="1:16" x14ac:dyDescent="0.25">
      <c r="A438" s="1846"/>
      <c r="B438" s="2443" t="s">
        <v>7321</v>
      </c>
      <c r="C438" s="2443"/>
      <c r="D438" s="2443"/>
      <c r="E438" s="2443"/>
      <c r="F438" s="2443" t="s">
        <v>7320</v>
      </c>
      <c r="G438" s="2443"/>
      <c r="H438" s="2443"/>
      <c r="I438" s="2443"/>
      <c r="J438" s="2443" t="s">
        <v>588</v>
      </c>
      <c r="K438" s="2443"/>
      <c r="L438" s="2443"/>
      <c r="M438" s="2443"/>
      <c r="N438" s="2443"/>
      <c r="O438" s="2443"/>
      <c r="P438" s="2443"/>
    </row>
    <row r="439" spans="1:16" ht="40.9" customHeight="1" x14ac:dyDescent="0.25">
      <c r="A439" s="1846"/>
      <c r="B439" s="2443" t="s">
        <v>6447</v>
      </c>
      <c r="C439" s="2443"/>
      <c r="D439" s="2443"/>
      <c r="E439" s="2443"/>
      <c r="F439" s="2443" t="s">
        <v>6448</v>
      </c>
      <c r="G439" s="2443"/>
      <c r="H439" s="2443"/>
      <c r="I439" s="2443"/>
      <c r="J439" s="2443" t="s">
        <v>588</v>
      </c>
      <c r="K439" s="2443"/>
      <c r="L439" s="2443"/>
      <c r="M439" s="2443"/>
      <c r="N439" s="2443"/>
      <c r="O439" s="2443"/>
      <c r="P439" s="2443"/>
    </row>
    <row r="440" spans="1:16" ht="108.75" customHeight="1" x14ac:dyDescent="0.25">
      <c r="A440" s="1846"/>
      <c r="B440" s="2443" t="s">
        <v>7014</v>
      </c>
      <c r="C440" s="2443"/>
      <c r="D440" s="2443"/>
      <c r="E440" s="2443"/>
      <c r="F440" s="2443" t="s">
        <v>7013</v>
      </c>
      <c r="G440" s="2443"/>
      <c r="H440" s="2443"/>
      <c r="I440" s="2443"/>
      <c r="J440" s="2443" t="s">
        <v>588</v>
      </c>
      <c r="K440" s="2443"/>
      <c r="L440" s="2443"/>
      <c r="M440" s="2443"/>
      <c r="N440" s="2443"/>
      <c r="O440" s="2443"/>
      <c r="P440" s="2443"/>
    </row>
    <row r="441" spans="1:16" ht="95.25" customHeight="1" x14ac:dyDescent="0.25">
      <c r="A441" s="1846"/>
      <c r="B441" s="2443" t="s">
        <v>6290</v>
      </c>
      <c r="C441" s="2443"/>
      <c r="D441" s="2443"/>
      <c r="E441" s="2443"/>
      <c r="F441" s="2443" t="s">
        <v>7033</v>
      </c>
      <c r="G441" s="2443"/>
      <c r="H441" s="2443"/>
      <c r="I441" s="2443"/>
      <c r="J441" s="2443" t="s">
        <v>588</v>
      </c>
      <c r="K441" s="2443"/>
      <c r="L441" s="2443"/>
      <c r="M441" s="2443"/>
      <c r="N441" s="2443"/>
      <c r="O441" s="2443"/>
      <c r="P441" s="2443"/>
    </row>
    <row r="442" spans="1:16" ht="149.65" customHeight="1" x14ac:dyDescent="0.25">
      <c r="A442" s="1846"/>
      <c r="B442" s="2443" t="s">
        <v>6148</v>
      </c>
      <c r="C442" s="2443"/>
      <c r="D442" s="2443"/>
      <c r="E442" s="2443"/>
      <c r="F442" s="2443" t="s">
        <v>6257</v>
      </c>
      <c r="G442" s="2443"/>
      <c r="H442" s="2443"/>
      <c r="I442" s="2443"/>
      <c r="J442" s="2443" t="s">
        <v>588</v>
      </c>
      <c r="K442" s="2443"/>
      <c r="L442" s="2443"/>
      <c r="M442" s="2443"/>
      <c r="N442" s="2443"/>
      <c r="O442" s="2443"/>
      <c r="P442" s="2443"/>
    </row>
    <row r="443" spans="1:16" ht="40.9" customHeight="1" x14ac:dyDescent="0.25">
      <c r="A443" s="1845"/>
      <c r="B443" s="2442" t="s">
        <v>6150</v>
      </c>
      <c r="C443" s="2442"/>
      <c r="D443" s="2442"/>
      <c r="E443" s="2442"/>
      <c r="F443" s="2442" t="s">
        <v>588</v>
      </c>
      <c r="G443" s="2442"/>
      <c r="H443" s="2442"/>
      <c r="I443" s="2442"/>
      <c r="J443" s="2442" t="s">
        <v>7479</v>
      </c>
      <c r="K443" s="2442"/>
      <c r="L443" s="2442"/>
      <c r="M443" s="2442"/>
      <c r="N443" s="2442"/>
      <c r="O443" s="2442"/>
      <c r="P443" s="2442"/>
    </row>
    <row r="444" spans="1:16" x14ac:dyDescent="0.25">
      <c r="A444" s="1846"/>
      <c r="B444" s="2443" t="s">
        <v>6160</v>
      </c>
      <c r="C444" s="2443"/>
      <c r="D444" s="2443"/>
      <c r="E444" s="2443"/>
      <c r="F444" s="2443" t="s">
        <v>7492</v>
      </c>
      <c r="G444" s="2443"/>
      <c r="H444" s="2443"/>
      <c r="I444" s="2443"/>
      <c r="J444" s="2443" t="s">
        <v>588</v>
      </c>
      <c r="K444" s="2443"/>
      <c r="L444" s="2443"/>
      <c r="M444" s="2443"/>
      <c r="N444" s="2443"/>
      <c r="O444" s="2443"/>
      <c r="P444" s="2443"/>
    </row>
    <row r="445" spans="1:16" x14ac:dyDescent="0.25">
      <c r="A445" s="1846"/>
      <c r="B445" s="2443" t="s">
        <v>6177</v>
      </c>
      <c r="C445" s="2443"/>
      <c r="D445" s="2443"/>
      <c r="E445" s="2443"/>
      <c r="F445" s="2443" t="s">
        <v>7491</v>
      </c>
      <c r="G445" s="2443"/>
      <c r="H445" s="2443"/>
      <c r="I445" s="2443"/>
      <c r="J445" s="2443" t="s">
        <v>588</v>
      </c>
      <c r="K445" s="2443"/>
      <c r="L445" s="2443"/>
      <c r="M445" s="2443"/>
      <c r="N445" s="2443"/>
      <c r="O445" s="2443"/>
      <c r="P445" s="2443"/>
    </row>
    <row r="446" spans="1:16" x14ac:dyDescent="0.25">
      <c r="A446" s="1846"/>
      <c r="B446" s="2443" t="s">
        <v>6249</v>
      </c>
      <c r="C446" s="2443"/>
      <c r="D446" s="2443"/>
      <c r="E446" s="2443"/>
      <c r="F446" s="2443" t="s">
        <v>7490</v>
      </c>
      <c r="G446" s="2443"/>
      <c r="H446" s="2443"/>
      <c r="I446" s="2443"/>
      <c r="J446" s="2443" t="s">
        <v>588</v>
      </c>
      <c r="K446" s="2443"/>
      <c r="L446" s="2443"/>
      <c r="M446" s="2443"/>
      <c r="N446" s="2443"/>
      <c r="O446" s="2443"/>
      <c r="P446" s="2443"/>
    </row>
    <row r="447" spans="1:16" x14ac:dyDescent="0.25">
      <c r="A447" s="1846"/>
      <c r="B447" s="2443" t="s">
        <v>6165</v>
      </c>
      <c r="C447" s="2443"/>
      <c r="D447" s="2443"/>
      <c r="E447" s="2443"/>
      <c r="F447" s="2443" t="s">
        <v>7489</v>
      </c>
      <c r="G447" s="2443"/>
      <c r="H447" s="2443"/>
      <c r="I447" s="2443"/>
      <c r="J447" s="2443" t="s">
        <v>588</v>
      </c>
      <c r="K447" s="2443"/>
      <c r="L447" s="2443"/>
      <c r="M447" s="2443"/>
      <c r="N447" s="2443"/>
      <c r="O447" s="2443"/>
      <c r="P447" s="2443"/>
    </row>
    <row r="448" spans="1:16" x14ac:dyDescent="0.25">
      <c r="A448" s="1846"/>
      <c r="B448" s="2443" t="s">
        <v>6286</v>
      </c>
      <c r="C448" s="2443"/>
      <c r="D448" s="2443"/>
      <c r="E448" s="2443"/>
      <c r="F448" s="2443" t="s">
        <v>7488</v>
      </c>
      <c r="G448" s="2443"/>
      <c r="H448" s="2443"/>
      <c r="I448" s="2443"/>
      <c r="J448" s="2443" t="s">
        <v>588</v>
      </c>
      <c r="K448" s="2443"/>
      <c r="L448" s="2443"/>
      <c r="M448" s="2443"/>
      <c r="N448" s="2443"/>
      <c r="O448" s="2443"/>
      <c r="P448" s="2443"/>
    </row>
    <row r="449" spans="1:16" ht="149.65" customHeight="1" x14ac:dyDescent="0.25">
      <c r="A449" s="1844" t="s">
        <v>889</v>
      </c>
      <c r="B449" s="2431" t="s">
        <v>6291</v>
      </c>
      <c r="C449" s="2432"/>
      <c r="D449" s="2432"/>
      <c r="E449" s="2432"/>
      <c r="F449" s="2432" t="s">
        <v>6292</v>
      </c>
      <c r="G449" s="2432"/>
      <c r="H449" s="2432"/>
      <c r="I449" s="2432"/>
      <c r="J449" s="2432" t="s">
        <v>7487</v>
      </c>
      <c r="K449" s="2432"/>
      <c r="L449" s="2432"/>
      <c r="M449" s="2558">
        <f>ROUND(20300 * 1 * 1.68 * 0.6 * 0.9 * 1.8 * 1.28105, 0)</f>
        <v>42466</v>
      </c>
      <c r="N449" s="2432"/>
      <c r="O449" s="2432" t="s">
        <v>6022</v>
      </c>
      <c r="P449" s="2432"/>
    </row>
    <row r="450" spans="1:16" x14ac:dyDescent="0.25">
      <c r="A450" s="1845"/>
      <c r="B450" s="2442" t="s">
        <v>4168</v>
      </c>
      <c r="C450" s="2442"/>
      <c r="D450" s="2442"/>
      <c r="E450" s="2442"/>
      <c r="F450" s="2442" t="s">
        <v>588</v>
      </c>
      <c r="G450" s="2442"/>
      <c r="H450" s="2442"/>
      <c r="I450" s="2442"/>
      <c r="J450" s="2442" t="s">
        <v>588</v>
      </c>
      <c r="K450" s="2442"/>
      <c r="L450" s="2442"/>
      <c r="M450" s="2442"/>
      <c r="N450" s="2442"/>
      <c r="O450" s="2442"/>
      <c r="P450" s="2442"/>
    </row>
    <row r="451" spans="1:16" x14ac:dyDescent="0.25">
      <c r="A451" s="1846"/>
      <c r="B451" s="2443" t="s">
        <v>7321</v>
      </c>
      <c r="C451" s="2443"/>
      <c r="D451" s="2443"/>
      <c r="E451" s="2443"/>
      <c r="F451" s="2443" t="s">
        <v>7320</v>
      </c>
      <c r="G451" s="2443"/>
      <c r="H451" s="2443"/>
      <c r="I451" s="2443"/>
      <c r="J451" s="2443" t="s">
        <v>588</v>
      </c>
      <c r="K451" s="2443"/>
      <c r="L451" s="2443"/>
      <c r="M451" s="2443"/>
      <c r="N451" s="2443"/>
      <c r="O451" s="2443"/>
      <c r="P451" s="2443"/>
    </row>
    <row r="452" spans="1:16" ht="40.9" customHeight="1" x14ac:dyDescent="0.25">
      <c r="A452" s="1846"/>
      <c r="B452" s="2443" t="s">
        <v>6447</v>
      </c>
      <c r="C452" s="2443"/>
      <c r="D452" s="2443"/>
      <c r="E452" s="2443"/>
      <c r="F452" s="2443" t="s">
        <v>6448</v>
      </c>
      <c r="G452" s="2443"/>
      <c r="H452" s="2443"/>
      <c r="I452" s="2443"/>
      <c r="J452" s="2443" t="s">
        <v>588</v>
      </c>
      <c r="K452" s="2443"/>
      <c r="L452" s="2443"/>
      <c r="M452" s="2443"/>
      <c r="N452" s="2443"/>
      <c r="O452" s="2443"/>
      <c r="P452" s="2443"/>
    </row>
    <row r="453" spans="1:16" ht="108.75" customHeight="1" x14ac:dyDescent="0.25">
      <c r="A453" s="1846"/>
      <c r="B453" s="2443" t="s">
        <v>7014</v>
      </c>
      <c r="C453" s="2443"/>
      <c r="D453" s="2443"/>
      <c r="E453" s="2443"/>
      <c r="F453" s="2443" t="s">
        <v>7013</v>
      </c>
      <c r="G453" s="2443"/>
      <c r="H453" s="2443"/>
      <c r="I453" s="2443"/>
      <c r="J453" s="2443" t="s">
        <v>588</v>
      </c>
      <c r="K453" s="2443"/>
      <c r="L453" s="2443"/>
      <c r="M453" s="2443"/>
      <c r="N453" s="2443"/>
      <c r="O453" s="2443"/>
      <c r="P453" s="2443"/>
    </row>
    <row r="454" spans="1:16" ht="122.45" customHeight="1" x14ac:dyDescent="0.25">
      <c r="A454" s="1846"/>
      <c r="B454" s="2443" t="s">
        <v>7047</v>
      </c>
      <c r="C454" s="2443"/>
      <c r="D454" s="2443"/>
      <c r="E454" s="2443"/>
      <c r="F454" s="2443" t="s">
        <v>7046</v>
      </c>
      <c r="G454" s="2443"/>
      <c r="H454" s="2443"/>
      <c r="I454" s="2443"/>
      <c r="J454" s="2443" t="s">
        <v>588</v>
      </c>
      <c r="K454" s="2443"/>
      <c r="L454" s="2443"/>
      <c r="M454" s="2443"/>
      <c r="N454" s="2443"/>
      <c r="O454" s="2443"/>
      <c r="P454" s="2443"/>
    </row>
    <row r="455" spans="1:16" ht="149.65" customHeight="1" x14ac:dyDescent="0.25">
      <c r="A455" s="1846"/>
      <c r="B455" s="2443" t="s">
        <v>6148</v>
      </c>
      <c r="C455" s="2443"/>
      <c r="D455" s="2443"/>
      <c r="E455" s="2443"/>
      <c r="F455" s="2443" t="s">
        <v>6257</v>
      </c>
      <c r="G455" s="2443"/>
      <c r="H455" s="2443"/>
      <c r="I455" s="2443"/>
      <c r="J455" s="2443" t="s">
        <v>588</v>
      </c>
      <c r="K455" s="2443"/>
      <c r="L455" s="2443"/>
      <c r="M455" s="2443"/>
      <c r="N455" s="2443"/>
      <c r="O455" s="2443"/>
      <c r="P455" s="2443"/>
    </row>
    <row r="456" spans="1:16" ht="40.9" customHeight="1" x14ac:dyDescent="0.25">
      <c r="A456" s="1845"/>
      <c r="B456" s="2442" t="s">
        <v>6150</v>
      </c>
      <c r="C456" s="2442"/>
      <c r="D456" s="2442"/>
      <c r="E456" s="2442"/>
      <c r="F456" s="2442" t="s">
        <v>588</v>
      </c>
      <c r="G456" s="2442"/>
      <c r="H456" s="2442"/>
      <c r="I456" s="2442"/>
      <c r="J456" s="2442" t="s">
        <v>7479</v>
      </c>
      <c r="K456" s="2442"/>
      <c r="L456" s="2442"/>
      <c r="M456" s="2442"/>
      <c r="N456" s="2442"/>
      <c r="O456" s="2442"/>
      <c r="P456" s="2442"/>
    </row>
    <row r="457" spans="1:16" x14ac:dyDescent="0.25">
      <c r="A457" s="1846"/>
      <c r="B457" s="2443" t="s">
        <v>6160</v>
      </c>
      <c r="C457" s="2443"/>
      <c r="D457" s="2443"/>
      <c r="E457" s="2443"/>
      <c r="F457" s="2443" t="s">
        <v>7486</v>
      </c>
      <c r="G457" s="2443"/>
      <c r="H457" s="2443"/>
      <c r="I457" s="2443"/>
      <c r="J457" s="2443" t="s">
        <v>588</v>
      </c>
      <c r="K457" s="2443"/>
      <c r="L457" s="2443"/>
      <c r="M457" s="2443"/>
      <c r="N457" s="2443"/>
      <c r="O457" s="2443"/>
      <c r="P457" s="2443"/>
    </row>
    <row r="458" spans="1:16" x14ac:dyDescent="0.25">
      <c r="A458" s="1846"/>
      <c r="B458" s="2443" t="s">
        <v>6177</v>
      </c>
      <c r="C458" s="2443"/>
      <c r="D458" s="2443"/>
      <c r="E458" s="2443"/>
      <c r="F458" s="2443" t="s">
        <v>7485</v>
      </c>
      <c r="G458" s="2443"/>
      <c r="H458" s="2443"/>
      <c r="I458" s="2443"/>
      <c r="J458" s="2443" t="s">
        <v>588</v>
      </c>
      <c r="K458" s="2443"/>
      <c r="L458" s="2443"/>
      <c r="M458" s="2443"/>
      <c r="N458" s="2443"/>
      <c r="O458" s="2443"/>
      <c r="P458" s="2443"/>
    </row>
    <row r="459" spans="1:16" x14ac:dyDescent="0.25">
      <c r="A459" s="1846"/>
      <c r="B459" s="2443" t="s">
        <v>6249</v>
      </c>
      <c r="C459" s="2443"/>
      <c r="D459" s="2443"/>
      <c r="E459" s="2443"/>
      <c r="F459" s="2443" t="s">
        <v>7484</v>
      </c>
      <c r="G459" s="2443"/>
      <c r="H459" s="2443"/>
      <c r="I459" s="2443"/>
      <c r="J459" s="2443" t="s">
        <v>588</v>
      </c>
      <c r="K459" s="2443"/>
      <c r="L459" s="2443"/>
      <c r="M459" s="2443"/>
      <c r="N459" s="2443"/>
      <c r="O459" s="2443"/>
      <c r="P459" s="2443"/>
    </row>
    <row r="460" spans="1:16" x14ac:dyDescent="0.25">
      <c r="A460" s="1846"/>
      <c r="B460" s="2443" t="s">
        <v>6165</v>
      </c>
      <c r="C460" s="2443"/>
      <c r="D460" s="2443"/>
      <c r="E460" s="2443"/>
      <c r="F460" s="2443" t="s">
        <v>7483</v>
      </c>
      <c r="G460" s="2443"/>
      <c r="H460" s="2443"/>
      <c r="I460" s="2443"/>
      <c r="J460" s="2443" t="s">
        <v>588</v>
      </c>
      <c r="K460" s="2443"/>
      <c r="L460" s="2443"/>
      <c r="M460" s="2443"/>
      <c r="N460" s="2443"/>
      <c r="O460" s="2443"/>
      <c r="P460" s="2443"/>
    </row>
    <row r="461" spans="1:16" x14ac:dyDescent="0.25">
      <c r="A461" s="1846"/>
      <c r="B461" s="2443" t="s">
        <v>6286</v>
      </c>
      <c r="C461" s="2443"/>
      <c r="D461" s="2443"/>
      <c r="E461" s="2443"/>
      <c r="F461" s="2443" t="s">
        <v>7482</v>
      </c>
      <c r="G461" s="2443"/>
      <c r="H461" s="2443"/>
      <c r="I461" s="2443"/>
      <c r="J461" s="2443" t="s">
        <v>588</v>
      </c>
      <c r="K461" s="2443"/>
      <c r="L461" s="2443"/>
      <c r="M461" s="2443"/>
      <c r="N461" s="2443"/>
      <c r="O461" s="2443"/>
      <c r="P461" s="2443"/>
    </row>
    <row r="462" spans="1:16" ht="27.2" customHeight="1" x14ac:dyDescent="0.25">
      <c r="A462" s="1848" t="s">
        <v>7039</v>
      </c>
      <c r="B462" s="2441" t="s">
        <v>7038</v>
      </c>
      <c r="C462" s="2441"/>
      <c r="D462" s="2441"/>
      <c r="E462" s="2441"/>
      <c r="F462" s="2441"/>
      <c r="G462" s="2441"/>
      <c r="H462" s="2441"/>
      <c r="I462" s="2441"/>
      <c r="J462" s="2441" t="s">
        <v>588</v>
      </c>
      <c r="K462" s="2441"/>
      <c r="L462" s="2441"/>
      <c r="M462" s="2559">
        <f>ROUND(SUM($M$436:$M$449),0)</f>
        <v>363085</v>
      </c>
      <c r="N462" s="2441"/>
      <c r="O462" s="2441"/>
      <c r="P462" s="2441"/>
    </row>
    <row r="463" spans="1:16" ht="27.2" customHeight="1" x14ac:dyDescent="0.25">
      <c r="A463" s="1848" t="s">
        <v>7037</v>
      </c>
      <c r="B463" s="2441" t="s">
        <v>7036</v>
      </c>
      <c r="C463" s="2441"/>
      <c r="D463" s="2441"/>
      <c r="E463" s="2441"/>
      <c r="F463" s="2441"/>
      <c r="G463" s="2441"/>
      <c r="H463" s="2441"/>
      <c r="I463" s="2441"/>
      <c r="J463" s="2441" t="s">
        <v>588</v>
      </c>
      <c r="K463" s="2441"/>
      <c r="L463" s="2441"/>
      <c r="M463" s="2559">
        <f>ROUND(($M$462),0)</f>
        <v>363085</v>
      </c>
      <c r="N463" s="2441"/>
      <c r="O463" s="2441"/>
      <c r="P463" s="2441"/>
    </row>
    <row r="464" spans="1:16" ht="27.2" customHeight="1" x14ac:dyDescent="0.25">
      <c r="A464" s="1848" t="s">
        <v>651</v>
      </c>
      <c r="B464" s="2441" t="s">
        <v>6145</v>
      </c>
      <c r="C464" s="2441"/>
      <c r="D464" s="2441"/>
      <c r="E464" s="2441"/>
      <c r="F464" s="2441" t="s">
        <v>7035</v>
      </c>
      <c r="G464" s="2441"/>
      <c r="H464" s="2441"/>
      <c r="I464" s="2441"/>
      <c r="J464" s="2441"/>
      <c r="K464" s="2441"/>
      <c r="L464" s="2441"/>
      <c r="M464" s="2441"/>
      <c r="N464" s="2441"/>
      <c r="O464" s="2441"/>
      <c r="P464" s="2441"/>
    </row>
    <row r="465" spans="1:16" ht="176.85" customHeight="1" x14ac:dyDescent="0.25">
      <c r="A465" s="1844" t="s">
        <v>4436</v>
      </c>
      <c r="B465" s="2431" t="s">
        <v>6289</v>
      </c>
      <c r="C465" s="2432"/>
      <c r="D465" s="2432"/>
      <c r="E465" s="2432"/>
      <c r="F465" s="2432" t="s">
        <v>7034</v>
      </c>
      <c r="G465" s="2432"/>
      <c r="H465" s="2432"/>
      <c r="I465" s="2432"/>
      <c r="J465" s="2432" t="s">
        <v>7481</v>
      </c>
      <c r="K465" s="2432"/>
      <c r="L465" s="2432"/>
      <c r="M465" s="2558">
        <f>ROUND((122600 + 641 * 350) * 1 * 1.68 * 0.6 * 0.9 * 1.1 * 1.28105, 0)</f>
        <v>443536</v>
      </c>
      <c r="N465" s="2432"/>
      <c r="O465" s="2432" t="s">
        <v>7480</v>
      </c>
      <c r="P465" s="2432"/>
    </row>
    <row r="466" spans="1:16" x14ac:dyDescent="0.25">
      <c r="A466" s="1845"/>
      <c r="B466" s="2442" t="s">
        <v>4168</v>
      </c>
      <c r="C466" s="2442"/>
      <c r="D466" s="2442"/>
      <c r="E466" s="2442"/>
      <c r="F466" s="2442" t="s">
        <v>588</v>
      </c>
      <c r="G466" s="2442"/>
      <c r="H466" s="2442"/>
      <c r="I466" s="2442"/>
      <c r="J466" s="2442" t="s">
        <v>588</v>
      </c>
      <c r="K466" s="2442"/>
      <c r="L466" s="2442"/>
      <c r="M466" s="2442"/>
      <c r="N466" s="2442"/>
      <c r="O466" s="2442"/>
      <c r="P466" s="2442"/>
    </row>
    <row r="467" spans="1:16" x14ac:dyDescent="0.25">
      <c r="A467" s="1846"/>
      <c r="B467" s="2443" t="s">
        <v>7321</v>
      </c>
      <c r="C467" s="2443"/>
      <c r="D467" s="2443"/>
      <c r="E467" s="2443"/>
      <c r="F467" s="2443" t="s">
        <v>7320</v>
      </c>
      <c r="G467" s="2443"/>
      <c r="H467" s="2443"/>
      <c r="I467" s="2443"/>
      <c r="J467" s="2443" t="s">
        <v>588</v>
      </c>
      <c r="K467" s="2443"/>
      <c r="L467" s="2443"/>
      <c r="M467" s="2443"/>
      <c r="N467" s="2443"/>
      <c r="O467" s="2443"/>
      <c r="P467" s="2443"/>
    </row>
    <row r="468" spans="1:16" ht="40.9" customHeight="1" x14ac:dyDescent="0.25">
      <c r="A468" s="1846"/>
      <c r="B468" s="2443" t="s">
        <v>6447</v>
      </c>
      <c r="C468" s="2443"/>
      <c r="D468" s="2443"/>
      <c r="E468" s="2443"/>
      <c r="F468" s="2443" t="s">
        <v>6448</v>
      </c>
      <c r="G468" s="2443"/>
      <c r="H468" s="2443"/>
      <c r="I468" s="2443"/>
      <c r="J468" s="2443" t="s">
        <v>588</v>
      </c>
      <c r="K468" s="2443"/>
      <c r="L468" s="2443"/>
      <c r="M468" s="2443"/>
      <c r="N468" s="2443"/>
      <c r="O468" s="2443"/>
      <c r="P468" s="2443"/>
    </row>
    <row r="469" spans="1:16" ht="108.75" customHeight="1" x14ac:dyDescent="0.25">
      <c r="A469" s="1846"/>
      <c r="B469" s="2443" t="s">
        <v>7014</v>
      </c>
      <c r="C469" s="2443"/>
      <c r="D469" s="2443"/>
      <c r="E469" s="2443"/>
      <c r="F469" s="2443" t="s">
        <v>7013</v>
      </c>
      <c r="G469" s="2443"/>
      <c r="H469" s="2443"/>
      <c r="I469" s="2443"/>
      <c r="J469" s="2443" t="s">
        <v>588</v>
      </c>
      <c r="K469" s="2443"/>
      <c r="L469" s="2443"/>
      <c r="M469" s="2443"/>
      <c r="N469" s="2443"/>
      <c r="O469" s="2443"/>
      <c r="P469" s="2443"/>
    </row>
    <row r="470" spans="1:16" ht="95.25" customHeight="1" x14ac:dyDescent="0.25">
      <c r="A470" s="1846"/>
      <c r="B470" s="2443" t="s">
        <v>6290</v>
      </c>
      <c r="C470" s="2443"/>
      <c r="D470" s="2443"/>
      <c r="E470" s="2443"/>
      <c r="F470" s="2443" t="s">
        <v>7033</v>
      </c>
      <c r="G470" s="2443"/>
      <c r="H470" s="2443"/>
      <c r="I470" s="2443"/>
      <c r="J470" s="2443" t="s">
        <v>588</v>
      </c>
      <c r="K470" s="2443"/>
      <c r="L470" s="2443"/>
      <c r="M470" s="2443"/>
      <c r="N470" s="2443"/>
      <c r="O470" s="2443"/>
      <c r="P470" s="2443"/>
    </row>
    <row r="471" spans="1:16" ht="149.65" customHeight="1" x14ac:dyDescent="0.25">
      <c r="A471" s="1846"/>
      <c r="B471" s="2443" t="s">
        <v>6148</v>
      </c>
      <c r="C471" s="2443"/>
      <c r="D471" s="2443"/>
      <c r="E471" s="2443"/>
      <c r="F471" s="2443" t="s">
        <v>6257</v>
      </c>
      <c r="G471" s="2443"/>
      <c r="H471" s="2443"/>
      <c r="I471" s="2443"/>
      <c r="J471" s="2443" t="s">
        <v>588</v>
      </c>
      <c r="K471" s="2443"/>
      <c r="L471" s="2443"/>
      <c r="M471" s="2443"/>
      <c r="N471" s="2443"/>
      <c r="O471" s="2443"/>
      <c r="P471" s="2443"/>
    </row>
    <row r="472" spans="1:16" ht="40.9" customHeight="1" x14ac:dyDescent="0.25">
      <c r="A472" s="1845"/>
      <c r="B472" s="2442" t="s">
        <v>6150</v>
      </c>
      <c r="C472" s="2442"/>
      <c r="D472" s="2442"/>
      <c r="E472" s="2442"/>
      <c r="F472" s="2442" t="s">
        <v>588</v>
      </c>
      <c r="G472" s="2442"/>
      <c r="H472" s="2442"/>
      <c r="I472" s="2442"/>
      <c r="J472" s="2442" t="s">
        <v>7479</v>
      </c>
      <c r="K472" s="2442"/>
      <c r="L472" s="2442"/>
      <c r="M472" s="2442"/>
      <c r="N472" s="2442"/>
      <c r="O472" s="2442"/>
      <c r="P472" s="2442"/>
    </row>
    <row r="473" spans="1:16" x14ac:dyDescent="0.25">
      <c r="A473" s="1846"/>
      <c r="B473" s="2443" t="s">
        <v>6160</v>
      </c>
      <c r="C473" s="2443"/>
      <c r="D473" s="2443"/>
      <c r="E473" s="2443"/>
      <c r="F473" s="2443" t="s">
        <v>7478</v>
      </c>
      <c r="G473" s="2443"/>
      <c r="H473" s="2443"/>
      <c r="I473" s="2443"/>
      <c r="J473" s="2443" t="s">
        <v>588</v>
      </c>
      <c r="K473" s="2443"/>
      <c r="L473" s="2443"/>
      <c r="M473" s="2443"/>
      <c r="N473" s="2443"/>
      <c r="O473" s="2443"/>
      <c r="P473" s="2443"/>
    </row>
    <row r="474" spans="1:16" x14ac:dyDescent="0.25">
      <c r="A474" s="1846"/>
      <c r="B474" s="2443" t="s">
        <v>6177</v>
      </c>
      <c r="C474" s="2443"/>
      <c r="D474" s="2443"/>
      <c r="E474" s="2443"/>
      <c r="F474" s="2443" t="s">
        <v>7477</v>
      </c>
      <c r="G474" s="2443"/>
      <c r="H474" s="2443"/>
      <c r="I474" s="2443"/>
      <c r="J474" s="2443" t="s">
        <v>588</v>
      </c>
      <c r="K474" s="2443"/>
      <c r="L474" s="2443"/>
      <c r="M474" s="2443"/>
      <c r="N474" s="2443"/>
      <c r="O474" s="2443"/>
      <c r="P474" s="2443"/>
    </row>
    <row r="475" spans="1:16" x14ac:dyDescent="0.25">
      <c r="A475" s="1846"/>
      <c r="B475" s="2443" t="s">
        <v>6249</v>
      </c>
      <c r="C475" s="2443"/>
      <c r="D475" s="2443"/>
      <c r="E475" s="2443"/>
      <c r="F475" s="2443" t="s">
        <v>7476</v>
      </c>
      <c r="G475" s="2443"/>
      <c r="H475" s="2443"/>
      <c r="I475" s="2443"/>
      <c r="J475" s="2443" t="s">
        <v>588</v>
      </c>
      <c r="K475" s="2443"/>
      <c r="L475" s="2443"/>
      <c r="M475" s="2443"/>
      <c r="N475" s="2443"/>
      <c r="O475" s="2443"/>
      <c r="P475" s="2443"/>
    </row>
    <row r="476" spans="1:16" x14ac:dyDescent="0.25">
      <c r="A476" s="1846"/>
      <c r="B476" s="2443" t="s">
        <v>6165</v>
      </c>
      <c r="C476" s="2443"/>
      <c r="D476" s="2443"/>
      <c r="E476" s="2443"/>
      <c r="F476" s="2443" t="s">
        <v>7475</v>
      </c>
      <c r="G476" s="2443"/>
      <c r="H476" s="2443"/>
      <c r="I476" s="2443"/>
      <c r="J476" s="2443" t="s">
        <v>588</v>
      </c>
      <c r="K476" s="2443"/>
      <c r="L476" s="2443"/>
      <c r="M476" s="2443"/>
      <c r="N476" s="2443"/>
      <c r="O476" s="2443"/>
      <c r="P476" s="2443"/>
    </row>
    <row r="477" spans="1:16" x14ac:dyDescent="0.25">
      <c r="A477" s="1846"/>
      <c r="B477" s="2443" t="s">
        <v>6286</v>
      </c>
      <c r="C477" s="2443"/>
      <c r="D477" s="2443"/>
      <c r="E477" s="2443"/>
      <c r="F477" s="2443" t="s">
        <v>7474</v>
      </c>
      <c r="G477" s="2443"/>
      <c r="H477" s="2443"/>
      <c r="I477" s="2443"/>
      <c r="J477" s="2443" t="s">
        <v>588</v>
      </c>
      <c r="K477" s="2443"/>
      <c r="L477" s="2443"/>
      <c r="M477" s="2443"/>
      <c r="N477" s="2443"/>
      <c r="O477" s="2443"/>
      <c r="P477" s="2443"/>
    </row>
    <row r="478" spans="1:16" ht="204" customHeight="1" x14ac:dyDescent="0.25">
      <c r="A478" s="1844" t="s">
        <v>6133</v>
      </c>
      <c r="B478" s="2431" t="s">
        <v>7026</v>
      </c>
      <c r="C478" s="2432"/>
      <c r="D478" s="2432"/>
      <c r="E478" s="2432"/>
      <c r="F478" s="2432" t="s">
        <v>7025</v>
      </c>
      <c r="G478" s="2432"/>
      <c r="H478" s="2432"/>
      <c r="I478" s="2432"/>
      <c r="J478" s="2432" t="s">
        <v>7473</v>
      </c>
      <c r="K478" s="2432"/>
      <c r="L478" s="2432"/>
      <c r="M478" s="2558">
        <f>ROUND((137200 + 323 * 1000) * 1 * 1.27 * 0.6 * 1.2 * 1.3, 0)</f>
        <v>547049</v>
      </c>
      <c r="N478" s="2432"/>
      <c r="O478" s="2432" t="s">
        <v>7472</v>
      </c>
      <c r="P478" s="2432"/>
    </row>
    <row r="479" spans="1:16" x14ac:dyDescent="0.25">
      <c r="A479" s="1845"/>
      <c r="B479" s="2442" t="s">
        <v>4168</v>
      </c>
      <c r="C479" s="2442"/>
      <c r="D479" s="2442"/>
      <c r="E479" s="2442"/>
      <c r="F479" s="2442" t="s">
        <v>588</v>
      </c>
      <c r="G479" s="2442"/>
      <c r="H479" s="2442"/>
      <c r="I479" s="2442"/>
      <c r="J479" s="2442" t="s">
        <v>588</v>
      </c>
      <c r="K479" s="2442"/>
      <c r="L479" s="2442"/>
      <c r="M479" s="2442"/>
      <c r="N479" s="2442"/>
      <c r="O479" s="2442"/>
      <c r="P479" s="2442"/>
    </row>
    <row r="480" spans="1:16" x14ac:dyDescent="0.25">
      <c r="A480" s="1846"/>
      <c r="B480" s="2443" t="s">
        <v>7321</v>
      </c>
      <c r="C480" s="2443"/>
      <c r="D480" s="2443"/>
      <c r="E480" s="2443"/>
      <c r="F480" s="2443" t="s">
        <v>7320</v>
      </c>
      <c r="G480" s="2443"/>
      <c r="H480" s="2443"/>
      <c r="I480" s="2443"/>
      <c r="J480" s="2443" t="s">
        <v>588</v>
      </c>
      <c r="K480" s="2443"/>
      <c r="L480" s="2443"/>
      <c r="M480" s="2443"/>
      <c r="N480" s="2443"/>
      <c r="O480" s="2443"/>
      <c r="P480" s="2443"/>
    </row>
    <row r="481" spans="1:16" ht="40.9" customHeight="1" x14ac:dyDescent="0.25">
      <c r="A481" s="1846"/>
      <c r="B481" s="2443" t="s">
        <v>6970</v>
      </c>
      <c r="C481" s="2443"/>
      <c r="D481" s="2443"/>
      <c r="E481" s="2443"/>
      <c r="F481" s="2443" t="s">
        <v>6969</v>
      </c>
      <c r="G481" s="2443"/>
      <c r="H481" s="2443"/>
      <c r="I481" s="2443"/>
      <c r="J481" s="2443" t="s">
        <v>588</v>
      </c>
      <c r="K481" s="2443"/>
      <c r="L481" s="2443"/>
      <c r="M481" s="2443"/>
      <c r="N481" s="2443"/>
      <c r="O481" s="2443"/>
      <c r="P481" s="2443"/>
    </row>
    <row r="482" spans="1:16" ht="122.45" customHeight="1" x14ac:dyDescent="0.25">
      <c r="A482" s="1846"/>
      <c r="B482" s="2443" t="s">
        <v>7024</v>
      </c>
      <c r="C482" s="2443"/>
      <c r="D482" s="2443"/>
      <c r="E482" s="2443"/>
      <c r="F482" s="2443" t="s">
        <v>7023</v>
      </c>
      <c r="G482" s="2443"/>
      <c r="H482" s="2443"/>
      <c r="I482" s="2443"/>
      <c r="J482" s="2443" t="s">
        <v>588</v>
      </c>
      <c r="K482" s="2443"/>
      <c r="L482" s="2443"/>
      <c r="M482" s="2443"/>
      <c r="N482" s="2443"/>
      <c r="O482" s="2443"/>
      <c r="P482" s="2443"/>
    </row>
    <row r="483" spans="1:16" ht="149.65" customHeight="1" x14ac:dyDescent="0.25">
      <c r="A483" s="1846"/>
      <c r="B483" s="2443" t="s">
        <v>6148</v>
      </c>
      <c r="C483" s="2443"/>
      <c r="D483" s="2443"/>
      <c r="E483" s="2443"/>
      <c r="F483" s="2443" t="s">
        <v>7471</v>
      </c>
      <c r="G483" s="2443"/>
      <c r="H483" s="2443"/>
      <c r="I483" s="2443"/>
      <c r="J483" s="2443" t="s">
        <v>588</v>
      </c>
      <c r="K483" s="2443"/>
      <c r="L483" s="2443"/>
      <c r="M483" s="2443"/>
      <c r="N483" s="2443"/>
      <c r="O483" s="2443"/>
      <c r="P483" s="2443"/>
    </row>
    <row r="484" spans="1:16" ht="68.099999999999994" customHeight="1" x14ac:dyDescent="0.25">
      <c r="A484" s="1845"/>
      <c r="B484" s="2442" t="s">
        <v>6150</v>
      </c>
      <c r="C484" s="2442"/>
      <c r="D484" s="2442"/>
      <c r="E484" s="2442"/>
      <c r="F484" s="2442" t="s">
        <v>588</v>
      </c>
      <c r="G484" s="2442"/>
      <c r="H484" s="2442"/>
      <c r="I484" s="2442"/>
      <c r="J484" s="2442" t="s">
        <v>7470</v>
      </c>
      <c r="K484" s="2442"/>
      <c r="L484" s="2442"/>
      <c r="M484" s="2442"/>
      <c r="N484" s="2442"/>
      <c r="O484" s="2442"/>
      <c r="P484" s="2442"/>
    </row>
    <row r="485" spans="1:16" x14ac:dyDescent="0.25">
      <c r="A485" s="1846"/>
      <c r="B485" s="2443" t="s">
        <v>7346</v>
      </c>
      <c r="C485" s="2443"/>
      <c r="D485" s="2443"/>
      <c r="E485" s="2443"/>
      <c r="F485" s="2443" t="s">
        <v>7469</v>
      </c>
      <c r="G485" s="2443"/>
      <c r="H485" s="2443"/>
      <c r="I485" s="2443"/>
      <c r="J485" s="2443" t="s">
        <v>588</v>
      </c>
      <c r="K485" s="2443"/>
      <c r="L485" s="2443"/>
      <c r="M485" s="2443"/>
      <c r="N485" s="2443"/>
      <c r="O485" s="2443"/>
      <c r="P485" s="2443"/>
    </row>
    <row r="486" spans="1:16" x14ac:dyDescent="0.25">
      <c r="A486" s="1846"/>
      <c r="B486" s="2443" t="s">
        <v>7427</v>
      </c>
      <c r="C486" s="2443"/>
      <c r="D486" s="2443"/>
      <c r="E486" s="2443"/>
      <c r="F486" s="2443" t="s">
        <v>7468</v>
      </c>
      <c r="G486" s="2443"/>
      <c r="H486" s="2443"/>
      <c r="I486" s="2443"/>
      <c r="J486" s="2443" t="s">
        <v>588</v>
      </c>
      <c r="K486" s="2443"/>
      <c r="L486" s="2443"/>
      <c r="M486" s="2443"/>
      <c r="N486" s="2443"/>
      <c r="O486" s="2443"/>
      <c r="P486" s="2443"/>
    </row>
    <row r="487" spans="1:16" x14ac:dyDescent="0.25">
      <c r="A487" s="1846"/>
      <c r="B487" s="2443" t="s">
        <v>7425</v>
      </c>
      <c r="C487" s="2443"/>
      <c r="D487" s="2443"/>
      <c r="E487" s="2443"/>
      <c r="F487" s="2443" t="s">
        <v>7467</v>
      </c>
      <c r="G487" s="2443"/>
      <c r="H487" s="2443"/>
      <c r="I487" s="2443"/>
      <c r="J487" s="2443" t="s">
        <v>588</v>
      </c>
      <c r="K487" s="2443"/>
      <c r="L487" s="2443"/>
      <c r="M487" s="2443"/>
      <c r="N487" s="2443"/>
      <c r="O487" s="2443"/>
      <c r="P487" s="2443"/>
    </row>
    <row r="488" spans="1:16" ht="27.2" customHeight="1" x14ac:dyDescent="0.25">
      <c r="A488" s="1846"/>
      <c r="B488" s="2443" t="s">
        <v>7423</v>
      </c>
      <c r="C488" s="2443"/>
      <c r="D488" s="2443"/>
      <c r="E488" s="2443"/>
      <c r="F488" s="2443" t="s">
        <v>7466</v>
      </c>
      <c r="G488" s="2443"/>
      <c r="H488" s="2443"/>
      <c r="I488" s="2443"/>
      <c r="J488" s="2443" t="s">
        <v>588</v>
      </c>
      <c r="K488" s="2443"/>
      <c r="L488" s="2443"/>
      <c r="M488" s="2443"/>
      <c r="N488" s="2443"/>
      <c r="O488" s="2443"/>
      <c r="P488" s="2443"/>
    </row>
    <row r="489" spans="1:16" ht="27.2" customHeight="1" x14ac:dyDescent="0.25">
      <c r="A489" s="1846"/>
      <c r="B489" s="2443" t="s">
        <v>6868</v>
      </c>
      <c r="C489" s="2443"/>
      <c r="D489" s="2443"/>
      <c r="E489" s="2443"/>
      <c r="F489" s="2443" t="s">
        <v>7465</v>
      </c>
      <c r="G489" s="2443"/>
      <c r="H489" s="2443"/>
      <c r="I489" s="2443"/>
      <c r="J489" s="2443" t="s">
        <v>588</v>
      </c>
      <c r="K489" s="2443"/>
      <c r="L489" s="2443"/>
      <c r="M489" s="2443"/>
      <c r="N489" s="2443"/>
      <c r="O489" s="2443"/>
      <c r="P489" s="2443"/>
    </row>
    <row r="490" spans="1:16" ht="27.2" customHeight="1" x14ac:dyDescent="0.25">
      <c r="A490" s="1846"/>
      <c r="B490" s="2443" t="s">
        <v>7464</v>
      </c>
      <c r="C490" s="2443"/>
      <c r="D490" s="2443"/>
      <c r="E490" s="2443"/>
      <c r="F490" s="2443" t="s">
        <v>7463</v>
      </c>
      <c r="G490" s="2443"/>
      <c r="H490" s="2443"/>
      <c r="I490" s="2443"/>
      <c r="J490" s="2443" t="s">
        <v>588</v>
      </c>
      <c r="K490" s="2443"/>
      <c r="L490" s="2443"/>
      <c r="M490" s="2443"/>
      <c r="N490" s="2443"/>
      <c r="O490" s="2443"/>
      <c r="P490" s="2443"/>
    </row>
    <row r="491" spans="1:16" ht="27.2" customHeight="1" x14ac:dyDescent="0.25">
      <c r="A491" s="1846"/>
      <c r="B491" s="2443" t="s">
        <v>7462</v>
      </c>
      <c r="C491" s="2443"/>
      <c r="D491" s="2443"/>
      <c r="E491" s="2443"/>
      <c r="F491" s="2443" t="s">
        <v>7461</v>
      </c>
      <c r="G491" s="2443"/>
      <c r="H491" s="2443"/>
      <c r="I491" s="2443"/>
      <c r="J491" s="2443" t="s">
        <v>588</v>
      </c>
      <c r="K491" s="2443"/>
      <c r="L491" s="2443"/>
      <c r="M491" s="2443"/>
      <c r="N491" s="2443"/>
      <c r="O491" s="2443"/>
      <c r="P491" s="2443"/>
    </row>
    <row r="492" spans="1:16" x14ac:dyDescent="0.25">
      <c r="A492" s="1846"/>
      <c r="B492" s="2443" t="s">
        <v>7413</v>
      </c>
      <c r="C492" s="2443"/>
      <c r="D492" s="2443"/>
      <c r="E492" s="2443"/>
      <c r="F492" s="2443" t="s">
        <v>7460</v>
      </c>
      <c r="G492" s="2443"/>
      <c r="H492" s="2443"/>
      <c r="I492" s="2443"/>
      <c r="J492" s="2443" t="s">
        <v>588</v>
      </c>
      <c r="K492" s="2443"/>
      <c r="L492" s="2443"/>
      <c r="M492" s="2443"/>
      <c r="N492" s="2443"/>
      <c r="O492" s="2443"/>
      <c r="P492" s="2443"/>
    </row>
    <row r="493" spans="1:16" ht="27.2" customHeight="1" x14ac:dyDescent="0.25">
      <c r="A493" s="1846"/>
      <c r="B493" s="2443" t="s">
        <v>7411</v>
      </c>
      <c r="C493" s="2443"/>
      <c r="D493" s="2443"/>
      <c r="E493" s="2443"/>
      <c r="F493" s="2443" t="s">
        <v>7459</v>
      </c>
      <c r="G493" s="2443"/>
      <c r="H493" s="2443"/>
      <c r="I493" s="2443"/>
      <c r="J493" s="2443" t="s">
        <v>588</v>
      </c>
      <c r="K493" s="2443"/>
      <c r="L493" s="2443"/>
      <c r="M493" s="2443"/>
      <c r="N493" s="2443"/>
      <c r="O493" s="2443"/>
      <c r="P493" s="2443"/>
    </row>
    <row r="494" spans="1:16" ht="149.65" customHeight="1" x14ac:dyDescent="0.25">
      <c r="A494" s="1844" t="s">
        <v>7019</v>
      </c>
      <c r="B494" s="2431" t="s">
        <v>7018</v>
      </c>
      <c r="C494" s="2432"/>
      <c r="D494" s="2432"/>
      <c r="E494" s="2432"/>
      <c r="F494" s="2432" t="s">
        <v>7017</v>
      </c>
      <c r="G494" s="2432"/>
      <c r="H494" s="2432"/>
      <c r="I494" s="2432"/>
      <c r="J494" s="2432" t="s">
        <v>7458</v>
      </c>
      <c r="K494" s="2432"/>
      <c r="L494" s="2432"/>
      <c r="M494" s="2558">
        <f>ROUND((331400 + 1664 * (0.4 * 100 + 0.6 * (100 / 2))) * 1 * 0.72 * 1.68 * 0.6 * 0.9 * (0.05) * 1.28579, 0)</f>
        <v>18808</v>
      </c>
      <c r="N494" s="2432"/>
      <c r="O494" s="2432" t="s">
        <v>7457</v>
      </c>
      <c r="P494" s="2432"/>
    </row>
    <row r="495" spans="1:16" x14ac:dyDescent="0.25">
      <c r="A495" s="1845"/>
      <c r="B495" s="2442" t="s">
        <v>4168</v>
      </c>
      <c r="C495" s="2442"/>
      <c r="D495" s="2442"/>
      <c r="E495" s="2442"/>
      <c r="F495" s="2442" t="s">
        <v>588</v>
      </c>
      <c r="G495" s="2442"/>
      <c r="H495" s="2442"/>
      <c r="I495" s="2442"/>
      <c r="J495" s="2442" t="s">
        <v>588</v>
      </c>
      <c r="K495" s="2442"/>
      <c r="L495" s="2442"/>
      <c r="M495" s="2442"/>
      <c r="N495" s="2442"/>
      <c r="O495" s="2442"/>
      <c r="P495" s="2442"/>
    </row>
    <row r="496" spans="1:16" x14ac:dyDescent="0.25">
      <c r="A496" s="1846"/>
      <c r="B496" s="2443" t="s">
        <v>7321</v>
      </c>
      <c r="C496" s="2443"/>
      <c r="D496" s="2443"/>
      <c r="E496" s="2443"/>
      <c r="F496" s="2443" t="s">
        <v>7320</v>
      </c>
      <c r="G496" s="2443"/>
      <c r="H496" s="2443"/>
      <c r="I496" s="2443"/>
      <c r="J496" s="2443" t="s">
        <v>588</v>
      </c>
      <c r="K496" s="2443"/>
      <c r="L496" s="2443"/>
      <c r="M496" s="2443"/>
      <c r="N496" s="2443"/>
      <c r="O496" s="2443"/>
      <c r="P496" s="2443"/>
    </row>
    <row r="497" spans="1:16" ht="40.9" customHeight="1" x14ac:dyDescent="0.25">
      <c r="A497" s="1846"/>
      <c r="B497" s="2443" t="s">
        <v>6447</v>
      </c>
      <c r="C497" s="2443"/>
      <c r="D497" s="2443"/>
      <c r="E497" s="2443"/>
      <c r="F497" s="2443" t="s">
        <v>6448</v>
      </c>
      <c r="G497" s="2443"/>
      <c r="H497" s="2443"/>
      <c r="I497" s="2443"/>
      <c r="J497" s="2443" t="s">
        <v>588</v>
      </c>
      <c r="K497" s="2443"/>
      <c r="L497" s="2443"/>
      <c r="M497" s="2443"/>
      <c r="N497" s="2443"/>
      <c r="O497" s="2443"/>
      <c r="P497" s="2443"/>
    </row>
    <row r="498" spans="1:16" ht="95.25" customHeight="1" x14ac:dyDescent="0.25">
      <c r="A498" s="1846"/>
      <c r="B498" s="2443" t="s">
        <v>6251</v>
      </c>
      <c r="C498" s="2443"/>
      <c r="D498" s="2443"/>
      <c r="E498" s="2443"/>
      <c r="F498" s="2443" t="s">
        <v>7015</v>
      </c>
      <c r="G498" s="2443"/>
      <c r="H498" s="2443"/>
      <c r="I498" s="2443"/>
      <c r="J498" s="2443" t="s">
        <v>588</v>
      </c>
      <c r="K498" s="2443"/>
      <c r="L498" s="2443"/>
      <c r="M498" s="2443"/>
      <c r="N498" s="2443"/>
      <c r="O498" s="2443"/>
      <c r="P498" s="2443"/>
    </row>
    <row r="499" spans="1:16" ht="108.75" customHeight="1" x14ac:dyDescent="0.25">
      <c r="A499" s="1846"/>
      <c r="B499" s="2443" t="s">
        <v>7014</v>
      </c>
      <c r="C499" s="2443"/>
      <c r="D499" s="2443"/>
      <c r="E499" s="2443"/>
      <c r="F499" s="2443" t="s">
        <v>7013</v>
      </c>
      <c r="G499" s="2443"/>
      <c r="H499" s="2443"/>
      <c r="I499" s="2443"/>
      <c r="J499" s="2443" t="s">
        <v>588</v>
      </c>
      <c r="K499" s="2443"/>
      <c r="L499" s="2443"/>
      <c r="M499" s="2443"/>
      <c r="N499" s="2443"/>
      <c r="O499" s="2443"/>
      <c r="P499" s="2443"/>
    </row>
    <row r="500" spans="1:16" ht="81.599999999999994" customHeight="1" x14ac:dyDescent="0.25">
      <c r="A500" s="1846"/>
      <c r="B500" s="2443" t="s">
        <v>6968</v>
      </c>
      <c r="C500" s="2443"/>
      <c r="D500" s="2443"/>
      <c r="E500" s="2443"/>
      <c r="F500" s="2443" t="s">
        <v>7012</v>
      </c>
      <c r="G500" s="2443"/>
      <c r="H500" s="2443"/>
      <c r="I500" s="2443"/>
      <c r="J500" s="2443" t="s">
        <v>588</v>
      </c>
      <c r="K500" s="2443"/>
      <c r="L500" s="2443"/>
      <c r="M500" s="2443"/>
      <c r="N500" s="2443"/>
      <c r="O500" s="2443"/>
      <c r="P500" s="2443"/>
    </row>
    <row r="501" spans="1:16" ht="149.65" customHeight="1" x14ac:dyDescent="0.25">
      <c r="A501" s="1846"/>
      <c r="B501" s="2443" t="s">
        <v>6148</v>
      </c>
      <c r="C501" s="2443"/>
      <c r="D501" s="2443"/>
      <c r="E501" s="2443"/>
      <c r="F501" s="2443" t="s">
        <v>7456</v>
      </c>
      <c r="G501" s="2443"/>
      <c r="H501" s="2443"/>
      <c r="I501" s="2443"/>
      <c r="J501" s="2443" t="s">
        <v>588</v>
      </c>
      <c r="K501" s="2443"/>
      <c r="L501" s="2443"/>
      <c r="M501" s="2443"/>
      <c r="N501" s="2443"/>
      <c r="O501" s="2443"/>
      <c r="P501" s="2443"/>
    </row>
    <row r="502" spans="1:16" ht="95.25" customHeight="1" x14ac:dyDescent="0.25">
      <c r="A502" s="1845"/>
      <c r="B502" s="2442" t="s">
        <v>6150</v>
      </c>
      <c r="C502" s="2442"/>
      <c r="D502" s="2442"/>
      <c r="E502" s="2442"/>
      <c r="F502" s="2442" t="s">
        <v>588</v>
      </c>
      <c r="G502" s="2442"/>
      <c r="H502" s="2442"/>
      <c r="I502" s="2442"/>
      <c r="J502" s="2442" t="s">
        <v>7455</v>
      </c>
      <c r="K502" s="2442"/>
      <c r="L502" s="2442"/>
      <c r="M502" s="2442"/>
      <c r="N502" s="2442"/>
      <c r="O502" s="2442"/>
      <c r="P502" s="2442"/>
    </row>
    <row r="503" spans="1:16" x14ac:dyDescent="0.25">
      <c r="A503" s="1846"/>
      <c r="B503" s="2443" t="s">
        <v>6160</v>
      </c>
      <c r="C503" s="2443"/>
      <c r="D503" s="2443"/>
      <c r="E503" s="2443"/>
      <c r="F503" s="2443" t="s">
        <v>7454</v>
      </c>
      <c r="G503" s="2443"/>
      <c r="H503" s="2443"/>
      <c r="I503" s="2443"/>
      <c r="J503" s="2443" t="s">
        <v>588</v>
      </c>
      <c r="K503" s="2443"/>
      <c r="L503" s="2443"/>
      <c r="M503" s="2443"/>
      <c r="N503" s="2443"/>
      <c r="O503" s="2443"/>
      <c r="P503" s="2443"/>
    </row>
    <row r="504" spans="1:16" x14ac:dyDescent="0.25">
      <c r="A504" s="1846"/>
      <c r="B504" s="2443" t="s">
        <v>6199</v>
      </c>
      <c r="C504" s="2443"/>
      <c r="D504" s="2443"/>
      <c r="E504" s="2443"/>
      <c r="F504" s="2443" t="s">
        <v>7453</v>
      </c>
      <c r="G504" s="2443"/>
      <c r="H504" s="2443"/>
      <c r="I504" s="2443"/>
      <c r="J504" s="2443" t="s">
        <v>588</v>
      </c>
      <c r="K504" s="2443"/>
      <c r="L504" s="2443"/>
      <c r="M504" s="2443"/>
      <c r="N504" s="2443"/>
      <c r="O504" s="2443"/>
      <c r="P504" s="2443"/>
    </row>
    <row r="505" spans="1:16" x14ac:dyDescent="0.25">
      <c r="A505" s="1846"/>
      <c r="B505" s="2443" t="s">
        <v>6215</v>
      </c>
      <c r="C505" s="2443"/>
      <c r="D505" s="2443"/>
      <c r="E505" s="2443"/>
      <c r="F505" s="2443" t="s">
        <v>7452</v>
      </c>
      <c r="G505" s="2443"/>
      <c r="H505" s="2443"/>
      <c r="I505" s="2443"/>
      <c r="J505" s="2443" t="s">
        <v>588</v>
      </c>
      <c r="K505" s="2443"/>
      <c r="L505" s="2443"/>
      <c r="M505" s="2443"/>
      <c r="N505" s="2443"/>
      <c r="O505" s="2443"/>
      <c r="P505" s="2443"/>
    </row>
    <row r="506" spans="1:16" ht="27.2" customHeight="1" x14ac:dyDescent="0.25">
      <c r="A506" s="1846"/>
      <c r="B506" s="2443" t="s">
        <v>6870</v>
      </c>
      <c r="C506" s="2443"/>
      <c r="D506" s="2443"/>
      <c r="E506" s="2443"/>
      <c r="F506" s="2443" t="s">
        <v>7451</v>
      </c>
      <c r="G506" s="2443"/>
      <c r="H506" s="2443"/>
      <c r="I506" s="2443"/>
      <c r="J506" s="2443" t="s">
        <v>588</v>
      </c>
      <c r="K506" s="2443"/>
      <c r="L506" s="2443"/>
      <c r="M506" s="2443"/>
      <c r="N506" s="2443"/>
      <c r="O506" s="2443"/>
      <c r="P506" s="2443"/>
    </row>
    <row r="507" spans="1:16" ht="27.2" customHeight="1" x14ac:dyDescent="0.25">
      <c r="A507" s="1846"/>
      <c r="B507" s="2443" t="s">
        <v>7008</v>
      </c>
      <c r="C507" s="2443"/>
      <c r="D507" s="2443"/>
      <c r="E507" s="2443"/>
      <c r="F507" s="2443" t="s">
        <v>7449</v>
      </c>
      <c r="G507" s="2443"/>
      <c r="H507" s="2443"/>
      <c r="I507" s="2443"/>
      <c r="J507" s="2443" t="s">
        <v>588</v>
      </c>
      <c r="K507" s="2443"/>
      <c r="L507" s="2443"/>
      <c r="M507" s="2443"/>
      <c r="N507" s="2443"/>
      <c r="O507" s="2443"/>
      <c r="P507" s="2443"/>
    </row>
    <row r="508" spans="1:16" x14ac:dyDescent="0.25">
      <c r="A508" s="1846"/>
      <c r="B508" s="2443" t="s">
        <v>7007</v>
      </c>
      <c r="C508" s="2443"/>
      <c r="D508" s="2443"/>
      <c r="E508" s="2443"/>
      <c r="F508" s="2443" t="s">
        <v>7450</v>
      </c>
      <c r="G508" s="2443"/>
      <c r="H508" s="2443"/>
      <c r="I508" s="2443"/>
      <c r="J508" s="2443" t="s">
        <v>588</v>
      </c>
      <c r="K508" s="2443"/>
      <c r="L508" s="2443"/>
      <c r="M508" s="2443"/>
      <c r="N508" s="2443"/>
      <c r="O508" s="2443"/>
      <c r="P508" s="2443"/>
    </row>
    <row r="509" spans="1:16" ht="27.2" customHeight="1" x14ac:dyDescent="0.25">
      <c r="A509" s="1846"/>
      <c r="B509" s="2443" t="s">
        <v>7005</v>
      </c>
      <c r="C509" s="2443"/>
      <c r="D509" s="2443"/>
      <c r="E509" s="2443"/>
      <c r="F509" s="2443" t="s">
        <v>7449</v>
      </c>
      <c r="G509" s="2443"/>
      <c r="H509" s="2443"/>
      <c r="I509" s="2443"/>
      <c r="J509" s="2443" t="s">
        <v>588</v>
      </c>
      <c r="K509" s="2443"/>
      <c r="L509" s="2443"/>
      <c r="M509" s="2443"/>
      <c r="N509" s="2443"/>
      <c r="O509" s="2443"/>
      <c r="P509" s="2443"/>
    </row>
    <row r="510" spans="1:16" x14ac:dyDescent="0.25">
      <c r="A510" s="1846"/>
      <c r="B510" s="2443" t="s">
        <v>7003</v>
      </c>
      <c r="C510" s="2443"/>
      <c r="D510" s="2443"/>
      <c r="E510" s="2443"/>
      <c r="F510" s="2443" t="s">
        <v>7448</v>
      </c>
      <c r="G510" s="2443"/>
      <c r="H510" s="2443"/>
      <c r="I510" s="2443"/>
      <c r="J510" s="2443" t="s">
        <v>588</v>
      </c>
      <c r="K510" s="2443"/>
      <c r="L510" s="2443"/>
      <c r="M510" s="2443"/>
      <c r="N510" s="2443"/>
      <c r="O510" s="2443"/>
      <c r="P510" s="2443"/>
    </row>
    <row r="511" spans="1:16" ht="27.2" customHeight="1" x14ac:dyDescent="0.25">
      <c r="A511" s="1846"/>
      <c r="B511" s="2443" t="s">
        <v>7001</v>
      </c>
      <c r="C511" s="2443"/>
      <c r="D511" s="2443"/>
      <c r="E511" s="2443"/>
      <c r="F511" s="2443" t="s">
        <v>7447</v>
      </c>
      <c r="G511" s="2443"/>
      <c r="H511" s="2443"/>
      <c r="I511" s="2443"/>
      <c r="J511" s="2443" t="s">
        <v>588</v>
      </c>
      <c r="K511" s="2443"/>
      <c r="L511" s="2443"/>
      <c r="M511" s="2443"/>
      <c r="N511" s="2443"/>
      <c r="O511" s="2443"/>
      <c r="P511" s="2443"/>
    </row>
    <row r="512" spans="1:16" x14ac:dyDescent="0.25">
      <c r="A512" s="1846"/>
      <c r="B512" s="2443" t="s">
        <v>6999</v>
      </c>
      <c r="C512" s="2443"/>
      <c r="D512" s="2443"/>
      <c r="E512" s="2443"/>
      <c r="F512" s="2443" t="s">
        <v>7446</v>
      </c>
      <c r="G512" s="2443"/>
      <c r="H512" s="2443"/>
      <c r="I512" s="2443"/>
      <c r="J512" s="2443" t="s">
        <v>588</v>
      </c>
      <c r="K512" s="2443"/>
      <c r="L512" s="2443"/>
      <c r="M512" s="2443"/>
      <c r="N512" s="2443"/>
      <c r="O512" s="2443"/>
      <c r="P512" s="2443"/>
    </row>
    <row r="513" spans="1:16" x14ac:dyDescent="0.25">
      <c r="A513" s="1846"/>
      <c r="B513" s="2443" t="s">
        <v>6205</v>
      </c>
      <c r="C513" s="2443"/>
      <c r="D513" s="2443"/>
      <c r="E513" s="2443"/>
      <c r="F513" s="2443" t="s">
        <v>7445</v>
      </c>
      <c r="G513" s="2443"/>
      <c r="H513" s="2443"/>
      <c r="I513" s="2443"/>
      <c r="J513" s="2443" t="s">
        <v>588</v>
      </c>
      <c r="K513" s="2443"/>
      <c r="L513" s="2443"/>
      <c r="M513" s="2443"/>
      <c r="N513" s="2443"/>
      <c r="O513" s="2443"/>
      <c r="P513" s="2443"/>
    </row>
    <row r="514" spans="1:16" x14ac:dyDescent="0.25">
      <c r="A514" s="1846"/>
      <c r="B514" s="2443" t="s">
        <v>6217</v>
      </c>
      <c r="C514" s="2443"/>
      <c r="D514" s="2443"/>
      <c r="E514" s="2443"/>
      <c r="F514" s="2443" t="s">
        <v>7444</v>
      </c>
      <c r="G514" s="2443"/>
      <c r="H514" s="2443"/>
      <c r="I514" s="2443"/>
      <c r="J514" s="2443" t="s">
        <v>588</v>
      </c>
      <c r="K514" s="2443"/>
      <c r="L514" s="2443"/>
      <c r="M514" s="2443"/>
      <c r="N514" s="2443"/>
      <c r="O514" s="2443"/>
      <c r="P514" s="2443"/>
    </row>
    <row r="515" spans="1:16" ht="176.85" customHeight="1" x14ac:dyDescent="0.25">
      <c r="A515" s="1844" t="s">
        <v>6990</v>
      </c>
      <c r="B515" s="2431" t="s">
        <v>6989</v>
      </c>
      <c r="C515" s="2432"/>
      <c r="D515" s="2432"/>
      <c r="E515" s="2432"/>
      <c r="F515" s="2432" t="s">
        <v>6988</v>
      </c>
      <c r="G515" s="2432"/>
      <c r="H515" s="2432"/>
      <c r="I515" s="2432"/>
      <c r="J515" s="2432" t="s">
        <v>7443</v>
      </c>
      <c r="K515" s="2432"/>
      <c r="L515" s="2432"/>
      <c r="M515" s="2558">
        <f>ROUND((2772000 + 222492 * 0.864) * 1 * 1.27 * 0.6 * (0.05) * 1.3, 0)</f>
        <v>146818</v>
      </c>
      <c r="N515" s="2432"/>
      <c r="O515" s="2432" t="s">
        <v>7442</v>
      </c>
      <c r="P515" s="2432"/>
    </row>
    <row r="516" spans="1:16" x14ac:dyDescent="0.25">
      <c r="A516" s="1845"/>
      <c r="B516" s="2442" t="s">
        <v>4168</v>
      </c>
      <c r="C516" s="2442"/>
      <c r="D516" s="2442"/>
      <c r="E516" s="2442"/>
      <c r="F516" s="2442" t="s">
        <v>588</v>
      </c>
      <c r="G516" s="2442"/>
      <c r="H516" s="2442"/>
      <c r="I516" s="2442"/>
      <c r="J516" s="2442" t="s">
        <v>588</v>
      </c>
      <c r="K516" s="2442"/>
      <c r="L516" s="2442"/>
      <c r="M516" s="2442"/>
      <c r="N516" s="2442"/>
      <c r="O516" s="2442"/>
      <c r="P516" s="2442"/>
    </row>
    <row r="517" spans="1:16" x14ac:dyDescent="0.25">
      <c r="A517" s="1846"/>
      <c r="B517" s="2443" t="s">
        <v>7321</v>
      </c>
      <c r="C517" s="2443"/>
      <c r="D517" s="2443"/>
      <c r="E517" s="2443"/>
      <c r="F517" s="2443" t="s">
        <v>7320</v>
      </c>
      <c r="G517" s="2443"/>
      <c r="H517" s="2443"/>
      <c r="I517" s="2443"/>
      <c r="J517" s="2443" t="s">
        <v>588</v>
      </c>
      <c r="K517" s="2443"/>
      <c r="L517" s="2443"/>
      <c r="M517" s="2443"/>
      <c r="N517" s="2443"/>
      <c r="O517" s="2443"/>
      <c r="P517" s="2443"/>
    </row>
    <row r="518" spans="1:16" ht="40.9" customHeight="1" x14ac:dyDescent="0.25">
      <c r="A518" s="1846"/>
      <c r="B518" s="2443" t="s">
        <v>6970</v>
      </c>
      <c r="C518" s="2443"/>
      <c r="D518" s="2443"/>
      <c r="E518" s="2443"/>
      <c r="F518" s="2443" t="s">
        <v>6969</v>
      </c>
      <c r="G518" s="2443"/>
      <c r="H518" s="2443"/>
      <c r="I518" s="2443"/>
      <c r="J518" s="2443" t="s">
        <v>588</v>
      </c>
      <c r="K518" s="2443"/>
      <c r="L518" s="2443"/>
      <c r="M518" s="2443"/>
      <c r="N518" s="2443"/>
      <c r="O518" s="2443"/>
      <c r="P518" s="2443"/>
    </row>
    <row r="519" spans="1:16" ht="81.599999999999994" customHeight="1" x14ac:dyDescent="0.25">
      <c r="A519" s="1846"/>
      <c r="B519" s="2443" t="s">
        <v>6968</v>
      </c>
      <c r="C519" s="2443"/>
      <c r="D519" s="2443"/>
      <c r="E519" s="2443"/>
      <c r="F519" s="2443" t="s">
        <v>6967</v>
      </c>
      <c r="G519" s="2443"/>
      <c r="H519" s="2443"/>
      <c r="I519" s="2443"/>
      <c r="J519" s="2443" t="s">
        <v>588</v>
      </c>
      <c r="K519" s="2443"/>
      <c r="L519" s="2443"/>
      <c r="M519" s="2443"/>
      <c r="N519" s="2443"/>
      <c r="O519" s="2443"/>
      <c r="P519" s="2443"/>
    </row>
    <row r="520" spans="1:16" ht="149.65" customHeight="1" x14ac:dyDescent="0.25">
      <c r="A520" s="1846"/>
      <c r="B520" s="2443" t="s">
        <v>6148</v>
      </c>
      <c r="C520" s="2443"/>
      <c r="D520" s="2443"/>
      <c r="E520" s="2443"/>
      <c r="F520" s="2443" t="s">
        <v>7430</v>
      </c>
      <c r="G520" s="2443"/>
      <c r="H520" s="2443"/>
      <c r="I520" s="2443"/>
      <c r="J520" s="2443" t="s">
        <v>588</v>
      </c>
      <c r="K520" s="2443"/>
      <c r="L520" s="2443"/>
      <c r="M520" s="2443"/>
      <c r="N520" s="2443"/>
      <c r="O520" s="2443"/>
      <c r="P520" s="2443"/>
    </row>
    <row r="521" spans="1:16" ht="95.25" customHeight="1" x14ac:dyDescent="0.25">
      <c r="A521" s="1845"/>
      <c r="B521" s="2442" t="s">
        <v>6150</v>
      </c>
      <c r="C521" s="2442"/>
      <c r="D521" s="2442"/>
      <c r="E521" s="2442"/>
      <c r="F521" s="2442" t="s">
        <v>588</v>
      </c>
      <c r="G521" s="2442"/>
      <c r="H521" s="2442"/>
      <c r="I521" s="2442"/>
      <c r="J521" s="2442" t="s">
        <v>7429</v>
      </c>
      <c r="K521" s="2442"/>
      <c r="L521" s="2442"/>
      <c r="M521" s="2442"/>
      <c r="N521" s="2442"/>
      <c r="O521" s="2442"/>
      <c r="P521" s="2442"/>
    </row>
    <row r="522" spans="1:16" x14ac:dyDescent="0.25">
      <c r="A522" s="1846"/>
      <c r="B522" s="2443" t="s">
        <v>7346</v>
      </c>
      <c r="C522" s="2443"/>
      <c r="D522" s="2443"/>
      <c r="E522" s="2443"/>
      <c r="F522" s="2443" t="s">
        <v>7441</v>
      </c>
      <c r="G522" s="2443"/>
      <c r="H522" s="2443"/>
      <c r="I522" s="2443"/>
      <c r="J522" s="2443" t="s">
        <v>588</v>
      </c>
      <c r="K522" s="2443"/>
      <c r="L522" s="2443"/>
      <c r="M522" s="2443"/>
      <c r="N522" s="2443"/>
      <c r="O522" s="2443"/>
      <c r="P522" s="2443"/>
    </row>
    <row r="523" spans="1:16" x14ac:dyDescent="0.25">
      <c r="A523" s="1846"/>
      <c r="B523" s="2443" t="s">
        <v>7427</v>
      </c>
      <c r="C523" s="2443"/>
      <c r="D523" s="2443"/>
      <c r="E523" s="2443"/>
      <c r="F523" s="2443" t="s">
        <v>7440</v>
      </c>
      <c r="G523" s="2443"/>
      <c r="H523" s="2443"/>
      <c r="I523" s="2443"/>
      <c r="J523" s="2443" t="s">
        <v>588</v>
      </c>
      <c r="K523" s="2443"/>
      <c r="L523" s="2443"/>
      <c r="M523" s="2443"/>
      <c r="N523" s="2443"/>
      <c r="O523" s="2443"/>
      <c r="P523" s="2443"/>
    </row>
    <row r="524" spans="1:16" x14ac:dyDescent="0.25">
      <c r="A524" s="1846"/>
      <c r="B524" s="2443" t="s">
        <v>7425</v>
      </c>
      <c r="C524" s="2443"/>
      <c r="D524" s="2443"/>
      <c r="E524" s="2443"/>
      <c r="F524" s="2443" t="s">
        <v>7439</v>
      </c>
      <c r="G524" s="2443"/>
      <c r="H524" s="2443"/>
      <c r="I524" s="2443"/>
      <c r="J524" s="2443" t="s">
        <v>588</v>
      </c>
      <c r="K524" s="2443"/>
      <c r="L524" s="2443"/>
      <c r="M524" s="2443"/>
      <c r="N524" s="2443"/>
      <c r="O524" s="2443"/>
      <c r="P524" s="2443"/>
    </row>
    <row r="525" spans="1:16" ht="27.2" customHeight="1" x14ac:dyDescent="0.25">
      <c r="A525" s="1846"/>
      <c r="B525" s="2443" t="s">
        <v>7423</v>
      </c>
      <c r="C525" s="2443"/>
      <c r="D525" s="2443"/>
      <c r="E525" s="2443"/>
      <c r="F525" s="2443" t="s">
        <v>7438</v>
      </c>
      <c r="G525" s="2443"/>
      <c r="H525" s="2443"/>
      <c r="I525" s="2443"/>
      <c r="J525" s="2443" t="s">
        <v>588</v>
      </c>
      <c r="K525" s="2443"/>
      <c r="L525" s="2443"/>
      <c r="M525" s="2443"/>
      <c r="N525" s="2443"/>
      <c r="O525" s="2443"/>
      <c r="P525" s="2443"/>
    </row>
    <row r="526" spans="1:16" ht="27.2" customHeight="1" x14ac:dyDescent="0.25">
      <c r="A526" s="1846"/>
      <c r="B526" s="2443" t="s">
        <v>6868</v>
      </c>
      <c r="C526" s="2443"/>
      <c r="D526" s="2443"/>
      <c r="E526" s="2443"/>
      <c r="F526" s="2443" t="s">
        <v>7437</v>
      </c>
      <c r="G526" s="2443"/>
      <c r="H526" s="2443"/>
      <c r="I526" s="2443"/>
      <c r="J526" s="2443" t="s">
        <v>588</v>
      </c>
      <c r="K526" s="2443"/>
      <c r="L526" s="2443"/>
      <c r="M526" s="2443"/>
      <c r="N526" s="2443"/>
      <c r="O526" s="2443"/>
      <c r="P526" s="2443"/>
    </row>
    <row r="527" spans="1:16" ht="27.2" customHeight="1" x14ac:dyDescent="0.25">
      <c r="A527" s="1846"/>
      <c r="B527" s="2443" t="s">
        <v>7421</v>
      </c>
      <c r="C527" s="2443"/>
      <c r="D527" s="2443"/>
      <c r="E527" s="2443"/>
      <c r="F527" s="2443" t="s">
        <v>7437</v>
      </c>
      <c r="G527" s="2443"/>
      <c r="H527" s="2443"/>
      <c r="I527" s="2443"/>
      <c r="J527" s="2443" t="s">
        <v>588</v>
      </c>
      <c r="K527" s="2443"/>
      <c r="L527" s="2443"/>
      <c r="M527" s="2443"/>
      <c r="N527" s="2443"/>
      <c r="O527" s="2443"/>
      <c r="P527" s="2443"/>
    </row>
    <row r="528" spans="1:16" ht="27.2" customHeight="1" x14ac:dyDescent="0.25">
      <c r="A528" s="1846"/>
      <c r="B528" s="2443" t="s">
        <v>7420</v>
      </c>
      <c r="C528" s="2443"/>
      <c r="D528" s="2443"/>
      <c r="E528" s="2443"/>
      <c r="F528" s="2443" t="s">
        <v>7437</v>
      </c>
      <c r="G528" s="2443"/>
      <c r="H528" s="2443"/>
      <c r="I528" s="2443"/>
      <c r="J528" s="2443" t="s">
        <v>588</v>
      </c>
      <c r="K528" s="2443"/>
      <c r="L528" s="2443"/>
      <c r="M528" s="2443"/>
      <c r="N528" s="2443"/>
      <c r="O528" s="2443"/>
      <c r="P528" s="2443"/>
    </row>
    <row r="529" spans="1:16" ht="27.2" customHeight="1" x14ac:dyDescent="0.25">
      <c r="A529" s="1846"/>
      <c r="B529" s="2443" t="s">
        <v>7419</v>
      </c>
      <c r="C529" s="2443"/>
      <c r="D529" s="2443"/>
      <c r="E529" s="2443"/>
      <c r="F529" s="2443" t="s">
        <v>7437</v>
      </c>
      <c r="G529" s="2443"/>
      <c r="H529" s="2443"/>
      <c r="I529" s="2443"/>
      <c r="J529" s="2443" t="s">
        <v>588</v>
      </c>
      <c r="K529" s="2443"/>
      <c r="L529" s="2443"/>
      <c r="M529" s="2443"/>
      <c r="N529" s="2443"/>
      <c r="O529" s="2443"/>
      <c r="P529" s="2443"/>
    </row>
    <row r="530" spans="1:16" ht="27.2" customHeight="1" x14ac:dyDescent="0.25">
      <c r="A530" s="1846"/>
      <c r="B530" s="2443" t="s">
        <v>7417</v>
      </c>
      <c r="C530" s="2443"/>
      <c r="D530" s="2443"/>
      <c r="E530" s="2443"/>
      <c r="F530" s="2443" t="s">
        <v>7436</v>
      </c>
      <c r="G530" s="2443"/>
      <c r="H530" s="2443"/>
      <c r="I530" s="2443"/>
      <c r="J530" s="2443" t="s">
        <v>588</v>
      </c>
      <c r="K530" s="2443"/>
      <c r="L530" s="2443"/>
      <c r="M530" s="2443"/>
      <c r="N530" s="2443"/>
      <c r="O530" s="2443"/>
      <c r="P530" s="2443"/>
    </row>
    <row r="531" spans="1:16" ht="27.2" customHeight="1" x14ac:dyDescent="0.25">
      <c r="A531" s="1846"/>
      <c r="B531" s="2443" t="s">
        <v>7415</v>
      </c>
      <c r="C531" s="2443"/>
      <c r="D531" s="2443"/>
      <c r="E531" s="2443"/>
      <c r="F531" s="2443" t="s">
        <v>7435</v>
      </c>
      <c r="G531" s="2443"/>
      <c r="H531" s="2443"/>
      <c r="I531" s="2443"/>
      <c r="J531" s="2443" t="s">
        <v>588</v>
      </c>
      <c r="K531" s="2443"/>
      <c r="L531" s="2443"/>
      <c r="M531" s="2443"/>
      <c r="N531" s="2443"/>
      <c r="O531" s="2443"/>
      <c r="P531" s="2443"/>
    </row>
    <row r="532" spans="1:16" x14ac:dyDescent="0.25">
      <c r="A532" s="1846"/>
      <c r="B532" s="2443" t="s">
        <v>7413</v>
      </c>
      <c r="C532" s="2443"/>
      <c r="D532" s="2443"/>
      <c r="E532" s="2443"/>
      <c r="F532" s="2443" t="s">
        <v>7434</v>
      </c>
      <c r="G532" s="2443"/>
      <c r="H532" s="2443"/>
      <c r="I532" s="2443"/>
      <c r="J532" s="2443" t="s">
        <v>588</v>
      </c>
      <c r="K532" s="2443"/>
      <c r="L532" s="2443"/>
      <c r="M532" s="2443"/>
      <c r="N532" s="2443"/>
      <c r="O532" s="2443"/>
      <c r="P532" s="2443"/>
    </row>
    <row r="533" spans="1:16" ht="27.2" customHeight="1" x14ac:dyDescent="0.25">
      <c r="A533" s="1846"/>
      <c r="B533" s="2443" t="s">
        <v>7411</v>
      </c>
      <c r="C533" s="2443"/>
      <c r="D533" s="2443"/>
      <c r="E533" s="2443"/>
      <c r="F533" s="2443" t="s">
        <v>7433</v>
      </c>
      <c r="G533" s="2443"/>
      <c r="H533" s="2443"/>
      <c r="I533" s="2443"/>
      <c r="J533" s="2443" t="s">
        <v>588</v>
      </c>
      <c r="K533" s="2443"/>
      <c r="L533" s="2443"/>
      <c r="M533" s="2443"/>
      <c r="N533" s="2443"/>
      <c r="O533" s="2443"/>
      <c r="P533" s="2443"/>
    </row>
    <row r="534" spans="1:16" ht="190.35" customHeight="1" x14ac:dyDescent="0.25">
      <c r="A534" s="1844" t="s">
        <v>6974</v>
      </c>
      <c r="B534" s="2431" t="s">
        <v>6973</v>
      </c>
      <c r="C534" s="2432"/>
      <c r="D534" s="2432"/>
      <c r="E534" s="2432"/>
      <c r="F534" s="2432" t="s">
        <v>6972</v>
      </c>
      <c r="G534" s="2432"/>
      <c r="H534" s="2432"/>
      <c r="I534" s="2432"/>
      <c r="J534" s="2432" t="s">
        <v>7432</v>
      </c>
      <c r="K534" s="2432"/>
      <c r="L534" s="2432"/>
      <c r="M534" s="2558">
        <f>ROUND((824900 + 1334 * (0.4 * 50 + 0.6 * 36)) * 1 * 1.27 * 0.6 * (0.05) * 1.3, 0)</f>
        <v>43606</v>
      </c>
      <c r="N534" s="2432"/>
      <c r="O534" s="2432" t="s">
        <v>7431</v>
      </c>
      <c r="P534" s="2432"/>
    </row>
    <row r="535" spans="1:16" x14ac:dyDescent="0.25">
      <c r="A535" s="1845"/>
      <c r="B535" s="2442" t="s">
        <v>4168</v>
      </c>
      <c r="C535" s="2442"/>
      <c r="D535" s="2442"/>
      <c r="E535" s="2442"/>
      <c r="F535" s="2442" t="s">
        <v>588</v>
      </c>
      <c r="G535" s="2442"/>
      <c r="H535" s="2442"/>
      <c r="I535" s="2442"/>
      <c r="J535" s="2442" t="s">
        <v>588</v>
      </c>
      <c r="K535" s="2442"/>
      <c r="L535" s="2442"/>
      <c r="M535" s="2442"/>
      <c r="N535" s="2442"/>
      <c r="O535" s="2442"/>
      <c r="P535" s="2442"/>
    </row>
    <row r="536" spans="1:16" x14ac:dyDescent="0.25">
      <c r="A536" s="1846"/>
      <c r="B536" s="2443" t="s">
        <v>7321</v>
      </c>
      <c r="C536" s="2443"/>
      <c r="D536" s="2443"/>
      <c r="E536" s="2443"/>
      <c r="F536" s="2443" t="s">
        <v>7320</v>
      </c>
      <c r="G536" s="2443"/>
      <c r="H536" s="2443"/>
      <c r="I536" s="2443"/>
      <c r="J536" s="2443" t="s">
        <v>588</v>
      </c>
      <c r="K536" s="2443"/>
      <c r="L536" s="2443"/>
      <c r="M536" s="2443"/>
      <c r="N536" s="2443"/>
      <c r="O536" s="2443"/>
      <c r="P536" s="2443"/>
    </row>
    <row r="537" spans="1:16" ht="40.9" customHeight="1" x14ac:dyDescent="0.25">
      <c r="A537" s="1846"/>
      <c r="B537" s="2443" t="s">
        <v>6970</v>
      </c>
      <c r="C537" s="2443"/>
      <c r="D537" s="2443"/>
      <c r="E537" s="2443"/>
      <c r="F537" s="2443" t="s">
        <v>6969</v>
      </c>
      <c r="G537" s="2443"/>
      <c r="H537" s="2443"/>
      <c r="I537" s="2443"/>
      <c r="J537" s="2443" t="s">
        <v>588</v>
      </c>
      <c r="K537" s="2443"/>
      <c r="L537" s="2443"/>
      <c r="M537" s="2443"/>
      <c r="N537" s="2443"/>
      <c r="O537" s="2443"/>
      <c r="P537" s="2443"/>
    </row>
    <row r="538" spans="1:16" ht="81.599999999999994" customHeight="1" x14ac:dyDescent="0.25">
      <c r="A538" s="1846"/>
      <c r="B538" s="2443" t="s">
        <v>6968</v>
      </c>
      <c r="C538" s="2443"/>
      <c r="D538" s="2443"/>
      <c r="E538" s="2443"/>
      <c r="F538" s="2443" t="s">
        <v>6967</v>
      </c>
      <c r="G538" s="2443"/>
      <c r="H538" s="2443"/>
      <c r="I538" s="2443"/>
      <c r="J538" s="2443" t="s">
        <v>588</v>
      </c>
      <c r="K538" s="2443"/>
      <c r="L538" s="2443"/>
      <c r="M538" s="2443"/>
      <c r="N538" s="2443"/>
      <c r="O538" s="2443"/>
      <c r="P538" s="2443"/>
    </row>
    <row r="539" spans="1:16" ht="149.65" customHeight="1" x14ac:dyDescent="0.25">
      <c r="A539" s="1846"/>
      <c r="B539" s="2443" t="s">
        <v>6148</v>
      </c>
      <c r="C539" s="2443"/>
      <c r="D539" s="2443"/>
      <c r="E539" s="2443"/>
      <c r="F539" s="2443" t="s">
        <v>7430</v>
      </c>
      <c r="G539" s="2443"/>
      <c r="H539" s="2443"/>
      <c r="I539" s="2443"/>
      <c r="J539" s="2443" t="s">
        <v>588</v>
      </c>
      <c r="K539" s="2443"/>
      <c r="L539" s="2443"/>
      <c r="M539" s="2443"/>
      <c r="N539" s="2443"/>
      <c r="O539" s="2443"/>
      <c r="P539" s="2443"/>
    </row>
    <row r="540" spans="1:16" ht="95.25" customHeight="1" x14ac:dyDescent="0.25">
      <c r="A540" s="1845"/>
      <c r="B540" s="2442" t="s">
        <v>6150</v>
      </c>
      <c r="C540" s="2442"/>
      <c r="D540" s="2442"/>
      <c r="E540" s="2442"/>
      <c r="F540" s="2442" t="s">
        <v>588</v>
      </c>
      <c r="G540" s="2442"/>
      <c r="H540" s="2442"/>
      <c r="I540" s="2442"/>
      <c r="J540" s="2442" t="s">
        <v>7429</v>
      </c>
      <c r="K540" s="2442"/>
      <c r="L540" s="2442"/>
      <c r="M540" s="2442"/>
      <c r="N540" s="2442"/>
      <c r="O540" s="2442"/>
      <c r="P540" s="2442"/>
    </row>
    <row r="541" spans="1:16" x14ac:dyDescent="0.25">
      <c r="A541" s="1846"/>
      <c r="B541" s="2443" t="s">
        <v>7346</v>
      </c>
      <c r="C541" s="2443"/>
      <c r="D541" s="2443"/>
      <c r="E541" s="2443"/>
      <c r="F541" s="2443" t="s">
        <v>7428</v>
      </c>
      <c r="G541" s="2443"/>
      <c r="H541" s="2443"/>
      <c r="I541" s="2443"/>
      <c r="J541" s="2443" t="s">
        <v>588</v>
      </c>
      <c r="K541" s="2443"/>
      <c r="L541" s="2443"/>
      <c r="M541" s="2443"/>
      <c r="N541" s="2443"/>
      <c r="O541" s="2443"/>
      <c r="P541" s="2443"/>
    </row>
    <row r="542" spans="1:16" x14ac:dyDescent="0.25">
      <c r="A542" s="1846"/>
      <c r="B542" s="2443" t="s">
        <v>7427</v>
      </c>
      <c r="C542" s="2443"/>
      <c r="D542" s="2443"/>
      <c r="E542" s="2443"/>
      <c r="F542" s="2443" t="s">
        <v>7426</v>
      </c>
      <c r="G542" s="2443"/>
      <c r="H542" s="2443"/>
      <c r="I542" s="2443"/>
      <c r="J542" s="2443" t="s">
        <v>588</v>
      </c>
      <c r="K542" s="2443"/>
      <c r="L542" s="2443"/>
      <c r="M542" s="2443"/>
      <c r="N542" s="2443"/>
      <c r="O542" s="2443"/>
      <c r="P542" s="2443"/>
    </row>
    <row r="543" spans="1:16" x14ac:dyDescent="0.25">
      <c r="A543" s="1846"/>
      <c r="B543" s="2443" t="s">
        <v>7425</v>
      </c>
      <c r="C543" s="2443"/>
      <c r="D543" s="2443"/>
      <c r="E543" s="2443"/>
      <c r="F543" s="2443" t="s">
        <v>7424</v>
      </c>
      <c r="G543" s="2443"/>
      <c r="H543" s="2443"/>
      <c r="I543" s="2443"/>
      <c r="J543" s="2443" t="s">
        <v>588</v>
      </c>
      <c r="K543" s="2443"/>
      <c r="L543" s="2443"/>
      <c r="M543" s="2443"/>
      <c r="N543" s="2443"/>
      <c r="O543" s="2443"/>
      <c r="P543" s="2443"/>
    </row>
    <row r="544" spans="1:16" ht="27.2" customHeight="1" x14ac:dyDescent="0.25">
      <c r="A544" s="1846"/>
      <c r="B544" s="2443" t="s">
        <v>7423</v>
      </c>
      <c r="C544" s="2443"/>
      <c r="D544" s="2443"/>
      <c r="E544" s="2443"/>
      <c r="F544" s="2443" t="s">
        <v>7422</v>
      </c>
      <c r="G544" s="2443"/>
      <c r="H544" s="2443"/>
      <c r="I544" s="2443"/>
      <c r="J544" s="2443" t="s">
        <v>588</v>
      </c>
      <c r="K544" s="2443"/>
      <c r="L544" s="2443"/>
      <c r="M544" s="2443"/>
      <c r="N544" s="2443"/>
      <c r="O544" s="2443"/>
      <c r="P544" s="2443"/>
    </row>
    <row r="545" spans="1:16" ht="27.2" customHeight="1" x14ac:dyDescent="0.25">
      <c r="A545" s="1846"/>
      <c r="B545" s="2443" t="s">
        <v>6868</v>
      </c>
      <c r="C545" s="2443"/>
      <c r="D545" s="2443"/>
      <c r="E545" s="2443"/>
      <c r="F545" s="2443" t="s">
        <v>7418</v>
      </c>
      <c r="G545" s="2443"/>
      <c r="H545" s="2443"/>
      <c r="I545" s="2443"/>
      <c r="J545" s="2443" t="s">
        <v>588</v>
      </c>
      <c r="K545" s="2443"/>
      <c r="L545" s="2443"/>
      <c r="M545" s="2443"/>
      <c r="N545" s="2443"/>
      <c r="O545" s="2443"/>
      <c r="P545" s="2443"/>
    </row>
    <row r="546" spans="1:16" ht="27.2" customHeight="1" x14ac:dyDescent="0.25">
      <c r="A546" s="1846"/>
      <c r="B546" s="2443" t="s">
        <v>7421</v>
      </c>
      <c r="C546" s="2443"/>
      <c r="D546" s="2443"/>
      <c r="E546" s="2443"/>
      <c r="F546" s="2443" t="s">
        <v>7418</v>
      </c>
      <c r="G546" s="2443"/>
      <c r="H546" s="2443"/>
      <c r="I546" s="2443"/>
      <c r="J546" s="2443" t="s">
        <v>588</v>
      </c>
      <c r="K546" s="2443"/>
      <c r="L546" s="2443"/>
      <c r="M546" s="2443"/>
      <c r="N546" s="2443"/>
      <c r="O546" s="2443"/>
      <c r="P546" s="2443"/>
    </row>
    <row r="547" spans="1:16" ht="27.2" customHeight="1" x14ac:dyDescent="0.25">
      <c r="A547" s="1846"/>
      <c r="B547" s="2443" t="s">
        <v>7420</v>
      </c>
      <c r="C547" s="2443"/>
      <c r="D547" s="2443"/>
      <c r="E547" s="2443"/>
      <c r="F547" s="2443" t="s">
        <v>7418</v>
      </c>
      <c r="G547" s="2443"/>
      <c r="H547" s="2443"/>
      <c r="I547" s="2443"/>
      <c r="J547" s="2443" t="s">
        <v>588</v>
      </c>
      <c r="K547" s="2443"/>
      <c r="L547" s="2443"/>
      <c r="M547" s="2443"/>
      <c r="N547" s="2443"/>
      <c r="O547" s="2443"/>
      <c r="P547" s="2443"/>
    </row>
    <row r="548" spans="1:16" ht="27.2" customHeight="1" x14ac:dyDescent="0.25">
      <c r="A548" s="1846"/>
      <c r="B548" s="2443" t="s">
        <v>7419</v>
      </c>
      <c r="C548" s="2443"/>
      <c r="D548" s="2443"/>
      <c r="E548" s="2443"/>
      <c r="F548" s="2443" t="s">
        <v>7418</v>
      </c>
      <c r="G548" s="2443"/>
      <c r="H548" s="2443"/>
      <c r="I548" s="2443"/>
      <c r="J548" s="2443" t="s">
        <v>588</v>
      </c>
      <c r="K548" s="2443"/>
      <c r="L548" s="2443"/>
      <c r="M548" s="2443"/>
      <c r="N548" s="2443"/>
      <c r="O548" s="2443"/>
      <c r="P548" s="2443"/>
    </row>
    <row r="549" spans="1:16" ht="27.2" customHeight="1" x14ac:dyDescent="0.25">
      <c r="A549" s="1846"/>
      <c r="B549" s="2443" t="s">
        <v>7417</v>
      </c>
      <c r="C549" s="2443"/>
      <c r="D549" s="2443"/>
      <c r="E549" s="2443"/>
      <c r="F549" s="2443" t="s">
        <v>7416</v>
      </c>
      <c r="G549" s="2443"/>
      <c r="H549" s="2443"/>
      <c r="I549" s="2443"/>
      <c r="J549" s="2443" t="s">
        <v>588</v>
      </c>
      <c r="K549" s="2443"/>
      <c r="L549" s="2443"/>
      <c r="M549" s="2443"/>
      <c r="N549" s="2443"/>
      <c r="O549" s="2443"/>
      <c r="P549" s="2443"/>
    </row>
    <row r="550" spans="1:16" ht="27.2" customHeight="1" x14ac:dyDescent="0.25">
      <c r="A550" s="1846"/>
      <c r="B550" s="2443" t="s">
        <v>7415</v>
      </c>
      <c r="C550" s="2443"/>
      <c r="D550" s="2443"/>
      <c r="E550" s="2443"/>
      <c r="F550" s="2443" t="s">
        <v>7414</v>
      </c>
      <c r="G550" s="2443"/>
      <c r="H550" s="2443"/>
      <c r="I550" s="2443"/>
      <c r="J550" s="2443" t="s">
        <v>588</v>
      </c>
      <c r="K550" s="2443"/>
      <c r="L550" s="2443"/>
      <c r="M550" s="2443"/>
      <c r="N550" s="2443"/>
      <c r="O550" s="2443"/>
      <c r="P550" s="2443"/>
    </row>
    <row r="551" spans="1:16" x14ac:dyDescent="0.25">
      <c r="A551" s="1846"/>
      <c r="B551" s="2443" t="s">
        <v>7413</v>
      </c>
      <c r="C551" s="2443"/>
      <c r="D551" s="2443"/>
      <c r="E551" s="2443"/>
      <c r="F551" s="2443" t="s">
        <v>7412</v>
      </c>
      <c r="G551" s="2443"/>
      <c r="H551" s="2443"/>
      <c r="I551" s="2443"/>
      <c r="J551" s="2443" t="s">
        <v>588</v>
      </c>
      <c r="K551" s="2443"/>
      <c r="L551" s="2443"/>
      <c r="M551" s="2443"/>
      <c r="N551" s="2443"/>
      <c r="O551" s="2443"/>
      <c r="P551" s="2443"/>
    </row>
    <row r="552" spans="1:16" ht="27.2" customHeight="1" x14ac:dyDescent="0.25">
      <c r="A552" s="1846"/>
      <c r="B552" s="2443" t="s">
        <v>7411</v>
      </c>
      <c r="C552" s="2443"/>
      <c r="D552" s="2443"/>
      <c r="E552" s="2443"/>
      <c r="F552" s="2443" t="s">
        <v>7410</v>
      </c>
      <c r="G552" s="2443"/>
      <c r="H552" s="2443"/>
      <c r="I552" s="2443"/>
      <c r="J552" s="2443" t="s">
        <v>588</v>
      </c>
      <c r="K552" s="2443"/>
      <c r="L552" s="2443"/>
      <c r="M552" s="2443"/>
      <c r="N552" s="2443"/>
      <c r="O552" s="2443"/>
      <c r="P552" s="2443"/>
    </row>
    <row r="553" spans="1:16" ht="27.2" customHeight="1" x14ac:dyDescent="0.25">
      <c r="A553" s="1848" t="s">
        <v>6940</v>
      </c>
      <c r="B553" s="2441" t="s">
        <v>6939</v>
      </c>
      <c r="C553" s="2441"/>
      <c r="D553" s="2441"/>
      <c r="E553" s="2441"/>
      <c r="F553" s="2441"/>
      <c r="G553" s="2441"/>
      <c r="H553" s="2441"/>
      <c r="I553" s="2441"/>
      <c r="J553" s="2441" t="s">
        <v>588</v>
      </c>
      <c r="K553" s="2441"/>
      <c r="L553" s="2441"/>
      <c r="M553" s="2559">
        <f>ROUND(SUM($M$465:$M$534),0)</f>
        <v>1199817</v>
      </c>
      <c r="N553" s="2441"/>
      <c r="O553" s="2441"/>
      <c r="P553" s="2441"/>
    </row>
    <row r="554" spans="1:16" ht="27.2" customHeight="1" x14ac:dyDescent="0.25">
      <c r="A554" s="1848" t="s">
        <v>6938</v>
      </c>
      <c r="B554" s="2441" t="s">
        <v>6937</v>
      </c>
      <c r="C554" s="2441"/>
      <c r="D554" s="2441"/>
      <c r="E554" s="2441"/>
      <c r="F554" s="2441"/>
      <c r="G554" s="2441"/>
      <c r="H554" s="2441"/>
      <c r="I554" s="2441"/>
      <c r="J554" s="2441" t="s">
        <v>588</v>
      </c>
      <c r="K554" s="2441"/>
      <c r="L554" s="2441"/>
      <c r="M554" s="2559">
        <f>ROUND(($M$553),0)</f>
        <v>1199817</v>
      </c>
      <c r="N554" s="2441"/>
      <c r="O554" s="2441"/>
      <c r="P554" s="2441"/>
    </row>
    <row r="555" spans="1:16" ht="27.2" customHeight="1" x14ac:dyDescent="0.25">
      <c r="A555" s="1848" t="s">
        <v>652</v>
      </c>
      <c r="B555" s="2441" t="s">
        <v>6145</v>
      </c>
      <c r="C555" s="2441"/>
      <c r="D555" s="2441"/>
      <c r="E555" s="2441"/>
      <c r="F555" s="2441" t="s">
        <v>6936</v>
      </c>
      <c r="G555" s="2441"/>
      <c r="H555" s="2441"/>
      <c r="I555" s="2441"/>
      <c r="J555" s="2441"/>
      <c r="K555" s="2441"/>
      <c r="L555" s="2441"/>
      <c r="M555" s="2441"/>
      <c r="N555" s="2441"/>
      <c r="O555" s="2441"/>
      <c r="P555" s="2441"/>
    </row>
    <row r="556" spans="1:16" ht="149.65" customHeight="1" x14ac:dyDescent="0.25">
      <c r="A556" s="1844" t="s">
        <v>4447</v>
      </c>
      <c r="B556" s="2431" t="s">
        <v>6935</v>
      </c>
      <c r="C556" s="2432"/>
      <c r="D556" s="2432"/>
      <c r="E556" s="2432"/>
      <c r="F556" s="2432" t="s">
        <v>6934</v>
      </c>
      <c r="G556" s="2432"/>
      <c r="H556" s="2432"/>
      <c r="I556" s="2432"/>
      <c r="J556" s="2432" t="s">
        <v>7409</v>
      </c>
      <c r="K556" s="2432"/>
      <c r="L556" s="2432"/>
      <c r="M556" s="2558">
        <f>ROUND((104500 + 15480 * 9) * 1 * 1.68 * 0.6 * 1.3, 0)</f>
        <v>319502</v>
      </c>
      <c r="N556" s="2432"/>
      <c r="O556" s="2432" t="s">
        <v>588</v>
      </c>
      <c r="P556" s="2432"/>
    </row>
    <row r="557" spans="1:16" x14ac:dyDescent="0.25">
      <c r="A557" s="1845"/>
      <c r="B557" s="2442" t="s">
        <v>4168</v>
      </c>
      <c r="C557" s="2442"/>
      <c r="D557" s="2442"/>
      <c r="E557" s="2442"/>
      <c r="F557" s="2442" t="s">
        <v>588</v>
      </c>
      <c r="G557" s="2442"/>
      <c r="H557" s="2442"/>
      <c r="I557" s="2442"/>
      <c r="J557" s="2442" t="s">
        <v>588</v>
      </c>
      <c r="K557" s="2442"/>
      <c r="L557" s="2442"/>
      <c r="M557" s="2442"/>
      <c r="N557" s="2442"/>
      <c r="O557" s="2442"/>
      <c r="P557" s="2442"/>
    </row>
    <row r="558" spans="1:16" x14ac:dyDescent="0.25">
      <c r="A558" s="1846"/>
      <c r="B558" s="2443" t="s">
        <v>7321</v>
      </c>
      <c r="C558" s="2443"/>
      <c r="D558" s="2443"/>
      <c r="E558" s="2443"/>
      <c r="F558" s="2443" t="s">
        <v>7320</v>
      </c>
      <c r="G558" s="2443"/>
      <c r="H558" s="2443"/>
      <c r="I558" s="2443"/>
      <c r="J558" s="2443" t="s">
        <v>588</v>
      </c>
      <c r="K558" s="2443"/>
      <c r="L558" s="2443"/>
      <c r="M558" s="2443"/>
      <c r="N558" s="2443"/>
      <c r="O558" s="2443"/>
      <c r="P558" s="2443"/>
    </row>
    <row r="559" spans="1:16" ht="40.9" customHeight="1" x14ac:dyDescent="0.25">
      <c r="A559" s="1846"/>
      <c r="B559" s="2443" t="s">
        <v>6447</v>
      </c>
      <c r="C559" s="2443"/>
      <c r="D559" s="2443"/>
      <c r="E559" s="2443"/>
      <c r="F559" s="2443" t="s">
        <v>6448</v>
      </c>
      <c r="G559" s="2443"/>
      <c r="H559" s="2443"/>
      <c r="I559" s="2443"/>
      <c r="J559" s="2443" t="s">
        <v>588</v>
      </c>
      <c r="K559" s="2443"/>
      <c r="L559" s="2443"/>
      <c r="M559" s="2443"/>
      <c r="N559" s="2443"/>
      <c r="O559" s="2443"/>
      <c r="P559" s="2443"/>
    </row>
    <row r="560" spans="1:16" ht="149.65" customHeight="1" x14ac:dyDescent="0.25">
      <c r="A560" s="1846"/>
      <c r="B560" s="2443" t="s">
        <v>6148</v>
      </c>
      <c r="C560" s="2443"/>
      <c r="D560" s="2443"/>
      <c r="E560" s="2443"/>
      <c r="F560" s="2443" t="s">
        <v>7379</v>
      </c>
      <c r="G560" s="2443"/>
      <c r="H560" s="2443"/>
      <c r="I560" s="2443"/>
      <c r="J560" s="2443" t="s">
        <v>588</v>
      </c>
      <c r="K560" s="2443"/>
      <c r="L560" s="2443"/>
      <c r="M560" s="2443"/>
      <c r="N560" s="2443"/>
      <c r="O560" s="2443"/>
      <c r="P560" s="2443"/>
    </row>
    <row r="561" spans="1:16" ht="40.9" customHeight="1" x14ac:dyDescent="0.25">
      <c r="A561" s="1845"/>
      <c r="B561" s="2442" t="s">
        <v>6150</v>
      </c>
      <c r="C561" s="2442"/>
      <c r="D561" s="2442"/>
      <c r="E561" s="2442"/>
      <c r="F561" s="2442" t="s">
        <v>588</v>
      </c>
      <c r="G561" s="2442"/>
      <c r="H561" s="2442"/>
      <c r="I561" s="2442"/>
      <c r="J561" s="2442" t="s">
        <v>7408</v>
      </c>
      <c r="K561" s="2442"/>
      <c r="L561" s="2442"/>
      <c r="M561" s="2442"/>
      <c r="N561" s="2442"/>
      <c r="O561" s="2442"/>
      <c r="P561" s="2442"/>
    </row>
    <row r="562" spans="1:16" x14ac:dyDescent="0.25">
      <c r="A562" s="1846"/>
      <c r="B562" s="2443" t="s">
        <v>7377</v>
      </c>
      <c r="C562" s="2443"/>
      <c r="D562" s="2443"/>
      <c r="E562" s="2443"/>
      <c r="F562" s="2443" t="s">
        <v>7407</v>
      </c>
      <c r="G562" s="2443"/>
      <c r="H562" s="2443"/>
      <c r="I562" s="2443"/>
      <c r="J562" s="2443" t="s">
        <v>588</v>
      </c>
      <c r="K562" s="2443"/>
      <c r="L562" s="2443"/>
      <c r="M562" s="2443"/>
      <c r="N562" s="2443"/>
      <c r="O562" s="2443"/>
      <c r="P562" s="2443"/>
    </row>
    <row r="563" spans="1:16" x14ac:dyDescent="0.25">
      <c r="A563" s="1846"/>
      <c r="B563" s="2443" t="s">
        <v>7375</v>
      </c>
      <c r="C563" s="2443"/>
      <c r="D563" s="2443"/>
      <c r="E563" s="2443"/>
      <c r="F563" s="2443" t="s">
        <v>7406</v>
      </c>
      <c r="G563" s="2443"/>
      <c r="H563" s="2443"/>
      <c r="I563" s="2443"/>
      <c r="J563" s="2443" t="s">
        <v>588</v>
      </c>
      <c r="K563" s="2443"/>
      <c r="L563" s="2443"/>
      <c r="M563" s="2443"/>
      <c r="N563" s="2443"/>
      <c r="O563" s="2443"/>
      <c r="P563" s="2443"/>
    </row>
    <row r="564" spans="1:16" ht="27.2" customHeight="1" x14ac:dyDescent="0.25">
      <c r="A564" s="1846"/>
      <c r="B564" s="2443" t="s">
        <v>7373</v>
      </c>
      <c r="C564" s="2443"/>
      <c r="D564" s="2443"/>
      <c r="E564" s="2443"/>
      <c r="F564" s="2443" t="s">
        <v>7405</v>
      </c>
      <c r="G564" s="2443"/>
      <c r="H564" s="2443"/>
      <c r="I564" s="2443"/>
      <c r="J564" s="2443" t="s">
        <v>588</v>
      </c>
      <c r="K564" s="2443"/>
      <c r="L564" s="2443"/>
      <c r="M564" s="2443"/>
      <c r="N564" s="2443"/>
      <c r="O564" s="2443"/>
      <c r="P564" s="2443"/>
    </row>
    <row r="565" spans="1:16" ht="27.2" customHeight="1" x14ac:dyDescent="0.25">
      <c r="A565" s="1846"/>
      <c r="B565" s="2443" t="s">
        <v>7371</v>
      </c>
      <c r="C565" s="2443"/>
      <c r="D565" s="2443"/>
      <c r="E565" s="2443"/>
      <c r="F565" s="2443" t="s">
        <v>7404</v>
      </c>
      <c r="G565" s="2443"/>
      <c r="H565" s="2443"/>
      <c r="I565" s="2443"/>
      <c r="J565" s="2443" t="s">
        <v>588</v>
      </c>
      <c r="K565" s="2443"/>
      <c r="L565" s="2443"/>
      <c r="M565" s="2443"/>
      <c r="N565" s="2443"/>
      <c r="O565" s="2443"/>
      <c r="P565" s="2443"/>
    </row>
    <row r="566" spans="1:16" ht="27.2" customHeight="1" x14ac:dyDescent="0.25">
      <c r="A566" s="1846"/>
      <c r="B566" s="2443" t="s">
        <v>7370</v>
      </c>
      <c r="C566" s="2443"/>
      <c r="D566" s="2443"/>
      <c r="E566" s="2443"/>
      <c r="F566" s="2443" t="s">
        <v>7404</v>
      </c>
      <c r="G566" s="2443"/>
      <c r="H566" s="2443"/>
      <c r="I566" s="2443"/>
      <c r="J566" s="2443" t="s">
        <v>588</v>
      </c>
      <c r="K566" s="2443"/>
      <c r="L566" s="2443"/>
      <c r="M566" s="2443"/>
      <c r="N566" s="2443"/>
      <c r="O566" s="2443"/>
      <c r="P566" s="2443"/>
    </row>
    <row r="567" spans="1:16" x14ac:dyDescent="0.25">
      <c r="A567" s="1846"/>
      <c r="B567" s="2443" t="s">
        <v>7368</v>
      </c>
      <c r="C567" s="2443"/>
      <c r="D567" s="2443"/>
      <c r="E567" s="2443"/>
      <c r="F567" s="2443" t="s">
        <v>7403</v>
      </c>
      <c r="G567" s="2443"/>
      <c r="H567" s="2443"/>
      <c r="I567" s="2443"/>
      <c r="J567" s="2443" t="s">
        <v>588</v>
      </c>
      <c r="K567" s="2443"/>
      <c r="L567" s="2443"/>
      <c r="M567" s="2443"/>
      <c r="N567" s="2443"/>
      <c r="O567" s="2443"/>
      <c r="P567" s="2443"/>
    </row>
    <row r="568" spans="1:16" ht="149.65" customHeight="1" x14ac:dyDescent="0.25">
      <c r="A568" s="1844" t="s">
        <v>6112</v>
      </c>
      <c r="B568" s="2431" t="s">
        <v>6923</v>
      </c>
      <c r="C568" s="2432"/>
      <c r="D568" s="2432"/>
      <c r="E568" s="2432"/>
      <c r="F568" s="2432" t="s">
        <v>6922</v>
      </c>
      <c r="G568" s="2432"/>
      <c r="H568" s="2432"/>
      <c r="I568" s="2432"/>
      <c r="J568" s="2432" t="s">
        <v>7402</v>
      </c>
      <c r="K568" s="2432"/>
      <c r="L568" s="2432"/>
      <c r="M568" s="2558">
        <f>ROUND((110100 + 7105 * 40) * 1 * 1.68 * 0.6 * 1.3, 0)</f>
        <v>516691</v>
      </c>
      <c r="N568" s="2432"/>
      <c r="O568" s="2432" t="s">
        <v>588</v>
      </c>
      <c r="P568" s="2432"/>
    </row>
    <row r="569" spans="1:16" x14ac:dyDescent="0.25">
      <c r="A569" s="1845"/>
      <c r="B569" s="2442" t="s">
        <v>4168</v>
      </c>
      <c r="C569" s="2442"/>
      <c r="D569" s="2442"/>
      <c r="E569" s="2442"/>
      <c r="F569" s="2442" t="s">
        <v>588</v>
      </c>
      <c r="G569" s="2442"/>
      <c r="H569" s="2442"/>
      <c r="I569" s="2442"/>
      <c r="J569" s="2442" t="s">
        <v>588</v>
      </c>
      <c r="K569" s="2442"/>
      <c r="L569" s="2442"/>
      <c r="M569" s="2442"/>
      <c r="N569" s="2442"/>
      <c r="O569" s="2442"/>
      <c r="P569" s="2442"/>
    </row>
    <row r="570" spans="1:16" x14ac:dyDescent="0.25">
      <c r="A570" s="1846"/>
      <c r="B570" s="2443" t="s">
        <v>7321</v>
      </c>
      <c r="C570" s="2443"/>
      <c r="D570" s="2443"/>
      <c r="E570" s="2443"/>
      <c r="F570" s="2443" t="s">
        <v>7320</v>
      </c>
      <c r="G570" s="2443"/>
      <c r="H570" s="2443"/>
      <c r="I570" s="2443"/>
      <c r="J570" s="2443" t="s">
        <v>588</v>
      </c>
      <c r="K570" s="2443"/>
      <c r="L570" s="2443"/>
      <c r="M570" s="2443"/>
      <c r="N570" s="2443"/>
      <c r="O570" s="2443"/>
      <c r="P570" s="2443"/>
    </row>
    <row r="571" spans="1:16" ht="40.9" customHeight="1" x14ac:dyDescent="0.25">
      <c r="A571" s="1846"/>
      <c r="B571" s="2443" t="s">
        <v>6447</v>
      </c>
      <c r="C571" s="2443"/>
      <c r="D571" s="2443"/>
      <c r="E571" s="2443"/>
      <c r="F571" s="2443" t="s">
        <v>6448</v>
      </c>
      <c r="G571" s="2443"/>
      <c r="H571" s="2443"/>
      <c r="I571" s="2443"/>
      <c r="J571" s="2443" t="s">
        <v>588</v>
      </c>
      <c r="K571" s="2443"/>
      <c r="L571" s="2443"/>
      <c r="M571" s="2443"/>
      <c r="N571" s="2443"/>
      <c r="O571" s="2443"/>
      <c r="P571" s="2443"/>
    </row>
    <row r="572" spans="1:16" ht="149.65" customHeight="1" x14ac:dyDescent="0.25">
      <c r="A572" s="1846"/>
      <c r="B572" s="2443" t="s">
        <v>6148</v>
      </c>
      <c r="C572" s="2443"/>
      <c r="D572" s="2443"/>
      <c r="E572" s="2443"/>
      <c r="F572" s="2443" t="s">
        <v>7379</v>
      </c>
      <c r="G572" s="2443"/>
      <c r="H572" s="2443"/>
      <c r="I572" s="2443"/>
      <c r="J572" s="2443" t="s">
        <v>588</v>
      </c>
      <c r="K572" s="2443"/>
      <c r="L572" s="2443"/>
      <c r="M572" s="2443"/>
      <c r="N572" s="2443"/>
      <c r="O572" s="2443"/>
      <c r="P572" s="2443"/>
    </row>
    <row r="573" spans="1:16" ht="40.9" customHeight="1" x14ac:dyDescent="0.25">
      <c r="A573" s="1845"/>
      <c r="B573" s="2442" t="s">
        <v>6150</v>
      </c>
      <c r="C573" s="2442"/>
      <c r="D573" s="2442"/>
      <c r="E573" s="2442"/>
      <c r="F573" s="2442" t="s">
        <v>588</v>
      </c>
      <c r="G573" s="2442"/>
      <c r="H573" s="2442"/>
      <c r="I573" s="2442"/>
      <c r="J573" s="2442" t="s">
        <v>7401</v>
      </c>
      <c r="K573" s="2442"/>
      <c r="L573" s="2442"/>
      <c r="M573" s="2442"/>
      <c r="N573" s="2442"/>
      <c r="O573" s="2442"/>
      <c r="P573" s="2442"/>
    </row>
    <row r="574" spans="1:16" x14ac:dyDescent="0.25">
      <c r="A574" s="1846"/>
      <c r="B574" s="2443" t="s">
        <v>7377</v>
      </c>
      <c r="C574" s="2443"/>
      <c r="D574" s="2443"/>
      <c r="E574" s="2443"/>
      <c r="F574" s="2443" t="s">
        <v>7400</v>
      </c>
      <c r="G574" s="2443"/>
      <c r="H574" s="2443"/>
      <c r="I574" s="2443"/>
      <c r="J574" s="2443" t="s">
        <v>588</v>
      </c>
      <c r="K574" s="2443"/>
      <c r="L574" s="2443"/>
      <c r="M574" s="2443"/>
      <c r="N574" s="2443"/>
      <c r="O574" s="2443"/>
      <c r="P574" s="2443"/>
    </row>
    <row r="575" spans="1:16" x14ac:dyDescent="0.25">
      <c r="A575" s="1846"/>
      <c r="B575" s="2443" t="s">
        <v>7375</v>
      </c>
      <c r="C575" s="2443"/>
      <c r="D575" s="2443"/>
      <c r="E575" s="2443"/>
      <c r="F575" s="2443" t="s">
        <v>7399</v>
      </c>
      <c r="G575" s="2443"/>
      <c r="H575" s="2443"/>
      <c r="I575" s="2443"/>
      <c r="J575" s="2443" t="s">
        <v>588</v>
      </c>
      <c r="K575" s="2443"/>
      <c r="L575" s="2443"/>
      <c r="M575" s="2443"/>
      <c r="N575" s="2443"/>
      <c r="O575" s="2443"/>
      <c r="P575" s="2443"/>
    </row>
    <row r="576" spans="1:16" ht="27.2" customHeight="1" x14ac:dyDescent="0.25">
      <c r="A576" s="1846"/>
      <c r="B576" s="2443" t="s">
        <v>7373</v>
      </c>
      <c r="C576" s="2443"/>
      <c r="D576" s="2443"/>
      <c r="E576" s="2443"/>
      <c r="F576" s="2443" t="s">
        <v>7398</v>
      </c>
      <c r="G576" s="2443"/>
      <c r="H576" s="2443"/>
      <c r="I576" s="2443"/>
      <c r="J576" s="2443" t="s">
        <v>588</v>
      </c>
      <c r="K576" s="2443"/>
      <c r="L576" s="2443"/>
      <c r="M576" s="2443"/>
      <c r="N576" s="2443"/>
      <c r="O576" s="2443"/>
      <c r="P576" s="2443"/>
    </row>
    <row r="577" spans="1:16" ht="27.2" customHeight="1" x14ac:dyDescent="0.25">
      <c r="A577" s="1846"/>
      <c r="B577" s="2443" t="s">
        <v>7371</v>
      </c>
      <c r="C577" s="2443"/>
      <c r="D577" s="2443"/>
      <c r="E577" s="2443"/>
      <c r="F577" s="2443" t="s">
        <v>7397</v>
      </c>
      <c r="G577" s="2443"/>
      <c r="H577" s="2443"/>
      <c r="I577" s="2443"/>
      <c r="J577" s="2443" t="s">
        <v>588</v>
      </c>
      <c r="K577" s="2443"/>
      <c r="L577" s="2443"/>
      <c r="M577" s="2443"/>
      <c r="N577" s="2443"/>
      <c r="O577" s="2443"/>
      <c r="P577" s="2443"/>
    </row>
    <row r="578" spans="1:16" ht="27.2" customHeight="1" x14ac:dyDescent="0.25">
      <c r="A578" s="1846"/>
      <c r="B578" s="2443" t="s">
        <v>7370</v>
      </c>
      <c r="C578" s="2443"/>
      <c r="D578" s="2443"/>
      <c r="E578" s="2443"/>
      <c r="F578" s="2443" t="s">
        <v>7397</v>
      </c>
      <c r="G578" s="2443"/>
      <c r="H578" s="2443"/>
      <c r="I578" s="2443"/>
      <c r="J578" s="2443" t="s">
        <v>588</v>
      </c>
      <c r="K578" s="2443"/>
      <c r="L578" s="2443"/>
      <c r="M578" s="2443"/>
      <c r="N578" s="2443"/>
      <c r="O578" s="2443"/>
      <c r="P578" s="2443"/>
    </row>
    <row r="579" spans="1:16" x14ac:dyDescent="0.25">
      <c r="A579" s="1846"/>
      <c r="B579" s="2443" t="s">
        <v>7368</v>
      </c>
      <c r="C579" s="2443"/>
      <c r="D579" s="2443"/>
      <c r="E579" s="2443"/>
      <c r="F579" s="2443" t="s">
        <v>7396</v>
      </c>
      <c r="G579" s="2443"/>
      <c r="H579" s="2443"/>
      <c r="I579" s="2443"/>
      <c r="J579" s="2443" t="s">
        <v>588</v>
      </c>
      <c r="K579" s="2443"/>
      <c r="L579" s="2443"/>
      <c r="M579" s="2443"/>
      <c r="N579" s="2443"/>
      <c r="O579" s="2443"/>
      <c r="P579" s="2443"/>
    </row>
    <row r="580" spans="1:16" ht="149.65" customHeight="1" x14ac:dyDescent="0.25">
      <c r="A580" s="1844" t="s">
        <v>6908</v>
      </c>
      <c r="B580" s="2431" t="s">
        <v>6907</v>
      </c>
      <c r="C580" s="2432"/>
      <c r="D580" s="2432"/>
      <c r="E580" s="2432"/>
      <c r="F580" s="2432" t="s">
        <v>6906</v>
      </c>
      <c r="G580" s="2432"/>
      <c r="H580" s="2432"/>
      <c r="I580" s="2432"/>
      <c r="J580" s="2432" t="s">
        <v>7395</v>
      </c>
      <c r="K580" s="2432"/>
      <c r="L580" s="2432"/>
      <c r="M580" s="2558">
        <f>ROUND((109200 + 5153 * 32) * 1 * 1.68 * 0.6 * 1.3, 0)</f>
        <v>359175</v>
      </c>
      <c r="N580" s="2432"/>
      <c r="O580" s="2432" t="s">
        <v>588</v>
      </c>
      <c r="P580" s="2432"/>
    </row>
    <row r="581" spans="1:16" x14ac:dyDescent="0.25">
      <c r="A581" s="1845"/>
      <c r="B581" s="2442" t="s">
        <v>4168</v>
      </c>
      <c r="C581" s="2442"/>
      <c r="D581" s="2442"/>
      <c r="E581" s="2442"/>
      <c r="F581" s="2442" t="s">
        <v>588</v>
      </c>
      <c r="G581" s="2442"/>
      <c r="H581" s="2442"/>
      <c r="I581" s="2442"/>
      <c r="J581" s="2442" t="s">
        <v>588</v>
      </c>
      <c r="K581" s="2442"/>
      <c r="L581" s="2442"/>
      <c r="M581" s="2442"/>
      <c r="N581" s="2442"/>
      <c r="O581" s="2442"/>
      <c r="P581" s="2442"/>
    </row>
    <row r="582" spans="1:16" x14ac:dyDescent="0.25">
      <c r="A582" s="1846"/>
      <c r="B582" s="2443" t="s">
        <v>7321</v>
      </c>
      <c r="C582" s="2443"/>
      <c r="D582" s="2443"/>
      <c r="E582" s="2443"/>
      <c r="F582" s="2443" t="s">
        <v>7320</v>
      </c>
      <c r="G582" s="2443"/>
      <c r="H582" s="2443"/>
      <c r="I582" s="2443"/>
      <c r="J582" s="2443" t="s">
        <v>588</v>
      </c>
      <c r="K582" s="2443"/>
      <c r="L582" s="2443"/>
      <c r="M582" s="2443"/>
      <c r="N582" s="2443"/>
      <c r="O582" s="2443"/>
      <c r="P582" s="2443"/>
    </row>
    <row r="583" spans="1:16" ht="40.9" customHeight="1" x14ac:dyDescent="0.25">
      <c r="A583" s="1846"/>
      <c r="B583" s="2443" t="s">
        <v>6447</v>
      </c>
      <c r="C583" s="2443"/>
      <c r="D583" s="2443"/>
      <c r="E583" s="2443"/>
      <c r="F583" s="2443" t="s">
        <v>6448</v>
      </c>
      <c r="G583" s="2443"/>
      <c r="H583" s="2443"/>
      <c r="I583" s="2443"/>
      <c r="J583" s="2443" t="s">
        <v>588</v>
      </c>
      <c r="K583" s="2443"/>
      <c r="L583" s="2443"/>
      <c r="M583" s="2443"/>
      <c r="N583" s="2443"/>
      <c r="O583" s="2443"/>
      <c r="P583" s="2443"/>
    </row>
    <row r="584" spans="1:16" ht="149.65" customHeight="1" x14ac:dyDescent="0.25">
      <c r="A584" s="1846"/>
      <c r="B584" s="2443" t="s">
        <v>6148</v>
      </c>
      <c r="C584" s="2443"/>
      <c r="D584" s="2443"/>
      <c r="E584" s="2443"/>
      <c r="F584" s="2443" t="s">
        <v>7379</v>
      </c>
      <c r="G584" s="2443"/>
      <c r="H584" s="2443"/>
      <c r="I584" s="2443"/>
      <c r="J584" s="2443" t="s">
        <v>588</v>
      </c>
      <c r="K584" s="2443"/>
      <c r="L584" s="2443"/>
      <c r="M584" s="2443"/>
      <c r="N584" s="2443"/>
      <c r="O584" s="2443"/>
      <c r="P584" s="2443"/>
    </row>
    <row r="585" spans="1:16" ht="54.4" customHeight="1" x14ac:dyDescent="0.25">
      <c r="A585" s="1845"/>
      <c r="B585" s="2442" t="s">
        <v>6150</v>
      </c>
      <c r="C585" s="2442"/>
      <c r="D585" s="2442"/>
      <c r="E585" s="2442"/>
      <c r="F585" s="2442" t="s">
        <v>588</v>
      </c>
      <c r="G585" s="2442"/>
      <c r="H585" s="2442"/>
      <c r="I585" s="2442"/>
      <c r="J585" s="2442" t="s">
        <v>7394</v>
      </c>
      <c r="K585" s="2442"/>
      <c r="L585" s="2442"/>
      <c r="M585" s="2442"/>
      <c r="N585" s="2442"/>
      <c r="O585" s="2442"/>
      <c r="P585" s="2442"/>
    </row>
    <row r="586" spans="1:16" x14ac:dyDescent="0.25">
      <c r="A586" s="1846"/>
      <c r="B586" s="2443" t="s">
        <v>7377</v>
      </c>
      <c r="C586" s="2443"/>
      <c r="D586" s="2443"/>
      <c r="E586" s="2443"/>
      <c r="F586" s="2443" t="s">
        <v>7393</v>
      </c>
      <c r="G586" s="2443"/>
      <c r="H586" s="2443"/>
      <c r="I586" s="2443"/>
      <c r="J586" s="2443" t="s">
        <v>588</v>
      </c>
      <c r="K586" s="2443"/>
      <c r="L586" s="2443"/>
      <c r="M586" s="2443"/>
      <c r="N586" s="2443"/>
      <c r="O586" s="2443"/>
      <c r="P586" s="2443"/>
    </row>
    <row r="587" spans="1:16" x14ac:dyDescent="0.25">
      <c r="A587" s="1846"/>
      <c r="B587" s="2443" t="s">
        <v>7375</v>
      </c>
      <c r="C587" s="2443"/>
      <c r="D587" s="2443"/>
      <c r="E587" s="2443"/>
      <c r="F587" s="2443" t="s">
        <v>7392</v>
      </c>
      <c r="G587" s="2443"/>
      <c r="H587" s="2443"/>
      <c r="I587" s="2443"/>
      <c r="J587" s="2443" t="s">
        <v>588</v>
      </c>
      <c r="K587" s="2443"/>
      <c r="L587" s="2443"/>
      <c r="M587" s="2443"/>
      <c r="N587" s="2443"/>
      <c r="O587" s="2443"/>
      <c r="P587" s="2443"/>
    </row>
    <row r="588" spans="1:16" ht="27.2" customHeight="1" x14ac:dyDescent="0.25">
      <c r="A588" s="1846"/>
      <c r="B588" s="2443" t="s">
        <v>7373</v>
      </c>
      <c r="C588" s="2443"/>
      <c r="D588" s="2443"/>
      <c r="E588" s="2443"/>
      <c r="F588" s="2443" t="s">
        <v>7391</v>
      </c>
      <c r="G588" s="2443"/>
      <c r="H588" s="2443"/>
      <c r="I588" s="2443"/>
      <c r="J588" s="2443" t="s">
        <v>588</v>
      </c>
      <c r="K588" s="2443"/>
      <c r="L588" s="2443"/>
      <c r="M588" s="2443"/>
      <c r="N588" s="2443"/>
      <c r="O588" s="2443"/>
      <c r="P588" s="2443"/>
    </row>
    <row r="589" spans="1:16" ht="27.2" customHeight="1" x14ac:dyDescent="0.25">
      <c r="A589" s="1846"/>
      <c r="B589" s="2443" t="s">
        <v>7371</v>
      </c>
      <c r="C589" s="2443"/>
      <c r="D589" s="2443"/>
      <c r="E589" s="2443"/>
      <c r="F589" s="2443" t="s">
        <v>7390</v>
      </c>
      <c r="G589" s="2443"/>
      <c r="H589" s="2443"/>
      <c r="I589" s="2443"/>
      <c r="J589" s="2443" t="s">
        <v>588</v>
      </c>
      <c r="K589" s="2443"/>
      <c r="L589" s="2443"/>
      <c r="M589" s="2443"/>
      <c r="N589" s="2443"/>
      <c r="O589" s="2443"/>
      <c r="P589" s="2443"/>
    </row>
    <row r="590" spans="1:16" ht="27.2" customHeight="1" x14ac:dyDescent="0.25">
      <c r="A590" s="1846"/>
      <c r="B590" s="2443" t="s">
        <v>7370</v>
      </c>
      <c r="C590" s="2443"/>
      <c r="D590" s="2443"/>
      <c r="E590" s="2443"/>
      <c r="F590" s="2443" t="s">
        <v>7390</v>
      </c>
      <c r="G590" s="2443"/>
      <c r="H590" s="2443"/>
      <c r="I590" s="2443"/>
      <c r="J590" s="2443" t="s">
        <v>588</v>
      </c>
      <c r="K590" s="2443"/>
      <c r="L590" s="2443"/>
      <c r="M590" s="2443"/>
      <c r="N590" s="2443"/>
      <c r="O590" s="2443"/>
      <c r="P590" s="2443"/>
    </row>
    <row r="591" spans="1:16" x14ac:dyDescent="0.25">
      <c r="A591" s="1846"/>
      <c r="B591" s="2443" t="s">
        <v>7368</v>
      </c>
      <c r="C591" s="2443"/>
      <c r="D591" s="2443"/>
      <c r="E591" s="2443"/>
      <c r="F591" s="2443" t="s">
        <v>7389</v>
      </c>
      <c r="G591" s="2443"/>
      <c r="H591" s="2443"/>
      <c r="I591" s="2443"/>
      <c r="J591" s="2443" t="s">
        <v>588</v>
      </c>
      <c r="K591" s="2443"/>
      <c r="L591" s="2443"/>
      <c r="M591" s="2443"/>
      <c r="N591" s="2443"/>
      <c r="O591" s="2443"/>
      <c r="P591" s="2443"/>
    </row>
    <row r="592" spans="1:16" ht="163.15" customHeight="1" x14ac:dyDescent="0.25">
      <c r="A592" s="1844" t="s">
        <v>6896</v>
      </c>
      <c r="B592" s="2431" t="s">
        <v>6895</v>
      </c>
      <c r="C592" s="2432"/>
      <c r="D592" s="2432"/>
      <c r="E592" s="2432"/>
      <c r="F592" s="2432" t="s">
        <v>6894</v>
      </c>
      <c r="G592" s="2432"/>
      <c r="H592" s="2432"/>
      <c r="I592" s="2432"/>
      <c r="J592" s="2432" t="s">
        <v>7388</v>
      </c>
      <c r="K592" s="2432"/>
      <c r="L592" s="2432"/>
      <c r="M592" s="2558">
        <f>ROUND(21100 * 1 * 1.68 * 0.6 * 2 * 1.3, 0)</f>
        <v>55299</v>
      </c>
      <c r="N592" s="2432"/>
      <c r="O592" s="2432" t="s">
        <v>588</v>
      </c>
      <c r="P592" s="2432"/>
    </row>
    <row r="593" spans="1:16" x14ac:dyDescent="0.25">
      <c r="A593" s="1845"/>
      <c r="B593" s="2442" t="s">
        <v>4168</v>
      </c>
      <c r="C593" s="2442"/>
      <c r="D593" s="2442"/>
      <c r="E593" s="2442"/>
      <c r="F593" s="2442" t="s">
        <v>588</v>
      </c>
      <c r="G593" s="2442"/>
      <c r="H593" s="2442"/>
      <c r="I593" s="2442"/>
      <c r="J593" s="2442" t="s">
        <v>588</v>
      </c>
      <c r="K593" s="2442"/>
      <c r="L593" s="2442"/>
      <c r="M593" s="2442"/>
      <c r="N593" s="2442"/>
      <c r="O593" s="2442"/>
      <c r="P593" s="2442"/>
    </row>
    <row r="594" spans="1:16" x14ac:dyDescent="0.25">
      <c r="A594" s="1846"/>
      <c r="B594" s="2443" t="s">
        <v>7321</v>
      </c>
      <c r="C594" s="2443"/>
      <c r="D594" s="2443"/>
      <c r="E594" s="2443"/>
      <c r="F594" s="2443" t="s">
        <v>7320</v>
      </c>
      <c r="G594" s="2443"/>
      <c r="H594" s="2443"/>
      <c r="I594" s="2443"/>
      <c r="J594" s="2443" t="s">
        <v>588</v>
      </c>
      <c r="K594" s="2443"/>
      <c r="L594" s="2443"/>
      <c r="M594" s="2443"/>
      <c r="N594" s="2443"/>
      <c r="O594" s="2443"/>
      <c r="P594" s="2443"/>
    </row>
    <row r="595" spans="1:16" ht="40.9" customHeight="1" x14ac:dyDescent="0.25">
      <c r="A595" s="1846"/>
      <c r="B595" s="2443" t="s">
        <v>6447</v>
      </c>
      <c r="C595" s="2443"/>
      <c r="D595" s="2443"/>
      <c r="E595" s="2443"/>
      <c r="F595" s="2443" t="s">
        <v>6448</v>
      </c>
      <c r="G595" s="2443"/>
      <c r="H595" s="2443"/>
      <c r="I595" s="2443"/>
      <c r="J595" s="2443" t="s">
        <v>588</v>
      </c>
      <c r="K595" s="2443"/>
      <c r="L595" s="2443"/>
      <c r="M595" s="2443"/>
      <c r="N595" s="2443"/>
      <c r="O595" s="2443"/>
      <c r="P595" s="2443"/>
    </row>
    <row r="596" spans="1:16" ht="95.25" customHeight="1" x14ac:dyDescent="0.25">
      <c r="A596" s="1846"/>
      <c r="B596" s="2443" t="s">
        <v>6892</v>
      </c>
      <c r="C596" s="2443"/>
      <c r="D596" s="2443"/>
      <c r="E596" s="2443"/>
      <c r="F596" s="2443" t="s">
        <v>6891</v>
      </c>
      <c r="G596" s="2443"/>
      <c r="H596" s="2443"/>
      <c r="I596" s="2443"/>
      <c r="J596" s="2443" t="s">
        <v>588</v>
      </c>
      <c r="K596" s="2443"/>
      <c r="L596" s="2443"/>
      <c r="M596" s="2443"/>
      <c r="N596" s="2443"/>
      <c r="O596" s="2443"/>
      <c r="P596" s="2443"/>
    </row>
    <row r="597" spans="1:16" ht="149.65" customHeight="1" x14ac:dyDescent="0.25">
      <c r="A597" s="1846"/>
      <c r="B597" s="2443" t="s">
        <v>6148</v>
      </c>
      <c r="C597" s="2443"/>
      <c r="D597" s="2443"/>
      <c r="E597" s="2443"/>
      <c r="F597" s="2443" t="s">
        <v>7387</v>
      </c>
      <c r="G597" s="2443"/>
      <c r="H597" s="2443"/>
      <c r="I597" s="2443"/>
      <c r="J597" s="2443" t="s">
        <v>588</v>
      </c>
      <c r="K597" s="2443"/>
      <c r="L597" s="2443"/>
      <c r="M597" s="2443"/>
      <c r="N597" s="2443"/>
      <c r="O597" s="2443"/>
      <c r="P597" s="2443"/>
    </row>
    <row r="598" spans="1:16" ht="40.9" customHeight="1" x14ac:dyDescent="0.25">
      <c r="A598" s="1845"/>
      <c r="B598" s="2442" t="s">
        <v>6150</v>
      </c>
      <c r="C598" s="2442"/>
      <c r="D598" s="2442"/>
      <c r="E598" s="2442"/>
      <c r="F598" s="2442" t="s">
        <v>588</v>
      </c>
      <c r="G598" s="2442"/>
      <c r="H598" s="2442"/>
      <c r="I598" s="2442"/>
      <c r="J598" s="2442" t="s">
        <v>7386</v>
      </c>
      <c r="K598" s="2442"/>
      <c r="L598" s="2442"/>
      <c r="M598" s="2442"/>
      <c r="N598" s="2442"/>
      <c r="O598" s="2442"/>
      <c r="P598" s="2442"/>
    </row>
    <row r="599" spans="1:16" x14ac:dyDescent="0.25">
      <c r="A599" s="1846"/>
      <c r="B599" s="2443" t="s">
        <v>7377</v>
      </c>
      <c r="C599" s="2443"/>
      <c r="D599" s="2443"/>
      <c r="E599" s="2443"/>
      <c r="F599" s="2443" t="s">
        <v>7385</v>
      </c>
      <c r="G599" s="2443"/>
      <c r="H599" s="2443"/>
      <c r="I599" s="2443"/>
      <c r="J599" s="2443" t="s">
        <v>588</v>
      </c>
      <c r="K599" s="2443"/>
      <c r="L599" s="2443"/>
      <c r="M599" s="2443"/>
      <c r="N599" s="2443"/>
      <c r="O599" s="2443"/>
      <c r="P599" s="2443"/>
    </row>
    <row r="600" spans="1:16" x14ac:dyDescent="0.25">
      <c r="A600" s="1846"/>
      <c r="B600" s="2443" t="s">
        <v>7375</v>
      </c>
      <c r="C600" s="2443"/>
      <c r="D600" s="2443"/>
      <c r="E600" s="2443"/>
      <c r="F600" s="2443" t="s">
        <v>7384</v>
      </c>
      <c r="G600" s="2443"/>
      <c r="H600" s="2443"/>
      <c r="I600" s="2443"/>
      <c r="J600" s="2443" t="s">
        <v>588</v>
      </c>
      <c r="K600" s="2443"/>
      <c r="L600" s="2443"/>
      <c r="M600" s="2443"/>
      <c r="N600" s="2443"/>
      <c r="O600" s="2443"/>
      <c r="P600" s="2443"/>
    </row>
    <row r="601" spans="1:16" ht="27.2" customHeight="1" x14ac:dyDescent="0.25">
      <c r="A601" s="1846"/>
      <c r="B601" s="2443" t="s">
        <v>7373</v>
      </c>
      <c r="C601" s="2443"/>
      <c r="D601" s="2443"/>
      <c r="E601" s="2443"/>
      <c r="F601" s="2443" t="s">
        <v>7383</v>
      </c>
      <c r="G601" s="2443"/>
      <c r="H601" s="2443"/>
      <c r="I601" s="2443"/>
      <c r="J601" s="2443" t="s">
        <v>588</v>
      </c>
      <c r="K601" s="2443"/>
      <c r="L601" s="2443"/>
      <c r="M601" s="2443"/>
      <c r="N601" s="2443"/>
      <c r="O601" s="2443"/>
      <c r="P601" s="2443"/>
    </row>
    <row r="602" spans="1:16" ht="27.2" customHeight="1" x14ac:dyDescent="0.25">
      <c r="A602" s="1846"/>
      <c r="B602" s="2443" t="s">
        <v>7371</v>
      </c>
      <c r="C602" s="2443"/>
      <c r="D602" s="2443"/>
      <c r="E602" s="2443"/>
      <c r="F602" s="2443" t="s">
        <v>7382</v>
      </c>
      <c r="G602" s="2443"/>
      <c r="H602" s="2443"/>
      <c r="I602" s="2443"/>
      <c r="J602" s="2443" t="s">
        <v>588</v>
      </c>
      <c r="K602" s="2443"/>
      <c r="L602" s="2443"/>
      <c r="M602" s="2443"/>
      <c r="N602" s="2443"/>
      <c r="O602" s="2443"/>
      <c r="P602" s="2443"/>
    </row>
    <row r="603" spans="1:16" x14ac:dyDescent="0.25">
      <c r="A603" s="1846"/>
      <c r="B603" s="2443" t="s">
        <v>7368</v>
      </c>
      <c r="C603" s="2443"/>
      <c r="D603" s="2443"/>
      <c r="E603" s="2443"/>
      <c r="F603" s="2443" t="s">
        <v>7381</v>
      </c>
      <c r="G603" s="2443"/>
      <c r="H603" s="2443"/>
      <c r="I603" s="2443"/>
      <c r="J603" s="2443" t="s">
        <v>588</v>
      </c>
      <c r="K603" s="2443"/>
      <c r="L603" s="2443"/>
      <c r="M603" s="2443"/>
      <c r="N603" s="2443"/>
      <c r="O603" s="2443"/>
      <c r="P603" s="2443"/>
    </row>
    <row r="604" spans="1:16" ht="149.65" customHeight="1" x14ac:dyDescent="0.25">
      <c r="A604" s="1844" t="s">
        <v>6881</v>
      </c>
      <c r="B604" s="2431" t="s">
        <v>6880</v>
      </c>
      <c r="C604" s="2432"/>
      <c r="D604" s="2432"/>
      <c r="E604" s="2432"/>
      <c r="F604" s="2432" t="s">
        <v>6879</v>
      </c>
      <c r="G604" s="2432"/>
      <c r="H604" s="2432"/>
      <c r="I604" s="2432"/>
      <c r="J604" s="2432" t="s">
        <v>7380</v>
      </c>
      <c r="K604" s="2432"/>
      <c r="L604" s="2432"/>
      <c r="M604" s="2558">
        <f>ROUND((72300 + 24 * 2228) * 1 * 1.68 * 0.6 * 1.3, 0)</f>
        <v>164812</v>
      </c>
      <c r="N604" s="2432"/>
      <c r="O604" s="2432" t="s">
        <v>588</v>
      </c>
      <c r="P604" s="2432"/>
    </row>
    <row r="605" spans="1:16" x14ac:dyDescent="0.25">
      <c r="A605" s="1845"/>
      <c r="B605" s="2442" t="s">
        <v>4168</v>
      </c>
      <c r="C605" s="2442"/>
      <c r="D605" s="2442"/>
      <c r="E605" s="2442"/>
      <c r="F605" s="2442" t="s">
        <v>588</v>
      </c>
      <c r="G605" s="2442"/>
      <c r="H605" s="2442"/>
      <c r="I605" s="2442"/>
      <c r="J605" s="2442" t="s">
        <v>588</v>
      </c>
      <c r="K605" s="2442"/>
      <c r="L605" s="2442"/>
      <c r="M605" s="2442"/>
      <c r="N605" s="2442"/>
      <c r="O605" s="2442"/>
      <c r="P605" s="2442"/>
    </row>
    <row r="606" spans="1:16" x14ac:dyDescent="0.25">
      <c r="A606" s="1846"/>
      <c r="B606" s="2443" t="s">
        <v>7321</v>
      </c>
      <c r="C606" s="2443"/>
      <c r="D606" s="2443"/>
      <c r="E606" s="2443"/>
      <c r="F606" s="2443" t="s">
        <v>7320</v>
      </c>
      <c r="G606" s="2443"/>
      <c r="H606" s="2443"/>
      <c r="I606" s="2443"/>
      <c r="J606" s="2443" t="s">
        <v>588</v>
      </c>
      <c r="K606" s="2443"/>
      <c r="L606" s="2443"/>
      <c r="M606" s="2443"/>
      <c r="N606" s="2443"/>
      <c r="O606" s="2443"/>
      <c r="P606" s="2443"/>
    </row>
    <row r="607" spans="1:16" ht="40.9" customHeight="1" x14ac:dyDescent="0.25">
      <c r="A607" s="1846"/>
      <c r="B607" s="2443" t="s">
        <v>6447</v>
      </c>
      <c r="C607" s="2443"/>
      <c r="D607" s="2443"/>
      <c r="E607" s="2443"/>
      <c r="F607" s="2443" t="s">
        <v>6448</v>
      </c>
      <c r="G607" s="2443"/>
      <c r="H607" s="2443"/>
      <c r="I607" s="2443"/>
      <c r="J607" s="2443" t="s">
        <v>588</v>
      </c>
      <c r="K607" s="2443"/>
      <c r="L607" s="2443"/>
      <c r="M607" s="2443"/>
      <c r="N607" s="2443"/>
      <c r="O607" s="2443"/>
      <c r="P607" s="2443"/>
    </row>
    <row r="608" spans="1:16" ht="149.65" customHeight="1" x14ac:dyDescent="0.25">
      <c r="A608" s="1846"/>
      <c r="B608" s="2443" t="s">
        <v>6148</v>
      </c>
      <c r="C608" s="2443"/>
      <c r="D608" s="2443"/>
      <c r="E608" s="2443"/>
      <c r="F608" s="2443" t="s">
        <v>7379</v>
      </c>
      <c r="G608" s="2443"/>
      <c r="H608" s="2443"/>
      <c r="I608" s="2443"/>
      <c r="J608" s="2443" t="s">
        <v>588</v>
      </c>
      <c r="K608" s="2443"/>
      <c r="L608" s="2443"/>
      <c r="M608" s="2443"/>
      <c r="N608" s="2443"/>
      <c r="O608" s="2443"/>
      <c r="P608" s="2443"/>
    </row>
    <row r="609" spans="1:16" ht="40.9" customHeight="1" x14ac:dyDescent="0.25">
      <c r="A609" s="1845"/>
      <c r="B609" s="2442" t="s">
        <v>6150</v>
      </c>
      <c r="C609" s="2442"/>
      <c r="D609" s="2442"/>
      <c r="E609" s="2442"/>
      <c r="F609" s="2442" t="s">
        <v>588</v>
      </c>
      <c r="G609" s="2442"/>
      <c r="H609" s="2442"/>
      <c r="I609" s="2442"/>
      <c r="J609" s="2442" t="s">
        <v>7378</v>
      </c>
      <c r="K609" s="2442"/>
      <c r="L609" s="2442"/>
      <c r="M609" s="2442"/>
      <c r="N609" s="2442"/>
      <c r="O609" s="2442"/>
      <c r="P609" s="2442"/>
    </row>
    <row r="610" spans="1:16" x14ac:dyDescent="0.25">
      <c r="A610" s="1846"/>
      <c r="B610" s="2443" t="s">
        <v>7377</v>
      </c>
      <c r="C610" s="2443"/>
      <c r="D610" s="2443"/>
      <c r="E610" s="2443"/>
      <c r="F610" s="2443" t="s">
        <v>7376</v>
      </c>
      <c r="G610" s="2443"/>
      <c r="H610" s="2443"/>
      <c r="I610" s="2443"/>
      <c r="J610" s="2443" t="s">
        <v>588</v>
      </c>
      <c r="K610" s="2443"/>
      <c r="L610" s="2443"/>
      <c r="M610" s="2443"/>
      <c r="N610" s="2443"/>
      <c r="O610" s="2443"/>
      <c r="P610" s="2443"/>
    </row>
    <row r="611" spans="1:16" x14ac:dyDescent="0.25">
      <c r="A611" s="1846"/>
      <c r="B611" s="2443" t="s">
        <v>7375</v>
      </c>
      <c r="C611" s="2443"/>
      <c r="D611" s="2443"/>
      <c r="E611" s="2443"/>
      <c r="F611" s="2443" t="s">
        <v>7374</v>
      </c>
      <c r="G611" s="2443"/>
      <c r="H611" s="2443"/>
      <c r="I611" s="2443"/>
      <c r="J611" s="2443" t="s">
        <v>588</v>
      </c>
      <c r="K611" s="2443"/>
      <c r="L611" s="2443"/>
      <c r="M611" s="2443"/>
      <c r="N611" s="2443"/>
      <c r="O611" s="2443"/>
      <c r="P611" s="2443"/>
    </row>
    <row r="612" spans="1:16" ht="27.2" customHeight="1" x14ac:dyDescent="0.25">
      <c r="A612" s="1846"/>
      <c r="B612" s="2443" t="s">
        <v>7373</v>
      </c>
      <c r="C612" s="2443"/>
      <c r="D612" s="2443"/>
      <c r="E612" s="2443"/>
      <c r="F612" s="2443" t="s">
        <v>7372</v>
      </c>
      <c r="G612" s="2443"/>
      <c r="H612" s="2443"/>
      <c r="I612" s="2443"/>
      <c r="J612" s="2443" t="s">
        <v>588</v>
      </c>
      <c r="K612" s="2443"/>
      <c r="L612" s="2443"/>
      <c r="M612" s="2443"/>
      <c r="N612" s="2443"/>
      <c r="O612" s="2443"/>
      <c r="P612" s="2443"/>
    </row>
    <row r="613" spans="1:16" ht="27.2" customHeight="1" x14ac:dyDescent="0.25">
      <c r="A613" s="1846"/>
      <c r="B613" s="2443" t="s">
        <v>7371</v>
      </c>
      <c r="C613" s="2443"/>
      <c r="D613" s="2443"/>
      <c r="E613" s="2443"/>
      <c r="F613" s="2443" t="s">
        <v>7369</v>
      </c>
      <c r="G613" s="2443"/>
      <c r="H613" s="2443"/>
      <c r="I613" s="2443"/>
      <c r="J613" s="2443" t="s">
        <v>588</v>
      </c>
      <c r="K613" s="2443"/>
      <c r="L613" s="2443"/>
      <c r="M613" s="2443"/>
      <c r="N613" s="2443"/>
      <c r="O613" s="2443"/>
      <c r="P613" s="2443"/>
    </row>
    <row r="614" spans="1:16" ht="27.2" customHeight="1" x14ac:dyDescent="0.25">
      <c r="A614" s="1846"/>
      <c r="B614" s="2443" t="s">
        <v>7370</v>
      </c>
      <c r="C614" s="2443"/>
      <c r="D614" s="2443"/>
      <c r="E614" s="2443"/>
      <c r="F614" s="2443" t="s">
        <v>7369</v>
      </c>
      <c r="G614" s="2443"/>
      <c r="H614" s="2443"/>
      <c r="I614" s="2443"/>
      <c r="J614" s="2443" t="s">
        <v>588</v>
      </c>
      <c r="K614" s="2443"/>
      <c r="L614" s="2443"/>
      <c r="M614" s="2443"/>
      <c r="N614" s="2443"/>
      <c r="O614" s="2443"/>
      <c r="P614" s="2443"/>
    </row>
    <row r="615" spans="1:16" x14ac:dyDescent="0.25">
      <c r="A615" s="1846"/>
      <c r="B615" s="2443" t="s">
        <v>7368</v>
      </c>
      <c r="C615" s="2443"/>
      <c r="D615" s="2443"/>
      <c r="E615" s="2443"/>
      <c r="F615" s="2443" t="s">
        <v>7367</v>
      </c>
      <c r="G615" s="2443"/>
      <c r="H615" s="2443"/>
      <c r="I615" s="2443"/>
      <c r="J615" s="2443" t="s">
        <v>588</v>
      </c>
      <c r="K615" s="2443"/>
      <c r="L615" s="2443"/>
      <c r="M615" s="2443"/>
      <c r="N615" s="2443"/>
      <c r="O615" s="2443"/>
      <c r="P615" s="2443"/>
    </row>
    <row r="616" spans="1:16" ht="108.75" customHeight="1" x14ac:dyDescent="0.25">
      <c r="A616" s="1844" t="s">
        <v>6862</v>
      </c>
      <c r="B616" s="2431" t="s">
        <v>6861</v>
      </c>
      <c r="C616" s="2432"/>
      <c r="D616" s="2432"/>
      <c r="E616" s="2432"/>
      <c r="F616" s="2432" t="s">
        <v>6860</v>
      </c>
      <c r="G616" s="2432"/>
      <c r="H616" s="2432"/>
      <c r="I616" s="2432"/>
      <c r="J616" s="2432" t="s">
        <v>7366</v>
      </c>
      <c r="K616" s="2432"/>
      <c r="L616" s="2432"/>
      <c r="M616" s="2558">
        <f>ROUND((25980 + 4623 * 78) * 1 * 7.1 * 0.58 * 1.26413, 0)</f>
        <v>2012383</v>
      </c>
      <c r="N616" s="2432"/>
      <c r="O616" s="2432" t="s">
        <v>307</v>
      </c>
      <c r="P616" s="2432"/>
    </row>
    <row r="617" spans="1:16" x14ac:dyDescent="0.25">
      <c r="A617" s="1845"/>
      <c r="B617" s="2442" t="s">
        <v>4168</v>
      </c>
      <c r="C617" s="2442"/>
      <c r="D617" s="2442"/>
      <c r="E617" s="2442"/>
      <c r="F617" s="2442" t="s">
        <v>588</v>
      </c>
      <c r="G617" s="2442"/>
      <c r="H617" s="2442"/>
      <c r="I617" s="2442"/>
      <c r="J617" s="2442" t="s">
        <v>588</v>
      </c>
      <c r="K617" s="2442"/>
      <c r="L617" s="2442"/>
      <c r="M617" s="2442"/>
      <c r="N617" s="2442"/>
      <c r="O617" s="2442"/>
      <c r="P617" s="2442"/>
    </row>
    <row r="618" spans="1:16" x14ac:dyDescent="0.25">
      <c r="A618" s="1846"/>
      <c r="B618" s="2443" t="s">
        <v>7321</v>
      </c>
      <c r="C618" s="2443"/>
      <c r="D618" s="2443"/>
      <c r="E618" s="2443"/>
      <c r="F618" s="2443" t="s">
        <v>7365</v>
      </c>
      <c r="G618" s="2443"/>
      <c r="H618" s="2443"/>
      <c r="I618" s="2443"/>
      <c r="J618" s="2443" t="s">
        <v>588</v>
      </c>
      <c r="K618" s="2443"/>
      <c r="L618" s="2443"/>
      <c r="M618" s="2443"/>
      <c r="N618" s="2443"/>
      <c r="O618" s="2443"/>
      <c r="P618" s="2443"/>
    </row>
    <row r="619" spans="1:16" ht="40.9" customHeight="1" x14ac:dyDescent="0.25">
      <c r="A619" s="1846"/>
      <c r="B619" s="2443" t="s">
        <v>6397</v>
      </c>
      <c r="C619" s="2443"/>
      <c r="D619" s="2443"/>
      <c r="E619" s="2443"/>
      <c r="F619" s="2443" t="s">
        <v>6398</v>
      </c>
      <c r="G619" s="2443"/>
      <c r="H619" s="2443"/>
      <c r="I619" s="2443"/>
      <c r="J619" s="2443" t="s">
        <v>588</v>
      </c>
      <c r="K619" s="2443"/>
      <c r="L619" s="2443"/>
      <c r="M619" s="2443"/>
      <c r="N619" s="2443"/>
      <c r="O619" s="2443"/>
      <c r="P619" s="2443"/>
    </row>
    <row r="620" spans="1:16" ht="149.65" customHeight="1" x14ac:dyDescent="0.25">
      <c r="A620" s="1846"/>
      <c r="B620" s="2443" t="s">
        <v>6148</v>
      </c>
      <c r="C620" s="2443"/>
      <c r="D620" s="2443"/>
      <c r="E620" s="2443"/>
      <c r="F620" s="2443" t="s">
        <v>7348</v>
      </c>
      <c r="G620" s="2443"/>
      <c r="H620" s="2443"/>
      <c r="I620" s="2443"/>
      <c r="J620" s="2443" t="s">
        <v>588</v>
      </c>
      <c r="K620" s="2443"/>
      <c r="L620" s="2443"/>
      <c r="M620" s="2443"/>
      <c r="N620" s="2443"/>
      <c r="O620" s="2443"/>
      <c r="P620" s="2443"/>
    </row>
    <row r="621" spans="1:16" ht="108.75" customHeight="1" x14ac:dyDescent="0.25">
      <c r="A621" s="1845"/>
      <c r="B621" s="2442" t="s">
        <v>6150</v>
      </c>
      <c r="C621" s="2442"/>
      <c r="D621" s="2442"/>
      <c r="E621" s="2442"/>
      <c r="F621" s="2442" t="s">
        <v>588</v>
      </c>
      <c r="G621" s="2442"/>
      <c r="H621" s="2442"/>
      <c r="I621" s="2442"/>
      <c r="J621" s="2442" t="s">
        <v>7347</v>
      </c>
      <c r="K621" s="2442"/>
      <c r="L621" s="2442"/>
      <c r="M621" s="2442"/>
      <c r="N621" s="2442"/>
      <c r="O621" s="2442"/>
      <c r="P621" s="2442"/>
    </row>
    <row r="622" spans="1:16" x14ac:dyDescent="0.25">
      <c r="A622" s="1846"/>
      <c r="B622" s="2443" t="s">
        <v>7346</v>
      </c>
      <c r="C622" s="2443"/>
      <c r="D622" s="2443"/>
      <c r="E622" s="2443"/>
      <c r="F622" s="2443" t="s">
        <v>7364</v>
      </c>
      <c r="G622" s="2443"/>
      <c r="H622" s="2443"/>
      <c r="I622" s="2443"/>
      <c r="J622" s="2443" t="s">
        <v>588</v>
      </c>
      <c r="K622" s="2443"/>
      <c r="L622" s="2443"/>
      <c r="M622" s="2443"/>
      <c r="N622" s="2443"/>
      <c r="O622" s="2443"/>
      <c r="P622" s="2443"/>
    </row>
    <row r="623" spans="1:16" x14ac:dyDescent="0.25">
      <c r="A623" s="1846"/>
      <c r="B623" s="2443" t="s">
        <v>7344</v>
      </c>
      <c r="C623" s="2443"/>
      <c r="D623" s="2443"/>
      <c r="E623" s="2443"/>
      <c r="F623" s="2443" t="s">
        <v>7363</v>
      </c>
      <c r="G623" s="2443"/>
      <c r="H623" s="2443"/>
      <c r="I623" s="2443"/>
      <c r="J623" s="2443" t="s">
        <v>588</v>
      </c>
      <c r="K623" s="2443"/>
      <c r="L623" s="2443"/>
      <c r="M623" s="2443"/>
      <c r="N623" s="2443"/>
      <c r="O623" s="2443"/>
      <c r="P623" s="2443"/>
    </row>
    <row r="624" spans="1:16" x14ac:dyDescent="0.25">
      <c r="A624" s="1846"/>
      <c r="B624" s="2443" t="s">
        <v>6215</v>
      </c>
      <c r="C624" s="2443"/>
      <c r="D624" s="2443"/>
      <c r="E624" s="2443"/>
      <c r="F624" s="2443" t="s">
        <v>7362</v>
      </c>
      <c r="G624" s="2443"/>
      <c r="H624" s="2443"/>
      <c r="I624" s="2443"/>
      <c r="J624" s="2443" t="s">
        <v>588</v>
      </c>
      <c r="K624" s="2443"/>
      <c r="L624" s="2443"/>
      <c r="M624" s="2443"/>
      <c r="N624" s="2443"/>
      <c r="O624" s="2443"/>
      <c r="P624" s="2443"/>
    </row>
    <row r="625" spans="1:16" x14ac:dyDescent="0.25">
      <c r="A625" s="1846"/>
      <c r="B625" s="2443" t="s">
        <v>7341</v>
      </c>
      <c r="C625" s="2443"/>
      <c r="D625" s="2443"/>
      <c r="E625" s="2443"/>
      <c r="F625" s="2443" t="s">
        <v>7361</v>
      </c>
      <c r="G625" s="2443"/>
      <c r="H625" s="2443"/>
      <c r="I625" s="2443"/>
      <c r="J625" s="2443" t="s">
        <v>588</v>
      </c>
      <c r="K625" s="2443"/>
      <c r="L625" s="2443"/>
      <c r="M625" s="2443"/>
      <c r="N625" s="2443"/>
      <c r="O625" s="2443"/>
      <c r="P625" s="2443"/>
    </row>
    <row r="626" spans="1:16" ht="27.2" customHeight="1" x14ac:dyDescent="0.25">
      <c r="A626" s="1846"/>
      <c r="B626" s="2443" t="s">
        <v>7339</v>
      </c>
      <c r="C626" s="2443"/>
      <c r="D626" s="2443"/>
      <c r="E626" s="2443"/>
      <c r="F626" s="2443" t="s">
        <v>7360</v>
      </c>
      <c r="G626" s="2443"/>
      <c r="H626" s="2443"/>
      <c r="I626" s="2443"/>
      <c r="J626" s="2443" t="s">
        <v>588</v>
      </c>
      <c r="K626" s="2443"/>
      <c r="L626" s="2443"/>
      <c r="M626" s="2443"/>
      <c r="N626" s="2443"/>
      <c r="O626" s="2443"/>
      <c r="P626" s="2443"/>
    </row>
    <row r="627" spans="1:16" ht="27.2" customHeight="1" x14ac:dyDescent="0.25">
      <c r="A627" s="1846"/>
      <c r="B627" s="2443" t="s">
        <v>7337</v>
      </c>
      <c r="C627" s="2443"/>
      <c r="D627" s="2443"/>
      <c r="E627" s="2443"/>
      <c r="F627" s="2443" t="s">
        <v>7359</v>
      </c>
      <c r="G627" s="2443"/>
      <c r="H627" s="2443"/>
      <c r="I627" s="2443"/>
      <c r="J627" s="2443" t="s">
        <v>588</v>
      </c>
      <c r="K627" s="2443"/>
      <c r="L627" s="2443"/>
      <c r="M627" s="2443"/>
      <c r="N627" s="2443"/>
      <c r="O627" s="2443"/>
      <c r="P627" s="2443"/>
    </row>
    <row r="628" spans="1:16" ht="27.2" customHeight="1" x14ac:dyDescent="0.25">
      <c r="A628" s="1846"/>
      <c r="B628" s="2443" t="s">
        <v>7336</v>
      </c>
      <c r="C628" s="2443"/>
      <c r="D628" s="2443"/>
      <c r="E628" s="2443"/>
      <c r="F628" s="2443" t="s">
        <v>7359</v>
      </c>
      <c r="G628" s="2443"/>
      <c r="H628" s="2443"/>
      <c r="I628" s="2443"/>
      <c r="J628" s="2443" t="s">
        <v>588</v>
      </c>
      <c r="K628" s="2443"/>
      <c r="L628" s="2443"/>
      <c r="M628" s="2443"/>
      <c r="N628" s="2443"/>
      <c r="O628" s="2443"/>
      <c r="P628" s="2443"/>
    </row>
    <row r="629" spans="1:16" ht="27.2" customHeight="1" x14ac:dyDescent="0.25">
      <c r="A629" s="1846"/>
      <c r="B629" s="2443" t="s">
        <v>7334</v>
      </c>
      <c r="C629" s="2443"/>
      <c r="D629" s="2443"/>
      <c r="E629" s="2443"/>
      <c r="F629" s="2443" t="s">
        <v>7358</v>
      </c>
      <c r="G629" s="2443"/>
      <c r="H629" s="2443"/>
      <c r="I629" s="2443"/>
      <c r="J629" s="2443" t="s">
        <v>588</v>
      </c>
      <c r="K629" s="2443"/>
      <c r="L629" s="2443"/>
      <c r="M629" s="2443"/>
      <c r="N629" s="2443"/>
      <c r="O629" s="2443"/>
      <c r="P629" s="2443"/>
    </row>
    <row r="630" spans="1:16" ht="27.2" customHeight="1" x14ac:dyDescent="0.25">
      <c r="A630" s="1846"/>
      <c r="B630" s="2443" t="s">
        <v>7332</v>
      </c>
      <c r="C630" s="2443"/>
      <c r="D630" s="2443"/>
      <c r="E630" s="2443"/>
      <c r="F630" s="2443" t="s">
        <v>7357</v>
      </c>
      <c r="G630" s="2443"/>
      <c r="H630" s="2443"/>
      <c r="I630" s="2443"/>
      <c r="J630" s="2443" t="s">
        <v>588</v>
      </c>
      <c r="K630" s="2443"/>
      <c r="L630" s="2443"/>
      <c r="M630" s="2443"/>
      <c r="N630" s="2443"/>
      <c r="O630" s="2443"/>
      <c r="P630" s="2443"/>
    </row>
    <row r="631" spans="1:16" ht="27.2" customHeight="1" x14ac:dyDescent="0.25">
      <c r="A631" s="1846"/>
      <c r="B631" s="2443" t="s">
        <v>7330</v>
      </c>
      <c r="C631" s="2443"/>
      <c r="D631" s="2443"/>
      <c r="E631" s="2443"/>
      <c r="F631" s="2443" t="s">
        <v>7356</v>
      </c>
      <c r="G631" s="2443"/>
      <c r="H631" s="2443"/>
      <c r="I631" s="2443"/>
      <c r="J631" s="2443" t="s">
        <v>588</v>
      </c>
      <c r="K631" s="2443"/>
      <c r="L631" s="2443"/>
      <c r="M631" s="2443"/>
      <c r="N631" s="2443"/>
      <c r="O631" s="2443"/>
      <c r="P631" s="2443"/>
    </row>
    <row r="632" spans="1:16" ht="27.2" customHeight="1" x14ac:dyDescent="0.25">
      <c r="A632" s="1846"/>
      <c r="B632" s="2443" t="s">
        <v>7328</v>
      </c>
      <c r="C632" s="2443"/>
      <c r="D632" s="2443"/>
      <c r="E632" s="2443"/>
      <c r="F632" s="2443" t="s">
        <v>7355</v>
      </c>
      <c r="G632" s="2443"/>
      <c r="H632" s="2443"/>
      <c r="I632" s="2443"/>
      <c r="J632" s="2443" t="s">
        <v>588</v>
      </c>
      <c r="K632" s="2443"/>
      <c r="L632" s="2443"/>
      <c r="M632" s="2443"/>
      <c r="N632" s="2443"/>
      <c r="O632" s="2443"/>
      <c r="P632" s="2443"/>
    </row>
    <row r="633" spans="1:16" x14ac:dyDescent="0.25">
      <c r="A633" s="1846"/>
      <c r="B633" s="2443" t="s">
        <v>6263</v>
      </c>
      <c r="C633" s="2443"/>
      <c r="D633" s="2443"/>
      <c r="E633" s="2443"/>
      <c r="F633" s="2443" t="s">
        <v>7354</v>
      </c>
      <c r="G633" s="2443"/>
      <c r="H633" s="2443"/>
      <c r="I633" s="2443"/>
      <c r="J633" s="2443" t="s">
        <v>588</v>
      </c>
      <c r="K633" s="2443"/>
      <c r="L633" s="2443"/>
      <c r="M633" s="2443"/>
      <c r="N633" s="2443"/>
      <c r="O633" s="2443"/>
      <c r="P633" s="2443"/>
    </row>
    <row r="634" spans="1:16" x14ac:dyDescent="0.25">
      <c r="A634" s="1846"/>
      <c r="B634" s="2443" t="s">
        <v>7325</v>
      </c>
      <c r="C634" s="2443"/>
      <c r="D634" s="2443"/>
      <c r="E634" s="2443"/>
      <c r="F634" s="2443" t="s">
        <v>7353</v>
      </c>
      <c r="G634" s="2443"/>
      <c r="H634" s="2443"/>
      <c r="I634" s="2443"/>
      <c r="J634" s="2443" t="s">
        <v>588</v>
      </c>
      <c r="K634" s="2443"/>
      <c r="L634" s="2443"/>
      <c r="M634" s="2443"/>
      <c r="N634" s="2443"/>
      <c r="O634" s="2443"/>
      <c r="P634" s="2443"/>
    </row>
    <row r="635" spans="1:16" x14ac:dyDescent="0.25">
      <c r="A635" s="1846"/>
      <c r="B635" s="2443" t="s">
        <v>6234</v>
      </c>
      <c r="C635" s="2443"/>
      <c r="D635" s="2443"/>
      <c r="E635" s="2443"/>
      <c r="F635" s="2443" t="s">
        <v>7352</v>
      </c>
      <c r="G635" s="2443"/>
      <c r="H635" s="2443"/>
      <c r="I635" s="2443"/>
      <c r="J635" s="2443" t="s">
        <v>588</v>
      </c>
      <c r="K635" s="2443"/>
      <c r="L635" s="2443"/>
      <c r="M635" s="2443"/>
      <c r="N635" s="2443"/>
      <c r="O635" s="2443"/>
      <c r="P635" s="2443"/>
    </row>
    <row r="636" spans="1:16" ht="108.75" customHeight="1" x14ac:dyDescent="0.25">
      <c r="A636" s="1844" t="s">
        <v>6842</v>
      </c>
      <c r="B636" s="2431" t="s">
        <v>6841</v>
      </c>
      <c r="C636" s="2432"/>
      <c r="D636" s="2432"/>
      <c r="E636" s="2432"/>
      <c r="F636" s="2432" t="s">
        <v>6840</v>
      </c>
      <c r="G636" s="2432"/>
      <c r="H636" s="2432"/>
      <c r="I636" s="2432"/>
      <c r="J636" s="2432" t="s">
        <v>7351</v>
      </c>
      <c r="K636" s="2432"/>
      <c r="L636" s="2432"/>
      <c r="M636" s="2558">
        <f>ROUND((1020 + 15 * (0.4 * 50 + 0.6 * (50 / 2))) * 1 * 0.1 * 7.1 * 0.52 * 1.26413, 0)</f>
        <v>721</v>
      </c>
      <c r="N636" s="2432"/>
      <c r="O636" s="2432" t="s">
        <v>7350</v>
      </c>
      <c r="P636" s="2432"/>
    </row>
    <row r="637" spans="1:16" x14ac:dyDescent="0.25">
      <c r="A637" s="1845"/>
      <c r="B637" s="2442" t="s">
        <v>4168</v>
      </c>
      <c r="C637" s="2442"/>
      <c r="D637" s="2442"/>
      <c r="E637" s="2442"/>
      <c r="F637" s="2442" t="s">
        <v>588</v>
      </c>
      <c r="G637" s="2442"/>
      <c r="H637" s="2442"/>
      <c r="I637" s="2442"/>
      <c r="J637" s="2442" t="s">
        <v>588</v>
      </c>
      <c r="K637" s="2442"/>
      <c r="L637" s="2442"/>
      <c r="M637" s="2442"/>
      <c r="N637" s="2442"/>
      <c r="O637" s="2442"/>
      <c r="P637" s="2442"/>
    </row>
    <row r="638" spans="1:16" x14ac:dyDescent="0.25">
      <c r="A638" s="1846"/>
      <c r="B638" s="2443" t="s">
        <v>7321</v>
      </c>
      <c r="C638" s="2443"/>
      <c r="D638" s="2443"/>
      <c r="E638" s="2443"/>
      <c r="F638" s="2443" t="s">
        <v>7349</v>
      </c>
      <c r="G638" s="2443"/>
      <c r="H638" s="2443"/>
      <c r="I638" s="2443"/>
      <c r="J638" s="2443" t="s">
        <v>588</v>
      </c>
      <c r="K638" s="2443"/>
      <c r="L638" s="2443"/>
      <c r="M638" s="2443"/>
      <c r="N638" s="2443"/>
      <c r="O638" s="2443"/>
      <c r="P638" s="2443"/>
    </row>
    <row r="639" spans="1:16" ht="40.9" customHeight="1" x14ac:dyDescent="0.25">
      <c r="A639" s="1846"/>
      <c r="B639" s="2443" t="s">
        <v>6397</v>
      </c>
      <c r="C639" s="2443"/>
      <c r="D639" s="2443"/>
      <c r="E639" s="2443"/>
      <c r="F639" s="2443" t="s">
        <v>6398</v>
      </c>
      <c r="G639" s="2443"/>
      <c r="H639" s="2443"/>
      <c r="I639" s="2443"/>
      <c r="J639" s="2443" t="s">
        <v>588</v>
      </c>
      <c r="K639" s="2443"/>
      <c r="L639" s="2443"/>
      <c r="M639" s="2443"/>
      <c r="N639" s="2443"/>
      <c r="O639" s="2443"/>
      <c r="P639" s="2443"/>
    </row>
    <row r="640" spans="1:16" ht="95.25" customHeight="1" x14ac:dyDescent="0.25">
      <c r="A640" s="1846"/>
      <c r="B640" s="2443" t="s">
        <v>6251</v>
      </c>
      <c r="C640" s="2443"/>
      <c r="D640" s="2443"/>
      <c r="E640" s="2443"/>
      <c r="F640" s="2443" t="s">
        <v>6837</v>
      </c>
      <c r="G640" s="2443"/>
      <c r="H640" s="2443"/>
      <c r="I640" s="2443"/>
      <c r="J640" s="2443" t="s">
        <v>588</v>
      </c>
      <c r="K640" s="2443"/>
      <c r="L640" s="2443"/>
      <c r="M640" s="2443"/>
      <c r="N640" s="2443"/>
      <c r="O640" s="2443"/>
      <c r="P640" s="2443"/>
    </row>
    <row r="641" spans="1:16" ht="149.65" customHeight="1" x14ac:dyDescent="0.25">
      <c r="A641" s="1846"/>
      <c r="B641" s="2443" t="s">
        <v>6148</v>
      </c>
      <c r="C641" s="2443"/>
      <c r="D641" s="2443"/>
      <c r="E641" s="2443"/>
      <c r="F641" s="2443" t="s">
        <v>7348</v>
      </c>
      <c r="G641" s="2443"/>
      <c r="H641" s="2443"/>
      <c r="I641" s="2443"/>
      <c r="J641" s="2443" t="s">
        <v>588</v>
      </c>
      <c r="K641" s="2443"/>
      <c r="L641" s="2443"/>
      <c r="M641" s="2443"/>
      <c r="N641" s="2443"/>
      <c r="O641" s="2443"/>
      <c r="P641" s="2443"/>
    </row>
    <row r="642" spans="1:16" ht="108.75" customHeight="1" x14ac:dyDescent="0.25">
      <c r="A642" s="1845"/>
      <c r="B642" s="2442" t="s">
        <v>6150</v>
      </c>
      <c r="C642" s="2442"/>
      <c r="D642" s="2442"/>
      <c r="E642" s="2442"/>
      <c r="F642" s="2442" t="s">
        <v>588</v>
      </c>
      <c r="G642" s="2442"/>
      <c r="H642" s="2442"/>
      <c r="I642" s="2442"/>
      <c r="J642" s="2442" t="s">
        <v>7347</v>
      </c>
      <c r="K642" s="2442"/>
      <c r="L642" s="2442"/>
      <c r="M642" s="2442"/>
      <c r="N642" s="2442"/>
      <c r="O642" s="2442"/>
      <c r="P642" s="2442"/>
    </row>
    <row r="643" spans="1:16" x14ac:dyDescent="0.25">
      <c r="A643" s="1846"/>
      <c r="B643" s="2443" t="s">
        <v>7346</v>
      </c>
      <c r="C643" s="2443"/>
      <c r="D643" s="2443"/>
      <c r="E643" s="2443"/>
      <c r="F643" s="2443" t="s">
        <v>7345</v>
      </c>
      <c r="G643" s="2443"/>
      <c r="H643" s="2443"/>
      <c r="I643" s="2443"/>
      <c r="J643" s="2443" t="s">
        <v>588</v>
      </c>
      <c r="K643" s="2443"/>
      <c r="L643" s="2443"/>
      <c r="M643" s="2443"/>
      <c r="N643" s="2443"/>
      <c r="O643" s="2443"/>
      <c r="P643" s="2443"/>
    </row>
    <row r="644" spans="1:16" x14ac:dyDescent="0.25">
      <c r="A644" s="1846"/>
      <c r="B644" s="2443" t="s">
        <v>7344</v>
      </c>
      <c r="C644" s="2443"/>
      <c r="D644" s="2443"/>
      <c r="E644" s="2443"/>
      <c r="F644" s="2443" t="s">
        <v>7343</v>
      </c>
      <c r="G644" s="2443"/>
      <c r="H644" s="2443"/>
      <c r="I644" s="2443"/>
      <c r="J644" s="2443" t="s">
        <v>588</v>
      </c>
      <c r="K644" s="2443"/>
      <c r="L644" s="2443"/>
      <c r="M644" s="2443"/>
      <c r="N644" s="2443"/>
      <c r="O644" s="2443"/>
      <c r="P644" s="2443"/>
    </row>
    <row r="645" spans="1:16" x14ac:dyDescent="0.25">
      <c r="A645" s="1846"/>
      <c r="B645" s="2443" t="s">
        <v>6215</v>
      </c>
      <c r="C645" s="2443"/>
      <c r="D645" s="2443"/>
      <c r="E645" s="2443"/>
      <c r="F645" s="2443" t="s">
        <v>7342</v>
      </c>
      <c r="G645" s="2443"/>
      <c r="H645" s="2443"/>
      <c r="I645" s="2443"/>
      <c r="J645" s="2443" t="s">
        <v>588</v>
      </c>
      <c r="K645" s="2443"/>
      <c r="L645" s="2443"/>
      <c r="M645" s="2443"/>
      <c r="N645" s="2443"/>
      <c r="O645" s="2443"/>
      <c r="P645" s="2443"/>
    </row>
    <row r="646" spans="1:16" x14ac:dyDescent="0.25">
      <c r="A646" s="1846"/>
      <c r="B646" s="2443" t="s">
        <v>7341</v>
      </c>
      <c r="C646" s="2443"/>
      <c r="D646" s="2443"/>
      <c r="E646" s="2443"/>
      <c r="F646" s="2443" t="s">
        <v>7340</v>
      </c>
      <c r="G646" s="2443"/>
      <c r="H646" s="2443"/>
      <c r="I646" s="2443"/>
      <c r="J646" s="2443" t="s">
        <v>588</v>
      </c>
      <c r="K646" s="2443"/>
      <c r="L646" s="2443"/>
      <c r="M646" s="2443"/>
      <c r="N646" s="2443"/>
      <c r="O646" s="2443"/>
      <c r="P646" s="2443"/>
    </row>
    <row r="647" spans="1:16" ht="27.2" customHeight="1" x14ac:dyDescent="0.25">
      <c r="A647" s="1846"/>
      <c r="B647" s="2443" t="s">
        <v>7339</v>
      </c>
      <c r="C647" s="2443"/>
      <c r="D647" s="2443"/>
      <c r="E647" s="2443"/>
      <c r="F647" s="2443" t="s">
        <v>7338</v>
      </c>
      <c r="G647" s="2443"/>
      <c r="H647" s="2443"/>
      <c r="I647" s="2443"/>
      <c r="J647" s="2443" t="s">
        <v>588</v>
      </c>
      <c r="K647" s="2443"/>
      <c r="L647" s="2443"/>
      <c r="M647" s="2443"/>
      <c r="N647" s="2443"/>
      <c r="O647" s="2443"/>
      <c r="P647" s="2443"/>
    </row>
    <row r="648" spans="1:16" x14ac:dyDescent="0.25">
      <c r="A648" s="1846"/>
      <c r="B648" s="2443" t="s">
        <v>7337</v>
      </c>
      <c r="C648" s="2443"/>
      <c r="D648" s="2443"/>
      <c r="E648" s="2443"/>
      <c r="F648" s="2443" t="s">
        <v>7335</v>
      </c>
      <c r="G648" s="2443"/>
      <c r="H648" s="2443"/>
      <c r="I648" s="2443"/>
      <c r="J648" s="2443" t="s">
        <v>588</v>
      </c>
      <c r="K648" s="2443"/>
      <c r="L648" s="2443"/>
      <c r="M648" s="2443"/>
      <c r="N648" s="2443"/>
      <c r="O648" s="2443"/>
      <c r="P648" s="2443"/>
    </row>
    <row r="649" spans="1:16" x14ac:dyDescent="0.25">
      <c r="A649" s="1846"/>
      <c r="B649" s="2443" t="s">
        <v>7336</v>
      </c>
      <c r="C649" s="2443"/>
      <c r="D649" s="2443"/>
      <c r="E649" s="2443"/>
      <c r="F649" s="2443" t="s">
        <v>7335</v>
      </c>
      <c r="G649" s="2443"/>
      <c r="H649" s="2443"/>
      <c r="I649" s="2443"/>
      <c r="J649" s="2443" t="s">
        <v>588</v>
      </c>
      <c r="K649" s="2443"/>
      <c r="L649" s="2443"/>
      <c r="M649" s="2443"/>
      <c r="N649" s="2443"/>
      <c r="O649" s="2443"/>
      <c r="P649" s="2443"/>
    </row>
    <row r="650" spans="1:16" x14ac:dyDescent="0.25">
      <c r="A650" s="1846"/>
      <c r="B650" s="2443" t="s">
        <v>7334</v>
      </c>
      <c r="C650" s="2443"/>
      <c r="D650" s="2443"/>
      <c r="E650" s="2443"/>
      <c r="F650" s="2443" t="s">
        <v>7333</v>
      </c>
      <c r="G650" s="2443"/>
      <c r="H650" s="2443"/>
      <c r="I650" s="2443"/>
      <c r="J650" s="2443" t="s">
        <v>588</v>
      </c>
      <c r="K650" s="2443"/>
      <c r="L650" s="2443"/>
      <c r="M650" s="2443"/>
      <c r="N650" s="2443"/>
      <c r="O650" s="2443"/>
      <c r="P650" s="2443"/>
    </row>
    <row r="651" spans="1:16" x14ac:dyDescent="0.25">
      <c r="A651" s="1846"/>
      <c r="B651" s="2443" t="s">
        <v>7332</v>
      </c>
      <c r="C651" s="2443"/>
      <c r="D651" s="2443"/>
      <c r="E651" s="2443"/>
      <c r="F651" s="2443" t="s">
        <v>7331</v>
      </c>
      <c r="G651" s="2443"/>
      <c r="H651" s="2443"/>
      <c r="I651" s="2443"/>
      <c r="J651" s="2443" t="s">
        <v>588</v>
      </c>
      <c r="K651" s="2443"/>
      <c r="L651" s="2443"/>
      <c r="M651" s="2443"/>
      <c r="N651" s="2443"/>
      <c r="O651" s="2443"/>
      <c r="P651" s="2443"/>
    </row>
    <row r="652" spans="1:16" x14ac:dyDescent="0.25">
      <c r="A652" s="1846"/>
      <c r="B652" s="2443" t="s">
        <v>7330</v>
      </c>
      <c r="C652" s="2443"/>
      <c r="D652" s="2443"/>
      <c r="E652" s="2443"/>
      <c r="F652" s="2443" t="s">
        <v>7329</v>
      </c>
      <c r="G652" s="2443"/>
      <c r="H652" s="2443"/>
      <c r="I652" s="2443"/>
      <c r="J652" s="2443" t="s">
        <v>588</v>
      </c>
      <c r="K652" s="2443"/>
      <c r="L652" s="2443"/>
      <c r="M652" s="2443"/>
      <c r="N652" s="2443"/>
      <c r="O652" s="2443"/>
      <c r="P652" s="2443"/>
    </row>
    <row r="653" spans="1:16" ht="27.2" customHeight="1" x14ac:dyDescent="0.25">
      <c r="A653" s="1846"/>
      <c r="B653" s="2443" t="s">
        <v>7328</v>
      </c>
      <c r="C653" s="2443"/>
      <c r="D653" s="2443"/>
      <c r="E653" s="2443"/>
      <c r="F653" s="2443" t="s">
        <v>7327</v>
      </c>
      <c r="G653" s="2443"/>
      <c r="H653" s="2443"/>
      <c r="I653" s="2443"/>
      <c r="J653" s="2443" t="s">
        <v>588</v>
      </c>
      <c r="K653" s="2443"/>
      <c r="L653" s="2443"/>
      <c r="M653" s="2443"/>
      <c r="N653" s="2443"/>
      <c r="O653" s="2443"/>
      <c r="P653" s="2443"/>
    </row>
    <row r="654" spans="1:16" x14ac:dyDescent="0.25">
      <c r="A654" s="1846"/>
      <c r="B654" s="2443" t="s">
        <v>6263</v>
      </c>
      <c r="C654" s="2443"/>
      <c r="D654" s="2443"/>
      <c r="E654" s="2443"/>
      <c r="F654" s="2443" t="s">
        <v>7326</v>
      </c>
      <c r="G654" s="2443"/>
      <c r="H654" s="2443"/>
      <c r="I654" s="2443"/>
      <c r="J654" s="2443" t="s">
        <v>588</v>
      </c>
      <c r="K654" s="2443"/>
      <c r="L654" s="2443"/>
      <c r="M654" s="2443"/>
      <c r="N654" s="2443"/>
      <c r="O654" s="2443"/>
      <c r="P654" s="2443"/>
    </row>
    <row r="655" spans="1:16" x14ac:dyDescent="0.25">
      <c r="A655" s="1846"/>
      <c r="B655" s="2443" t="s">
        <v>7325</v>
      </c>
      <c r="C655" s="2443"/>
      <c r="D655" s="2443"/>
      <c r="E655" s="2443"/>
      <c r="F655" s="2443" t="s">
        <v>7324</v>
      </c>
      <c r="G655" s="2443"/>
      <c r="H655" s="2443"/>
      <c r="I655" s="2443"/>
      <c r="J655" s="2443" t="s">
        <v>588</v>
      </c>
      <c r="K655" s="2443"/>
      <c r="L655" s="2443"/>
      <c r="M655" s="2443"/>
      <c r="N655" s="2443"/>
      <c r="O655" s="2443"/>
      <c r="P655" s="2443"/>
    </row>
    <row r="656" spans="1:16" x14ac:dyDescent="0.25">
      <c r="A656" s="1846"/>
      <c r="B656" s="2443" t="s">
        <v>6234</v>
      </c>
      <c r="C656" s="2443"/>
      <c r="D656" s="2443"/>
      <c r="E656" s="2443"/>
      <c r="F656" s="2443" t="s">
        <v>7323</v>
      </c>
      <c r="G656" s="2443"/>
      <c r="H656" s="2443"/>
      <c r="I656" s="2443"/>
      <c r="J656" s="2443" t="s">
        <v>588</v>
      </c>
      <c r="K656" s="2443"/>
      <c r="L656" s="2443"/>
      <c r="M656" s="2443"/>
      <c r="N656" s="2443"/>
      <c r="O656" s="2443"/>
      <c r="P656" s="2443"/>
    </row>
    <row r="657" spans="1:16" ht="149.65" customHeight="1" x14ac:dyDescent="0.25">
      <c r="A657" s="1844" t="s">
        <v>6805</v>
      </c>
      <c r="B657" s="2431" t="s">
        <v>6804</v>
      </c>
      <c r="C657" s="2432"/>
      <c r="D657" s="2432"/>
      <c r="E657" s="2432"/>
      <c r="F657" s="2432" t="s">
        <v>6803</v>
      </c>
      <c r="G657" s="2432"/>
      <c r="H657" s="2432"/>
      <c r="I657" s="2432"/>
      <c r="J657" s="2432" t="s">
        <v>7322</v>
      </c>
      <c r="K657" s="2432"/>
      <c r="L657" s="2432"/>
      <c r="M657" s="2558">
        <f>ROUND((20500 + 3650 * 36) * 1 * 1.53 * 0.6 * 1.3, 0)</f>
        <v>181277</v>
      </c>
      <c r="N657" s="2432"/>
      <c r="O657" s="2432" t="s">
        <v>588</v>
      </c>
      <c r="P657" s="2432"/>
    </row>
    <row r="658" spans="1:16" x14ac:dyDescent="0.25">
      <c r="A658" s="1845"/>
      <c r="B658" s="2442" t="s">
        <v>4168</v>
      </c>
      <c r="C658" s="2442"/>
      <c r="D658" s="2442"/>
      <c r="E658" s="2442"/>
      <c r="F658" s="2442" t="s">
        <v>588</v>
      </c>
      <c r="G658" s="2442"/>
      <c r="H658" s="2442"/>
      <c r="I658" s="2442"/>
      <c r="J658" s="2442" t="s">
        <v>588</v>
      </c>
      <c r="K658" s="2442"/>
      <c r="L658" s="2442"/>
      <c r="M658" s="2442"/>
      <c r="N658" s="2442"/>
      <c r="O658" s="2442"/>
      <c r="P658" s="2442"/>
    </row>
    <row r="659" spans="1:16" x14ac:dyDescent="0.25">
      <c r="A659" s="1846"/>
      <c r="B659" s="2443" t="s">
        <v>7321</v>
      </c>
      <c r="C659" s="2443"/>
      <c r="D659" s="2443"/>
      <c r="E659" s="2443"/>
      <c r="F659" s="2443" t="s">
        <v>7320</v>
      </c>
      <c r="G659" s="2443"/>
      <c r="H659" s="2443"/>
      <c r="I659" s="2443"/>
      <c r="J659" s="2443" t="s">
        <v>588</v>
      </c>
      <c r="K659" s="2443"/>
      <c r="L659" s="2443"/>
      <c r="M659" s="2443"/>
      <c r="N659" s="2443"/>
      <c r="O659" s="2443"/>
      <c r="P659" s="2443"/>
    </row>
    <row r="660" spans="1:16" ht="40.9" customHeight="1" x14ac:dyDescent="0.25">
      <c r="A660" s="1846"/>
      <c r="B660" s="2443" t="s">
        <v>6401</v>
      </c>
      <c r="C660" s="2443"/>
      <c r="D660" s="2443"/>
      <c r="E660" s="2443"/>
      <c r="F660" s="2443" t="s">
        <v>6402</v>
      </c>
      <c r="G660" s="2443"/>
      <c r="H660" s="2443"/>
      <c r="I660" s="2443"/>
      <c r="J660" s="2443" t="s">
        <v>588</v>
      </c>
      <c r="K660" s="2443"/>
      <c r="L660" s="2443"/>
      <c r="M660" s="2443"/>
      <c r="N660" s="2443"/>
      <c r="O660" s="2443"/>
      <c r="P660" s="2443"/>
    </row>
    <row r="661" spans="1:16" ht="149.65" customHeight="1" x14ac:dyDescent="0.25">
      <c r="A661" s="1846"/>
      <c r="B661" s="2443" t="s">
        <v>6148</v>
      </c>
      <c r="C661" s="2443"/>
      <c r="D661" s="2443"/>
      <c r="E661" s="2443"/>
      <c r="F661" s="2443" t="s">
        <v>6149</v>
      </c>
      <c r="G661" s="2443"/>
      <c r="H661" s="2443"/>
      <c r="I661" s="2443"/>
      <c r="J661" s="2443" t="s">
        <v>588</v>
      </c>
      <c r="K661" s="2443"/>
      <c r="L661" s="2443"/>
      <c r="M661" s="2443"/>
      <c r="N661" s="2443"/>
      <c r="O661" s="2443"/>
      <c r="P661" s="2443"/>
    </row>
    <row r="662" spans="1:16" x14ac:dyDescent="0.25">
      <c r="A662" s="1845"/>
      <c r="B662" s="2442" t="s">
        <v>6150</v>
      </c>
      <c r="C662" s="2442"/>
      <c r="D662" s="2442"/>
      <c r="E662" s="2442"/>
      <c r="F662" s="2442" t="s">
        <v>588</v>
      </c>
      <c r="G662" s="2442"/>
      <c r="H662" s="2442"/>
      <c r="I662" s="2442"/>
      <c r="J662" s="2442" t="s">
        <v>6243</v>
      </c>
      <c r="K662" s="2442"/>
      <c r="L662" s="2442"/>
      <c r="M662" s="2442"/>
      <c r="N662" s="2442"/>
      <c r="O662" s="2442"/>
      <c r="P662" s="2442"/>
    </row>
    <row r="663" spans="1:16" x14ac:dyDescent="0.25">
      <c r="A663" s="1846"/>
      <c r="B663" s="2443" t="s">
        <v>6244</v>
      </c>
      <c r="C663" s="2443"/>
      <c r="D663" s="2443"/>
      <c r="E663" s="2443"/>
      <c r="F663" s="2443" t="s">
        <v>7319</v>
      </c>
      <c r="G663" s="2443"/>
      <c r="H663" s="2443"/>
      <c r="I663" s="2443"/>
      <c r="J663" s="2443" t="s">
        <v>588</v>
      </c>
      <c r="K663" s="2443"/>
      <c r="L663" s="2443"/>
      <c r="M663" s="2443"/>
      <c r="N663" s="2443"/>
      <c r="O663" s="2443"/>
      <c r="P663" s="2443"/>
    </row>
    <row r="664" spans="1:16" ht="27.2" customHeight="1" x14ac:dyDescent="0.25">
      <c r="A664" s="1848" t="s">
        <v>6800</v>
      </c>
      <c r="B664" s="2441" t="s">
        <v>6799</v>
      </c>
      <c r="C664" s="2441"/>
      <c r="D664" s="2441"/>
      <c r="E664" s="2441"/>
      <c r="F664" s="2441"/>
      <c r="G664" s="2441"/>
      <c r="H664" s="2441"/>
      <c r="I664" s="2441"/>
      <c r="J664" s="2441" t="s">
        <v>588</v>
      </c>
      <c r="K664" s="2441"/>
      <c r="L664" s="2441"/>
      <c r="M664" s="2559">
        <f>ROUND(SUM($M$556:$M$657),0)</f>
        <v>3609860</v>
      </c>
      <c r="N664" s="2441"/>
      <c r="O664" s="2441"/>
      <c r="P664" s="2441"/>
    </row>
    <row r="665" spans="1:16" ht="27.2" customHeight="1" x14ac:dyDescent="0.25">
      <c r="A665" s="1848" t="s">
        <v>6798</v>
      </c>
      <c r="B665" s="2441" t="s">
        <v>6797</v>
      </c>
      <c r="C665" s="2441"/>
      <c r="D665" s="2441"/>
      <c r="E665" s="2441"/>
      <c r="F665" s="2441"/>
      <c r="G665" s="2441"/>
      <c r="H665" s="2441"/>
      <c r="I665" s="2441"/>
      <c r="J665" s="2441" t="s">
        <v>588</v>
      </c>
      <c r="K665" s="2441"/>
      <c r="L665" s="2441"/>
      <c r="M665" s="2559">
        <f>ROUND(($M$664),0)</f>
        <v>3609860</v>
      </c>
      <c r="N665" s="2441"/>
      <c r="O665" s="2441"/>
      <c r="P665" s="2441"/>
    </row>
    <row r="666" spans="1:16" x14ac:dyDescent="0.25">
      <c r="A666" s="1848" t="s">
        <v>653</v>
      </c>
      <c r="B666" s="2441" t="s">
        <v>4218</v>
      </c>
      <c r="C666" s="2441"/>
      <c r="D666" s="2441"/>
      <c r="E666" s="2441"/>
      <c r="F666" s="2441"/>
      <c r="G666" s="2441"/>
      <c r="H666" s="2441"/>
      <c r="I666" s="2441"/>
      <c r="J666" s="2441" t="s">
        <v>588</v>
      </c>
      <c r="K666" s="2441"/>
      <c r="L666" s="2441"/>
      <c r="M666" s="2559">
        <f>ROUND($M$93+$M$127+$M$168+$M$223+$M$260+$M$342+$M$434+$M$463+$M$554+$M$665,0)</f>
        <v>21148449</v>
      </c>
      <c r="N666" s="2441"/>
      <c r="O666" s="2441"/>
      <c r="P666" s="2441"/>
    </row>
    <row r="667" spans="1:16" x14ac:dyDescent="0.25">
      <c r="A667" s="1848" t="s">
        <v>654</v>
      </c>
      <c r="B667" s="2441" t="s">
        <v>6295</v>
      </c>
      <c r="C667" s="2441"/>
      <c r="D667" s="2441"/>
      <c r="E667" s="2441"/>
      <c r="F667" s="2441"/>
      <c r="G667" s="2441"/>
      <c r="H667" s="2441"/>
      <c r="I667" s="2441"/>
      <c r="J667" s="2441" t="s">
        <v>588</v>
      </c>
      <c r="K667" s="2441"/>
      <c r="L667" s="2441"/>
      <c r="M667" s="2559">
        <f>ROUND(($M$666),0)</f>
        <v>21148449</v>
      </c>
      <c r="N667" s="2441"/>
      <c r="O667" s="2441"/>
      <c r="P667" s="2441"/>
    </row>
    <row r="668" spans="1:16" ht="40.9" customHeight="1" x14ac:dyDescent="0.25">
      <c r="A668" s="1848" t="s">
        <v>655</v>
      </c>
      <c r="B668" s="2445" t="s">
        <v>6296</v>
      </c>
      <c r="C668" s="2445"/>
      <c r="D668" s="2445"/>
      <c r="E668" s="2445"/>
      <c r="F668" s="2445" t="s">
        <v>6367</v>
      </c>
      <c r="G668" s="2445"/>
      <c r="H668" s="2445"/>
      <c r="I668" s="2445"/>
      <c r="J668" s="2445" t="s">
        <v>7318</v>
      </c>
      <c r="K668" s="2445"/>
      <c r="L668" s="2445"/>
      <c r="M668" s="2560">
        <f>ROUND((($M$667) / 7.1),0)</f>
        <v>2978655</v>
      </c>
      <c r="N668" s="2445"/>
      <c r="O668" s="2445" t="s">
        <v>588</v>
      </c>
      <c r="P668" s="2445"/>
    </row>
    <row r="670" spans="1:16" ht="30" customHeight="1" x14ac:dyDescent="0.25">
      <c r="A670" s="2427" t="s">
        <v>6297</v>
      </c>
      <c r="B670" s="2427"/>
      <c r="C670" s="2427"/>
      <c r="D670" s="2427"/>
      <c r="E670" s="2427"/>
      <c r="F670" s="2427" t="e">
        <f ca="1">CONCATENATE(FIXED(($M$667),0)," (",IF(($M$667)&lt;0,"минус ",""),Сумма_прописью(ABS(ROUND(($M$667),0))),")")</f>
        <v>#NAME?</v>
      </c>
      <c r="G670" s="2561"/>
      <c r="H670" s="2561"/>
      <c r="I670" s="2561"/>
      <c r="J670" s="2561"/>
      <c r="K670" s="2561"/>
      <c r="L670" s="2561"/>
      <c r="M670" s="2561"/>
      <c r="N670" s="2561"/>
      <c r="O670" s="2561"/>
      <c r="P670" s="2561"/>
    </row>
    <row r="672" spans="1:16" x14ac:dyDescent="0.25">
      <c r="A672" s="2427" t="s">
        <v>6298</v>
      </c>
      <c r="B672" s="2427"/>
      <c r="C672" s="2427"/>
      <c r="D672" s="2427"/>
      <c r="E672" s="2427"/>
      <c r="F672" s="2562"/>
      <c r="G672" s="2562"/>
      <c r="H672" s="2562"/>
      <c r="I672" s="2562"/>
      <c r="J672" s="2562"/>
      <c r="K672" s="2562"/>
      <c r="L672" s="2562"/>
      <c r="M672" s="2562"/>
      <c r="N672" s="2562"/>
      <c r="O672" s="2562"/>
      <c r="P672" s="2562"/>
    </row>
    <row r="673" spans="1:16" x14ac:dyDescent="0.25">
      <c r="F673" s="2424" t="s">
        <v>6299</v>
      </c>
      <c r="G673" s="2424"/>
      <c r="H673" s="2424"/>
      <c r="I673" s="2424"/>
      <c r="J673" s="2424"/>
      <c r="K673" s="2424"/>
      <c r="L673" s="2424"/>
      <c r="M673" s="2424"/>
      <c r="N673" s="2424"/>
      <c r="O673" s="2424"/>
      <c r="P673" s="2424"/>
    </row>
    <row r="675" spans="1:16" x14ac:dyDescent="0.25">
      <c r="A675" s="2427" t="s">
        <v>6300</v>
      </c>
      <c r="B675" s="2427"/>
      <c r="C675" s="2427"/>
      <c r="D675" s="2427"/>
      <c r="E675" s="2427"/>
      <c r="F675" s="2562"/>
      <c r="G675" s="2562"/>
      <c r="H675" s="2562"/>
      <c r="I675" s="2562"/>
      <c r="J675" s="2562"/>
      <c r="K675" s="2562"/>
      <c r="L675" s="2562"/>
      <c r="M675" s="2562"/>
      <c r="N675" s="2562"/>
      <c r="O675" s="2562"/>
      <c r="P675" s="2562"/>
    </row>
    <row r="676" spans="1:16" x14ac:dyDescent="0.25">
      <c r="F676" s="2424" t="s">
        <v>6299</v>
      </c>
      <c r="G676" s="2424"/>
      <c r="H676" s="2424"/>
      <c r="I676" s="2424"/>
      <c r="J676" s="2424"/>
      <c r="K676" s="2424"/>
      <c r="L676" s="2424"/>
      <c r="M676" s="2424"/>
      <c r="N676" s="2424"/>
      <c r="O676" s="2424"/>
      <c r="P676" s="2424"/>
    </row>
    <row r="678" spans="1:16" x14ac:dyDescent="0.25">
      <c r="A678" s="2427" t="s">
        <v>6301</v>
      </c>
      <c r="B678" s="2427"/>
      <c r="C678" s="2427"/>
      <c r="D678" s="2427"/>
      <c r="E678" s="2427"/>
      <c r="F678" s="2562"/>
      <c r="G678" s="2562"/>
      <c r="H678" s="2562"/>
      <c r="I678" s="2562"/>
      <c r="J678" s="1843" t="s">
        <v>6302</v>
      </c>
      <c r="K678" s="2562"/>
      <c r="L678" s="2562"/>
      <c r="M678" s="2562"/>
      <c r="N678" s="2562"/>
      <c r="O678" s="2562"/>
      <c r="P678" s="2562"/>
    </row>
    <row r="679" spans="1:16" x14ac:dyDescent="0.25">
      <c r="F679" s="2424" t="s">
        <v>6464</v>
      </c>
      <c r="G679" s="2424"/>
      <c r="H679" s="2424"/>
      <c r="I679" s="2424"/>
      <c r="K679" s="2424" t="s">
        <v>6299</v>
      </c>
      <c r="L679" s="2424"/>
      <c r="M679" s="2424"/>
      <c r="N679" s="2424"/>
      <c r="O679" s="2424"/>
      <c r="P679" s="2424"/>
    </row>
    <row r="681" spans="1:16" x14ac:dyDescent="0.25">
      <c r="A681" s="2427" t="s">
        <v>668</v>
      </c>
      <c r="B681" s="2427"/>
      <c r="C681" s="2427"/>
      <c r="D681" s="2427"/>
      <c r="E681" s="2427"/>
      <c r="F681" s="2562"/>
      <c r="G681" s="2562"/>
      <c r="H681" s="2562"/>
      <c r="I681" s="2562"/>
      <c r="J681" s="2562"/>
      <c r="K681" s="2562"/>
      <c r="L681" s="2562"/>
      <c r="M681" s="2562"/>
      <c r="N681" s="2562"/>
      <c r="O681" s="2562"/>
      <c r="P681" s="2562"/>
    </row>
    <row r="682" spans="1:16" x14ac:dyDescent="0.25">
      <c r="F682" s="2424" t="s">
        <v>6299</v>
      </c>
      <c r="G682" s="2424"/>
      <c r="H682" s="2424"/>
      <c r="I682" s="2424"/>
      <c r="J682" s="2424"/>
      <c r="K682" s="2424"/>
      <c r="L682" s="2424"/>
      <c r="M682" s="2424"/>
      <c r="N682" s="2424"/>
      <c r="O682" s="2424"/>
      <c r="P682" s="2424"/>
    </row>
  </sheetData>
  <mergeCells count="3286">
    <mergeCell ref="F665:I665"/>
    <mergeCell ref="J665:L665"/>
    <mergeCell ref="M665:N665"/>
    <mergeCell ref="O665:P665"/>
    <mergeCell ref="B666:E666"/>
    <mergeCell ref="F666:I666"/>
    <mergeCell ref="J666:L666"/>
    <mergeCell ref="M666:N666"/>
    <mergeCell ref="O666:P666"/>
    <mergeCell ref="B663:E663"/>
    <mergeCell ref="F663:I663"/>
    <mergeCell ref="J663:L663"/>
    <mergeCell ref="M663:N663"/>
    <mergeCell ref="O663:P663"/>
    <mergeCell ref="F682:P682"/>
    <mergeCell ref="B668:E668"/>
    <mergeCell ref="F668:I668"/>
    <mergeCell ref="J668:L668"/>
    <mergeCell ref="M668:N668"/>
    <mergeCell ref="O668:P668"/>
    <mergeCell ref="A670:E670"/>
    <mergeCell ref="F670:P670"/>
    <mergeCell ref="A678:E678"/>
    <mergeCell ref="F678:I678"/>
    <mergeCell ref="F679:I679"/>
    <mergeCell ref="K678:P678"/>
    <mergeCell ref="K679:P679"/>
    <mergeCell ref="B664:E664"/>
    <mergeCell ref="F664:I664"/>
    <mergeCell ref="J664:L664"/>
    <mergeCell ref="M664:N664"/>
    <mergeCell ref="O664:P664"/>
    <mergeCell ref="A672:E672"/>
    <mergeCell ref="F672:P672"/>
    <mergeCell ref="F673:P673"/>
    <mergeCell ref="A675:E675"/>
    <mergeCell ref="F675:P675"/>
    <mergeCell ref="F676:P676"/>
    <mergeCell ref="A681:E681"/>
    <mergeCell ref="F681:P681"/>
    <mergeCell ref="B667:E667"/>
    <mergeCell ref="F667:I667"/>
    <mergeCell ref="J667:L667"/>
    <mergeCell ref="M667:N667"/>
    <mergeCell ref="O667:P667"/>
    <mergeCell ref="B665:E665"/>
    <mergeCell ref="B661:E661"/>
    <mergeCell ref="F661:I661"/>
    <mergeCell ref="J661:L661"/>
    <mergeCell ref="M661:N661"/>
    <mergeCell ref="O661:P661"/>
    <mergeCell ref="B662:E662"/>
    <mergeCell ref="F662:I662"/>
    <mergeCell ref="J662:L662"/>
    <mergeCell ref="M662:N662"/>
    <mergeCell ref="O662:P662"/>
    <mergeCell ref="B659:E659"/>
    <mergeCell ref="F659:I659"/>
    <mergeCell ref="J659:L659"/>
    <mergeCell ref="M659:N659"/>
    <mergeCell ref="O659:P659"/>
    <mergeCell ref="B660:E660"/>
    <mergeCell ref="F660:I660"/>
    <mergeCell ref="J660:L660"/>
    <mergeCell ref="M660:N660"/>
    <mergeCell ref="O660:P660"/>
    <mergeCell ref="B657:E657"/>
    <mergeCell ref="F657:I657"/>
    <mergeCell ref="J657:L657"/>
    <mergeCell ref="M657:N657"/>
    <mergeCell ref="O657:P657"/>
    <mergeCell ref="B658:E658"/>
    <mergeCell ref="F658:I658"/>
    <mergeCell ref="J658:L658"/>
    <mergeCell ref="M658:N658"/>
    <mergeCell ref="O658:P658"/>
    <mergeCell ref="B655:E655"/>
    <mergeCell ref="F655:I655"/>
    <mergeCell ref="J655:L655"/>
    <mergeCell ref="M655:N655"/>
    <mergeCell ref="O655:P655"/>
    <mergeCell ref="B656:E656"/>
    <mergeCell ref="F656:I656"/>
    <mergeCell ref="J656:L656"/>
    <mergeCell ref="M656:N656"/>
    <mergeCell ref="O656:P656"/>
    <mergeCell ref="B653:E653"/>
    <mergeCell ref="F653:I653"/>
    <mergeCell ref="J653:L653"/>
    <mergeCell ref="M653:N653"/>
    <mergeCell ref="O653:P653"/>
    <mergeCell ref="B654:E654"/>
    <mergeCell ref="F654:I654"/>
    <mergeCell ref="J654:L654"/>
    <mergeCell ref="M654:N654"/>
    <mergeCell ref="O654:P654"/>
    <mergeCell ref="B651:E651"/>
    <mergeCell ref="F651:I651"/>
    <mergeCell ref="J651:L651"/>
    <mergeCell ref="M651:N651"/>
    <mergeCell ref="O651:P651"/>
    <mergeCell ref="B652:E652"/>
    <mergeCell ref="F652:I652"/>
    <mergeCell ref="J652:L652"/>
    <mergeCell ref="M652:N652"/>
    <mergeCell ref="O652:P652"/>
    <mergeCell ref="B649:E649"/>
    <mergeCell ref="F649:I649"/>
    <mergeCell ref="J649:L649"/>
    <mergeCell ref="M649:N649"/>
    <mergeCell ref="O649:P649"/>
    <mergeCell ref="B650:E650"/>
    <mergeCell ref="F650:I650"/>
    <mergeCell ref="J650:L650"/>
    <mergeCell ref="M650:N650"/>
    <mergeCell ref="O650:P650"/>
    <mergeCell ref="B647:E647"/>
    <mergeCell ref="F647:I647"/>
    <mergeCell ref="J647:L647"/>
    <mergeCell ref="M647:N647"/>
    <mergeCell ref="O647:P647"/>
    <mergeCell ref="B648:E648"/>
    <mergeCell ref="F648:I648"/>
    <mergeCell ref="J648:L648"/>
    <mergeCell ref="M648:N648"/>
    <mergeCell ref="O648:P648"/>
    <mergeCell ref="B645:E645"/>
    <mergeCell ref="F645:I645"/>
    <mergeCell ref="J645:L645"/>
    <mergeCell ref="M645:N645"/>
    <mergeCell ref="O645:P645"/>
    <mergeCell ref="B646:E646"/>
    <mergeCell ref="F646:I646"/>
    <mergeCell ref="J646:L646"/>
    <mergeCell ref="M646:N646"/>
    <mergeCell ref="O646:P646"/>
    <mergeCell ref="B643:E643"/>
    <mergeCell ref="F643:I643"/>
    <mergeCell ref="J643:L643"/>
    <mergeCell ref="M643:N643"/>
    <mergeCell ref="O643:P643"/>
    <mergeCell ref="B644:E644"/>
    <mergeCell ref="F644:I644"/>
    <mergeCell ref="J644:L644"/>
    <mergeCell ref="M644:N644"/>
    <mergeCell ref="O644:P644"/>
    <mergeCell ref="B641:E641"/>
    <mergeCell ref="F641:I641"/>
    <mergeCell ref="J641:L641"/>
    <mergeCell ref="M641:N641"/>
    <mergeCell ref="O641:P641"/>
    <mergeCell ref="B642:E642"/>
    <mergeCell ref="F642:I642"/>
    <mergeCell ref="J642:L642"/>
    <mergeCell ref="M642:N642"/>
    <mergeCell ref="O642:P642"/>
    <mergeCell ref="B639:E639"/>
    <mergeCell ref="F639:I639"/>
    <mergeCell ref="J639:L639"/>
    <mergeCell ref="M639:N639"/>
    <mergeCell ref="O639:P639"/>
    <mergeCell ref="B640:E640"/>
    <mergeCell ref="F640:I640"/>
    <mergeCell ref="J640:L640"/>
    <mergeCell ref="M640:N640"/>
    <mergeCell ref="O640:P640"/>
    <mergeCell ref="B637:E637"/>
    <mergeCell ref="F637:I637"/>
    <mergeCell ref="J637:L637"/>
    <mergeCell ref="M637:N637"/>
    <mergeCell ref="O637:P637"/>
    <mergeCell ref="B638:E638"/>
    <mergeCell ref="F638:I638"/>
    <mergeCell ref="J638:L638"/>
    <mergeCell ref="M638:N638"/>
    <mergeCell ref="O638:P638"/>
    <mergeCell ref="B635:E635"/>
    <mergeCell ref="F635:I635"/>
    <mergeCell ref="J635:L635"/>
    <mergeCell ref="M635:N635"/>
    <mergeCell ref="O635:P635"/>
    <mergeCell ref="B636:E636"/>
    <mergeCell ref="F636:I636"/>
    <mergeCell ref="J636:L636"/>
    <mergeCell ref="M636:N636"/>
    <mergeCell ref="O636:P636"/>
    <mergeCell ref="B633:E633"/>
    <mergeCell ref="F633:I633"/>
    <mergeCell ref="J633:L633"/>
    <mergeCell ref="M633:N633"/>
    <mergeCell ref="O633:P633"/>
    <mergeCell ref="B634:E634"/>
    <mergeCell ref="F634:I634"/>
    <mergeCell ref="J634:L634"/>
    <mergeCell ref="M634:N634"/>
    <mergeCell ref="O634:P634"/>
    <mergeCell ref="B631:E631"/>
    <mergeCell ref="F631:I631"/>
    <mergeCell ref="J631:L631"/>
    <mergeCell ref="M631:N631"/>
    <mergeCell ref="O631:P631"/>
    <mergeCell ref="B632:E632"/>
    <mergeCell ref="F632:I632"/>
    <mergeCell ref="J632:L632"/>
    <mergeCell ref="M632:N632"/>
    <mergeCell ref="O632:P632"/>
    <mergeCell ref="B629:E629"/>
    <mergeCell ref="F629:I629"/>
    <mergeCell ref="J629:L629"/>
    <mergeCell ref="M629:N629"/>
    <mergeCell ref="O629:P629"/>
    <mergeCell ref="B630:E630"/>
    <mergeCell ref="F630:I630"/>
    <mergeCell ref="J630:L630"/>
    <mergeCell ref="M630:N630"/>
    <mergeCell ref="O630:P630"/>
    <mergeCell ref="B627:E627"/>
    <mergeCell ref="F627:I627"/>
    <mergeCell ref="J627:L627"/>
    <mergeCell ref="M627:N627"/>
    <mergeCell ref="O627:P627"/>
    <mergeCell ref="B628:E628"/>
    <mergeCell ref="F628:I628"/>
    <mergeCell ref="J628:L628"/>
    <mergeCell ref="M628:N628"/>
    <mergeCell ref="O628:P628"/>
    <mergeCell ref="B625:E625"/>
    <mergeCell ref="F625:I625"/>
    <mergeCell ref="J625:L625"/>
    <mergeCell ref="M625:N625"/>
    <mergeCell ref="O625:P625"/>
    <mergeCell ref="B626:E626"/>
    <mergeCell ref="F626:I626"/>
    <mergeCell ref="J626:L626"/>
    <mergeCell ref="M626:N626"/>
    <mergeCell ref="O626:P626"/>
    <mergeCell ref="B623:E623"/>
    <mergeCell ref="F623:I623"/>
    <mergeCell ref="J623:L623"/>
    <mergeCell ref="M623:N623"/>
    <mergeCell ref="O623:P623"/>
    <mergeCell ref="B624:E624"/>
    <mergeCell ref="F624:I624"/>
    <mergeCell ref="J624:L624"/>
    <mergeCell ref="M624:N624"/>
    <mergeCell ref="O624:P624"/>
    <mergeCell ref="B621:E621"/>
    <mergeCell ref="F621:I621"/>
    <mergeCell ref="J621:L621"/>
    <mergeCell ref="M621:N621"/>
    <mergeCell ref="O621:P621"/>
    <mergeCell ref="B622:E622"/>
    <mergeCell ref="F622:I622"/>
    <mergeCell ref="J622:L622"/>
    <mergeCell ref="M622:N622"/>
    <mergeCell ref="O622:P622"/>
    <mergeCell ref="B619:E619"/>
    <mergeCell ref="F619:I619"/>
    <mergeCell ref="J619:L619"/>
    <mergeCell ref="M619:N619"/>
    <mergeCell ref="O619:P619"/>
    <mergeCell ref="B620:E620"/>
    <mergeCell ref="F620:I620"/>
    <mergeCell ref="J620:L620"/>
    <mergeCell ref="M620:N620"/>
    <mergeCell ref="O620:P620"/>
    <mergeCell ref="B617:E617"/>
    <mergeCell ref="F617:I617"/>
    <mergeCell ref="J617:L617"/>
    <mergeCell ref="M617:N617"/>
    <mergeCell ref="O617:P617"/>
    <mergeCell ref="B618:E618"/>
    <mergeCell ref="F618:I618"/>
    <mergeCell ref="J618:L618"/>
    <mergeCell ref="M618:N618"/>
    <mergeCell ref="O618:P618"/>
    <mergeCell ref="B615:E615"/>
    <mergeCell ref="F615:I615"/>
    <mergeCell ref="J615:L615"/>
    <mergeCell ref="M615:N615"/>
    <mergeCell ref="O615:P615"/>
    <mergeCell ref="B616:E616"/>
    <mergeCell ref="F616:I616"/>
    <mergeCell ref="J616:L616"/>
    <mergeCell ref="M616:N616"/>
    <mergeCell ref="O616:P616"/>
    <mergeCell ref="B613:E613"/>
    <mergeCell ref="F613:I613"/>
    <mergeCell ref="J613:L613"/>
    <mergeCell ref="M613:N613"/>
    <mergeCell ref="O613:P613"/>
    <mergeCell ref="B614:E614"/>
    <mergeCell ref="F614:I614"/>
    <mergeCell ref="J614:L614"/>
    <mergeCell ref="M614:N614"/>
    <mergeCell ref="O614:P614"/>
    <mergeCell ref="B611:E611"/>
    <mergeCell ref="F611:I611"/>
    <mergeCell ref="J611:L611"/>
    <mergeCell ref="M611:N611"/>
    <mergeCell ref="O611:P611"/>
    <mergeCell ref="B612:E612"/>
    <mergeCell ref="F612:I612"/>
    <mergeCell ref="J612:L612"/>
    <mergeCell ref="M612:N612"/>
    <mergeCell ref="O612:P612"/>
    <mergeCell ref="B609:E609"/>
    <mergeCell ref="F609:I609"/>
    <mergeCell ref="J609:L609"/>
    <mergeCell ref="M609:N609"/>
    <mergeCell ref="O609:P609"/>
    <mergeCell ref="B610:E610"/>
    <mergeCell ref="F610:I610"/>
    <mergeCell ref="J610:L610"/>
    <mergeCell ref="M610:N610"/>
    <mergeCell ref="O610:P610"/>
    <mergeCell ref="B607:E607"/>
    <mergeCell ref="F607:I607"/>
    <mergeCell ref="J607:L607"/>
    <mergeCell ref="M607:N607"/>
    <mergeCell ref="O607:P607"/>
    <mergeCell ref="B608:E608"/>
    <mergeCell ref="F608:I608"/>
    <mergeCell ref="J608:L608"/>
    <mergeCell ref="M608:N608"/>
    <mergeCell ref="O608:P608"/>
    <mergeCell ref="B605:E605"/>
    <mergeCell ref="F605:I605"/>
    <mergeCell ref="J605:L605"/>
    <mergeCell ref="M605:N605"/>
    <mergeCell ref="O605:P605"/>
    <mergeCell ref="B606:E606"/>
    <mergeCell ref="F606:I606"/>
    <mergeCell ref="J606:L606"/>
    <mergeCell ref="M606:N606"/>
    <mergeCell ref="O606:P606"/>
    <mergeCell ref="B603:E603"/>
    <mergeCell ref="F603:I603"/>
    <mergeCell ref="J603:L603"/>
    <mergeCell ref="M603:N603"/>
    <mergeCell ref="O603:P603"/>
    <mergeCell ref="B604:E604"/>
    <mergeCell ref="F604:I604"/>
    <mergeCell ref="J604:L604"/>
    <mergeCell ref="M604:N604"/>
    <mergeCell ref="O604:P604"/>
    <mergeCell ref="B601:E601"/>
    <mergeCell ref="F601:I601"/>
    <mergeCell ref="J601:L601"/>
    <mergeCell ref="M601:N601"/>
    <mergeCell ref="O601:P601"/>
    <mergeCell ref="B602:E602"/>
    <mergeCell ref="F602:I602"/>
    <mergeCell ref="J602:L602"/>
    <mergeCell ref="M602:N602"/>
    <mergeCell ref="O602:P602"/>
    <mergeCell ref="B599:E599"/>
    <mergeCell ref="F599:I599"/>
    <mergeCell ref="J599:L599"/>
    <mergeCell ref="M599:N599"/>
    <mergeCell ref="O599:P599"/>
    <mergeCell ref="B600:E600"/>
    <mergeCell ref="F600:I600"/>
    <mergeCell ref="J600:L600"/>
    <mergeCell ref="M600:N600"/>
    <mergeCell ref="O600:P600"/>
    <mergeCell ref="B597:E597"/>
    <mergeCell ref="F597:I597"/>
    <mergeCell ref="J597:L597"/>
    <mergeCell ref="M597:N597"/>
    <mergeCell ref="O597:P597"/>
    <mergeCell ref="B598:E598"/>
    <mergeCell ref="F598:I598"/>
    <mergeCell ref="J598:L598"/>
    <mergeCell ref="M598:N598"/>
    <mergeCell ref="O598:P598"/>
    <mergeCell ref="B595:E595"/>
    <mergeCell ref="F595:I595"/>
    <mergeCell ref="J595:L595"/>
    <mergeCell ref="M595:N595"/>
    <mergeCell ref="O595:P595"/>
    <mergeCell ref="B596:E596"/>
    <mergeCell ref="F596:I596"/>
    <mergeCell ref="J596:L596"/>
    <mergeCell ref="M596:N596"/>
    <mergeCell ref="O596:P596"/>
    <mergeCell ref="B593:E593"/>
    <mergeCell ref="F593:I593"/>
    <mergeCell ref="J593:L593"/>
    <mergeCell ref="M593:N593"/>
    <mergeCell ref="O593:P593"/>
    <mergeCell ref="B594:E594"/>
    <mergeCell ref="F594:I594"/>
    <mergeCell ref="J594:L594"/>
    <mergeCell ref="M594:N594"/>
    <mergeCell ref="O594:P594"/>
    <mergeCell ref="B591:E591"/>
    <mergeCell ref="F591:I591"/>
    <mergeCell ref="J591:L591"/>
    <mergeCell ref="M591:N591"/>
    <mergeCell ref="O591:P591"/>
    <mergeCell ref="B592:E592"/>
    <mergeCell ref="F592:I592"/>
    <mergeCell ref="J592:L592"/>
    <mergeCell ref="M592:N592"/>
    <mergeCell ref="O592:P592"/>
    <mergeCell ref="B589:E589"/>
    <mergeCell ref="F589:I589"/>
    <mergeCell ref="J589:L589"/>
    <mergeCell ref="M589:N589"/>
    <mergeCell ref="O589:P589"/>
    <mergeCell ref="B590:E590"/>
    <mergeCell ref="F590:I590"/>
    <mergeCell ref="J590:L590"/>
    <mergeCell ref="M590:N590"/>
    <mergeCell ref="O590:P590"/>
    <mergeCell ref="B587:E587"/>
    <mergeCell ref="F587:I587"/>
    <mergeCell ref="J587:L587"/>
    <mergeCell ref="M587:N587"/>
    <mergeCell ref="O587:P587"/>
    <mergeCell ref="B588:E588"/>
    <mergeCell ref="F588:I588"/>
    <mergeCell ref="J588:L588"/>
    <mergeCell ref="M588:N588"/>
    <mergeCell ref="O588:P588"/>
    <mergeCell ref="B585:E585"/>
    <mergeCell ref="F585:I585"/>
    <mergeCell ref="J585:L585"/>
    <mergeCell ref="M585:N585"/>
    <mergeCell ref="O585:P585"/>
    <mergeCell ref="B586:E586"/>
    <mergeCell ref="F586:I586"/>
    <mergeCell ref="J586:L586"/>
    <mergeCell ref="M586:N586"/>
    <mergeCell ref="O586:P586"/>
    <mergeCell ref="B583:E583"/>
    <mergeCell ref="F583:I583"/>
    <mergeCell ref="J583:L583"/>
    <mergeCell ref="M583:N583"/>
    <mergeCell ref="O583:P583"/>
    <mergeCell ref="B584:E584"/>
    <mergeCell ref="F584:I584"/>
    <mergeCell ref="J584:L584"/>
    <mergeCell ref="M584:N584"/>
    <mergeCell ref="O584:P584"/>
    <mergeCell ref="B581:E581"/>
    <mergeCell ref="F581:I581"/>
    <mergeCell ref="J581:L581"/>
    <mergeCell ref="M581:N581"/>
    <mergeCell ref="O581:P581"/>
    <mergeCell ref="B582:E582"/>
    <mergeCell ref="F582:I582"/>
    <mergeCell ref="J582:L582"/>
    <mergeCell ref="M582:N582"/>
    <mergeCell ref="O582:P582"/>
    <mergeCell ref="B579:E579"/>
    <mergeCell ref="F579:I579"/>
    <mergeCell ref="J579:L579"/>
    <mergeCell ref="M579:N579"/>
    <mergeCell ref="O579:P579"/>
    <mergeCell ref="B580:E580"/>
    <mergeCell ref="F580:I580"/>
    <mergeCell ref="J580:L580"/>
    <mergeCell ref="M580:N580"/>
    <mergeCell ref="O580:P580"/>
    <mergeCell ref="B577:E577"/>
    <mergeCell ref="F577:I577"/>
    <mergeCell ref="J577:L577"/>
    <mergeCell ref="M577:N577"/>
    <mergeCell ref="O577:P577"/>
    <mergeCell ref="B578:E578"/>
    <mergeCell ref="F578:I578"/>
    <mergeCell ref="J578:L578"/>
    <mergeCell ref="M578:N578"/>
    <mergeCell ref="O578:P578"/>
    <mergeCell ref="B575:E575"/>
    <mergeCell ref="F575:I575"/>
    <mergeCell ref="J575:L575"/>
    <mergeCell ref="M575:N575"/>
    <mergeCell ref="O575:P575"/>
    <mergeCell ref="B576:E576"/>
    <mergeCell ref="F576:I576"/>
    <mergeCell ref="J576:L576"/>
    <mergeCell ref="M576:N576"/>
    <mergeCell ref="O576:P576"/>
    <mergeCell ref="B573:E573"/>
    <mergeCell ref="F573:I573"/>
    <mergeCell ref="J573:L573"/>
    <mergeCell ref="M573:N573"/>
    <mergeCell ref="O573:P573"/>
    <mergeCell ref="B574:E574"/>
    <mergeCell ref="F574:I574"/>
    <mergeCell ref="J574:L574"/>
    <mergeCell ref="M574:N574"/>
    <mergeCell ref="O574:P574"/>
    <mergeCell ref="B571:E571"/>
    <mergeCell ref="F571:I571"/>
    <mergeCell ref="J571:L571"/>
    <mergeCell ref="M571:N571"/>
    <mergeCell ref="O571:P571"/>
    <mergeCell ref="B572:E572"/>
    <mergeCell ref="F572:I572"/>
    <mergeCell ref="J572:L572"/>
    <mergeCell ref="M572:N572"/>
    <mergeCell ref="O572:P572"/>
    <mergeCell ref="B569:E569"/>
    <mergeCell ref="F569:I569"/>
    <mergeCell ref="J569:L569"/>
    <mergeCell ref="M569:N569"/>
    <mergeCell ref="O569:P569"/>
    <mergeCell ref="B570:E570"/>
    <mergeCell ref="F570:I570"/>
    <mergeCell ref="J570:L570"/>
    <mergeCell ref="M570:N570"/>
    <mergeCell ref="O570:P570"/>
    <mergeCell ref="B567:E567"/>
    <mergeCell ref="F567:I567"/>
    <mergeCell ref="J567:L567"/>
    <mergeCell ref="M567:N567"/>
    <mergeCell ref="O567:P567"/>
    <mergeCell ref="B568:E568"/>
    <mergeCell ref="F568:I568"/>
    <mergeCell ref="J568:L568"/>
    <mergeCell ref="M568:N568"/>
    <mergeCell ref="O568:P568"/>
    <mergeCell ref="B565:E565"/>
    <mergeCell ref="F565:I565"/>
    <mergeCell ref="J565:L565"/>
    <mergeCell ref="M565:N565"/>
    <mergeCell ref="O565:P565"/>
    <mergeCell ref="B566:E566"/>
    <mergeCell ref="F566:I566"/>
    <mergeCell ref="J566:L566"/>
    <mergeCell ref="M566:N566"/>
    <mergeCell ref="O566:P566"/>
    <mergeCell ref="B563:E563"/>
    <mergeCell ref="F563:I563"/>
    <mergeCell ref="J563:L563"/>
    <mergeCell ref="M563:N563"/>
    <mergeCell ref="O563:P563"/>
    <mergeCell ref="B564:E564"/>
    <mergeCell ref="F564:I564"/>
    <mergeCell ref="J564:L564"/>
    <mergeCell ref="M564:N564"/>
    <mergeCell ref="O564:P564"/>
    <mergeCell ref="B561:E561"/>
    <mergeCell ref="F561:I561"/>
    <mergeCell ref="J561:L561"/>
    <mergeCell ref="M561:N561"/>
    <mergeCell ref="O561:P561"/>
    <mergeCell ref="B562:E562"/>
    <mergeCell ref="F562:I562"/>
    <mergeCell ref="J562:L562"/>
    <mergeCell ref="M562:N562"/>
    <mergeCell ref="O562:P562"/>
    <mergeCell ref="B559:E559"/>
    <mergeCell ref="F559:I559"/>
    <mergeCell ref="J559:L559"/>
    <mergeCell ref="M559:N559"/>
    <mergeCell ref="O559:P559"/>
    <mergeCell ref="B560:E560"/>
    <mergeCell ref="F560:I560"/>
    <mergeCell ref="J560:L560"/>
    <mergeCell ref="M560:N560"/>
    <mergeCell ref="O560:P560"/>
    <mergeCell ref="B557:E557"/>
    <mergeCell ref="F557:I557"/>
    <mergeCell ref="J557:L557"/>
    <mergeCell ref="M557:N557"/>
    <mergeCell ref="O557:P557"/>
    <mergeCell ref="B558:E558"/>
    <mergeCell ref="F558:I558"/>
    <mergeCell ref="J558:L558"/>
    <mergeCell ref="M558:N558"/>
    <mergeCell ref="O558:P558"/>
    <mergeCell ref="B555:E555"/>
    <mergeCell ref="F555:I555"/>
    <mergeCell ref="J555:L555"/>
    <mergeCell ref="M555:N555"/>
    <mergeCell ref="O555:P555"/>
    <mergeCell ref="B556:E556"/>
    <mergeCell ref="F556:I556"/>
    <mergeCell ref="J556:L556"/>
    <mergeCell ref="M556:N556"/>
    <mergeCell ref="O556:P556"/>
    <mergeCell ref="B553:E553"/>
    <mergeCell ref="F553:I553"/>
    <mergeCell ref="J553:L553"/>
    <mergeCell ref="M553:N553"/>
    <mergeCell ref="O553:P553"/>
    <mergeCell ref="B554:E554"/>
    <mergeCell ref="F554:I554"/>
    <mergeCell ref="J554:L554"/>
    <mergeCell ref="M554:N554"/>
    <mergeCell ref="O554:P554"/>
    <mergeCell ref="B551:E551"/>
    <mergeCell ref="F551:I551"/>
    <mergeCell ref="J551:L551"/>
    <mergeCell ref="M551:N551"/>
    <mergeCell ref="O551:P551"/>
    <mergeCell ref="B552:E552"/>
    <mergeCell ref="F552:I552"/>
    <mergeCell ref="J552:L552"/>
    <mergeCell ref="M552:N552"/>
    <mergeCell ref="O552:P552"/>
    <mergeCell ref="B549:E549"/>
    <mergeCell ref="F549:I549"/>
    <mergeCell ref="J549:L549"/>
    <mergeCell ref="M549:N549"/>
    <mergeCell ref="O549:P549"/>
    <mergeCell ref="B550:E550"/>
    <mergeCell ref="F550:I550"/>
    <mergeCell ref="J550:L550"/>
    <mergeCell ref="M550:N550"/>
    <mergeCell ref="O550:P550"/>
    <mergeCell ref="B547:E547"/>
    <mergeCell ref="F547:I547"/>
    <mergeCell ref="J547:L547"/>
    <mergeCell ref="M547:N547"/>
    <mergeCell ref="O547:P547"/>
    <mergeCell ref="B548:E548"/>
    <mergeCell ref="F548:I548"/>
    <mergeCell ref="J548:L548"/>
    <mergeCell ref="M548:N548"/>
    <mergeCell ref="O548:P548"/>
    <mergeCell ref="B545:E545"/>
    <mergeCell ref="F545:I545"/>
    <mergeCell ref="J545:L545"/>
    <mergeCell ref="M545:N545"/>
    <mergeCell ref="O545:P545"/>
    <mergeCell ref="B546:E546"/>
    <mergeCell ref="F546:I546"/>
    <mergeCell ref="J546:L546"/>
    <mergeCell ref="M546:N546"/>
    <mergeCell ref="O546:P546"/>
    <mergeCell ref="B543:E543"/>
    <mergeCell ref="F543:I543"/>
    <mergeCell ref="J543:L543"/>
    <mergeCell ref="M543:N543"/>
    <mergeCell ref="O543:P543"/>
    <mergeCell ref="B544:E544"/>
    <mergeCell ref="F544:I544"/>
    <mergeCell ref="J544:L544"/>
    <mergeCell ref="M544:N544"/>
    <mergeCell ref="O544:P544"/>
    <mergeCell ref="B541:E541"/>
    <mergeCell ref="F541:I541"/>
    <mergeCell ref="J541:L541"/>
    <mergeCell ref="M541:N541"/>
    <mergeCell ref="O541:P541"/>
    <mergeCell ref="B542:E542"/>
    <mergeCell ref="F542:I542"/>
    <mergeCell ref="J542:L542"/>
    <mergeCell ref="M542:N542"/>
    <mergeCell ref="O542:P542"/>
    <mergeCell ref="B539:E539"/>
    <mergeCell ref="F539:I539"/>
    <mergeCell ref="J539:L539"/>
    <mergeCell ref="M539:N539"/>
    <mergeCell ref="O539:P539"/>
    <mergeCell ref="B540:E540"/>
    <mergeCell ref="F540:I540"/>
    <mergeCell ref="J540:L540"/>
    <mergeCell ref="M540:N540"/>
    <mergeCell ref="O540:P540"/>
    <mergeCell ref="B537:E537"/>
    <mergeCell ref="F537:I537"/>
    <mergeCell ref="J537:L537"/>
    <mergeCell ref="M537:N537"/>
    <mergeCell ref="O537:P537"/>
    <mergeCell ref="B538:E538"/>
    <mergeCell ref="F538:I538"/>
    <mergeCell ref="J538:L538"/>
    <mergeCell ref="M538:N538"/>
    <mergeCell ref="O538:P538"/>
    <mergeCell ref="B535:E535"/>
    <mergeCell ref="F535:I535"/>
    <mergeCell ref="J535:L535"/>
    <mergeCell ref="M535:N535"/>
    <mergeCell ref="O535:P535"/>
    <mergeCell ref="B536:E536"/>
    <mergeCell ref="F536:I536"/>
    <mergeCell ref="J536:L536"/>
    <mergeCell ref="M536:N536"/>
    <mergeCell ref="O536:P536"/>
    <mergeCell ref="B533:E533"/>
    <mergeCell ref="F533:I533"/>
    <mergeCell ref="J533:L533"/>
    <mergeCell ref="M533:N533"/>
    <mergeCell ref="O533:P533"/>
    <mergeCell ref="B534:E534"/>
    <mergeCell ref="F534:I534"/>
    <mergeCell ref="J534:L534"/>
    <mergeCell ref="M534:N534"/>
    <mergeCell ref="O534:P534"/>
    <mergeCell ref="B531:E531"/>
    <mergeCell ref="F531:I531"/>
    <mergeCell ref="J531:L531"/>
    <mergeCell ref="M531:N531"/>
    <mergeCell ref="O531:P531"/>
    <mergeCell ref="B532:E532"/>
    <mergeCell ref="F532:I532"/>
    <mergeCell ref="J532:L532"/>
    <mergeCell ref="M532:N532"/>
    <mergeCell ref="O532:P532"/>
    <mergeCell ref="B529:E529"/>
    <mergeCell ref="F529:I529"/>
    <mergeCell ref="J529:L529"/>
    <mergeCell ref="M529:N529"/>
    <mergeCell ref="O529:P529"/>
    <mergeCell ref="B530:E530"/>
    <mergeCell ref="F530:I530"/>
    <mergeCell ref="J530:L530"/>
    <mergeCell ref="M530:N530"/>
    <mergeCell ref="O530:P530"/>
    <mergeCell ref="B527:E527"/>
    <mergeCell ref="F527:I527"/>
    <mergeCell ref="J527:L527"/>
    <mergeCell ref="M527:N527"/>
    <mergeCell ref="O527:P527"/>
    <mergeCell ref="B528:E528"/>
    <mergeCell ref="F528:I528"/>
    <mergeCell ref="J528:L528"/>
    <mergeCell ref="M528:N528"/>
    <mergeCell ref="O528:P528"/>
    <mergeCell ref="B525:E525"/>
    <mergeCell ref="F525:I525"/>
    <mergeCell ref="J525:L525"/>
    <mergeCell ref="M525:N525"/>
    <mergeCell ref="O525:P525"/>
    <mergeCell ref="B526:E526"/>
    <mergeCell ref="F526:I526"/>
    <mergeCell ref="J526:L526"/>
    <mergeCell ref="M526:N526"/>
    <mergeCell ref="O526:P526"/>
    <mergeCell ref="B523:E523"/>
    <mergeCell ref="F523:I523"/>
    <mergeCell ref="J523:L523"/>
    <mergeCell ref="M523:N523"/>
    <mergeCell ref="O523:P523"/>
    <mergeCell ref="B524:E524"/>
    <mergeCell ref="F524:I524"/>
    <mergeCell ref="J524:L524"/>
    <mergeCell ref="M524:N524"/>
    <mergeCell ref="O524:P524"/>
    <mergeCell ref="B521:E521"/>
    <mergeCell ref="F521:I521"/>
    <mergeCell ref="J521:L521"/>
    <mergeCell ref="M521:N521"/>
    <mergeCell ref="O521:P521"/>
    <mergeCell ref="B522:E522"/>
    <mergeCell ref="F522:I522"/>
    <mergeCell ref="J522:L522"/>
    <mergeCell ref="M522:N522"/>
    <mergeCell ref="O522:P522"/>
    <mergeCell ref="B519:E519"/>
    <mergeCell ref="F519:I519"/>
    <mergeCell ref="J519:L519"/>
    <mergeCell ref="M519:N519"/>
    <mergeCell ref="O519:P519"/>
    <mergeCell ref="B520:E520"/>
    <mergeCell ref="F520:I520"/>
    <mergeCell ref="J520:L520"/>
    <mergeCell ref="M520:N520"/>
    <mergeCell ref="O520:P520"/>
    <mergeCell ref="B517:E517"/>
    <mergeCell ref="F517:I517"/>
    <mergeCell ref="J517:L517"/>
    <mergeCell ref="M517:N517"/>
    <mergeCell ref="O517:P517"/>
    <mergeCell ref="B518:E518"/>
    <mergeCell ref="F518:I518"/>
    <mergeCell ref="J518:L518"/>
    <mergeCell ref="M518:N518"/>
    <mergeCell ref="O518:P518"/>
    <mergeCell ref="B515:E515"/>
    <mergeCell ref="F515:I515"/>
    <mergeCell ref="J515:L515"/>
    <mergeCell ref="M515:N515"/>
    <mergeCell ref="O515:P515"/>
    <mergeCell ref="B516:E516"/>
    <mergeCell ref="F516:I516"/>
    <mergeCell ref="J516:L516"/>
    <mergeCell ref="M516:N516"/>
    <mergeCell ref="O516:P516"/>
    <mergeCell ref="B513:E513"/>
    <mergeCell ref="F513:I513"/>
    <mergeCell ref="J513:L513"/>
    <mergeCell ref="M513:N513"/>
    <mergeCell ref="O513:P513"/>
    <mergeCell ref="B514:E514"/>
    <mergeCell ref="F514:I514"/>
    <mergeCell ref="J514:L514"/>
    <mergeCell ref="M514:N514"/>
    <mergeCell ref="O514:P514"/>
    <mergeCell ref="B511:E511"/>
    <mergeCell ref="F511:I511"/>
    <mergeCell ref="J511:L511"/>
    <mergeCell ref="M511:N511"/>
    <mergeCell ref="O511:P511"/>
    <mergeCell ref="B512:E512"/>
    <mergeCell ref="F512:I512"/>
    <mergeCell ref="J512:L512"/>
    <mergeCell ref="M512:N512"/>
    <mergeCell ref="O512:P512"/>
    <mergeCell ref="B509:E509"/>
    <mergeCell ref="F509:I509"/>
    <mergeCell ref="J509:L509"/>
    <mergeCell ref="M509:N509"/>
    <mergeCell ref="O509:P509"/>
    <mergeCell ref="B510:E510"/>
    <mergeCell ref="F510:I510"/>
    <mergeCell ref="J510:L510"/>
    <mergeCell ref="M510:N510"/>
    <mergeCell ref="O510:P510"/>
    <mergeCell ref="B507:E507"/>
    <mergeCell ref="F507:I507"/>
    <mergeCell ref="J507:L507"/>
    <mergeCell ref="M507:N507"/>
    <mergeCell ref="O507:P507"/>
    <mergeCell ref="B508:E508"/>
    <mergeCell ref="F508:I508"/>
    <mergeCell ref="J508:L508"/>
    <mergeCell ref="M508:N508"/>
    <mergeCell ref="O508:P508"/>
    <mergeCell ref="B505:E505"/>
    <mergeCell ref="F505:I505"/>
    <mergeCell ref="J505:L505"/>
    <mergeCell ref="M505:N505"/>
    <mergeCell ref="O505:P505"/>
    <mergeCell ref="B506:E506"/>
    <mergeCell ref="F506:I506"/>
    <mergeCell ref="J506:L506"/>
    <mergeCell ref="M506:N506"/>
    <mergeCell ref="O506:P506"/>
    <mergeCell ref="B503:E503"/>
    <mergeCell ref="F503:I503"/>
    <mergeCell ref="J503:L503"/>
    <mergeCell ref="M503:N503"/>
    <mergeCell ref="O503:P503"/>
    <mergeCell ref="B504:E504"/>
    <mergeCell ref="F504:I504"/>
    <mergeCell ref="J504:L504"/>
    <mergeCell ref="M504:N504"/>
    <mergeCell ref="O504:P504"/>
    <mergeCell ref="B501:E501"/>
    <mergeCell ref="F501:I501"/>
    <mergeCell ref="J501:L501"/>
    <mergeCell ref="M501:N501"/>
    <mergeCell ref="O501:P501"/>
    <mergeCell ref="B502:E502"/>
    <mergeCell ref="F502:I502"/>
    <mergeCell ref="J502:L502"/>
    <mergeCell ref="M502:N502"/>
    <mergeCell ref="O502:P502"/>
    <mergeCell ref="B499:E499"/>
    <mergeCell ref="F499:I499"/>
    <mergeCell ref="J499:L499"/>
    <mergeCell ref="M499:N499"/>
    <mergeCell ref="O499:P499"/>
    <mergeCell ref="B500:E500"/>
    <mergeCell ref="F500:I500"/>
    <mergeCell ref="J500:L500"/>
    <mergeCell ref="M500:N500"/>
    <mergeCell ref="O500:P500"/>
    <mergeCell ref="B497:E497"/>
    <mergeCell ref="F497:I497"/>
    <mergeCell ref="J497:L497"/>
    <mergeCell ref="M497:N497"/>
    <mergeCell ref="O497:P497"/>
    <mergeCell ref="B498:E498"/>
    <mergeCell ref="F498:I498"/>
    <mergeCell ref="J498:L498"/>
    <mergeCell ref="M498:N498"/>
    <mergeCell ref="O498:P498"/>
    <mergeCell ref="B495:E495"/>
    <mergeCell ref="F495:I495"/>
    <mergeCell ref="J495:L495"/>
    <mergeCell ref="M495:N495"/>
    <mergeCell ref="O495:P495"/>
    <mergeCell ref="B496:E496"/>
    <mergeCell ref="F496:I496"/>
    <mergeCell ref="J496:L496"/>
    <mergeCell ref="M496:N496"/>
    <mergeCell ref="O496:P496"/>
    <mergeCell ref="B493:E493"/>
    <mergeCell ref="F493:I493"/>
    <mergeCell ref="J493:L493"/>
    <mergeCell ref="M493:N493"/>
    <mergeCell ref="O493:P493"/>
    <mergeCell ref="B494:E494"/>
    <mergeCell ref="F494:I494"/>
    <mergeCell ref="J494:L494"/>
    <mergeCell ref="M494:N494"/>
    <mergeCell ref="O494:P494"/>
    <mergeCell ref="B491:E491"/>
    <mergeCell ref="F491:I491"/>
    <mergeCell ref="J491:L491"/>
    <mergeCell ref="M491:N491"/>
    <mergeCell ref="O491:P491"/>
    <mergeCell ref="B492:E492"/>
    <mergeCell ref="F492:I492"/>
    <mergeCell ref="J492:L492"/>
    <mergeCell ref="M492:N492"/>
    <mergeCell ref="O492:P492"/>
    <mergeCell ref="B489:E489"/>
    <mergeCell ref="F489:I489"/>
    <mergeCell ref="J489:L489"/>
    <mergeCell ref="M489:N489"/>
    <mergeCell ref="O489:P489"/>
    <mergeCell ref="B490:E490"/>
    <mergeCell ref="F490:I490"/>
    <mergeCell ref="J490:L490"/>
    <mergeCell ref="M490:N490"/>
    <mergeCell ref="O490:P490"/>
    <mergeCell ref="B487:E487"/>
    <mergeCell ref="F487:I487"/>
    <mergeCell ref="J487:L487"/>
    <mergeCell ref="M487:N487"/>
    <mergeCell ref="O487:P487"/>
    <mergeCell ref="B488:E488"/>
    <mergeCell ref="F488:I488"/>
    <mergeCell ref="J488:L488"/>
    <mergeCell ref="M488:N488"/>
    <mergeCell ref="O488:P488"/>
    <mergeCell ref="B485:E485"/>
    <mergeCell ref="F485:I485"/>
    <mergeCell ref="J485:L485"/>
    <mergeCell ref="M485:N485"/>
    <mergeCell ref="O485:P485"/>
    <mergeCell ref="B486:E486"/>
    <mergeCell ref="F486:I486"/>
    <mergeCell ref="J486:L486"/>
    <mergeCell ref="M486:N486"/>
    <mergeCell ref="O486:P486"/>
    <mergeCell ref="B483:E483"/>
    <mergeCell ref="F483:I483"/>
    <mergeCell ref="J483:L483"/>
    <mergeCell ref="M483:N483"/>
    <mergeCell ref="O483:P483"/>
    <mergeCell ref="B484:E484"/>
    <mergeCell ref="F484:I484"/>
    <mergeCell ref="J484:L484"/>
    <mergeCell ref="M484:N484"/>
    <mergeCell ref="O484:P484"/>
    <mergeCell ref="B481:E481"/>
    <mergeCell ref="F481:I481"/>
    <mergeCell ref="J481:L481"/>
    <mergeCell ref="M481:N481"/>
    <mergeCell ref="O481:P481"/>
    <mergeCell ref="B482:E482"/>
    <mergeCell ref="F482:I482"/>
    <mergeCell ref="J482:L482"/>
    <mergeCell ref="M482:N482"/>
    <mergeCell ref="O482:P482"/>
    <mergeCell ref="B479:E479"/>
    <mergeCell ref="F479:I479"/>
    <mergeCell ref="J479:L479"/>
    <mergeCell ref="M479:N479"/>
    <mergeCell ref="O479:P479"/>
    <mergeCell ref="B480:E480"/>
    <mergeCell ref="F480:I480"/>
    <mergeCell ref="J480:L480"/>
    <mergeCell ref="M480:N480"/>
    <mergeCell ref="O480:P480"/>
    <mergeCell ref="B477:E477"/>
    <mergeCell ref="F477:I477"/>
    <mergeCell ref="J477:L477"/>
    <mergeCell ref="M477:N477"/>
    <mergeCell ref="O477:P477"/>
    <mergeCell ref="B478:E478"/>
    <mergeCell ref="F478:I478"/>
    <mergeCell ref="J478:L478"/>
    <mergeCell ref="M478:N478"/>
    <mergeCell ref="O478:P478"/>
    <mergeCell ref="B475:E475"/>
    <mergeCell ref="F475:I475"/>
    <mergeCell ref="J475:L475"/>
    <mergeCell ref="M475:N475"/>
    <mergeCell ref="O475:P475"/>
    <mergeCell ref="B476:E476"/>
    <mergeCell ref="F476:I476"/>
    <mergeCell ref="J476:L476"/>
    <mergeCell ref="M476:N476"/>
    <mergeCell ref="O476:P476"/>
    <mergeCell ref="B473:E473"/>
    <mergeCell ref="F473:I473"/>
    <mergeCell ref="J473:L473"/>
    <mergeCell ref="M473:N473"/>
    <mergeCell ref="O473:P473"/>
    <mergeCell ref="B474:E474"/>
    <mergeCell ref="F474:I474"/>
    <mergeCell ref="J474:L474"/>
    <mergeCell ref="M474:N474"/>
    <mergeCell ref="O474:P474"/>
    <mergeCell ref="B471:E471"/>
    <mergeCell ref="F471:I471"/>
    <mergeCell ref="J471:L471"/>
    <mergeCell ref="M471:N471"/>
    <mergeCell ref="O471:P471"/>
    <mergeCell ref="B472:E472"/>
    <mergeCell ref="F472:I472"/>
    <mergeCell ref="J472:L472"/>
    <mergeCell ref="M472:N472"/>
    <mergeCell ref="O472:P472"/>
    <mergeCell ref="B469:E469"/>
    <mergeCell ref="F469:I469"/>
    <mergeCell ref="J469:L469"/>
    <mergeCell ref="M469:N469"/>
    <mergeCell ref="O469:P469"/>
    <mergeCell ref="B470:E470"/>
    <mergeCell ref="F470:I470"/>
    <mergeCell ref="J470:L470"/>
    <mergeCell ref="M470:N470"/>
    <mergeCell ref="O470:P470"/>
    <mergeCell ref="B467:E467"/>
    <mergeCell ref="F467:I467"/>
    <mergeCell ref="J467:L467"/>
    <mergeCell ref="M467:N467"/>
    <mergeCell ref="O467:P467"/>
    <mergeCell ref="B468:E468"/>
    <mergeCell ref="F468:I468"/>
    <mergeCell ref="J468:L468"/>
    <mergeCell ref="M468:N468"/>
    <mergeCell ref="O468:P468"/>
    <mergeCell ref="B465:E465"/>
    <mergeCell ref="F465:I465"/>
    <mergeCell ref="J465:L465"/>
    <mergeCell ref="M465:N465"/>
    <mergeCell ref="O465:P465"/>
    <mergeCell ref="B466:E466"/>
    <mergeCell ref="F466:I466"/>
    <mergeCell ref="J466:L466"/>
    <mergeCell ref="M466:N466"/>
    <mergeCell ref="O466:P466"/>
    <mergeCell ref="B463:E463"/>
    <mergeCell ref="F463:I463"/>
    <mergeCell ref="J463:L463"/>
    <mergeCell ref="M463:N463"/>
    <mergeCell ref="O463:P463"/>
    <mergeCell ref="B464:E464"/>
    <mergeCell ref="F464:I464"/>
    <mergeCell ref="J464:L464"/>
    <mergeCell ref="M464:N464"/>
    <mergeCell ref="O464:P464"/>
    <mergeCell ref="B461:E461"/>
    <mergeCell ref="F461:I461"/>
    <mergeCell ref="J461:L461"/>
    <mergeCell ref="M461:N461"/>
    <mergeCell ref="O461:P461"/>
    <mergeCell ref="B462:E462"/>
    <mergeCell ref="F462:I462"/>
    <mergeCell ref="J462:L462"/>
    <mergeCell ref="M462:N462"/>
    <mergeCell ref="O462:P462"/>
    <mergeCell ref="B459:E459"/>
    <mergeCell ref="F459:I459"/>
    <mergeCell ref="J459:L459"/>
    <mergeCell ref="M459:N459"/>
    <mergeCell ref="O459:P459"/>
    <mergeCell ref="B460:E460"/>
    <mergeCell ref="F460:I460"/>
    <mergeCell ref="J460:L460"/>
    <mergeCell ref="M460:N460"/>
    <mergeCell ref="O460:P460"/>
    <mergeCell ref="B457:E457"/>
    <mergeCell ref="F457:I457"/>
    <mergeCell ref="J457:L457"/>
    <mergeCell ref="M457:N457"/>
    <mergeCell ref="O457:P457"/>
    <mergeCell ref="B458:E458"/>
    <mergeCell ref="F458:I458"/>
    <mergeCell ref="J458:L458"/>
    <mergeCell ref="M458:N458"/>
    <mergeCell ref="O458:P458"/>
    <mergeCell ref="B455:E455"/>
    <mergeCell ref="F455:I455"/>
    <mergeCell ref="J455:L455"/>
    <mergeCell ref="M455:N455"/>
    <mergeCell ref="O455:P455"/>
    <mergeCell ref="B456:E456"/>
    <mergeCell ref="F456:I456"/>
    <mergeCell ref="J456:L456"/>
    <mergeCell ref="M456:N456"/>
    <mergeCell ref="O456:P456"/>
    <mergeCell ref="B453:E453"/>
    <mergeCell ref="F453:I453"/>
    <mergeCell ref="J453:L453"/>
    <mergeCell ref="M453:N453"/>
    <mergeCell ref="O453:P453"/>
    <mergeCell ref="B454:E454"/>
    <mergeCell ref="F454:I454"/>
    <mergeCell ref="J454:L454"/>
    <mergeCell ref="M454:N454"/>
    <mergeCell ref="O454:P454"/>
    <mergeCell ref="B451:E451"/>
    <mergeCell ref="F451:I451"/>
    <mergeCell ref="J451:L451"/>
    <mergeCell ref="M451:N451"/>
    <mergeCell ref="O451:P451"/>
    <mergeCell ref="B452:E452"/>
    <mergeCell ref="F452:I452"/>
    <mergeCell ref="J452:L452"/>
    <mergeCell ref="M452:N452"/>
    <mergeCell ref="O452:P452"/>
    <mergeCell ref="B449:E449"/>
    <mergeCell ref="F449:I449"/>
    <mergeCell ref="J449:L449"/>
    <mergeCell ref="M449:N449"/>
    <mergeCell ref="O449:P449"/>
    <mergeCell ref="B450:E450"/>
    <mergeCell ref="F450:I450"/>
    <mergeCell ref="J450:L450"/>
    <mergeCell ref="M450:N450"/>
    <mergeCell ref="O450:P450"/>
    <mergeCell ref="B447:E447"/>
    <mergeCell ref="F447:I447"/>
    <mergeCell ref="J447:L447"/>
    <mergeCell ref="M447:N447"/>
    <mergeCell ref="O447:P447"/>
    <mergeCell ref="B448:E448"/>
    <mergeCell ref="F448:I448"/>
    <mergeCell ref="J448:L448"/>
    <mergeCell ref="M448:N448"/>
    <mergeCell ref="O448:P448"/>
    <mergeCell ref="B445:E445"/>
    <mergeCell ref="F445:I445"/>
    <mergeCell ref="J445:L445"/>
    <mergeCell ref="M445:N445"/>
    <mergeCell ref="O445:P445"/>
    <mergeCell ref="B446:E446"/>
    <mergeCell ref="F446:I446"/>
    <mergeCell ref="J446:L446"/>
    <mergeCell ref="M446:N446"/>
    <mergeCell ref="O446:P446"/>
    <mergeCell ref="B443:E443"/>
    <mergeCell ref="F443:I443"/>
    <mergeCell ref="J443:L443"/>
    <mergeCell ref="M443:N443"/>
    <mergeCell ref="O443:P443"/>
    <mergeCell ref="B444:E444"/>
    <mergeCell ref="F444:I444"/>
    <mergeCell ref="J444:L444"/>
    <mergeCell ref="M444:N444"/>
    <mergeCell ref="O444:P444"/>
    <mergeCell ref="B441:E441"/>
    <mergeCell ref="F441:I441"/>
    <mergeCell ref="J441:L441"/>
    <mergeCell ref="M441:N441"/>
    <mergeCell ref="O441:P441"/>
    <mergeCell ref="B442:E442"/>
    <mergeCell ref="F442:I442"/>
    <mergeCell ref="J442:L442"/>
    <mergeCell ref="M442:N442"/>
    <mergeCell ref="O442:P442"/>
    <mergeCell ref="B439:E439"/>
    <mergeCell ref="F439:I439"/>
    <mergeCell ref="J439:L439"/>
    <mergeCell ref="M439:N439"/>
    <mergeCell ref="O439:P439"/>
    <mergeCell ref="B440:E440"/>
    <mergeCell ref="F440:I440"/>
    <mergeCell ref="J440:L440"/>
    <mergeCell ref="M440:N440"/>
    <mergeCell ref="O440:P440"/>
    <mergeCell ref="B437:E437"/>
    <mergeCell ref="F437:I437"/>
    <mergeCell ref="J437:L437"/>
    <mergeCell ref="M437:N437"/>
    <mergeCell ref="O437:P437"/>
    <mergeCell ref="B438:E438"/>
    <mergeCell ref="F438:I438"/>
    <mergeCell ref="J438:L438"/>
    <mergeCell ref="M438:N438"/>
    <mergeCell ref="O438:P438"/>
    <mergeCell ref="B435:E435"/>
    <mergeCell ref="F435:I435"/>
    <mergeCell ref="J435:L435"/>
    <mergeCell ref="M435:N435"/>
    <mergeCell ref="O435:P435"/>
    <mergeCell ref="B436:E436"/>
    <mergeCell ref="F436:I436"/>
    <mergeCell ref="J436:L436"/>
    <mergeCell ref="M436:N436"/>
    <mergeCell ref="O436:P436"/>
    <mergeCell ref="B433:E433"/>
    <mergeCell ref="F433:I433"/>
    <mergeCell ref="J433:L433"/>
    <mergeCell ref="M433:N433"/>
    <mergeCell ref="O433:P433"/>
    <mergeCell ref="B434:E434"/>
    <mergeCell ref="F434:I434"/>
    <mergeCell ref="J434:L434"/>
    <mergeCell ref="M434:N434"/>
    <mergeCell ref="O434:P434"/>
    <mergeCell ref="B431:E431"/>
    <mergeCell ref="F431:I431"/>
    <mergeCell ref="J431:L431"/>
    <mergeCell ref="M431:N431"/>
    <mergeCell ref="O431:P431"/>
    <mergeCell ref="B432:E432"/>
    <mergeCell ref="F432:I432"/>
    <mergeCell ref="J432:L432"/>
    <mergeCell ref="M432:N432"/>
    <mergeCell ref="O432:P432"/>
    <mergeCell ref="B429:E429"/>
    <mergeCell ref="F429:I429"/>
    <mergeCell ref="J429:L429"/>
    <mergeCell ref="M429:N429"/>
    <mergeCell ref="O429:P429"/>
    <mergeCell ref="B430:E430"/>
    <mergeCell ref="F430:I430"/>
    <mergeCell ref="J430:L430"/>
    <mergeCell ref="M430:N430"/>
    <mergeCell ref="O430:P430"/>
    <mergeCell ref="B427:E427"/>
    <mergeCell ref="F427:I427"/>
    <mergeCell ref="J427:L427"/>
    <mergeCell ref="M427:N427"/>
    <mergeCell ref="O427:P427"/>
    <mergeCell ref="B428:E428"/>
    <mergeCell ref="F428:I428"/>
    <mergeCell ref="J428:L428"/>
    <mergeCell ref="M428:N428"/>
    <mergeCell ref="O428:P428"/>
    <mergeCell ref="B425:E425"/>
    <mergeCell ref="F425:I425"/>
    <mergeCell ref="J425:L425"/>
    <mergeCell ref="M425:N425"/>
    <mergeCell ref="O425:P425"/>
    <mergeCell ref="B426:E426"/>
    <mergeCell ref="F426:I426"/>
    <mergeCell ref="J426:L426"/>
    <mergeCell ref="M426:N426"/>
    <mergeCell ref="O426:P426"/>
    <mergeCell ref="B423:E423"/>
    <mergeCell ref="F423:I423"/>
    <mergeCell ref="J423:L423"/>
    <mergeCell ref="M423:N423"/>
    <mergeCell ref="O423:P423"/>
    <mergeCell ref="B424:E424"/>
    <mergeCell ref="F424:I424"/>
    <mergeCell ref="J424:L424"/>
    <mergeCell ref="M424:N424"/>
    <mergeCell ref="O424:P424"/>
    <mergeCell ref="B421:E421"/>
    <mergeCell ref="F421:I421"/>
    <mergeCell ref="J421:L421"/>
    <mergeCell ref="M421:N421"/>
    <mergeCell ref="O421:P421"/>
    <mergeCell ref="B422:E422"/>
    <mergeCell ref="F422:I422"/>
    <mergeCell ref="J422:L422"/>
    <mergeCell ref="M422:N422"/>
    <mergeCell ref="O422:P422"/>
    <mergeCell ref="B419:E419"/>
    <mergeCell ref="F419:I419"/>
    <mergeCell ref="J419:L419"/>
    <mergeCell ref="M419:N419"/>
    <mergeCell ref="O419:P419"/>
    <mergeCell ref="B420:E420"/>
    <mergeCell ref="F420:I420"/>
    <mergeCell ref="J420:L420"/>
    <mergeCell ref="M420:N420"/>
    <mergeCell ref="O420:P420"/>
    <mergeCell ref="B417:E417"/>
    <mergeCell ref="F417:I417"/>
    <mergeCell ref="J417:L417"/>
    <mergeCell ref="M417:N417"/>
    <mergeCell ref="O417:P417"/>
    <mergeCell ref="B418:E418"/>
    <mergeCell ref="F418:I418"/>
    <mergeCell ref="J418:L418"/>
    <mergeCell ref="M418:N418"/>
    <mergeCell ref="O418:P418"/>
    <mergeCell ref="B415:E415"/>
    <mergeCell ref="F415:I415"/>
    <mergeCell ref="J415:L415"/>
    <mergeCell ref="M415:N415"/>
    <mergeCell ref="O415:P415"/>
    <mergeCell ref="B416:E416"/>
    <mergeCell ref="F416:I416"/>
    <mergeCell ref="J416:L416"/>
    <mergeCell ref="M416:N416"/>
    <mergeCell ref="O416:P416"/>
    <mergeCell ref="B413:E413"/>
    <mergeCell ref="F413:I413"/>
    <mergeCell ref="J413:L413"/>
    <mergeCell ref="M413:N413"/>
    <mergeCell ref="O413:P413"/>
    <mergeCell ref="B414:E414"/>
    <mergeCell ref="F414:I414"/>
    <mergeCell ref="J414:L414"/>
    <mergeCell ref="M414:N414"/>
    <mergeCell ref="O414:P414"/>
    <mergeCell ref="B411:E411"/>
    <mergeCell ref="F411:I411"/>
    <mergeCell ref="J411:L411"/>
    <mergeCell ref="M411:N411"/>
    <mergeCell ref="O411:P411"/>
    <mergeCell ref="B412:E412"/>
    <mergeCell ref="F412:I412"/>
    <mergeCell ref="J412:L412"/>
    <mergeCell ref="M412:N412"/>
    <mergeCell ref="O412:P412"/>
    <mergeCell ref="B409:E409"/>
    <mergeCell ref="F409:I409"/>
    <mergeCell ref="J409:L409"/>
    <mergeCell ref="M409:N409"/>
    <mergeCell ref="O409:P409"/>
    <mergeCell ref="B410:E410"/>
    <mergeCell ref="F410:I410"/>
    <mergeCell ref="J410:L410"/>
    <mergeCell ref="M410:N410"/>
    <mergeCell ref="O410:P410"/>
    <mergeCell ref="B407:E407"/>
    <mergeCell ref="F407:I407"/>
    <mergeCell ref="J407:L407"/>
    <mergeCell ref="M407:N407"/>
    <mergeCell ref="O407:P407"/>
    <mergeCell ref="B408:E408"/>
    <mergeCell ref="F408:I408"/>
    <mergeCell ref="J408:L408"/>
    <mergeCell ref="M408:N408"/>
    <mergeCell ref="O408:P408"/>
    <mergeCell ref="B405:E405"/>
    <mergeCell ref="F405:I405"/>
    <mergeCell ref="J405:L405"/>
    <mergeCell ref="M405:N405"/>
    <mergeCell ref="O405:P405"/>
    <mergeCell ref="B406:E406"/>
    <mergeCell ref="F406:I406"/>
    <mergeCell ref="J406:L406"/>
    <mergeCell ref="M406:N406"/>
    <mergeCell ref="O406:P406"/>
    <mergeCell ref="B403:E403"/>
    <mergeCell ref="F403:I403"/>
    <mergeCell ref="J403:L403"/>
    <mergeCell ref="M403:N403"/>
    <mergeCell ref="O403:P403"/>
    <mergeCell ref="B404:E404"/>
    <mergeCell ref="F404:I404"/>
    <mergeCell ref="J404:L404"/>
    <mergeCell ref="M404:N404"/>
    <mergeCell ref="O404:P404"/>
    <mergeCell ref="B401:E401"/>
    <mergeCell ref="F401:I401"/>
    <mergeCell ref="J401:L401"/>
    <mergeCell ref="M401:N401"/>
    <mergeCell ref="O401:P401"/>
    <mergeCell ref="B402:E402"/>
    <mergeCell ref="F402:I402"/>
    <mergeCell ref="J402:L402"/>
    <mergeCell ref="M402:N402"/>
    <mergeCell ref="O402:P402"/>
    <mergeCell ref="B399:E399"/>
    <mergeCell ref="F399:I399"/>
    <mergeCell ref="J399:L399"/>
    <mergeCell ref="M399:N399"/>
    <mergeCell ref="O399:P399"/>
    <mergeCell ref="B400:E400"/>
    <mergeCell ref="F400:I400"/>
    <mergeCell ref="J400:L400"/>
    <mergeCell ref="M400:N400"/>
    <mergeCell ref="O400:P400"/>
    <mergeCell ref="B397:E397"/>
    <mergeCell ref="F397:I397"/>
    <mergeCell ref="J397:L397"/>
    <mergeCell ref="M397:N397"/>
    <mergeCell ref="O397:P397"/>
    <mergeCell ref="B398:E398"/>
    <mergeCell ref="F398:I398"/>
    <mergeCell ref="J398:L398"/>
    <mergeCell ref="M398:N398"/>
    <mergeCell ref="O398:P398"/>
    <mergeCell ref="B395:E395"/>
    <mergeCell ref="F395:I395"/>
    <mergeCell ref="J395:L395"/>
    <mergeCell ref="M395:N395"/>
    <mergeCell ref="O395:P395"/>
    <mergeCell ref="B396:E396"/>
    <mergeCell ref="F396:I396"/>
    <mergeCell ref="J396:L396"/>
    <mergeCell ref="M396:N396"/>
    <mergeCell ref="O396:P396"/>
    <mergeCell ref="B393:E393"/>
    <mergeCell ref="F393:I393"/>
    <mergeCell ref="J393:L393"/>
    <mergeCell ref="M393:N393"/>
    <mergeCell ref="O393:P393"/>
    <mergeCell ref="B394:E394"/>
    <mergeCell ref="F394:I394"/>
    <mergeCell ref="J394:L394"/>
    <mergeCell ref="M394:N394"/>
    <mergeCell ref="O394:P394"/>
    <mergeCell ref="B391:E391"/>
    <mergeCell ref="F391:I391"/>
    <mergeCell ref="J391:L391"/>
    <mergeCell ref="M391:N391"/>
    <mergeCell ref="O391:P391"/>
    <mergeCell ref="B392:E392"/>
    <mergeCell ref="F392:I392"/>
    <mergeCell ref="J392:L392"/>
    <mergeCell ref="M392:N392"/>
    <mergeCell ref="O392:P392"/>
    <mergeCell ref="B389:E389"/>
    <mergeCell ref="F389:I389"/>
    <mergeCell ref="J389:L389"/>
    <mergeCell ref="M389:N389"/>
    <mergeCell ref="O389:P389"/>
    <mergeCell ref="B390:E390"/>
    <mergeCell ref="F390:I390"/>
    <mergeCell ref="J390:L390"/>
    <mergeCell ref="M390:N390"/>
    <mergeCell ref="O390:P390"/>
    <mergeCell ref="B387:E387"/>
    <mergeCell ref="F387:I387"/>
    <mergeCell ref="J387:L387"/>
    <mergeCell ref="M387:N387"/>
    <mergeCell ref="O387:P387"/>
    <mergeCell ref="B388:E388"/>
    <mergeCell ref="F388:I388"/>
    <mergeCell ref="J388:L388"/>
    <mergeCell ref="M388:N388"/>
    <mergeCell ref="O388:P388"/>
    <mergeCell ref="B385:E385"/>
    <mergeCell ref="F385:I385"/>
    <mergeCell ref="J385:L385"/>
    <mergeCell ref="M385:N385"/>
    <mergeCell ref="O385:P385"/>
    <mergeCell ref="B386:E386"/>
    <mergeCell ref="F386:I386"/>
    <mergeCell ref="J386:L386"/>
    <mergeCell ref="M386:N386"/>
    <mergeCell ref="O386:P386"/>
    <mergeCell ref="B383:E383"/>
    <mergeCell ref="F383:I383"/>
    <mergeCell ref="J383:L383"/>
    <mergeCell ref="M383:N383"/>
    <mergeCell ref="O383:P383"/>
    <mergeCell ref="B384:E384"/>
    <mergeCell ref="F384:I384"/>
    <mergeCell ref="J384:L384"/>
    <mergeCell ref="M384:N384"/>
    <mergeCell ref="O384:P384"/>
    <mergeCell ref="B381:E381"/>
    <mergeCell ref="F381:I381"/>
    <mergeCell ref="J381:L381"/>
    <mergeCell ref="M381:N381"/>
    <mergeCell ref="O381:P381"/>
    <mergeCell ref="B382:E382"/>
    <mergeCell ref="F382:I382"/>
    <mergeCell ref="J382:L382"/>
    <mergeCell ref="M382:N382"/>
    <mergeCell ref="O382:P382"/>
    <mergeCell ref="B379:E379"/>
    <mergeCell ref="F379:I379"/>
    <mergeCell ref="J379:L379"/>
    <mergeCell ref="M379:N379"/>
    <mergeCell ref="O379:P379"/>
    <mergeCell ref="B380:E380"/>
    <mergeCell ref="F380:I380"/>
    <mergeCell ref="J380:L380"/>
    <mergeCell ref="M380:N380"/>
    <mergeCell ref="O380:P380"/>
    <mergeCell ref="B377:E377"/>
    <mergeCell ref="F377:I377"/>
    <mergeCell ref="J377:L377"/>
    <mergeCell ref="M377:N377"/>
    <mergeCell ref="O377:P377"/>
    <mergeCell ref="B378:E378"/>
    <mergeCell ref="F378:I378"/>
    <mergeCell ref="J378:L378"/>
    <mergeCell ref="M378:N378"/>
    <mergeCell ref="O378:P378"/>
    <mergeCell ref="B375:E375"/>
    <mergeCell ref="F375:I375"/>
    <mergeCell ref="J375:L375"/>
    <mergeCell ref="M375:N375"/>
    <mergeCell ref="O375:P375"/>
    <mergeCell ref="B376:E376"/>
    <mergeCell ref="F376:I376"/>
    <mergeCell ref="J376:L376"/>
    <mergeCell ref="M376:N376"/>
    <mergeCell ref="O376:P376"/>
    <mergeCell ref="B373:E373"/>
    <mergeCell ref="F373:I373"/>
    <mergeCell ref="J373:L373"/>
    <mergeCell ref="M373:N373"/>
    <mergeCell ref="O373:P373"/>
    <mergeCell ref="B374:E374"/>
    <mergeCell ref="F374:I374"/>
    <mergeCell ref="J374:L374"/>
    <mergeCell ref="M374:N374"/>
    <mergeCell ref="O374:P374"/>
    <mergeCell ref="B371:E371"/>
    <mergeCell ref="F371:I371"/>
    <mergeCell ref="J371:L371"/>
    <mergeCell ref="M371:N371"/>
    <mergeCell ref="O371:P371"/>
    <mergeCell ref="B372:E372"/>
    <mergeCell ref="F372:I372"/>
    <mergeCell ref="J372:L372"/>
    <mergeCell ref="M372:N372"/>
    <mergeCell ref="O372:P372"/>
    <mergeCell ref="B369:E369"/>
    <mergeCell ref="F369:I369"/>
    <mergeCell ref="J369:L369"/>
    <mergeCell ref="M369:N369"/>
    <mergeCell ref="O369:P369"/>
    <mergeCell ref="B370:E370"/>
    <mergeCell ref="F370:I370"/>
    <mergeCell ref="J370:L370"/>
    <mergeCell ref="M370:N370"/>
    <mergeCell ref="O370:P370"/>
    <mergeCell ref="B367:E367"/>
    <mergeCell ref="F367:I367"/>
    <mergeCell ref="J367:L367"/>
    <mergeCell ref="M367:N367"/>
    <mergeCell ref="O367:P367"/>
    <mergeCell ref="B368:E368"/>
    <mergeCell ref="F368:I368"/>
    <mergeCell ref="J368:L368"/>
    <mergeCell ref="M368:N368"/>
    <mergeCell ref="O368:P368"/>
    <mergeCell ref="B365:E365"/>
    <mergeCell ref="F365:I365"/>
    <mergeCell ref="J365:L365"/>
    <mergeCell ref="M365:N365"/>
    <mergeCell ref="O365:P365"/>
    <mergeCell ref="B366:E366"/>
    <mergeCell ref="F366:I366"/>
    <mergeCell ref="J366:L366"/>
    <mergeCell ref="M366:N366"/>
    <mergeCell ref="O366:P366"/>
    <mergeCell ref="B363:E363"/>
    <mergeCell ref="F363:I363"/>
    <mergeCell ref="J363:L363"/>
    <mergeCell ref="M363:N363"/>
    <mergeCell ref="O363:P363"/>
    <mergeCell ref="B364:E364"/>
    <mergeCell ref="F364:I364"/>
    <mergeCell ref="J364:L364"/>
    <mergeCell ref="M364:N364"/>
    <mergeCell ref="O364:P364"/>
    <mergeCell ref="B361:E361"/>
    <mergeCell ref="F361:I361"/>
    <mergeCell ref="J361:L361"/>
    <mergeCell ref="M361:N361"/>
    <mergeCell ref="O361:P361"/>
    <mergeCell ref="B362:E362"/>
    <mergeCell ref="F362:I362"/>
    <mergeCell ref="J362:L362"/>
    <mergeCell ref="M362:N362"/>
    <mergeCell ref="O362:P362"/>
    <mergeCell ref="B359:E359"/>
    <mergeCell ref="F359:I359"/>
    <mergeCell ref="J359:L359"/>
    <mergeCell ref="M359:N359"/>
    <mergeCell ref="O359:P359"/>
    <mergeCell ref="B360:E360"/>
    <mergeCell ref="F360:I360"/>
    <mergeCell ref="J360:L360"/>
    <mergeCell ref="M360:N360"/>
    <mergeCell ref="O360:P360"/>
    <mergeCell ref="B357:E357"/>
    <mergeCell ref="F357:I357"/>
    <mergeCell ref="J357:L357"/>
    <mergeCell ref="M357:N357"/>
    <mergeCell ref="O357:P357"/>
    <mergeCell ref="B358:E358"/>
    <mergeCell ref="F358:I358"/>
    <mergeCell ref="J358:L358"/>
    <mergeCell ref="M358:N358"/>
    <mergeCell ref="O358:P358"/>
    <mergeCell ref="B355:E355"/>
    <mergeCell ref="F355:I355"/>
    <mergeCell ref="J355:L355"/>
    <mergeCell ref="M355:N355"/>
    <mergeCell ref="O355:P355"/>
    <mergeCell ref="B356:E356"/>
    <mergeCell ref="F356:I356"/>
    <mergeCell ref="J356:L356"/>
    <mergeCell ref="M356:N356"/>
    <mergeCell ref="O356:P356"/>
    <mergeCell ref="B353:E353"/>
    <mergeCell ref="F353:I353"/>
    <mergeCell ref="J353:L353"/>
    <mergeCell ref="M353:N353"/>
    <mergeCell ref="O353:P353"/>
    <mergeCell ref="B354:E354"/>
    <mergeCell ref="F354:I354"/>
    <mergeCell ref="J354:L354"/>
    <mergeCell ref="M354:N354"/>
    <mergeCell ref="O354:P354"/>
    <mergeCell ref="B351:E351"/>
    <mergeCell ref="F351:I351"/>
    <mergeCell ref="J351:L351"/>
    <mergeCell ref="M351:N351"/>
    <mergeCell ref="O351:P351"/>
    <mergeCell ref="B352:E352"/>
    <mergeCell ref="F352:I352"/>
    <mergeCell ref="J352:L352"/>
    <mergeCell ref="M352:N352"/>
    <mergeCell ref="O352:P352"/>
    <mergeCell ref="B349:E349"/>
    <mergeCell ref="F349:I349"/>
    <mergeCell ref="J349:L349"/>
    <mergeCell ref="M349:N349"/>
    <mergeCell ref="O349:P349"/>
    <mergeCell ref="B350:E350"/>
    <mergeCell ref="F350:I350"/>
    <mergeCell ref="J350:L350"/>
    <mergeCell ref="M350:N350"/>
    <mergeCell ref="O350:P350"/>
    <mergeCell ref="B347:E347"/>
    <mergeCell ref="F347:I347"/>
    <mergeCell ref="J347:L347"/>
    <mergeCell ref="M347:N347"/>
    <mergeCell ref="O347:P347"/>
    <mergeCell ref="B348:E348"/>
    <mergeCell ref="F348:I348"/>
    <mergeCell ref="J348:L348"/>
    <mergeCell ref="M348:N348"/>
    <mergeCell ref="O348:P348"/>
    <mergeCell ref="B345:E345"/>
    <mergeCell ref="F345:I345"/>
    <mergeCell ref="J345:L345"/>
    <mergeCell ref="M345:N345"/>
    <mergeCell ref="O345:P345"/>
    <mergeCell ref="B346:E346"/>
    <mergeCell ref="F346:I346"/>
    <mergeCell ref="J346:L346"/>
    <mergeCell ref="M346:N346"/>
    <mergeCell ref="O346:P346"/>
    <mergeCell ref="B343:E343"/>
    <mergeCell ref="F343:I343"/>
    <mergeCell ref="J343:L343"/>
    <mergeCell ref="M343:N343"/>
    <mergeCell ref="O343:P343"/>
    <mergeCell ref="B344:E344"/>
    <mergeCell ref="F344:I344"/>
    <mergeCell ref="J344:L344"/>
    <mergeCell ref="M344:N344"/>
    <mergeCell ref="O344:P344"/>
    <mergeCell ref="B341:E341"/>
    <mergeCell ref="F341:I341"/>
    <mergeCell ref="J341:L341"/>
    <mergeCell ref="M341:N341"/>
    <mergeCell ref="O341:P341"/>
    <mergeCell ref="B342:E342"/>
    <mergeCell ref="F342:I342"/>
    <mergeCell ref="J342:L342"/>
    <mergeCell ref="M342:N342"/>
    <mergeCell ref="O342:P342"/>
    <mergeCell ref="B339:E339"/>
    <mergeCell ref="F339:I339"/>
    <mergeCell ref="J339:L339"/>
    <mergeCell ref="M339:N339"/>
    <mergeCell ref="O339:P339"/>
    <mergeCell ref="B340:E340"/>
    <mergeCell ref="F340:I340"/>
    <mergeCell ref="J340:L340"/>
    <mergeCell ref="M340:N340"/>
    <mergeCell ref="O340:P340"/>
    <mergeCell ref="B337:E337"/>
    <mergeCell ref="F337:I337"/>
    <mergeCell ref="J337:L337"/>
    <mergeCell ref="M337:N337"/>
    <mergeCell ref="O337:P337"/>
    <mergeCell ref="B338:E338"/>
    <mergeCell ref="F338:I338"/>
    <mergeCell ref="J338:L338"/>
    <mergeCell ref="M338:N338"/>
    <mergeCell ref="O338:P338"/>
    <mergeCell ref="B335:E335"/>
    <mergeCell ref="F335:I335"/>
    <mergeCell ref="J335:L335"/>
    <mergeCell ref="M335:N335"/>
    <mergeCell ref="O335:P335"/>
    <mergeCell ref="B336:E336"/>
    <mergeCell ref="F336:I336"/>
    <mergeCell ref="J336:L336"/>
    <mergeCell ref="M336:N336"/>
    <mergeCell ref="O336:P336"/>
    <mergeCell ref="B333:E333"/>
    <mergeCell ref="F333:I333"/>
    <mergeCell ref="J333:L333"/>
    <mergeCell ref="M333:N333"/>
    <mergeCell ref="O333:P333"/>
    <mergeCell ref="B334:E334"/>
    <mergeCell ref="F334:I334"/>
    <mergeCell ref="J334:L334"/>
    <mergeCell ref="M334:N334"/>
    <mergeCell ref="O334:P334"/>
    <mergeCell ref="B331:E331"/>
    <mergeCell ref="F331:I331"/>
    <mergeCell ref="J331:L331"/>
    <mergeCell ref="M331:N331"/>
    <mergeCell ref="O331:P331"/>
    <mergeCell ref="B332:E332"/>
    <mergeCell ref="F332:I332"/>
    <mergeCell ref="J332:L332"/>
    <mergeCell ref="M332:N332"/>
    <mergeCell ref="O332:P332"/>
    <mergeCell ref="B329:E329"/>
    <mergeCell ref="F329:I329"/>
    <mergeCell ref="J329:L329"/>
    <mergeCell ref="M329:N329"/>
    <mergeCell ref="O329:P329"/>
    <mergeCell ref="B330:E330"/>
    <mergeCell ref="F330:I330"/>
    <mergeCell ref="J330:L330"/>
    <mergeCell ref="M330:N330"/>
    <mergeCell ref="O330:P330"/>
    <mergeCell ref="B327:E327"/>
    <mergeCell ref="F327:I327"/>
    <mergeCell ref="J327:L327"/>
    <mergeCell ref="M327:N327"/>
    <mergeCell ref="O327:P327"/>
    <mergeCell ref="B328:E328"/>
    <mergeCell ref="F328:I328"/>
    <mergeCell ref="J328:L328"/>
    <mergeCell ref="M328:N328"/>
    <mergeCell ref="O328:P328"/>
    <mergeCell ref="B325:E325"/>
    <mergeCell ref="F325:I325"/>
    <mergeCell ref="J325:L325"/>
    <mergeCell ref="M325:N325"/>
    <mergeCell ref="O325:P325"/>
    <mergeCell ref="B326:E326"/>
    <mergeCell ref="F326:I326"/>
    <mergeCell ref="J326:L326"/>
    <mergeCell ref="M326:N326"/>
    <mergeCell ref="O326:P326"/>
    <mergeCell ref="B323:E323"/>
    <mergeCell ref="F323:I323"/>
    <mergeCell ref="J323:L323"/>
    <mergeCell ref="M323:N323"/>
    <mergeCell ref="O323:P323"/>
    <mergeCell ref="B324:E324"/>
    <mergeCell ref="F324:I324"/>
    <mergeCell ref="J324:L324"/>
    <mergeCell ref="M324:N324"/>
    <mergeCell ref="O324:P324"/>
    <mergeCell ref="B321:E321"/>
    <mergeCell ref="F321:I321"/>
    <mergeCell ref="J321:L321"/>
    <mergeCell ref="M321:N321"/>
    <mergeCell ref="O321:P321"/>
    <mergeCell ref="B322:E322"/>
    <mergeCell ref="F322:I322"/>
    <mergeCell ref="J322:L322"/>
    <mergeCell ref="M322:N322"/>
    <mergeCell ref="O322:P322"/>
    <mergeCell ref="B319:E319"/>
    <mergeCell ref="F319:I319"/>
    <mergeCell ref="J319:L319"/>
    <mergeCell ref="M319:N319"/>
    <mergeCell ref="O319:P319"/>
    <mergeCell ref="B320:E320"/>
    <mergeCell ref="F320:I320"/>
    <mergeCell ref="J320:L320"/>
    <mergeCell ref="M320:N320"/>
    <mergeCell ref="O320:P320"/>
    <mergeCell ref="B317:E317"/>
    <mergeCell ref="F317:I317"/>
    <mergeCell ref="J317:L317"/>
    <mergeCell ref="M317:N317"/>
    <mergeCell ref="O317:P317"/>
    <mergeCell ref="B318:E318"/>
    <mergeCell ref="F318:I318"/>
    <mergeCell ref="J318:L318"/>
    <mergeCell ref="M318:N318"/>
    <mergeCell ref="O318:P318"/>
    <mergeCell ref="B315:E315"/>
    <mergeCell ref="F315:I315"/>
    <mergeCell ref="J315:L315"/>
    <mergeCell ref="M315:N315"/>
    <mergeCell ref="O315:P315"/>
    <mergeCell ref="B316:E316"/>
    <mergeCell ref="F316:I316"/>
    <mergeCell ref="J316:L316"/>
    <mergeCell ref="M316:N316"/>
    <mergeCell ref="O316:P316"/>
    <mergeCell ref="B313:E313"/>
    <mergeCell ref="F313:I313"/>
    <mergeCell ref="J313:L313"/>
    <mergeCell ref="M313:N313"/>
    <mergeCell ref="O313:P313"/>
    <mergeCell ref="B314:E314"/>
    <mergeCell ref="F314:I314"/>
    <mergeCell ref="J314:L314"/>
    <mergeCell ref="M314:N314"/>
    <mergeCell ref="O314:P314"/>
    <mergeCell ref="B311:E311"/>
    <mergeCell ref="F311:I311"/>
    <mergeCell ref="J311:L311"/>
    <mergeCell ref="M311:N311"/>
    <mergeCell ref="O311:P311"/>
    <mergeCell ref="B312:E312"/>
    <mergeCell ref="F312:I312"/>
    <mergeCell ref="J312:L312"/>
    <mergeCell ref="M312:N312"/>
    <mergeCell ref="O312:P312"/>
    <mergeCell ref="B309:E309"/>
    <mergeCell ref="F309:I309"/>
    <mergeCell ref="J309:L309"/>
    <mergeCell ref="M309:N309"/>
    <mergeCell ref="O309:P309"/>
    <mergeCell ref="B310:E310"/>
    <mergeCell ref="F310:I310"/>
    <mergeCell ref="J310:L310"/>
    <mergeCell ref="M310:N310"/>
    <mergeCell ref="O310:P310"/>
    <mergeCell ref="B307:E307"/>
    <mergeCell ref="F307:I307"/>
    <mergeCell ref="J307:L307"/>
    <mergeCell ref="M307:N307"/>
    <mergeCell ref="O307:P307"/>
    <mergeCell ref="B308:E308"/>
    <mergeCell ref="F308:I308"/>
    <mergeCell ref="J308:L308"/>
    <mergeCell ref="M308:N308"/>
    <mergeCell ref="O308:P308"/>
    <mergeCell ref="B305:E305"/>
    <mergeCell ref="F305:I305"/>
    <mergeCell ref="J305:L305"/>
    <mergeCell ref="M305:N305"/>
    <mergeCell ref="O305:P305"/>
    <mergeCell ref="B306:E306"/>
    <mergeCell ref="F306:I306"/>
    <mergeCell ref="J306:L306"/>
    <mergeCell ref="M306:N306"/>
    <mergeCell ref="O306:P306"/>
    <mergeCell ref="B303:E303"/>
    <mergeCell ref="F303:I303"/>
    <mergeCell ref="J303:L303"/>
    <mergeCell ref="M303:N303"/>
    <mergeCell ref="O303:P303"/>
    <mergeCell ref="B304:E304"/>
    <mergeCell ref="F304:I304"/>
    <mergeCell ref="J304:L304"/>
    <mergeCell ref="M304:N304"/>
    <mergeCell ref="O304:P304"/>
    <mergeCell ref="B301:E301"/>
    <mergeCell ref="F301:I301"/>
    <mergeCell ref="J301:L301"/>
    <mergeCell ref="M301:N301"/>
    <mergeCell ref="O301:P301"/>
    <mergeCell ref="B302:E302"/>
    <mergeCell ref="F302:I302"/>
    <mergeCell ref="J302:L302"/>
    <mergeCell ref="M302:N302"/>
    <mergeCell ref="O302:P302"/>
    <mergeCell ref="B299:E299"/>
    <mergeCell ref="F299:I299"/>
    <mergeCell ref="J299:L299"/>
    <mergeCell ref="M299:N299"/>
    <mergeCell ref="O299:P299"/>
    <mergeCell ref="B300:E300"/>
    <mergeCell ref="F300:I300"/>
    <mergeCell ref="J300:L300"/>
    <mergeCell ref="M300:N300"/>
    <mergeCell ref="O300:P300"/>
    <mergeCell ref="B297:E297"/>
    <mergeCell ref="F297:I297"/>
    <mergeCell ref="J297:L297"/>
    <mergeCell ref="M297:N297"/>
    <mergeCell ref="O297:P297"/>
    <mergeCell ref="B298:E298"/>
    <mergeCell ref="F298:I298"/>
    <mergeCell ref="J298:L298"/>
    <mergeCell ref="M298:N298"/>
    <mergeCell ref="O298:P298"/>
    <mergeCell ref="B295:E295"/>
    <mergeCell ref="F295:I295"/>
    <mergeCell ref="J295:L295"/>
    <mergeCell ref="M295:N295"/>
    <mergeCell ref="O295:P295"/>
    <mergeCell ref="B296:E296"/>
    <mergeCell ref="F296:I296"/>
    <mergeCell ref="J296:L296"/>
    <mergeCell ref="M296:N296"/>
    <mergeCell ref="O296:P296"/>
    <mergeCell ref="B293:E293"/>
    <mergeCell ref="F293:I293"/>
    <mergeCell ref="J293:L293"/>
    <mergeCell ref="M293:N293"/>
    <mergeCell ref="O293:P293"/>
    <mergeCell ref="B294:E294"/>
    <mergeCell ref="F294:I294"/>
    <mergeCell ref="J294:L294"/>
    <mergeCell ref="M294:N294"/>
    <mergeCell ref="O294:P294"/>
    <mergeCell ref="B291:E291"/>
    <mergeCell ref="F291:I291"/>
    <mergeCell ref="J291:L291"/>
    <mergeCell ref="M291:N291"/>
    <mergeCell ref="O291:P291"/>
    <mergeCell ref="B292:E292"/>
    <mergeCell ref="F292:I292"/>
    <mergeCell ref="J292:L292"/>
    <mergeCell ref="M292:N292"/>
    <mergeCell ref="O292:P292"/>
    <mergeCell ref="B289:E289"/>
    <mergeCell ref="F289:I289"/>
    <mergeCell ref="J289:L289"/>
    <mergeCell ref="M289:N289"/>
    <mergeCell ref="O289:P289"/>
    <mergeCell ref="B290:E290"/>
    <mergeCell ref="F290:I290"/>
    <mergeCell ref="J290:L290"/>
    <mergeCell ref="M290:N290"/>
    <mergeCell ref="O290:P290"/>
    <mergeCell ref="B287:E287"/>
    <mergeCell ref="F287:I287"/>
    <mergeCell ref="J287:L287"/>
    <mergeCell ref="M287:N287"/>
    <mergeCell ref="O287:P287"/>
    <mergeCell ref="B288:E288"/>
    <mergeCell ref="F288:I288"/>
    <mergeCell ref="J288:L288"/>
    <mergeCell ref="M288:N288"/>
    <mergeCell ref="O288:P288"/>
    <mergeCell ref="B285:E285"/>
    <mergeCell ref="F285:I285"/>
    <mergeCell ref="J285:L285"/>
    <mergeCell ref="M285:N285"/>
    <mergeCell ref="O285:P285"/>
    <mergeCell ref="B286:E286"/>
    <mergeCell ref="F286:I286"/>
    <mergeCell ref="J286:L286"/>
    <mergeCell ref="M286:N286"/>
    <mergeCell ref="O286:P286"/>
    <mergeCell ref="B283:E283"/>
    <mergeCell ref="F283:I283"/>
    <mergeCell ref="J283:L283"/>
    <mergeCell ref="M283:N283"/>
    <mergeCell ref="O283:P283"/>
    <mergeCell ref="B284:E284"/>
    <mergeCell ref="F284:I284"/>
    <mergeCell ref="J284:L284"/>
    <mergeCell ref="M284:N284"/>
    <mergeCell ref="O284:P284"/>
    <mergeCell ref="B281:E281"/>
    <mergeCell ref="F281:I281"/>
    <mergeCell ref="J281:L281"/>
    <mergeCell ref="M281:N281"/>
    <mergeCell ref="O281:P281"/>
    <mergeCell ref="B282:E282"/>
    <mergeCell ref="F282:I282"/>
    <mergeCell ref="J282:L282"/>
    <mergeCell ref="M282:N282"/>
    <mergeCell ref="O282:P282"/>
    <mergeCell ref="B279:E279"/>
    <mergeCell ref="F279:I279"/>
    <mergeCell ref="J279:L279"/>
    <mergeCell ref="M279:N279"/>
    <mergeCell ref="O279:P279"/>
    <mergeCell ref="B280:E280"/>
    <mergeCell ref="F280:I280"/>
    <mergeCell ref="J280:L280"/>
    <mergeCell ref="M280:N280"/>
    <mergeCell ref="O280:P280"/>
    <mergeCell ref="B277:E277"/>
    <mergeCell ref="F277:I277"/>
    <mergeCell ref="J277:L277"/>
    <mergeCell ref="M277:N277"/>
    <mergeCell ref="O277:P277"/>
    <mergeCell ref="B278:E278"/>
    <mergeCell ref="F278:I278"/>
    <mergeCell ref="J278:L278"/>
    <mergeCell ref="M278:N278"/>
    <mergeCell ref="O278:P278"/>
    <mergeCell ref="B275:E275"/>
    <mergeCell ref="F275:I275"/>
    <mergeCell ref="J275:L275"/>
    <mergeCell ref="M275:N275"/>
    <mergeCell ref="O275:P275"/>
    <mergeCell ref="B276:E276"/>
    <mergeCell ref="F276:I276"/>
    <mergeCell ref="J276:L276"/>
    <mergeCell ref="M276:N276"/>
    <mergeCell ref="O276:P276"/>
    <mergeCell ref="B273:E273"/>
    <mergeCell ref="F273:I273"/>
    <mergeCell ref="J273:L273"/>
    <mergeCell ref="M273:N273"/>
    <mergeCell ref="O273:P273"/>
    <mergeCell ref="B274:E274"/>
    <mergeCell ref="F274:I274"/>
    <mergeCell ref="J274:L274"/>
    <mergeCell ref="M274:N274"/>
    <mergeCell ref="O274:P274"/>
    <mergeCell ref="B271:E271"/>
    <mergeCell ref="F271:I271"/>
    <mergeCell ref="J271:L271"/>
    <mergeCell ref="M271:N271"/>
    <mergeCell ref="O271:P271"/>
    <mergeCell ref="B272:E272"/>
    <mergeCell ref="F272:I272"/>
    <mergeCell ref="J272:L272"/>
    <mergeCell ref="M272:N272"/>
    <mergeCell ref="O272:P272"/>
    <mergeCell ref="B269:E269"/>
    <mergeCell ref="F269:I269"/>
    <mergeCell ref="J269:L269"/>
    <mergeCell ref="M269:N269"/>
    <mergeCell ref="O269:P269"/>
    <mergeCell ref="B270:E270"/>
    <mergeCell ref="F270:I270"/>
    <mergeCell ref="J270:L270"/>
    <mergeCell ref="M270:N270"/>
    <mergeCell ref="O270:P270"/>
    <mergeCell ref="B267:E267"/>
    <mergeCell ref="F267:I267"/>
    <mergeCell ref="J267:L267"/>
    <mergeCell ref="M267:N267"/>
    <mergeCell ref="O267:P267"/>
    <mergeCell ref="B268:E268"/>
    <mergeCell ref="F268:I268"/>
    <mergeCell ref="J268:L268"/>
    <mergeCell ref="M268:N268"/>
    <mergeCell ref="O268:P268"/>
    <mergeCell ref="B265:E265"/>
    <mergeCell ref="F265:I265"/>
    <mergeCell ref="J265:L265"/>
    <mergeCell ref="M265:N265"/>
    <mergeCell ref="O265:P265"/>
    <mergeCell ref="B266:E266"/>
    <mergeCell ref="F266:I266"/>
    <mergeCell ref="J266:L266"/>
    <mergeCell ref="M266:N266"/>
    <mergeCell ref="O266:P266"/>
    <mergeCell ref="B263:E263"/>
    <mergeCell ref="F263:I263"/>
    <mergeCell ref="J263:L263"/>
    <mergeCell ref="M263:N263"/>
    <mergeCell ref="O263:P263"/>
    <mergeCell ref="B264:E264"/>
    <mergeCell ref="F264:I264"/>
    <mergeCell ref="J264:L264"/>
    <mergeCell ref="M264:N264"/>
    <mergeCell ref="O264:P264"/>
    <mergeCell ref="B261:E261"/>
    <mergeCell ref="F261:I261"/>
    <mergeCell ref="J261:L261"/>
    <mergeCell ref="M261:N261"/>
    <mergeCell ref="O261:P261"/>
    <mergeCell ref="B262:E262"/>
    <mergeCell ref="F262:I262"/>
    <mergeCell ref="J262:L262"/>
    <mergeCell ref="M262:N262"/>
    <mergeCell ref="O262:P262"/>
    <mergeCell ref="B259:E259"/>
    <mergeCell ref="F259:I259"/>
    <mergeCell ref="J259:L259"/>
    <mergeCell ref="M259:N259"/>
    <mergeCell ref="O259:P259"/>
    <mergeCell ref="B260:E260"/>
    <mergeCell ref="F260:I260"/>
    <mergeCell ref="J260:L260"/>
    <mergeCell ref="M260:N260"/>
    <mergeCell ref="O260:P260"/>
    <mergeCell ref="B257:E257"/>
    <mergeCell ref="F257:I257"/>
    <mergeCell ref="J257:L257"/>
    <mergeCell ref="M257:N257"/>
    <mergeCell ref="O257:P257"/>
    <mergeCell ref="B258:E258"/>
    <mergeCell ref="F258:I258"/>
    <mergeCell ref="J258:L258"/>
    <mergeCell ref="M258:N258"/>
    <mergeCell ref="O258:P258"/>
    <mergeCell ref="B255:E255"/>
    <mergeCell ref="F255:I255"/>
    <mergeCell ref="J255:L255"/>
    <mergeCell ref="M255:N255"/>
    <mergeCell ref="O255:P255"/>
    <mergeCell ref="B256:E256"/>
    <mergeCell ref="F256:I256"/>
    <mergeCell ref="J256:L256"/>
    <mergeCell ref="M256:N256"/>
    <mergeCell ref="O256:P256"/>
    <mergeCell ref="B253:E253"/>
    <mergeCell ref="F253:I253"/>
    <mergeCell ref="J253:L253"/>
    <mergeCell ref="M253:N253"/>
    <mergeCell ref="O253:P253"/>
    <mergeCell ref="B254:E254"/>
    <mergeCell ref="F254:I254"/>
    <mergeCell ref="J254:L254"/>
    <mergeCell ref="M254:N254"/>
    <mergeCell ref="O254:P254"/>
    <mergeCell ref="B251:E251"/>
    <mergeCell ref="F251:I251"/>
    <mergeCell ref="J251:L251"/>
    <mergeCell ref="M251:N251"/>
    <mergeCell ref="O251:P251"/>
    <mergeCell ref="B252:E252"/>
    <mergeCell ref="F252:I252"/>
    <mergeCell ref="J252:L252"/>
    <mergeCell ref="M252:N252"/>
    <mergeCell ref="O252:P252"/>
    <mergeCell ref="B249:E249"/>
    <mergeCell ref="F249:I249"/>
    <mergeCell ref="J249:L249"/>
    <mergeCell ref="M249:N249"/>
    <mergeCell ref="O249:P249"/>
    <mergeCell ref="B250:E250"/>
    <mergeCell ref="F250:I250"/>
    <mergeCell ref="J250:L250"/>
    <mergeCell ref="M250:N250"/>
    <mergeCell ref="O250:P250"/>
    <mergeCell ref="B247:E247"/>
    <mergeCell ref="F247:I247"/>
    <mergeCell ref="J247:L247"/>
    <mergeCell ref="M247:N247"/>
    <mergeCell ref="O247:P247"/>
    <mergeCell ref="B248:E248"/>
    <mergeCell ref="F248:I248"/>
    <mergeCell ref="J248:L248"/>
    <mergeCell ref="M248:N248"/>
    <mergeCell ref="O248:P248"/>
    <mergeCell ref="B245:E245"/>
    <mergeCell ref="F245:I245"/>
    <mergeCell ref="J245:L245"/>
    <mergeCell ref="M245:N245"/>
    <mergeCell ref="O245:P245"/>
    <mergeCell ref="B246:E246"/>
    <mergeCell ref="F246:I246"/>
    <mergeCell ref="J246:L246"/>
    <mergeCell ref="M246:N246"/>
    <mergeCell ref="O246:P246"/>
    <mergeCell ref="B243:E243"/>
    <mergeCell ref="F243:I243"/>
    <mergeCell ref="J243:L243"/>
    <mergeCell ref="M243:N243"/>
    <mergeCell ref="O243:P243"/>
    <mergeCell ref="B244:E244"/>
    <mergeCell ref="F244:I244"/>
    <mergeCell ref="J244:L244"/>
    <mergeCell ref="M244:N244"/>
    <mergeCell ref="O244:P244"/>
    <mergeCell ref="B241:E241"/>
    <mergeCell ref="F241:I241"/>
    <mergeCell ref="J241:L241"/>
    <mergeCell ref="M241:N241"/>
    <mergeCell ref="O241:P241"/>
    <mergeCell ref="B242:E242"/>
    <mergeCell ref="F242:I242"/>
    <mergeCell ref="J242:L242"/>
    <mergeCell ref="M242:N242"/>
    <mergeCell ref="O242:P242"/>
    <mergeCell ref="B239:E239"/>
    <mergeCell ref="F239:I239"/>
    <mergeCell ref="J239:L239"/>
    <mergeCell ref="M239:N239"/>
    <mergeCell ref="O239:P239"/>
    <mergeCell ref="B240:E240"/>
    <mergeCell ref="F240:I240"/>
    <mergeCell ref="J240:L240"/>
    <mergeCell ref="M240:N240"/>
    <mergeCell ref="O240:P240"/>
    <mergeCell ref="B237:E237"/>
    <mergeCell ref="F237:I237"/>
    <mergeCell ref="J237:L237"/>
    <mergeCell ref="M237:N237"/>
    <mergeCell ref="O237:P237"/>
    <mergeCell ref="B238:E238"/>
    <mergeCell ref="F238:I238"/>
    <mergeCell ref="J238:L238"/>
    <mergeCell ref="M238:N238"/>
    <mergeCell ref="O238:P238"/>
    <mergeCell ref="B235:E235"/>
    <mergeCell ref="F235:I235"/>
    <mergeCell ref="J235:L235"/>
    <mergeCell ref="M235:N235"/>
    <mergeCell ref="O235:P235"/>
    <mergeCell ref="B236:E236"/>
    <mergeCell ref="F236:I236"/>
    <mergeCell ref="J236:L236"/>
    <mergeCell ref="M236:N236"/>
    <mergeCell ref="O236:P236"/>
    <mergeCell ref="B233:E233"/>
    <mergeCell ref="F233:I233"/>
    <mergeCell ref="J233:L233"/>
    <mergeCell ref="M233:N233"/>
    <mergeCell ref="O233:P233"/>
    <mergeCell ref="B234:E234"/>
    <mergeCell ref="F234:I234"/>
    <mergeCell ref="J234:L234"/>
    <mergeCell ref="M234:N234"/>
    <mergeCell ref="O234:P234"/>
    <mergeCell ref="B231:E231"/>
    <mergeCell ref="F231:I231"/>
    <mergeCell ref="J231:L231"/>
    <mergeCell ref="M231:N231"/>
    <mergeCell ref="O231:P231"/>
    <mergeCell ref="B232:E232"/>
    <mergeCell ref="F232:I232"/>
    <mergeCell ref="J232:L232"/>
    <mergeCell ref="M232:N232"/>
    <mergeCell ref="O232:P232"/>
    <mergeCell ref="B229:E229"/>
    <mergeCell ref="F229:I229"/>
    <mergeCell ref="J229:L229"/>
    <mergeCell ref="M229:N229"/>
    <mergeCell ref="O229:P229"/>
    <mergeCell ref="B230:E230"/>
    <mergeCell ref="F230:I230"/>
    <mergeCell ref="J230:L230"/>
    <mergeCell ref="M230:N230"/>
    <mergeCell ref="O230:P230"/>
    <mergeCell ref="B227:E227"/>
    <mergeCell ref="F227:I227"/>
    <mergeCell ref="J227:L227"/>
    <mergeCell ref="M227:N227"/>
    <mergeCell ref="O227:P227"/>
    <mergeCell ref="B228:E228"/>
    <mergeCell ref="F228:I228"/>
    <mergeCell ref="J228:L228"/>
    <mergeCell ref="M228:N228"/>
    <mergeCell ref="O228:P228"/>
    <mergeCell ref="B225:E225"/>
    <mergeCell ref="F225:I225"/>
    <mergeCell ref="J225:L225"/>
    <mergeCell ref="M225:N225"/>
    <mergeCell ref="O225:P225"/>
    <mergeCell ref="B226:E226"/>
    <mergeCell ref="F226:I226"/>
    <mergeCell ref="J226:L226"/>
    <mergeCell ref="M226:N226"/>
    <mergeCell ref="O226:P226"/>
    <mergeCell ref="B223:E223"/>
    <mergeCell ref="F223:I223"/>
    <mergeCell ref="J223:L223"/>
    <mergeCell ref="M223:N223"/>
    <mergeCell ref="O223:P223"/>
    <mergeCell ref="B224:E224"/>
    <mergeCell ref="F224:I224"/>
    <mergeCell ref="J224:L224"/>
    <mergeCell ref="M224:N224"/>
    <mergeCell ref="O224:P224"/>
    <mergeCell ref="B221:E221"/>
    <mergeCell ref="F221:I221"/>
    <mergeCell ref="J221:L221"/>
    <mergeCell ref="M221:N221"/>
    <mergeCell ref="O221:P221"/>
    <mergeCell ref="B222:E222"/>
    <mergeCell ref="F222:I222"/>
    <mergeCell ref="J222:L222"/>
    <mergeCell ref="M222:N222"/>
    <mergeCell ref="O222:P222"/>
    <mergeCell ref="B219:E219"/>
    <mergeCell ref="F219:I219"/>
    <mergeCell ref="J219:L219"/>
    <mergeCell ref="M219:N219"/>
    <mergeCell ref="O219:P219"/>
    <mergeCell ref="B220:E220"/>
    <mergeCell ref="F220:I220"/>
    <mergeCell ref="J220:L220"/>
    <mergeCell ref="M220:N220"/>
    <mergeCell ref="O220:P220"/>
    <mergeCell ref="B217:E217"/>
    <mergeCell ref="F217:I217"/>
    <mergeCell ref="J217:L217"/>
    <mergeCell ref="M217:N217"/>
    <mergeCell ref="O217:P217"/>
    <mergeCell ref="B218:E218"/>
    <mergeCell ref="F218:I218"/>
    <mergeCell ref="J218:L218"/>
    <mergeCell ref="M218:N218"/>
    <mergeCell ref="O218:P218"/>
    <mergeCell ref="B215:E215"/>
    <mergeCell ref="F215:I215"/>
    <mergeCell ref="J215:L215"/>
    <mergeCell ref="M215:N215"/>
    <mergeCell ref="O215:P215"/>
    <mergeCell ref="B216:E216"/>
    <mergeCell ref="F216:I216"/>
    <mergeCell ref="J216:L216"/>
    <mergeCell ref="M216:N216"/>
    <mergeCell ref="O216:P216"/>
    <mergeCell ref="B213:E213"/>
    <mergeCell ref="F213:I213"/>
    <mergeCell ref="J213:L213"/>
    <mergeCell ref="M213:N213"/>
    <mergeCell ref="O213:P213"/>
    <mergeCell ref="B214:E214"/>
    <mergeCell ref="F214:I214"/>
    <mergeCell ref="J214:L214"/>
    <mergeCell ref="M214:N214"/>
    <mergeCell ref="O214:P214"/>
    <mergeCell ref="B211:E211"/>
    <mergeCell ref="F211:I211"/>
    <mergeCell ref="J211:L211"/>
    <mergeCell ref="M211:N211"/>
    <mergeCell ref="O211:P211"/>
    <mergeCell ref="B212:E212"/>
    <mergeCell ref="F212:I212"/>
    <mergeCell ref="J212:L212"/>
    <mergeCell ref="M212:N212"/>
    <mergeCell ref="O212:P212"/>
    <mergeCell ref="B209:E209"/>
    <mergeCell ref="F209:I209"/>
    <mergeCell ref="J209:L209"/>
    <mergeCell ref="M209:N209"/>
    <mergeCell ref="O209:P209"/>
    <mergeCell ref="B210:E210"/>
    <mergeCell ref="F210:I210"/>
    <mergeCell ref="J210:L210"/>
    <mergeCell ref="M210:N210"/>
    <mergeCell ref="O210:P210"/>
    <mergeCell ref="B207:E207"/>
    <mergeCell ref="F207:I207"/>
    <mergeCell ref="J207:L207"/>
    <mergeCell ref="M207:N207"/>
    <mergeCell ref="O207:P207"/>
    <mergeCell ref="B208:E208"/>
    <mergeCell ref="F208:I208"/>
    <mergeCell ref="J208:L208"/>
    <mergeCell ref="M208:N208"/>
    <mergeCell ref="O208:P208"/>
    <mergeCell ref="B205:E205"/>
    <mergeCell ref="F205:I205"/>
    <mergeCell ref="J205:L205"/>
    <mergeCell ref="M205:N205"/>
    <mergeCell ref="O205:P205"/>
    <mergeCell ref="B206:E206"/>
    <mergeCell ref="F206:I206"/>
    <mergeCell ref="J206:L206"/>
    <mergeCell ref="M206:N206"/>
    <mergeCell ref="O206:P206"/>
    <mergeCell ref="B203:E203"/>
    <mergeCell ref="F203:I203"/>
    <mergeCell ref="J203:L203"/>
    <mergeCell ref="M203:N203"/>
    <mergeCell ref="O203:P203"/>
    <mergeCell ref="B204:E204"/>
    <mergeCell ref="F204:I204"/>
    <mergeCell ref="J204:L204"/>
    <mergeCell ref="M204:N204"/>
    <mergeCell ref="O204:P204"/>
    <mergeCell ref="B201:E201"/>
    <mergeCell ref="F201:I201"/>
    <mergeCell ref="J201:L201"/>
    <mergeCell ref="M201:N201"/>
    <mergeCell ref="O201:P201"/>
    <mergeCell ref="B202:E202"/>
    <mergeCell ref="F202:I202"/>
    <mergeCell ref="J202:L202"/>
    <mergeCell ref="M202:N202"/>
    <mergeCell ref="O202:P202"/>
    <mergeCell ref="B199:E199"/>
    <mergeCell ref="F199:I199"/>
    <mergeCell ref="J199:L199"/>
    <mergeCell ref="M199:N199"/>
    <mergeCell ref="O199:P199"/>
    <mergeCell ref="B200:E200"/>
    <mergeCell ref="F200:I200"/>
    <mergeCell ref="J200:L200"/>
    <mergeCell ref="M200:N200"/>
    <mergeCell ref="O200:P200"/>
    <mergeCell ref="B197:E197"/>
    <mergeCell ref="F197:I197"/>
    <mergeCell ref="J197:L197"/>
    <mergeCell ref="M197:N197"/>
    <mergeCell ref="O197:P197"/>
    <mergeCell ref="B198:E198"/>
    <mergeCell ref="F198:I198"/>
    <mergeCell ref="J198:L198"/>
    <mergeCell ref="M198:N198"/>
    <mergeCell ref="O198:P198"/>
    <mergeCell ref="B195:E195"/>
    <mergeCell ref="F195:I195"/>
    <mergeCell ref="J195:L195"/>
    <mergeCell ref="M195:N195"/>
    <mergeCell ref="O195:P195"/>
    <mergeCell ref="B196:E196"/>
    <mergeCell ref="F196:I196"/>
    <mergeCell ref="J196:L196"/>
    <mergeCell ref="M196:N196"/>
    <mergeCell ref="O196:P196"/>
    <mergeCell ref="B193:E193"/>
    <mergeCell ref="F193:I193"/>
    <mergeCell ref="J193:L193"/>
    <mergeCell ref="M193:N193"/>
    <mergeCell ref="O193:P193"/>
    <mergeCell ref="B194:E194"/>
    <mergeCell ref="F194:I194"/>
    <mergeCell ref="J194:L194"/>
    <mergeCell ref="M194:N194"/>
    <mergeCell ref="O194:P194"/>
    <mergeCell ref="B191:E191"/>
    <mergeCell ref="F191:I191"/>
    <mergeCell ref="J191:L191"/>
    <mergeCell ref="M191:N191"/>
    <mergeCell ref="O191:P191"/>
    <mergeCell ref="B192:E192"/>
    <mergeCell ref="F192:I192"/>
    <mergeCell ref="J192:L192"/>
    <mergeCell ref="M192:N192"/>
    <mergeCell ref="O192:P192"/>
    <mergeCell ref="B189:E189"/>
    <mergeCell ref="F189:I189"/>
    <mergeCell ref="J189:L189"/>
    <mergeCell ref="M189:N189"/>
    <mergeCell ref="O189:P189"/>
    <mergeCell ref="B190:E190"/>
    <mergeCell ref="F190:I190"/>
    <mergeCell ref="J190:L190"/>
    <mergeCell ref="M190:N190"/>
    <mergeCell ref="O190:P190"/>
    <mergeCell ref="B187:E187"/>
    <mergeCell ref="F187:I187"/>
    <mergeCell ref="J187:L187"/>
    <mergeCell ref="M187:N187"/>
    <mergeCell ref="O187:P187"/>
    <mergeCell ref="B188:E188"/>
    <mergeCell ref="F188:I188"/>
    <mergeCell ref="J188:L188"/>
    <mergeCell ref="M188:N188"/>
    <mergeCell ref="O188:P188"/>
    <mergeCell ref="B185:E185"/>
    <mergeCell ref="F185:I185"/>
    <mergeCell ref="J185:L185"/>
    <mergeCell ref="M185:N185"/>
    <mergeCell ref="O185:P185"/>
    <mergeCell ref="B186:E186"/>
    <mergeCell ref="F186:I186"/>
    <mergeCell ref="J186:L186"/>
    <mergeCell ref="M186:N186"/>
    <mergeCell ref="O186:P186"/>
    <mergeCell ref="B183:E183"/>
    <mergeCell ref="F183:I183"/>
    <mergeCell ref="J183:L183"/>
    <mergeCell ref="M183:N183"/>
    <mergeCell ref="O183:P183"/>
    <mergeCell ref="B184:E184"/>
    <mergeCell ref="F184:I184"/>
    <mergeCell ref="J184:L184"/>
    <mergeCell ref="M184:N184"/>
    <mergeCell ref="O184:P184"/>
    <mergeCell ref="B181:E181"/>
    <mergeCell ref="F181:I181"/>
    <mergeCell ref="J181:L181"/>
    <mergeCell ref="M181:N181"/>
    <mergeCell ref="O181:P181"/>
    <mergeCell ref="B182:E182"/>
    <mergeCell ref="F182:I182"/>
    <mergeCell ref="J182:L182"/>
    <mergeCell ref="M182:N182"/>
    <mergeCell ref="O182:P182"/>
    <mergeCell ref="B179:E179"/>
    <mergeCell ref="F179:I179"/>
    <mergeCell ref="J179:L179"/>
    <mergeCell ref="M179:N179"/>
    <mergeCell ref="O179:P179"/>
    <mergeCell ref="B180:E180"/>
    <mergeCell ref="F180:I180"/>
    <mergeCell ref="J180:L180"/>
    <mergeCell ref="M180:N180"/>
    <mergeCell ref="O180:P180"/>
    <mergeCell ref="B177:E177"/>
    <mergeCell ref="F177:I177"/>
    <mergeCell ref="J177:L177"/>
    <mergeCell ref="M177:N177"/>
    <mergeCell ref="O177:P177"/>
    <mergeCell ref="B178:E178"/>
    <mergeCell ref="F178:I178"/>
    <mergeCell ref="J178:L178"/>
    <mergeCell ref="M178:N178"/>
    <mergeCell ref="O178:P178"/>
    <mergeCell ref="B175:E175"/>
    <mergeCell ref="F175:I175"/>
    <mergeCell ref="J175:L175"/>
    <mergeCell ref="M175:N175"/>
    <mergeCell ref="O175:P175"/>
    <mergeCell ref="B176:E176"/>
    <mergeCell ref="F176:I176"/>
    <mergeCell ref="J176:L176"/>
    <mergeCell ref="M176:N176"/>
    <mergeCell ref="O176:P176"/>
    <mergeCell ref="B173:E173"/>
    <mergeCell ref="F173:I173"/>
    <mergeCell ref="J173:L173"/>
    <mergeCell ref="M173:N173"/>
    <mergeCell ref="O173:P173"/>
    <mergeCell ref="B174:E174"/>
    <mergeCell ref="F174:I174"/>
    <mergeCell ref="J174:L174"/>
    <mergeCell ref="M174:N174"/>
    <mergeCell ref="O174:P174"/>
    <mergeCell ref="B171:E171"/>
    <mergeCell ref="F171:I171"/>
    <mergeCell ref="J171:L171"/>
    <mergeCell ref="M171:N171"/>
    <mergeCell ref="O171:P171"/>
    <mergeCell ref="B172:E172"/>
    <mergeCell ref="F172:I172"/>
    <mergeCell ref="J172:L172"/>
    <mergeCell ref="M172:N172"/>
    <mergeCell ref="O172:P172"/>
    <mergeCell ref="B169:E169"/>
    <mergeCell ref="F169:I169"/>
    <mergeCell ref="J169:L169"/>
    <mergeCell ref="M169:N169"/>
    <mergeCell ref="O169:P169"/>
    <mergeCell ref="B170:E170"/>
    <mergeCell ref="F170:I170"/>
    <mergeCell ref="J170:L170"/>
    <mergeCell ref="M170:N170"/>
    <mergeCell ref="O170:P170"/>
    <mergeCell ref="B167:E167"/>
    <mergeCell ref="F167:I167"/>
    <mergeCell ref="J167:L167"/>
    <mergeCell ref="M167:N167"/>
    <mergeCell ref="O167:P167"/>
    <mergeCell ref="B168:E168"/>
    <mergeCell ref="F168:I168"/>
    <mergeCell ref="J168:L168"/>
    <mergeCell ref="M168:N168"/>
    <mergeCell ref="O168:P168"/>
    <mergeCell ref="B165:E165"/>
    <mergeCell ref="F165:I165"/>
    <mergeCell ref="J165:L165"/>
    <mergeCell ref="M165:N165"/>
    <mergeCell ref="O165:P165"/>
    <mergeCell ref="B166:E166"/>
    <mergeCell ref="F166:I166"/>
    <mergeCell ref="J166:L166"/>
    <mergeCell ref="M166:N166"/>
    <mergeCell ref="O166:P166"/>
    <mergeCell ref="B163:E163"/>
    <mergeCell ref="F163:I163"/>
    <mergeCell ref="J163:L163"/>
    <mergeCell ref="M163:N163"/>
    <mergeCell ref="O163:P163"/>
    <mergeCell ref="B164:E164"/>
    <mergeCell ref="F164:I164"/>
    <mergeCell ref="J164:L164"/>
    <mergeCell ref="M164:N164"/>
    <mergeCell ref="O164:P164"/>
    <mergeCell ref="B161:E161"/>
    <mergeCell ref="F161:I161"/>
    <mergeCell ref="J161:L161"/>
    <mergeCell ref="M161:N161"/>
    <mergeCell ref="O161:P161"/>
    <mergeCell ref="B162:E162"/>
    <mergeCell ref="F162:I162"/>
    <mergeCell ref="J162:L162"/>
    <mergeCell ref="M162:N162"/>
    <mergeCell ref="O162:P162"/>
    <mergeCell ref="B159:E159"/>
    <mergeCell ref="F159:I159"/>
    <mergeCell ref="J159:L159"/>
    <mergeCell ref="M159:N159"/>
    <mergeCell ref="O159:P159"/>
    <mergeCell ref="B160:E160"/>
    <mergeCell ref="F160:I160"/>
    <mergeCell ref="J160:L160"/>
    <mergeCell ref="M160:N160"/>
    <mergeCell ref="O160:P160"/>
    <mergeCell ref="B157:E157"/>
    <mergeCell ref="F157:I157"/>
    <mergeCell ref="J157:L157"/>
    <mergeCell ref="M157:N157"/>
    <mergeCell ref="O157:P157"/>
    <mergeCell ref="B158:E158"/>
    <mergeCell ref="F158:I158"/>
    <mergeCell ref="J158:L158"/>
    <mergeCell ref="M158:N158"/>
    <mergeCell ref="O158:P158"/>
    <mergeCell ref="B155:E155"/>
    <mergeCell ref="F155:I155"/>
    <mergeCell ref="J155:L155"/>
    <mergeCell ref="M155:N155"/>
    <mergeCell ref="O155:P155"/>
    <mergeCell ref="B156:E156"/>
    <mergeCell ref="F156:I156"/>
    <mergeCell ref="J156:L156"/>
    <mergeCell ref="M156:N156"/>
    <mergeCell ref="O156:P156"/>
    <mergeCell ref="B153:E153"/>
    <mergeCell ref="F153:I153"/>
    <mergeCell ref="J153:L153"/>
    <mergeCell ref="M153:N153"/>
    <mergeCell ref="O153:P153"/>
    <mergeCell ref="B154:E154"/>
    <mergeCell ref="F154:I154"/>
    <mergeCell ref="J154:L154"/>
    <mergeCell ref="M154:N154"/>
    <mergeCell ref="O154:P154"/>
    <mergeCell ref="B151:E151"/>
    <mergeCell ref="F151:I151"/>
    <mergeCell ref="J151:L151"/>
    <mergeCell ref="M151:N151"/>
    <mergeCell ref="O151:P151"/>
    <mergeCell ref="B152:E152"/>
    <mergeCell ref="F152:I152"/>
    <mergeCell ref="J152:L152"/>
    <mergeCell ref="M152:N152"/>
    <mergeCell ref="O152:P152"/>
    <mergeCell ref="B149:E149"/>
    <mergeCell ref="F149:I149"/>
    <mergeCell ref="J149:L149"/>
    <mergeCell ref="M149:N149"/>
    <mergeCell ref="O149:P149"/>
    <mergeCell ref="B150:E150"/>
    <mergeCell ref="F150:I150"/>
    <mergeCell ref="J150:L150"/>
    <mergeCell ref="M150:N150"/>
    <mergeCell ref="O150:P150"/>
    <mergeCell ref="B147:E147"/>
    <mergeCell ref="F147:I147"/>
    <mergeCell ref="J147:L147"/>
    <mergeCell ref="M147:N147"/>
    <mergeCell ref="O147:P147"/>
    <mergeCell ref="B148:E148"/>
    <mergeCell ref="F148:I148"/>
    <mergeCell ref="J148:L148"/>
    <mergeCell ref="M148:N148"/>
    <mergeCell ref="O148:P148"/>
    <mergeCell ref="B145:E145"/>
    <mergeCell ref="F145:I145"/>
    <mergeCell ref="J145:L145"/>
    <mergeCell ref="M145:N145"/>
    <mergeCell ref="O145:P145"/>
    <mergeCell ref="B146:E146"/>
    <mergeCell ref="F146:I146"/>
    <mergeCell ref="J146:L146"/>
    <mergeCell ref="M146:N146"/>
    <mergeCell ref="O146:P146"/>
    <mergeCell ref="B143:E143"/>
    <mergeCell ref="F143:I143"/>
    <mergeCell ref="J143:L143"/>
    <mergeCell ref="M143:N143"/>
    <mergeCell ref="O143:P143"/>
    <mergeCell ref="B144:E144"/>
    <mergeCell ref="F144:I144"/>
    <mergeCell ref="J144:L144"/>
    <mergeCell ref="M144:N144"/>
    <mergeCell ref="O144:P144"/>
    <mergeCell ref="B141:E141"/>
    <mergeCell ref="F141:I141"/>
    <mergeCell ref="J141:L141"/>
    <mergeCell ref="M141:N141"/>
    <mergeCell ref="O141:P141"/>
    <mergeCell ref="B142:E142"/>
    <mergeCell ref="F142:I142"/>
    <mergeCell ref="J142:L142"/>
    <mergeCell ref="M142:N142"/>
    <mergeCell ref="O142:P142"/>
    <mergeCell ref="B139:E139"/>
    <mergeCell ref="F139:I139"/>
    <mergeCell ref="J139:L139"/>
    <mergeCell ref="M139:N139"/>
    <mergeCell ref="O139:P139"/>
    <mergeCell ref="B140:E140"/>
    <mergeCell ref="F140:I140"/>
    <mergeCell ref="J140:L140"/>
    <mergeCell ref="M140:N140"/>
    <mergeCell ref="O140:P140"/>
    <mergeCell ref="B137:E137"/>
    <mergeCell ref="F137:I137"/>
    <mergeCell ref="J137:L137"/>
    <mergeCell ref="M137:N137"/>
    <mergeCell ref="O137:P137"/>
    <mergeCell ref="B138:E138"/>
    <mergeCell ref="F138:I138"/>
    <mergeCell ref="J138:L138"/>
    <mergeCell ref="M138:N138"/>
    <mergeCell ref="O138:P138"/>
    <mergeCell ref="B135:E135"/>
    <mergeCell ref="F135:I135"/>
    <mergeCell ref="J135:L135"/>
    <mergeCell ref="M135:N135"/>
    <mergeCell ref="O135:P135"/>
    <mergeCell ref="B136:E136"/>
    <mergeCell ref="F136:I136"/>
    <mergeCell ref="J136:L136"/>
    <mergeCell ref="M136:N136"/>
    <mergeCell ref="O136:P136"/>
    <mergeCell ref="B133:E133"/>
    <mergeCell ref="F133:I133"/>
    <mergeCell ref="J133:L133"/>
    <mergeCell ref="M133:N133"/>
    <mergeCell ref="O133:P133"/>
    <mergeCell ref="B134:E134"/>
    <mergeCell ref="F134:I134"/>
    <mergeCell ref="J134:L134"/>
    <mergeCell ref="M134:N134"/>
    <mergeCell ref="O134:P134"/>
    <mergeCell ref="B131:E131"/>
    <mergeCell ref="F131:I131"/>
    <mergeCell ref="J131:L131"/>
    <mergeCell ref="M131:N131"/>
    <mergeCell ref="O131:P131"/>
    <mergeCell ref="B132:E132"/>
    <mergeCell ref="F132:I132"/>
    <mergeCell ref="J132:L132"/>
    <mergeCell ref="M132:N132"/>
    <mergeCell ref="O132:P132"/>
    <mergeCell ref="B129:E129"/>
    <mergeCell ref="F129:I129"/>
    <mergeCell ref="J129:L129"/>
    <mergeCell ref="M129:N129"/>
    <mergeCell ref="O129:P129"/>
    <mergeCell ref="B130:E130"/>
    <mergeCell ref="F130:I130"/>
    <mergeCell ref="J130:L130"/>
    <mergeCell ref="M130:N130"/>
    <mergeCell ref="O130:P130"/>
    <mergeCell ref="B127:E127"/>
    <mergeCell ref="F127:I127"/>
    <mergeCell ref="J127:L127"/>
    <mergeCell ref="M127:N127"/>
    <mergeCell ref="O127:P127"/>
    <mergeCell ref="B128:E128"/>
    <mergeCell ref="F128:I128"/>
    <mergeCell ref="J128:L128"/>
    <mergeCell ref="M128:N128"/>
    <mergeCell ref="O128:P128"/>
    <mergeCell ref="B125:E125"/>
    <mergeCell ref="F125:I125"/>
    <mergeCell ref="J125:L125"/>
    <mergeCell ref="M125:N125"/>
    <mergeCell ref="O125:P125"/>
    <mergeCell ref="B126:E126"/>
    <mergeCell ref="F126:I126"/>
    <mergeCell ref="J126:L126"/>
    <mergeCell ref="M126:N126"/>
    <mergeCell ref="O126:P126"/>
    <mergeCell ref="B123:E123"/>
    <mergeCell ref="F123:I123"/>
    <mergeCell ref="J123:L123"/>
    <mergeCell ref="M123:N123"/>
    <mergeCell ref="O123:P123"/>
    <mergeCell ref="B124:E124"/>
    <mergeCell ref="F124:I124"/>
    <mergeCell ref="J124:L124"/>
    <mergeCell ref="M124:N124"/>
    <mergeCell ref="O124:P124"/>
    <mergeCell ref="B121:E121"/>
    <mergeCell ref="F121:I121"/>
    <mergeCell ref="J121:L121"/>
    <mergeCell ref="M121:N121"/>
    <mergeCell ref="O121:P121"/>
    <mergeCell ref="B122:E122"/>
    <mergeCell ref="F122:I122"/>
    <mergeCell ref="J122:L122"/>
    <mergeCell ref="M122:N122"/>
    <mergeCell ref="O122:P122"/>
    <mergeCell ref="B119:E119"/>
    <mergeCell ref="F119:I119"/>
    <mergeCell ref="J119:L119"/>
    <mergeCell ref="M119:N119"/>
    <mergeCell ref="O119:P119"/>
    <mergeCell ref="B120:E120"/>
    <mergeCell ref="F120:I120"/>
    <mergeCell ref="J120:L120"/>
    <mergeCell ref="M120:N120"/>
    <mergeCell ref="O120:P120"/>
    <mergeCell ref="B117:E117"/>
    <mergeCell ref="F117:I117"/>
    <mergeCell ref="J117:L117"/>
    <mergeCell ref="M117:N117"/>
    <mergeCell ref="O117:P117"/>
    <mergeCell ref="B118:E118"/>
    <mergeCell ref="F118:I118"/>
    <mergeCell ref="J118:L118"/>
    <mergeCell ref="M118:N118"/>
    <mergeCell ref="O118:P118"/>
    <mergeCell ref="B115:E115"/>
    <mergeCell ref="F115:I115"/>
    <mergeCell ref="J115:L115"/>
    <mergeCell ref="M115:N115"/>
    <mergeCell ref="O115:P115"/>
    <mergeCell ref="B116:E116"/>
    <mergeCell ref="F116:I116"/>
    <mergeCell ref="J116:L116"/>
    <mergeCell ref="M116:N116"/>
    <mergeCell ref="O116:P116"/>
    <mergeCell ref="B113:E113"/>
    <mergeCell ref="F113:I113"/>
    <mergeCell ref="J113:L113"/>
    <mergeCell ref="M113:N113"/>
    <mergeCell ref="O113:P113"/>
    <mergeCell ref="B114:E114"/>
    <mergeCell ref="F114:I114"/>
    <mergeCell ref="J114:L114"/>
    <mergeCell ref="M114:N114"/>
    <mergeCell ref="O114:P114"/>
    <mergeCell ref="B111:E111"/>
    <mergeCell ref="F111:I111"/>
    <mergeCell ref="J111:L111"/>
    <mergeCell ref="M111:N111"/>
    <mergeCell ref="O111:P111"/>
    <mergeCell ref="B112:E112"/>
    <mergeCell ref="F112:I112"/>
    <mergeCell ref="J112:L112"/>
    <mergeCell ref="M112:N112"/>
    <mergeCell ref="O112:P112"/>
    <mergeCell ref="B109:E109"/>
    <mergeCell ref="F109:I109"/>
    <mergeCell ref="J109:L109"/>
    <mergeCell ref="M109:N109"/>
    <mergeCell ref="O109:P109"/>
    <mergeCell ref="B110:E110"/>
    <mergeCell ref="F110:I110"/>
    <mergeCell ref="J110:L110"/>
    <mergeCell ref="M110:N110"/>
    <mergeCell ref="O110:P110"/>
    <mergeCell ref="B107:E107"/>
    <mergeCell ref="F107:I107"/>
    <mergeCell ref="J107:L107"/>
    <mergeCell ref="M107:N107"/>
    <mergeCell ref="O107:P107"/>
    <mergeCell ref="B108:E108"/>
    <mergeCell ref="F108:I108"/>
    <mergeCell ref="J108:L108"/>
    <mergeCell ref="M108:N108"/>
    <mergeCell ref="O108:P108"/>
    <mergeCell ref="B105:E105"/>
    <mergeCell ref="F105:I105"/>
    <mergeCell ref="J105:L105"/>
    <mergeCell ref="M105:N105"/>
    <mergeCell ref="O105:P105"/>
    <mergeCell ref="B106:E106"/>
    <mergeCell ref="F106:I106"/>
    <mergeCell ref="J106:L106"/>
    <mergeCell ref="M106:N106"/>
    <mergeCell ref="O106:P106"/>
    <mergeCell ref="B103:E103"/>
    <mergeCell ref="F103:I103"/>
    <mergeCell ref="J103:L103"/>
    <mergeCell ref="M103:N103"/>
    <mergeCell ref="O103:P103"/>
    <mergeCell ref="B104:E104"/>
    <mergeCell ref="F104:I104"/>
    <mergeCell ref="J104:L104"/>
    <mergeCell ref="M104:N104"/>
    <mergeCell ref="O104:P104"/>
    <mergeCell ref="B101:E101"/>
    <mergeCell ref="F101:I101"/>
    <mergeCell ref="J101:L101"/>
    <mergeCell ref="M101:N101"/>
    <mergeCell ref="O101:P101"/>
    <mergeCell ref="B102:E102"/>
    <mergeCell ref="F102:I102"/>
    <mergeCell ref="J102:L102"/>
    <mergeCell ref="M102:N102"/>
    <mergeCell ref="O102:P102"/>
    <mergeCell ref="B99:E99"/>
    <mergeCell ref="F99:I99"/>
    <mergeCell ref="J99:L99"/>
    <mergeCell ref="M99:N99"/>
    <mergeCell ref="O99:P99"/>
    <mergeCell ref="B100:E100"/>
    <mergeCell ref="F100:I100"/>
    <mergeCell ref="J100:L100"/>
    <mergeCell ref="M100:N100"/>
    <mergeCell ref="O100:P100"/>
    <mergeCell ref="B97:E97"/>
    <mergeCell ref="F97:I97"/>
    <mergeCell ref="J97:L97"/>
    <mergeCell ref="M97:N97"/>
    <mergeCell ref="O97:P97"/>
    <mergeCell ref="B98:E98"/>
    <mergeCell ref="F98:I98"/>
    <mergeCell ref="J98:L98"/>
    <mergeCell ref="M98:N98"/>
    <mergeCell ref="O98:P98"/>
    <mergeCell ref="B95:E95"/>
    <mergeCell ref="F95:I95"/>
    <mergeCell ref="J95:L95"/>
    <mergeCell ref="M95:N95"/>
    <mergeCell ref="O95:P95"/>
    <mergeCell ref="B96:E96"/>
    <mergeCell ref="F96:I96"/>
    <mergeCell ref="J96:L96"/>
    <mergeCell ref="M96:N96"/>
    <mergeCell ref="O96:P96"/>
    <mergeCell ref="B93:E93"/>
    <mergeCell ref="F93:I93"/>
    <mergeCell ref="J93:L93"/>
    <mergeCell ref="M93:N93"/>
    <mergeCell ref="O93:P93"/>
    <mergeCell ref="B94:E94"/>
    <mergeCell ref="F94:I94"/>
    <mergeCell ref="J94:L94"/>
    <mergeCell ref="M94:N94"/>
    <mergeCell ref="O94:P94"/>
    <mergeCell ref="B91:E91"/>
    <mergeCell ref="F91:I91"/>
    <mergeCell ref="J91:L91"/>
    <mergeCell ref="M91:N91"/>
    <mergeCell ref="O91:P91"/>
    <mergeCell ref="B92:E92"/>
    <mergeCell ref="F92:I92"/>
    <mergeCell ref="J92:L92"/>
    <mergeCell ref="M92:N92"/>
    <mergeCell ref="O92:P92"/>
    <mergeCell ref="B89:E89"/>
    <mergeCell ref="F89:I89"/>
    <mergeCell ref="J89:L89"/>
    <mergeCell ref="M89:N89"/>
    <mergeCell ref="O89:P89"/>
    <mergeCell ref="B90:E90"/>
    <mergeCell ref="F90:I90"/>
    <mergeCell ref="J90:L90"/>
    <mergeCell ref="M90:N90"/>
    <mergeCell ref="O90:P90"/>
    <mergeCell ref="B87:E87"/>
    <mergeCell ref="F87:I87"/>
    <mergeCell ref="J87:L87"/>
    <mergeCell ref="M87:N87"/>
    <mergeCell ref="O87:P87"/>
    <mergeCell ref="B88:E88"/>
    <mergeCell ref="F88:I88"/>
    <mergeCell ref="J88:L88"/>
    <mergeCell ref="M88:N88"/>
    <mergeCell ref="O88:P88"/>
    <mergeCell ref="B85:E85"/>
    <mergeCell ref="F85:I85"/>
    <mergeCell ref="J85:L85"/>
    <mergeCell ref="M85:N85"/>
    <mergeCell ref="O85:P85"/>
    <mergeCell ref="B86:E86"/>
    <mergeCell ref="F86:I86"/>
    <mergeCell ref="J86:L86"/>
    <mergeCell ref="M86:N86"/>
    <mergeCell ref="O86:P86"/>
    <mergeCell ref="B83:E83"/>
    <mergeCell ref="F83:I83"/>
    <mergeCell ref="J83:L83"/>
    <mergeCell ref="M83:N83"/>
    <mergeCell ref="O83:P83"/>
    <mergeCell ref="B84:E84"/>
    <mergeCell ref="F84:I84"/>
    <mergeCell ref="J84:L84"/>
    <mergeCell ref="M84:N84"/>
    <mergeCell ref="O84:P84"/>
    <mergeCell ref="B81:E81"/>
    <mergeCell ref="F81:I81"/>
    <mergeCell ref="J81:L81"/>
    <mergeCell ref="M81:N81"/>
    <mergeCell ref="O81:P81"/>
    <mergeCell ref="B82:E82"/>
    <mergeCell ref="F82:I82"/>
    <mergeCell ref="J82:L82"/>
    <mergeCell ref="M82:N82"/>
    <mergeCell ref="O82:P82"/>
    <mergeCell ref="B79:E79"/>
    <mergeCell ref="F79:I79"/>
    <mergeCell ref="J79:L79"/>
    <mergeCell ref="M79:N79"/>
    <mergeCell ref="O79:P79"/>
    <mergeCell ref="B80:E80"/>
    <mergeCell ref="F80:I80"/>
    <mergeCell ref="J80:L80"/>
    <mergeCell ref="M80:N80"/>
    <mergeCell ref="O80:P80"/>
    <mergeCell ref="B77:E77"/>
    <mergeCell ref="F77:I77"/>
    <mergeCell ref="J77:L77"/>
    <mergeCell ref="M77:N77"/>
    <mergeCell ref="O77:P77"/>
    <mergeCell ref="B78:E78"/>
    <mergeCell ref="F78:I78"/>
    <mergeCell ref="J78:L78"/>
    <mergeCell ref="M78:N78"/>
    <mergeCell ref="O78:P78"/>
    <mergeCell ref="B75:E75"/>
    <mergeCell ref="F75:I75"/>
    <mergeCell ref="J75:L75"/>
    <mergeCell ref="M75:N75"/>
    <mergeCell ref="O75:P75"/>
    <mergeCell ref="B76:E76"/>
    <mergeCell ref="F76:I76"/>
    <mergeCell ref="J76:L76"/>
    <mergeCell ref="M76:N76"/>
    <mergeCell ref="O76:P76"/>
    <mergeCell ref="B73:E73"/>
    <mergeCell ref="F73:I73"/>
    <mergeCell ref="J73:L73"/>
    <mergeCell ref="M73:N73"/>
    <mergeCell ref="O73:P73"/>
    <mergeCell ref="B74:E74"/>
    <mergeCell ref="F74:I74"/>
    <mergeCell ref="J74:L74"/>
    <mergeCell ref="M74:N74"/>
    <mergeCell ref="O74:P74"/>
    <mergeCell ref="B71:E71"/>
    <mergeCell ref="F71:I71"/>
    <mergeCell ref="J71:L71"/>
    <mergeCell ref="M71:N71"/>
    <mergeCell ref="O71:P71"/>
    <mergeCell ref="B72:E72"/>
    <mergeCell ref="F72:I72"/>
    <mergeCell ref="J72:L72"/>
    <mergeCell ref="M72:N72"/>
    <mergeCell ref="O72:P72"/>
    <mergeCell ref="B69:E69"/>
    <mergeCell ref="F69:I69"/>
    <mergeCell ref="J69:L69"/>
    <mergeCell ref="M69:N69"/>
    <mergeCell ref="O69:P69"/>
    <mergeCell ref="B70:E70"/>
    <mergeCell ref="F70:I70"/>
    <mergeCell ref="J70:L70"/>
    <mergeCell ref="M70:N70"/>
    <mergeCell ref="O70:P70"/>
    <mergeCell ref="B67:E67"/>
    <mergeCell ref="F67:I67"/>
    <mergeCell ref="J67:L67"/>
    <mergeCell ref="M67:N67"/>
    <mergeCell ref="O67:P67"/>
    <mergeCell ref="B68:E68"/>
    <mergeCell ref="F68:I68"/>
    <mergeCell ref="J68:L68"/>
    <mergeCell ref="M68:N68"/>
    <mergeCell ref="O68:P68"/>
    <mergeCell ref="B65:E65"/>
    <mergeCell ref="F65:I65"/>
    <mergeCell ref="J65:L65"/>
    <mergeCell ref="M65:N65"/>
    <mergeCell ref="O65:P65"/>
    <mergeCell ref="B66:E66"/>
    <mergeCell ref="F66:I66"/>
    <mergeCell ref="J66:L66"/>
    <mergeCell ref="M66:N66"/>
    <mergeCell ref="O66:P66"/>
    <mergeCell ref="B63:E63"/>
    <mergeCell ref="F63:I63"/>
    <mergeCell ref="J63:L63"/>
    <mergeCell ref="M63:N63"/>
    <mergeCell ref="O63:P63"/>
    <mergeCell ref="B64:E64"/>
    <mergeCell ref="F64:I64"/>
    <mergeCell ref="J64:L64"/>
    <mergeCell ref="M64:N64"/>
    <mergeCell ref="O64:P64"/>
    <mergeCell ref="B61:E61"/>
    <mergeCell ref="F61:I61"/>
    <mergeCell ref="J61:L61"/>
    <mergeCell ref="M61:N61"/>
    <mergeCell ref="O61:P61"/>
    <mergeCell ref="B62:E62"/>
    <mergeCell ref="F62:I62"/>
    <mergeCell ref="J62:L62"/>
    <mergeCell ref="M62:N62"/>
    <mergeCell ref="O62:P62"/>
    <mergeCell ref="J54:L54"/>
    <mergeCell ref="M54:N54"/>
    <mergeCell ref="O54:P54"/>
    <mergeCell ref="B59:E59"/>
    <mergeCell ref="F59:I59"/>
    <mergeCell ref="J59:L59"/>
    <mergeCell ref="M59:N59"/>
    <mergeCell ref="O59:P59"/>
    <mergeCell ref="J55:L55"/>
    <mergeCell ref="M55:N55"/>
    <mergeCell ref="O55:P55"/>
    <mergeCell ref="B60:E60"/>
    <mergeCell ref="F60:I60"/>
    <mergeCell ref="J60:L60"/>
    <mergeCell ref="M60:N60"/>
    <mergeCell ref="O60:P60"/>
    <mergeCell ref="B57:E57"/>
    <mergeCell ref="F57:I57"/>
    <mergeCell ref="J57:L57"/>
    <mergeCell ref="M57:N57"/>
    <mergeCell ref="O57:P57"/>
    <mergeCell ref="B58:E58"/>
    <mergeCell ref="F58:I58"/>
    <mergeCell ref="J58:L58"/>
    <mergeCell ref="M58:N58"/>
    <mergeCell ref="O58:P58"/>
    <mergeCell ref="B43:E43"/>
    <mergeCell ref="F43:I43"/>
    <mergeCell ref="J43:L43"/>
    <mergeCell ref="M43:N43"/>
    <mergeCell ref="O43:P43"/>
    <mergeCell ref="B49:E49"/>
    <mergeCell ref="F49:I49"/>
    <mergeCell ref="J49:L49"/>
    <mergeCell ref="M49:N49"/>
    <mergeCell ref="O49:P49"/>
    <mergeCell ref="B50:E50"/>
    <mergeCell ref="F50:I50"/>
    <mergeCell ref="J50:L50"/>
    <mergeCell ref="M50:N50"/>
    <mergeCell ref="O50:P50"/>
    <mergeCell ref="B55:E55"/>
    <mergeCell ref="F55:I55"/>
    <mergeCell ref="B56:E56"/>
    <mergeCell ref="F56:I56"/>
    <mergeCell ref="J56:L56"/>
    <mergeCell ref="M56:N56"/>
    <mergeCell ref="O56:P56"/>
    <mergeCell ref="B53:E53"/>
    <mergeCell ref="F53:I53"/>
    <mergeCell ref="J53:L53"/>
    <mergeCell ref="M53:N53"/>
    <mergeCell ref="O53:P53"/>
    <mergeCell ref="B54:E54"/>
    <mergeCell ref="F54:I54"/>
    <mergeCell ref="B46:E46"/>
    <mergeCell ref="F46:I46"/>
    <mergeCell ref="J46:L46"/>
    <mergeCell ref="M46:N46"/>
    <mergeCell ref="O46:P46"/>
    <mergeCell ref="B47:E47"/>
    <mergeCell ref="F47:I47"/>
    <mergeCell ref="J47:L47"/>
    <mergeCell ref="M47:N47"/>
    <mergeCell ref="O47:P47"/>
    <mergeCell ref="B52:E52"/>
    <mergeCell ref="F52:I52"/>
    <mergeCell ref="J52:L52"/>
    <mergeCell ref="M52:N52"/>
    <mergeCell ref="O52:P52"/>
    <mergeCell ref="B44:E44"/>
    <mergeCell ref="F44:I44"/>
    <mergeCell ref="J44:L44"/>
    <mergeCell ref="M44:N44"/>
    <mergeCell ref="O44:P44"/>
    <mergeCell ref="A45:P45"/>
    <mergeCell ref="B51:E51"/>
    <mergeCell ref="F51:I51"/>
    <mergeCell ref="J51:L51"/>
    <mergeCell ref="M51:N51"/>
    <mergeCell ref="O51:P51"/>
    <mergeCell ref="B41:E41"/>
    <mergeCell ref="F41:I41"/>
    <mergeCell ref="J41:L41"/>
    <mergeCell ref="M41:N41"/>
    <mergeCell ref="O41:P41"/>
    <mergeCell ref="B42:E42"/>
    <mergeCell ref="F42:I42"/>
    <mergeCell ref="J42:L42"/>
    <mergeCell ref="M42:N42"/>
    <mergeCell ref="O42:P42"/>
    <mergeCell ref="B48:E48"/>
    <mergeCell ref="F48:I48"/>
    <mergeCell ref="J48:L48"/>
    <mergeCell ref="M48:N48"/>
    <mergeCell ref="O48:P48"/>
    <mergeCell ref="B39:E39"/>
    <mergeCell ref="F39:I39"/>
    <mergeCell ref="J39:L39"/>
    <mergeCell ref="M39:N39"/>
    <mergeCell ref="O39:P39"/>
    <mergeCell ref="B40:E40"/>
    <mergeCell ref="F40:I40"/>
    <mergeCell ref="J40:L40"/>
    <mergeCell ref="M40:N40"/>
    <mergeCell ref="O40:P40"/>
    <mergeCell ref="B37:E37"/>
    <mergeCell ref="F37:I37"/>
    <mergeCell ref="J37:L37"/>
    <mergeCell ref="M37:N37"/>
    <mergeCell ref="O37:P37"/>
    <mergeCell ref="B38:E38"/>
    <mergeCell ref="F38:I38"/>
    <mergeCell ref="J38:L38"/>
    <mergeCell ref="M38:N38"/>
    <mergeCell ref="O38:P38"/>
    <mergeCell ref="B35:E35"/>
    <mergeCell ref="F35:I35"/>
    <mergeCell ref="J35:L35"/>
    <mergeCell ref="M35:N35"/>
    <mergeCell ref="O35:P35"/>
    <mergeCell ref="B36:E36"/>
    <mergeCell ref="F36:I36"/>
    <mergeCell ref="J36:L36"/>
    <mergeCell ref="M36:N36"/>
    <mergeCell ref="O36:P36"/>
    <mergeCell ref="B33:E33"/>
    <mergeCell ref="F33:I33"/>
    <mergeCell ref="J33:L33"/>
    <mergeCell ref="M33:N33"/>
    <mergeCell ref="O33:P33"/>
    <mergeCell ref="B34:E34"/>
    <mergeCell ref="F34:I34"/>
    <mergeCell ref="J34:L34"/>
    <mergeCell ref="M34:N34"/>
    <mergeCell ref="O34:P34"/>
    <mergeCell ref="B31:E31"/>
    <mergeCell ref="F31:I31"/>
    <mergeCell ref="J31:L31"/>
    <mergeCell ref="M31:N31"/>
    <mergeCell ref="O31:P31"/>
    <mergeCell ref="B32:E32"/>
    <mergeCell ref="F32:I32"/>
    <mergeCell ref="J32:L32"/>
    <mergeCell ref="M32:N32"/>
    <mergeCell ref="O32:P32"/>
    <mergeCell ref="B29:E29"/>
    <mergeCell ref="F29:I29"/>
    <mergeCell ref="J29:L29"/>
    <mergeCell ref="M29:N29"/>
    <mergeCell ref="O29:P29"/>
    <mergeCell ref="B30:E30"/>
    <mergeCell ref="F30:I30"/>
    <mergeCell ref="J30:L30"/>
    <mergeCell ref="M30:N30"/>
    <mergeCell ref="O30:P30"/>
    <mergeCell ref="B27:E27"/>
    <mergeCell ref="F27:I27"/>
    <mergeCell ref="J27:L27"/>
    <mergeCell ref="M27:N27"/>
    <mergeCell ref="O27:P27"/>
    <mergeCell ref="B28:E28"/>
    <mergeCell ref="F28:I28"/>
    <mergeCell ref="J28:L28"/>
    <mergeCell ref="M28:N28"/>
    <mergeCell ref="O28:P28"/>
    <mergeCell ref="B25:E25"/>
    <mergeCell ref="F25:I25"/>
    <mergeCell ref="J25:L25"/>
    <mergeCell ref="M25:N25"/>
    <mergeCell ref="O25:P25"/>
    <mergeCell ref="B26:E26"/>
    <mergeCell ref="F26:I26"/>
    <mergeCell ref="J26:L26"/>
    <mergeCell ref="M26:N26"/>
    <mergeCell ref="O26:P26"/>
    <mergeCell ref="B23:E23"/>
    <mergeCell ref="F23:I23"/>
    <mergeCell ref="J23:L23"/>
    <mergeCell ref="M23:N23"/>
    <mergeCell ref="O23:P23"/>
    <mergeCell ref="B24:E24"/>
    <mergeCell ref="F24:I24"/>
    <mergeCell ref="J24:L24"/>
    <mergeCell ref="M24:N24"/>
    <mergeCell ref="O24:P24"/>
    <mergeCell ref="B21:E21"/>
    <mergeCell ref="F21:I21"/>
    <mergeCell ref="J21:L21"/>
    <mergeCell ref="M21:N21"/>
    <mergeCell ref="O21:P21"/>
    <mergeCell ref="B22:E22"/>
    <mergeCell ref="F22:I22"/>
    <mergeCell ref="J22:L22"/>
    <mergeCell ref="M22:N22"/>
    <mergeCell ref="O22:P22"/>
    <mergeCell ref="B19:E19"/>
    <mergeCell ref="F19:I19"/>
    <mergeCell ref="J19:L19"/>
    <mergeCell ref="M19:N19"/>
    <mergeCell ref="O19:P19"/>
    <mergeCell ref="B20:E20"/>
    <mergeCell ref="F20:I20"/>
    <mergeCell ref="J20:L20"/>
    <mergeCell ref="M20:N20"/>
    <mergeCell ref="O20:P20"/>
    <mergeCell ref="J17:L17"/>
    <mergeCell ref="J18:L18"/>
    <mergeCell ref="M17:N17"/>
    <mergeCell ref="M18:N18"/>
    <mergeCell ref="O17:P17"/>
    <mergeCell ref="F8:P8"/>
    <mergeCell ref="F9:P9"/>
    <mergeCell ref="A8:E9"/>
    <mergeCell ref="A11:E11"/>
    <mergeCell ref="F11:P11"/>
    <mergeCell ref="A13:E13"/>
    <mergeCell ref="F13:P13"/>
    <mergeCell ref="A1:D1"/>
    <mergeCell ref="E1:P1"/>
    <mergeCell ref="A3:P3"/>
    <mergeCell ref="A4:P4"/>
    <mergeCell ref="A6:E6"/>
    <mergeCell ref="F6:P6"/>
    <mergeCell ref="O18:P18"/>
    <mergeCell ref="A15:P15"/>
    <mergeCell ref="B17:E17"/>
    <mergeCell ref="B18:E18"/>
    <mergeCell ref="F17:I17"/>
    <mergeCell ref="F18:I18"/>
  </mergeCells>
  <pageMargins left="0.4" right="0.4" top="0.75" bottom="0.75" header="0.3" footer="0.3"/>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X830"/>
  <sheetViews>
    <sheetView showRuler="0" topLeftCell="A239" workbookViewId="0">
      <selection activeCell="O230" sqref="O230:P230"/>
    </sheetView>
  </sheetViews>
  <sheetFormatPr defaultRowHeight="15" x14ac:dyDescent="0.25"/>
  <cols>
    <col min="1" max="1" width="6.42578125" style="2215" customWidth="1"/>
    <col min="2" max="50" width="8" style="2215" customWidth="1"/>
    <col min="51" max="16384" width="9.140625" style="2214"/>
  </cols>
  <sheetData>
    <row r="1" spans="1:16" ht="27.2" customHeight="1" x14ac:dyDescent="0.25">
      <c r="A1" s="2577" t="s">
        <v>6796</v>
      </c>
      <c r="B1" s="2577"/>
      <c r="C1" s="2577"/>
      <c r="D1" s="2577"/>
      <c r="E1" s="2578" t="s">
        <v>7256</v>
      </c>
      <c r="F1" s="2578"/>
      <c r="G1" s="2578"/>
      <c r="H1" s="2578"/>
      <c r="I1" s="2578"/>
      <c r="J1" s="2578"/>
      <c r="K1" s="2578"/>
      <c r="L1" s="2578"/>
      <c r="M1" s="2578"/>
      <c r="N1" s="2578"/>
      <c r="O1" s="2578"/>
      <c r="P1" s="2578"/>
    </row>
    <row r="2" spans="1:16" ht="15" customHeight="1" x14ac:dyDescent="0.25"/>
    <row r="3" spans="1:16" ht="15" customHeight="1" x14ac:dyDescent="0.25">
      <c r="A3" s="2579" t="s">
        <v>6468</v>
      </c>
      <c r="B3" s="2579"/>
      <c r="C3" s="2579"/>
      <c r="D3" s="2579"/>
      <c r="E3" s="2579"/>
      <c r="F3" s="2579"/>
      <c r="G3" s="2579"/>
      <c r="H3" s="2579"/>
      <c r="I3" s="2579"/>
      <c r="J3" s="2579"/>
      <c r="K3" s="2579"/>
      <c r="L3" s="2579"/>
      <c r="M3" s="2579"/>
      <c r="N3" s="2579"/>
      <c r="O3" s="2579"/>
      <c r="P3" s="2579"/>
    </row>
    <row r="4" spans="1:16" ht="15" customHeight="1" x14ac:dyDescent="0.25">
      <c r="A4" s="2580" t="s">
        <v>419</v>
      </c>
      <c r="B4" s="2580"/>
      <c r="C4" s="2580"/>
      <c r="D4" s="2580"/>
      <c r="E4" s="2580"/>
      <c r="F4" s="2580"/>
      <c r="G4" s="2580"/>
      <c r="H4" s="2580"/>
      <c r="I4" s="2580"/>
      <c r="J4" s="2580"/>
      <c r="K4" s="2580"/>
      <c r="L4" s="2580"/>
      <c r="M4" s="2580"/>
      <c r="N4" s="2580"/>
      <c r="O4" s="2580"/>
      <c r="P4" s="2580"/>
    </row>
    <row r="5" spans="1:16" ht="15" customHeight="1" x14ac:dyDescent="0.25"/>
    <row r="6" spans="1:16" ht="15" customHeight="1" x14ac:dyDescent="0.25">
      <c r="A6" s="2565" t="s">
        <v>6307</v>
      </c>
      <c r="B6" s="2565"/>
      <c r="C6" s="2565"/>
      <c r="D6" s="2565"/>
      <c r="E6" s="2565"/>
      <c r="F6" s="2576" t="s">
        <v>6141</v>
      </c>
      <c r="G6" s="2576"/>
      <c r="H6" s="2576"/>
      <c r="I6" s="2576"/>
      <c r="J6" s="2576"/>
      <c r="K6" s="2576"/>
      <c r="L6" s="2576"/>
      <c r="M6" s="2576"/>
      <c r="N6" s="2576"/>
      <c r="O6" s="2576"/>
      <c r="P6" s="2576"/>
    </row>
    <row r="7" spans="1:16" ht="15" customHeight="1" x14ac:dyDescent="0.25"/>
    <row r="8" spans="1:16" ht="54.4" customHeight="1" x14ac:dyDescent="0.25">
      <c r="A8" s="2565" t="s">
        <v>6396</v>
      </c>
      <c r="B8" s="2565"/>
      <c r="C8" s="2565"/>
      <c r="D8" s="2565"/>
      <c r="E8" s="2565"/>
      <c r="F8" s="2576" t="s">
        <v>430</v>
      </c>
      <c r="G8" s="2576"/>
      <c r="H8" s="2576"/>
      <c r="I8" s="2576"/>
      <c r="J8" s="2576"/>
      <c r="K8" s="2576"/>
      <c r="L8" s="2576"/>
      <c r="M8" s="2576"/>
      <c r="N8" s="2576"/>
      <c r="O8" s="2576"/>
      <c r="P8" s="2576"/>
    </row>
    <row r="9" spans="1:16" ht="15" customHeight="1" x14ac:dyDescent="0.25">
      <c r="A9" s="2565"/>
      <c r="B9" s="2565"/>
      <c r="C9" s="2565"/>
      <c r="D9" s="2565"/>
      <c r="E9" s="2565"/>
      <c r="F9" s="2565" t="s">
        <v>2</v>
      </c>
      <c r="G9" s="2565"/>
      <c r="H9" s="2565"/>
      <c r="I9" s="2565"/>
      <c r="J9" s="2565"/>
      <c r="K9" s="2565"/>
      <c r="L9" s="2565"/>
      <c r="M9" s="2565"/>
      <c r="N9" s="2565"/>
      <c r="O9" s="2565"/>
      <c r="P9" s="2565"/>
    </row>
    <row r="10" spans="1:16" ht="15" customHeight="1" x14ac:dyDescent="0.25"/>
    <row r="11" spans="1:16" ht="27.2" customHeight="1" x14ac:dyDescent="0.25">
      <c r="A11" s="2565" t="s">
        <v>452</v>
      </c>
      <c r="B11" s="2565"/>
      <c r="C11" s="2565"/>
      <c r="D11" s="2565"/>
      <c r="E11" s="2565"/>
      <c r="F11" s="2576"/>
      <c r="G11" s="2576"/>
      <c r="H11" s="2576"/>
      <c r="I11" s="2576"/>
      <c r="J11" s="2576"/>
      <c r="K11" s="2576"/>
      <c r="L11" s="2576"/>
      <c r="M11" s="2576"/>
      <c r="N11" s="2576"/>
      <c r="O11" s="2576"/>
      <c r="P11" s="2576"/>
    </row>
    <row r="12" spans="1:16" ht="15" customHeight="1" x14ac:dyDescent="0.25"/>
    <row r="13" spans="1:16" ht="15" customHeight="1" x14ac:dyDescent="0.25">
      <c r="A13" s="2565" t="s">
        <v>4154</v>
      </c>
      <c r="B13" s="2565"/>
      <c r="C13" s="2565"/>
      <c r="D13" s="2565"/>
      <c r="E13" s="2565"/>
      <c r="F13" s="2576"/>
      <c r="G13" s="2576"/>
      <c r="H13" s="2576"/>
      <c r="I13" s="2576"/>
      <c r="J13" s="2576"/>
      <c r="K13" s="2576"/>
      <c r="L13" s="2576"/>
      <c r="M13" s="2576"/>
      <c r="N13" s="2576"/>
      <c r="O13" s="2576"/>
      <c r="P13" s="2576"/>
    </row>
    <row r="14" spans="1:16" ht="15" customHeight="1" x14ac:dyDescent="0.25"/>
    <row r="15" spans="1:16" ht="15" customHeight="1" x14ac:dyDescent="0.25">
      <c r="A15" s="2565" t="s">
        <v>6311</v>
      </c>
      <c r="B15" s="2565"/>
      <c r="C15" s="2565"/>
      <c r="D15" s="2565"/>
      <c r="E15" s="2565"/>
      <c r="F15" s="2565"/>
      <c r="G15" s="2565"/>
      <c r="H15" s="2565"/>
      <c r="I15" s="2565"/>
      <c r="J15" s="2565"/>
      <c r="K15" s="2565"/>
      <c r="L15" s="2565"/>
      <c r="M15" s="2565"/>
      <c r="N15" s="2565"/>
      <c r="O15" s="2565"/>
      <c r="P15" s="2565"/>
    </row>
    <row r="16" spans="1:16" ht="15" customHeight="1" x14ac:dyDescent="0.25"/>
    <row r="17" spans="1:16" ht="40.9" customHeight="1" x14ac:dyDescent="0.25">
      <c r="A17" s="2220" t="s">
        <v>512</v>
      </c>
      <c r="B17" s="2581" t="s">
        <v>6143</v>
      </c>
      <c r="C17" s="2581"/>
      <c r="D17" s="2581"/>
      <c r="E17" s="2581"/>
      <c r="F17" s="2581" t="s">
        <v>6144</v>
      </c>
      <c r="G17" s="2581"/>
      <c r="H17" s="2581"/>
      <c r="I17" s="2581"/>
      <c r="J17" s="2581" t="s">
        <v>4160</v>
      </c>
      <c r="K17" s="2581"/>
      <c r="L17" s="2581"/>
      <c r="M17" s="2581" t="s">
        <v>4161</v>
      </c>
      <c r="N17" s="2581"/>
      <c r="O17" s="2581" t="s">
        <v>6312</v>
      </c>
      <c r="P17" s="2581"/>
    </row>
    <row r="18" spans="1:16" ht="15" customHeight="1" x14ac:dyDescent="0.25">
      <c r="A18" s="2220">
        <v>1</v>
      </c>
      <c r="B18" s="2581">
        <v>2</v>
      </c>
      <c r="C18" s="2581"/>
      <c r="D18" s="2581"/>
      <c r="E18" s="2581"/>
      <c r="F18" s="2581">
        <v>3</v>
      </c>
      <c r="G18" s="2581"/>
      <c r="H18" s="2581"/>
      <c r="I18" s="2581"/>
      <c r="J18" s="2581">
        <v>4</v>
      </c>
      <c r="K18" s="2581"/>
      <c r="L18" s="2581"/>
      <c r="M18" s="2581">
        <v>5</v>
      </c>
      <c r="N18" s="2581"/>
      <c r="O18" s="2581">
        <v>6</v>
      </c>
      <c r="P18" s="2581"/>
    </row>
    <row r="19" spans="1:16" ht="15" customHeight="1" x14ac:dyDescent="0.25">
      <c r="A19" s="2216" t="s">
        <v>190</v>
      </c>
      <c r="B19" s="2568" t="s">
        <v>6145</v>
      </c>
      <c r="C19" s="2568"/>
      <c r="D19" s="2568"/>
      <c r="E19" s="2568"/>
      <c r="F19" s="2568" t="s">
        <v>7255</v>
      </c>
      <c r="G19" s="2568"/>
      <c r="H19" s="2568"/>
      <c r="I19" s="2568"/>
      <c r="J19" s="2568"/>
      <c r="K19" s="2568"/>
      <c r="L19" s="2568"/>
      <c r="M19" s="2568"/>
      <c r="N19" s="2568"/>
      <c r="O19" s="2568"/>
      <c r="P19" s="2568"/>
    </row>
    <row r="20" spans="1:16" ht="135.94999999999999" customHeight="1" x14ac:dyDescent="0.25">
      <c r="A20" s="2219" t="s">
        <v>191</v>
      </c>
      <c r="B20" s="2573" t="s">
        <v>7254</v>
      </c>
      <c r="C20" s="2574"/>
      <c r="D20" s="2574"/>
      <c r="E20" s="2574"/>
      <c r="F20" s="2574" t="s">
        <v>9197</v>
      </c>
      <c r="G20" s="2574"/>
      <c r="H20" s="2574"/>
      <c r="I20" s="2574"/>
      <c r="J20" s="2574" t="s">
        <v>9196</v>
      </c>
      <c r="K20" s="2574"/>
      <c r="L20" s="2574"/>
      <c r="M20" s="2575">
        <f>ROUND((1229800 + 1422 * (0.4 * 2000 + 0.6 * 1280)) * 3 * 1.68 * 0.4 * 0.8 * (0.05) * 1.23834, 0)</f>
        <v>345464</v>
      </c>
      <c r="N20" s="2574"/>
      <c r="O20" s="2574" t="s">
        <v>7768</v>
      </c>
      <c r="P20" s="2574"/>
    </row>
    <row r="21" spans="1:16" ht="15" customHeight="1" x14ac:dyDescent="0.25">
      <c r="A21" s="2218"/>
      <c r="B21" s="2571" t="s">
        <v>4168</v>
      </c>
      <c r="C21" s="2571"/>
      <c r="D21" s="2571"/>
      <c r="E21" s="2571"/>
      <c r="F21" s="2571" t="s">
        <v>588</v>
      </c>
      <c r="G21" s="2571"/>
      <c r="H21" s="2571"/>
      <c r="I21" s="2571"/>
      <c r="J21" s="2571" t="s">
        <v>588</v>
      </c>
      <c r="K21" s="2571"/>
      <c r="L21" s="2571"/>
      <c r="M21" s="2571"/>
      <c r="N21" s="2571"/>
      <c r="O21" s="2571"/>
      <c r="P21" s="2571"/>
    </row>
    <row r="22" spans="1:16" ht="15" customHeight="1" x14ac:dyDescent="0.25">
      <c r="A22" s="2217"/>
      <c r="B22" s="2572" t="s">
        <v>6142</v>
      </c>
      <c r="C22" s="2572"/>
      <c r="D22" s="2572"/>
      <c r="E22" s="2572"/>
      <c r="F22" s="2572" t="s">
        <v>6156</v>
      </c>
      <c r="G22" s="2572"/>
      <c r="H22" s="2572"/>
      <c r="I22" s="2572"/>
      <c r="J22" s="2572" t="s">
        <v>588</v>
      </c>
      <c r="K22" s="2572"/>
      <c r="L22" s="2572"/>
      <c r="M22" s="2572"/>
      <c r="N22" s="2572"/>
      <c r="O22" s="2572"/>
      <c r="P22" s="2572"/>
    </row>
    <row r="23" spans="1:16" ht="40.9" customHeight="1" x14ac:dyDescent="0.25">
      <c r="A23" s="2217"/>
      <c r="B23" s="2572" t="s">
        <v>6447</v>
      </c>
      <c r="C23" s="2572"/>
      <c r="D23" s="2572"/>
      <c r="E23" s="2572"/>
      <c r="F23" s="2572" t="s">
        <v>6448</v>
      </c>
      <c r="G23" s="2572"/>
      <c r="H23" s="2572"/>
      <c r="I23" s="2572"/>
      <c r="J23" s="2572" t="s">
        <v>588</v>
      </c>
      <c r="K23" s="2572"/>
      <c r="L23" s="2572"/>
      <c r="M23" s="2572"/>
      <c r="N23" s="2572"/>
      <c r="O23" s="2572"/>
      <c r="P23" s="2572"/>
    </row>
    <row r="24" spans="1:16" ht="122.45" customHeight="1" x14ac:dyDescent="0.25">
      <c r="A24" s="2217"/>
      <c r="B24" s="2572" t="s">
        <v>7245</v>
      </c>
      <c r="C24" s="2572"/>
      <c r="D24" s="2572"/>
      <c r="E24" s="2572"/>
      <c r="F24" s="2572" t="s">
        <v>7244</v>
      </c>
      <c r="G24" s="2572"/>
      <c r="H24" s="2572"/>
      <c r="I24" s="2572"/>
      <c r="J24" s="2572" t="s">
        <v>588</v>
      </c>
      <c r="K24" s="2572"/>
      <c r="L24" s="2572"/>
      <c r="M24" s="2572"/>
      <c r="N24" s="2572"/>
      <c r="O24" s="2572"/>
      <c r="P24" s="2572"/>
    </row>
    <row r="25" spans="1:16" ht="81.599999999999994" customHeight="1" x14ac:dyDescent="0.25">
      <c r="A25" s="2217"/>
      <c r="B25" s="2572" t="s">
        <v>6968</v>
      </c>
      <c r="C25" s="2572"/>
      <c r="D25" s="2572"/>
      <c r="E25" s="2572"/>
      <c r="F25" s="2572" t="s">
        <v>7012</v>
      </c>
      <c r="G25" s="2572"/>
      <c r="H25" s="2572"/>
      <c r="I25" s="2572"/>
      <c r="J25" s="2572" t="s">
        <v>588</v>
      </c>
      <c r="K25" s="2572"/>
      <c r="L25" s="2572"/>
      <c r="M25" s="2572"/>
      <c r="N25" s="2572"/>
      <c r="O25" s="2572"/>
      <c r="P25" s="2572"/>
    </row>
    <row r="26" spans="1:16" ht="149.65" customHeight="1" x14ac:dyDescent="0.25">
      <c r="A26" s="2217"/>
      <c r="B26" s="2572" t="s">
        <v>6148</v>
      </c>
      <c r="C26" s="2572"/>
      <c r="D26" s="2572"/>
      <c r="E26" s="2572"/>
      <c r="F26" s="2572" t="s">
        <v>7242</v>
      </c>
      <c r="G26" s="2572"/>
      <c r="H26" s="2572"/>
      <c r="I26" s="2572"/>
      <c r="J26" s="2572" t="s">
        <v>588</v>
      </c>
      <c r="K26" s="2572"/>
      <c r="L26" s="2572"/>
      <c r="M26" s="2572"/>
      <c r="N26" s="2572"/>
      <c r="O26" s="2572"/>
      <c r="P26" s="2572"/>
    </row>
    <row r="27" spans="1:16" ht="135.94999999999999" customHeight="1" x14ac:dyDescent="0.25">
      <c r="A27" s="2218"/>
      <c r="B27" s="2571" t="s">
        <v>6150</v>
      </c>
      <c r="C27" s="2571"/>
      <c r="D27" s="2571"/>
      <c r="E27" s="2571"/>
      <c r="F27" s="2571" t="s">
        <v>588</v>
      </c>
      <c r="G27" s="2571"/>
      <c r="H27" s="2571"/>
      <c r="I27" s="2571"/>
      <c r="J27" s="2571" t="s">
        <v>7249</v>
      </c>
      <c r="K27" s="2571"/>
      <c r="L27" s="2571"/>
      <c r="M27" s="2571"/>
      <c r="N27" s="2571"/>
      <c r="O27" s="2571"/>
      <c r="P27" s="2571"/>
    </row>
    <row r="28" spans="1:16" ht="15" customHeight="1" x14ac:dyDescent="0.25">
      <c r="A28" s="2217"/>
      <c r="B28" s="2572" t="s">
        <v>6160</v>
      </c>
      <c r="C28" s="2572"/>
      <c r="D28" s="2572"/>
      <c r="E28" s="2572"/>
      <c r="F28" s="2572" t="s">
        <v>9195</v>
      </c>
      <c r="G28" s="2572"/>
      <c r="H28" s="2572"/>
      <c r="I28" s="2572"/>
      <c r="J28" s="2572" t="s">
        <v>588</v>
      </c>
      <c r="K28" s="2572"/>
      <c r="L28" s="2572"/>
      <c r="M28" s="2572"/>
      <c r="N28" s="2572"/>
      <c r="O28" s="2572"/>
      <c r="P28" s="2572"/>
    </row>
    <row r="29" spans="1:16" ht="15" customHeight="1" x14ac:dyDescent="0.25">
      <c r="A29" s="2217"/>
      <c r="B29" s="2572" t="s">
        <v>6199</v>
      </c>
      <c r="C29" s="2572"/>
      <c r="D29" s="2572"/>
      <c r="E29" s="2572"/>
      <c r="F29" s="2572" t="s">
        <v>9194</v>
      </c>
      <c r="G29" s="2572"/>
      <c r="H29" s="2572"/>
      <c r="I29" s="2572"/>
      <c r="J29" s="2572" t="s">
        <v>588</v>
      </c>
      <c r="K29" s="2572"/>
      <c r="L29" s="2572"/>
      <c r="M29" s="2572"/>
      <c r="N29" s="2572"/>
      <c r="O29" s="2572"/>
      <c r="P29" s="2572"/>
    </row>
    <row r="30" spans="1:16" ht="15" customHeight="1" x14ac:dyDescent="0.25">
      <c r="A30" s="2217"/>
      <c r="B30" s="2572" t="s">
        <v>6832</v>
      </c>
      <c r="C30" s="2572"/>
      <c r="D30" s="2572"/>
      <c r="E30" s="2572"/>
      <c r="F30" s="2572" t="s">
        <v>9193</v>
      </c>
      <c r="G30" s="2572"/>
      <c r="H30" s="2572"/>
      <c r="I30" s="2572"/>
      <c r="J30" s="2572" t="s">
        <v>588</v>
      </c>
      <c r="K30" s="2572"/>
      <c r="L30" s="2572"/>
      <c r="M30" s="2572"/>
      <c r="N30" s="2572"/>
      <c r="O30" s="2572"/>
      <c r="P30" s="2572"/>
    </row>
    <row r="31" spans="1:16" ht="15" customHeight="1" x14ac:dyDescent="0.25">
      <c r="A31" s="2217"/>
      <c r="B31" s="2572" t="s">
        <v>6830</v>
      </c>
      <c r="C31" s="2572"/>
      <c r="D31" s="2572"/>
      <c r="E31" s="2572"/>
      <c r="F31" s="2572" t="s">
        <v>9192</v>
      </c>
      <c r="G31" s="2572"/>
      <c r="H31" s="2572"/>
      <c r="I31" s="2572"/>
      <c r="J31" s="2572" t="s">
        <v>588</v>
      </c>
      <c r="K31" s="2572"/>
      <c r="L31" s="2572"/>
      <c r="M31" s="2572"/>
      <c r="N31" s="2572"/>
      <c r="O31" s="2572"/>
      <c r="P31" s="2572"/>
    </row>
    <row r="32" spans="1:16" ht="27.2" customHeight="1" x14ac:dyDescent="0.25">
      <c r="A32" s="2217"/>
      <c r="B32" s="2572" t="s">
        <v>6232</v>
      </c>
      <c r="C32" s="2572"/>
      <c r="D32" s="2572"/>
      <c r="E32" s="2572"/>
      <c r="F32" s="2572" t="s">
        <v>9191</v>
      </c>
      <c r="G32" s="2572"/>
      <c r="H32" s="2572"/>
      <c r="I32" s="2572"/>
      <c r="J32" s="2572" t="s">
        <v>588</v>
      </c>
      <c r="K32" s="2572"/>
      <c r="L32" s="2572"/>
      <c r="M32" s="2572"/>
      <c r="N32" s="2572"/>
      <c r="O32" s="2572"/>
      <c r="P32" s="2572"/>
    </row>
    <row r="33" spans="1:16" ht="27.2" customHeight="1" x14ac:dyDescent="0.25">
      <c r="A33" s="2217"/>
      <c r="B33" s="2572" t="s">
        <v>7240</v>
      </c>
      <c r="C33" s="2572"/>
      <c r="D33" s="2572"/>
      <c r="E33" s="2572"/>
      <c r="F33" s="2572" t="s">
        <v>9190</v>
      </c>
      <c r="G33" s="2572"/>
      <c r="H33" s="2572"/>
      <c r="I33" s="2572"/>
      <c r="J33" s="2572" t="s">
        <v>588</v>
      </c>
      <c r="K33" s="2572"/>
      <c r="L33" s="2572"/>
      <c r="M33" s="2572"/>
      <c r="N33" s="2572"/>
      <c r="O33" s="2572"/>
      <c r="P33" s="2572"/>
    </row>
    <row r="34" spans="1:16" ht="27.2" customHeight="1" x14ac:dyDescent="0.25">
      <c r="A34" s="2217"/>
      <c r="B34" s="2572" t="s">
        <v>7239</v>
      </c>
      <c r="C34" s="2572"/>
      <c r="D34" s="2572"/>
      <c r="E34" s="2572"/>
      <c r="F34" s="2572" t="s">
        <v>9189</v>
      </c>
      <c r="G34" s="2572"/>
      <c r="H34" s="2572"/>
      <c r="I34" s="2572"/>
      <c r="J34" s="2572" t="s">
        <v>588</v>
      </c>
      <c r="K34" s="2572"/>
      <c r="L34" s="2572"/>
      <c r="M34" s="2572"/>
      <c r="N34" s="2572"/>
      <c r="O34" s="2572"/>
      <c r="P34" s="2572"/>
    </row>
    <row r="35" spans="1:16" ht="27.2" customHeight="1" x14ac:dyDescent="0.25">
      <c r="A35" s="2217"/>
      <c r="B35" s="2572" t="s">
        <v>7238</v>
      </c>
      <c r="C35" s="2572"/>
      <c r="D35" s="2572"/>
      <c r="E35" s="2572"/>
      <c r="F35" s="2572" t="s">
        <v>9188</v>
      </c>
      <c r="G35" s="2572"/>
      <c r="H35" s="2572"/>
      <c r="I35" s="2572"/>
      <c r="J35" s="2572" t="s">
        <v>588</v>
      </c>
      <c r="K35" s="2572"/>
      <c r="L35" s="2572"/>
      <c r="M35" s="2572"/>
      <c r="N35" s="2572"/>
      <c r="O35" s="2572"/>
      <c r="P35" s="2572"/>
    </row>
    <row r="36" spans="1:16" ht="27.2" customHeight="1" x14ac:dyDescent="0.25">
      <c r="A36" s="2217"/>
      <c r="B36" s="2572" t="s">
        <v>7237</v>
      </c>
      <c r="C36" s="2572"/>
      <c r="D36" s="2572"/>
      <c r="E36" s="2572"/>
      <c r="F36" s="2572" t="s">
        <v>9187</v>
      </c>
      <c r="G36" s="2572"/>
      <c r="H36" s="2572"/>
      <c r="I36" s="2572"/>
      <c r="J36" s="2572" t="s">
        <v>588</v>
      </c>
      <c r="K36" s="2572"/>
      <c r="L36" s="2572"/>
      <c r="M36" s="2572"/>
      <c r="N36" s="2572"/>
      <c r="O36" s="2572"/>
      <c r="P36" s="2572"/>
    </row>
    <row r="37" spans="1:16" ht="27.2" customHeight="1" x14ac:dyDescent="0.25">
      <c r="A37" s="2217"/>
      <c r="B37" s="2572" t="s">
        <v>6955</v>
      </c>
      <c r="C37" s="2572"/>
      <c r="D37" s="2572"/>
      <c r="E37" s="2572"/>
      <c r="F37" s="2572" t="s">
        <v>9186</v>
      </c>
      <c r="G37" s="2572"/>
      <c r="H37" s="2572"/>
      <c r="I37" s="2572"/>
      <c r="J37" s="2572" t="s">
        <v>588</v>
      </c>
      <c r="K37" s="2572"/>
      <c r="L37" s="2572"/>
      <c r="M37" s="2572"/>
      <c r="N37" s="2572"/>
      <c r="O37" s="2572"/>
      <c r="P37" s="2572"/>
    </row>
    <row r="38" spans="1:16" ht="27.2" customHeight="1" x14ac:dyDescent="0.25">
      <c r="A38" s="2217"/>
      <c r="B38" s="2572" t="s">
        <v>7226</v>
      </c>
      <c r="C38" s="2572"/>
      <c r="D38" s="2572"/>
      <c r="E38" s="2572"/>
      <c r="F38" s="2572" t="s">
        <v>9185</v>
      </c>
      <c r="G38" s="2572"/>
      <c r="H38" s="2572"/>
      <c r="I38" s="2572"/>
      <c r="J38" s="2572" t="s">
        <v>588</v>
      </c>
      <c r="K38" s="2572"/>
      <c r="L38" s="2572"/>
      <c r="M38" s="2572"/>
      <c r="N38" s="2572"/>
      <c r="O38" s="2572"/>
      <c r="P38" s="2572"/>
    </row>
    <row r="39" spans="1:16" ht="27.2" customHeight="1" x14ac:dyDescent="0.25">
      <c r="A39" s="2217"/>
      <c r="B39" s="2572" t="s">
        <v>7236</v>
      </c>
      <c r="C39" s="2572"/>
      <c r="D39" s="2572"/>
      <c r="E39" s="2572"/>
      <c r="F39" s="2572" t="s">
        <v>9184</v>
      </c>
      <c r="G39" s="2572"/>
      <c r="H39" s="2572"/>
      <c r="I39" s="2572"/>
      <c r="J39" s="2572" t="s">
        <v>588</v>
      </c>
      <c r="K39" s="2572"/>
      <c r="L39" s="2572"/>
      <c r="M39" s="2572"/>
      <c r="N39" s="2572"/>
      <c r="O39" s="2572"/>
      <c r="P39" s="2572"/>
    </row>
    <row r="40" spans="1:16" ht="15" customHeight="1" x14ac:dyDescent="0.25">
      <c r="A40" s="2217"/>
      <c r="B40" s="2572" t="s">
        <v>6225</v>
      </c>
      <c r="C40" s="2572"/>
      <c r="D40" s="2572"/>
      <c r="E40" s="2572"/>
      <c r="F40" s="2572" t="s">
        <v>9183</v>
      </c>
      <c r="G40" s="2572"/>
      <c r="H40" s="2572"/>
      <c r="I40" s="2572"/>
      <c r="J40" s="2572" t="s">
        <v>588</v>
      </c>
      <c r="K40" s="2572"/>
      <c r="L40" s="2572"/>
      <c r="M40" s="2572"/>
      <c r="N40" s="2572"/>
      <c r="O40" s="2572"/>
      <c r="P40" s="2572"/>
    </row>
    <row r="41" spans="1:16" ht="15" customHeight="1" x14ac:dyDescent="0.25">
      <c r="A41" s="2217"/>
      <c r="B41" s="2572" t="s">
        <v>6226</v>
      </c>
      <c r="C41" s="2572"/>
      <c r="D41" s="2572"/>
      <c r="E41" s="2572"/>
      <c r="F41" s="2572" t="s">
        <v>9182</v>
      </c>
      <c r="G41" s="2572"/>
      <c r="H41" s="2572"/>
      <c r="I41" s="2572"/>
      <c r="J41" s="2572" t="s">
        <v>588</v>
      </c>
      <c r="K41" s="2572"/>
      <c r="L41" s="2572"/>
      <c r="M41" s="2572"/>
      <c r="N41" s="2572"/>
      <c r="O41" s="2572"/>
      <c r="P41" s="2572"/>
    </row>
    <row r="42" spans="1:16" ht="15" customHeight="1" x14ac:dyDescent="0.25">
      <c r="A42" s="2217"/>
      <c r="B42" s="2572" t="s">
        <v>6811</v>
      </c>
      <c r="C42" s="2572"/>
      <c r="D42" s="2572"/>
      <c r="E42" s="2572"/>
      <c r="F42" s="2572" t="s">
        <v>9181</v>
      </c>
      <c r="G42" s="2572"/>
      <c r="H42" s="2572"/>
      <c r="I42" s="2572"/>
      <c r="J42" s="2572" t="s">
        <v>588</v>
      </c>
      <c r="K42" s="2572"/>
      <c r="L42" s="2572"/>
      <c r="M42" s="2572"/>
      <c r="N42" s="2572"/>
      <c r="O42" s="2572"/>
      <c r="P42" s="2572"/>
    </row>
    <row r="43" spans="1:16" ht="15" customHeight="1" x14ac:dyDescent="0.25">
      <c r="A43" s="2217"/>
      <c r="B43" s="2572" t="s">
        <v>6809</v>
      </c>
      <c r="C43" s="2572"/>
      <c r="D43" s="2572"/>
      <c r="E43" s="2572"/>
      <c r="F43" s="2572" t="s">
        <v>9180</v>
      </c>
      <c r="G43" s="2572"/>
      <c r="H43" s="2572"/>
      <c r="I43" s="2572"/>
      <c r="J43" s="2572" t="s">
        <v>588</v>
      </c>
      <c r="K43" s="2572"/>
      <c r="L43" s="2572"/>
      <c r="M43" s="2572"/>
      <c r="N43" s="2572"/>
      <c r="O43" s="2572"/>
      <c r="P43" s="2572"/>
    </row>
    <row r="44" spans="1:16" ht="15" customHeight="1" x14ac:dyDescent="0.25">
      <c r="A44" s="2217"/>
      <c r="B44" s="2572" t="s">
        <v>7235</v>
      </c>
      <c r="C44" s="2572"/>
      <c r="D44" s="2572"/>
      <c r="E44" s="2572"/>
      <c r="F44" s="2572" t="s">
        <v>9180</v>
      </c>
      <c r="G44" s="2572"/>
      <c r="H44" s="2572"/>
      <c r="I44" s="2572"/>
      <c r="J44" s="2572" t="s">
        <v>588</v>
      </c>
      <c r="K44" s="2572"/>
      <c r="L44" s="2572"/>
      <c r="M44" s="2572"/>
      <c r="N44" s="2572"/>
      <c r="O44" s="2572"/>
      <c r="P44" s="2572"/>
    </row>
    <row r="45" spans="1:16" ht="40.9" customHeight="1" x14ac:dyDescent="0.25">
      <c r="A45" s="2217"/>
      <c r="B45" s="2572" t="s">
        <v>7234</v>
      </c>
      <c r="C45" s="2572"/>
      <c r="D45" s="2572"/>
      <c r="E45" s="2572"/>
      <c r="F45" s="2572" t="s">
        <v>9179</v>
      </c>
      <c r="G45" s="2572"/>
      <c r="H45" s="2572"/>
      <c r="I45" s="2572"/>
      <c r="J45" s="2572" t="s">
        <v>588</v>
      </c>
      <c r="K45" s="2572"/>
      <c r="L45" s="2572"/>
      <c r="M45" s="2572"/>
      <c r="N45" s="2572"/>
      <c r="O45" s="2572"/>
      <c r="P45" s="2572"/>
    </row>
    <row r="46" spans="1:16" ht="15" customHeight="1" x14ac:dyDescent="0.25">
      <c r="A46" s="2217"/>
      <c r="B46" s="2572" t="s">
        <v>7233</v>
      </c>
      <c r="C46" s="2572"/>
      <c r="D46" s="2572"/>
      <c r="E46" s="2572"/>
      <c r="F46" s="2572" t="s">
        <v>9178</v>
      </c>
      <c r="G46" s="2572"/>
      <c r="H46" s="2572"/>
      <c r="I46" s="2572"/>
      <c r="J46" s="2572" t="s">
        <v>588</v>
      </c>
      <c r="K46" s="2572"/>
      <c r="L46" s="2572"/>
      <c r="M46" s="2572"/>
      <c r="N46" s="2572"/>
      <c r="O46" s="2572"/>
      <c r="P46" s="2572"/>
    </row>
    <row r="47" spans="1:16" ht="135.94999999999999" customHeight="1" x14ac:dyDescent="0.25">
      <c r="A47" s="2219" t="s">
        <v>192</v>
      </c>
      <c r="B47" s="2573" t="s">
        <v>7254</v>
      </c>
      <c r="C47" s="2574"/>
      <c r="D47" s="2574"/>
      <c r="E47" s="2574"/>
      <c r="F47" s="2574" t="s">
        <v>9177</v>
      </c>
      <c r="G47" s="2574"/>
      <c r="H47" s="2574"/>
      <c r="I47" s="2574"/>
      <c r="J47" s="2574" t="s">
        <v>9176</v>
      </c>
      <c r="K47" s="2574"/>
      <c r="L47" s="2574"/>
      <c r="M47" s="2575">
        <f>ROUND((1229800 + 1422 * (0.4 * 2000 + 0.6 * (2000 / 2))) * 1 * 0.9 * 1.68 * 0.4 * 0.8 * (0.12) * 1.23834, 0)</f>
        <v>231558</v>
      </c>
      <c r="N47" s="2574"/>
      <c r="O47" s="2574" t="s">
        <v>9198</v>
      </c>
      <c r="P47" s="2574"/>
    </row>
    <row r="48" spans="1:16" ht="15" customHeight="1" x14ac:dyDescent="0.25">
      <c r="A48" s="2218"/>
      <c r="B48" s="2571" t="s">
        <v>4168</v>
      </c>
      <c r="C48" s="2571"/>
      <c r="D48" s="2571"/>
      <c r="E48" s="2571"/>
      <c r="F48" s="2571" t="s">
        <v>588</v>
      </c>
      <c r="G48" s="2571"/>
      <c r="H48" s="2571"/>
      <c r="I48" s="2571"/>
      <c r="J48" s="2571" t="s">
        <v>588</v>
      </c>
      <c r="K48" s="2571"/>
      <c r="L48" s="2571"/>
      <c r="M48" s="2571"/>
      <c r="N48" s="2571"/>
      <c r="O48" s="2571"/>
      <c r="P48" s="2571"/>
    </row>
    <row r="49" spans="1:16" ht="15" customHeight="1" x14ac:dyDescent="0.25">
      <c r="A49" s="2217"/>
      <c r="B49" s="2572" t="s">
        <v>6142</v>
      </c>
      <c r="C49" s="2572"/>
      <c r="D49" s="2572"/>
      <c r="E49" s="2572"/>
      <c r="F49" s="2572" t="s">
        <v>6156</v>
      </c>
      <c r="G49" s="2572"/>
      <c r="H49" s="2572"/>
      <c r="I49" s="2572"/>
      <c r="J49" s="2572" t="s">
        <v>588</v>
      </c>
      <c r="K49" s="2572"/>
      <c r="L49" s="2572"/>
      <c r="M49" s="2572"/>
      <c r="N49" s="2572"/>
      <c r="O49" s="2572"/>
      <c r="P49" s="2572"/>
    </row>
    <row r="50" spans="1:16" ht="40.9" customHeight="1" x14ac:dyDescent="0.25">
      <c r="A50" s="2217"/>
      <c r="B50" s="2572" t="s">
        <v>6447</v>
      </c>
      <c r="C50" s="2572"/>
      <c r="D50" s="2572"/>
      <c r="E50" s="2572"/>
      <c r="F50" s="2572" t="s">
        <v>6448</v>
      </c>
      <c r="G50" s="2572"/>
      <c r="H50" s="2572"/>
      <c r="I50" s="2572"/>
      <c r="J50" s="2572" t="s">
        <v>588</v>
      </c>
      <c r="K50" s="2572"/>
      <c r="L50" s="2572"/>
      <c r="M50" s="2572"/>
      <c r="N50" s="2572"/>
      <c r="O50" s="2572"/>
      <c r="P50" s="2572"/>
    </row>
    <row r="51" spans="1:16" ht="95.25" customHeight="1" x14ac:dyDescent="0.25">
      <c r="A51" s="2217"/>
      <c r="B51" s="2572" t="s">
        <v>6251</v>
      </c>
      <c r="C51" s="2572"/>
      <c r="D51" s="2572"/>
      <c r="E51" s="2572"/>
      <c r="F51" s="2572" t="s">
        <v>9175</v>
      </c>
      <c r="G51" s="2572"/>
      <c r="H51" s="2572"/>
      <c r="I51" s="2572"/>
      <c r="J51" s="2572" t="s">
        <v>588</v>
      </c>
      <c r="K51" s="2572"/>
      <c r="L51" s="2572"/>
      <c r="M51" s="2572"/>
      <c r="N51" s="2572"/>
      <c r="O51" s="2572"/>
      <c r="P51" s="2572"/>
    </row>
    <row r="52" spans="1:16" ht="122.45" customHeight="1" x14ac:dyDescent="0.25">
      <c r="A52" s="2217"/>
      <c r="B52" s="2572" t="s">
        <v>7245</v>
      </c>
      <c r="C52" s="2572"/>
      <c r="D52" s="2572"/>
      <c r="E52" s="2572"/>
      <c r="F52" s="2572" t="s">
        <v>7244</v>
      </c>
      <c r="G52" s="2572"/>
      <c r="H52" s="2572"/>
      <c r="I52" s="2572"/>
      <c r="J52" s="2572" t="s">
        <v>588</v>
      </c>
      <c r="K52" s="2572"/>
      <c r="L52" s="2572"/>
      <c r="M52" s="2572"/>
      <c r="N52" s="2572"/>
      <c r="O52" s="2572"/>
      <c r="P52" s="2572"/>
    </row>
    <row r="53" spans="1:16" ht="81.599999999999994" customHeight="1" x14ac:dyDescent="0.25">
      <c r="A53" s="2217"/>
      <c r="B53" s="2572" t="s">
        <v>7230</v>
      </c>
      <c r="C53" s="2572"/>
      <c r="D53" s="2572"/>
      <c r="E53" s="2572"/>
      <c r="F53" s="2572" t="s">
        <v>7243</v>
      </c>
      <c r="G53" s="2572"/>
      <c r="H53" s="2572"/>
      <c r="I53" s="2572"/>
      <c r="J53" s="2572" t="s">
        <v>588</v>
      </c>
      <c r="K53" s="2572"/>
      <c r="L53" s="2572"/>
      <c r="M53" s="2572"/>
      <c r="N53" s="2572"/>
      <c r="O53" s="2572"/>
      <c r="P53" s="2572"/>
    </row>
    <row r="54" spans="1:16" ht="149.65" customHeight="1" x14ac:dyDescent="0.25">
      <c r="A54" s="2217"/>
      <c r="B54" s="2572" t="s">
        <v>6148</v>
      </c>
      <c r="C54" s="2572"/>
      <c r="D54" s="2572"/>
      <c r="E54" s="2572"/>
      <c r="F54" s="2572" t="s">
        <v>7242</v>
      </c>
      <c r="G54" s="2572"/>
      <c r="H54" s="2572"/>
      <c r="I54" s="2572"/>
      <c r="J54" s="2572" t="s">
        <v>588</v>
      </c>
      <c r="K54" s="2572"/>
      <c r="L54" s="2572"/>
      <c r="M54" s="2572"/>
      <c r="N54" s="2572"/>
      <c r="O54" s="2572"/>
      <c r="P54" s="2572"/>
    </row>
    <row r="55" spans="1:16" ht="135.94999999999999" customHeight="1" x14ac:dyDescent="0.25">
      <c r="A55" s="2218"/>
      <c r="B55" s="2571" t="s">
        <v>6150</v>
      </c>
      <c r="C55" s="2571"/>
      <c r="D55" s="2571"/>
      <c r="E55" s="2571"/>
      <c r="F55" s="2571" t="s">
        <v>588</v>
      </c>
      <c r="G55" s="2571"/>
      <c r="H55" s="2571"/>
      <c r="I55" s="2571"/>
      <c r="J55" s="2571" t="s">
        <v>7249</v>
      </c>
      <c r="K55" s="2571"/>
      <c r="L55" s="2571"/>
      <c r="M55" s="2571"/>
      <c r="N55" s="2571"/>
      <c r="O55" s="2571"/>
      <c r="P55" s="2571"/>
    </row>
    <row r="56" spans="1:16" x14ac:dyDescent="0.25">
      <c r="A56" s="2217"/>
      <c r="B56" s="2572" t="s">
        <v>6160</v>
      </c>
      <c r="C56" s="2572"/>
      <c r="D56" s="2572"/>
      <c r="E56" s="2572"/>
      <c r="F56" s="2572" t="s">
        <v>9174</v>
      </c>
      <c r="G56" s="2572"/>
      <c r="H56" s="2572"/>
      <c r="I56" s="2572"/>
      <c r="J56" s="2572" t="s">
        <v>588</v>
      </c>
      <c r="K56" s="2572"/>
      <c r="L56" s="2572"/>
      <c r="M56" s="2572"/>
      <c r="N56" s="2572"/>
      <c r="O56" s="2572"/>
      <c r="P56" s="2572"/>
    </row>
    <row r="57" spans="1:16" x14ac:dyDescent="0.25">
      <c r="A57" s="2217"/>
      <c r="B57" s="2572" t="s">
        <v>6199</v>
      </c>
      <c r="C57" s="2572"/>
      <c r="D57" s="2572"/>
      <c r="E57" s="2572"/>
      <c r="F57" s="2572" t="s">
        <v>9173</v>
      </c>
      <c r="G57" s="2572"/>
      <c r="H57" s="2572"/>
      <c r="I57" s="2572"/>
      <c r="J57" s="2572" t="s">
        <v>588</v>
      </c>
      <c r="K57" s="2572"/>
      <c r="L57" s="2572"/>
      <c r="M57" s="2572"/>
      <c r="N57" s="2572"/>
      <c r="O57" s="2572"/>
      <c r="P57" s="2572"/>
    </row>
    <row r="58" spans="1:16" x14ac:dyDescent="0.25">
      <c r="A58" s="2217"/>
      <c r="B58" s="2572" t="s">
        <v>6832</v>
      </c>
      <c r="C58" s="2572"/>
      <c r="D58" s="2572"/>
      <c r="E58" s="2572"/>
      <c r="F58" s="2572" t="s">
        <v>9172</v>
      </c>
      <c r="G58" s="2572"/>
      <c r="H58" s="2572"/>
      <c r="I58" s="2572"/>
      <c r="J58" s="2572" t="s">
        <v>588</v>
      </c>
      <c r="K58" s="2572"/>
      <c r="L58" s="2572"/>
      <c r="M58" s="2572"/>
      <c r="N58" s="2572"/>
      <c r="O58" s="2572"/>
      <c r="P58" s="2572"/>
    </row>
    <row r="59" spans="1:16" x14ac:dyDescent="0.25">
      <c r="A59" s="2217"/>
      <c r="B59" s="2572" t="s">
        <v>6830</v>
      </c>
      <c r="C59" s="2572"/>
      <c r="D59" s="2572"/>
      <c r="E59" s="2572"/>
      <c r="F59" s="2572" t="s">
        <v>9171</v>
      </c>
      <c r="G59" s="2572"/>
      <c r="H59" s="2572"/>
      <c r="I59" s="2572"/>
      <c r="J59" s="2572" t="s">
        <v>588</v>
      </c>
      <c r="K59" s="2572"/>
      <c r="L59" s="2572"/>
      <c r="M59" s="2572"/>
      <c r="N59" s="2572"/>
      <c r="O59" s="2572"/>
      <c r="P59" s="2572"/>
    </row>
    <row r="60" spans="1:16" ht="27.2" customHeight="1" x14ac:dyDescent="0.25">
      <c r="A60" s="2217"/>
      <c r="B60" s="2572" t="s">
        <v>6232</v>
      </c>
      <c r="C60" s="2572"/>
      <c r="D60" s="2572"/>
      <c r="E60" s="2572"/>
      <c r="F60" s="2572" t="s">
        <v>9170</v>
      </c>
      <c r="G60" s="2572"/>
      <c r="H60" s="2572"/>
      <c r="I60" s="2572"/>
      <c r="J60" s="2572" t="s">
        <v>588</v>
      </c>
      <c r="K60" s="2572"/>
      <c r="L60" s="2572"/>
      <c r="M60" s="2572"/>
      <c r="N60" s="2572"/>
      <c r="O60" s="2572"/>
      <c r="P60" s="2572"/>
    </row>
    <row r="61" spans="1:16" ht="27.2" customHeight="1" x14ac:dyDescent="0.25">
      <c r="A61" s="2217"/>
      <c r="B61" s="2572" t="s">
        <v>7240</v>
      </c>
      <c r="C61" s="2572"/>
      <c r="D61" s="2572"/>
      <c r="E61" s="2572"/>
      <c r="F61" s="2572" t="s">
        <v>9169</v>
      </c>
      <c r="G61" s="2572"/>
      <c r="H61" s="2572"/>
      <c r="I61" s="2572"/>
      <c r="J61" s="2572" t="s">
        <v>588</v>
      </c>
      <c r="K61" s="2572"/>
      <c r="L61" s="2572"/>
      <c r="M61" s="2572"/>
      <c r="N61" s="2572"/>
      <c r="O61" s="2572"/>
      <c r="P61" s="2572"/>
    </row>
    <row r="62" spans="1:16" ht="27.2" customHeight="1" x14ac:dyDescent="0.25">
      <c r="A62" s="2217"/>
      <c r="B62" s="2572" t="s">
        <v>7239</v>
      </c>
      <c r="C62" s="2572"/>
      <c r="D62" s="2572"/>
      <c r="E62" s="2572"/>
      <c r="F62" s="2572" t="s">
        <v>9168</v>
      </c>
      <c r="G62" s="2572"/>
      <c r="H62" s="2572"/>
      <c r="I62" s="2572"/>
      <c r="J62" s="2572" t="s">
        <v>588</v>
      </c>
      <c r="K62" s="2572"/>
      <c r="L62" s="2572"/>
      <c r="M62" s="2572"/>
      <c r="N62" s="2572"/>
      <c r="O62" s="2572"/>
      <c r="P62" s="2572"/>
    </row>
    <row r="63" spans="1:16" ht="27.2" customHeight="1" x14ac:dyDescent="0.25">
      <c r="A63" s="2217"/>
      <c r="B63" s="2572" t="s">
        <v>7238</v>
      </c>
      <c r="C63" s="2572"/>
      <c r="D63" s="2572"/>
      <c r="E63" s="2572"/>
      <c r="F63" s="2572" t="s">
        <v>9167</v>
      </c>
      <c r="G63" s="2572"/>
      <c r="H63" s="2572"/>
      <c r="I63" s="2572"/>
      <c r="J63" s="2572" t="s">
        <v>588</v>
      </c>
      <c r="K63" s="2572"/>
      <c r="L63" s="2572"/>
      <c r="M63" s="2572"/>
      <c r="N63" s="2572"/>
      <c r="O63" s="2572"/>
      <c r="P63" s="2572"/>
    </row>
    <row r="64" spans="1:16" ht="27.2" customHeight="1" x14ac:dyDescent="0.25">
      <c r="A64" s="2217"/>
      <c r="B64" s="2572" t="s">
        <v>7237</v>
      </c>
      <c r="C64" s="2572"/>
      <c r="D64" s="2572"/>
      <c r="E64" s="2572"/>
      <c r="F64" s="2572" t="s">
        <v>9166</v>
      </c>
      <c r="G64" s="2572"/>
      <c r="H64" s="2572"/>
      <c r="I64" s="2572"/>
      <c r="J64" s="2572" t="s">
        <v>588</v>
      </c>
      <c r="K64" s="2572"/>
      <c r="L64" s="2572"/>
      <c r="M64" s="2572"/>
      <c r="N64" s="2572"/>
      <c r="O64" s="2572"/>
      <c r="P64" s="2572"/>
    </row>
    <row r="65" spans="1:16" ht="27.2" customHeight="1" x14ac:dyDescent="0.25">
      <c r="A65" s="2217"/>
      <c r="B65" s="2572" t="s">
        <v>6955</v>
      </c>
      <c r="C65" s="2572"/>
      <c r="D65" s="2572"/>
      <c r="E65" s="2572"/>
      <c r="F65" s="2572" t="s">
        <v>9165</v>
      </c>
      <c r="G65" s="2572"/>
      <c r="H65" s="2572"/>
      <c r="I65" s="2572"/>
      <c r="J65" s="2572" t="s">
        <v>588</v>
      </c>
      <c r="K65" s="2572"/>
      <c r="L65" s="2572"/>
      <c r="M65" s="2572"/>
      <c r="N65" s="2572"/>
      <c r="O65" s="2572"/>
      <c r="P65" s="2572"/>
    </row>
    <row r="66" spans="1:16" ht="27.2" customHeight="1" x14ac:dyDescent="0.25">
      <c r="A66" s="2217"/>
      <c r="B66" s="2572" t="s">
        <v>7226</v>
      </c>
      <c r="C66" s="2572"/>
      <c r="D66" s="2572"/>
      <c r="E66" s="2572"/>
      <c r="F66" s="2572" t="s">
        <v>9164</v>
      </c>
      <c r="G66" s="2572"/>
      <c r="H66" s="2572"/>
      <c r="I66" s="2572"/>
      <c r="J66" s="2572" t="s">
        <v>588</v>
      </c>
      <c r="K66" s="2572"/>
      <c r="L66" s="2572"/>
      <c r="M66" s="2572"/>
      <c r="N66" s="2572"/>
      <c r="O66" s="2572"/>
      <c r="P66" s="2572"/>
    </row>
    <row r="67" spans="1:16" ht="27.2" customHeight="1" x14ac:dyDescent="0.25">
      <c r="A67" s="2217"/>
      <c r="B67" s="2572" t="s">
        <v>7236</v>
      </c>
      <c r="C67" s="2572"/>
      <c r="D67" s="2572"/>
      <c r="E67" s="2572"/>
      <c r="F67" s="2572" t="s">
        <v>9163</v>
      </c>
      <c r="G67" s="2572"/>
      <c r="H67" s="2572"/>
      <c r="I67" s="2572"/>
      <c r="J67" s="2572" t="s">
        <v>588</v>
      </c>
      <c r="K67" s="2572"/>
      <c r="L67" s="2572"/>
      <c r="M67" s="2572"/>
      <c r="N67" s="2572"/>
      <c r="O67" s="2572"/>
      <c r="P67" s="2572"/>
    </row>
    <row r="68" spans="1:16" x14ac:dyDescent="0.25">
      <c r="A68" s="2217"/>
      <c r="B68" s="2572" t="s">
        <v>6225</v>
      </c>
      <c r="C68" s="2572"/>
      <c r="D68" s="2572"/>
      <c r="E68" s="2572"/>
      <c r="F68" s="2572" t="s">
        <v>9162</v>
      </c>
      <c r="G68" s="2572"/>
      <c r="H68" s="2572"/>
      <c r="I68" s="2572"/>
      <c r="J68" s="2572" t="s">
        <v>588</v>
      </c>
      <c r="K68" s="2572"/>
      <c r="L68" s="2572"/>
      <c r="M68" s="2572"/>
      <c r="N68" s="2572"/>
      <c r="O68" s="2572"/>
      <c r="P68" s="2572"/>
    </row>
    <row r="69" spans="1:16" x14ac:dyDescent="0.25">
      <c r="A69" s="2217"/>
      <c r="B69" s="2572" t="s">
        <v>6226</v>
      </c>
      <c r="C69" s="2572"/>
      <c r="D69" s="2572"/>
      <c r="E69" s="2572"/>
      <c r="F69" s="2572" t="s">
        <v>9161</v>
      </c>
      <c r="G69" s="2572"/>
      <c r="H69" s="2572"/>
      <c r="I69" s="2572"/>
      <c r="J69" s="2572" t="s">
        <v>588</v>
      </c>
      <c r="K69" s="2572"/>
      <c r="L69" s="2572"/>
      <c r="M69" s="2572"/>
      <c r="N69" s="2572"/>
      <c r="O69" s="2572"/>
      <c r="P69" s="2572"/>
    </row>
    <row r="70" spans="1:16" x14ac:dyDescent="0.25">
      <c r="A70" s="2217"/>
      <c r="B70" s="2572" t="s">
        <v>6811</v>
      </c>
      <c r="C70" s="2572"/>
      <c r="D70" s="2572"/>
      <c r="E70" s="2572"/>
      <c r="F70" s="2572" t="s">
        <v>9160</v>
      </c>
      <c r="G70" s="2572"/>
      <c r="H70" s="2572"/>
      <c r="I70" s="2572"/>
      <c r="J70" s="2572" t="s">
        <v>588</v>
      </c>
      <c r="K70" s="2572"/>
      <c r="L70" s="2572"/>
      <c r="M70" s="2572"/>
      <c r="N70" s="2572"/>
      <c r="O70" s="2572"/>
      <c r="P70" s="2572"/>
    </row>
    <row r="71" spans="1:16" x14ac:dyDescent="0.25">
      <c r="A71" s="2217"/>
      <c r="B71" s="2572" t="s">
        <v>6809</v>
      </c>
      <c r="C71" s="2572"/>
      <c r="D71" s="2572"/>
      <c r="E71" s="2572"/>
      <c r="F71" s="2572" t="s">
        <v>9159</v>
      </c>
      <c r="G71" s="2572"/>
      <c r="H71" s="2572"/>
      <c r="I71" s="2572"/>
      <c r="J71" s="2572" t="s">
        <v>588</v>
      </c>
      <c r="K71" s="2572"/>
      <c r="L71" s="2572"/>
      <c r="M71" s="2572"/>
      <c r="N71" s="2572"/>
      <c r="O71" s="2572"/>
      <c r="P71" s="2572"/>
    </row>
    <row r="72" spans="1:16" x14ac:dyDescent="0.25">
      <c r="A72" s="2217"/>
      <c r="B72" s="2572" t="s">
        <v>7235</v>
      </c>
      <c r="C72" s="2572"/>
      <c r="D72" s="2572"/>
      <c r="E72" s="2572"/>
      <c r="F72" s="2572" t="s">
        <v>9159</v>
      </c>
      <c r="G72" s="2572"/>
      <c r="H72" s="2572"/>
      <c r="I72" s="2572"/>
      <c r="J72" s="2572" t="s">
        <v>588</v>
      </c>
      <c r="K72" s="2572"/>
      <c r="L72" s="2572"/>
      <c r="M72" s="2572"/>
      <c r="N72" s="2572"/>
      <c r="O72" s="2572"/>
      <c r="P72" s="2572"/>
    </row>
    <row r="73" spans="1:16" ht="40.9" customHeight="1" x14ac:dyDescent="0.25">
      <c r="A73" s="2217"/>
      <c r="B73" s="2572" t="s">
        <v>7234</v>
      </c>
      <c r="C73" s="2572"/>
      <c r="D73" s="2572"/>
      <c r="E73" s="2572"/>
      <c r="F73" s="2572" t="s">
        <v>9158</v>
      </c>
      <c r="G73" s="2572"/>
      <c r="H73" s="2572"/>
      <c r="I73" s="2572"/>
      <c r="J73" s="2572" t="s">
        <v>588</v>
      </c>
      <c r="K73" s="2572"/>
      <c r="L73" s="2572"/>
      <c r="M73" s="2572"/>
      <c r="N73" s="2572"/>
      <c r="O73" s="2572"/>
      <c r="P73" s="2572"/>
    </row>
    <row r="74" spans="1:16" x14ac:dyDescent="0.25">
      <c r="A74" s="2217"/>
      <c r="B74" s="2572" t="s">
        <v>7233</v>
      </c>
      <c r="C74" s="2572"/>
      <c r="D74" s="2572"/>
      <c r="E74" s="2572"/>
      <c r="F74" s="2572" t="s">
        <v>9157</v>
      </c>
      <c r="G74" s="2572"/>
      <c r="H74" s="2572"/>
      <c r="I74" s="2572"/>
      <c r="J74" s="2572" t="s">
        <v>588</v>
      </c>
      <c r="K74" s="2572"/>
      <c r="L74" s="2572"/>
      <c r="M74" s="2572"/>
      <c r="N74" s="2572"/>
      <c r="O74" s="2572"/>
      <c r="P74" s="2572"/>
    </row>
    <row r="75" spans="1:16" ht="135.94999999999999" customHeight="1" x14ac:dyDescent="0.25">
      <c r="A75" s="2219" t="s">
        <v>435</v>
      </c>
      <c r="B75" s="2573" t="s">
        <v>7247</v>
      </c>
      <c r="C75" s="2574"/>
      <c r="D75" s="2574"/>
      <c r="E75" s="2574"/>
      <c r="F75" s="2574" t="s">
        <v>7246</v>
      </c>
      <c r="G75" s="2574"/>
      <c r="H75" s="2574"/>
      <c r="I75" s="2574"/>
      <c r="J75" s="2574" t="s">
        <v>9156</v>
      </c>
      <c r="K75" s="2574"/>
      <c r="L75" s="2574"/>
      <c r="M75" s="2575">
        <f>ROUND((320600 + 15335 * (0.4 * 75 + 0.6 * 49)) * 1 * 1.68 * 0.4 * 0.8 * (0.05) * 1.2338, 0)</f>
        <v>40842</v>
      </c>
      <c r="N75" s="2574"/>
      <c r="O75" s="2574" t="s">
        <v>7749</v>
      </c>
      <c r="P75" s="2574"/>
    </row>
    <row r="76" spans="1:16" x14ac:dyDescent="0.25">
      <c r="A76" s="2218"/>
      <c r="B76" s="2571" t="s">
        <v>4168</v>
      </c>
      <c r="C76" s="2571"/>
      <c r="D76" s="2571"/>
      <c r="E76" s="2571"/>
      <c r="F76" s="2571" t="s">
        <v>588</v>
      </c>
      <c r="G76" s="2571"/>
      <c r="H76" s="2571"/>
      <c r="I76" s="2571"/>
      <c r="J76" s="2571" t="s">
        <v>588</v>
      </c>
      <c r="K76" s="2571"/>
      <c r="L76" s="2571"/>
      <c r="M76" s="2571"/>
      <c r="N76" s="2571"/>
      <c r="O76" s="2571"/>
      <c r="P76" s="2571"/>
    </row>
    <row r="77" spans="1:16" x14ac:dyDescent="0.25">
      <c r="A77" s="2217"/>
      <c r="B77" s="2572" t="s">
        <v>6142</v>
      </c>
      <c r="C77" s="2572"/>
      <c r="D77" s="2572"/>
      <c r="E77" s="2572"/>
      <c r="F77" s="2572" t="s">
        <v>6156</v>
      </c>
      <c r="G77" s="2572"/>
      <c r="H77" s="2572"/>
      <c r="I77" s="2572"/>
      <c r="J77" s="2572" t="s">
        <v>588</v>
      </c>
      <c r="K77" s="2572"/>
      <c r="L77" s="2572"/>
      <c r="M77" s="2572"/>
      <c r="N77" s="2572"/>
      <c r="O77" s="2572"/>
      <c r="P77" s="2572"/>
    </row>
    <row r="78" spans="1:16" ht="40.9" customHeight="1" x14ac:dyDescent="0.25">
      <c r="A78" s="2217"/>
      <c r="B78" s="2572" t="s">
        <v>6447</v>
      </c>
      <c r="C78" s="2572"/>
      <c r="D78" s="2572"/>
      <c r="E78" s="2572"/>
      <c r="F78" s="2572" t="s">
        <v>6448</v>
      </c>
      <c r="G78" s="2572"/>
      <c r="H78" s="2572"/>
      <c r="I78" s="2572"/>
      <c r="J78" s="2572" t="s">
        <v>588</v>
      </c>
      <c r="K78" s="2572"/>
      <c r="L78" s="2572"/>
      <c r="M78" s="2572"/>
      <c r="N78" s="2572"/>
      <c r="O78" s="2572"/>
      <c r="P78" s="2572"/>
    </row>
    <row r="79" spans="1:16" ht="122.45" customHeight="1" x14ac:dyDescent="0.25">
      <c r="A79" s="2217"/>
      <c r="B79" s="2572" t="s">
        <v>7245</v>
      </c>
      <c r="C79" s="2572"/>
      <c r="D79" s="2572"/>
      <c r="E79" s="2572"/>
      <c r="F79" s="2572" t="s">
        <v>7244</v>
      </c>
      <c r="G79" s="2572"/>
      <c r="H79" s="2572"/>
      <c r="I79" s="2572"/>
      <c r="J79" s="2572" t="s">
        <v>588</v>
      </c>
      <c r="K79" s="2572"/>
      <c r="L79" s="2572"/>
      <c r="M79" s="2572"/>
      <c r="N79" s="2572"/>
      <c r="O79" s="2572"/>
      <c r="P79" s="2572"/>
    </row>
    <row r="80" spans="1:16" ht="81.599999999999994" customHeight="1" x14ac:dyDescent="0.25">
      <c r="A80" s="2217"/>
      <c r="B80" s="2572" t="s">
        <v>6968</v>
      </c>
      <c r="C80" s="2572"/>
      <c r="D80" s="2572"/>
      <c r="E80" s="2572"/>
      <c r="F80" s="2572" t="s">
        <v>7012</v>
      </c>
      <c r="G80" s="2572"/>
      <c r="H80" s="2572"/>
      <c r="I80" s="2572"/>
      <c r="J80" s="2572" t="s">
        <v>588</v>
      </c>
      <c r="K80" s="2572"/>
      <c r="L80" s="2572"/>
      <c r="M80" s="2572"/>
      <c r="N80" s="2572"/>
      <c r="O80" s="2572"/>
      <c r="P80" s="2572"/>
    </row>
    <row r="81" spans="1:16" ht="149.65" customHeight="1" x14ac:dyDescent="0.25">
      <c r="A81" s="2217"/>
      <c r="B81" s="2572" t="s">
        <v>6148</v>
      </c>
      <c r="C81" s="2572"/>
      <c r="D81" s="2572"/>
      <c r="E81" s="2572"/>
      <c r="F81" s="2572" t="s">
        <v>7242</v>
      </c>
      <c r="G81" s="2572"/>
      <c r="H81" s="2572"/>
      <c r="I81" s="2572"/>
      <c r="J81" s="2572" t="s">
        <v>588</v>
      </c>
      <c r="K81" s="2572"/>
      <c r="L81" s="2572"/>
      <c r="M81" s="2572"/>
      <c r="N81" s="2572"/>
      <c r="O81" s="2572"/>
      <c r="P81" s="2572"/>
    </row>
    <row r="82" spans="1:16" ht="135.94999999999999" customHeight="1" x14ac:dyDescent="0.25">
      <c r="A82" s="2218"/>
      <c r="B82" s="2571" t="s">
        <v>6150</v>
      </c>
      <c r="C82" s="2571"/>
      <c r="D82" s="2571"/>
      <c r="E82" s="2571"/>
      <c r="F82" s="2571" t="s">
        <v>588</v>
      </c>
      <c r="G82" s="2571"/>
      <c r="H82" s="2571"/>
      <c r="I82" s="2571"/>
      <c r="J82" s="2571" t="s">
        <v>7241</v>
      </c>
      <c r="K82" s="2571"/>
      <c r="L82" s="2571"/>
      <c r="M82" s="2571"/>
      <c r="N82" s="2571"/>
      <c r="O82" s="2571"/>
      <c r="P82" s="2571"/>
    </row>
    <row r="83" spans="1:16" x14ac:dyDescent="0.25">
      <c r="A83" s="2217"/>
      <c r="B83" s="2572" t="s">
        <v>6160</v>
      </c>
      <c r="C83" s="2572"/>
      <c r="D83" s="2572"/>
      <c r="E83" s="2572"/>
      <c r="F83" s="2572" t="s">
        <v>7486</v>
      </c>
      <c r="G83" s="2572"/>
      <c r="H83" s="2572"/>
      <c r="I83" s="2572"/>
      <c r="J83" s="2572" t="s">
        <v>588</v>
      </c>
      <c r="K83" s="2572"/>
      <c r="L83" s="2572"/>
      <c r="M83" s="2572"/>
      <c r="N83" s="2572"/>
      <c r="O83" s="2572"/>
      <c r="P83" s="2572"/>
    </row>
    <row r="84" spans="1:16" x14ac:dyDescent="0.25">
      <c r="A84" s="2217"/>
      <c r="B84" s="2572" t="s">
        <v>6199</v>
      </c>
      <c r="C84" s="2572"/>
      <c r="D84" s="2572"/>
      <c r="E84" s="2572"/>
      <c r="F84" s="2572" t="s">
        <v>9155</v>
      </c>
      <c r="G84" s="2572"/>
      <c r="H84" s="2572"/>
      <c r="I84" s="2572"/>
      <c r="J84" s="2572" t="s">
        <v>588</v>
      </c>
      <c r="K84" s="2572"/>
      <c r="L84" s="2572"/>
      <c r="M84" s="2572"/>
      <c r="N84" s="2572"/>
      <c r="O84" s="2572"/>
      <c r="P84" s="2572"/>
    </row>
    <row r="85" spans="1:16" x14ac:dyDescent="0.25">
      <c r="A85" s="2217"/>
      <c r="B85" s="2572" t="s">
        <v>6832</v>
      </c>
      <c r="C85" s="2572"/>
      <c r="D85" s="2572"/>
      <c r="E85" s="2572"/>
      <c r="F85" s="2572" t="s">
        <v>9154</v>
      </c>
      <c r="G85" s="2572"/>
      <c r="H85" s="2572"/>
      <c r="I85" s="2572"/>
      <c r="J85" s="2572" t="s">
        <v>588</v>
      </c>
      <c r="K85" s="2572"/>
      <c r="L85" s="2572"/>
      <c r="M85" s="2572"/>
      <c r="N85" s="2572"/>
      <c r="O85" s="2572"/>
      <c r="P85" s="2572"/>
    </row>
    <row r="86" spans="1:16" x14ac:dyDescent="0.25">
      <c r="A86" s="2217"/>
      <c r="B86" s="2572" t="s">
        <v>6830</v>
      </c>
      <c r="C86" s="2572"/>
      <c r="D86" s="2572"/>
      <c r="E86" s="2572"/>
      <c r="F86" s="2572" t="s">
        <v>9153</v>
      </c>
      <c r="G86" s="2572"/>
      <c r="H86" s="2572"/>
      <c r="I86" s="2572"/>
      <c r="J86" s="2572" t="s">
        <v>588</v>
      </c>
      <c r="K86" s="2572"/>
      <c r="L86" s="2572"/>
      <c r="M86" s="2572"/>
      <c r="N86" s="2572"/>
      <c r="O86" s="2572"/>
      <c r="P86" s="2572"/>
    </row>
    <row r="87" spans="1:16" ht="27.2" customHeight="1" x14ac:dyDescent="0.25">
      <c r="A87" s="2217"/>
      <c r="B87" s="2572" t="s">
        <v>6232</v>
      </c>
      <c r="C87" s="2572"/>
      <c r="D87" s="2572"/>
      <c r="E87" s="2572"/>
      <c r="F87" s="2572" t="s">
        <v>9152</v>
      </c>
      <c r="G87" s="2572"/>
      <c r="H87" s="2572"/>
      <c r="I87" s="2572"/>
      <c r="J87" s="2572" t="s">
        <v>588</v>
      </c>
      <c r="K87" s="2572"/>
      <c r="L87" s="2572"/>
      <c r="M87" s="2572"/>
      <c r="N87" s="2572"/>
      <c r="O87" s="2572"/>
      <c r="P87" s="2572"/>
    </row>
    <row r="88" spans="1:16" ht="27.2" customHeight="1" x14ac:dyDescent="0.25">
      <c r="A88" s="2217"/>
      <c r="B88" s="2572" t="s">
        <v>7240</v>
      </c>
      <c r="C88" s="2572"/>
      <c r="D88" s="2572"/>
      <c r="E88" s="2572"/>
      <c r="F88" s="2572" t="s">
        <v>9151</v>
      </c>
      <c r="G88" s="2572"/>
      <c r="H88" s="2572"/>
      <c r="I88" s="2572"/>
      <c r="J88" s="2572" t="s">
        <v>588</v>
      </c>
      <c r="K88" s="2572"/>
      <c r="L88" s="2572"/>
      <c r="M88" s="2572"/>
      <c r="N88" s="2572"/>
      <c r="O88" s="2572"/>
      <c r="P88" s="2572"/>
    </row>
    <row r="89" spans="1:16" ht="27.2" customHeight="1" x14ac:dyDescent="0.25">
      <c r="A89" s="2217"/>
      <c r="B89" s="2572" t="s">
        <v>7239</v>
      </c>
      <c r="C89" s="2572"/>
      <c r="D89" s="2572"/>
      <c r="E89" s="2572"/>
      <c r="F89" s="2572" t="s">
        <v>9150</v>
      </c>
      <c r="G89" s="2572"/>
      <c r="H89" s="2572"/>
      <c r="I89" s="2572"/>
      <c r="J89" s="2572" t="s">
        <v>588</v>
      </c>
      <c r="K89" s="2572"/>
      <c r="L89" s="2572"/>
      <c r="M89" s="2572"/>
      <c r="N89" s="2572"/>
      <c r="O89" s="2572"/>
      <c r="P89" s="2572"/>
    </row>
    <row r="90" spans="1:16" ht="27.2" customHeight="1" x14ac:dyDescent="0.25">
      <c r="A90" s="2217"/>
      <c r="B90" s="2572" t="s">
        <v>7238</v>
      </c>
      <c r="C90" s="2572"/>
      <c r="D90" s="2572"/>
      <c r="E90" s="2572"/>
      <c r="F90" s="2572" t="s">
        <v>9149</v>
      </c>
      <c r="G90" s="2572"/>
      <c r="H90" s="2572"/>
      <c r="I90" s="2572"/>
      <c r="J90" s="2572" t="s">
        <v>588</v>
      </c>
      <c r="K90" s="2572"/>
      <c r="L90" s="2572"/>
      <c r="M90" s="2572"/>
      <c r="N90" s="2572"/>
      <c r="O90" s="2572"/>
      <c r="P90" s="2572"/>
    </row>
    <row r="91" spans="1:16" ht="27.2" customHeight="1" x14ac:dyDescent="0.25">
      <c r="A91" s="2217"/>
      <c r="B91" s="2572" t="s">
        <v>7237</v>
      </c>
      <c r="C91" s="2572"/>
      <c r="D91" s="2572"/>
      <c r="E91" s="2572"/>
      <c r="F91" s="2572" t="s">
        <v>9148</v>
      </c>
      <c r="G91" s="2572"/>
      <c r="H91" s="2572"/>
      <c r="I91" s="2572"/>
      <c r="J91" s="2572" t="s">
        <v>588</v>
      </c>
      <c r="K91" s="2572"/>
      <c r="L91" s="2572"/>
      <c r="M91" s="2572"/>
      <c r="N91" s="2572"/>
      <c r="O91" s="2572"/>
      <c r="P91" s="2572"/>
    </row>
    <row r="92" spans="1:16" ht="27.2" customHeight="1" x14ac:dyDescent="0.25">
      <c r="A92" s="2217"/>
      <c r="B92" s="2572" t="s">
        <v>6955</v>
      </c>
      <c r="C92" s="2572"/>
      <c r="D92" s="2572"/>
      <c r="E92" s="2572"/>
      <c r="F92" s="2572" t="s">
        <v>9147</v>
      </c>
      <c r="G92" s="2572"/>
      <c r="H92" s="2572"/>
      <c r="I92" s="2572"/>
      <c r="J92" s="2572" t="s">
        <v>588</v>
      </c>
      <c r="K92" s="2572"/>
      <c r="L92" s="2572"/>
      <c r="M92" s="2572"/>
      <c r="N92" s="2572"/>
      <c r="O92" s="2572"/>
      <c r="P92" s="2572"/>
    </row>
    <row r="93" spans="1:16" ht="27.2" customHeight="1" x14ac:dyDescent="0.25">
      <c r="A93" s="2217"/>
      <c r="B93" s="2572" t="s">
        <v>7226</v>
      </c>
      <c r="C93" s="2572"/>
      <c r="D93" s="2572"/>
      <c r="E93" s="2572"/>
      <c r="F93" s="2572" t="s">
        <v>9146</v>
      </c>
      <c r="G93" s="2572"/>
      <c r="H93" s="2572"/>
      <c r="I93" s="2572"/>
      <c r="J93" s="2572" t="s">
        <v>588</v>
      </c>
      <c r="K93" s="2572"/>
      <c r="L93" s="2572"/>
      <c r="M93" s="2572"/>
      <c r="N93" s="2572"/>
      <c r="O93" s="2572"/>
      <c r="P93" s="2572"/>
    </row>
    <row r="94" spans="1:16" ht="27.2" customHeight="1" x14ac:dyDescent="0.25">
      <c r="A94" s="2217"/>
      <c r="B94" s="2572" t="s">
        <v>7236</v>
      </c>
      <c r="C94" s="2572"/>
      <c r="D94" s="2572"/>
      <c r="E94" s="2572"/>
      <c r="F94" s="2572" t="s">
        <v>9145</v>
      </c>
      <c r="G94" s="2572"/>
      <c r="H94" s="2572"/>
      <c r="I94" s="2572"/>
      <c r="J94" s="2572" t="s">
        <v>588</v>
      </c>
      <c r="K94" s="2572"/>
      <c r="L94" s="2572"/>
      <c r="M94" s="2572"/>
      <c r="N94" s="2572"/>
      <c r="O94" s="2572"/>
      <c r="P94" s="2572"/>
    </row>
    <row r="95" spans="1:16" x14ac:dyDescent="0.25">
      <c r="A95" s="2217"/>
      <c r="B95" s="2572" t="s">
        <v>6225</v>
      </c>
      <c r="C95" s="2572"/>
      <c r="D95" s="2572"/>
      <c r="E95" s="2572"/>
      <c r="F95" s="2572" t="s">
        <v>9144</v>
      </c>
      <c r="G95" s="2572"/>
      <c r="H95" s="2572"/>
      <c r="I95" s="2572"/>
      <c r="J95" s="2572" t="s">
        <v>588</v>
      </c>
      <c r="K95" s="2572"/>
      <c r="L95" s="2572"/>
      <c r="M95" s="2572"/>
      <c r="N95" s="2572"/>
      <c r="O95" s="2572"/>
      <c r="P95" s="2572"/>
    </row>
    <row r="96" spans="1:16" x14ac:dyDescent="0.25">
      <c r="A96" s="2217"/>
      <c r="B96" s="2572" t="s">
        <v>6226</v>
      </c>
      <c r="C96" s="2572"/>
      <c r="D96" s="2572"/>
      <c r="E96" s="2572"/>
      <c r="F96" s="2572" t="s">
        <v>9143</v>
      </c>
      <c r="G96" s="2572"/>
      <c r="H96" s="2572"/>
      <c r="I96" s="2572"/>
      <c r="J96" s="2572" t="s">
        <v>588</v>
      </c>
      <c r="K96" s="2572"/>
      <c r="L96" s="2572"/>
      <c r="M96" s="2572"/>
      <c r="N96" s="2572"/>
      <c r="O96" s="2572"/>
      <c r="P96" s="2572"/>
    </row>
    <row r="97" spans="1:16" x14ac:dyDescent="0.25">
      <c r="A97" s="2217"/>
      <c r="B97" s="2572" t="s">
        <v>6811</v>
      </c>
      <c r="C97" s="2572"/>
      <c r="D97" s="2572"/>
      <c r="E97" s="2572"/>
      <c r="F97" s="2572" t="s">
        <v>9142</v>
      </c>
      <c r="G97" s="2572"/>
      <c r="H97" s="2572"/>
      <c r="I97" s="2572"/>
      <c r="J97" s="2572" t="s">
        <v>588</v>
      </c>
      <c r="K97" s="2572"/>
      <c r="L97" s="2572"/>
      <c r="M97" s="2572"/>
      <c r="N97" s="2572"/>
      <c r="O97" s="2572"/>
      <c r="P97" s="2572"/>
    </row>
    <row r="98" spans="1:16" x14ac:dyDescent="0.25">
      <c r="A98" s="2217"/>
      <c r="B98" s="2572" t="s">
        <v>6809</v>
      </c>
      <c r="C98" s="2572"/>
      <c r="D98" s="2572"/>
      <c r="E98" s="2572"/>
      <c r="F98" s="2572" t="s">
        <v>9141</v>
      </c>
      <c r="G98" s="2572"/>
      <c r="H98" s="2572"/>
      <c r="I98" s="2572"/>
      <c r="J98" s="2572" t="s">
        <v>588</v>
      </c>
      <c r="K98" s="2572"/>
      <c r="L98" s="2572"/>
      <c r="M98" s="2572"/>
      <c r="N98" s="2572"/>
      <c r="O98" s="2572"/>
      <c r="P98" s="2572"/>
    </row>
    <row r="99" spans="1:16" x14ac:dyDescent="0.25">
      <c r="A99" s="2217"/>
      <c r="B99" s="2572" t="s">
        <v>7235</v>
      </c>
      <c r="C99" s="2572"/>
      <c r="D99" s="2572"/>
      <c r="E99" s="2572"/>
      <c r="F99" s="2572" t="s">
        <v>9141</v>
      </c>
      <c r="G99" s="2572"/>
      <c r="H99" s="2572"/>
      <c r="I99" s="2572"/>
      <c r="J99" s="2572" t="s">
        <v>588</v>
      </c>
      <c r="K99" s="2572"/>
      <c r="L99" s="2572"/>
      <c r="M99" s="2572"/>
      <c r="N99" s="2572"/>
      <c r="O99" s="2572"/>
      <c r="P99" s="2572"/>
    </row>
    <row r="100" spans="1:16" ht="40.9" customHeight="1" x14ac:dyDescent="0.25">
      <c r="A100" s="2217"/>
      <c r="B100" s="2572" t="s">
        <v>7234</v>
      </c>
      <c r="C100" s="2572"/>
      <c r="D100" s="2572"/>
      <c r="E100" s="2572"/>
      <c r="F100" s="2572" t="s">
        <v>9140</v>
      </c>
      <c r="G100" s="2572"/>
      <c r="H100" s="2572"/>
      <c r="I100" s="2572"/>
      <c r="J100" s="2572" t="s">
        <v>588</v>
      </c>
      <c r="K100" s="2572"/>
      <c r="L100" s="2572"/>
      <c r="M100" s="2572"/>
      <c r="N100" s="2572"/>
      <c r="O100" s="2572"/>
      <c r="P100" s="2572"/>
    </row>
    <row r="101" spans="1:16" x14ac:dyDescent="0.25">
      <c r="A101" s="2217"/>
      <c r="B101" s="2572" t="s">
        <v>7233</v>
      </c>
      <c r="C101" s="2572"/>
      <c r="D101" s="2572"/>
      <c r="E101" s="2572"/>
      <c r="F101" s="2572" t="s">
        <v>9139</v>
      </c>
      <c r="G101" s="2572"/>
      <c r="H101" s="2572"/>
      <c r="I101" s="2572"/>
      <c r="J101" s="2572" t="s">
        <v>588</v>
      </c>
      <c r="K101" s="2572"/>
      <c r="L101" s="2572"/>
      <c r="M101" s="2572"/>
      <c r="N101" s="2572"/>
      <c r="O101" s="2572"/>
      <c r="P101" s="2572"/>
    </row>
    <row r="102" spans="1:16" ht="122.45" customHeight="1" x14ac:dyDescent="0.25">
      <c r="A102" s="2219" t="s">
        <v>437</v>
      </c>
      <c r="B102" s="2573" t="s">
        <v>7232</v>
      </c>
      <c r="C102" s="2574"/>
      <c r="D102" s="2574"/>
      <c r="E102" s="2574"/>
      <c r="F102" s="2574" t="s">
        <v>7231</v>
      </c>
      <c r="G102" s="2574"/>
      <c r="H102" s="2574"/>
      <c r="I102" s="2574"/>
      <c r="J102" s="2574" t="s">
        <v>9138</v>
      </c>
      <c r="K102" s="2574"/>
      <c r="L102" s="2574"/>
      <c r="M102" s="2575">
        <f>ROUND((62200 + 4139 * 38) * 1 * 1.53 * 0.4 * 0.8 * (0.05) * 1.25851, 0)</f>
        <v>6762</v>
      </c>
      <c r="N102" s="2574"/>
      <c r="O102" s="2574" t="s">
        <v>7728</v>
      </c>
      <c r="P102" s="2574"/>
    </row>
    <row r="103" spans="1:16" x14ac:dyDescent="0.25">
      <c r="A103" s="2218"/>
      <c r="B103" s="2571" t="s">
        <v>4168</v>
      </c>
      <c r="C103" s="2571"/>
      <c r="D103" s="2571"/>
      <c r="E103" s="2571"/>
      <c r="F103" s="2571" t="s">
        <v>588</v>
      </c>
      <c r="G103" s="2571"/>
      <c r="H103" s="2571"/>
      <c r="I103" s="2571"/>
      <c r="J103" s="2571" t="s">
        <v>588</v>
      </c>
      <c r="K103" s="2571"/>
      <c r="L103" s="2571"/>
      <c r="M103" s="2571"/>
      <c r="N103" s="2571"/>
      <c r="O103" s="2571"/>
      <c r="P103" s="2571"/>
    </row>
    <row r="104" spans="1:16" x14ac:dyDescent="0.25">
      <c r="A104" s="2217"/>
      <c r="B104" s="2572" t="s">
        <v>6142</v>
      </c>
      <c r="C104" s="2572"/>
      <c r="D104" s="2572"/>
      <c r="E104" s="2572"/>
      <c r="F104" s="2572" t="s">
        <v>6156</v>
      </c>
      <c r="G104" s="2572"/>
      <c r="H104" s="2572"/>
      <c r="I104" s="2572"/>
      <c r="J104" s="2572" t="s">
        <v>588</v>
      </c>
      <c r="K104" s="2572"/>
      <c r="L104" s="2572"/>
      <c r="M104" s="2572"/>
      <c r="N104" s="2572"/>
      <c r="O104" s="2572"/>
      <c r="P104" s="2572"/>
    </row>
    <row r="105" spans="1:16" ht="40.9" customHeight="1" x14ac:dyDescent="0.25">
      <c r="A105" s="2217"/>
      <c r="B105" s="2572" t="s">
        <v>6401</v>
      </c>
      <c r="C105" s="2572"/>
      <c r="D105" s="2572"/>
      <c r="E105" s="2572"/>
      <c r="F105" s="2572" t="s">
        <v>6402</v>
      </c>
      <c r="G105" s="2572"/>
      <c r="H105" s="2572"/>
      <c r="I105" s="2572"/>
      <c r="J105" s="2572" t="s">
        <v>588</v>
      </c>
      <c r="K105" s="2572"/>
      <c r="L105" s="2572"/>
      <c r="M105" s="2572"/>
      <c r="N105" s="2572"/>
      <c r="O105" s="2572"/>
      <c r="P105" s="2572"/>
    </row>
    <row r="106" spans="1:16" ht="122.45" customHeight="1" x14ac:dyDescent="0.25">
      <c r="A106" s="2217"/>
      <c r="B106" s="2572" t="s">
        <v>7245</v>
      </c>
      <c r="C106" s="2572"/>
      <c r="D106" s="2572"/>
      <c r="E106" s="2572"/>
      <c r="F106" s="2572" t="s">
        <v>7244</v>
      </c>
      <c r="G106" s="2572"/>
      <c r="H106" s="2572"/>
      <c r="I106" s="2572"/>
      <c r="J106" s="2572" t="s">
        <v>588</v>
      </c>
      <c r="K106" s="2572"/>
      <c r="L106" s="2572"/>
      <c r="M106" s="2572"/>
      <c r="N106" s="2572"/>
      <c r="O106" s="2572"/>
      <c r="P106" s="2572"/>
    </row>
    <row r="107" spans="1:16" ht="81.599999999999994" customHeight="1" x14ac:dyDescent="0.25">
      <c r="A107" s="2217"/>
      <c r="B107" s="2572" t="s">
        <v>6968</v>
      </c>
      <c r="C107" s="2572"/>
      <c r="D107" s="2572"/>
      <c r="E107" s="2572"/>
      <c r="F107" s="2572" t="s">
        <v>7012</v>
      </c>
      <c r="G107" s="2572"/>
      <c r="H107" s="2572"/>
      <c r="I107" s="2572"/>
      <c r="J107" s="2572" t="s">
        <v>588</v>
      </c>
      <c r="K107" s="2572"/>
      <c r="L107" s="2572"/>
      <c r="M107" s="2572"/>
      <c r="N107" s="2572"/>
      <c r="O107" s="2572"/>
      <c r="P107" s="2572"/>
    </row>
    <row r="108" spans="1:16" ht="149.65" customHeight="1" x14ac:dyDescent="0.25">
      <c r="A108" s="2217"/>
      <c r="B108" s="2572" t="s">
        <v>6148</v>
      </c>
      <c r="C108" s="2572"/>
      <c r="D108" s="2572"/>
      <c r="E108" s="2572"/>
      <c r="F108" s="2572" t="s">
        <v>9137</v>
      </c>
      <c r="G108" s="2572"/>
      <c r="H108" s="2572"/>
      <c r="I108" s="2572"/>
      <c r="J108" s="2572" t="s">
        <v>588</v>
      </c>
      <c r="K108" s="2572"/>
      <c r="L108" s="2572"/>
      <c r="M108" s="2572"/>
      <c r="N108" s="2572"/>
      <c r="O108" s="2572"/>
      <c r="P108" s="2572"/>
    </row>
    <row r="109" spans="1:16" ht="122.45" customHeight="1" x14ac:dyDescent="0.25">
      <c r="A109" s="2218"/>
      <c r="B109" s="2571" t="s">
        <v>6150</v>
      </c>
      <c r="C109" s="2571"/>
      <c r="D109" s="2571"/>
      <c r="E109" s="2571"/>
      <c r="F109" s="2571" t="s">
        <v>588</v>
      </c>
      <c r="G109" s="2571"/>
      <c r="H109" s="2571"/>
      <c r="I109" s="2571"/>
      <c r="J109" s="2571" t="s">
        <v>7228</v>
      </c>
      <c r="K109" s="2571"/>
      <c r="L109" s="2571"/>
      <c r="M109" s="2571"/>
      <c r="N109" s="2571"/>
      <c r="O109" s="2571"/>
      <c r="P109" s="2571"/>
    </row>
    <row r="110" spans="1:16" x14ac:dyDescent="0.25">
      <c r="A110" s="2217"/>
      <c r="B110" s="2572" t="s">
        <v>6160</v>
      </c>
      <c r="C110" s="2572"/>
      <c r="D110" s="2572"/>
      <c r="E110" s="2572"/>
      <c r="F110" s="2572" t="s">
        <v>9136</v>
      </c>
      <c r="G110" s="2572"/>
      <c r="H110" s="2572"/>
      <c r="I110" s="2572"/>
      <c r="J110" s="2572" t="s">
        <v>588</v>
      </c>
      <c r="K110" s="2572"/>
      <c r="L110" s="2572"/>
      <c r="M110" s="2572"/>
      <c r="N110" s="2572"/>
      <c r="O110" s="2572"/>
      <c r="P110" s="2572"/>
    </row>
    <row r="111" spans="1:16" x14ac:dyDescent="0.25">
      <c r="A111" s="2217"/>
      <c r="B111" s="2572" t="s">
        <v>6199</v>
      </c>
      <c r="C111" s="2572"/>
      <c r="D111" s="2572"/>
      <c r="E111" s="2572"/>
      <c r="F111" s="2572" t="s">
        <v>9135</v>
      </c>
      <c r="G111" s="2572"/>
      <c r="H111" s="2572"/>
      <c r="I111" s="2572"/>
      <c r="J111" s="2572" t="s">
        <v>588</v>
      </c>
      <c r="K111" s="2572"/>
      <c r="L111" s="2572"/>
      <c r="M111" s="2572"/>
      <c r="N111" s="2572"/>
      <c r="O111" s="2572"/>
      <c r="P111" s="2572"/>
    </row>
    <row r="112" spans="1:16" x14ac:dyDescent="0.25">
      <c r="A112" s="2217"/>
      <c r="B112" s="2572" t="s">
        <v>6200</v>
      </c>
      <c r="C112" s="2572"/>
      <c r="D112" s="2572"/>
      <c r="E112" s="2572"/>
      <c r="F112" s="2572" t="s">
        <v>9134</v>
      </c>
      <c r="G112" s="2572"/>
      <c r="H112" s="2572"/>
      <c r="I112" s="2572"/>
      <c r="J112" s="2572" t="s">
        <v>588</v>
      </c>
      <c r="K112" s="2572"/>
      <c r="L112" s="2572"/>
      <c r="M112" s="2572"/>
      <c r="N112" s="2572"/>
      <c r="O112" s="2572"/>
      <c r="P112" s="2572"/>
    </row>
    <row r="113" spans="1:16" x14ac:dyDescent="0.25">
      <c r="A113" s="2217"/>
      <c r="B113" s="2572" t="s">
        <v>6201</v>
      </c>
      <c r="C113" s="2572"/>
      <c r="D113" s="2572"/>
      <c r="E113" s="2572"/>
      <c r="F113" s="2572" t="s">
        <v>9133</v>
      </c>
      <c r="G113" s="2572"/>
      <c r="H113" s="2572"/>
      <c r="I113" s="2572"/>
      <c r="J113" s="2572" t="s">
        <v>588</v>
      </c>
      <c r="K113" s="2572"/>
      <c r="L113" s="2572"/>
      <c r="M113" s="2572"/>
      <c r="N113" s="2572"/>
      <c r="O113" s="2572"/>
      <c r="P113" s="2572"/>
    </row>
    <row r="114" spans="1:16" x14ac:dyDescent="0.25">
      <c r="A114" s="2217"/>
      <c r="B114" s="2572" t="s">
        <v>6202</v>
      </c>
      <c r="C114" s="2572"/>
      <c r="D114" s="2572"/>
      <c r="E114" s="2572"/>
      <c r="F114" s="2572" t="s">
        <v>9132</v>
      </c>
      <c r="G114" s="2572"/>
      <c r="H114" s="2572"/>
      <c r="I114" s="2572"/>
      <c r="J114" s="2572" t="s">
        <v>588</v>
      </c>
      <c r="K114" s="2572"/>
      <c r="L114" s="2572"/>
      <c r="M114" s="2572"/>
      <c r="N114" s="2572"/>
      <c r="O114" s="2572"/>
      <c r="P114" s="2572"/>
    </row>
    <row r="115" spans="1:16" x14ac:dyDescent="0.25">
      <c r="A115" s="2217"/>
      <c r="B115" s="2572" t="s">
        <v>6203</v>
      </c>
      <c r="C115" s="2572"/>
      <c r="D115" s="2572"/>
      <c r="E115" s="2572"/>
      <c r="F115" s="2572" t="s">
        <v>9131</v>
      </c>
      <c r="G115" s="2572"/>
      <c r="H115" s="2572"/>
      <c r="I115" s="2572"/>
      <c r="J115" s="2572" t="s">
        <v>588</v>
      </c>
      <c r="K115" s="2572"/>
      <c r="L115" s="2572"/>
      <c r="M115" s="2572"/>
      <c r="N115" s="2572"/>
      <c r="O115" s="2572"/>
      <c r="P115" s="2572"/>
    </row>
    <row r="116" spans="1:16" x14ac:dyDescent="0.25">
      <c r="A116" s="2217"/>
      <c r="B116" s="2572" t="s">
        <v>6204</v>
      </c>
      <c r="C116" s="2572"/>
      <c r="D116" s="2572"/>
      <c r="E116" s="2572"/>
      <c r="F116" s="2572" t="s">
        <v>9130</v>
      </c>
      <c r="G116" s="2572"/>
      <c r="H116" s="2572"/>
      <c r="I116" s="2572"/>
      <c r="J116" s="2572" t="s">
        <v>588</v>
      </c>
      <c r="K116" s="2572"/>
      <c r="L116" s="2572"/>
      <c r="M116" s="2572"/>
      <c r="N116" s="2572"/>
      <c r="O116" s="2572"/>
      <c r="P116" s="2572"/>
    </row>
    <row r="117" spans="1:16" x14ac:dyDescent="0.25">
      <c r="A117" s="2217"/>
      <c r="B117" s="2572" t="s">
        <v>6222</v>
      </c>
      <c r="C117" s="2572"/>
      <c r="D117" s="2572"/>
      <c r="E117" s="2572"/>
      <c r="F117" s="2572" t="s">
        <v>9129</v>
      </c>
      <c r="G117" s="2572"/>
      <c r="H117" s="2572"/>
      <c r="I117" s="2572"/>
      <c r="J117" s="2572" t="s">
        <v>588</v>
      </c>
      <c r="K117" s="2572"/>
      <c r="L117" s="2572"/>
      <c r="M117" s="2572"/>
      <c r="N117" s="2572"/>
      <c r="O117" s="2572"/>
      <c r="P117" s="2572"/>
    </row>
    <row r="118" spans="1:16" x14ac:dyDescent="0.25">
      <c r="A118" s="2217"/>
      <c r="B118" s="2572" t="s">
        <v>6913</v>
      </c>
      <c r="C118" s="2572"/>
      <c r="D118" s="2572"/>
      <c r="E118" s="2572"/>
      <c r="F118" s="2572" t="s">
        <v>9127</v>
      </c>
      <c r="G118" s="2572"/>
      <c r="H118" s="2572"/>
      <c r="I118" s="2572"/>
      <c r="J118" s="2572" t="s">
        <v>588</v>
      </c>
      <c r="K118" s="2572"/>
      <c r="L118" s="2572"/>
      <c r="M118" s="2572"/>
      <c r="N118" s="2572"/>
      <c r="O118" s="2572"/>
      <c r="P118" s="2572"/>
    </row>
    <row r="119" spans="1:16" x14ac:dyDescent="0.25">
      <c r="A119" s="2217"/>
      <c r="B119" s="2572" t="s">
        <v>7021</v>
      </c>
      <c r="C119" s="2572"/>
      <c r="D119" s="2572"/>
      <c r="E119" s="2572"/>
      <c r="F119" s="2572" t="s">
        <v>9127</v>
      </c>
      <c r="G119" s="2572"/>
      <c r="H119" s="2572"/>
      <c r="I119" s="2572"/>
      <c r="J119" s="2572" t="s">
        <v>588</v>
      </c>
      <c r="K119" s="2572"/>
      <c r="L119" s="2572"/>
      <c r="M119" s="2572"/>
      <c r="N119" s="2572"/>
      <c r="O119" s="2572"/>
      <c r="P119" s="2572"/>
    </row>
    <row r="120" spans="1:16" x14ac:dyDescent="0.25">
      <c r="A120" s="2217"/>
      <c r="B120" s="2572" t="s">
        <v>6958</v>
      </c>
      <c r="C120" s="2572"/>
      <c r="D120" s="2572"/>
      <c r="E120" s="2572"/>
      <c r="F120" s="2572" t="s">
        <v>9128</v>
      </c>
      <c r="G120" s="2572"/>
      <c r="H120" s="2572"/>
      <c r="I120" s="2572"/>
      <c r="J120" s="2572" t="s">
        <v>588</v>
      </c>
      <c r="K120" s="2572"/>
      <c r="L120" s="2572"/>
      <c r="M120" s="2572"/>
      <c r="N120" s="2572"/>
      <c r="O120" s="2572"/>
      <c r="P120" s="2572"/>
    </row>
    <row r="121" spans="1:16" x14ac:dyDescent="0.25">
      <c r="A121" s="2217"/>
      <c r="B121" s="2572" t="s">
        <v>7227</v>
      </c>
      <c r="C121" s="2572"/>
      <c r="D121" s="2572"/>
      <c r="E121" s="2572"/>
      <c r="F121" s="2572" t="s">
        <v>9128</v>
      </c>
      <c r="G121" s="2572"/>
      <c r="H121" s="2572"/>
      <c r="I121" s="2572"/>
      <c r="J121" s="2572" t="s">
        <v>588</v>
      </c>
      <c r="K121" s="2572"/>
      <c r="L121" s="2572"/>
      <c r="M121" s="2572"/>
      <c r="N121" s="2572"/>
      <c r="O121" s="2572"/>
      <c r="P121" s="2572"/>
    </row>
    <row r="122" spans="1:16" x14ac:dyDescent="0.25">
      <c r="A122" s="2217"/>
      <c r="B122" s="2572" t="s">
        <v>6955</v>
      </c>
      <c r="C122" s="2572"/>
      <c r="D122" s="2572"/>
      <c r="E122" s="2572"/>
      <c r="F122" s="2572" t="s">
        <v>9127</v>
      </c>
      <c r="G122" s="2572"/>
      <c r="H122" s="2572"/>
      <c r="I122" s="2572"/>
      <c r="J122" s="2572" t="s">
        <v>588</v>
      </c>
      <c r="K122" s="2572"/>
      <c r="L122" s="2572"/>
      <c r="M122" s="2572"/>
      <c r="N122" s="2572"/>
      <c r="O122" s="2572"/>
      <c r="P122" s="2572"/>
    </row>
    <row r="123" spans="1:16" x14ac:dyDescent="0.25">
      <c r="A123" s="2217"/>
      <c r="B123" s="2572" t="s">
        <v>7226</v>
      </c>
      <c r="C123" s="2572"/>
      <c r="D123" s="2572"/>
      <c r="E123" s="2572"/>
      <c r="F123" s="2572" t="s">
        <v>9126</v>
      </c>
      <c r="G123" s="2572"/>
      <c r="H123" s="2572"/>
      <c r="I123" s="2572"/>
      <c r="J123" s="2572" t="s">
        <v>588</v>
      </c>
      <c r="K123" s="2572"/>
      <c r="L123" s="2572"/>
      <c r="M123" s="2572"/>
      <c r="N123" s="2572"/>
      <c r="O123" s="2572"/>
      <c r="P123" s="2572"/>
    </row>
    <row r="124" spans="1:16" x14ac:dyDescent="0.25">
      <c r="A124" s="2217"/>
      <c r="B124" s="2572" t="s">
        <v>6951</v>
      </c>
      <c r="C124" s="2572"/>
      <c r="D124" s="2572"/>
      <c r="E124" s="2572"/>
      <c r="F124" s="2572" t="s">
        <v>9125</v>
      </c>
      <c r="G124" s="2572"/>
      <c r="H124" s="2572"/>
      <c r="I124" s="2572"/>
      <c r="J124" s="2572" t="s">
        <v>588</v>
      </c>
      <c r="K124" s="2572"/>
      <c r="L124" s="2572"/>
      <c r="M124" s="2572"/>
      <c r="N124" s="2572"/>
      <c r="O124" s="2572"/>
      <c r="P124" s="2572"/>
    </row>
    <row r="125" spans="1:16" x14ac:dyDescent="0.25">
      <c r="A125" s="2217"/>
      <c r="B125" s="2572" t="s">
        <v>6949</v>
      </c>
      <c r="C125" s="2572"/>
      <c r="D125" s="2572"/>
      <c r="E125" s="2572"/>
      <c r="F125" s="2572" t="s">
        <v>9124</v>
      </c>
      <c r="G125" s="2572"/>
      <c r="H125" s="2572"/>
      <c r="I125" s="2572"/>
      <c r="J125" s="2572" t="s">
        <v>588</v>
      </c>
      <c r="K125" s="2572"/>
      <c r="L125" s="2572"/>
      <c r="M125" s="2572"/>
      <c r="N125" s="2572"/>
      <c r="O125" s="2572"/>
      <c r="P125" s="2572"/>
    </row>
    <row r="126" spans="1:16" x14ac:dyDescent="0.25">
      <c r="A126" s="2217"/>
      <c r="B126" s="2572" t="s">
        <v>7225</v>
      </c>
      <c r="C126" s="2572"/>
      <c r="D126" s="2572"/>
      <c r="E126" s="2572"/>
      <c r="F126" s="2572" t="s">
        <v>9122</v>
      </c>
      <c r="G126" s="2572"/>
      <c r="H126" s="2572"/>
      <c r="I126" s="2572"/>
      <c r="J126" s="2572" t="s">
        <v>588</v>
      </c>
      <c r="K126" s="2572"/>
      <c r="L126" s="2572"/>
      <c r="M126" s="2572"/>
      <c r="N126" s="2572"/>
      <c r="O126" s="2572"/>
      <c r="P126" s="2572"/>
    </row>
    <row r="127" spans="1:16" x14ac:dyDescent="0.25">
      <c r="A127" s="2217"/>
      <c r="B127" s="2572" t="s">
        <v>6946</v>
      </c>
      <c r="C127" s="2572"/>
      <c r="D127" s="2572"/>
      <c r="E127" s="2572"/>
      <c r="F127" s="2572" t="s">
        <v>9123</v>
      </c>
      <c r="G127" s="2572"/>
      <c r="H127" s="2572"/>
      <c r="I127" s="2572"/>
      <c r="J127" s="2572" t="s">
        <v>588</v>
      </c>
      <c r="K127" s="2572"/>
      <c r="L127" s="2572"/>
      <c r="M127" s="2572"/>
      <c r="N127" s="2572"/>
      <c r="O127" s="2572"/>
      <c r="P127" s="2572"/>
    </row>
    <row r="128" spans="1:16" x14ac:dyDescent="0.25">
      <c r="A128" s="2217"/>
      <c r="B128" s="2572" t="s">
        <v>7224</v>
      </c>
      <c r="C128" s="2572"/>
      <c r="D128" s="2572"/>
      <c r="E128" s="2572"/>
      <c r="F128" s="2572" t="s">
        <v>9122</v>
      </c>
      <c r="G128" s="2572"/>
      <c r="H128" s="2572"/>
      <c r="I128" s="2572"/>
      <c r="J128" s="2572" t="s">
        <v>588</v>
      </c>
      <c r="K128" s="2572"/>
      <c r="L128" s="2572"/>
      <c r="M128" s="2572"/>
      <c r="N128" s="2572"/>
      <c r="O128" s="2572"/>
      <c r="P128" s="2572"/>
    </row>
    <row r="129" spans="1:16" ht="27.2" customHeight="1" x14ac:dyDescent="0.25">
      <c r="A129" s="2217"/>
      <c r="B129" s="2572" t="s">
        <v>7223</v>
      </c>
      <c r="C129" s="2572"/>
      <c r="D129" s="2572"/>
      <c r="E129" s="2572"/>
      <c r="F129" s="2572" t="s">
        <v>9121</v>
      </c>
      <c r="G129" s="2572"/>
      <c r="H129" s="2572"/>
      <c r="I129" s="2572"/>
      <c r="J129" s="2572" t="s">
        <v>588</v>
      </c>
      <c r="K129" s="2572"/>
      <c r="L129" s="2572"/>
      <c r="M129" s="2572"/>
      <c r="N129" s="2572"/>
      <c r="O129" s="2572"/>
      <c r="P129" s="2572"/>
    </row>
    <row r="130" spans="1:16" ht="27.2" customHeight="1" x14ac:dyDescent="0.25">
      <c r="A130" s="2216" t="s">
        <v>440</v>
      </c>
      <c r="B130" s="2568" t="s">
        <v>7222</v>
      </c>
      <c r="C130" s="2568"/>
      <c r="D130" s="2568"/>
      <c r="E130" s="2568"/>
      <c r="F130" s="2568"/>
      <c r="G130" s="2568"/>
      <c r="H130" s="2568"/>
      <c r="I130" s="2568"/>
      <c r="J130" s="2568" t="s">
        <v>588</v>
      </c>
      <c r="K130" s="2568"/>
      <c r="L130" s="2568"/>
      <c r="M130" s="2569">
        <f>ROUND(SUM($M$20:$M$102),0)</f>
        <v>624626</v>
      </c>
      <c r="N130" s="2568"/>
      <c r="O130" s="2568"/>
      <c r="P130" s="2568"/>
    </row>
    <row r="131" spans="1:16" ht="27.2" customHeight="1" x14ac:dyDescent="0.25">
      <c r="A131" s="2216" t="s">
        <v>4184</v>
      </c>
      <c r="B131" s="2568" t="s">
        <v>7221</v>
      </c>
      <c r="C131" s="2568"/>
      <c r="D131" s="2568"/>
      <c r="E131" s="2568"/>
      <c r="F131" s="2568"/>
      <c r="G131" s="2568"/>
      <c r="H131" s="2568"/>
      <c r="I131" s="2568"/>
      <c r="J131" s="2568" t="s">
        <v>588</v>
      </c>
      <c r="K131" s="2568"/>
      <c r="L131" s="2568"/>
      <c r="M131" s="2569">
        <f>ROUND(($M$130),0)</f>
        <v>624626</v>
      </c>
      <c r="N131" s="2568"/>
      <c r="O131" s="2568"/>
      <c r="P131" s="2568"/>
    </row>
    <row r="132" spans="1:16" x14ac:dyDescent="0.25">
      <c r="A132" s="2216" t="s">
        <v>639</v>
      </c>
      <c r="B132" s="2568" t="s">
        <v>6145</v>
      </c>
      <c r="C132" s="2568"/>
      <c r="D132" s="2568"/>
      <c r="E132" s="2568"/>
      <c r="F132" s="2568" t="s">
        <v>5963</v>
      </c>
      <c r="G132" s="2568"/>
      <c r="H132" s="2568"/>
      <c r="I132" s="2568"/>
      <c r="J132" s="2568"/>
      <c r="K132" s="2568"/>
      <c r="L132" s="2568"/>
      <c r="M132" s="2568"/>
      <c r="N132" s="2568"/>
      <c r="O132" s="2568"/>
      <c r="P132" s="2568"/>
    </row>
    <row r="133" spans="1:16" ht="108.75" customHeight="1" x14ac:dyDescent="0.25">
      <c r="A133" s="2219" t="s">
        <v>197</v>
      </c>
      <c r="B133" s="2573" t="s">
        <v>6146</v>
      </c>
      <c r="C133" s="2574"/>
      <c r="D133" s="2574"/>
      <c r="E133" s="2574"/>
      <c r="F133" s="2574" t="s">
        <v>7220</v>
      </c>
      <c r="G133" s="2574"/>
      <c r="H133" s="2574"/>
      <c r="I133" s="2574"/>
      <c r="J133" s="2574" t="s">
        <v>7317</v>
      </c>
      <c r="K133" s="2574"/>
      <c r="L133" s="2574"/>
      <c r="M133" s="2575">
        <f>ROUND((5610 + 240 * 40) * 1 * 7.1 * 0.34 * 1.21236, 0)</f>
        <v>44514</v>
      </c>
      <c r="N133" s="2574"/>
      <c r="O133" s="2574" t="s">
        <v>588</v>
      </c>
      <c r="P133" s="2574"/>
    </row>
    <row r="134" spans="1:16" x14ac:dyDescent="0.25">
      <c r="A134" s="2218"/>
      <c r="B134" s="2571" t="s">
        <v>4168</v>
      </c>
      <c r="C134" s="2571"/>
      <c r="D134" s="2571"/>
      <c r="E134" s="2571"/>
      <c r="F134" s="2571" t="s">
        <v>588</v>
      </c>
      <c r="G134" s="2571"/>
      <c r="H134" s="2571"/>
      <c r="I134" s="2571"/>
      <c r="J134" s="2571" t="s">
        <v>588</v>
      </c>
      <c r="K134" s="2571"/>
      <c r="L134" s="2571"/>
      <c r="M134" s="2571"/>
      <c r="N134" s="2571"/>
      <c r="O134" s="2571"/>
      <c r="P134" s="2571"/>
    </row>
    <row r="135" spans="1:16" x14ac:dyDescent="0.25">
      <c r="A135" s="2217"/>
      <c r="B135" s="2572" t="s">
        <v>6142</v>
      </c>
      <c r="C135" s="2572"/>
      <c r="D135" s="2572"/>
      <c r="E135" s="2572"/>
      <c r="F135" s="2572" t="s">
        <v>6147</v>
      </c>
      <c r="G135" s="2572"/>
      <c r="H135" s="2572"/>
      <c r="I135" s="2572"/>
      <c r="J135" s="2572" t="s">
        <v>588</v>
      </c>
      <c r="K135" s="2572"/>
      <c r="L135" s="2572"/>
      <c r="M135" s="2572"/>
      <c r="N135" s="2572"/>
      <c r="O135" s="2572"/>
      <c r="P135" s="2572"/>
    </row>
    <row r="136" spans="1:16" ht="40.9" customHeight="1" x14ac:dyDescent="0.25">
      <c r="A136" s="2217"/>
      <c r="B136" s="2572" t="s">
        <v>6397</v>
      </c>
      <c r="C136" s="2572"/>
      <c r="D136" s="2572"/>
      <c r="E136" s="2572"/>
      <c r="F136" s="2572" t="s">
        <v>6398</v>
      </c>
      <c r="G136" s="2572"/>
      <c r="H136" s="2572"/>
      <c r="I136" s="2572"/>
      <c r="J136" s="2572" t="s">
        <v>588</v>
      </c>
      <c r="K136" s="2572"/>
      <c r="L136" s="2572"/>
      <c r="M136" s="2572"/>
      <c r="N136" s="2572"/>
      <c r="O136" s="2572"/>
      <c r="P136" s="2572"/>
    </row>
    <row r="137" spans="1:16" ht="149.65" customHeight="1" x14ac:dyDescent="0.25">
      <c r="A137" s="2217"/>
      <c r="B137" s="2572" t="s">
        <v>6148</v>
      </c>
      <c r="C137" s="2572"/>
      <c r="D137" s="2572"/>
      <c r="E137" s="2572"/>
      <c r="F137" s="2572" t="s">
        <v>6149</v>
      </c>
      <c r="G137" s="2572"/>
      <c r="H137" s="2572"/>
      <c r="I137" s="2572"/>
      <c r="J137" s="2572" t="s">
        <v>588</v>
      </c>
      <c r="K137" s="2572"/>
      <c r="L137" s="2572"/>
      <c r="M137" s="2572"/>
      <c r="N137" s="2572"/>
      <c r="O137" s="2572"/>
      <c r="P137" s="2572"/>
    </row>
    <row r="138" spans="1:16" ht="27.2" customHeight="1" x14ac:dyDescent="0.25">
      <c r="A138" s="2218"/>
      <c r="B138" s="2571" t="s">
        <v>6150</v>
      </c>
      <c r="C138" s="2571"/>
      <c r="D138" s="2571"/>
      <c r="E138" s="2571"/>
      <c r="F138" s="2571" t="s">
        <v>588</v>
      </c>
      <c r="G138" s="2571"/>
      <c r="H138" s="2571"/>
      <c r="I138" s="2571"/>
      <c r="J138" s="2571" t="s">
        <v>7316</v>
      </c>
      <c r="K138" s="2571"/>
      <c r="L138" s="2571"/>
      <c r="M138" s="2571"/>
      <c r="N138" s="2571"/>
      <c r="O138" s="2571"/>
      <c r="P138" s="2571"/>
    </row>
    <row r="139" spans="1:16" x14ac:dyDescent="0.25">
      <c r="A139" s="2217"/>
      <c r="B139" s="2572" t="s">
        <v>6151</v>
      </c>
      <c r="C139" s="2572"/>
      <c r="D139" s="2572"/>
      <c r="E139" s="2572"/>
      <c r="F139" s="2572" t="s">
        <v>6399</v>
      </c>
      <c r="G139" s="2572"/>
      <c r="H139" s="2572"/>
      <c r="I139" s="2572"/>
      <c r="J139" s="2572" t="s">
        <v>588</v>
      </c>
      <c r="K139" s="2572"/>
      <c r="L139" s="2572"/>
      <c r="M139" s="2572"/>
      <c r="N139" s="2572"/>
      <c r="O139" s="2572"/>
      <c r="P139" s="2572"/>
    </row>
    <row r="140" spans="1:16" x14ac:dyDescent="0.25">
      <c r="A140" s="2217"/>
      <c r="B140" s="2572" t="s">
        <v>6152</v>
      </c>
      <c r="C140" s="2572"/>
      <c r="D140" s="2572"/>
      <c r="E140" s="2572"/>
      <c r="F140" s="2572" t="s">
        <v>6400</v>
      </c>
      <c r="G140" s="2572"/>
      <c r="H140" s="2572"/>
      <c r="I140" s="2572"/>
      <c r="J140" s="2572" t="s">
        <v>588</v>
      </c>
      <c r="K140" s="2572"/>
      <c r="L140" s="2572"/>
      <c r="M140" s="2572"/>
      <c r="N140" s="2572"/>
      <c r="O140" s="2572"/>
      <c r="P140" s="2572"/>
    </row>
    <row r="141" spans="1:16" x14ac:dyDescent="0.25">
      <c r="A141" s="2217"/>
      <c r="B141" s="2572" t="s">
        <v>6153</v>
      </c>
      <c r="C141" s="2572"/>
      <c r="D141" s="2572"/>
      <c r="E141" s="2572"/>
      <c r="F141" s="2572" t="s">
        <v>7315</v>
      </c>
      <c r="G141" s="2572"/>
      <c r="H141" s="2572"/>
      <c r="I141" s="2572"/>
      <c r="J141" s="2572" t="s">
        <v>588</v>
      </c>
      <c r="K141" s="2572"/>
      <c r="L141" s="2572"/>
      <c r="M141" s="2572"/>
      <c r="N141" s="2572"/>
      <c r="O141" s="2572"/>
      <c r="P141" s="2572"/>
    </row>
    <row r="142" spans="1:16" ht="135.94999999999999" customHeight="1" x14ac:dyDescent="0.25">
      <c r="A142" s="2219" t="s">
        <v>200</v>
      </c>
      <c r="B142" s="2573" t="s">
        <v>6154</v>
      </c>
      <c r="C142" s="2574"/>
      <c r="D142" s="2574"/>
      <c r="E142" s="2574"/>
      <c r="F142" s="2574" t="s">
        <v>6155</v>
      </c>
      <c r="G142" s="2574"/>
      <c r="H142" s="2574"/>
      <c r="I142" s="2574"/>
      <c r="J142" s="2574" t="s">
        <v>7314</v>
      </c>
      <c r="K142" s="2574"/>
      <c r="L142" s="2574"/>
      <c r="M142" s="2575">
        <f>ROUND((317900 + 26279 * 100) * 1 * 1.53 * 0.4 * (0.2) * 1.23667, 0)</f>
        <v>445901</v>
      </c>
      <c r="N142" s="2574"/>
      <c r="O142" s="2574" t="s">
        <v>7703</v>
      </c>
      <c r="P142" s="2574"/>
    </row>
    <row r="143" spans="1:16" x14ac:dyDescent="0.25">
      <c r="A143" s="2218"/>
      <c r="B143" s="2571" t="s">
        <v>4168</v>
      </c>
      <c r="C143" s="2571"/>
      <c r="D143" s="2571"/>
      <c r="E143" s="2571"/>
      <c r="F143" s="2571" t="s">
        <v>588</v>
      </c>
      <c r="G143" s="2571"/>
      <c r="H143" s="2571"/>
      <c r="I143" s="2571"/>
      <c r="J143" s="2571" t="s">
        <v>588</v>
      </c>
      <c r="K143" s="2571"/>
      <c r="L143" s="2571"/>
      <c r="M143" s="2571"/>
      <c r="N143" s="2571"/>
      <c r="O143" s="2571"/>
      <c r="P143" s="2571"/>
    </row>
    <row r="144" spans="1:16" x14ac:dyDescent="0.25">
      <c r="A144" s="2217"/>
      <c r="B144" s="2572" t="s">
        <v>6142</v>
      </c>
      <c r="C144" s="2572"/>
      <c r="D144" s="2572"/>
      <c r="E144" s="2572"/>
      <c r="F144" s="2572" t="s">
        <v>6156</v>
      </c>
      <c r="G144" s="2572"/>
      <c r="H144" s="2572"/>
      <c r="I144" s="2572"/>
      <c r="J144" s="2572" t="s">
        <v>588</v>
      </c>
      <c r="K144" s="2572"/>
      <c r="L144" s="2572"/>
      <c r="M144" s="2572"/>
      <c r="N144" s="2572"/>
      <c r="O144" s="2572"/>
      <c r="P144" s="2572"/>
    </row>
    <row r="145" spans="1:16" ht="40.9" customHeight="1" x14ac:dyDescent="0.25">
      <c r="A145" s="2217"/>
      <c r="B145" s="2572" t="s">
        <v>6401</v>
      </c>
      <c r="C145" s="2572"/>
      <c r="D145" s="2572"/>
      <c r="E145" s="2572"/>
      <c r="F145" s="2572" t="s">
        <v>6402</v>
      </c>
      <c r="G145" s="2572"/>
      <c r="H145" s="2572"/>
      <c r="I145" s="2572"/>
      <c r="J145" s="2572" t="s">
        <v>588</v>
      </c>
      <c r="K145" s="2572"/>
      <c r="L145" s="2572"/>
      <c r="M145" s="2572"/>
      <c r="N145" s="2572"/>
      <c r="O145" s="2572"/>
      <c r="P145" s="2572"/>
    </row>
    <row r="146" spans="1:16" ht="54.4" customHeight="1" x14ac:dyDescent="0.25">
      <c r="A146" s="2217"/>
      <c r="B146" s="2572" t="s">
        <v>6157</v>
      </c>
      <c r="C146" s="2572"/>
      <c r="D146" s="2572"/>
      <c r="E146" s="2572"/>
      <c r="F146" s="2572" t="s">
        <v>6158</v>
      </c>
      <c r="G146" s="2572"/>
      <c r="H146" s="2572"/>
      <c r="I146" s="2572"/>
      <c r="J146" s="2572" t="s">
        <v>588</v>
      </c>
      <c r="K146" s="2572"/>
      <c r="L146" s="2572"/>
      <c r="M146" s="2572"/>
      <c r="N146" s="2572"/>
      <c r="O146" s="2572"/>
      <c r="P146" s="2572"/>
    </row>
    <row r="147" spans="1:16" ht="149.65" customHeight="1" x14ac:dyDescent="0.25">
      <c r="A147" s="2217"/>
      <c r="B147" s="2572" t="s">
        <v>6148</v>
      </c>
      <c r="C147" s="2572"/>
      <c r="D147" s="2572"/>
      <c r="E147" s="2572"/>
      <c r="F147" s="2572" t="s">
        <v>6159</v>
      </c>
      <c r="G147" s="2572"/>
      <c r="H147" s="2572"/>
      <c r="I147" s="2572"/>
      <c r="J147" s="2572" t="s">
        <v>588</v>
      </c>
      <c r="K147" s="2572"/>
      <c r="L147" s="2572"/>
      <c r="M147" s="2572"/>
      <c r="N147" s="2572"/>
      <c r="O147" s="2572"/>
      <c r="P147" s="2572"/>
    </row>
    <row r="148" spans="1:16" ht="54.4" customHeight="1" x14ac:dyDescent="0.25">
      <c r="A148" s="2218"/>
      <c r="B148" s="2571" t="s">
        <v>6150</v>
      </c>
      <c r="C148" s="2571"/>
      <c r="D148" s="2571"/>
      <c r="E148" s="2571"/>
      <c r="F148" s="2571" t="s">
        <v>588</v>
      </c>
      <c r="G148" s="2571"/>
      <c r="H148" s="2571"/>
      <c r="I148" s="2571"/>
      <c r="J148" s="2571" t="s">
        <v>7313</v>
      </c>
      <c r="K148" s="2571"/>
      <c r="L148" s="2571"/>
      <c r="M148" s="2571"/>
      <c r="N148" s="2571"/>
      <c r="O148" s="2571"/>
      <c r="P148" s="2571"/>
    </row>
    <row r="149" spans="1:16" x14ac:dyDescent="0.25">
      <c r="A149" s="2217"/>
      <c r="B149" s="2572" t="s">
        <v>6160</v>
      </c>
      <c r="C149" s="2572"/>
      <c r="D149" s="2572"/>
      <c r="E149" s="2572"/>
      <c r="F149" s="2572" t="s">
        <v>6403</v>
      </c>
      <c r="G149" s="2572"/>
      <c r="H149" s="2572"/>
      <c r="I149" s="2572"/>
      <c r="J149" s="2572" t="s">
        <v>588</v>
      </c>
      <c r="K149" s="2572"/>
      <c r="L149" s="2572"/>
      <c r="M149" s="2572"/>
      <c r="N149" s="2572"/>
      <c r="O149" s="2572"/>
      <c r="P149" s="2572"/>
    </row>
    <row r="150" spans="1:16" ht="27.2" customHeight="1" x14ac:dyDescent="0.25">
      <c r="A150" s="2217"/>
      <c r="B150" s="2572" t="s">
        <v>6161</v>
      </c>
      <c r="C150" s="2572"/>
      <c r="D150" s="2572"/>
      <c r="E150" s="2572"/>
      <c r="F150" s="2572" t="s">
        <v>6404</v>
      </c>
      <c r="G150" s="2572"/>
      <c r="H150" s="2572"/>
      <c r="I150" s="2572"/>
      <c r="J150" s="2572" t="s">
        <v>588</v>
      </c>
      <c r="K150" s="2572"/>
      <c r="L150" s="2572"/>
      <c r="M150" s="2572"/>
      <c r="N150" s="2572"/>
      <c r="O150" s="2572"/>
      <c r="P150" s="2572"/>
    </row>
    <row r="151" spans="1:16" x14ac:dyDescent="0.25">
      <c r="A151" s="2217"/>
      <c r="B151" s="2572" t="s">
        <v>6162</v>
      </c>
      <c r="C151" s="2572"/>
      <c r="D151" s="2572"/>
      <c r="E151" s="2572"/>
      <c r="F151" s="2572" t="s">
        <v>6405</v>
      </c>
      <c r="G151" s="2572"/>
      <c r="H151" s="2572"/>
      <c r="I151" s="2572"/>
      <c r="J151" s="2572" t="s">
        <v>588</v>
      </c>
      <c r="K151" s="2572"/>
      <c r="L151" s="2572"/>
      <c r="M151" s="2572"/>
      <c r="N151" s="2572"/>
      <c r="O151" s="2572"/>
      <c r="P151" s="2572"/>
    </row>
    <row r="152" spans="1:16" ht="27.2" customHeight="1" x14ac:dyDescent="0.25">
      <c r="A152" s="2217"/>
      <c r="B152" s="2572" t="s">
        <v>6163</v>
      </c>
      <c r="C152" s="2572"/>
      <c r="D152" s="2572"/>
      <c r="E152" s="2572"/>
      <c r="F152" s="2572" t="s">
        <v>6406</v>
      </c>
      <c r="G152" s="2572"/>
      <c r="H152" s="2572"/>
      <c r="I152" s="2572"/>
      <c r="J152" s="2572" t="s">
        <v>588</v>
      </c>
      <c r="K152" s="2572"/>
      <c r="L152" s="2572"/>
      <c r="M152" s="2572"/>
      <c r="N152" s="2572"/>
      <c r="O152" s="2572"/>
      <c r="P152" s="2572"/>
    </row>
    <row r="153" spans="1:16" ht="27.2" customHeight="1" x14ac:dyDescent="0.25">
      <c r="A153" s="2217"/>
      <c r="B153" s="2572" t="s">
        <v>6164</v>
      </c>
      <c r="C153" s="2572"/>
      <c r="D153" s="2572"/>
      <c r="E153" s="2572"/>
      <c r="F153" s="2572" t="s">
        <v>6407</v>
      </c>
      <c r="G153" s="2572"/>
      <c r="H153" s="2572"/>
      <c r="I153" s="2572"/>
      <c r="J153" s="2572" t="s">
        <v>588</v>
      </c>
      <c r="K153" s="2572"/>
      <c r="L153" s="2572"/>
      <c r="M153" s="2572"/>
      <c r="N153" s="2572"/>
      <c r="O153" s="2572"/>
      <c r="P153" s="2572"/>
    </row>
    <row r="154" spans="1:16" x14ac:dyDescent="0.25">
      <c r="A154" s="2217"/>
      <c r="B154" s="2572" t="s">
        <v>6165</v>
      </c>
      <c r="C154" s="2572"/>
      <c r="D154" s="2572"/>
      <c r="E154" s="2572"/>
      <c r="F154" s="2572" t="s">
        <v>6408</v>
      </c>
      <c r="G154" s="2572"/>
      <c r="H154" s="2572"/>
      <c r="I154" s="2572"/>
      <c r="J154" s="2572" t="s">
        <v>588</v>
      </c>
      <c r="K154" s="2572"/>
      <c r="L154" s="2572"/>
      <c r="M154" s="2572"/>
      <c r="N154" s="2572"/>
      <c r="O154" s="2572"/>
      <c r="P154" s="2572"/>
    </row>
    <row r="155" spans="1:16" x14ac:dyDescent="0.25">
      <c r="A155" s="2217"/>
      <c r="B155" s="2572" t="s">
        <v>6166</v>
      </c>
      <c r="C155" s="2572"/>
      <c r="D155" s="2572"/>
      <c r="E155" s="2572"/>
      <c r="F155" s="2572" t="s">
        <v>6409</v>
      </c>
      <c r="G155" s="2572"/>
      <c r="H155" s="2572"/>
      <c r="I155" s="2572"/>
      <c r="J155" s="2572" t="s">
        <v>588</v>
      </c>
      <c r="K155" s="2572"/>
      <c r="L155" s="2572"/>
      <c r="M155" s="2572"/>
      <c r="N155" s="2572"/>
      <c r="O155" s="2572"/>
      <c r="P155" s="2572"/>
    </row>
    <row r="156" spans="1:16" x14ac:dyDescent="0.25">
      <c r="A156" s="2217"/>
      <c r="B156" s="2572" t="s">
        <v>6167</v>
      </c>
      <c r="C156" s="2572"/>
      <c r="D156" s="2572"/>
      <c r="E156" s="2572"/>
      <c r="F156" s="2572" t="s">
        <v>6410</v>
      </c>
      <c r="G156" s="2572"/>
      <c r="H156" s="2572"/>
      <c r="I156" s="2572"/>
      <c r="J156" s="2572" t="s">
        <v>588</v>
      </c>
      <c r="K156" s="2572"/>
      <c r="L156" s="2572"/>
      <c r="M156" s="2572"/>
      <c r="N156" s="2572"/>
      <c r="O156" s="2572"/>
      <c r="P156" s="2572"/>
    </row>
    <row r="157" spans="1:16" ht="27.2" customHeight="1" x14ac:dyDescent="0.25">
      <c r="A157" s="2217"/>
      <c r="B157" s="2572" t="s">
        <v>6168</v>
      </c>
      <c r="C157" s="2572"/>
      <c r="D157" s="2572"/>
      <c r="E157" s="2572"/>
      <c r="F157" s="2572" t="s">
        <v>7312</v>
      </c>
      <c r="G157" s="2572"/>
      <c r="H157" s="2572"/>
      <c r="I157" s="2572"/>
      <c r="J157" s="2572" t="s">
        <v>588</v>
      </c>
      <c r="K157" s="2572"/>
      <c r="L157" s="2572"/>
      <c r="M157" s="2572"/>
      <c r="N157" s="2572"/>
      <c r="O157" s="2572"/>
      <c r="P157" s="2572"/>
    </row>
    <row r="158" spans="1:16" ht="135.94999999999999" customHeight="1" x14ac:dyDescent="0.25">
      <c r="A158" s="2219" t="s">
        <v>203</v>
      </c>
      <c r="B158" s="2573" t="s">
        <v>7219</v>
      </c>
      <c r="C158" s="2574"/>
      <c r="D158" s="2574"/>
      <c r="E158" s="2574"/>
      <c r="F158" s="2574" t="s">
        <v>7218</v>
      </c>
      <c r="G158" s="2574"/>
      <c r="H158" s="2574"/>
      <c r="I158" s="2574"/>
      <c r="J158" s="2574" t="s">
        <v>7217</v>
      </c>
      <c r="K158" s="2574"/>
      <c r="L158" s="2574"/>
      <c r="M158" s="2575">
        <f>ROUND((1806400 + 15204 * 300) * 1 * 1.53 * 0.4 * 1.24, 0)</f>
        <v>4832244</v>
      </c>
      <c r="N158" s="2574"/>
      <c r="O158" s="2574" t="s">
        <v>588</v>
      </c>
      <c r="P158" s="2574"/>
    </row>
    <row r="159" spans="1:16" x14ac:dyDescent="0.25">
      <c r="A159" s="2218"/>
      <c r="B159" s="2571" t="s">
        <v>4168</v>
      </c>
      <c r="C159" s="2571"/>
      <c r="D159" s="2571"/>
      <c r="E159" s="2571"/>
      <c r="F159" s="2571" t="s">
        <v>588</v>
      </c>
      <c r="G159" s="2571"/>
      <c r="H159" s="2571"/>
      <c r="I159" s="2571"/>
      <c r="J159" s="2571" t="s">
        <v>588</v>
      </c>
      <c r="K159" s="2571"/>
      <c r="L159" s="2571"/>
      <c r="M159" s="2571"/>
      <c r="N159" s="2571"/>
      <c r="O159" s="2571"/>
      <c r="P159" s="2571"/>
    </row>
    <row r="160" spans="1:16" x14ac:dyDescent="0.25">
      <c r="A160" s="2217"/>
      <c r="B160" s="2572" t="s">
        <v>6142</v>
      </c>
      <c r="C160" s="2572"/>
      <c r="D160" s="2572"/>
      <c r="E160" s="2572"/>
      <c r="F160" s="2572" t="s">
        <v>6156</v>
      </c>
      <c r="G160" s="2572"/>
      <c r="H160" s="2572"/>
      <c r="I160" s="2572"/>
      <c r="J160" s="2572" t="s">
        <v>588</v>
      </c>
      <c r="K160" s="2572"/>
      <c r="L160" s="2572"/>
      <c r="M160" s="2572"/>
      <c r="N160" s="2572"/>
      <c r="O160" s="2572"/>
      <c r="P160" s="2572"/>
    </row>
    <row r="161" spans="1:16" ht="40.9" customHeight="1" x14ac:dyDescent="0.25">
      <c r="A161" s="2217"/>
      <c r="B161" s="2572" t="s">
        <v>6401</v>
      </c>
      <c r="C161" s="2572"/>
      <c r="D161" s="2572"/>
      <c r="E161" s="2572"/>
      <c r="F161" s="2572" t="s">
        <v>6402</v>
      </c>
      <c r="G161" s="2572"/>
      <c r="H161" s="2572"/>
      <c r="I161" s="2572"/>
      <c r="J161" s="2572" t="s">
        <v>588</v>
      </c>
      <c r="K161" s="2572"/>
      <c r="L161" s="2572"/>
      <c r="M161" s="2572"/>
      <c r="N161" s="2572"/>
      <c r="O161" s="2572"/>
      <c r="P161" s="2572"/>
    </row>
    <row r="162" spans="1:16" ht="149.65" customHeight="1" x14ac:dyDescent="0.25">
      <c r="A162" s="2217"/>
      <c r="B162" s="2572" t="s">
        <v>6148</v>
      </c>
      <c r="C162" s="2572"/>
      <c r="D162" s="2572"/>
      <c r="E162" s="2572"/>
      <c r="F162" s="2572" t="s">
        <v>7216</v>
      </c>
      <c r="G162" s="2572"/>
      <c r="H162" s="2572"/>
      <c r="I162" s="2572"/>
      <c r="J162" s="2572" t="s">
        <v>588</v>
      </c>
      <c r="K162" s="2572"/>
      <c r="L162" s="2572"/>
      <c r="M162" s="2572"/>
      <c r="N162" s="2572"/>
      <c r="O162" s="2572"/>
      <c r="P162" s="2572"/>
    </row>
    <row r="163" spans="1:16" ht="54.4" customHeight="1" x14ac:dyDescent="0.25">
      <c r="A163" s="2218"/>
      <c r="B163" s="2571" t="s">
        <v>6150</v>
      </c>
      <c r="C163" s="2571"/>
      <c r="D163" s="2571"/>
      <c r="E163" s="2571"/>
      <c r="F163" s="2571" t="s">
        <v>588</v>
      </c>
      <c r="G163" s="2571"/>
      <c r="H163" s="2571"/>
      <c r="I163" s="2571"/>
      <c r="J163" s="2571" t="s">
        <v>7215</v>
      </c>
      <c r="K163" s="2571"/>
      <c r="L163" s="2571"/>
      <c r="M163" s="2571"/>
      <c r="N163" s="2571"/>
      <c r="O163" s="2571"/>
      <c r="P163" s="2571"/>
    </row>
    <row r="164" spans="1:16" x14ac:dyDescent="0.25">
      <c r="A164" s="2217"/>
      <c r="B164" s="2572" t="s">
        <v>6160</v>
      </c>
      <c r="C164" s="2572"/>
      <c r="D164" s="2572"/>
      <c r="E164" s="2572"/>
      <c r="F164" s="2572" t="s">
        <v>7214</v>
      </c>
      <c r="G164" s="2572"/>
      <c r="H164" s="2572"/>
      <c r="I164" s="2572"/>
      <c r="J164" s="2572" t="s">
        <v>588</v>
      </c>
      <c r="K164" s="2572"/>
      <c r="L164" s="2572"/>
      <c r="M164" s="2572"/>
      <c r="N164" s="2572"/>
      <c r="O164" s="2572"/>
      <c r="P164" s="2572"/>
    </row>
    <row r="165" spans="1:16" ht="27.2" customHeight="1" x14ac:dyDescent="0.25">
      <c r="A165" s="2217"/>
      <c r="B165" s="2572" t="s">
        <v>6161</v>
      </c>
      <c r="C165" s="2572"/>
      <c r="D165" s="2572"/>
      <c r="E165" s="2572"/>
      <c r="F165" s="2572" t="s">
        <v>7213</v>
      </c>
      <c r="G165" s="2572"/>
      <c r="H165" s="2572"/>
      <c r="I165" s="2572"/>
      <c r="J165" s="2572" t="s">
        <v>588</v>
      </c>
      <c r="K165" s="2572"/>
      <c r="L165" s="2572"/>
      <c r="M165" s="2572"/>
      <c r="N165" s="2572"/>
      <c r="O165" s="2572"/>
      <c r="P165" s="2572"/>
    </row>
    <row r="166" spans="1:16" x14ac:dyDescent="0.25">
      <c r="A166" s="2217"/>
      <c r="B166" s="2572" t="s">
        <v>6162</v>
      </c>
      <c r="C166" s="2572"/>
      <c r="D166" s="2572"/>
      <c r="E166" s="2572"/>
      <c r="F166" s="2572" t="s">
        <v>7212</v>
      </c>
      <c r="G166" s="2572"/>
      <c r="H166" s="2572"/>
      <c r="I166" s="2572"/>
      <c r="J166" s="2572" t="s">
        <v>588</v>
      </c>
      <c r="K166" s="2572"/>
      <c r="L166" s="2572"/>
      <c r="M166" s="2572"/>
      <c r="N166" s="2572"/>
      <c r="O166" s="2572"/>
      <c r="P166" s="2572"/>
    </row>
    <row r="167" spans="1:16" ht="27.2" customHeight="1" x14ac:dyDescent="0.25">
      <c r="A167" s="2217"/>
      <c r="B167" s="2572" t="s">
        <v>6163</v>
      </c>
      <c r="C167" s="2572"/>
      <c r="D167" s="2572"/>
      <c r="E167" s="2572"/>
      <c r="F167" s="2572" t="s">
        <v>7211</v>
      </c>
      <c r="G167" s="2572"/>
      <c r="H167" s="2572"/>
      <c r="I167" s="2572"/>
      <c r="J167" s="2572" t="s">
        <v>588</v>
      </c>
      <c r="K167" s="2572"/>
      <c r="L167" s="2572"/>
      <c r="M167" s="2572"/>
      <c r="N167" s="2572"/>
      <c r="O167" s="2572"/>
      <c r="P167" s="2572"/>
    </row>
    <row r="168" spans="1:16" ht="27.2" customHeight="1" x14ac:dyDescent="0.25">
      <c r="A168" s="2217"/>
      <c r="B168" s="2572" t="s">
        <v>6164</v>
      </c>
      <c r="C168" s="2572"/>
      <c r="D168" s="2572"/>
      <c r="E168" s="2572"/>
      <c r="F168" s="2572" t="s">
        <v>7210</v>
      </c>
      <c r="G168" s="2572"/>
      <c r="H168" s="2572"/>
      <c r="I168" s="2572"/>
      <c r="J168" s="2572" t="s">
        <v>588</v>
      </c>
      <c r="K168" s="2572"/>
      <c r="L168" s="2572"/>
      <c r="M168" s="2572"/>
      <c r="N168" s="2572"/>
      <c r="O168" s="2572"/>
      <c r="P168" s="2572"/>
    </row>
    <row r="169" spans="1:16" x14ac:dyDescent="0.25">
      <c r="A169" s="2217"/>
      <c r="B169" s="2572" t="s">
        <v>6165</v>
      </c>
      <c r="C169" s="2572"/>
      <c r="D169" s="2572"/>
      <c r="E169" s="2572"/>
      <c r="F169" s="2572" t="s">
        <v>7209</v>
      </c>
      <c r="G169" s="2572"/>
      <c r="H169" s="2572"/>
      <c r="I169" s="2572"/>
      <c r="J169" s="2572" t="s">
        <v>588</v>
      </c>
      <c r="K169" s="2572"/>
      <c r="L169" s="2572"/>
      <c r="M169" s="2572"/>
      <c r="N169" s="2572"/>
      <c r="O169" s="2572"/>
      <c r="P169" s="2572"/>
    </row>
    <row r="170" spans="1:16" x14ac:dyDescent="0.25">
      <c r="A170" s="2217"/>
      <c r="B170" s="2572" t="s">
        <v>6166</v>
      </c>
      <c r="C170" s="2572"/>
      <c r="D170" s="2572"/>
      <c r="E170" s="2572"/>
      <c r="F170" s="2572" t="s">
        <v>7208</v>
      </c>
      <c r="G170" s="2572"/>
      <c r="H170" s="2572"/>
      <c r="I170" s="2572"/>
      <c r="J170" s="2572" t="s">
        <v>588</v>
      </c>
      <c r="K170" s="2572"/>
      <c r="L170" s="2572"/>
      <c r="M170" s="2572"/>
      <c r="N170" s="2572"/>
      <c r="O170" s="2572"/>
      <c r="P170" s="2572"/>
    </row>
    <row r="171" spans="1:16" x14ac:dyDescent="0.25">
      <c r="A171" s="2217"/>
      <c r="B171" s="2572" t="s">
        <v>6167</v>
      </c>
      <c r="C171" s="2572"/>
      <c r="D171" s="2572"/>
      <c r="E171" s="2572"/>
      <c r="F171" s="2572" t="s">
        <v>7207</v>
      </c>
      <c r="G171" s="2572"/>
      <c r="H171" s="2572"/>
      <c r="I171" s="2572"/>
      <c r="J171" s="2572" t="s">
        <v>588</v>
      </c>
      <c r="K171" s="2572"/>
      <c r="L171" s="2572"/>
      <c r="M171" s="2572"/>
      <c r="N171" s="2572"/>
      <c r="O171" s="2572"/>
      <c r="P171" s="2572"/>
    </row>
    <row r="172" spans="1:16" ht="27.2" customHeight="1" x14ac:dyDescent="0.25">
      <c r="A172" s="2217"/>
      <c r="B172" s="2572" t="s">
        <v>6168</v>
      </c>
      <c r="C172" s="2572"/>
      <c r="D172" s="2572"/>
      <c r="E172" s="2572"/>
      <c r="F172" s="2572" t="s">
        <v>7206</v>
      </c>
      <c r="G172" s="2572"/>
      <c r="H172" s="2572"/>
      <c r="I172" s="2572"/>
      <c r="J172" s="2572" t="s">
        <v>588</v>
      </c>
      <c r="K172" s="2572"/>
      <c r="L172" s="2572"/>
      <c r="M172" s="2572"/>
      <c r="N172" s="2572"/>
      <c r="O172" s="2572"/>
      <c r="P172" s="2572"/>
    </row>
    <row r="173" spans="1:16" x14ac:dyDescent="0.25">
      <c r="A173" s="2216" t="s">
        <v>4199</v>
      </c>
      <c r="B173" s="2568" t="s">
        <v>6169</v>
      </c>
      <c r="C173" s="2568"/>
      <c r="D173" s="2568"/>
      <c r="E173" s="2568"/>
      <c r="F173" s="2568"/>
      <c r="G173" s="2568"/>
      <c r="H173" s="2568"/>
      <c r="I173" s="2568"/>
      <c r="J173" s="2568" t="s">
        <v>588</v>
      </c>
      <c r="K173" s="2568"/>
      <c r="L173" s="2568"/>
      <c r="M173" s="2569">
        <f>ROUND(SUM($M$133:$M$158),0)</f>
        <v>5322659</v>
      </c>
      <c r="N173" s="2568"/>
      <c r="O173" s="2568"/>
      <c r="P173" s="2568"/>
    </row>
    <row r="174" spans="1:16" x14ac:dyDescent="0.25">
      <c r="A174" s="2216" t="s">
        <v>4203</v>
      </c>
      <c r="B174" s="2568" t="s">
        <v>6170</v>
      </c>
      <c r="C174" s="2568"/>
      <c r="D174" s="2568"/>
      <c r="E174" s="2568"/>
      <c r="F174" s="2568"/>
      <c r="G174" s="2568"/>
      <c r="H174" s="2568"/>
      <c r="I174" s="2568"/>
      <c r="J174" s="2568" t="s">
        <v>588</v>
      </c>
      <c r="K174" s="2568"/>
      <c r="L174" s="2568"/>
      <c r="M174" s="2569">
        <f>ROUND(($M$173),0)</f>
        <v>5322659</v>
      </c>
      <c r="N174" s="2568"/>
      <c r="O174" s="2568"/>
      <c r="P174" s="2568"/>
    </row>
    <row r="175" spans="1:16" x14ac:dyDescent="0.25">
      <c r="A175" s="2216" t="s">
        <v>640</v>
      </c>
      <c r="B175" s="2568" t="s">
        <v>6145</v>
      </c>
      <c r="C175" s="2568"/>
      <c r="D175" s="2568"/>
      <c r="E175" s="2568"/>
      <c r="F175" s="2568" t="s">
        <v>6171</v>
      </c>
      <c r="G175" s="2568"/>
      <c r="H175" s="2568"/>
      <c r="I175" s="2568"/>
      <c r="J175" s="2568"/>
      <c r="K175" s="2568"/>
      <c r="L175" s="2568"/>
      <c r="M175" s="2568"/>
      <c r="N175" s="2568"/>
      <c r="O175" s="2568"/>
      <c r="P175" s="2568"/>
    </row>
    <row r="176" spans="1:16" ht="122.45" customHeight="1" x14ac:dyDescent="0.25">
      <c r="A176" s="2219" t="s">
        <v>240</v>
      </c>
      <c r="B176" s="2573" t="s">
        <v>6172</v>
      </c>
      <c r="C176" s="2574"/>
      <c r="D176" s="2574"/>
      <c r="E176" s="2574"/>
      <c r="F176" s="2574" t="s">
        <v>6173</v>
      </c>
      <c r="G176" s="2574"/>
      <c r="H176" s="2574"/>
      <c r="I176" s="2574"/>
      <c r="J176" s="2574" t="s">
        <v>7311</v>
      </c>
      <c r="K176" s="2574"/>
      <c r="L176" s="2574"/>
      <c r="M176" s="2575">
        <f>ROUND(1622600 * 1 * 1.38 * 0.4 * 0.47 * 1.22069, 0)</f>
        <v>513871</v>
      </c>
      <c r="N176" s="2574"/>
      <c r="O176" s="2574" t="s">
        <v>588</v>
      </c>
      <c r="P176" s="2574"/>
    </row>
    <row r="177" spans="1:16" x14ac:dyDescent="0.25">
      <c r="A177" s="2218"/>
      <c r="B177" s="2571" t="s">
        <v>4168</v>
      </c>
      <c r="C177" s="2571"/>
      <c r="D177" s="2571"/>
      <c r="E177" s="2571"/>
      <c r="F177" s="2571" t="s">
        <v>588</v>
      </c>
      <c r="G177" s="2571"/>
      <c r="H177" s="2571"/>
      <c r="I177" s="2571"/>
      <c r="J177" s="2571" t="s">
        <v>588</v>
      </c>
      <c r="K177" s="2571"/>
      <c r="L177" s="2571"/>
      <c r="M177" s="2571"/>
      <c r="N177" s="2571"/>
      <c r="O177" s="2571"/>
      <c r="P177" s="2571"/>
    </row>
    <row r="178" spans="1:16" x14ac:dyDescent="0.25">
      <c r="A178" s="2217"/>
      <c r="B178" s="2572" t="s">
        <v>6142</v>
      </c>
      <c r="C178" s="2572"/>
      <c r="D178" s="2572"/>
      <c r="E178" s="2572"/>
      <c r="F178" s="2572" t="s">
        <v>6156</v>
      </c>
      <c r="G178" s="2572"/>
      <c r="H178" s="2572"/>
      <c r="I178" s="2572"/>
      <c r="J178" s="2572" t="s">
        <v>588</v>
      </c>
      <c r="K178" s="2572"/>
      <c r="L178" s="2572"/>
      <c r="M178" s="2572"/>
      <c r="N178" s="2572"/>
      <c r="O178" s="2572"/>
      <c r="P178" s="2572"/>
    </row>
    <row r="179" spans="1:16" ht="40.9" customHeight="1" x14ac:dyDescent="0.25">
      <c r="A179" s="2217"/>
      <c r="B179" s="2572" t="s">
        <v>6411</v>
      </c>
      <c r="C179" s="2572"/>
      <c r="D179" s="2572"/>
      <c r="E179" s="2572"/>
      <c r="F179" s="2572" t="s">
        <v>6412</v>
      </c>
      <c r="G179" s="2572"/>
      <c r="H179" s="2572"/>
      <c r="I179" s="2572"/>
      <c r="J179" s="2572" t="s">
        <v>588</v>
      </c>
      <c r="K179" s="2572"/>
      <c r="L179" s="2572"/>
      <c r="M179" s="2572"/>
      <c r="N179" s="2572"/>
      <c r="O179" s="2572"/>
      <c r="P179" s="2572"/>
    </row>
    <row r="180" spans="1:16" ht="81.599999999999994" customHeight="1" x14ac:dyDescent="0.25">
      <c r="A180" s="2217"/>
      <c r="B180" s="2572" t="s">
        <v>6174</v>
      </c>
      <c r="C180" s="2572"/>
      <c r="D180" s="2572"/>
      <c r="E180" s="2572"/>
      <c r="F180" s="2572" t="s">
        <v>6175</v>
      </c>
      <c r="G180" s="2572"/>
      <c r="H180" s="2572"/>
      <c r="I180" s="2572"/>
      <c r="J180" s="2572" t="s">
        <v>588</v>
      </c>
      <c r="K180" s="2572"/>
      <c r="L180" s="2572"/>
      <c r="M180" s="2572"/>
      <c r="N180" s="2572"/>
      <c r="O180" s="2572"/>
      <c r="P180" s="2572"/>
    </row>
    <row r="181" spans="1:16" ht="149.65" customHeight="1" x14ac:dyDescent="0.25">
      <c r="A181" s="2217"/>
      <c r="B181" s="2572" t="s">
        <v>6148</v>
      </c>
      <c r="C181" s="2572"/>
      <c r="D181" s="2572"/>
      <c r="E181" s="2572"/>
      <c r="F181" s="2572" t="s">
        <v>6176</v>
      </c>
      <c r="G181" s="2572"/>
      <c r="H181" s="2572"/>
      <c r="I181" s="2572"/>
      <c r="J181" s="2572" t="s">
        <v>588</v>
      </c>
      <c r="K181" s="2572"/>
      <c r="L181" s="2572"/>
      <c r="M181" s="2572"/>
      <c r="N181" s="2572"/>
      <c r="O181" s="2572"/>
      <c r="P181" s="2572"/>
    </row>
    <row r="182" spans="1:16" ht="81.599999999999994" customHeight="1" x14ac:dyDescent="0.25">
      <c r="A182" s="2218"/>
      <c r="B182" s="2571" t="s">
        <v>6150</v>
      </c>
      <c r="C182" s="2571"/>
      <c r="D182" s="2571"/>
      <c r="E182" s="2571"/>
      <c r="F182" s="2571" t="s">
        <v>588</v>
      </c>
      <c r="G182" s="2571"/>
      <c r="H182" s="2571"/>
      <c r="I182" s="2571"/>
      <c r="J182" s="2571" t="s">
        <v>7310</v>
      </c>
      <c r="K182" s="2571"/>
      <c r="L182" s="2571"/>
      <c r="M182" s="2571"/>
      <c r="N182" s="2571"/>
      <c r="O182" s="2571"/>
      <c r="P182" s="2571"/>
    </row>
    <row r="183" spans="1:16" x14ac:dyDescent="0.25">
      <c r="A183" s="2217"/>
      <c r="B183" s="2572" t="s">
        <v>6160</v>
      </c>
      <c r="C183" s="2572"/>
      <c r="D183" s="2572"/>
      <c r="E183" s="2572"/>
      <c r="F183" s="2572" t="s">
        <v>6413</v>
      </c>
      <c r="G183" s="2572"/>
      <c r="H183" s="2572"/>
      <c r="I183" s="2572"/>
      <c r="J183" s="2572" t="s">
        <v>588</v>
      </c>
      <c r="K183" s="2572"/>
      <c r="L183" s="2572"/>
      <c r="M183" s="2572"/>
      <c r="N183" s="2572"/>
      <c r="O183" s="2572"/>
      <c r="P183" s="2572"/>
    </row>
    <row r="184" spans="1:16" x14ac:dyDescent="0.25">
      <c r="A184" s="2217"/>
      <c r="B184" s="2572" t="s">
        <v>6177</v>
      </c>
      <c r="C184" s="2572"/>
      <c r="D184" s="2572"/>
      <c r="E184" s="2572"/>
      <c r="F184" s="2572" t="s">
        <v>6414</v>
      </c>
      <c r="G184" s="2572"/>
      <c r="H184" s="2572"/>
      <c r="I184" s="2572"/>
      <c r="J184" s="2572" t="s">
        <v>588</v>
      </c>
      <c r="K184" s="2572"/>
      <c r="L184" s="2572"/>
      <c r="M184" s="2572"/>
      <c r="N184" s="2572"/>
      <c r="O184" s="2572"/>
      <c r="P184" s="2572"/>
    </row>
    <row r="185" spans="1:16" x14ac:dyDescent="0.25">
      <c r="A185" s="2217"/>
      <c r="B185" s="2572" t="s">
        <v>6178</v>
      </c>
      <c r="C185" s="2572"/>
      <c r="D185" s="2572"/>
      <c r="E185" s="2572"/>
      <c r="F185" s="2572" t="s">
        <v>6415</v>
      </c>
      <c r="G185" s="2572"/>
      <c r="H185" s="2572"/>
      <c r="I185" s="2572"/>
      <c r="J185" s="2572" t="s">
        <v>588</v>
      </c>
      <c r="K185" s="2572"/>
      <c r="L185" s="2572"/>
      <c r="M185" s="2572"/>
      <c r="N185" s="2572"/>
      <c r="O185" s="2572"/>
      <c r="P185" s="2572"/>
    </row>
    <row r="186" spans="1:16" ht="27.2" customHeight="1" x14ac:dyDescent="0.25">
      <c r="A186" s="2217"/>
      <c r="B186" s="2572" t="s">
        <v>6179</v>
      </c>
      <c r="C186" s="2572"/>
      <c r="D186" s="2572"/>
      <c r="E186" s="2572"/>
      <c r="F186" s="2572" t="s">
        <v>6416</v>
      </c>
      <c r="G186" s="2572"/>
      <c r="H186" s="2572"/>
      <c r="I186" s="2572"/>
      <c r="J186" s="2572" t="s">
        <v>588</v>
      </c>
      <c r="K186" s="2572"/>
      <c r="L186" s="2572"/>
      <c r="M186" s="2572"/>
      <c r="N186" s="2572"/>
      <c r="O186" s="2572"/>
      <c r="P186" s="2572"/>
    </row>
    <row r="187" spans="1:16" ht="27.2" customHeight="1" x14ac:dyDescent="0.25">
      <c r="A187" s="2217"/>
      <c r="B187" s="2572" t="s">
        <v>6180</v>
      </c>
      <c r="C187" s="2572"/>
      <c r="D187" s="2572"/>
      <c r="E187" s="2572"/>
      <c r="F187" s="2572" t="s">
        <v>6417</v>
      </c>
      <c r="G187" s="2572"/>
      <c r="H187" s="2572"/>
      <c r="I187" s="2572"/>
      <c r="J187" s="2572" t="s">
        <v>588</v>
      </c>
      <c r="K187" s="2572"/>
      <c r="L187" s="2572"/>
      <c r="M187" s="2572"/>
      <c r="N187" s="2572"/>
      <c r="O187" s="2572"/>
      <c r="P187" s="2572"/>
    </row>
    <row r="188" spans="1:16" ht="27.2" customHeight="1" x14ac:dyDescent="0.25">
      <c r="A188" s="2217"/>
      <c r="B188" s="2572" t="s">
        <v>6181</v>
      </c>
      <c r="C188" s="2572"/>
      <c r="D188" s="2572"/>
      <c r="E188" s="2572"/>
      <c r="F188" s="2572" t="s">
        <v>6416</v>
      </c>
      <c r="G188" s="2572"/>
      <c r="H188" s="2572"/>
      <c r="I188" s="2572"/>
      <c r="J188" s="2572" t="s">
        <v>588</v>
      </c>
      <c r="K188" s="2572"/>
      <c r="L188" s="2572"/>
      <c r="M188" s="2572"/>
      <c r="N188" s="2572"/>
      <c r="O188" s="2572"/>
      <c r="P188" s="2572"/>
    </row>
    <row r="189" spans="1:16" ht="27.2" customHeight="1" x14ac:dyDescent="0.25">
      <c r="A189" s="2217"/>
      <c r="B189" s="2572" t="s">
        <v>6182</v>
      </c>
      <c r="C189" s="2572"/>
      <c r="D189" s="2572"/>
      <c r="E189" s="2572"/>
      <c r="F189" s="2572" t="s">
        <v>6418</v>
      </c>
      <c r="G189" s="2572"/>
      <c r="H189" s="2572"/>
      <c r="I189" s="2572"/>
      <c r="J189" s="2572" t="s">
        <v>588</v>
      </c>
      <c r="K189" s="2572"/>
      <c r="L189" s="2572"/>
      <c r="M189" s="2572"/>
      <c r="N189" s="2572"/>
      <c r="O189" s="2572"/>
      <c r="P189" s="2572"/>
    </row>
    <row r="190" spans="1:16" ht="27.2" customHeight="1" x14ac:dyDescent="0.25">
      <c r="A190" s="2217"/>
      <c r="B190" s="2572" t="s">
        <v>6183</v>
      </c>
      <c r="C190" s="2572"/>
      <c r="D190" s="2572"/>
      <c r="E190" s="2572"/>
      <c r="F190" s="2572" t="s">
        <v>6419</v>
      </c>
      <c r="G190" s="2572"/>
      <c r="H190" s="2572"/>
      <c r="I190" s="2572"/>
      <c r="J190" s="2572" t="s">
        <v>588</v>
      </c>
      <c r="K190" s="2572"/>
      <c r="L190" s="2572"/>
      <c r="M190" s="2572"/>
      <c r="N190" s="2572"/>
      <c r="O190" s="2572"/>
      <c r="P190" s="2572"/>
    </row>
    <row r="191" spans="1:16" x14ac:dyDescent="0.25">
      <c r="A191" s="2217"/>
      <c r="B191" s="2572" t="s">
        <v>6165</v>
      </c>
      <c r="C191" s="2572"/>
      <c r="D191" s="2572"/>
      <c r="E191" s="2572"/>
      <c r="F191" s="2572" t="s">
        <v>6420</v>
      </c>
      <c r="G191" s="2572"/>
      <c r="H191" s="2572"/>
      <c r="I191" s="2572"/>
      <c r="J191" s="2572" t="s">
        <v>588</v>
      </c>
      <c r="K191" s="2572"/>
      <c r="L191" s="2572"/>
      <c r="M191" s="2572"/>
      <c r="N191" s="2572"/>
      <c r="O191" s="2572"/>
      <c r="P191" s="2572"/>
    </row>
    <row r="192" spans="1:16" x14ac:dyDescent="0.25">
      <c r="A192" s="2217"/>
      <c r="B192" s="2572" t="s">
        <v>6184</v>
      </c>
      <c r="C192" s="2572"/>
      <c r="D192" s="2572"/>
      <c r="E192" s="2572"/>
      <c r="F192" s="2572" t="s">
        <v>6421</v>
      </c>
      <c r="G192" s="2572"/>
      <c r="H192" s="2572"/>
      <c r="I192" s="2572"/>
      <c r="J192" s="2572" t="s">
        <v>588</v>
      </c>
      <c r="K192" s="2572"/>
      <c r="L192" s="2572"/>
      <c r="M192" s="2572"/>
      <c r="N192" s="2572"/>
      <c r="O192" s="2572"/>
      <c r="P192" s="2572"/>
    </row>
    <row r="193" spans="1:16" x14ac:dyDescent="0.25">
      <c r="A193" s="2217"/>
      <c r="B193" s="2572" t="s">
        <v>6185</v>
      </c>
      <c r="C193" s="2572"/>
      <c r="D193" s="2572"/>
      <c r="E193" s="2572"/>
      <c r="F193" s="2572" t="s">
        <v>6422</v>
      </c>
      <c r="G193" s="2572"/>
      <c r="H193" s="2572"/>
      <c r="I193" s="2572"/>
      <c r="J193" s="2572" t="s">
        <v>588</v>
      </c>
      <c r="K193" s="2572"/>
      <c r="L193" s="2572"/>
      <c r="M193" s="2572"/>
      <c r="N193" s="2572"/>
      <c r="O193" s="2572"/>
      <c r="P193" s="2572"/>
    </row>
    <row r="194" spans="1:16" ht="27.2" customHeight="1" x14ac:dyDescent="0.25">
      <c r="A194" s="2217"/>
      <c r="B194" s="2572" t="s">
        <v>6186</v>
      </c>
      <c r="C194" s="2572"/>
      <c r="D194" s="2572"/>
      <c r="E194" s="2572"/>
      <c r="F194" s="2572" t="s">
        <v>7309</v>
      </c>
      <c r="G194" s="2572"/>
      <c r="H194" s="2572"/>
      <c r="I194" s="2572"/>
      <c r="J194" s="2572" t="s">
        <v>588</v>
      </c>
      <c r="K194" s="2572"/>
      <c r="L194" s="2572"/>
      <c r="M194" s="2572"/>
      <c r="N194" s="2572"/>
      <c r="O194" s="2572"/>
      <c r="P194" s="2572"/>
    </row>
    <row r="195" spans="1:16" ht="163.15" customHeight="1" x14ac:dyDescent="0.25">
      <c r="A195" s="2219" t="s">
        <v>508</v>
      </c>
      <c r="B195" s="2573" t="s">
        <v>6187</v>
      </c>
      <c r="C195" s="2574"/>
      <c r="D195" s="2574"/>
      <c r="E195" s="2574"/>
      <c r="F195" s="2574" t="s">
        <v>6188</v>
      </c>
      <c r="G195" s="2574"/>
      <c r="H195" s="2574"/>
      <c r="I195" s="2574"/>
      <c r="J195" s="2574" t="s">
        <v>7308</v>
      </c>
      <c r="K195" s="2574"/>
      <c r="L195" s="2574"/>
      <c r="M195" s="2575">
        <f>ROUND(520300 * 1 * 1.38 * 0.4 * 1.08 * 1.2427, 0)</f>
        <v>385463</v>
      </c>
      <c r="N195" s="2574"/>
      <c r="O195" s="2574" t="s">
        <v>588</v>
      </c>
      <c r="P195" s="2574"/>
    </row>
    <row r="196" spans="1:16" x14ac:dyDescent="0.25">
      <c r="A196" s="2218"/>
      <c r="B196" s="2571" t="s">
        <v>4168</v>
      </c>
      <c r="C196" s="2571"/>
      <c r="D196" s="2571"/>
      <c r="E196" s="2571"/>
      <c r="F196" s="2571" t="s">
        <v>588</v>
      </c>
      <c r="G196" s="2571"/>
      <c r="H196" s="2571"/>
      <c r="I196" s="2571"/>
      <c r="J196" s="2571" t="s">
        <v>588</v>
      </c>
      <c r="K196" s="2571"/>
      <c r="L196" s="2571"/>
      <c r="M196" s="2571"/>
      <c r="N196" s="2571"/>
      <c r="O196" s="2571"/>
      <c r="P196" s="2571"/>
    </row>
    <row r="197" spans="1:16" x14ac:dyDescent="0.25">
      <c r="A197" s="2217"/>
      <c r="B197" s="2572" t="s">
        <v>6142</v>
      </c>
      <c r="C197" s="2572"/>
      <c r="D197" s="2572"/>
      <c r="E197" s="2572"/>
      <c r="F197" s="2572" t="s">
        <v>6156</v>
      </c>
      <c r="G197" s="2572"/>
      <c r="H197" s="2572"/>
      <c r="I197" s="2572"/>
      <c r="J197" s="2572" t="s">
        <v>588</v>
      </c>
      <c r="K197" s="2572"/>
      <c r="L197" s="2572"/>
      <c r="M197" s="2572"/>
      <c r="N197" s="2572"/>
      <c r="O197" s="2572"/>
      <c r="P197" s="2572"/>
    </row>
    <row r="198" spans="1:16" ht="40.9" customHeight="1" x14ac:dyDescent="0.25">
      <c r="A198" s="2217"/>
      <c r="B198" s="2572" t="s">
        <v>6411</v>
      </c>
      <c r="C198" s="2572"/>
      <c r="D198" s="2572"/>
      <c r="E198" s="2572"/>
      <c r="F198" s="2572" t="s">
        <v>6412</v>
      </c>
      <c r="G198" s="2572"/>
      <c r="H198" s="2572"/>
      <c r="I198" s="2572"/>
      <c r="J198" s="2572" t="s">
        <v>588</v>
      </c>
      <c r="K198" s="2572"/>
      <c r="L198" s="2572"/>
      <c r="M198" s="2572"/>
      <c r="N198" s="2572"/>
      <c r="O198" s="2572"/>
      <c r="P198" s="2572"/>
    </row>
    <row r="199" spans="1:16" ht="81.599999999999994" customHeight="1" x14ac:dyDescent="0.25">
      <c r="A199" s="2217"/>
      <c r="B199" s="2572" t="s">
        <v>6189</v>
      </c>
      <c r="C199" s="2572"/>
      <c r="D199" s="2572"/>
      <c r="E199" s="2572"/>
      <c r="F199" s="2572" t="s">
        <v>6190</v>
      </c>
      <c r="G199" s="2572"/>
      <c r="H199" s="2572"/>
      <c r="I199" s="2572"/>
      <c r="J199" s="2572" t="s">
        <v>588</v>
      </c>
      <c r="K199" s="2572"/>
      <c r="L199" s="2572"/>
      <c r="M199" s="2572"/>
      <c r="N199" s="2572"/>
      <c r="O199" s="2572"/>
      <c r="P199" s="2572"/>
    </row>
    <row r="200" spans="1:16" ht="149.65" customHeight="1" x14ac:dyDescent="0.25">
      <c r="A200" s="2217"/>
      <c r="B200" s="2572" t="s">
        <v>6148</v>
      </c>
      <c r="C200" s="2572"/>
      <c r="D200" s="2572"/>
      <c r="E200" s="2572"/>
      <c r="F200" s="2572" t="s">
        <v>6176</v>
      </c>
      <c r="G200" s="2572"/>
      <c r="H200" s="2572"/>
      <c r="I200" s="2572"/>
      <c r="J200" s="2572" t="s">
        <v>588</v>
      </c>
      <c r="K200" s="2572"/>
      <c r="L200" s="2572"/>
      <c r="M200" s="2572"/>
      <c r="N200" s="2572"/>
      <c r="O200" s="2572"/>
      <c r="P200" s="2572"/>
    </row>
    <row r="201" spans="1:16" ht="81.599999999999994" customHeight="1" x14ac:dyDescent="0.25">
      <c r="A201" s="2218"/>
      <c r="B201" s="2571" t="s">
        <v>6150</v>
      </c>
      <c r="C201" s="2571"/>
      <c r="D201" s="2571"/>
      <c r="E201" s="2571"/>
      <c r="F201" s="2571" t="s">
        <v>588</v>
      </c>
      <c r="G201" s="2571"/>
      <c r="H201" s="2571"/>
      <c r="I201" s="2571"/>
      <c r="J201" s="2571" t="s">
        <v>7307</v>
      </c>
      <c r="K201" s="2571"/>
      <c r="L201" s="2571"/>
      <c r="M201" s="2571"/>
      <c r="N201" s="2571"/>
      <c r="O201" s="2571"/>
      <c r="P201" s="2571"/>
    </row>
    <row r="202" spans="1:16" x14ac:dyDescent="0.25">
      <c r="A202" s="2217"/>
      <c r="B202" s="2572" t="s">
        <v>6160</v>
      </c>
      <c r="C202" s="2572"/>
      <c r="D202" s="2572"/>
      <c r="E202" s="2572"/>
      <c r="F202" s="2572" t="s">
        <v>6423</v>
      </c>
      <c r="G202" s="2572"/>
      <c r="H202" s="2572"/>
      <c r="I202" s="2572"/>
      <c r="J202" s="2572" t="s">
        <v>588</v>
      </c>
      <c r="K202" s="2572"/>
      <c r="L202" s="2572"/>
      <c r="M202" s="2572"/>
      <c r="N202" s="2572"/>
      <c r="O202" s="2572"/>
      <c r="P202" s="2572"/>
    </row>
    <row r="203" spans="1:16" x14ac:dyDescent="0.25">
      <c r="A203" s="2217"/>
      <c r="B203" s="2572" t="s">
        <v>6177</v>
      </c>
      <c r="C203" s="2572"/>
      <c r="D203" s="2572"/>
      <c r="E203" s="2572"/>
      <c r="F203" s="2572" t="s">
        <v>6424</v>
      </c>
      <c r="G203" s="2572"/>
      <c r="H203" s="2572"/>
      <c r="I203" s="2572"/>
      <c r="J203" s="2572" t="s">
        <v>588</v>
      </c>
      <c r="K203" s="2572"/>
      <c r="L203" s="2572"/>
      <c r="M203" s="2572"/>
      <c r="N203" s="2572"/>
      <c r="O203" s="2572"/>
      <c r="P203" s="2572"/>
    </row>
    <row r="204" spans="1:16" x14ac:dyDescent="0.25">
      <c r="A204" s="2217"/>
      <c r="B204" s="2572" t="s">
        <v>6178</v>
      </c>
      <c r="C204" s="2572"/>
      <c r="D204" s="2572"/>
      <c r="E204" s="2572"/>
      <c r="F204" s="2572" t="s">
        <v>6425</v>
      </c>
      <c r="G204" s="2572"/>
      <c r="H204" s="2572"/>
      <c r="I204" s="2572"/>
      <c r="J204" s="2572" t="s">
        <v>588</v>
      </c>
      <c r="K204" s="2572"/>
      <c r="L204" s="2572"/>
      <c r="M204" s="2572"/>
      <c r="N204" s="2572"/>
      <c r="O204" s="2572"/>
      <c r="P204" s="2572"/>
    </row>
    <row r="205" spans="1:16" ht="27.2" customHeight="1" x14ac:dyDescent="0.25">
      <c r="A205" s="2217"/>
      <c r="B205" s="2572" t="s">
        <v>6191</v>
      </c>
      <c r="C205" s="2572"/>
      <c r="D205" s="2572"/>
      <c r="E205" s="2572"/>
      <c r="F205" s="2572" t="s">
        <v>6426</v>
      </c>
      <c r="G205" s="2572"/>
      <c r="H205" s="2572"/>
      <c r="I205" s="2572"/>
      <c r="J205" s="2572" t="s">
        <v>588</v>
      </c>
      <c r="K205" s="2572"/>
      <c r="L205" s="2572"/>
      <c r="M205" s="2572"/>
      <c r="N205" s="2572"/>
      <c r="O205" s="2572"/>
      <c r="P205" s="2572"/>
    </row>
    <row r="206" spans="1:16" ht="27.2" customHeight="1" x14ac:dyDescent="0.25">
      <c r="A206" s="2217"/>
      <c r="B206" s="2572" t="s">
        <v>6180</v>
      </c>
      <c r="C206" s="2572"/>
      <c r="D206" s="2572"/>
      <c r="E206" s="2572"/>
      <c r="F206" s="2572" t="s">
        <v>6427</v>
      </c>
      <c r="G206" s="2572"/>
      <c r="H206" s="2572"/>
      <c r="I206" s="2572"/>
      <c r="J206" s="2572" t="s">
        <v>588</v>
      </c>
      <c r="K206" s="2572"/>
      <c r="L206" s="2572"/>
      <c r="M206" s="2572"/>
      <c r="N206" s="2572"/>
      <c r="O206" s="2572"/>
      <c r="P206" s="2572"/>
    </row>
    <row r="207" spans="1:16" ht="27.2" customHeight="1" x14ac:dyDescent="0.25">
      <c r="A207" s="2217"/>
      <c r="B207" s="2572" t="s">
        <v>6181</v>
      </c>
      <c r="C207" s="2572"/>
      <c r="D207" s="2572"/>
      <c r="E207" s="2572"/>
      <c r="F207" s="2572" t="s">
        <v>6428</v>
      </c>
      <c r="G207" s="2572"/>
      <c r="H207" s="2572"/>
      <c r="I207" s="2572"/>
      <c r="J207" s="2572" t="s">
        <v>588</v>
      </c>
      <c r="K207" s="2572"/>
      <c r="L207" s="2572"/>
      <c r="M207" s="2572"/>
      <c r="N207" s="2572"/>
      <c r="O207" s="2572"/>
      <c r="P207" s="2572"/>
    </row>
    <row r="208" spans="1:16" ht="27.2" customHeight="1" x14ac:dyDescent="0.25">
      <c r="A208" s="2217"/>
      <c r="B208" s="2572" t="s">
        <v>6182</v>
      </c>
      <c r="C208" s="2572"/>
      <c r="D208" s="2572"/>
      <c r="E208" s="2572"/>
      <c r="F208" s="2572" t="s">
        <v>6428</v>
      </c>
      <c r="G208" s="2572"/>
      <c r="H208" s="2572"/>
      <c r="I208" s="2572"/>
      <c r="J208" s="2572" t="s">
        <v>588</v>
      </c>
      <c r="K208" s="2572"/>
      <c r="L208" s="2572"/>
      <c r="M208" s="2572"/>
      <c r="N208" s="2572"/>
      <c r="O208" s="2572"/>
      <c r="P208" s="2572"/>
    </row>
    <row r="209" spans="1:16" ht="27.2" customHeight="1" x14ac:dyDescent="0.25">
      <c r="A209" s="2217"/>
      <c r="B209" s="2572" t="s">
        <v>6183</v>
      </c>
      <c r="C209" s="2572"/>
      <c r="D209" s="2572"/>
      <c r="E209" s="2572"/>
      <c r="F209" s="2572" t="s">
        <v>6429</v>
      </c>
      <c r="G209" s="2572"/>
      <c r="H209" s="2572"/>
      <c r="I209" s="2572"/>
      <c r="J209" s="2572" t="s">
        <v>588</v>
      </c>
      <c r="K209" s="2572"/>
      <c r="L209" s="2572"/>
      <c r="M209" s="2572"/>
      <c r="N209" s="2572"/>
      <c r="O209" s="2572"/>
      <c r="P209" s="2572"/>
    </row>
    <row r="210" spans="1:16" x14ac:dyDescent="0.25">
      <c r="A210" s="2217"/>
      <c r="B210" s="2572" t="s">
        <v>6165</v>
      </c>
      <c r="C210" s="2572"/>
      <c r="D210" s="2572"/>
      <c r="E210" s="2572"/>
      <c r="F210" s="2572" t="s">
        <v>6430</v>
      </c>
      <c r="G210" s="2572"/>
      <c r="H210" s="2572"/>
      <c r="I210" s="2572"/>
      <c r="J210" s="2572" t="s">
        <v>588</v>
      </c>
      <c r="K210" s="2572"/>
      <c r="L210" s="2572"/>
      <c r="M210" s="2572"/>
      <c r="N210" s="2572"/>
      <c r="O210" s="2572"/>
      <c r="P210" s="2572"/>
    </row>
    <row r="211" spans="1:16" x14ac:dyDescent="0.25">
      <c r="A211" s="2217"/>
      <c r="B211" s="2572" t="s">
        <v>6184</v>
      </c>
      <c r="C211" s="2572"/>
      <c r="D211" s="2572"/>
      <c r="E211" s="2572"/>
      <c r="F211" s="2572" t="s">
        <v>6431</v>
      </c>
      <c r="G211" s="2572"/>
      <c r="H211" s="2572"/>
      <c r="I211" s="2572"/>
      <c r="J211" s="2572" t="s">
        <v>588</v>
      </c>
      <c r="K211" s="2572"/>
      <c r="L211" s="2572"/>
      <c r="M211" s="2572"/>
      <c r="N211" s="2572"/>
      <c r="O211" s="2572"/>
      <c r="P211" s="2572"/>
    </row>
    <row r="212" spans="1:16" x14ac:dyDescent="0.25">
      <c r="A212" s="2217"/>
      <c r="B212" s="2572" t="s">
        <v>6185</v>
      </c>
      <c r="C212" s="2572"/>
      <c r="D212" s="2572"/>
      <c r="E212" s="2572"/>
      <c r="F212" s="2572" t="s">
        <v>6432</v>
      </c>
      <c r="G212" s="2572"/>
      <c r="H212" s="2572"/>
      <c r="I212" s="2572"/>
      <c r="J212" s="2572" t="s">
        <v>588</v>
      </c>
      <c r="K212" s="2572"/>
      <c r="L212" s="2572"/>
      <c r="M212" s="2572"/>
      <c r="N212" s="2572"/>
      <c r="O212" s="2572"/>
      <c r="P212" s="2572"/>
    </row>
    <row r="213" spans="1:16" ht="27.2" customHeight="1" x14ac:dyDescent="0.25">
      <c r="A213" s="2217"/>
      <c r="B213" s="2572" t="s">
        <v>6186</v>
      </c>
      <c r="C213" s="2572"/>
      <c r="D213" s="2572"/>
      <c r="E213" s="2572"/>
      <c r="F213" s="2572" t="s">
        <v>7306</v>
      </c>
      <c r="G213" s="2572"/>
      <c r="H213" s="2572"/>
      <c r="I213" s="2572"/>
      <c r="J213" s="2572" t="s">
        <v>588</v>
      </c>
      <c r="K213" s="2572"/>
      <c r="L213" s="2572"/>
      <c r="M213" s="2572"/>
      <c r="N213" s="2572"/>
      <c r="O213" s="2572"/>
      <c r="P213" s="2572"/>
    </row>
    <row r="214" spans="1:16" ht="176.85" customHeight="1" x14ac:dyDescent="0.25">
      <c r="A214" s="2219" t="s">
        <v>509</v>
      </c>
      <c r="B214" s="2573" t="s">
        <v>6192</v>
      </c>
      <c r="C214" s="2574"/>
      <c r="D214" s="2574"/>
      <c r="E214" s="2574"/>
      <c r="F214" s="2574" t="s">
        <v>7205</v>
      </c>
      <c r="G214" s="2574"/>
      <c r="H214" s="2574"/>
      <c r="I214" s="2574"/>
      <c r="J214" s="2574" t="s">
        <v>7305</v>
      </c>
      <c r="K214" s="2574"/>
      <c r="L214" s="2574"/>
      <c r="M214" s="2575">
        <f>ROUND((126400 + 235 * (0.4 * 1000 + 0.6 * 650)) * 1 * 1.38 * 0.4 * 1.2427, 0)</f>
        <v>214057</v>
      </c>
      <c r="N214" s="2574"/>
      <c r="O214" s="2574" t="s">
        <v>5969</v>
      </c>
      <c r="P214" s="2574"/>
    </row>
    <row r="215" spans="1:16" x14ac:dyDescent="0.25">
      <c r="A215" s="2218"/>
      <c r="B215" s="2571" t="s">
        <v>4168</v>
      </c>
      <c r="C215" s="2571"/>
      <c r="D215" s="2571"/>
      <c r="E215" s="2571"/>
      <c r="F215" s="2571" t="s">
        <v>588</v>
      </c>
      <c r="G215" s="2571"/>
      <c r="H215" s="2571"/>
      <c r="I215" s="2571"/>
      <c r="J215" s="2571" t="s">
        <v>588</v>
      </c>
      <c r="K215" s="2571"/>
      <c r="L215" s="2571"/>
      <c r="M215" s="2571"/>
      <c r="N215" s="2571"/>
      <c r="O215" s="2571"/>
      <c r="P215" s="2571"/>
    </row>
    <row r="216" spans="1:16" x14ac:dyDescent="0.25">
      <c r="A216" s="2217"/>
      <c r="B216" s="2572" t="s">
        <v>6142</v>
      </c>
      <c r="C216" s="2572"/>
      <c r="D216" s="2572"/>
      <c r="E216" s="2572"/>
      <c r="F216" s="2572" t="s">
        <v>6156</v>
      </c>
      <c r="G216" s="2572"/>
      <c r="H216" s="2572"/>
      <c r="I216" s="2572"/>
      <c r="J216" s="2572" t="s">
        <v>588</v>
      </c>
      <c r="K216" s="2572"/>
      <c r="L216" s="2572"/>
      <c r="M216" s="2572"/>
      <c r="N216" s="2572"/>
      <c r="O216" s="2572"/>
      <c r="P216" s="2572"/>
    </row>
    <row r="217" spans="1:16" ht="40.9" customHeight="1" x14ac:dyDescent="0.25">
      <c r="A217" s="2217"/>
      <c r="B217" s="2572" t="s">
        <v>6411</v>
      </c>
      <c r="C217" s="2572"/>
      <c r="D217" s="2572"/>
      <c r="E217" s="2572"/>
      <c r="F217" s="2572" t="s">
        <v>6412</v>
      </c>
      <c r="G217" s="2572"/>
      <c r="H217" s="2572"/>
      <c r="I217" s="2572"/>
      <c r="J217" s="2572" t="s">
        <v>588</v>
      </c>
      <c r="K217" s="2572"/>
      <c r="L217" s="2572"/>
      <c r="M217" s="2572"/>
      <c r="N217" s="2572"/>
      <c r="O217" s="2572"/>
      <c r="P217" s="2572"/>
    </row>
    <row r="218" spans="1:16" ht="149.65" customHeight="1" x14ac:dyDescent="0.25">
      <c r="A218" s="2217"/>
      <c r="B218" s="2572" t="s">
        <v>6148</v>
      </c>
      <c r="C218" s="2572"/>
      <c r="D218" s="2572"/>
      <c r="E218" s="2572"/>
      <c r="F218" s="2572" t="s">
        <v>6193</v>
      </c>
      <c r="G218" s="2572"/>
      <c r="H218" s="2572"/>
      <c r="I218" s="2572"/>
      <c r="J218" s="2572" t="s">
        <v>588</v>
      </c>
      <c r="K218" s="2572"/>
      <c r="L218" s="2572"/>
      <c r="M218" s="2572"/>
      <c r="N218" s="2572"/>
      <c r="O218" s="2572"/>
      <c r="P218" s="2572"/>
    </row>
    <row r="219" spans="1:16" ht="40.9" customHeight="1" x14ac:dyDescent="0.25">
      <c r="A219" s="2218"/>
      <c r="B219" s="2571" t="s">
        <v>6150</v>
      </c>
      <c r="C219" s="2571"/>
      <c r="D219" s="2571"/>
      <c r="E219" s="2571"/>
      <c r="F219" s="2571" t="s">
        <v>588</v>
      </c>
      <c r="G219" s="2571"/>
      <c r="H219" s="2571"/>
      <c r="I219" s="2571"/>
      <c r="J219" s="2571" t="s">
        <v>7304</v>
      </c>
      <c r="K219" s="2571"/>
      <c r="L219" s="2571"/>
      <c r="M219" s="2571"/>
      <c r="N219" s="2571"/>
      <c r="O219" s="2571"/>
      <c r="P219" s="2571"/>
    </row>
    <row r="220" spans="1:16" x14ac:dyDescent="0.25">
      <c r="A220" s="2217"/>
      <c r="B220" s="2572" t="s">
        <v>6160</v>
      </c>
      <c r="C220" s="2572"/>
      <c r="D220" s="2572"/>
      <c r="E220" s="2572"/>
      <c r="F220" s="2572" t="s">
        <v>6433</v>
      </c>
      <c r="G220" s="2572"/>
      <c r="H220" s="2572"/>
      <c r="I220" s="2572"/>
      <c r="J220" s="2572" t="s">
        <v>588</v>
      </c>
      <c r="K220" s="2572"/>
      <c r="L220" s="2572"/>
      <c r="M220" s="2572"/>
      <c r="N220" s="2572"/>
      <c r="O220" s="2572"/>
      <c r="P220" s="2572"/>
    </row>
    <row r="221" spans="1:16" x14ac:dyDescent="0.25">
      <c r="A221" s="2217"/>
      <c r="B221" s="2572" t="s">
        <v>6177</v>
      </c>
      <c r="C221" s="2572"/>
      <c r="D221" s="2572"/>
      <c r="E221" s="2572"/>
      <c r="F221" s="2572" t="s">
        <v>6434</v>
      </c>
      <c r="G221" s="2572"/>
      <c r="H221" s="2572"/>
      <c r="I221" s="2572"/>
      <c r="J221" s="2572" t="s">
        <v>588</v>
      </c>
      <c r="K221" s="2572"/>
      <c r="L221" s="2572"/>
      <c r="M221" s="2572"/>
      <c r="N221" s="2572"/>
      <c r="O221" s="2572"/>
      <c r="P221" s="2572"/>
    </row>
    <row r="222" spans="1:16" x14ac:dyDescent="0.25">
      <c r="A222" s="2217"/>
      <c r="B222" s="2572" t="s">
        <v>6178</v>
      </c>
      <c r="C222" s="2572"/>
      <c r="D222" s="2572"/>
      <c r="E222" s="2572"/>
      <c r="F222" s="2572" t="s">
        <v>6435</v>
      </c>
      <c r="G222" s="2572"/>
      <c r="H222" s="2572"/>
      <c r="I222" s="2572"/>
      <c r="J222" s="2572" t="s">
        <v>588</v>
      </c>
      <c r="K222" s="2572"/>
      <c r="L222" s="2572"/>
      <c r="M222" s="2572"/>
      <c r="N222" s="2572"/>
      <c r="O222" s="2572"/>
      <c r="P222" s="2572"/>
    </row>
    <row r="223" spans="1:16" x14ac:dyDescent="0.25">
      <c r="A223" s="2217"/>
      <c r="B223" s="2572" t="s">
        <v>6165</v>
      </c>
      <c r="C223" s="2572"/>
      <c r="D223" s="2572"/>
      <c r="E223" s="2572"/>
      <c r="F223" s="2572" t="s">
        <v>6436</v>
      </c>
      <c r="G223" s="2572"/>
      <c r="H223" s="2572"/>
      <c r="I223" s="2572"/>
      <c r="J223" s="2572" t="s">
        <v>588</v>
      </c>
      <c r="K223" s="2572"/>
      <c r="L223" s="2572"/>
      <c r="M223" s="2572"/>
      <c r="N223" s="2572"/>
      <c r="O223" s="2572"/>
      <c r="P223" s="2572"/>
    </row>
    <row r="224" spans="1:16" x14ac:dyDescent="0.25">
      <c r="A224" s="2217"/>
      <c r="B224" s="2572" t="s">
        <v>6184</v>
      </c>
      <c r="C224" s="2572"/>
      <c r="D224" s="2572"/>
      <c r="E224" s="2572"/>
      <c r="F224" s="2572" t="s">
        <v>6437</v>
      </c>
      <c r="G224" s="2572"/>
      <c r="H224" s="2572"/>
      <c r="I224" s="2572"/>
      <c r="J224" s="2572" t="s">
        <v>588</v>
      </c>
      <c r="K224" s="2572"/>
      <c r="L224" s="2572"/>
      <c r="M224" s="2572"/>
      <c r="N224" s="2572"/>
      <c r="O224" s="2572"/>
      <c r="P224" s="2572"/>
    </row>
    <row r="225" spans="1:16" x14ac:dyDescent="0.25">
      <c r="A225" s="2217"/>
      <c r="B225" s="2572" t="s">
        <v>6185</v>
      </c>
      <c r="C225" s="2572"/>
      <c r="D225" s="2572"/>
      <c r="E225" s="2572"/>
      <c r="F225" s="2572" t="s">
        <v>6438</v>
      </c>
      <c r="G225" s="2572"/>
      <c r="H225" s="2572"/>
      <c r="I225" s="2572"/>
      <c r="J225" s="2572" t="s">
        <v>588</v>
      </c>
      <c r="K225" s="2572"/>
      <c r="L225" s="2572"/>
      <c r="M225" s="2572"/>
      <c r="N225" s="2572"/>
      <c r="O225" s="2572"/>
      <c r="P225" s="2572"/>
    </row>
    <row r="226" spans="1:16" ht="27.2" customHeight="1" x14ac:dyDescent="0.25">
      <c r="A226" s="2217"/>
      <c r="B226" s="2572" t="s">
        <v>6186</v>
      </c>
      <c r="C226" s="2572"/>
      <c r="D226" s="2572"/>
      <c r="E226" s="2572"/>
      <c r="F226" s="2572" t="s">
        <v>7303</v>
      </c>
      <c r="G226" s="2572"/>
      <c r="H226" s="2572"/>
      <c r="I226" s="2572"/>
      <c r="J226" s="2572" t="s">
        <v>588</v>
      </c>
      <c r="K226" s="2572"/>
      <c r="L226" s="2572"/>
      <c r="M226" s="2572"/>
      <c r="N226" s="2572"/>
      <c r="O226" s="2572"/>
      <c r="P226" s="2572"/>
    </row>
    <row r="227" spans="1:16" x14ac:dyDescent="0.25">
      <c r="A227" s="2216" t="s">
        <v>510</v>
      </c>
      <c r="B227" s="2568" t="s">
        <v>6194</v>
      </c>
      <c r="C227" s="2568"/>
      <c r="D227" s="2568"/>
      <c r="E227" s="2568"/>
      <c r="F227" s="2568"/>
      <c r="G227" s="2568"/>
      <c r="H227" s="2568"/>
      <c r="I227" s="2568"/>
      <c r="J227" s="2568" t="s">
        <v>588</v>
      </c>
      <c r="K227" s="2568"/>
      <c r="L227" s="2568"/>
      <c r="M227" s="2569">
        <f>ROUND(SUM($M$176:$M$214),0)</f>
        <v>1113391</v>
      </c>
      <c r="N227" s="2568"/>
      <c r="O227" s="2568"/>
      <c r="P227" s="2568"/>
    </row>
    <row r="228" spans="1:16" x14ac:dyDescent="0.25">
      <c r="A228" s="2216" t="s">
        <v>4213</v>
      </c>
      <c r="B228" s="2568" t="s">
        <v>6195</v>
      </c>
      <c r="C228" s="2568"/>
      <c r="D228" s="2568"/>
      <c r="E228" s="2568"/>
      <c r="F228" s="2568"/>
      <c r="G228" s="2568"/>
      <c r="H228" s="2568"/>
      <c r="I228" s="2568"/>
      <c r="J228" s="2568" t="s">
        <v>588</v>
      </c>
      <c r="K228" s="2568"/>
      <c r="L228" s="2568"/>
      <c r="M228" s="2569">
        <f>ROUND(($M$227),0)</f>
        <v>1113391</v>
      </c>
      <c r="N228" s="2568"/>
      <c r="O228" s="2568"/>
      <c r="P228" s="2568"/>
    </row>
    <row r="229" spans="1:16" x14ac:dyDescent="0.25">
      <c r="A229" s="2216" t="s">
        <v>232</v>
      </c>
      <c r="B229" s="2568" t="s">
        <v>6145</v>
      </c>
      <c r="C229" s="2568"/>
      <c r="D229" s="2568"/>
      <c r="E229" s="2568"/>
      <c r="F229" s="2568" t="s">
        <v>5970</v>
      </c>
      <c r="G229" s="2568"/>
      <c r="H229" s="2568"/>
      <c r="I229" s="2568"/>
      <c r="J229" s="2568"/>
      <c r="K229" s="2568"/>
      <c r="L229" s="2568"/>
      <c r="M229" s="2568"/>
      <c r="N229" s="2568"/>
      <c r="O229" s="2568"/>
      <c r="P229" s="2568"/>
    </row>
    <row r="230" spans="1:16" ht="163.15" customHeight="1" x14ac:dyDescent="0.25">
      <c r="A230" s="2219" t="s">
        <v>237</v>
      </c>
      <c r="B230" s="2573" t="s">
        <v>6196</v>
      </c>
      <c r="C230" s="2574"/>
      <c r="D230" s="2574"/>
      <c r="E230" s="2574"/>
      <c r="F230" s="2574" t="s">
        <v>6197</v>
      </c>
      <c r="G230" s="2574"/>
      <c r="H230" s="2574"/>
      <c r="I230" s="2574"/>
      <c r="J230" s="2574" t="s">
        <v>7302</v>
      </c>
      <c r="K230" s="2574"/>
      <c r="L230" s="2574"/>
      <c r="M230" s="2575">
        <f>ROUND(33400 * 1 * 1.53 * 0.4 * 1.26809, 0)</f>
        <v>25921</v>
      </c>
      <c r="N230" s="2574"/>
      <c r="O230" s="2574" t="s">
        <v>7650</v>
      </c>
      <c r="P230" s="2574"/>
    </row>
    <row r="231" spans="1:16" x14ac:dyDescent="0.25">
      <c r="A231" s="2218"/>
      <c r="B231" s="2571" t="s">
        <v>4168</v>
      </c>
      <c r="C231" s="2571"/>
      <c r="D231" s="2571"/>
      <c r="E231" s="2571"/>
      <c r="F231" s="2571" t="s">
        <v>588</v>
      </c>
      <c r="G231" s="2571"/>
      <c r="H231" s="2571"/>
      <c r="I231" s="2571"/>
      <c r="J231" s="2571" t="s">
        <v>588</v>
      </c>
      <c r="K231" s="2571"/>
      <c r="L231" s="2571"/>
      <c r="M231" s="2571"/>
      <c r="N231" s="2571"/>
      <c r="O231" s="2571"/>
      <c r="P231" s="2571"/>
    </row>
    <row r="232" spans="1:16" x14ac:dyDescent="0.25">
      <c r="A232" s="2217"/>
      <c r="B232" s="2572" t="s">
        <v>6142</v>
      </c>
      <c r="C232" s="2572"/>
      <c r="D232" s="2572"/>
      <c r="E232" s="2572"/>
      <c r="F232" s="2572" t="s">
        <v>6156</v>
      </c>
      <c r="G232" s="2572"/>
      <c r="H232" s="2572"/>
      <c r="I232" s="2572"/>
      <c r="J232" s="2572" t="s">
        <v>588</v>
      </c>
      <c r="K232" s="2572"/>
      <c r="L232" s="2572"/>
      <c r="M232" s="2572"/>
      <c r="N232" s="2572"/>
      <c r="O232" s="2572"/>
      <c r="P232" s="2572"/>
    </row>
    <row r="233" spans="1:16" ht="40.9" customHeight="1" x14ac:dyDescent="0.25">
      <c r="A233" s="2217"/>
      <c r="B233" s="2572" t="s">
        <v>6401</v>
      </c>
      <c r="C233" s="2572"/>
      <c r="D233" s="2572"/>
      <c r="E233" s="2572"/>
      <c r="F233" s="2572" t="s">
        <v>6402</v>
      </c>
      <c r="G233" s="2572"/>
      <c r="H233" s="2572"/>
      <c r="I233" s="2572"/>
      <c r="J233" s="2572" t="s">
        <v>588</v>
      </c>
      <c r="K233" s="2572"/>
      <c r="L233" s="2572"/>
      <c r="M233" s="2572"/>
      <c r="N233" s="2572"/>
      <c r="O233" s="2572"/>
      <c r="P233" s="2572"/>
    </row>
    <row r="234" spans="1:16" ht="149.65" customHeight="1" x14ac:dyDescent="0.25">
      <c r="A234" s="2217"/>
      <c r="B234" s="2572" t="s">
        <v>6148</v>
      </c>
      <c r="C234" s="2572"/>
      <c r="D234" s="2572"/>
      <c r="E234" s="2572"/>
      <c r="F234" s="2572" t="s">
        <v>6198</v>
      </c>
      <c r="G234" s="2572"/>
      <c r="H234" s="2572"/>
      <c r="I234" s="2572"/>
      <c r="J234" s="2572" t="s">
        <v>588</v>
      </c>
      <c r="K234" s="2572"/>
      <c r="L234" s="2572"/>
      <c r="M234" s="2572"/>
      <c r="N234" s="2572"/>
      <c r="O234" s="2572"/>
      <c r="P234" s="2572"/>
    </row>
    <row r="235" spans="1:16" ht="68.099999999999994" customHeight="1" x14ac:dyDescent="0.25">
      <c r="A235" s="2218"/>
      <c r="B235" s="2571" t="s">
        <v>6150</v>
      </c>
      <c r="C235" s="2571"/>
      <c r="D235" s="2571"/>
      <c r="E235" s="2571"/>
      <c r="F235" s="2571" t="s">
        <v>588</v>
      </c>
      <c r="G235" s="2571"/>
      <c r="H235" s="2571"/>
      <c r="I235" s="2571"/>
      <c r="J235" s="2571" t="s">
        <v>7301</v>
      </c>
      <c r="K235" s="2571"/>
      <c r="L235" s="2571"/>
      <c r="M235" s="2571"/>
      <c r="N235" s="2571"/>
      <c r="O235" s="2571"/>
      <c r="P235" s="2571"/>
    </row>
    <row r="236" spans="1:16" x14ac:dyDescent="0.25">
      <c r="A236" s="2217"/>
      <c r="B236" s="2572" t="s">
        <v>6160</v>
      </c>
      <c r="C236" s="2572"/>
      <c r="D236" s="2572"/>
      <c r="E236" s="2572"/>
      <c r="F236" s="2572" t="s">
        <v>6439</v>
      </c>
      <c r="G236" s="2572"/>
      <c r="H236" s="2572"/>
      <c r="I236" s="2572"/>
      <c r="J236" s="2572" t="s">
        <v>588</v>
      </c>
      <c r="K236" s="2572"/>
      <c r="L236" s="2572"/>
      <c r="M236" s="2572"/>
      <c r="N236" s="2572"/>
      <c r="O236" s="2572"/>
      <c r="P236" s="2572"/>
    </row>
    <row r="237" spans="1:16" x14ac:dyDescent="0.25">
      <c r="A237" s="2217"/>
      <c r="B237" s="2572" t="s">
        <v>6199</v>
      </c>
      <c r="C237" s="2572"/>
      <c r="D237" s="2572"/>
      <c r="E237" s="2572"/>
      <c r="F237" s="2572" t="s">
        <v>6440</v>
      </c>
      <c r="G237" s="2572"/>
      <c r="H237" s="2572"/>
      <c r="I237" s="2572"/>
      <c r="J237" s="2572" t="s">
        <v>588</v>
      </c>
      <c r="K237" s="2572"/>
      <c r="L237" s="2572"/>
      <c r="M237" s="2572"/>
      <c r="N237" s="2572"/>
      <c r="O237" s="2572"/>
      <c r="P237" s="2572"/>
    </row>
    <row r="238" spans="1:16" ht="27.2" customHeight="1" x14ac:dyDescent="0.25">
      <c r="A238" s="2217"/>
      <c r="B238" s="2572" t="s">
        <v>6200</v>
      </c>
      <c r="C238" s="2572"/>
      <c r="D238" s="2572"/>
      <c r="E238" s="2572"/>
      <c r="F238" s="2572" t="s">
        <v>6441</v>
      </c>
      <c r="G238" s="2572"/>
      <c r="H238" s="2572"/>
      <c r="I238" s="2572"/>
      <c r="J238" s="2572" t="s">
        <v>588</v>
      </c>
      <c r="K238" s="2572"/>
      <c r="L238" s="2572"/>
      <c r="M238" s="2572"/>
      <c r="N238" s="2572"/>
      <c r="O238" s="2572"/>
      <c r="P238" s="2572"/>
    </row>
    <row r="239" spans="1:16" ht="27.2" customHeight="1" x14ac:dyDescent="0.25">
      <c r="A239" s="2217"/>
      <c r="B239" s="2572" t="s">
        <v>6201</v>
      </c>
      <c r="C239" s="2572"/>
      <c r="D239" s="2572"/>
      <c r="E239" s="2572"/>
      <c r="F239" s="2572" t="s">
        <v>6442</v>
      </c>
      <c r="G239" s="2572"/>
      <c r="H239" s="2572"/>
      <c r="I239" s="2572"/>
      <c r="J239" s="2572" t="s">
        <v>588</v>
      </c>
      <c r="K239" s="2572"/>
      <c r="L239" s="2572"/>
      <c r="M239" s="2572"/>
      <c r="N239" s="2572"/>
      <c r="O239" s="2572"/>
      <c r="P239" s="2572"/>
    </row>
    <row r="240" spans="1:16" ht="27.2" customHeight="1" x14ac:dyDescent="0.25">
      <c r="A240" s="2217"/>
      <c r="B240" s="2572" t="s">
        <v>6202</v>
      </c>
      <c r="C240" s="2572"/>
      <c r="D240" s="2572"/>
      <c r="E240" s="2572"/>
      <c r="F240" s="2572" t="s">
        <v>6442</v>
      </c>
      <c r="G240" s="2572"/>
      <c r="H240" s="2572"/>
      <c r="I240" s="2572"/>
      <c r="J240" s="2572" t="s">
        <v>588</v>
      </c>
      <c r="K240" s="2572"/>
      <c r="L240" s="2572"/>
      <c r="M240" s="2572"/>
      <c r="N240" s="2572"/>
      <c r="O240" s="2572"/>
      <c r="P240" s="2572"/>
    </row>
    <row r="241" spans="1:16" x14ac:dyDescent="0.25">
      <c r="A241" s="2217"/>
      <c r="B241" s="2572" t="s">
        <v>6203</v>
      </c>
      <c r="C241" s="2572"/>
      <c r="D241" s="2572"/>
      <c r="E241" s="2572"/>
      <c r="F241" s="2572" t="s">
        <v>6443</v>
      </c>
      <c r="G241" s="2572"/>
      <c r="H241" s="2572"/>
      <c r="I241" s="2572"/>
      <c r="J241" s="2572" t="s">
        <v>588</v>
      </c>
      <c r="K241" s="2572"/>
      <c r="L241" s="2572"/>
      <c r="M241" s="2572"/>
      <c r="N241" s="2572"/>
      <c r="O241" s="2572"/>
      <c r="P241" s="2572"/>
    </row>
    <row r="242" spans="1:16" x14ac:dyDescent="0.25">
      <c r="A242" s="2217"/>
      <c r="B242" s="2572" t="s">
        <v>6204</v>
      </c>
      <c r="C242" s="2572"/>
      <c r="D242" s="2572"/>
      <c r="E242" s="2572"/>
      <c r="F242" s="2572" t="s">
        <v>6444</v>
      </c>
      <c r="G242" s="2572"/>
      <c r="H242" s="2572"/>
      <c r="I242" s="2572"/>
      <c r="J242" s="2572" t="s">
        <v>588</v>
      </c>
      <c r="K242" s="2572"/>
      <c r="L242" s="2572"/>
      <c r="M242" s="2572"/>
      <c r="N242" s="2572"/>
      <c r="O242" s="2572"/>
      <c r="P242" s="2572"/>
    </row>
    <row r="243" spans="1:16" x14ac:dyDescent="0.25">
      <c r="A243" s="2217"/>
      <c r="B243" s="2572" t="s">
        <v>6205</v>
      </c>
      <c r="C243" s="2572"/>
      <c r="D243" s="2572"/>
      <c r="E243" s="2572"/>
      <c r="F243" s="2572" t="s">
        <v>6445</v>
      </c>
      <c r="G243" s="2572"/>
      <c r="H243" s="2572"/>
      <c r="I243" s="2572"/>
      <c r="J243" s="2572" t="s">
        <v>588</v>
      </c>
      <c r="K243" s="2572"/>
      <c r="L243" s="2572"/>
      <c r="M243" s="2572"/>
      <c r="N243" s="2572"/>
      <c r="O243" s="2572"/>
      <c r="P243" s="2572"/>
    </row>
    <row r="244" spans="1:16" x14ac:dyDescent="0.25">
      <c r="A244" s="2217"/>
      <c r="B244" s="2572" t="s">
        <v>6206</v>
      </c>
      <c r="C244" s="2572"/>
      <c r="D244" s="2572"/>
      <c r="E244" s="2572"/>
      <c r="F244" s="2572" t="s">
        <v>6446</v>
      </c>
      <c r="G244" s="2572"/>
      <c r="H244" s="2572"/>
      <c r="I244" s="2572"/>
      <c r="J244" s="2572" t="s">
        <v>588</v>
      </c>
      <c r="K244" s="2572"/>
      <c r="L244" s="2572"/>
      <c r="M244" s="2572"/>
      <c r="N244" s="2572"/>
      <c r="O244" s="2572"/>
      <c r="P244" s="2572"/>
    </row>
    <row r="245" spans="1:16" x14ac:dyDescent="0.25">
      <c r="A245" s="2217"/>
      <c r="B245" s="2572" t="s">
        <v>6207</v>
      </c>
      <c r="C245" s="2572"/>
      <c r="D245" s="2572"/>
      <c r="E245" s="2572"/>
      <c r="F245" s="2572" t="s">
        <v>6446</v>
      </c>
      <c r="G245" s="2572"/>
      <c r="H245" s="2572"/>
      <c r="I245" s="2572"/>
      <c r="J245" s="2572" t="s">
        <v>588</v>
      </c>
      <c r="K245" s="2572"/>
      <c r="L245" s="2572"/>
      <c r="M245" s="2572"/>
      <c r="N245" s="2572"/>
      <c r="O245" s="2572"/>
      <c r="P245" s="2572"/>
    </row>
    <row r="246" spans="1:16" ht="27.2" customHeight="1" x14ac:dyDescent="0.25">
      <c r="A246" s="2217"/>
      <c r="B246" s="2572" t="s">
        <v>6208</v>
      </c>
      <c r="C246" s="2572"/>
      <c r="D246" s="2572"/>
      <c r="E246" s="2572"/>
      <c r="F246" s="2572" t="s">
        <v>7300</v>
      </c>
      <c r="G246" s="2572"/>
      <c r="H246" s="2572"/>
      <c r="I246" s="2572"/>
      <c r="J246" s="2572" t="s">
        <v>588</v>
      </c>
      <c r="K246" s="2572"/>
      <c r="L246" s="2572"/>
      <c r="M246" s="2572"/>
      <c r="N246" s="2572"/>
      <c r="O246" s="2572"/>
      <c r="P246" s="2572"/>
    </row>
    <row r="247" spans="1:16" ht="149.65" customHeight="1" x14ac:dyDescent="0.25">
      <c r="A247" s="2219" t="s">
        <v>511</v>
      </c>
      <c r="B247" s="2573" t="s">
        <v>6209</v>
      </c>
      <c r="C247" s="2574"/>
      <c r="D247" s="2574"/>
      <c r="E247" s="2574"/>
      <c r="F247" s="2574" t="s">
        <v>7204</v>
      </c>
      <c r="G247" s="2574"/>
      <c r="H247" s="2574"/>
      <c r="I247" s="2574"/>
      <c r="J247" s="2574" t="s">
        <v>7299</v>
      </c>
      <c r="K247" s="2574"/>
      <c r="L247" s="2574"/>
      <c r="M247" s="2575">
        <f>ROUND((75900 + 600 * 460) * 1 * 1.68 * 0.4 * 0.82 * 0.74 * 1.21733, 0)</f>
        <v>174680</v>
      </c>
      <c r="N247" s="2574"/>
      <c r="O247" s="2574" t="s">
        <v>588</v>
      </c>
      <c r="P247" s="2574"/>
    </row>
    <row r="248" spans="1:16" x14ac:dyDescent="0.25">
      <c r="A248" s="2218"/>
      <c r="B248" s="2571" t="s">
        <v>4168</v>
      </c>
      <c r="C248" s="2571"/>
      <c r="D248" s="2571"/>
      <c r="E248" s="2571"/>
      <c r="F248" s="2571" t="s">
        <v>588</v>
      </c>
      <c r="G248" s="2571"/>
      <c r="H248" s="2571"/>
      <c r="I248" s="2571"/>
      <c r="J248" s="2571" t="s">
        <v>588</v>
      </c>
      <c r="K248" s="2571"/>
      <c r="L248" s="2571"/>
      <c r="M248" s="2571"/>
      <c r="N248" s="2571"/>
      <c r="O248" s="2571"/>
      <c r="P248" s="2571"/>
    </row>
    <row r="249" spans="1:16" x14ac:dyDescent="0.25">
      <c r="A249" s="2217"/>
      <c r="B249" s="2572" t="s">
        <v>6142</v>
      </c>
      <c r="C249" s="2572"/>
      <c r="D249" s="2572"/>
      <c r="E249" s="2572"/>
      <c r="F249" s="2572" t="s">
        <v>6156</v>
      </c>
      <c r="G249" s="2572"/>
      <c r="H249" s="2572"/>
      <c r="I249" s="2572"/>
      <c r="J249" s="2572" t="s">
        <v>588</v>
      </c>
      <c r="K249" s="2572"/>
      <c r="L249" s="2572"/>
      <c r="M249" s="2572"/>
      <c r="N249" s="2572"/>
      <c r="O249" s="2572"/>
      <c r="P249" s="2572"/>
    </row>
    <row r="250" spans="1:16" ht="40.9" customHeight="1" x14ac:dyDescent="0.25">
      <c r="A250" s="2217"/>
      <c r="B250" s="2572" t="s">
        <v>6447</v>
      </c>
      <c r="C250" s="2572"/>
      <c r="D250" s="2572"/>
      <c r="E250" s="2572"/>
      <c r="F250" s="2572" t="s">
        <v>6448</v>
      </c>
      <c r="G250" s="2572"/>
      <c r="H250" s="2572"/>
      <c r="I250" s="2572"/>
      <c r="J250" s="2572" t="s">
        <v>588</v>
      </c>
      <c r="K250" s="2572"/>
      <c r="L250" s="2572"/>
      <c r="M250" s="2572"/>
      <c r="N250" s="2572"/>
      <c r="O250" s="2572"/>
      <c r="P250" s="2572"/>
    </row>
    <row r="251" spans="1:16" ht="68.099999999999994" customHeight="1" x14ac:dyDescent="0.25">
      <c r="A251" s="2217"/>
      <c r="B251" s="2572" t="s">
        <v>6210</v>
      </c>
      <c r="C251" s="2572"/>
      <c r="D251" s="2572"/>
      <c r="E251" s="2572"/>
      <c r="F251" s="2572" t="s">
        <v>6211</v>
      </c>
      <c r="G251" s="2572"/>
      <c r="H251" s="2572"/>
      <c r="I251" s="2572"/>
      <c r="J251" s="2572" t="s">
        <v>588</v>
      </c>
      <c r="K251" s="2572"/>
      <c r="L251" s="2572"/>
      <c r="M251" s="2572"/>
      <c r="N251" s="2572"/>
      <c r="O251" s="2572"/>
      <c r="P251" s="2572"/>
    </row>
    <row r="252" spans="1:16" ht="81.599999999999994" customHeight="1" x14ac:dyDescent="0.25">
      <c r="A252" s="2217"/>
      <c r="B252" s="2572" t="s">
        <v>6212</v>
      </c>
      <c r="C252" s="2572"/>
      <c r="D252" s="2572"/>
      <c r="E252" s="2572"/>
      <c r="F252" s="2572" t="s">
        <v>6213</v>
      </c>
      <c r="G252" s="2572"/>
      <c r="H252" s="2572"/>
      <c r="I252" s="2572"/>
      <c r="J252" s="2572" t="s">
        <v>588</v>
      </c>
      <c r="K252" s="2572"/>
      <c r="L252" s="2572"/>
      <c r="M252" s="2572"/>
      <c r="N252" s="2572"/>
      <c r="O252" s="2572"/>
      <c r="P252" s="2572"/>
    </row>
    <row r="253" spans="1:16" ht="149.65" customHeight="1" x14ac:dyDescent="0.25">
      <c r="A253" s="2217"/>
      <c r="B253" s="2572" t="s">
        <v>6148</v>
      </c>
      <c r="C253" s="2572"/>
      <c r="D253" s="2572"/>
      <c r="E253" s="2572"/>
      <c r="F253" s="2572" t="s">
        <v>6214</v>
      </c>
      <c r="G253" s="2572"/>
      <c r="H253" s="2572"/>
      <c r="I253" s="2572"/>
      <c r="J253" s="2572" t="s">
        <v>588</v>
      </c>
      <c r="K253" s="2572"/>
      <c r="L253" s="2572"/>
      <c r="M253" s="2572"/>
      <c r="N253" s="2572"/>
      <c r="O253" s="2572"/>
      <c r="P253" s="2572"/>
    </row>
    <row r="254" spans="1:16" ht="54.4" customHeight="1" x14ac:dyDescent="0.25">
      <c r="A254" s="2218"/>
      <c r="B254" s="2571" t="s">
        <v>6150</v>
      </c>
      <c r="C254" s="2571"/>
      <c r="D254" s="2571"/>
      <c r="E254" s="2571"/>
      <c r="F254" s="2571" t="s">
        <v>588</v>
      </c>
      <c r="G254" s="2571"/>
      <c r="H254" s="2571"/>
      <c r="I254" s="2571"/>
      <c r="J254" s="2571" t="s">
        <v>7298</v>
      </c>
      <c r="K254" s="2571"/>
      <c r="L254" s="2571"/>
      <c r="M254" s="2571"/>
      <c r="N254" s="2571"/>
      <c r="O254" s="2571"/>
      <c r="P254" s="2571"/>
    </row>
    <row r="255" spans="1:16" x14ac:dyDescent="0.25">
      <c r="A255" s="2217"/>
      <c r="B255" s="2572" t="s">
        <v>6160</v>
      </c>
      <c r="C255" s="2572"/>
      <c r="D255" s="2572"/>
      <c r="E255" s="2572"/>
      <c r="F255" s="2572" t="s">
        <v>7203</v>
      </c>
      <c r="G255" s="2572"/>
      <c r="H255" s="2572"/>
      <c r="I255" s="2572"/>
      <c r="J255" s="2572" t="s">
        <v>588</v>
      </c>
      <c r="K255" s="2572"/>
      <c r="L255" s="2572"/>
      <c r="M255" s="2572"/>
      <c r="N255" s="2572"/>
      <c r="O255" s="2572"/>
      <c r="P255" s="2572"/>
    </row>
    <row r="256" spans="1:16" x14ac:dyDescent="0.25">
      <c r="A256" s="2217"/>
      <c r="B256" s="2572" t="s">
        <v>6199</v>
      </c>
      <c r="C256" s="2572"/>
      <c r="D256" s="2572"/>
      <c r="E256" s="2572"/>
      <c r="F256" s="2572" t="s">
        <v>7202</v>
      </c>
      <c r="G256" s="2572"/>
      <c r="H256" s="2572"/>
      <c r="I256" s="2572"/>
      <c r="J256" s="2572" t="s">
        <v>588</v>
      </c>
      <c r="K256" s="2572"/>
      <c r="L256" s="2572"/>
      <c r="M256" s="2572"/>
      <c r="N256" s="2572"/>
      <c r="O256" s="2572"/>
      <c r="P256" s="2572"/>
    </row>
    <row r="257" spans="1:16" x14ac:dyDescent="0.25">
      <c r="A257" s="2217"/>
      <c r="B257" s="2572" t="s">
        <v>6215</v>
      </c>
      <c r="C257" s="2572"/>
      <c r="D257" s="2572"/>
      <c r="E257" s="2572"/>
      <c r="F257" s="2572" t="s">
        <v>7201</v>
      </c>
      <c r="G257" s="2572"/>
      <c r="H257" s="2572"/>
      <c r="I257" s="2572"/>
      <c r="J257" s="2572" t="s">
        <v>588</v>
      </c>
      <c r="K257" s="2572"/>
      <c r="L257" s="2572"/>
      <c r="M257" s="2572"/>
      <c r="N257" s="2572"/>
      <c r="O257" s="2572"/>
      <c r="P257" s="2572"/>
    </row>
    <row r="258" spans="1:16" x14ac:dyDescent="0.25">
      <c r="A258" s="2217"/>
      <c r="B258" s="2572" t="s">
        <v>6216</v>
      </c>
      <c r="C258" s="2572"/>
      <c r="D258" s="2572"/>
      <c r="E258" s="2572"/>
      <c r="F258" s="2572" t="s">
        <v>7200</v>
      </c>
      <c r="G258" s="2572"/>
      <c r="H258" s="2572"/>
      <c r="I258" s="2572"/>
      <c r="J258" s="2572" t="s">
        <v>588</v>
      </c>
      <c r="K258" s="2572"/>
      <c r="L258" s="2572"/>
      <c r="M258" s="2572"/>
      <c r="N258" s="2572"/>
      <c r="O258" s="2572"/>
      <c r="P258" s="2572"/>
    </row>
    <row r="259" spans="1:16" x14ac:dyDescent="0.25">
      <c r="A259" s="2217"/>
      <c r="B259" s="2572" t="s">
        <v>6205</v>
      </c>
      <c r="C259" s="2572"/>
      <c r="D259" s="2572"/>
      <c r="E259" s="2572"/>
      <c r="F259" s="2572" t="s">
        <v>7199</v>
      </c>
      <c r="G259" s="2572"/>
      <c r="H259" s="2572"/>
      <c r="I259" s="2572"/>
      <c r="J259" s="2572" t="s">
        <v>588</v>
      </c>
      <c r="K259" s="2572"/>
      <c r="L259" s="2572"/>
      <c r="M259" s="2572"/>
      <c r="N259" s="2572"/>
      <c r="O259" s="2572"/>
      <c r="P259" s="2572"/>
    </row>
    <row r="260" spans="1:16" x14ac:dyDescent="0.25">
      <c r="A260" s="2217"/>
      <c r="B260" s="2572" t="s">
        <v>6217</v>
      </c>
      <c r="C260" s="2572"/>
      <c r="D260" s="2572"/>
      <c r="E260" s="2572"/>
      <c r="F260" s="2572" t="s">
        <v>7297</v>
      </c>
      <c r="G260" s="2572"/>
      <c r="H260" s="2572"/>
      <c r="I260" s="2572"/>
      <c r="J260" s="2572" t="s">
        <v>588</v>
      </c>
      <c r="K260" s="2572"/>
      <c r="L260" s="2572"/>
      <c r="M260" s="2572"/>
      <c r="N260" s="2572"/>
      <c r="O260" s="2572"/>
      <c r="P260" s="2572"/>
    </row>
    <row r="261" spans="1:16" ht="95.25" customHeight="1" x14ac:dyDescent="0.25">
      <c r="A261" s="2219" t="s">
        <v>4366</v>
      </c>
      <c r="B261" s="2573" t="s">
        <v>6218</v>
      </c>
      <c r="C261" s="2574"/>
      <c r="D261" s="2574"/>
      <c r="E261" s="2574"/>
      <c r="F261" s="2574" t="s">
        <v>7198</v>
      </c>
      <c r="G261" s="2574"/>
      <c r="H261" s="2574"/>
      <c r="I261" s="2574"/>
      <c r="J261" s="2574" t="s">
        <v>7296</v>
      </c>
      <c r="K261" s="2574"/>
      <c r="L261" s="2574"/>
      <c r="M261" s="2575">
        <f>ROUND((5000 + 19 * 2600) * 1 * 1.53 * 0.4 * 0.6 * 1.2617, 0)</f>
        <v>25203</v>
      </c>
      <c r="N261" s="2574"/>
      <c r="O261" s="2574" t="s">
        <v>588</v>
      </c>
      <c r="P261" s="2574"/>
    </row>
    <row r="262" spans="1:16" x14ac:dyDescent="0.25">
      <c r="A262" s="2218"/>
      <c r="B262" s="2571" t="s">
        <v>4168</v>
      </c>
      <c r="C262" s="2571"/>
      <c r="D262" s="2571"/>
      <c r="E262" s="2571"/>
      <c r="F262" s="2571" t="s">
        <v>588</v>
      </c>
      <c r="G262" s="2571"/>
      <c r="H262" s="2571"/>
      <c r="I262" s="2571"/>
      <c r="J262" s="2571" t="s">
        <v>588</v>
      </c>
      <c r="K262" s="2571"/>
      <c r="L262" s="2571"/>
      <c r="M262" s="2571"/>
      <c r="N262" s="2571"/>
      <c r="O262" s="2571"/>
      <c r="P262" s="2571"/>
    </row>
    <row r="263" spans="1:16" x14ac:dyDescent="0.25">
      <c r="A263" s="2217"/>
      <c r="B263" s="2572" t="s">
        <v>6142</v>
      </c>
      <c r="C263" s="2572"/>
      <c r="D263" s="2572"/>
      <c r="E263" s="2572"/>
      <c r="F263" s="2572" t="s">
        <v>6156</v>
      </c>
      <c r="G263" s="2572"/>
      <c r="H263" s="2572"/>
      <c r="I263" s="2572"/>
      <c r="J263" s="2572" t="s">
        <v>588</v>
      </c>
      <c r="K263" s="2572"/>
      <c r="L263" s="2572"/>
      <c r="M263" s="2572"/>
      <c r="N263" s="2572"/>
      <c r="O263" s="2572"/>
      <c r="P263" s="2572"/>
    </row>
    <row r="264" spans="1:16" ht="40.9" customHeight="1" x14ac:dyDescent="0.25">
      <c r="A264" s="2217"/>
      <c r="B264" s="2572" t="s">
        <v>6401</v>
      </c>
      <c r="C264" s="2572"/>
      <c r="D264" s="2572"/>
      <c r="E264" s="2572"/>
      <c r="F264" s="2572" t="s">
        <v>6402</v>
      </c>
      <c r="G264" s="2572"/>
      <c r="H264" s="2572"/>
      <c r="I264" s="2572"/>
      <c r="J264" s="2572" t="s">
        <v>588</v>
      </c>
      <c r="K264" s="2572"/>
      <c r="L264" s="2572"/>
      <c r="M264" s="2572"/>
      <c r="N264" s="2572"/>
      <c r="O264" s="2572"/>
      <c r="P264" s="2572"/>
    </row>
    <row r="265" spans="1:16" ht="68.099999999999994" customHeight="1" x14ac:dyDescent="0.25">
      <c r="A265" s="2217"/>
      <c r="B265" s="2572" t="s">
        <v>6219</v>
      </c>
      <c r="C265" s="2572"/>
      <c r="D265" s="2572"/>
      <c r="E265" s="2572"/>
      <c r="F265" s="2572" t="s">
        <v>6220</v>
      </c>
      <c r="G265" s="2572"/>
      <c r="H265" s="2572"/>
      <c r="I265" s="2572"/>
      <c r="J265" s="2572" t="s">
        <v>588</v>
      </c>
      <c r="K265" s="2572"/>
      <c r="L265" s="2572"/>
      <c r="M265" s="2572"/>
      <c r="N265" s="2572"/>
      <c r="O265" s="2572"/>
      <c r="P265" s="2572"/>
    </row>
    <row r="266" spans="1:16" ht="149.65" customHeight="1" x14ac:dyDescent="0.25">
      <c r="A266" s="2217"/>
      <c r="B266" s="2572" t="s">
        <v>6148</v>
      </c>
      <c r="C266" s="2572"/>
      <c r="D266" s="2572"/>
      <c r="E266" s="2572"/>
      <c r="F266" s="2572" t="s">
        <v>6221</v>
      </c>
      <c r="G266" s="2572"/>
      <c r="H266" s="2572"/>
      <c r="I266" s="2572"/>
      <c r="J266" s="2572" t="s">
        <v>588</v>
      </c>
      <c r="K266" s="2572"/>
      <c r="L266" s="2572"/>
      <c r="M266" s="2572"/>
      <c r="N266" s="2572"/>
      <c r="O266" s="2572"/>
      <c r="P266" s="2572"/>
    </row>
    <row r="267" spans="1:16" ht="81.599999999999994" customHeight="1" x14ac:dyDescent="0.25">
      <c r="A267" s="2218"/>
      <c r="B267" s="2571" t="s">
        <v>6150</v>
      </c>
      <c r="C267" s="2571"/>
      <c r="D267" s="2571"/>
      <c r="E267" s="2571"/>
      <c r="F267" s="2571" t="s">
        <v>588</v>
      </c>
      <c r="G267" s="2571"/>
      <c r="H267" s="2571"/>
      <c r="I267" s="2571"/>
      <c r="J267" s="2571" t="s">
        <v>7295</v>
      </c>
      <c r="K267" s="2571"/>
      <c r="L267" s="2571"/>
      <c r="M267" s="2571"/>
      <c r="N267" s="2571"/>
      <c r="O267" s="2571"/>
      <c r="P267" s="2571"/>
    </row>
    <row r="268" spans="1:16" x14ac:dyDescent="0.25">
      <c r="A268" s="2217"/>
      <c r="B268" s="2572" t="s">
        <v>6160</v>
      </c>
      <c r="C268" s="2572"/>
      <c r="D268" s="2572"/>
      <c r="E268" s="2572"/>
      <c r="F268" s="2572" t="s">
        <v>7186</v>
      </c>
      <c r="G268" s="2572"/>
      <c r="H268" s="2572"/>
      <c r="I268" s="2572"/>
      <c r="J268" s="2572" t="s">
        <v>588</v>
      </c>
      <c r="K268" s="2572"/>
      <c r="L268" s="2572"/>
      <c r="M268" s="2572"/>
      <c r="N268" s="2572"/>
      <c r="O268" s="2572"/>
      <c r="P268" s="2572"/>
    </row>
    <row r="269" spans="1:16" x14ac:dyDescent="0.25">
      <c r="A269" s="2217"/>
      <c r="B269" s="2572" t="s">
        <v>6199</v>
      </c>
      <c r="C269" s="2572"/>
      <c r="D269" s="2572"/>
      <c r="E269" s="2572"/>
      <c r="F269" s="2572" t="s">
        <v>7197</v>
      </c>
      <c r="G269" s="2572"/>
      <c r="H269" s="2572"/>
      <c r="I269" s="2572"/>
      <c r="J269" s="2572" t="s">
        <v>588</v>
      </c>
      <c r="K269" s="2572"/>
      <c r="L269" s="2572"/>
      <c r="M269" s="2572"/>
      <c r="N269" s="2572"/>
      <c r="O269" s="2572"/>
      <c r="P269" s="2572"/>
    </row>
    <row r="270" spans="1:16" ht="27.2" customHeight="1" x14ac:dyDescent="0.25">
      <c r="A270" s="2217"/>
      <c r="B270" s="2572" t="s">
        <v>6200</v>
      </c>
      <c r="C270" s="2572"/>
      <c r="D270" s="2572"/>
      <c r="E270" s="2572"/>
      <c r="F270" s="2572" t="s">
        <v>7196</v>
      </c>
      <c r="G270" s="2572"/>
      <c r="H270" s="2572"/>
      <c r="I270" s="2572"/>
      <c r="J270" s="2572" t="s">
        <v>588</v>
      </c>
      <c r="K270" s="2572"/>
      <c r="L270" s="2572"/>
      <c r="M270" s="2572"/>
      <c r="N270" s="2572"/>
      <c r="O270" s="2572"/>
      <c r="P270" s="2572"/>
    </row>
    <row r="271" spans="1:16" ht="27.2" customHeight="1" x14ac:dyDescent="0.25">
      <c r="A271" s="2217"/>
      <c r="B271" s="2572" t="s">
        <v>6201</v>
      </c>
      <c r="C271" s="2572"/>
      <c r="D271" s="2572"/>
      <c r="E271" s="2572"/>
      <c r="F271" s="2572" t="s">
        <v>7195</v>
      </c>
      <c r="G271" s="2572"/>
      <c r="H271" s="2572"/>
      <c r="I271" s="2572"/>
      <c r="J271" s="2572" t="s">
        <v>588</v>
      </c>
      <c r="K271" s="2572"/>
      <c r="L271" s="2572"/>
      <c r="M271" s="2572"/>
      <c r="N271" s="2572"/>
      <c r="O271" s="2572"/>
      <c r="P271" s="2572"/>
    </row>
    <row r="272" spans="1:16" ht="27.2" customHeight="1" x14ac:dyDescent="0.25">
      <c r="A272" s="2217"/>
      <c r="B272" s="2572" t="s">
        <v>6202</v>
      </c>
      <c r="C272" s="2572"/>
      <c r="D272" s="2572"/>
      <c r="E272" s="2572"/>
      <c r="F272" s="2572" t="s">
        <v>7194</v>
      </c>
      <c r="G272" s="2572"/>
      <c r="H272" s="2572"/>
      <c r="I272" s="2572"/>
      <c r="J272" s="2572" t="s">
        <v>588</v>
      </c>
      <c r="K272" s="2572"/>
      <c r="L272" s="2572"/>
      <c r="M272" s="2572"/>
      <c r="N272" s="2572"/>
      <c r="O272" s="2572"/>
      <c r="P272" s="2572"/>
    </row>
    <row r="273" spans="1:16" x14ac:dyDescent="0.25">
      <c r="A273" s="2217"/>
      <c r="B273" s="2572" t="s">
        <v>6203</v>
      </c>
      <c r="C273" s="2572"/>
      <c r="D273" s="2572"/>
      <c r="E273" s="2572"/>
      <c r="F273" s="2572" t="s">
        <v>7193</v>
      </c>
      <c r="G273" s="2572"/>
      <c r="H273" s="2572"/>
      <c r="I273" s="2572"/>
      <c r="J273" s="2572" t="s">
        <v>588</v>
      </c>
      <c r="K273" s="2572"/>
      <c r="L273" s="2572"/>
      <c r="M273" s="2572"/>
      <c r="N273" s="2572"/>
      <c r="O273" s="2572"/>
      <c r="P273" s="2572"/>
    </row>
    <row r="274" spans="1:16" x14ac:dyDescent="0.25">
      <c r="A274" s="2217"/>
      <c r="B274" s="2572" t="s">
        <v>6204</v>
      </c>
      <c r="C274" s="2572"/>
      <c r="D274" s="2572"/>
      <c r="E274" s="2572"/>
      <c r="F274" s="2572" t="s">
        <v>7192</v>
      </c>
      <c r="G274" s="2572"/>
      <c r="H274" s="2572"/>
      <c r="I274" s="2572"/>
      <c r="J274" s="2572" t="s">
        <v>588</v>
      </c>
      <c r="K274" s="2572"/>
      <c r="L274" s="2572"/>
      <c r="M274" s="2572"/>
      <c r="N274" s="2572"/>
      <c r="O274" s="2572"/>
      <c r="P274" s="2572"/>
    </row>
    <row r="275" spans="1:16" x14ac:dyDescent="0.25">
      <c r="A275" s="2217"/>
      <c r="B275" s="2572" t="s">
        <v>6222</v>
      </c>
      <c r="C275" s="2572"/>
      <c r="D275" s="2572"/>
      <c r="E275" s="2572"/>
      <c r="F275" s="2572" t="s">
        <v>7191</v>
      </c>
      <c r="G275" s="2572"/>
      <c r="H275" s="2572"/>
      <c r="I275" s="2572"/>
      <c r="J275" s="2572" t="s">
        <v>588</v>
      </c>
      <c r="K275" s="2572"/>
      <c r="L275" s="2572"/>
      <c r="M275" s="2572"/>
      <c r="N275" s="2572"/>
      <c r="O275" s="2572"/>
      <c r="P275" s="2572"/>
    </row>
    <row r="276" spans="1:16" x14ac:dyDescent="0.25">
      <c r="A276" s="2217"/>
      <c r="B276" s="2572" t="s">
        <v>6223</v>
      </c>
      <c r="C276" s="2572"/>
      <c r="D276" s="2572"/>
      <c r="E276" s="2572"/>
      <c r="F276" s="2572" t="s">
        <v>7190</v>
      </c>
      <c r="G276" s="2572"/>
      <c r="H276" s="2572"/>
      <c r="I276" s="2572"/>
      <c r="J276" s="2572" t="s">
        <v>588</v>
      </c>
      <c r="K276" s="2572"/>
      <c r="L276" s="2572"/>
      <c r="M276" s="2572"/>
      <c r="N276" s="2572"/>
      <c r="O276" s="2572"/>
      <c r="P276" s="2572"/>
    </row>
    <row r="277" spans="1:16" x14ac:dyDescent="0.25">
      <c r="A277" s="2217"/>
      <c r="B277" s="2572" t="s">
        <v>6224</v>
      </c>
      <c r="C277" s="2572"/>
      <c r="D277" s="2572"/>
      <c r="E277" s="2572"/>
      <c r="F277" s="2572" t="s">
        <v>7189</v>
      </c>
      <c r="G277" s="2572"/>
      <c r="H277" s="2572"/>
      <c r="I277" s="2572"/>
      <c r="J277" s="2572" t="s">
        <v>588</v>
      </c>
      <c r="K277" s="2572"/>
      <c r="L277" s="2572"/>
      <c r="M277" s="2572"/>
      <c r="N277" s="2572"/>
      <c r="O277" s="2572"/>
      <c r="P277" s="2572"/>
    </row>
    <row r="278" spans="1:16" x14ac:dyDescent="0.25">
      <c r="A278" s="2217"/>
      <c r="B278" s="2572" t="s">
        <v>6225</v>
      </c>
      <c r="C278" s="2572"/>
      <c r="D278" s="2572"/>
      <c r="E278" s="2572"/>
      <c r="F278" s="2572" t="s">
        <v>7188</v>
      </c>
      <c r="G278" s="2572"/>
      <c r="H278" s="2572"/>
      <c r="I278" s="2572"/>
      <c r="J278" s="2572" t="s">
        <v>588</v>
      </c>
      <c r="K278" s="2572"/>
      <c r="L278" s="2572"/>
      <c r="M278" s="2572"/>
      <c r="N278" s="2572"/>
      <c r="O278" s="2572"/>
      <c r="P278" s="2572"/>
    </row>
    <row r="279" spans="1:16" x14ac:dyDescent="0.25">
      <c r="A279" s="2217"/>
      <c r="B279" s="2572" t="s">
        <v>6226</v>
      </c>
      <c r="C279" s="2572"/>
      <c r="D279" s="2572"/>
      <c r="E279" s="2572"/>
      <c r="F279" s="2572" t="s">
        <v>7187</v>
      </c>
      <c r="G279" s="2572"/>
      <c r="H279" s="2572"/>
      <c r="I279" s="2572"/>
      <c r="J279" s="2572" t="s">
        <v>588</v>
      </c>
      <c r="K279" s="2572"/>
      <c r="L279" s="2572"/>
      <c r="M279" s="2572"/>
      <c r="N279" s="2572"/>
      <c r="O279" s="2572"/>
      <c r="P279" s="2572"/>
    </row>
    <row r="280" spans="1:16" x14ac:dyDescent="0.25">
      <c r="A280" s="2217"/>
      <c r="B280" s="2572" t="s">
        <v>6227</v>
      </c>
      <c r="C280" s="2572"/>
      <c r="D280" s="2572"/>
      <c r="E280" s="2572"/>
      <c r="F280" s="2572" t="s">
        <v>7186</v>
      </c>
      <c r="G280" s="2572"/>
      <c r="H280" s="2572"/>
      <c r="I280" s="2572"/>
      <c r="J280" s="2572" t="s">
        <v>588</v>
      </c>
      <c r="K280" s="2572"/>
      <c r="L280" s="2572"/>
      <c r="M280" s="2572"/>
      <c r="N280" s="2572"/>
      <c r="O280" s="2572"/>
      <c r="P280" s="2572"/>
    </row>
    <row r="281" spans="1:16" ht="27.2" customHeight="1" x14ac:dyDescent="0.25">
      <c r="A281" s="2217"/>
      <c r="B281" s="2572" t="s">
        <v>6228</v>
      </c>
      <c r="C281" s="2572"/>
      <c r="D281" s="2572"/>
      <c r="E281" s="2572"/>
      <c r="F281" s="2572" t="s">
        <v>7294</v>
      </c>
      <c r="G281" s="2572"/>
      <c r="H281" s="2572"/>
      <c r="I281" s="2572"/>
      <c r="J281" s="2572" t="s">
        <v>588</v>
      </c>
      <c r="K281" s="2572"/>
      <c r="L281" s="2572"/>
      <c r="M281" s="2572"/>
      <c r="N281" s="2572"/>
      <c r="O281" s="2572"/>
      <c r="P281" s="2572"/>
    </row>
    <row r="282" spans="1:16" ht="135.94999999999999" customHeight="1" x14ac:dyDescent="0.25">
      <c r="A282" s="2219" t="s">
        <v>4367</v>
      </c>
      <c r="B282" s="2573" t="s">
        <v>6229</v>
      </c>
      <c r="C282" s="2574"/>
      <c r="D282" s="2574"/>
      <c r="E282" s="2574"/>
      <c r="F282" s="2574" t="s">
        <v>6230</v>
      </c>
      <c r="G282" s="2574"/>
      <c r="H282" s="2574"/>
      <c r="I282" s="2574"/>
      <c r="J282" s="2574" t="s">
        <v>7293</v>
      </c>
      <c r="K282" s="2574"/>
      <c r="L282" s="2574"/>
      <c r="M282" s="2575">
        <f>ROUND(41100 * 1 * 1.68 * 0.4 * 1.23241, 0)</f>
        <v>34038</v>
      </c>
      <c r="N282" s="2574"/>
      <c r="O282" s="2574" t="s">
        <v>588</v>
      </c>
      <c r="P282" s="2574"/>
    </row>
    <row r="283" spans="1:16" x14ac:dyDescent="0.25">
      <c r="A283" s="2218"/>
      <c r="B283" s="2571" t="s">
        <v>4168</v>
      </c>
      <c r="C283" s="2571"/>
      <c r="D283" s="2571"/>
      <c r="E283" s="2571"/>
      <c r="F283" s="2571" t="s">
        <v>588</v>
      </c>
      <c r="G283" s="2571"/>
      <c r="H283" s="2571"/>
      <c r="I283" s="2571"/>
      <c r="J283" s="2571" t="s">
        <v>588</v>
      </c>
      <c r="K283" s="2571"/>
      <c r="L283" s="2571"/>
      <c r="M283" s="2571"/>
      <c r="N283" s="2571"/>
      <c r="O283" s="2571"/>
      <c r="P283" s="2571"/>
    </row>
    <row r="284" spans="1:16" x14ac:dyDescent="0.25">
      <c r="A284" s="2217"/>
      <c r="B284" s="2572" t="s">
        <v>6142</v>
      </c>
      <c r="C284" s="2572"/>
      <c r="D284" s="2572"/>
      <c r="E284" s="2572"/>
      <c r="F284" s="2572" t="s">
        <v>6156</v>
      </c>
      <c r="G284" s="2572"/>
      <c r="H284" s="2572"/>
      <c r="I284" s="2572"/>
      <c r="J284" s="2572" t="s">
        <v>588</v>
      </c>
      <c r="K284" s="2572"/>
      <c r="L284" s="2572"/>
      <c r="M284" s="2572"/>
      <c r="N284" s="2572"/>
      <c r="O284" s="2572"/>
      <c r="P284" s="2572"/>
    </row>
    <row r="285" spans="1:16" ht="40.9" customHeight="1" x14ac:dyDescent="0.25">
      <c r="A285" s="2217"/>
      <c r="B285" s="2572" t="s">
        <v>6447</v>
      </c>
      <c r="C285" s="2572"/>
      <c r="D285" s="2572"/>
      <c r="E285" s="2572"/>
      <c r="F285" s="2572" t="s">
        <v>6448</v>
      </c>
      <c r="G285" s="2572"/>
      <c r="H285" s="2572"/>
      <c r="I285" s="2572"/>
      <c r="J285" s="2572" t="s">
        <v>588</v>
      </c>
      <c r="K285" s="2572"/>
      <c r="L285" s="2572"/>
      <c r="M285" s="2572"/>
      <c r="N285" s="2572"/>
      <c r="O285" s="2572"/>
      <c r="P285" s="2572"/>
    </row>
    <row r="286" spans="1:16" ht="149.65" customHeight="1" x14ac:dyDescent="0.25">
      <c r="A286" s="2217"/>
      <c r="B286" s="2572" t="s">
        <v>6148</v>
      </c>
      <c r="C286" s="2572"/>
      <c r="D286" s="2572"/>
      <c r="E286" s="2572"/>
      <c r="F286" s="2572" t="s">
        <v>6231</v>
      </c>
      <c r="G286" s="2572"/>
      <c r="H286" s="2572"/>
      <c r="I286" s="2572"/>
      <c r="J286" s="2572" t="s">
        <v>588</v>
      </c>
      <c r="K286" s="2572"/>
      <c r="L286" s="2572"/>
      <c r="M286" s="2572"/>
      <c r="N286" s="2572"/>
      <c r="O286" s="2572"/>
      <c r="P286" s="2572"/>
    </row>
    <row r="287" spans="1:16" ht="68.099999999999994" customHeight="1" x14ac:dyDescent="0.25">
      <c r="A287" s="2218"/>
      <c r="B287" s="2571" t="s">
        <v>6150</v>
      </c>
      <c r="C287" s="2571"/>
      <c r="D287" s="2571"/>
      <c r="E287" s="2571"/>
      <c r="F287" s="2571" t="s">
        <v>588</v>
      </c>
      <c r="G287" s="2571"/>
      <c r="H287" s="2571"/>
      <c r="I287" s="2571"/>
      <c r="J287" s="2571" t="s">
        <v>7292</v>
      </c>
      <c r="K287" s="2571"/>
      <c r="L287" s="2571"/>
      <c r="M287" s="2571"/>
      <c r="N287" s="2571"/>
      <c r="O287" s="2571"/>
      <c r="P287" s="2571"/>
    </row>
    <row r="288" spans="1:16" x14ac:dyDescent="0.25">
      <c r="A288" s="2217"/>
      <c r="B288" s="2572" t="s">
        <v>6160</v>
      </c>
      <c r="C288" s="2572"/>
      <c r="D288" s="2572"/>
      <c r="E288" s="2572"/>
      <c r="F288" s="2572" t="s">
        <v>6449</v>
      </c>
      <c r="G288" s="2572"/>
      <c r="H288" s="2572"/>
      <c r="I288" s="2572"/>
      <c r="J288" s="2572" t="s">
        <v>588</v>
      </c>
      <c r="K288" s="2572"/>
      <c r="L288" s="2572"/>
      <c r="M288" s="2572"/>
      <c r="N288" s="2572"/>
      <c r="O288" s="2572"/>
      <c r="P288" s="2572"/>
    </row>
    <row r="289" spans="1:16" x14ac:dyDescent="0.25">
      <c r="A289" s="2217"/>
      <c r="B289" s="2572" t="s">
        <v>6199</v>
      </c>
      <c r="C289" s="2572"/>
      <c r="D289" s="2572"/>
      <c r="E289" s="2572"/>
      <c r="F289" s="2572" t="s">
        <v>6450</v>
      </c>
      <c r="G289" s="2572"/>
      <c r="H289" s="2572"/>
      <c r="I289" s="2572"/>
      <c r="J289" s="2572" t="s">
        <v>588</v>
      </c>
      <c r="K289" s="2572"/>
      <c r="L289" s="2572"/>
      <c r="M289" s="2572"/>
      <c r="N289" s="2572"/>
      <c r="O289" s="2572"/>
      <c r="P289" s="2572"/>
    </row>
    <row r="290" spans="1:16" x14ac:dyDescent="0.25">
      <c r="A290" s="2217"/>
      <c r="B290" s="2572" t="s">
        <v>6215</v>
      </c>
      <c r="C290" s="2572"/>
      <c r="D290" s="2572"/>
      <c r="E290" s="2572"/>
      <c r="F290" s="2572" t="s">
        <v>6451</v>
      </c>
      <c r="G290" s="2572"/>
      <c r="H290" s="2572"/>
      <c r="I290" s="2572"/>
      <c r="J290" s="2572" t="s">
        <v>588</v>
      </c>
      <c r="K290" s="2572"/>
      <c r="L290" s="2572"/>
      <c r="M290" s="2572"/>
      <c r="N290" s="2572"/>
      <c r="O290" s="2572"/>
      <c r="P290" s="2572"/>
    </row>
    <row r="291" spans="1:16" x14ac:dyDescent="0.25">
      <c r="A291" s="2217"/>
      <c r="B291" s="2572" t="s">
        <v>6216</v>
      </c>
      <c r="C291" s="2572"/>
      <c r="D291" s="2572"/>
      <c r="E291" s="2572"/>
      <c r="F291" s="2572" t="s">
        <v>6452</v>
      </c>
      <c r="G291" s="2572"/>
      <c r="H291" s="2572"/>
      <c r="I291" s="2572"/>
      <c r="J291" s="2572" t="s">
        <v>588</v>
      </c>
      <c r="K291" s="2572"/>
      <c r="L291" s="2572"/>
      <c r="M291" s="2572"/>
      <c r="N291" s="2572"/>
      <c r="O291" s="2572"/>
      <c r="P291" s="2572"/>
    </row>
    <row r="292" spans="1:16" ht="27.2" customHeight="1" x14ac:dyDescent="0.25">
      <c r="A292" s="2217"/>
      <c r="B292" s="2572" t="s">
        <v>6232</v>
      </c>
      <c r="C292" s="2572"/>
      <c r="D292" s="2572"/>
      <c r="E292" s="2572"/>
      <c r="F292" s="2572" t="s">
        <v>6453</v>
      </c>
      <c r="G292" s="2572"/>
      <c r="H292" s="2572"/>
      <c r="I292" s="2572"/>
      <c r="J292" s="2572" t="s">
        <v>588</v>
      </c>
      <c r="K292" s="2572"/>
      <c r="L292" s="2572"/>
      <c r="M292" s="2572"/>
      <c r="N292" s="2572"/>
      <c r="O292" s="2572"/>
      <c r="P292" s="2572"/>
    </row>
    <row r="293" spans="1:16" ht="27.2" customHeight="1" x14ac:dyDescent="0.25">
      <c r="A293" s="2217"/>
      <c r="B293" s="2572" t="s">
        <v>6233</v>
      </c>
      <c r="C293" s="2572"/>
      <c r="D293" s="2572"/>
      <c r="E293" s="2572"/>
      <c r="F293" s="2572" t="s">
        <v>6454</v>
      </c>
      <c r="G293" s="2572"/>
      <c r="H293" s="2572"/>
      <c r="I293" s="2572"/>
      <c r="J293" s="2572" t="s">
        <v>588</v>
      </c>
      <c r="K293" s="2572"/>
      <c r="L293" s="2572"/>
      <c r="M293" s="2572"/>
      <c r="N293" s="2572"/>
      <c r="O293" s="2572"/>
      <c r="P293" s="2572"/>
    </row>
    <row r="294" spans="1:16" x14ac:dyDescent="0.25">
      <c r="A294" s="2217"/>
      <c r="B294" s="2572" t="s">
        <v>6225</v>
      </c>
      <c r="C294" s="2572"/>
      <c r="D294" s="2572"/>
      <c r="E294" s="2572"/>
      <c r="F294" s="2572" t="s">
        <v>6455</v>
      </c>
      <c r="G294" s="2572"/>
      <c r="H294" s="2572"/>
      <c r="I294" s="2572"/>
      <c r="J294" s="2572" t="s">
        <v>588</v>
      </c>
      <c r="K294" s="2572"/>
      <c r="L294" s="2572"/>
      <c r="M294" s="2572"/>
      <c r="N294" s="2572"/>
      <c r="O294" s="2572"/>
      <c r="P294" s="2572"/>
    </row>
    <row r="295" spans="1:16" x14ac:dyDescent="0.25">
      <c r="A295" s="2217"/>
      <c r="B295" s="2572" t="s">
        <v>6234</v>
      </c>
      <c r="C295" s="2572"/>
      <c r="D295" s="2572"/>
      <c r="E295" s="2572"/>
      <c r="F295" s="2572" t="s">
        <v>7291</v>
      </c>
      <c r="G295" s="2572"/>
      <c r="H295" s="2572"/>
      <c r="I295" s="2572"/>
      <c r="J295" s="2572" t="s">
        <v>588</v>
      </c>
      <c r="K295" s="2572"/>
      <c r="L295" s="2572"/>
      <c r="M295" s="2572"/>
      <c r="N295" s="2572"/>
      <c r="O295" s="2572"/>
      <c r="P295" s="2572"/>
    </row>
    <row r="296" spans="1:16" x14ac:dyDescent="0.25">
      <c r="A296" s="2216" t="s">
        <v>4368</v>
      </c>
      <c r="B296" s="2568" t="s">
        <v>6235</v>
      </c>
      <c r="C296" s="2568"/>
      <c r="D296" s="2568"/>
      <c r="E296" s="2568"/>
      <c r="F296" s="2568"/>
      <c r="G296" s="2568"/>
      <c r="H296" s="2568"/>
      <c r="I296" s="2568"/>
      <c r="J296" s="2568" t="s">
        <v>588</v>
      </c>
      <c r="K296" s="2568"/>
      <c r="L296" s="2568"/>
      <c r="M296" s="2569">
        <f>ROUND(SUM($M$230:$M$282),0)</f>
        <v>259842</v>
      </c>
      <c r="N296" s="2568"/>
      <c r="O296" s="2568"/>
      <c r="P296" s="2568"/>
    </row>
    <row r="297" spans="1:16" x14ac:dyDescent="0.25">
      <c r="A297" s="2216" t="s">
        <v>4369</v>
      </c>
      <c r="B297" s="2568" t="s">
        <v>6237</v>
      </c>
      <c r="C297" s="2568"/>
      <c r="D297" s="2568"/>
      <c r="E297" s="2568"/>
      <c r="F297" s="2568"/>
      <c r="G297" s="2568"/>
      <c r="H297" s="2568"/>
      <c r="I297" s="2568"/>
      <c r="J297" s="2568" t="s">
        <v>588</v>
      </c>
      <c r="K297" s="2568"/>
      <c r="L297" s="2568"/>
      <c r="M297" s="2569">
        <f>ROUND(($M$296),0)</f>
        <v>259842</v>
      </c>
      <c r="N297" s="2568"/>
      <c r="O297" s="2568"/>
      <c r="P297" s="2568"/>
    </row>
    <row r="298" spans="1:16" x14ac:dyDescent="0.25">
      <c r="A298" s="2216" t="s">
        <v>233</v>
      </c>
      <c r="B298" s="2568" t="s">
        <v>6145</v>
      </c>
      <c r="C298" s="2568"/>
      <c r="D298" s="2568"/>
      <c r="E298" s="2568"/>
      <c r="F298" s="2568" t="s">
        <v>5730</v>
      </c>
      <c r="G298" s="2568"/>
      <c r="H298" s="2568"/>
      <c r="I298" s="2568"/>
      <c r="J298" s="2568"/>
      <c r="K298" s="2568"/>
      <c r="L298" s="2568"/>
      <c r="M298" s="2568"/>
      <c r="N298" s="2568"/>
      <c r="O298" s="2568"/>
      <c r="P298" s="2568"/>
    </row>
    <row r="299" spans="1:16" ht="409.6" customHeight="1" x14ac:dyDescent="0.25">
      <c r="A299" s="2219" t="s">
        <v>4415</v>
      </c>
      <c r="B299" s="2573" t="s">
        <v>6238</v>
      </c>
      <c r="C299" s="2574"/>
      <c r="D299" s="2574"/>
      <c r="E299" s="2574"/>
      <c r="F299" s="2574" t="s">
        <v>6239</v>
      </c>
      <c r="G299" s="2574"/>
      <c r="H299" s="2574"/>
      <c r="I299" s="2574"/>
      <c r="J299" s="2574" t="s">
        <v>6456</v>
      </c>
      <c r="K299" s="2574"/>
      <c r="L299" s="2574"/>
      <c r="M299" s="2575">
        <f>ROUND(70000 * 1 * 1.68 * 0.4 * 0.35 * 1.3, 0)</f>
        <v>21403</v>
      </c>
      <c r="N299" s="2574"/>
      <c r="O299" s="2574" t="s">
        <v>7605</v>
      </c>
      <c r="P299" s="2574"/>
    </row>
    <row r="300" spans="1:16" x14ac:dyDescent="0.25">
      <c r="A300" s="2218"/>
      <c r="B300" s="2571" t="s">
        <v>4168</v>
      </c>
      <c r="C300" s="2571"/>
      <c r="D300" s="2571"/>
      <c r="E300" s="2571"/>
      <c r="F300" s="2571" t="s">
        <v>588</v>
      </c>
      <c r="G300" s="2571"/>
      <c r="H300" s="2571"/>
      <c r="I300" s="2571"/>
      <c r="J300" s="2571" t="s">
        <v>588</v>
      </c>
      <c r="K300" s="2571"/>
      <c r="L300" s="2571"/>
      <c r="M300" s="2571"/>
      <c r="N300" s="2571"/>
      <c r="O300" s="2571"/>
      <c r="P300" s="2571"/>
    </row>
    <row r="301" spans="1:16" x14ac:dyDescent="0.25">
      <c r="A301" s="2217"/>
      <c r="B301" s="2572" t="s">
        <v>6142</v>
      </c>
      <c r="C301" s="2572"/>
      <c r="D301" s="2572"/>
      <c r="E301" s="2572"/>
      <c r="F301" s="2572" t="s">
        <v>6156</v>
      </c>
      <c r="G301" s="2572"/>
      <c r="H301" s="2572"/>
      <c r="I301" s="2572"/>
      <c r="J301" s="2572" t="s">
        <v>588</v>
      </c>
      <c r="K301" s="2572"/>
      <c r="L301" s="2572"/>
      <c r="M301" s="2572"/>
      <c r="N301" s="2572"/>
      <c r="O301" s="2572"/>
      <c r="P301" s="2572"/>
    </row>
    <row r="302" spans="1:16" ht="40.9" customHeight="1" x14ac:dyDescent="0.25">
      <c r="A302" s="2217"/>
      <c r="B302" s="2572" t="s">
        <v>6447</v>
      </c>
      <c r="C302" s="2572"/>
      <c r="D302" s="2572"/>
      <c r="E302" s="2572"/>
      <c r="F302" s="2572" t="s">
        <v>6448</v>
      </c>
      <c r="G302" s="2572"/>
      <c r="H302" s="2572"/>
      <c r="I302" s="2572"/>
      <c r="J302" s="2572" t="s">
        <v>588</v>
      </c>
      <c r="K302" s="2572"/>
      <c r="L302" s="2572"/>
      <c r="M302" s="2572"/>
      <c r="N302" s="2572"/>
      <c r="O302" s="2572"/>
      <c r="P302" s="2572"/>
    </row>
    <row r="303" spans="1:16" ht="68.099999999999994" customHeight="1" x14ac:dyDescent="0.25">
      <c r="A303" s="2217"/>
      <c r="B303" s="2572" t="s">
        <v>6240</v>
      </c>
      <c r="C303" s="2572"/>
      <c r="D303" s="2572"/>
      <c r="E303" s="2572"/>
      <c r="F303" s="2572" t="s">
        <v>6241</v>
      </c>
      <c r="G303" s="2572"/>
      <c r="H303" s="2572"/>
      <c r="I303" s="2572"/>
      <c r="J303" s="2572" t="s">
        <v>588</v>
      </c>
      <c r="K303" s="2572"/>
      <c r="L303" s="2572"/>
      <c r="M303" s="2572"/>
      <c r="N303" s="2572"/>
      <c r="O303" s="2572"/>
      <c r="P303" s="2572"/>
    </row>
    <row r="304" spans="1:16" ht="149.65" customHeight="1" x14ac:dyDescent="0.25">
      <c r="A304" s="2217"/>
      <c r="B304" s="2572" t="s">
        <v>6148</v>
      </c>
      <c r="C304" s="2572"/>
      <c r="D304" s="2572"/>
      <c r="E304" s="2572"/>
      <c r="F304" s="2572" t="s">
        <v>6242</v>
      </c>
      <c r="G304" s="2572"/>
      <c r="H304" s="2572"/>
      <c r="I304" s="2572"/>
      <c r="J304" s="2572" t="s">
        <v>588</v>
      </c>
      <c r="K304" s="2572"/>
      <c r="L304" s="2572"/>
      <c r="M304" s="2572"/>
      <c r="N304" s="2572"/>
      <c r="O304" s="2572"/>
      <c r="P304" s="2572"/>
    </row>
    <row r="305" spans="1:16" x14ac:dyDescent="0.25">
      <c r="A305" s="2218"/>
      <c r="B305" s="2571" t="s">
        <v>6150</v>
      </c>
      <c r="C305" s="2571"/>
      <c r="D305" s="2571"/>
      <c r="E305" s="2571"/>
      <c r="F305" s="2571" t="s">
        <v>588</v>
      </c>
      <c r="G305" s="2571"/>
      <c r="H305" s="2571"/>
      <c r="I305" s="2571"/>
      <c r="J305" s="2571" t="s">
        <v>6243</v>
      </c>
      <c r="K305" s="2571"/>
      <c r="L305" s="2571"/>
      <c r="M305" s="2571"/>
      <c r="N305" s="2571"/>
      <c r="O305" s="2571"/>
      <c r="P305" s="2571"/>
    </row>
    <row r="306" spans="1:16" x14ac:dyDescent="0.25">
      <c r="A306" s="2217"/>
      <c r="B306" s="2572" t="s">
        <v>6244</v>
      </c>
      <c r="C306" s="2572"/>
      <c r="D306" s="2572"/>
      <c r="E306" s="2572"/>
      <c r="F306" s="2572" t="s">
        <v>6457</v>
      </c>
      <c r="G306" s="2572"/>
      <c r="H306" s="2572"/>
      <c r="I306" s="2572"/>
      <c r="J306" s="2572" t="s">
        <v>588</v>
      </c>
      <c r="K306" s="2572"/>
      <c r="L306" s="2572"/>
      <c r="M306" s="2572"/>
      <c r="N306" s="2572"/>
      <c r="O306" s="2572"/>
      <c r="P306" s="2572"/>
    </row>
    <row r="307" spans="1:16" ht="135.94999999999999" customHeight="1" x14ac:dyDescent="0.25">
      <c r="A307" s="2219" t="s">
        <v>6132</v>
      </c>
      <c r="B307" s="2573" t="s">
        <v>6245</v>
      </c>
      <c r="C307" s="2574"/>
      <c r="D307" s="2574"/>
      <c r="E307" s="2574"/>
      <c r="F307" s="2574" t="s">
        <v>7185</v>
      </c>
      <c r="G307" s="2574"/>
      <c r="H307" s="2574"/>
      <c r="I307" s="2574"/>
      <c r="J307" s="2574" t="s">
        <v>7290</v>
      </c>
      <c r="K307" s="2574"/>
      <c r="L307" s="2574"/>
      <c r="M307" s="2575">
        <f>ROUND((30300 + 209 * 800) * 1 * 1.68 * 0.4 * 0.8 * 1.24947, 0)</f>
        <v>132664</v>
      </c>
      <c r="N307" s="2574"/>
      <c r="O307" s="2574" t="s">
        <v>7602</v>
      </c>
      <c r="P307" s="2574"/>
    </row>
    <row r="308" spans="1:16" x14ac:dyDescent="0.25">
      <c r="A308" s="2218"/>
      <c r="B308" s="2571" t="s">
        <v>4168</v>
      </c>
      <c r="C308" s="2571"/>
      <c r="D308" s="2571"/>
      <c r="E308" s="2571"/>
      <c r="F308" s="2571" t="s">
        <v>588</v>
      </c>
      <c r="G308" s="2571"/>
      <c r="H308" s="2571"/>
      <c r="I308" s="2571"/>
      <c r="J308" s="2571" t="s">
        <v>588</v>
      </c>
      <c r="K308" s="2571"/>
      <c r="L308" s="2571"/>
      <c r="M308" s="2571"/>
      <c r="N308" s="2571"/>
      <c r="O308" s="2571"/>
      <c r="P308" s="2571"/>
    </row>
    <row r="309" spans="1:16" x14ac:dyDescent="0.25">
      <c r="A309" s="2217"/>
      <c r="B309" s="2572" t="s">
        <v>6142</v>
      </c>
      <c r="C309" s="2572"/>
      <c r="D309" s="2572"/>
      <c r="E309" s="2572"/>
      <c r="F309" s="2572" t="s">
        <v>6156</v>
      </c>
      <c r="G309" s="2572"/>
      <c r="H309" s="2572"/>
      <c r="I309" s="2572"/>
      <c r="J309" s="2572" t="s">
        <v>588</v>
      </c>
      <c r="K309" s="2572"/>
      <c r="L309" s="2572"/>
      <c r="M309" s="2572"/>
      <c r="N309" s="2572"/>
      <c r="O309" s="2572"/>
      <c r="P309" s="2572"/>
    </row>
    <row r="310" spans="1:16" ht="40.9" customHeight="1" x14ac:dyDescent="0.25">
      <c r="A310" s="2217"/>
      <c r="B310" s="2572" t="s">
        <v>6447</v>
      </c>
      <c r="C310" s="2572"/>
      <c r="D310" s="2572"/>
      <c r="E310" s="2572"/>
      <c r="F310" s="2572" t="s">
        <v>6448</v>
      </c>
      <c r="G310" s="2572"/>
      <c r="H310" s="2572"/>
      <c r="I310" s="2572"/>
      <c r="J310" s="2572" t="s">
        <v>588</v>
      </c>
      <c r="K310" s="2572"/>
      <c r="L310" s="2572"/>
      <c r="M310" s="2572"/>
      <c r="N310" s="2572"/>
      <c r="O310" s="2572"/>
      <c r="P310" s="2572"/>
    </row>
    <row r="311" spans="1:16" ht="54.4" customHeight="1" x14ac:dyDescent="0.25">
      <c r="A311" s="2217"/>
      <c r="B311" s="2572" t="s">
        <v>6246</v>
      </c>
      <c r="C311" s="2572"/>
      <c r="D311" s="2572"/>
      <c r="E311" s="2572"/>
      <c r="F311" s="2572" t="s">
        <v>6247</v>
      </c>
      <c r="G311" s="2572"/>
      <c r="H311" s="2572"/>
      <c r="I311" s="2572"/>
      <c r="J311" s="2572" t="s">
        <v>588</v>
      </c>
      <c r="K311" s="2572"/>
      <c r="L311" s="2572"/>
      <c r="M311" s="2572"/>
      <c r="N311" s="2572"/>
      <c r="O311" s="2572"/>
      <c r="P311" s="2572"/>
    </row>
    <row r="312" spans="1:16" ht="149.65" customHeight="1" x14ac:dyDescent="0.25">
      <c r="A312" s="2217"/>
      <c r="B312" s="2572" t="s">
        <v>6148</v>
      </c>
      <c r="C312" s="2572"/>
      <c r="D312" s="2572"/>
      <c r="E312" s="2572"/>
      <c r="F312" s="2572" t="s">
        <v>6248</v>
      </c>
      <c r="G312" s="2572"/>
      <c r="H312" s="2572"/>
      <c r="I312" s="2572"/>
      <c r="J312" s="2572" t="s">
        <v>588</v>
      </c>
      <c r="K312" s="2572"/>
      <c r="L312" s="2572"/>
      <c r="M312" s="2572"/>
      <c r="N312" s="2572"/>
      <c r="O312" s="2572"/>
      <c r="P312" s="2572"/>
    </row>
    <row r="313" spans="1:16" ht="54.4" customHeight="1" x14ac:dyDescent="0.25">
      <c r="A313" s="2218"/>
      <c r="B313" s="2571" t="s">
        <v>6150</v>
      </c>
      <c r="C313" s="2571"/>
      <c r="D313" s="2571"/>
      <c r="E313" s="2571"/>
      <c r="F313" s="2571" t="s">
        <v>588</v>
      </c>
      <c r="G313" s="2571"/>
      <c r="H313" s="2571"/>
      <c r="I313" s="2571"/>
      <c r="J313" s="2571" t="s">
        <v>7126</v>
      </c>
      <c r="K313" s="2571"/>
      <c r="L313" s="2571"/>
      <c r="M313" s="2571"/>
      <c r="N313" s="2571"/>
      <c r="O313" s="2571"/>
      <c r="P313" s="2571"/>
    </row>
    <row r="314" spans="1:16" x14ac:dyDescent="0.25">
      <c r="A314" s="2217"/>
      <c r="B314" s="2572" t="s">
        <v>6160</v>
      </c>
      <c r="C314" s="2572"/>
      <c r="D314" s="2572"/>
      <c r="E314" s="2572"/>
      <c r="F314" s="2572" t="s">
        <v>7184</v>
      </c>
      <c r="G314" s="2572"/>
      <c r="H314" s="2572"/>
      <c r="I314" s="2572"/>
      <c r="J314" s="2572" t="s">
        <v>588</v>
      </c>
      <c r="K314" s="2572"/>
      <c r="L314" s="2572"/>
      <c r="M314" s="2572"/>
      <c r="N314" s="2572"/>
      <c r="O314" s="2572"/>
      <c r="P314" s="2572"/>
    </row>
    <row r="315" spans="1:16" x14ac:dyDescent="0.25">
      <c r="A315" s="2217"/>
      <c r="B315" s="2572" t="s">
        <v>6177</v>
      </c>
      <c r="C315" s="2572"/>
      <c r="D315" s="2572"/>
      <c r="E315" s="2572"/>
      <c r="F315" s="2572" t="s">
        <v>7183</v>
      </c>
      <c r="G315" s="2572"/>
      <c r="H315" s="2572"/>
      <c r="I315" s="2572"/>
      <c r="J315" s="2572" t="s">
        <v>588</v>
      </c>
      <c r="K315" s="2572"/>
      <c r="L315" s="2572"/>
      <c r="M315" s="2572"/>
      <c r="N315" s="2572"/>
      <c r="O315" s="2572"/>
      <c r="P315" s="2572"/>
    </row>
    <row r="316" spans="1:16" x14ac:dyDescent="0.25">
      <c r="A316" s="2217"/>
      <c r="B316" s="2572" t="s">
        <v>6249</v>
      </c>
      <c r="C316" s="2572"/>
      <c r="D316" s="2572"/>
      <c r="E316" s="2572"/>
      <c r="F316" s="2572" t="s">
        <v>7182</v>
      </c>
      <c r="G316" s="2572"/>
      <c r="H316" s="2572"/>
      <c r="I316" s="2572"/>
      <c r="J316" s="2572" t="s">
        <v>588</v>
      </c>
      <c r="K316" s="2572"/>
      <c r="L316" s="2572"/>
      <c r="M316" s="2572"/>
      <c r="N316" s="2572"/>
      <c r="O316" s="2572"/>
      <c r="P316" s="2572"/>
    </row>
    <row r="317" spans="1:16" x14ac:dyDescent="0.25">
      <c r="A317" s="2217"/>
      <c r="B317" s="2572" t="s">
        <v>6165</v>
      </c>
      <c r="C317" s="2572"/>
      <c r="D317" s="2572"/>
      <c r="E317" s="2572"/>
      <c r="F317" s="2572" t="s">
        <v>7181</v>
      </c>
      <c r="G317" s="2572"/>
      <c r="H317" s="2572"/>
      <c r="I317" s="2572"/>
      <c r="J317" s="2572" t="s">
        <v>588</v>
      </c>
      <c r="K317" s="2572"/>
      <c r="L317" s="2572"/>
      <c r="M317" s="2572"/>
      <c r="N317" s="2572"/>
      <c r="O317" s="2572"/>
      <c r="P317" s="2572"/>
    </row>
    <row r="318" spans="1:16" x14ac:dyDescent="0.25">
      <c r="A318" s="2217"/>
      <c r="B318" s="2572" t="s">
        <v>6184</v>
      </c>
      <c r="C318" s="2572"/>
      <c r="D318" s="2572"/>
      <c r="E318" s="2572"/>
      <c r="F318" s="2572" t="s">
        <v>7180</v>
      </c>
      <c r="G318" s="2572"/>
      <c r="H318" s="2572"/>
      <c r="I318" s="2572"/>
      <c r="J318" s="2572" t="s">
        <v>588</v>
      </c>
      <c r="K318" s="2572"/>
      <c r="L318" s="2572"/>
      <c r="M318" s="2572"/>
      <c r="N318" s="2572"/>
      <c r="O318" s="2572"/>
      <c r="P318" s="2572"/>
    </row>
    <row r="319" spans="1:16" x14ac:dyDescent="0.25">
      <c r="A319" s="2217"/>
      <c r="B319" s="2572" t="s">
        <v>6185</v>
      </c>
      <c r="C319" s="2572"/>
      <c r="D319" s="2572"/>
      <c r="E319" s="2572"/>
      <c r="F319" s="2572" t="s">
        <v>7179</v>
      </c>
      <c r="G319" s="2572"/>
      <c r="H319" s="2572"/>
      <c r="I319" s="2572"/>
      <c r="J319" s="2572" t="s">
        <v>588</v>
      </c>
      <c r="K319" s="2572"/>
      <c r="L319" s="2572"/>
      <c r="M319" s="2572"/>
      <c r="N319" s="2572"/>
      <c r="O319" s="2572"/>
      <c r="P319" s="2572"/>
    </row>
    <row r="320" spans="1:16" x14ac:dyDescent="0.25">
      <c r="A320" s="2217"/>
      <c r="B320" s="2572" t="s">
        <v>6234</v>
      </c>
      <c r="C320" s="2572"/>
      <c r="D320" s="2572"/>
      <c r="E320" s="2572"/>
      <c r="F320" s="2572" t="s">
        <v>7289</v>
      </c>
      <c r="G320" s="2572"/>
      <c r="H320" s="2572"/>
      <c r="I320" s="2572"/>
      <c r="J320" s="2572" t="s">
        <v>588</v>
      </c>
      <c r="K320" s="2572"/>
      <c r="L320" s="2572"/>
      <c r="M320" s="2572"/>
      <c r="N320" s="2572"/>
      <c r="O320" s="2572"/>
      <c r="P320" s="2572"/>
    </row>
    <row r="321" spans="1:16" ht="163.15" customHeight="1" x14ac:dyDescent="0.25">
      <c r="A321" s="2219" t="s">
        <v>6264</v>
      </c>
      <c r="B321" s="2573" t="s">
        <v>6250</v>
      </c>
      <c r="C321" s="2574"/>
      <c r="D321" s="2574"/>
      <c r="E321" s="2574"/>
      <c r="F321" s="2574" t="s">
        <v>7088</v>
      </c>
      <c r="G321" s="2574"/>
      <c r="H321" s="2574"/>
      <c r="I321" s="2574"/>
      <c r="J321" s="2574" t="s">
        <v>7277</v>
      </c>
      <c r="K321" s="2574"/>
      <c r="L321" s="2574"/>
      <c r="M321" s="2575">
        <f>ROUND((297700 + 2290 * (0.4 * 100 + 0.6 * (100 / 2))) * 1 * 0.4 * 1.68 * 0.4 * 1.1 * 0.9 * 1.24632, 0)</f>
        <v>151901</v>
      </c>
      <c r="N321" s="2574"/>
      <c r="O321" s="2574" t="s">
        <v>588</v>
      </c>
      <c r="P321" s="2574"/>
    </row>
    <row r="322" spans="1:16" x14ac:dyDescent="0.25">
      <c r="A322" s="2218"/>
      <c r="B322" s="2571" t="s">
        <v>4168</v>
      </c>
      <c r="C322" s="2571"/>
      <c r="D322" s="2571"/>
      <c r="E322" s="2571"/>
      <c r="F322" s="2571" t="s">
        <v>588</v>
      </c>
      <c r="G322" s="2571"/>
      <c r="H322" s="2571"/>
      <c r="I322" s="2571"/>
      <c r="J322" s="2571" t="s">
        <v>588</v>
      </c>
      <c r="K322" s="2571"/>
      <c r="L322" s="2571"/>
      <c r="M322" s="2571"/>
      <c r="N322" s="2571"/>
      <c r="O322" s="2571"/>
      <c r="P322" s="2571"/>
    </row>
    <row r="323" spans="1:16" x14ac:dyDescent="0.25">
      <c r="A323" s="2217"/>
      <c r="B323" s="2572" t="s">
        <v>6142</v>
      </c>
      <c r="C323" s="2572"/>
      <c r="D323" s="2572"/>
      <c r="E323" s="2572"/>
      <c r="F323" s="2572" t="s">
        <v>6156</v>
      </c>
      <c r="G323" s="2572"/>
      <c r="H323" s="2572"/>
      <c r="I323" s="2572"/>
      <c r="J323" s="2572" t="s">
        <v>588</v>
      </c>
      <c r="K323" s="2572"/>
      <c r="L323" s="2572"/>
      <c r="M323" s="2572"/>
      <c r="N323" s="2572"/>
      <c r="O323" s="2572"/>
      <c r="P323" s="2572"/>
    </row>
    <row r="324" spans="1:16" ht="40.9" customHeight="1" x14ac:dyDescent="0.25">
      <c r="A324" s="2217"/>
      <c r="B324" s="2572" t="s">
        <v>6447</v>
      </c>
      <c r="C324" s="2572"/>
      <c r="D324" s="2572"/>
      <c r="E324" s="2572"/>
      <c r="F324" s="2572" t="s">
        <v>6448</v>
      </c>
      <c r="G324" s="2572"/>
      <c r="H324" s="2572"/>
      <c r="I324" s="2572"/>
      <c r="J324" s="2572" t="s">
        <v>588</v>
      </c>
      <c r="K324" s="2572"/>
      <c r="L324" s="2572"/>
      <c r="M324" s="2572"/>
      <c r="N324" s="2572"/>
      <c r="O324" s="2572"/>
      <c r="P324" s="2572"/>
    </row>
    <row r="325" spans="1:16" ht="95.25" customHeight="1" x14ac:dyDescent="0.25">
      <c r="A325" s="2217"/>
      <c r="B325" s="2572" t="s">
        <v>6251</v>
      </c>
      <c r="C325" s="2572"/>
      <c r="D325" s="2572"/>
      <c r="E325" s="2572"/>
      <c r="F325" s="2572" t="s">
        <v>6252</v>
      </c>
      <c r="G325" s="2572"/>
      <c r="H325" s="2572"/>
      <c r="I325" s="2572"/>
      <c r="J325" s="2572" t="s">
        <v>588</v>
      </c>
      <c r="K325" s="2572"/>
      <c r="L325" s="2572"/>
      <c r="M325" s="2572"/>
      <c r="N325" s="2572"/>
      <c r="O325" s="2572"/>
      <c r="P325" s="2572"/>
    </row>
    <row r="326" spans="1:16" ht="40.9" customHeight="1" x14ac:dyDescent="0.25">
      <c r="A326" s="2217"/>
      <c r="B326" s="2572" t="s">
        <v>6253</v>
      </c>
      <c r="C326" s="2572"/>
      <c r="D326" s="2572"/>
      <c r="E326" s="2572"/>
      <c r="F326" s="2572" t="s">
        <v>6254</v>
      </c>
      <c r="G326" s="2572"/>
      <c r="H326" s="2572"/>
      <c r="I326" s="2572"/>
      <c r="J326" s="2572" t="s">
        <v>588</v>
      </c>
      <c r="K326" s="2572"/>
      <c r="L326" s="2572"/>
      <c r="M326" s="2572"/>
      <c r="N326" s="2572"/>
      <c r="O326" s="2572"/>
      <c r="P326" s="2572"/>
    </row>
    <row r="327" spans="1:16" ht="108.75" customHeight="1" x14ac:dyDescent="0.25">
      <c r="A327" s="2217"/>
      <c r="B327" s="2572" t="s">
        <v>6255</v>
      </c>
      <c r="C327" s="2572"/>
      <c r="D327" s="2572"/>
      <c r="E327" s="2572"/>
      <c r="F327" s="2572" t="s">
        <v>6256</v>
      </c>
      <c r="G327" s="2572"/>
      <c r="H327" s="2572"/>
      <c r="I327" s="2572"/>
      <c r="J327" s="2572" t="s">
        <v>588</v>
      </c>
      <c r="K327" s="2572"/>
      <c r="L327" s="2572"/>
      <c r="M327" s="2572"/>
      <c r="N327" s="2572"/>
      <c r="O327" s="2572"/>
      <c r="P327" s="2572"/>
    </row>
    <row r="328" spans="1:16" ht="149.65" customHeight="1" x14ac:dyDescent="0.25">
      <c r="A328" s="2217"/>
      <c r="B328" s="2572" t="s">
        <v>6148</v>
      </c>
      <c r="C328" s="2572"/>
      <c r="D328" s="2572"/>
      <c r="E328" s="2572"/>
      <c r="F328" s="2572" t="s">
        <v>6257</v>
      </c>
      <c r="G328" s="2572"/>
      <c r="H328" s="2572"/>
      <c r="I328" s="2572"/>
      <c r="J328" s="2572" t="s">
        <v>588</v>
      </c>
      <c r="K328" s="2572"/>
      <c r="L328" s="2572"/>
      <c r="M328" s="2572"/>
      <c r="N328" s="2572"/>
      <c r="O328" s="2572"/>
      <c r="P328" s="2572"/>
    </row>
    <row r="329" spans="1:16" ht="54.4" customHeight="1" x14ac:dyDescent="0.25">
      <c r="A329" s="2218"/>
      <c r="B329" s="2571" t="s">
        <v>6150</v>
      </c>
      <c r="C329" s="2571"/>
      <c r="D329" s="2571"/>
      <c r="E329" s="2571"/>
      <c r="F329" s="2571" t="s">
        <v>588</v>
      </c>
      <c r="G329" s="2571"/>
      <c r="H329" s="2571"/>
      <c r="I329" s="2571"/>
      <c r="J329" s="2571" t="s">
        <v>7276</v>
      </c>
      <c r="K329" s="2571"/>
      <c r="L329" s="2571"/>
      <c r="M329" s="2571"/>
      <c r="N329" s="2571"/>
      <c r="O329" s="2571"/>
      <c r="P329" s="2571"/>
    </row>
    <row r="330" spans="1:16" x14ac:dyDescent="0.25">
      <c r="A330" s="2217"/>
      <c r="B330" s="2572" t="s">
        <v>6160</v>
      </c>
      <c r="C330" s="2572"/>
      <c r="D330" s="2572"/>
      <c r="E330" s="2572"/>
      <c r="F330" s="2572" t="s">
        <v>6458</v>
      </c>
      <c r="G330" s="2572"/>
      <c r="H330" s="2572"/>
      <c r="I330" s="2572"/>
      <c r="J330" s="2572" t="s">
        <v>588</v>
      </c>
      <c r="K330" s="2572"/>
      <c r="L330" s="2572"/>
      <c r="M330" s="2572"/>
      <c r="N330" s="2572"/>
      <c r="O330" s="2572"/>
      <c r="P330" s="2572"/>
    </row>
    <row r="331" spans="1:16" x14ac:dyDescent="0.25">
      <c r="A331" s="2217"/>
      <c r="B331" s="2572" t="s">
        <v>6177</v>
      </c>
      <c r="C331" s="2572"/>
      <c r="D331" s="2572"/>
      <c r="E331" s="2572"/>
      <c r="F331" s="2572" t="s">
        <v>6459</v>
      </c>
      <c r="G331" s="2572"/>
      <c r="H331" s="2572"/>
      <c r="I331" s="2572"/>
      <c r="J331" s="2572" t="s">
        <v>588</v>
      </c>
      <c r="K331" s="2572"/>
      <c r="L331" s="2572"/>
      <c r="M331" s="2572"/>
      <c r="N331" s="2572"/>
      <c r="O331" s="2572"/>
      <c r="P331" s="2572"/>
    </row>
    <row r="332" spans="1:16" x14ac:dyDescent="0.25">
      <c r="A332" s="2217"/>
      <c r="B332" s="2572" t="s">
        <v>6249</v>
      </c>
      <c r="C332" s="2572"/>
      <c r="D332" s="2572"/>
      <c r="E332" s="2572"/>
      <c r="F332" s="2572" t="s">
        <v>6460</v>
      </c>
      <c r="G332" s="2572"/>
      <c r="H332" s="2572"/>
      <c r="I332" s="2572"/>
      <c r="J332" s="2572" t="s">
        <v>588</v>
      </c>
      <c r="K332" s="2572"/>
      <c r="L332" s="2572"/>
      <c r="M332" s="2572"/>
      <c r="N332" s="2572"/>
      <c r="O332" s="2572"/>
      <c r="P332" s="2572"/>
    </row>
    <row r="333" spans="1:16" x14ac:dyDescent="0.25">
      <c r="A333" s="2217"/>
      <c r="B333" s="2572" t="s">
        <v>6165</v>
      </c>
      <c r="C333" s="2572"/>
      <c r="D333" s="2572"/>
      <c r="E333" s="2572"/>
      <c r="F333" s="2572" t="s">
        <v>6461</v>
      </c>
      <c r="G333" s="2572"/>
      <c r="H333" s="2572"/>
      <c r="I333" s="2572"/>
      <c r="J333" s="2572" t="s">
        <v>588</v>
      </c>
      <c r="K333" s="2572"/>
      <c r="L333" s="2572"/>
      <c r="M333" s="2572"/>
      <c r="N333" s="2572"/>
      <c r="O333" s="2572"/>
      <c r="P333" s="2572"/>
    </row>
    <row r="334" spans="1:16" x14ac:dyDescent="0.25">
      <c r="A334" s="2217"/>
      <c r="B334" s="2572" t="s">
        <v>6184</v>
      </c>
      <c r="C334" s="2572"/>
      <c r="D334" s="2572"/>
      <c r="E334" s="2572"/>
      <c r="F334" s="2572" t="s">
        <v>6462</v>
      </c>
      <c r="G334" s="2572"/>
      <c r="H334" s="2572"/>
      <c r="I334" s="2572"/>
      <c r="J334" s="2572" t="s">
        <v>588</v>
      </c>
      <c r="K334" s="2572"/>
      <c r="L334" s="2572"/>
      <c r="M334" s="2572"/>
      <c r="N334" s="2572"/>
      <c r="O334" s="2572"/>
      <c r="P334" s="2572"/>
    </row>
    <row r="335" spans="1:16" x14ac:dyDescent="0.25">
      <c r="A335" s="2217"/>
      <c r="B335" s="2572" t="s">
        <v>6185</v>
      </c>
      <c r="C335" s="2572"/>
      <c r="D335" s="2572"/>
      <c r="E335" s="2572"/>
      <c r="F335" s="2572" t="s">
        <v>6463</v>
      </c>
      <c r="G335" s="2572"/>
      <c r="H335" s="2572"/>
      <c r="I335" s="2572"/>
      <c r="J335" s="2572" t="s">
        <v>588</v>
      </c>
      <c r="K335" s="2572"/>
      <c r="L335" s="2572"/>
      <c r="M335" s="2572"/>
      <c r="N335" s="2572"/>
      <c r="O335" s="2572"/>
      <c r="P335" s="2572"/>
    </row>
    <row r="336" spans="1:16" x14ac:dyDescent="0.25">
      <c r="A336" s="2217"/>
      <c r="B336" s="2572" t="s">
        <v>6234</v>
      </c>
      <c r="C336" s="2572"/>
      <c r="D336" s="2572"/>
      <c r="E336" s="2572"/>
      <c r="F336" s="2572" t="s">
        <v>7275</v>
      </c>
      <c r="G336" s="2572"/>
      <c r="H336" s="2572"/>
      <c r="I336" s="2572"/>
      <c r="J336" s="2572" t="s">
        <v>588</v>
      </c>
      <c r="K336" s="2572"/>
      <c r="L336" s="2572"/>
      <c r="M336" s="2572"/>
      <c r="N336" s="2572"/>
      <c r="O336" s="2572"/>
      <c r="P336" s="2572"/>
    </row>
    <row r="337" spans="1:16" x14ac:dyDescent="0.25">
      <c r="A337" s="2216" t="s">
        <v>6266</v>
      </c>
      <c r="B337" s="2568" t="s">
        <v>6258</v>
      </c>
      <c r="C337" s="2568"/>
      <c r="D337" s="2568"/>
      <c r="E337" s="2568"/>
      <c r="F337" s="2568"/>
      <c r="G337" s="2568"/>
      <c r="H337" s="2568"/>
      <c r="I337" s="2568"/>
      <c r="J337" s="2568" t="s">
        <v>588</v>
      </c>
      <c r="K337" s="2568"/>
      <c r="L337" s="2568"/>
      <c r="M337" s="2569">
        <f>ROUND(SUM($M$299:$M$321),0)</f>
        <v>305968</v>
      </c>
      <c r="N337" s="2568"/>
      <c r="O337" s="2568"/>
      <c r="P337" s="2568"/>
    </row>
    <row r="338" spans="1:16" x14ac:dyDescent="0.25">
      <c r="A338" s="2216" t="s">
        <v>7178</v>
      </c>
      <c r="B338" s="2568" t="s">
        <v>6259</v>
      </c>
      <c r="C338" s="2568"/>
      <c r="D338" s="2568"/>
      <c r="E338" s="2568"/>
      <c r="F338" s="2568"/>
      <c r="G338" s="2568"/>
      <c r="H338" s="2568"/>
      <c r="I338" s="2568"/>
      <c r="J338" s="2568" t="s">
        <v>588</v>
      </c>
      <c r="K338" s="2568"/>
      <c r="L338" s="2568"/>
      <c r="M338" s="2569">
        <f>ROUND(($M$337),0)</f>
        <v>305968</v>
      </c>
      <c r="N338" s="2568"/>
      <c r="O338" s="2568"/>
      <c r="P338" s="2568"/>
    </row>
    <row r="339" spans="1:16" x14ac:dyDescent="0.25">
      <c r="A339" s="2216" t="s">
        <v>238</v>
      </c>
      <c r="B339" s="2568" t="s">
        <v>6145</v>
      </c>
      <c r="C339" s="2568"/>
      <c r="D339" s="2568"/>
      <c r="E339" s="2568"/>
      <c r="F339" s="2568" t="s">
        <v>291</v>
      </c>
      <c r="G339" s="2568"/>
      <c r="H339" s="2568"/>
      <c r="I339" s="2568"/>
      <c r="J339" s="2568"/>
      <c r="K339" s="2568"/>
      <c r="L339" s="2568"/>
      <c r="M339" s="2568"/>
      <c r="N339" s="2568"/>
      <c r="O339" s="2568"/>
      <c r="P339" s="2568"/>
    </row>
    <row r="340" spans="1:16" ht="135.94999999999999" customHeight="1" x14ac:dyDescent="0.25">
      <c r="A340" s="2219" t="s">
        <v>4420</v>
      </c>
      <c r="B340" s="2573" t="s">
        <v>6260</v>
      </c>
      <c r="C340" s="2574"/>
      <c r="D340" s="2574"/>
      <c r="E340" s="2574"/>
      <c r="F340" s="2574" t="s">
        <v>7177</v>
      </c>
      <c r="G340" s="2574"/>
      <c r="H340" s="2574"/>
      <c r="I340" s="2574"/>
      <c r="J340" s="2574" t="s">
        <v>7288</v>
      </c>
      <c r="K340" s="2574"/>
      <c r="L340" s="2574"/>
      <c r="M340" s="2575">
        <f>ROUND((61600 + 92 * 800) * 1 * 1.68 * 0.4 * 1.25421, 0)</f>
        <v>113950</v>
      </c>
      <c r="N340" s="2574"/>
      <c r="O340" s="2574" t="s">
        <v>588</v>
      </c>
      <c r="P340" s="2574"/>
    </row>
    <row r="341" spans="1:16" x14ac:dyDescent="0.25">
      <c r="A341" s="2218"/>
      <c r="B341" s="2571" t="s">
        <v>4168</v>
      </c>
      <c r="C341" s="2571"/>
      <c r="D341" s="2571"/>
      <c r="E341" s="2571"/>
      <c r="F341" s="2571" t="s">
        <v>588</v>
      </c>
      <c r="G341" s="2571"/>
      <c r="H341" s="2571"/>
      <c r="I341" s="2571"/>
      <c r="J341" s="2571" t="s">
        <v>588</v>
      </c>
      <c r="K341" s="2571"/>
      <c r="L341" s="2571"/>
      <c r="M341" s="2571"/>
      <c r="N341" s="2571"/>
      <c r="O341" s="2571"/>
      <c r="P341" s="2571"/>
    </row>
    <row r="342" spans="1:16" x14ac:dyDescent="0.25">
      <c r="A342" s="2217"/>
      <c r="B342" s="2572" t="s">
        <v>6142</v>
      </c>
      <c r="C342" s="2572"/>
      <c r="D342" s="2572"/>
      <c r="E342" s="2572"/>
      <c r="F342" s="2572" t="s">
        <v>6156</v>
      </c>
      <c r="G342" s="2572"/>
      <c r="H342" s="2572"/>
      <c r="I342" s="2572"/>
      <c r="J342" s="2572" t="s">
        <v>588</v>
      </c>
      <c r="K342" s="2572"/>
      <c r="L342" s="2572"/>
      <c r="M342" s="2572"/>
      <c r="N342" s="2572"/>
      <c r="O342" s="2572"/>
      <c r="P342" s="2572"/>
    </row>
    <row r="343" spans="1:16" ht="40.9" customHeight="1" x14ac:dyDescent="0.25">
      <c r="A343" s="2217"/>
      <c r="B343" s="2572" t="s">
        <v>6447</v>
      </c>
      <c r="C343" s="2572"/>
      <c r="D343" s="2572"/>
      <c r="E343" s="2572"/>
      <c r="F343" s="2572" t="s">
        <v>6448</v>
      </c>
      <c r="G343" s="2572"/>
      <c r="H343" s="2572"/>
      <c r="I343" s="2572"/>
      <c r="J343" s="2572" t="s">
        <v>588</v>
      </c>
      <c r="K343" s="2572"/>
      <c r="L343" s="2572"/>
      <c r="M343" s="2572"/>
      <c r="N343" s="2572"/>
      <c r="O343" s="2572"/>
      <c r="P343" s="2572"/>
    </row>
    <row r="344" spans="1:16" ht="149.65" customHeight="1" x14ac:dyDescent="0.25">
      <c r="A344" s="2217"/>
      <c r="B344" s="2572" t="s">
        <v>6148</v>
      </c>
      <c r="C344" s="2572"/>
      <c r="D344" s="2572"/>
      <c r="E344" s="2572"/>
      <c r="F344" s="2572" t="s">
        <v>6193</v>
      </c>
      <c r="G344" s="2572"/>
      <c r="H344" s="2572"/>
      <c r="I344" s="2572"/>
      <c r="J344" s="2572" t="s">
        <v>588</v>
      </c>
      <c r="K344" s="2572"/>
      <c r="L344" s="2572"/>
      <c r="M344" s="2572"/>
      <c r="N344" s="2572"/>
      <c r="O344" s="2572"/>
      <c r="P344" s="2572"/>
    </row>
    <row r="345" spans="1:16" ht="54.4" customHeight="1" x14ac:dyDescent="0.25">
      <c r="A345" s="2218"/>
      <c r="B345" s="2571" t="s">
        <v>6150</v>
      </c>
      <c r="C345" s="2571"/>
      <c r="D345" s="2571"/>
      <c r="E345" s="2571"/>
      <c r="F345" s="2571" t="s">
        <v>588</v>
      </c>
      <c r="G345" s="2571"/>
      <c r="H345" s="2571"/>
      <c r="I345" s="2571"/>
      <c r="J345" s="2571" t="s">
        <v>7287</v>
      </c>
      <c r="K345" s="2571"/>
      <c r="L345" s="2571"/>
      <c r="M345" s="2571"/>
      <c r="N345" s="2571"/>
      <c r="O345" s="2571"/>
      <c r="P345" s="2571"/>
    </row>
    <row r="346" spans="1:16" x14ac:dyDescent="0.25">
      <c r="A346" s="2217"/>
      <c r="B346" s="2572" t="s">
        <v>6160</v>
      </c>
      <c r="C346" s="2572"/>
      <c r="D346" s="2572"/>
      <c r="E346" s="2572"/>
      <c r="F346" s="2572" t="s">
        <v>7176</v>
      </c>
      <c r="G346" s="2572"/>
      <c r="H346" s="2572"/>
      <c r="I346" s="2572"/>
      <c r="J346" s="2572" t="s">
        <v>588</v>
      </c>
      <c r="K346" s="2572"/>
      <c r="L346" s="2572"/>
      <c r="M346" s="2572"/>
      <c r="N346" s="2572"/>
      <c r="O346" s="2572"/>
      <c r="P346" s="2572"/>
    </row>
    <row r="347" spans="1:16" x14ac:dyDescent="0.25">
      <c r="A347" s="2217"/>
      <c r="B347" s="2572" t="s">
        <v>6177</v>
      </c>
      <c r="C347" s="2572"/>
      <c r="D347" s="2572"/>
      <c r="E347" s="2572"/>
      <c r="F347" s="2572" t="s">
        <v>7175</v>
      </c>
      <c r="G347" s="2572"/>
      <c r="H347" s="2572"/>
      <c r="I347" s="2572"/>
      <c r="J347" s="2572" t="s">
        <v>588</v>
      </c>
      <c r="K347" s="2572"/>
      <c r="L347" s="2572"/>
      <c r="M347" s="2572"/>
      <c r="N347" s="2572"/>
      <c r="O347" s="2572"/>
      <c r="P347" s="2572"/>
    </row>
    <row r="348" spans="1:16" x14ac:dyDescent="0.25">
      <c r="A348" s="2217"/>
      <c r="B348" s="2572" t="s">
        <v>6249</v>
      </c>
      <c r="C348" s="2572"/>
      <c r="D348" s="2572"/>
      <c r="E348" s="2572"/>
      <c r="F348" s="2572" t="s">
        <v>7174</v>
      </c>
      <c r="G348" s="2572"/>
      <c r="H348" s="2572"/>
      <c r="I348" s="2572"/>
      <c r="J348" s="2572" t="s">
        <v>588</v>
      </c>
      <c r="K348" s="2572"/>
      <c r="L348" s="2572"/>
      <c r="M348" s="2572"/>
      <c r="N348" s="2572"/>
      <c r="O348" s="2572"/>
      <c r="P348" s="2572"/>
    </row>
    <row r="349" spans="1:16" x14ac:dyDescent="0.25">
      <c r="A349" s="2217"/>
      <c r="B349" s="2572" t="s">
        <v>6165</v>
      </c>
      <c r="C349" s="2572"/>
      <c r="D349" s="2572"/>
      <c r="E349" s="2572"/>
      <c r="F349" s="2572" t="s">
        <v>7173</v>
      </c>
      <c r="G349" s="2572"/>
      <c r="H349" s="2572"/>
      <c r="I349" s="2572"/>
      <c r="J349" s="2572" t="s">
        <v>588</v>
      </c>
      <c r="K349" s="2572"/>
      <c r="L349" s="2572"/>
      <c r="M349" s="2572"/>
      <c r="N349" s="2572"/>
      <c r="O349" s="2572"/>
      <c r="P349" s="2572"/>
    </row>
    <row r="350" spans="1:16" x14ac:dyDescent="0.25">
      <c r="A350" s="2217"/>
      <c r="B350" s="2572" t="s">
        <v>6184</v>
      </c>
      <c r="C350" s="2572"/>
      <c r="D350" s="2572"/>
      <c r="E350" s="2572"/>
      <c r="F350" s="2572" t="s">
        <v>7173</v>
      </c>
      <c r="G350" s="2572"/>
      <c r="H350" s="2572"/>
      <c r="I350" s="2572"/>
      <c r="J350" s="2572" t="s">
        <v>588</v>
      </c>
      <c r="K350" s="2572"/>
      <c r="L350" s="2572"/>
      <c r="M350" s="2572"/>
      <c r="N350" s="2572"/>
      <c r="O350" s="2572"/>
      <c r="P350" s="2572"/>
    </row>
    <row r="351" spans="1:16" x14ac:dyDescent="0.25">
      <c r="A351" s="2217"/>
      <c r="B351" s="2572" t="s">
        <v>6185</v>
      </c>
      <c r="C351" s="2572"/>
      <c r="D351" s="2572"/>
      <c r="E351" s="2572"/>
      <c r="F351" s="2572" t="s">
        <v>7172</v>
      </c>
      <c r="G351" s="2572"/>
      <c r="H351" s="2572"/>
      <c r="I351" s="2572"/>
      <c r="J351" s="2572" t="s">
        <v>588</v>
      </c>
      <c r="K351" s="2572"/>
      <c r="L351" s="2572"/>
      <c r="M351" s="2572"/>
      <c r="N351" s="2572"/>
      <c r="O351" s="2572"/>
      <c r="P351" s="2572"/>
    </row>
    <row r="352" spans="1:16" x14ac:dyDescent="0.25">
      <c r="A352" s="2217"/>
      <c r="B352" s="2572" t="s">
        <v>6234</v>
      </c>
      <c r="C352" s="2572"/>
      <c r="D352" s="2572"/>
      <c r="E352" s="2572"/>
      <c r="F352" s="2572" t="s">
        <v>7286</v>
      </c>
      <c r="G352" s="2572"/>
      <c r="H352" s="2572"/>
      <c r="I352" s="2572"/>
      <c r="J352" s="2572" t="s">
        <v>588</v>
      </c>
      <c r="K352" s="2572"/>
      <c r="L352" s="2572"/>
      <c r="M352" s="2572"/>
      <c r="N352" s="2572"/>
      <c r="O352" s="2572"/>
      <c r="P352" s="2572"/>
    </row>
    <row r="353" spans="1:16" ht="135.94999999999999" customHeight="1" x14ac:dyDescent="0.25">
      <c r="A353" s="2219" t="s">
        <v>6270</v>
      </c>
      <c r="B353" s="2573" t="s">
        <v>6261</v>
      </c>
      <c r="C353" s="2574"/>
      <c r="D353" s="2574"/>
      <c r="E353" s="2574"/>
      <c r="F353" s="2574" t="s">
        <v>7171</v>
      </c>
      <c r="G353" s="2574"/>
      <c r="H353" s="2574"/>
      <c r="I353" s="2574"/>
      <c r="J353" s="2574" t="s">
        <v>7285</v>
      </c>
      <c r="K353" s="2574"/>
      <c r="L353" s="2574"/>
      <c r="M353" s="2575">
        <f>ROUND((61800 + 95 * 380) * 1 * 1.68 * 0.4 * 1.25895, 0)</f>
        <v>82825</v>
      </c>
      <c r="N353" s="2574"/>
      <c r="O353" s="2574" t="s">
        <v>588</v>
      </c>
      <c r="P353" s="2574"/>
    </row>
    <row r="354" spans="1:16" x14ac:dyDescent="0.25">
      <c r="A354" s="2218"/>
      <c r="B354" s="2571" t="s">
        <v>4168</v>
      </c>
      <c r="C354" s="2571"/>
      <c r="D354" s="2571"/>
      <c r="E354" s="2571"/>
      <c r="F354" s="2571" t="s">
        <v>588</v>
      </c>
      <c r="G354" s="2571"/>
      <c r="H354" s="2571"/>
      <c r="I354" s="2571"/>
      <c r="J354" s="2571" t="s">
        <v>588</v>
      </c>
      <c r="K354" s="2571"/>
      <c r="L354" s="2571"/>
      <c r="M354" s="2571"/>
      <c r="N354" s="2571"/>
      <c r="O354" s="2571"/>
      <c r="P354" s="2571"/>
    </row>
    <row r="355" spans="1:16" x14ac:dyDescent="0.25">
      <c r="A355" s="2217"/>
      <c r="B355" s="2572" t="s">
        <v>6142</v>
      </c>
      <c r="C355" s="2572"/>
      <c r="D355" s="2572"/>
      <c r="E355" s="2572"/>
      <c r="F355" s="2572" t="s">
        <v>6156</v>
      </c>
      <c r="G355" s="2572"/>
      <c r="H355" s="2572"/>
      <c r="I355" s="2572"/>
      <c r="J355" s="2572" t="s">
        <v>588</v>
      </c>
      <c r="K355" s="2572"/>
      <c r="L355" s="2572"/>
      <c r="M355" s="2572"/>
      <c r="N355" s="2572"/>
      <c r="O355" s="2572"/>
      <c r="P355" s="2572"/>
    </row>
    <row r="356" spans="1:16" ht="40.9" customHeight="1" x14ac:dyDescent="0.25">
      <c r="A356" s="2217"/>
      <c r="B356" s="2572" t="s">
        <v>6447</v>
      </c>
      <c r="C356" s="2572"/>
      <c r="D356" s="2572"/>
      <c r="E356" s="2572"/>
      <c r="F356" s="2572" t="s">
        <v>6448</v>
      </c>
      <c r="G356" s="2572"/>
      <c r="H356" s="2572"/>
      <c r="I356" s="2572"/>
      <c r="J356" s="2572" t="s">
        <v>588</v>
      </c>
      <c r="K356" s="2572"/>
      <c r="L356" s="2572"/>
      <c r="M356" s="2572"/>
      <c r="N356" s="2572"/>
      <c r="O356" s="2572"/>
      <c r="P356" s="2572"/>
    </row>
    <row r="357" spans="1:16" ht="149.65" customHeight="1" x14ac:dyDescent="0.25">
      <c r="A357" s="2217"/>
      <c r="B357" s="2572" t="s">
        <v>6148</v>
      </c>
      <c r="C357" s="2572"/>
      <c r="D357" s="2572"/>
      <c r="E357" s="2572"/>
      <c r="F357" s="2572" t="s">
        <v>6193</v>
      </c>
      <c r="G357" s="2572"/>
      <c r="H357" s="2572"/>
      <c r="I357" s="2572"/>
      <c r="J357" s="2572" t="s">
        <v>588</v>
      </c>
      <c r="K357" s="2572"/>
      <c r="L357" s="2572"/>
      <c r="M357" s="2572"/>
      <c r="N357" s="2572"/>
      <c r="O357" s="2572"/>
      <c r="P357" s="2572"/>
    </row>
    <row r="358" spans="1:16" ht="40.9" customHeight="1" x14ac:dyDescent="0.25">
      <c r="A358" s="2218"/>
      <c r="B358" s="2571" t="s">
        <v>6150</v>
      </c>
      <c r="C358" s="2571"/>
      <c r="D358" s="2571"/>
      <c r="E358" s="2571"/>
      <c r="F358" s="2571" t="s">
        <v>588</v>
      </c>
      <c r="G358" s="2571"/>
      <c r="H358" s="2571"/>
      <c r="I358" s="2571"/>
      <c r="J358" s="2571" t="s">
        <v>7284</v>
      </c>
      <c r="K358" s="2571"/>
      <c r="L358" s="2571"/>
      <c r="M358" s="2571"/>
      <c r="N358" s="2571"/>
      <c r="O358" s="2571"/>
      <c r="P358" s="2571"/>
    </row>
    <row r="359" spans="1:16" x14ac:dyDescent="0.25">
      <c r="A359" s="2217"/>
      <c r="B359" s="2572" t="s">
        <v>6160</v>
      </c>
      <c r="C359" s="2572"/>
      <c r="D359" s="2572"/>
      <c r="E359" s="2572"/>
      <c r="F359" s="2572" t="s">
        <v>7170</v>
      </c>
      <c r="G359" s="2572"/>
      <c r="H359" s="2572"/>
      <c r="I359" s="2572"/>
      <c r="J359" s="2572" t="s">
        <v>588</v>
      </c>
      <c r="K359" s="2572"/>
      <c r="L359" s="2572"/>
      <c r="M359" s="2572"/>
      <c r="N359" s="2572"/>
      <c r="O359" s="2572"/>
      <c r="P359" s="2572"/>
    </row>
    <row r="360" spans="1:16" x14ac:dyDescent="0.25">
      <c r="A360" s="2217"/>
      <c r="B360" s="2572" t="s">
        <v>6177</v>
      </c>
      <c r="C360" s="2572"/>
      <c r="D360" s="2572"/>
      <c r="E360" s="2572"/>
      <c r="F360" s="2572" t="s">
        <v>7169</v>
      </c>
      <c r="G360" s="2572"/>
      <c r="H360" s="2572"/>
      <c r="I360" s="2572"/>
      <c r="J360" s="2572" t="s">
        <v>588</v>
      </c>
      <c r="K360" s="2572"/>
      <c r="L360" s="2572"/>
      <c r="M360" s="2572"/>
      <c r="N360" s="2572"/>
      <c r="O360" s="2572"/>
      <c r="P360" s="2572"/>
    </row>
    <row r="361" spans="1:16" x14ac:dyDescent="0.25">
      <c r="A361" s="2217"/>
      <c r="B361" s="2572" t="s">
        <v>6249</v>
      </c>
      <c r="C361" s="2572"/>
      <c r="D361" s="2572"/>
      <c r="E361" s="2572"/>
      <c r="F361" s="2572" t="s">
        <v>7168</v>
      </c>
      <c r="G361" s="2572"/>
      <c r="H361" s="2572"/>
      <c r="I361" s="2572"/>
      <c r="J361" s="2572" t="s">
        <v>588</v>
      </c>
      <c r="K361" s="2572"/>
      <c r="L361" s="2572"/>
      <c r="M361" s="2572"/>
      <c r="N361" s="2572"/>
      <c r="O361" s="2572"/>
      <c r="P361" s="2572"/>
    </row>
    <row r="362" spans="1:16" x14ac:dyDescent="0.25">
      <c r="A362" s="2217"/>
      <c r="B362" s="2572" t="s">
        <v>6262</v>
      </c>
      <c r="C362" s="2572"/>
      <c r="D362" s="2572"/>
      <c r="E362" s="2572"/>
      <c r="F362" s="2572" t="s">
        <v>7167</v>
      </c>
      <c r="G362" s="2572"/>
      <c r="H362" s="2572"/>
      <c r="I362" s="2572"/>
      <c r="J362" s="2572" t="s">
        <v>588</v>
      </c>
      <c r="K362" s="2572"/>
      <c r="L362" s="2572"/>
      <c r="M362" s="2572"/>
      <c r="N362" s="2572"/>
      <c r="O362" s="2572"/>
      <c r="P362" s="2572"/>
    </row>
    <row r="363" spans="1:16" x14ac:dyDescent="0.25">
      <c r="A363" s="2217"/>
      <c r="B363" s="2572" t="s">
        <v>6263</v>
      </c>
      <c r="C363" s="2572"/>
      <c r="D363" s="2572"/>
      <c r="E363" s="2572"/>
      <c r="F363" s="2572" t="s">
        <v>7166</v>
      </c>
      <c r="G363" s="2572"/>
      <c r="H363" s="2572"/>
      <c r="I363" s="2572"/>
      <c r="J363" s="2572" t="s">
        <v>588</v>
      </c>
      <c r="K363" s="2572"/>
      <c r="L363" s="2572"/>
      <c r="M363" s="2572"/>
      <c r="N363" s="2572"/>
      <c r="O363" s="2572"/>
      <c r="P363" s="2572"/>
    </row>
    <row r="364" spans="1:16" x14ac:dyDescent="0.25">
      <c r="A364" s="2217"/>
      <c r="B364" s="2572" t="s">
        <v>6217</v>
      </c>
      <c r="C364" s="2572"/>
      <c r="D364" s="2572"/>
      <c r="E364" s="2572"/>
      <c r="F364" s="2572" t="s">
        <v>7283</v>
      </c>
      <c r="G364" s="2572"/>
      <c r="H364" s="2572"/>
      <c r="I364" s="2572"/>
      <c r="J364" s="2572" t="s">
        <v>588</v>
      </c>
      <c r="K364" s="2572"/>
      <c r="L364" s="2572"/>
      <c r="M364" s="2572"/>
      <c r="N364" s="2572"/>
      <c r="O364" s="2572"/>
      <c r="P364" s="2572"/>
    </row>
    <row r="365" spans="1:16" ht="163.15" customHeight="1" x14ac:dyDescent="0.25">
      <c r="A365" s="2219" t="s">
        <v>6271</v>
      </c>
      <c r="B365" s="2573" t="s">
        <v>7165</v>
      </c>
      <c r="C365" s="2574"/>
      <c r="D365" s="2574"/>
      <c r="E365" s="2574"/>
      <c r="F365" s="2574" t="s">
        <v>7164</v>
      </c>
      <c r="G365" s="2574"/>
      <c r="H365" s="2574"/>
      <c r="I365" s="2574"/>
      <c r="J365" s="2574" t="s">
        <v>7163</v>
      </c>
      <c r="K365" s="2574"/>
      <c r="L365" s="2574"/>
      <c r="M365" s="2575">
        <f>ROUND((14000 + 2000 * (0.4 * 25 + 0.6 * (25 / 2))) * 1 * 0.72 * 1.53 * 0.4 * 0.7 * 1.3, 0)</f>
        <v>19648</v>
      </c>
      <c r="N365" s="2574"/>
      <c r="O365" s="2574" t="s">
        <v>588</v>
      </c>
      <c r="P365" s="2574"/>
    </row>
    <row r="366" spans="1:16" x14ac:dyDescent="0.25">
      <c r="A366" s="2218"/>
      <c r="B366" s="2571" t="s">
        <v>4168</v>
      </c>
      <c r="C366" s="2571"/>
      <c r="D366" s="2571"/>
      <c r="E366" s="2571"/>
      <c r="F366" s="2571" t="s">
        <v>588</v>
      </c>
      <c r="G366" s="2571"/>
      <c r="H366" s="2571"/>
      <c r="I366" s="2571"/>
      <c r="J366" s="2571" t="s">
        <v>588</v>
      </c>
      <c r="K366" s="2571"/>
      <c r="L366" s="2571"/>
      <c r="M366" s="2571"/>
      <c r="N366" s="2571"/>
      <c r="O366" s="2571"/>
      <c r="P366" s="2571"/>
    </row>
    <row r="367" spans="1:16" x14ac:dyDescent="0.25">
      <c r="A367" s="2217"/>
      <c r="B367" s="2572" t="s">
        <v>6142</v>
      </c>
      <c r="C367" s="2572"/>
      <c r="D367" s="2572"/>
      <c r="E367" s="2572"/>
      <c r="F367" s="2572" t="s">
        <v>6156</v>
      </c>
      <c r="G367" s="2572"/>
      <c r="H367" s="2572"/>
      <c r="I367" s="2572"/>
      <c r="J367" s="2572" t="s">
        <v>588</v>
      </c>
      <c r="K367" s="2572"/>
      <c r="L367" s="2572"/>
      <c r="M367" s="2572"/>
      <c r="N367" s="2572"/>
      <c r="O367" s="2572"/>
      <c r="P367" s="2572"/>
    </row>
    <row r="368" spans="1:16" ht="40.9" customHeight="1" x14ac:dyDescent="0.25">
      <c r="A368" s="2217"/>
      <c r="B368" s="2572" t="s">
        <v>6401</v>
      </c>
      <c r="C368" s="2572"/>
      <c r="D368" s="2572"/>
      <c r="E368" s="2572"/>
      <c r="F368" s="2572" t="s">
        <v>6402</v>
      </c>
      <c r="G368" s="2572"/>
      <c r="H368" s="2572"/>
      <c r="I368" s="2572"/>
      <c r="J368" s="2572" t="s">
        <v>588</v>
      </c>
      <c r="K368" s="2572"/>
      <c r="L368" s="2572"/>
      <c r="M368" s="2572"/>
      <c r="N368" s="2572"/>
      <c r="O368" s="2572"/>
      <c r="P368" s="2572"/>
    </row>
    <row r="369" spans="1:16" ht="95.25" customHeight="1" x14ac:dyDescent="0.25">
      <c r="A369" s="2217"/>
      <c r="B369" s="2572" t="s">
        <v>6251</v>
      </c>
      <c r="C369" s="2572"/>
      <c r="D369" s="2572"/>
      <c r="E369" s="2572"/>
      <c r="F369" s="2572" t="s">
        <v>7015</v>
      </c>
      <c r="G369" s="2572"/>
      <c r="H369" s="2572"/>
      <c r="I369" s="2572"/>
      <c r="J369" s="2572" t="s">
        <v>588</v>
      </c>
      <c r="K369" s="2572"/>
      <c r="L369" s="2572"/>
      <c r="M369" s="2572"/>
      <c r="N369" s="2572"/>
      <c r="O369" s="2572"/>
      <c r="P369" s="2572"/>
    </row>
    <row r="370" spans="1:16" ht="176.85" customHeight="1" x14ac:dyDescent="0.25">
      <c r="A370" s="2217"/>
      <c r="B370" s="2572" t="s">
        <v>7162</v>
      </c>
      <c r="C370" s="2572"/>
      <c r="D370" s="2572"/>
      <c r="E370" s="2572"/>
      <c r="F370" s="2572" t="s">
        <v>7161</v>
      </c>
      <c r="G370" s="2572"/>
      <c r="H370" s="2572"/>
      <c r="I370" s="2572"/>
      <c r="J370" s="2572" t="s">
        <v>588</v>
      </c>
      <c r="K370" s="2572"/>
      <c r="L370" s="2572"/>
      <c r="M370" s="2572"/>
      <c r="N370" s="2572"/>
      <c r="O370" s="2572"/>
      <c r="P370" s="2572"/>
    </row>
    <row r="371" spans="1:16" ht="149.65" customHeight="1" x14ac:dyDescent="0.25">
      <c r="A371" s="2217"/>
      <c r="B371" s="2572" t="s">
        <v>6148</v>
      </c>
      <c r="C371" s="2572"/>
      <c r="D371" s="2572"/>
      <c r="E371" s="2572"/>
      <c r="F371" s="2572" t="s">
        <v>6242</v>
      </c>
      <c r="G371" s="2572"/>
      <c r="H371" s="2572"/>
      <c r="I371" s="2572"/>
      <c r="J371" s="2572" t="s">
        <v>588</v>
      </c>
      <c r="K371" s="2572"/>
      <c r="L371" s="2572"/>
      <c r="M371" s="2572"/>
      <c r="N371" s="2572"/>
      <c r="O371" s="2572"/>
      <c r="P371" s="2572"/>
    </row>
    <row r="372" spans="1:16" x14ac:dyDescent="0.25">
      <c r="A372" s="2218"/>
      <c r="B372" s="2571" t="s">
        <v>6150</v>
      </c>
      <c r="C372" s="2571"/>
      <c r="D372" s="2571"/>
      <c r="E372" s="2571"/>
      <c r="F372" s="2571" t="s">
        <v>588</v>
      </c>
      <c r="G372" s="2571"/>
      <c r="H372" s="2571"/>
      <c r="I372" s="2571"/>
      <c r="J372" s="2571" t="s">
        <v>6243</v>
      </c>
      <c r="K372" s="2571"/>
      <c r="L372" s="2571"/>
      <c r="M372" s="2571"/>
      <c r="N372" s="2571"/>
      <c r="O372" s="2571"/>
      <c r="P372" s="2571"/>
    </row>
    <row r="373" spans="1:16" x14ac:dyDescent="0.25">
      <c r="A373" s="2217"/>
      <c r="B373" s="2572" t="s">
        <v>6244</v>
      </c>
      <c r="C373" s="2572"/>
      <c r="D373" s="2572"/>
      <c r="E373" s="2572"/>
      <c r="F373" s="2572" t="s">
        <v>7160</v>
      </c>
      <c r="G373" s="2572"/>
      <c r="H373" s="2572"/>
      <c r="I373" s="2572"/>
      <c r="J373" s="2572" t="s">
        <v>588</v>
      </c>
      <c r="K373" s="2572"/>
      <c r="L373" s="2572"/>
      <c r="M373" s="2572"/>
      <c r="N373" s="2572"/>
      <c r="O373" s="2572"/>
      <c r="P373" s="2572"/>
    </row>
    <row r="374" spans="1:16" ht="122.45" customHeight="1" x14ac:dyDescent="0.25">
      <c r="A374" s="2219" t="s">
        <v>6272</v>
      </c>
      <c r="B374" s="2573" t="s">
        <v>7159</v>
      </c>
      <c r="C374" s="2574"/>
      <c r="D374" s="2574"/>
      <c r="E374" s="2574"/>
      <c r="F374" s="2574" t="s">
        <v>7158</v>
      </c>
      <c r="G374" s="2574"/>
      <c r="H374" s="2574"/>
      <c r="I374" s="2574"/>
      <c r="J374" s="2574" t="s">
        <v>7157</v>
      </c>
      <c r="K374" s="2574"/>
      <c r="L374" s="2574"/>
      <c r="M374" s="2575">
        <f>ROUND((34200 + 790 * 36) * 1 * 7.1 * 0.5 * 1.24632, 0)</f>
        <v>277147</v>
      </c>
      <c r="N374" s="2574"/>
      <c r="O374" s="2574" t="s">
        <v>588</v>
      </c>
      <c r="P374" s="2574"/>
    </row>
    <row r="375" spans="1:16" x14ac:dyDescent="0.25">
      <c r="A375" s="2218"/>
      <c r="B375" s="2571" t="s">
        <v>4168</v>
      </c>
      <c r="C375" s="2571"/>
      <c r="D375" s="2571"/>
      <c r="E375" s="2571"/>
      <c r="F375" s="2571" t="s">
        <v>588</v>
      </c>
      <c r="G375" s="2571"/>
      <c r="H375" s="2571"/>
      <c r="I375" s="2571"/>
      <c r="J375" s="2571" t="s">
        <v>588</v>
      </c>
      <c r="K375" s="2571"/>
      <c r="L375" s="2571"/>
      <c r="M375" s="2571"/>
      <c r="N375" s="2571"/>
      <c r="O375" s="2571"/>
      <c r="P375" s="2571"/>
    </row>
    <row r="376" spans="1:16" x14ac:dyDescent="0.25">
      <c r="A376" s="2217"/>
      <c r="B376" s="2572" t="s">
        <v>6142</v>
      </c>
      <c r="C376" s="2572"/>
      <c r="D376" s="2572"/>
      <c r="E376" s="2572"/>
      <c r="F376" s="2572" t="s">
        <v>7156</v>
      </c>
      <c r="G376" s="2572"/>
      <c r="H376" s="2572"/>
      <c r="I376" s="2572"/>
      <c r="J376" s="2572" t="s">
        <v>588</v>
      </c>
      <c r="K376" s="2572"/>
      <c r="L376" s="2572"/>
      <c r="M376" s="2572"/>
      <c r="N376" s="2572"/>
      <c r="O376" s="2572"/>
      <c r="P376" s="2572"/>
    </row>
    <row r="377" spans="1:16" ht="40.9" customHeight="1" x14ac:dyDescent="0.25">
      <c r="A377" s="2217"/>
      <c r="B377" s="2572" t="s">
        <v>6397</v>
      </c>
      <c r="C377" s="2572"/>
      <c r="D377" s="2572"/>
      <c r="E377" s="2572"/>
      <c r="F377" s="2572" t="s">
        <v>6398</v>
      </c>
      <c r="G377" s="2572"/>
      <c r="H377" s="2572"/>
      <c r="I377" s="2572"/>
      <c r="J377" s="2572" t="s">
        <v>588</v>
      </c>
      <c r="K377" s="2572"/>
      <c r="L377" s="2572"/>
      <c r="M377" s="2572"/>
      <c r="N377" s="2572"/>
      <c r="O377" s="2572"/>
      <c r="P377" s="2572"/>
    </row>
    <row r="378" spans="1:16" ht="149.65" customHeight="1" x14ac:dyDescent="0.25">
      <c r="A378" s="2217"/>
      <c r="B378" s="2572" t="s">
        <v>6148</v>
      </c>
      <c r="C378" s="2572"/>
      <c r="D378" s="2572"/>
      <c r="E378" s="2572"/>
      <c r="F378" s="2572" t="s">
        <v>7155</v>
      </c>
      <c r="G378" s="2572"/>
      <c r="H378" s="2572"/>
      <c r="I378" s="2572"/>
      <c r="J378" s="2572" t="s">
        <v>588</v>
      </c>
      <c r="K378" s="2572"/>
      <c r="L378" s="2572"/>
      <c r="M378" s="2572"/>
      <c r="N378" s="2572"/>
      <c r="O378" s="2572"/>
      <c r="P378" s="2572"/>
    </row>
    <row r="379" spans="1:16" ht="108.75" customHeight="1" x14ac:dyDescent="0.25">
      <c r="A379" s="2218"/>
      <c r="B379" s="2571" t="s">
        <v>6150</v>
      </c>
      <c r="C379" s="2571"/>
      <c r="D379" s="2571"/>
      <c r="E379" s="2571"/>
      <c r="F379" s="2571" t="s">
        <v>588</v>
      </c>
      <c r="G379" s="2571"/>
      <c r="H379" s="2571"/>
      <c r="I379" s="2571"/>
      <c r="J379" s="2571" t="s">
        <v>7154</v>
      </c>
      <c r="K379" s="2571"/>
      <c r="L379" s="2571"/>
      <c r="M379" s="2571"/>
      <c r="N379" s="2571"/>
      <c r="O379" s="2571"/>
      <c r="P379" s="2571"/>
    </row>
    <row r="380" spans="1:16" x14ac:dyDescent="0.25">
      <c r="A380" s="2217"/>
      <c r="B380" s="2572" t="s">
        <v>6160</v>
      </c>
      <c r="C380" s="2572"/>
      <c r="D380" s="2572"/>
      <c r="E380" s="2572"/>
      <c r="F380" s="2572" t="s">
        <v>7136</v>
      </c>
      <c r="G380" s="2572"/>
      <c r="H380" s="2572"/>
      <c r="I380" s="2572"/>
      <c r="J380" s="2572" t="s">
        <v>588</v>
      </c>
      <c r="K380" s="2572"/>
      <c r="L380" s="2572"/>
      <c r="M380" s="2572"/>
      <c r="N380" s="2572"/>
      <c r="O380" s="2572"/>
      <c r="P380" s="2572"/>
    </row>
    <row r="381" spans="1:16" x14ac:dyDescent="0.25">
      <c r="A381" s="2217"/>
      <c r="B381" s="2572" t="s">
        <v>6177</v>
      </c>
      <c r="C381" s="2572"/>
      <c r="D381" s="2572"/>
      <c r="E381" s="2572"/>
      <c r="F381" s="2572" t="s">
        <v>7153</v>
      </c>
      <c r="G381" s="2572"/>
      <c r="H381" s="2572"/>
      <c r="I381" s="2572"/>
      <c r="J381" s="2572" t="s">
        <v>588</v>
      </c>
      <c r="K381" s="2572"/>
      <c r="L381" s="2572"/>
      <c r="M381" s="2572"/>
      <c r="N381" s="2572"/>
      <c r="O381" s="2572"/>
      <c r="P381" s="2572"/>
    </row>
    <row r="382" spans="1:16" ht="27.2" customHeight="1" x14ac:dyDescent="0.25">
      <c r="A382" s="2217"/>
      <c r="B382" s="2572" t="s">
        <v>7152</v>
      </c>
      <c r="C382" s="2572"/>
      <c r="D382" s="2572"/>
      <c r="E382" s="2572"/>
      <c r="F382" s="2572" t="s">
        <v>7151</v>
      </c>
      <c r="G382" s="2572"/>
      <c r="H382" s="2572"/>
      <c r="I382" s="2572"/>
      <c r="J382" s="2572" t="s">
        <v>588</v>
      </c>
      <c r="K382" s="2572"/>
      <c r="L382" s="2572"/>
      <c r="M382" s="2572"/>
      <c r="N382" s="2572"/>
      <c r="O382" s="2572"/>
      <c r="P382" s="2572"/>
    </row>
    <row r="383" spans="1:16" ht="27.2" customHeight="1" x14ac:dyDescent="0.25">
      <c r="A383" s="2217"/>
      <c r="B383" s="2572" t="s">
        <v>7150</v>
      </c>
      <c r="C383" s="2572"/>
      <c r="D383" s="2572"/>
      <c r="E383" s="2572"/>
      <c r="F383" s="2572" t="s">
        <v>7149</v>
      </c>
      <c r="G383" s="2572"/>
      <c r="H383" s="2572"/>
      <c r="I383" s="2572"/>
      <c r="J383" s="2572" t="s">
        <v>588</v>
      </c>
      <c r="K383" s="2572"/>
      <c r="L383" s="2572"/>
      <c r="M383" s="2572"/>
      <c r="N383" s="2572"/>
      <c r="O383" s="2572"/>
      <c r="P383" s="2572"/>
    </row>
    <row r="384" spans="1:16" ht="27.2" customHeight="1" x14ac:dyDescent="0.25">
      <c r="A384" s="2217"/>
      <c r="B384" s="2572" t="s">
        <v>7148</v>
      </c>
      <c r="C384" s="2572"/>
      <c r="D384" s="2572"/>
      <c r="E384" s="2572"/>
      <c r="F384" s="2572" t="s">
        <v>7147</v>
      </c>
      <c r="G384" s="2572"/>
      <c r="H384" s="2572"/>
      <c r="I384" s="2572"/>
      <c r="J384" s="2572" t="s">
        <v>588</v>
      </c>
      <c r="K384" s="2572"/>
      <c r="L384" s="2572"/>
      <c r="M384" s="2572"/>
      <c r="N384" s="2572"/>
      <c r="O384" s="2572"/>
      <c r="P384" s="2572"/>
    </row>
    <row r="385" spans="1:16" x14ac:dyDescent="0.25">
      <c r="A385" s="2217"/>
      <c r="B385" s="2572" t="s">
        <v>7146</v>
      </c>
      <c r="C385" s="2572"/>
      <c r="D385" s="2572"/>
      <c r="E385" s="2572"/>
      <c r="F385" s="2572" t="s">
        <v>7139</v>
      </c>
      <c r="G385" s="2572"/>
      <c r="H385" s="2572"/>
      <c r="I385" s="2572"/>
      <c r="J385" s="2572" t="s">
        <v>588</v>
      </c>
      <c r="K385" s="2572"/>
      <c r="L385" s="2572"/>
      <c r="M385" s="2572"/>
      <c r="N385" s="2572"/>
      <c r="O385" s="2572"/>
      <c r="P385" s="2572"/>
    </row>
    <row r="386" spans="1:16" x14ac:dyDescent="0.25">
      <c r="A386" s="2217"/>
      <c r="B386" s="2572" t="s">
        <v>7145</v>
      </c>
      <c r="C386" s="2572"/>
      <c r="D386" s="2572"/>
      <c r="E386" s="2572"/>
      <c r="F386" s="2572" t="s">
        <v>7141</v>
      </c>
      <c r="G386" s="2572"/>
      <c r="H386" s="2572"/>
      <c r="I386" s="2572"/>
      <c r="J386" s="2572" t="s">
        <v>588</v>
      </c>
      <c r="K386" s="2572"/>
      <c r="L386" s="2572"/>
      <c r="M386" s="2572"/>
      <c r="N386" s="2572"/>
      <c r="O386" s="2572"/>
      <c r="P386" s="2572"/>
    </row>
    <row r="387" spans="1:16" ht="27.2" customHeight="1" x14ac:dyDescent="0.25">
      <c r="A387" s="2217"/>
      <c r="B387" s="2572" t="s">
        <v>7144</v>
      </c>
      <c r="C387" s="2572"/>
      <c r="D387" s="2572"/>
      <c r="E387" s="2572"/>
      <c r="F387" s="2572" t="s">
        <v>7143</v>
      </c>
      <c r="G387" s="2572"/>
      <c r="H387" s="2572"/>
      <c r="I387" s="2572"/>
      <c r="J387" s="2572" t="s">
        <v>588</v>
      </c>
      <c r="K387" s="2572"/>
      <c r="L387" s="2572"/>
      <c r="M387" s="2572"/>
      <c r="N387" s="2572"/>
      <c r="O387" s="2572"/>
      <c r="P387" s="2572"/>
    </row>
    <row r="388" spans="1:16" x14ac:dyDescent="0.25">
      <c r="A388" s="2217"/>
      <c r="B388" s="2572" t="s">
        <v>7142</v>
      </c>
      <c r="C388" s="2572"/>
      <c r="D388" s="2572"/>
      <c r="E388" s="2572"/>
      <c r="F388" s="2572" t="s">
        <v>7141</v>
      </c>
      <c r="G388" s="2572"/>
      <c r="H388" s="2572"/>
      <c r="I388" s="2572"/>
      <c r="J388" s="2572" t="s">
        <v>588</v>
      </c>
      <c r="K388" s="2572"/>
      <c r="L388" s="2572"/>
      <c r="M388" s="2572"/>
      <c r="N388" s="2572"/>
      <c r="O388" s="2572"/>
      <c r="P388" s="2572"/>
    </row>
    <row r="389" spans="1:16" x14ac:dyDescent="0.25">
      <c r="A389" s="2217"/>
      <c r="B389" s="2572" t="s">
        <v>7140</v>
      </c>
      <c r="C389" s="2572"/>
      <c r="D389" s="2572"/>
      <c r="E389" s="2572"/>
      <c r="F389" s="2572" t="s">
        <v>7139</v>
      </c>
      <c r="G389" s="2572"/>
      <c r="H389" s="2572"/>
      <c r="I389" s="2572"/>
      <c r="J389" s="2572" t="s">
        <v>588</v>
      </c>
      <c r="K389" s="2572"/>
      <c r="L389" s="2572"/>
      <c r="M389" s="2572"/>
      <c r="N389" s="2572"/>
      <c r="O389" s="2572"/>
      <c r="P389" s="2572"/>
    </row>
    <row r="390" spans="1:16" x14ac:dyDescent="0.25">
      <c r="A390" s="2217"/>
      <c r="B390" s="2572" t="s">
        <v>7138</v>
      </c>
      <c r="C390" s="2572"/>
      <c r="D390" s="2572"/>
      <c r="E390" s="2572"/>
      <c r="F390" s="2572" t="s">
        <v>7137</v>
      </c>
      <c r="G390" s="2572"/>
      <c r="H390" s="2572"/>
      <c r="I390" s="2572"/>
      <c r="J390" s="2572" t="s">
        <v>588</v>
      </c>
      <c r="K390" s="2572"/>
      <c r="L390" s="2572"/>
      <c r="M390" s="2572"/>
      <c r="N390" s="2572"/>
      <c r="O390" s="2572"/>
      <c r="P390" s="2572"/>
    </row>
    <row r="391" spans="1:16" x14ac:dyDescent="0.25">
      <c r="A391" s="2217"/>
      <c r="B391" s="2572" t="s">
        <v>6205</v>
      </c>
      <c r="C391" s="2572"/>
      <c r="D391" s="2572"/>
      <c r="E391" s="2572"/>
      <c r="F391" s="2572" t="s">
        <v>7136</v>
      </c>
      <c r="G391" s="2572"/>
      <c r="H391" s="2572"/>
      <c r="I391" s="2572"/>
      <c r="J391" s="2572" t="s">
        <v>588</v>
      </c>
      <c r="K391" s="2572"/>
      <c r="L391" s="2572"/>
      <c r="M391" s="2572"/>
      <c r="N391" s="2572"/>
      <c r="O391" s="2572"/>
      <c r="P391" s="2572"/>
    </row>
    <row r="392" spans="1:16" x14ac:dyDescent="0.25">
      <c r="A392" s="2217"/>
      <c r="B392" s="2572" t="s">
        <v>7135</v>
      </c>
      <c r="C392" s="2572"/>
      <c r="D392" s="2572"/>
      <c r="E392" s="2572"/>
      <c r="F392" s="2572" t="s">
        <v>7134</v>
      </c>
      <c r="G392" s="2572"/>
      <c r="H392" s="2572"/>
      <c r="I392" s="2572"/>
      <c r="J392" s="2572" t="s">
        <v>588</v>
      </c>
      <c r="K392" s="2572"/>
      <c r="L392" s="2572"/>
      <c r="M392" s="2572"/>
      <c r="N392" s="2572"/>
      <c r="O392" s="2572"/>
      <c r="P392" s="2572"/>
    </row>
    <row r="393" spans="1:16" x14ac:dyDescent="0.25">
      <c r="A393" s="2217"/>
      <c r="B393" s="2572" t="s">
        <v>6813</v>
      </c>
      <c r="C393" s="2572"/>
      <c r="D393" s="2572"/>
      <c r="E393" s="2572"/>
      <c r="F393" s="2572" t="s">
        <v>7133</v>
      </c>
      <c r="G393" s="2572"/>
      <c r="H393" s="2572"/>
      <c r="I393" s="2572"/>
      <c r="J393" s="2572" t="s">
        <v>588</v>
      </c>
      <c r="K393" s="2572"/>
      <c r="L393" s="2572"/>
      <c r="M393" s="2572"/>
      <c r="N393" s="2572"/>
      <c r="O393" s="2572"/>
      <c r="P393" s="2572"/>
    </row>
    <row r="394" spans="1:16" x14ac:dyDescent="0.25">
      <c r="A394" s="2217"/>
      <c r="B394" s="2572" t="s">
        <v>6811</v>
      </c>
      <c r="C394" s="2572"/>
      <c r="D394" s="2572"/>
      <c r="E394" s="2572"/>
      <c r="F394" s="2572" t="s">
        <v>7132</v>
      </c>
      <c r="G394" s="2572"/>
      <c r="H394" s="2572"/>
      <c r="I394" s="2572"/>
      <c r="J394" s="2572" t="s">
        <v>588</v>
      </c>
      <c r="K394" s="2572"/>
      <c r="L394" s="2572"/>
      <c r="M394" s="2572"/>
      <c r="N394" s="2572"/>
      <c r="O394" s="2572"/>
      <c r="P394" s="2572"/>
    </row>
    <row r="395" spans="1:16" x14ac:dyDescent="0.25">
      <c r="A395" s="2217"/>
      <c r="B395" s="2572" t="s">
        <v>7131</v>
      </c>
      <c r="C395" s="2572"/>
      <c r="D395" s="2572"/>
      <c r="E395" s="2572"/>
      <c r="F395" s="2572" t="s">
        <v>7130</v>
      </c>
      <c r="G395" s="2572"/>
      <c r="H395" s="2572"/>
      <c r="I395" s="2572"/>
      <c r="J395" s="2572" t="s">
        <v>588</v>
      </c>
      <c r="K395" s="2572"/>
      <c r="L395" s="2572"/>
      <c r="M395" s="2572"/>
      <c r="N395" s="2572"/>
      <c r="O395" s="2572"/>
      <c r="P395" s="2572"/>
    </row>
    <row r="396" spans="1:16" ht="135.94999999999999" customHeight="1" x14ac:dyDescent="0.25">
      <c r="A396" s="2219" t="s">
        <v>6275</v>
      </c>
      <c r="B396" s="2573" t="s">
        <v>7129</v>
      </c>
      <c r="C396" s="2574"/>
      <c r="D396" s="2574"/>
      <c r="E396" s="2574"/>
      <c r="F396" s="2574" t="s">
        <v>7128</v>
      </c>
      <c r="G396" s="2574"/>
      <c r="H396" s="2574"/>
      <c r="I396" s="2574"/>
      <c r="J396" s="2574" t="s">
        <v>7127</v>
      </c>
      <c r="K396" s="2574"/>
      <c r="L396" s="2574"/>
      <c r="M396" s="2575">
        <f>ROUND((13400 + 399 * 250) * 1 * 1.68 * 0.4 * 0.9 * 1.24947, 0)</f>
        <v>85505</v>
      </c>
      <c r="N396" s="2574"/>
      <c r="O396" s="2574" t="s">
        <v>588</v>
      </c>
      <c r="P396" s="2574"/>
    </row>
    <row r="397" spans="1:16" x14ac:dyDescent="0.25">
      <c r="A397" s="2218"/>
      <c r="B397" s="2571" t="s">
        <v>4168</v>
      </c>
      <c r="C397" s="2571"/>
      <c r="D397" s="2571"/>
      <c r="E397" s="2571"/>
      <c r="F397" s="2571" t="s">
        <v>588</v>
      </c>
      <c r="G397" s="2571"/>
      <c r="H397" s="2571"/>
      <c r="I397" s="2571"/>
      <c r="J397" s="2571" t="s">
        <v>588</v>
      </c>
      <c r="K397" s="2571"/>
      <c r="L397" s="2571"/>
      <c r="M397" s="2571"/>
      <c r="N397" s="2571"/>
      <c r="O397" s="2571"/>
      <c r="P397" s="2571"/>
    </row>
    <row r="398" spans="1:16" x14ac:dyDescent="0.25">
      <c r="A398" s="2217"/>
      <c r="B398" s="2572" t="s">
        <v>6142</v>
      </c>
      <c r="C398" s="2572"/>
      <c r="D398" s="2572"/>
      <c r="E398" s="2572"/>
      <c r="F398" s="2572" t="s">
        <v>6156</v>
      </c>
      <c r="G398" s="2572"/>
      <c r="H398" s="2572"/>
      <c r="I398" s="2572"/>
      <c r="J398" s="2572" t="s">
        <v>588</v>
      </c>
      <c r="K398" s="2572"/>
      <c r="L398" s="2572"/>
      <c r="M398" s="2572"/>
      <c r="N398" s="2572"/>
      <c r="O398" s="2572"/>
      <c r="P398" s="2572"/>
    </row>
    <row r="399" spans="1:16" ht="40.9" customHeight="1" x14ac:dyDescent="0.25">
      <c r="A399" s="2217"/>
      <c r="B399" s="2572" t="s">
        <v>6447</v>
      </c>
      <c r="C399" s="2572"/>
      <c r="D399" s="2572"/>
      <c r="E399" s="2572"/>
      <c r="F399" s="2572" t="s">
        <v>6448</v>
      </c>
      <c r="G399" s="2572"/>
      <c r="H399" s="2572"/>
      <c r="I399" s="2572"/>
      <c r="J399" s="2572" t="s">
        <v>588</v>
      </c>
      <c r="K399" s="2572"/>
      <c r="L399" s="2572"/>
      <c r="M399" s="2572"/>
      <c r="N399" s="2572"/>
      <c r="O399" s="2572"/>
      <c r="P399" s="2572"/>
    </row>
    <row r="400" spans="1:16" ht="108.75" customHeight="1" x14ac:dyDescent="0.25">
      <c r="A400" s="2217"/>
      <c r="B400" s="2572" t="s">
        <v>7014</v>
      </c>
      <c r="C400" s="2572"/>
      <c r="D400" s="2572"/>
      <c r="E400" s="2572"/>
      <c r="F400" s="2572" t="s">
        <v>7013</v>
      </c>
      <c r="G400" s="2572"/>
      <c r="H400" s="2572"/>
      <c r="I400" s="2572"/>
      <c r="J400" s="2572" t="s">
        <v>588</v>
      </c>
      <c r="K400" s="2572"/>
      <c r="L400" s="2572"/>
      <c r="M400" s="2572"/>
      <c r="N400" s="2572"/>
      <c r="O400" s="2572"/>
      <c r="P400" s="2572"/>
    </row>
    <row r="401" spans="1:16" ht="149.65" customHeight="1" x14ac:dyDescent="0.25">
      <c r="A401" s="2217"/>
      <c r="B401" s="2572" t="s">
        <v>6148</v>
      </c>
      <c r="C401" s="2572"/>
      <c r="D401" s="2572"/>
      <c r="E401" s="2572"/>
      <c r="F401" s="2572" t="s">
        <v>6248</v>
      </c>
      <c r="G401" s="2572"/>
      <c r="H401" s="2572"/>
      <c r="I401" s="2572"/>
      <c r="J401" s="2572" t="s">
        <v>588</v>
      </c>
      <c r="K401" s="2572"/>
      <c r="L401" s="2572"/>
      <c r="M401" s="2572"/>
      <c r="N401" s="2572"/>
      <c r="O401" s="2572"/>
      <c r="P401" s="2572"/>
    </row>
    <row r="402" spans="1:16" ht="54.4" customHeight="1" x14ac:dyDescent="0.25">
      <c r="A402" s="2218"/>
      <c r="B402" s="2571" t="s">
        <v>6150</v>
      </c>
      <c r="C402" s="2571"/>
      <c r="D402" s="2571"/>
      <c r="E402" s="2571"/>
      <c r="F402" s="2571" t="s">
        <v>588</v>
      </c>
      <c r="G402" s="2571"/>
      <c r="H402" s="2571"/>
      <c r="I402" s="2571"/>
      <c r="J402" s="2571" t="s">
        <v>7126</v>
      </c>
      <c r="K402" s="2571"/>
      <c r="L402" s="2571"/>
      <c r="M402" s="2571"/>
      <c r="N402" s="2571"/>
      <c r="O402" s="2571"/>
      <c r="P402" s="2571"/>
    </row>
    <row r="403" spans="1:16" x14ac:dyDescent="0.25">
      <c r="A403" s="2217"/>
      <c r="B403" s="2572" t="s">
        <v>6160</v>
      </c>
      <c r="C403" s="2572"/>
      <c r="D403" s="2572"/>
      <c r="E403" s="2572"/>
      <c r="F403" s="2572" t="s">
        <v>7125</v>
      </c>
      <c r="G403" s="2572"/>
      <c r="H403" s="2572"/>
      <c r="I403" s="2572"/>
      <c r="J403" s="2572" t="s">
        <v>588</v>
      </c>
      <c r="K403" s="2572"/>
      <c r="L403" s="2572"/>
      <c r="M403" s="2572"/>
      <c r="N403" s="2572"/>
      <c r="O403" s="2572"/>
      <c r="P403" s="2572"/>
    </row>
    <row r="404" spans="1:16" x14ac:dyDescent="0.25">
      <c r="A404" s="2217"/>
      <c r="B404" s="2572" t="s">
        <v>6177</v>
      </c>
      <c r="C404" s="2572"/>
      <c r="D404" s="2572"/>
      <c r="E404" s="2572"/>
      <c r="F404" s="2572" t="s">
        <v>7124</v>
      </c>
      <c r="G404" s="2572"/>
      <c r="H404" s="2572"/>
      <c r="I404" s="2572"/>
      <c r="J404" s="2572" t="s">
        <v>588</v>
      </c>
      <c r="K404" s="2572"/>
      <c r="L404" s="2572"/>
      <c r="M404" s="2572"/>
      <c r="N404" s="2572"/>
      <c r="O404" s="2572"/>
      <c r="P404" s="2572"/>
    </row>
    <row r="405" spans="1:16" x14ac:dyDescent="0.25">
      <c r="A405" s="2217"/>
      <c r="B405" s="2572" t="s">
        <v>6249</v>
      </c>
      <c r="C405" s="2572"/>
      <c r="D405" s="2572"/>
      <c r="E405" s="2572"/>
      <c r="F405" s="2572" t="s">
        <v>7123</v>
      </c>
      <c r="G405" s="2572"/>
      <c r="H405" s="2572"/>
      <c r="I405" s="2572"/>
      <c r="J405" s="2572" t="s">
        <v>588</v>
      </c>
      <c r="K405" s="2572"/>
      <c r="L405" s="2572"/>
      <c r="M405" s="2572"/>
      <c r="N405" s="2572"/>
      <c r="O405" s="2572"/>
      <c r="P405" s="2572"/>
    </row>
    <row r="406" spans="1:16" x14ac:dyDescent="0.25">
      <c r="A406" s="2217"/>
      <c r="B406" s="2572" t="s">
        <v>6165</v>
      </c>
      <c r="C406" s="2572"/>
      <c r="D406" s="2572"/>
      <c r="E406" s="2572"/>
      <c r="F406" s="2572" t="s">
        <v>7122</v>
      </c>
      <c r="G406" s="2572"/>
      <c r="H406" s="2572"/>
      <c r="I406" s="2572"/>
      <c r="J406" s="2572" t="s">
        <v>588</v>
      </c>
      <c r="K406" s="2572"/>
      <c r="L406" s="2572"/>
      <c r="M406" s="2572"/>
      <c r="N406" s="2572"/>
      <c r="O406" s="2572"/>
      <c r="P406" s="2572"/>
    </row>
    <row r="407" spans="1:16" x14ac:dyDescent="0.25">
      <c r="A407" s="2217"/>
      <c r="B407" s="2572" t="s">
        <v>6184</v>
      </c>
      <c r="C407" s="2572"/>
      <c r="D407" s="2572"/>
      <c r="E407" s="2572"/>
      <c r="F407" s="2572" t="s">
        <v>7121</v>
      </c>
      <c r="G407" s="2572"/>
      <c r="H407" s="2572"/>
      <c r="I407" s="2572"/>
      <c r="J407" s="2572" t="s">
        <v>588</v>
      </c>
      <c r="K407" s="2572"/>
      <c r="L407" s="2572"/>
      <c r="M407" s="2572"/>
      <c r="N407" s="2572"/>
      <c r="O407" s="2572"/>
      <c r="P407" s="2572"/>
    </row>
    <row r="408" spans="1:16" x14ac:dyDescent="0.25">
      <c r="A408" s="2217"/>
      <c r="B408" s="2572" t="s">
        <v>6185</v>
      </c>
      <c r="C408" s="2572"/>
      <c r="D408" s="2572"/>
      <c r="E408" s="2572"/>
      <c r="F408" s="2572" t="s">
        <v>7120</v>
      </c>
      <c r="G408" s="2572"/>
      <c r="H408" s="2572"/>
      <c r="I408" s="2572"/>
      <c r="J408" s="2572" t="s">
        <v>588</v>
      </c>
      <c r="K408" s="2572"/>
      <c r="L408" s="2572"/>
      <c r="M408" s="2572"/>
      <c r="N408" s="2572"/>
      <c r="O408" s="2572"/>
      <c r="P408" s="2572"/>
    </row>
    <row r="409" spans="1:16" x14ac:dyDescent="0.25">
      <c r="A409" s="2217"/>
      <c r="B409" s="2572" t="s">
        <v>6234</v>
      </c>
      <c r="C409" s="2572"/>
      <c r="D409" s="2572"/>
      <c r="E409" s="2572"/>
      <c r="F409" s="2572" t="s">
        <v>7119</v>
      </c>
      <c r="G409" s="2572"/>
      <c r="H409" s="2572"/>
      <c r="I409" s="2572"/>
      <c r="J409" s="2572" t="s">
        <v>588</v>
      </c>
      <c r="K409" s="2572"/>
      <c r="L409" s="2572"/>
      <c r="M409" s="2572"/>
      <c r="N409" s="2572"/>
      <c r="O409" s="2572"/>
      <c r="P409" s="2572"/>
    </row>
    <row r="410" spans="1:16" ht="108.75" customHeight="1" x14ac:dyDescent="0.25">
      <c r="A410" s="2219" t="s">
        <v>6278</v>
      </c>
      <c r="B410" s="2573" t="s">
        <v>6861</v>
      </c>
      <c r="C410" s="2574"/>
      <c r="D410" s="2574"/>
      <c r="E410" s="2574"/>
      <c r="F410" s="2574" t="s">
        <v>7118</v>
      </c>
      <c r="G410" s="2574"/>
      <c r="H410" s="2574"/>
      <c r="I410" s="2574"/>
      <c r="J410" s="2574" t="s">
        <v>7117</v>
      </c>
      <c r="K410" s="2574"/>
      <c r="L410" s="2574"/>
      <c r="M410" s="2575">
        <f>ROUND((25980 + 4623 * 41) * 1 * 7.1 * 0.42 * 1.23152, 0)</f>
        <v>791485</v>
      </c>
      <c r="N410" s="2574"/>
      <c r="O410" s="2574" t="s">
        <v>7550</v>
      </c>
      <c r="P410" s="2574"/>
    </row>
    <row r="411" spans="1:16" x14ac:dyDescent="0.25">
      <c r="A411" s="2218"/>
      <c r="B411" s="2571" t="s">
        <v>4168</v>
      </c>
      <c r="C411" s="2571"/>
      <c r="D411" s="2571"/>
      <c r="E411" s="2571"/>
      <c r="F411" s="2571" t="s">
        <v>588</v>
      </c>
      <c r="G411" s="2571"/>
      <c r="H411" s="2571"/>
      <c r="I411" s="2571"/>
      <c r="J411" s="2571" t="s">
        <v>588</v>
      </c>
      <c r="K411" s="2571"/>
      <c r="L411" s="2571"/>
      <c r="M411" s="2571"/>
      <c r="N411" s="2571"/>
      <c r="O411" s="2571"/>
      <c r="P411" s="2571"/>
    </row>
    <row r="412" spans="1:16" x14ac:dyDescent="0.25">
      <c r="A412" s="2217"/>
      <c r="B412" s="2572" t="s">
        <v>6142</v>
      </c>
      <c r="C412" s="2572"/>
      <c r="D412" s="2572"/>
      <c r="E412" s="2572"/>
      <c r="F412" s="2572" t="s">
        <v>6858</v>
      </c>
      <c r="G412" s="2572"/>
      <c r="H412" s="2572"/>
      <c r="I412" s="2572"/>
      <c r="J412" s="2572" t="s">
        <v>588</v>
      </c>
      <c r="K412" s="2572"/>
      <c r="L412" s="2572"/>
      <c r="M412" s="2572"/>
      <c r="N412" s="2572"/>
      <c r="O412" s="2572"/>
      <c r="P412" s="2572"/>
    </row>
    <row r="413" spans="1:16" ht="40.9" customHeight="1" x14ac:dyDescent="0.25">
      <c r="A413" s="2217"/>
      <c r="B413" s="2572" t="s">
        <v>6397</v>
      </c>
      <c r="C413" s="2572"/>
      <c r="D413" s="2572"/>
      <c r="E413" s="2572"/>
      <c r="F413" s="2572" t="s">
        <v>6398</v>
      </c>
      <c r="G413" s="2572"/>
      <c r="H413" s="2572"/>
      <c r="I413" s="2572"/>
      <c r="J413" s="2572" t="s">
        <v>588</v>
      </c>
      <c r="K413" s="2572"/>
      <c r="L413" s="2572"/>
      <c r="M413" s="2572"/>
      <c r="N413" s="2572"/>
      <c r="O413" s="2572"/>
      <c r="P413" s="2572"/>
    </row>
    <row r="414" spans="1:16" ht="149.65" customHeight="1" x14ac:dyDescent="0.25">
      <c r="A414" s="2217"/>
      <c r="B414" s="2572" t="s">
        <v>6148</v>
      </c>
      <c r="C414" s="2572"/>
      <c r="D414" s="2572"/>
      <c r="E414" s="2572"/>
      <c r="F414" s="2572" t="s">
        <v>6836</v>
      </c>
      <c r="G414" s="2572"/>
      <c r="H414" s="2572"/>
      <c r="I414" s="2572"/>
      <c r="J414" s="2572" t="s">
        <v>588</v>
      </c>
      <c r="K414" s="2572"/>
      <c r="L414" s="2572"/>
      <c r="M414" s="2572"/>
      <c r="N414" s="2572"/>
      <c r="O414" s="2572"/>
      <c r="P414" s="2572"/>
    </row>
    <row r="415" spans="1:16" ht="122.45" customHeight="1" x14ac:dyDescent="0.25">
      <c r="A415" s="2218"/>
      <c r="B415" s="2571" t="s">
        <v>6150</v>
      </c>
      <c r="C415" s="2571"/>
      <c r="D415" s="2571"/>
      <c r="E415" s="2571"/>
      <c r="F415" s="2571" t="s">
        <v>588</v>
      </c>
      <c r="G415" s="2571"/>
      <c r="H415" s="2571"/>
      <c r="I415" s="2571"/>
      <c r="J415" s="2571" t="s">
        <v>6835</v>
      </c>
      <c r="K415" s="2571"/>
      <c r="L415" s="2571"/>
      <c r="M415" s="2571"/>
      <c r="N415" s="2571"/>
      <c r="O415" s="2571"/>
      <c r="P415" s="2571"/>
    </row>
    <row r="416" spans="1:16" x14ac:dyDescent="0.25">
      <c r="A416" s="2217"/>
      <c r="B416" s="2572" t="s">
        <v>6160</v>
      </c>
      <c r="C416" s="2572"/>
      <c r="D416" s="2572"/>
      <c r="E416" s="2572"/>
      <c r="F416" s="2572" t="s">
        <v>7116</v>
      </c>
      <c r="G416" s="2572"/>
      <c r="H416" s="2572"/>
      <c r="I416" s="2572"/>
      <c r="J416" s="2572" t="s">
        <v>588</v>
      </c>
      <c r="K416" s="2572"/>
      <c r="L416" s="2572"/>
      <c r="M416" s="2572"/>
      <c r="N416" s="2572"/>
      <c r="O416" s="2572"/>
      <c r="P416" s="2572"/>
    </row>
    <row r="417" spans="1:16" x14ac:dyDescent="0.25">
      <c r="A417" s="2217"/>
      <c r="B417" s="2572" t="s">
        <v>6199</v>
      </c>
      <c r="C417" s="2572"/>
      <c r="D417" s="2572"/>
      <c r="E417" s="2572"/>
      <c r="F417" s="2572" t="s">
        <v>7115</v>
      </c>
      <c r="G417" s="2572"/>
      <c r="H417" s="2572"/>
      <c r="I417" s="2572"/>
      <c r="J417" s="2572" t="s">
        <v>588</v>
      </c>
      <c r="K417" s="2572"/>
      <c r="L417" s="2572"/>
      <c r="M417" s="2572"/>
      <c r="N417" s="2572"/>
      <c r="O417" s="2572"/>
      <c r="P417" s="2572"/>
    </row>
    <row r="418" spans="1:16" x14ac:dyDescent="0.25">
      <c r="A418" s="2217"/>
      <c r="B418" s="2572" t="s">
        <v>6832</v>
      </c>
      <c r="C418" s="2572"/>
      <c r="D418" s="2572"/>
      <c r="E418" s="2572"/>
      <c r="F418" s="2572" t="s">
        <v>7114</v>
      </c>
      <c r="G418" s="2572"/>
      <c r="H418" s="2572"/>
      <c r="I418" s="2572"/>
      <c r="J418" s="2572" t="s">
        <v>588</v>
      </c>
      <c r="K418" s="2572"/>
      <c r="L418" s="2572"/>
      <c r="M418" s="2572"/>
      <c r="N418" s="2572"/>
      <c r="O418" s="2572"/>
      <c r="P418" s="2572"/>
    </row>
    <row r="419" spans="1:16" x14ac:dyDescent="0.25">
      <c r="A419" s="2217"/>
      <c r="B419" s="2572" t="s">
        <v>6830</v>
      </c>
      <c r="C419" s="2572"/>
      <c r="D419" s="2572"/>
      <c r="E419" s="2572"/>
      <c r="F419" s="2572" t="s">
        <v>7113</v>
      </c>
      <c r="G419" s="2572"/>
      <c r="H419" s="2572"/>
      <c r="I419" s="2572"/>
      <c r="J419" s="2572" t="s">
        <v>588</v>
      </c>
      <c r="K419" s="2572"/>
      <c r="L419" s="2572"/>
      <c r="M419" s="2572"/>
      <c r="N419" s="2572"/>
      <c r="O419" s="2572"/>
      <c r="P419" s="2572"/>
    </row>
    <row r="420" spans="1:16" x14ac:dyDescent="0.25">
      <c r="A420" s="2217"/>
      <c r="B420" s="2572" t="s">
        <v>6828</v>
      </c>
      <c r="C420" s="2572"/>
      <c r="D420" s="2572"/>
      <c r="E420" s="2572"/>
      <c r="F420" s="2572" t="s">
        <v>7112</v>
      </c>
      <c r="G420" s="2572"/>
      <c r="H420" s="2572"/>
      <c r="I420" s="2572"/>
      <c r="J420" s="2572" t="s">
        <v>588</v>
      </c>
      <c r="K420" s="2572"/>
      <c r="L420" s="2572"/>
      <c r="M420" s="2572"/>
      <c r="N420" s="2572"/>
      <c r="O420" s="2572"/>
      <c r="P420" s="2572"/>
    </row>
    <row r="421" spans="1:16" ht="27.2" customHeight="1" x14ac:dyDescent="0.25">
      <c r="A421" s="2217"/>
      <c r="B421" s="2572" t="s">
        <v>6826</v>
      </c>
      <c r="C421" s="2572"/>
      <c r="D421" s="2572"/>
      <c r="E421" s="2572"/>
      <c r="F421" s="2572" t="s">
        <v>7111</v>
      </c>
      <c r="G421" s="2572"/>
      <c r="H421" s="2572"/>
      <c r="I421" s="2572"/>
      <c r="J421" s="2572" t="s">
        <v>588</v>
      </c>
      <c r="K421" s="2572"/>
      <c r="L421" s="2572"/>
      <c r="M421" s="2572"/>
      <c r="N421" s="2572"/>
      <c r="O421" s="2572"/>
      <c r="P421" s="2572"/>
    </row>
    <row r="422" spans="1:16" ht="27.2" customHeight="1" x14ac:dyDescent="0.25">
      <c r="A422" s="2217"/>
      <c r="B422" s="2572" t="s">
        <v>6824</v>
      </c>
      <c r="C422" s="2572"/>
      <c r="D422" s="2572"/>
      <c r="E422" s="2572"/>
      <c r="F422" s="2572" t="s">
        <v>7109</v>
      </c>
      <c r="G422" s="2572"/>
      <c r="H422" s="2572"/>
      <c r="I422" s="2572"/>
      <c r="J422" s="2572" t="s">
        <v>588</v>
      </c>
      <c r="K422" s="2572"/>
      <c r="L422" s="2572"/>
      <c r="M422" s="2572"/>
      <c r="N422" s="2572"/>
      <c r="O422" s="2572"/>
      <c r="P422" s="2572"/>
    </row>
    <row r="423" spans="1:16" ht="27.2" customHeight="1" x14ac:dyDescent="0.25">
      <c r="A423" s="2217"/>
      <c r="B423" s="2572" t="s">
        <v>6823</v>
      </c>
      <c r="C423" s="2572"/>
      <c r="D423" s="2572"/>
      <c r="E423" s="2572"/>
      <c r="F423" s="2572" t="s">
        <v>7109</v>
      </c>
      <c r="G423" s="2572"/>
      <c r="H423" s="2572"/>
      <c r="I423" s="2572"/>
      <c r="J423" s="2572" t="s">
        <v>588</v>
      </c>
      <c r="K423" s="2572"/>
      <c r="L423" s="2572"/>
      <c r="M423" s="2572"/>
      <c r="N423" s="2572"/>
      <c r="O423" s="2572"/>
      <c r="P423" s="2572"/>
    </row>
    <row r="424" spans="1:16" ht="27.2" customHeight="1" x14ac:dyDescent="0.25">
      <c r="A424" s="2217"/>
      <c r="B424" s="2572" t="s">
        <v>6822</v>
      </c>
      <c r="C424" s="2572"/>
      <c r="D424" s="2572"/>
      <c r="E424" s="2572"/>
      <c r="F424" s="2572" t="s">
        <v>7110</v>
      </c>
      <c r="G424" s="2572"/>
      <c r="H424" s="2572"/>
      <c r="I424" s="2572"/>
      <c r="J424" s="2572" t="s">
        <v>588</v>
      </c>
      <c r="K424" s="2572"/>
      <c r="L424" s="2572"/>
      <c r="M424" s="2572"/>
      <c r="N424" s="2572"/>
      <c r="O424" s="2572"/>
      <c r="P424" s="2572"/>
    </row>
    <row r="425" spans="1:16" ht="27.2" customHeight="1" x14ac:dyDescent="0.25">
      <c r="A425" s="2217"/>
      <c r="B425" s="2572" t="s">
        <v>6820</v>
      </c>
      <c r="C425" s="2572"/>
      <c r="D425" s="2572"/>
      <c r="E425" s="2572"/>
      <c r="F425" s="2572" t="s">
        <v>7109</v>
      </c>
      <c r="G425" s="2572"/>
      <c r="H425" s="2572"/>
      <c r="I425" s="2572"/>
      <c r="J425" s="2572" t="s">
        <v>588</v>
      </c>
      <c r="K425" s="2572"/>
      <c r="L425" s="2572"/>
      <c r="M425" s="2572"/>
      <c r="N425" s="2572"/>
      <c r="O425" s="2572"/>
      <c r="P425" s="2572"/>
    </row>
    <row r="426" spans="1:16" ht="27.2" customHeight="1" x14ac:dyDescent="0.25">
      <c r="A426" s="2217"/>
      <c r="B426" s="2572" t="s">
        <v>6818</v>
      </c>
      <c r="C426" s="2572"/>
      <c r="D426" s="2572"/>
      <c r="E426" s="2572"/>
      <c r="F426" s="2572" t="s">
        <v>7108</v>
      </c>
      <c r="G426" s="2572"/>
      <c r="H426" s="2572"/>
      <c r="I426" s="2572"/>
      <c r="J426" s="2572" t="s">
        <v>588</v>
      </c>
      <c r="K426" s="2572"/>
      <c r="L426" s="2572"/>
      <c r="M426" s="2572"/>
      <c r="N426" s="2572"/>
      <c r="O426" s="2572"/>
      <c r="P426" s="2572"/>
    </row>
    <row r="427" spans="1:16" ht="27.2" customHeight="1" x14ac:dyDescent="0.25">
      <c r="A427" s="2217"/>
      <c r="B427" s="2572" t="s">
        <v>6816</v>
      </c>
      <c r="C427" s="2572"/>
      <c r="D427" s="2572"/>
      <c r="E427" s="2572"/>
      <c r="F427" s="2572" t="s">
        <v>7107</v>
      </c>
      <c r="G427" s="2572"/>
      <c r="H427" s="2572"/>
      <c r="I427" s="2572"/>
      <c r="J427" s="2572" t="s">
        <v>588</v>
      </c>
      <c r="K427" s="2572"/>
      <c r="L427" s="2572"/>
      <c r="M427" s="2572"/>
      <c r="N427" s="2572"/>
      <c r="O427" s="2572"/>
      <c r="P427" s="2572"/>
    </row>
    <row r="428" spans="1:16" x14ac:dyDescent="0.25">
      <c r="A428" s="2217"/>
      <c r="B428" s="2572" t="s">
        <v>6225</v>
      </c>
      <c r="C428" s="2572"/>
      <c r="D428" s="2572"/>
      <c r="E428" s="2572"/>
      <c r="F428" s="2572" t="s">
        <v>7106</v>
      </c>
      <c r="G428" s="2572"/>
      <c r="H428" s="2572"/>
      <c r="I428" s="2572"/>
      <c r="J428" s="2572" t="s">
        <v>588</v>
      </c>
      <c r="K428" s="2572"/>
      <c r="L428" s="2572"/>
      <c r="M428" s="2572"/>
      <c r="N428" s="2572"/>
      <c r="O428" s="2572"/>
      <c r="P428" s="2572"/>
    </row>
    <row r="429" spans="1:16" x14ac:dyDescent="0.25">
      <c r="A429" s="2217"/>
      <c r="B429" s="2572" t="s">
        <v>6813</v>
      </c>
      <c r="C429" s="2572"/>
      <c r="D429" s="2572"/>
      <c r="E429" s="2572"/>
      <c r="F429" s="2572" t="s">
        <v>7105</v>
      </c>
      <c r="G429" s="2572"/>
      <c r="H429" s="2572"/>
      <c r="I429" s="2572"/>
      <c r="J429" s="2572" t="s">
        <v>588</v>
      </c>
      <c r="K429" s="2572"/>
      <c r="L429" s="2572"/>
      <c r="M429" s="2572"/>
      <c r="N429" s="2572"/>
      <c r="O429" s="2572"/>
      <c r="P429" s="2572"/>
    </row>
    <row r="430" spans="1:16" x14ac:dyDescent="0.25">
      <c r="A430" s="2217"/>
      <c r="B430" s="2572" t="s">
        <v>6811</v>
      </c>
      <c r="C430" s="2572"/>
      <c r="D430" s="2572"/>
      <c r="E430" s="2572"/>
      <c r="F430" s="2572" t="s">
        <v>7104</v>
      </c>
      <c r="G430" s="2572"/>
      <c r="H430" s="2572"/>
      <c r="I430" s="2572"/>
      <c r="J430" s="2572" t="s">
        <v>588</v>
      </c>
      <c r="K430" s="2572"/>
      <c r="L430" s="2572"/>
      <c r="M430" s="2572"/>
      <c r="N430" s="2572"/>
      <c r="O430" s="2572"/>
      <c r="P430" s="2572"/>
    </row>
    <row r="431" spans="1:16" x14ac:dyDescent="0.25">
      <c r="A431" s="2217"/>
      <c r="B431" s="2572" t="s">
        <v>6809</v>
      </c>
      <c r="C431" s="2572"/>
      <c r="D431" s="2572"/>
      <c r="E431" s="2572"/>
      <c r="F431" s="2572" t="s">
        <v>7103</v>
      </c>
      <c r="G431" s="2572"/>
      <c r="H431" s="2572"/>
      <c r="I431" s="2572"/>
      <c r="J431" s="2572" t="s">
        <v>588</v>
      </c>
      <c r="K431" s="2572"/>
      <c r="L431" s="2572"/>
      <c r="M431" s="2572"/>
      <c r="N431" s="2572"/>
      <c r="O431" s="2572"/>
      <c r="P431" s="2572"/>
    </row>
    <row r="432" spans="1:16" x14ac:dyDescent="0.25">
      <c r="A432" s="2217"/>
      <c r="B432" s="2572" t="s">
        <v>6807</v>
      </c>
      <c r="C432" s="2572"/>
      <c r="D432" s="2572"/>
      <c r="E432" s="2572"/>
      <c r="F432" s="2572" t="s">
        <v>7102</v>
      </c>
      <c r="G432" s="2572"/>
      <c r="H432" s="2572"/>
      <c r="I432" s="2572"/>
      <c r="J432" s="2572" t="s">
        <v>588</v>
      </c>
      <c r="K432" s="2572"/>
      <c r="L432" s="2572"/>
      <c r="M432" s="2572"/>
      <c r="N432" s="2572"/>
      <c r="O432" s="2572"/>
      <c r="P432" s="2572"/>
    </row>
    <row r="433" spans="1:16" x14ac:dyDescent="0.25">
      <c r="A433" s="2216" t="s">
        <v>6279</v>
      </c>
      <c r="B433" s="2568" t="s">
        <v>6265</v>
      </c>
      <c r="C433" s="2568"/>
      <c r="D433" s="2568"/>
      <c r="E433" s="2568"/>
      <c r="F433" s="2568"/>
      <c r="G433" s="2568"/>
      <c r="H433" s="2568"/>
      <c r="I433" s="2568"/>
      <c r="J433" s="2568" t="s">
        <v>588</v>
      </c>
      <c r="K433" s="2568"/>
      <c r="L433" s="2568"/>
      <c r="M433" s="2569">
        <f>ROUND(SUM($M$340:$M$410),0)</f>
        <v>1370560</v>
      </c>
      <c r="N433" s="2568"/>
      <c r="O433" s="2568"/>
      <c r="P433" s="2568"/>
    </row>
    <row r="434" spans="1:16" x14ac:dyDescent="0.25">
      <c r="A434" s="2216" t="s">
        <v>6283</v>
      </c>
      <c r="B434" s="2568" t="s">
        <v>6267</v>
      </c>
      <c r="C434" s="2568"/>
      <c r="D434" s="2568"/>
      <c r="E434" s="2568"/>
      <c r="F434" s="2568"/>
      <c r="G434" s="2568"/>
      <c r="H434" s="2568"/>
      <c r="I434" s="2568"/>
      <c r="J434" s="2568" t="s">
        <v>588</v>
      </c>
      <c r="K434" s="2568"/>
      <c r="L434" s="2568"/>
      <c r="M434" s="2569">
        <f>ROUND(($M$433),0)</f>
        <v>1370560</v>
      </c>
      <c r="N434" s="2568"/>
      <c r="O434" s="2568"/>
      <c r="P434" s="2568"/>
    </row>
    <row r="435" spans="1:16" x14ac:dyDescent="0.25">
      <c r="A435" s="2216" t="s">
        <v>641</v>
      </c>
      <c r="B435" s="2568" t="s">
        <v>6145</v>
      </c>
      <c r="C435" s="2568"/>
      <c r="D435" s="2568"/>
      <c r="E435" s="2568"/>
      <c r="F435" s="2568" t="s">
        <v>5981</v>
      </c>
      <c r="G435" s="2568"/>
      <c r="H435" s="2568"/>
      <c r="I435" s="2568"/>
      <c r="J435" s="2568"/>
      <c r="K435" s="2568"/>
      <c r="L435" s="2568"/>
      <c r="M435" s="2568"/>
      <c r="N435" s="2568"/>
      <c r="O435" s="2568"/>
      <c r="P435" s="2568"/>
    </row>
    <row r="436" spans="1:16" ht="176.85" customHeight="1" x14ac:dyDescent="0.25">
      <c r="A436" s="2219" t="s">
        <v>4425</v>
      </c>
      <c r="B436" s="2573" t="s">
        <v>6268</v>
      </c>
      <c r="C436" s="2574"/>
      <c r="D436" s="2574"/>
      <c r="E436" s="2574"/>
      <c r="F436" s="2574" t="s">
        <v>7101</v>
      </c>
      <c r="G436" s="2574"/>
      <c r="H436" s="2574"/>
      <c r="I436" s="2574"/>
      <c r="J436" s="2574" t="s">
        <v>7282</v>
      </c>
      <c r="K436" s="2574"/>
      <c r="L436" s="2574"/>
      <c r="M436" s="2575">
        <f>ROUND((30800 + 608 * (0.4 * 100 + 0.6 * 60)) * 1 * 1.68 * 0.4 * 0.9 * 1.1 * 1.24316, 0)</f>
        <v>63689</v>
      </c>
      <c r="N436" s="2574"/>
      <c r="O436" s="2574" t="s">
        <v>5982</v>
      </c>
      <c r="P436" s="2574"/>
    </row>
    <row r="437" spans="1:16" x14ac:dyDescent="0.25">
      <c r="A437" s="2218"/>
      <c r="B437" s="2571" t="s">
        <v>4168</v>
      </c>
      <c r="C437" s="2571"/>
      <c r="D437" s="2571"/>
      <c r="E437" s="2571"/>
      <c r="F437" s="2571" t="s">
        <v>588</v>
      </c>
      <c r="G437" s="2571"/>
      <c r="H437" s="2571"/>
      <c r="I437" s="2571"/>
      <c r="J437" s="2571" t="s">
        <v>588</v>
      </c>
      <c r="K437" s="2571"/>
      <c r="L437" s="2571"/>
      <c r="M437" s="2571"/>
      <c r="N437" s="2571"/>
      <c r="O437" s="2571"/>
      <c r="P437" s="2571"/>
    </row>
    <row r="438" spans="1:16" x14ac:dyDescent="0.25">
      <c r="A438" s="2217"/>
      <c r="B438" s="2572" t="s">
        <v>6142</v>
      </c>
      <c r="C438" s="2572"/>
      <c r="D438" s="2572"/>
      <c r="E438" s="2572"/>
      <c r="F438" s="2572" t="s">
        <v>6156</v>
      </c>
      <c r="G438" s="2572"/>
      <c r="H438" s="2572"/>
      <c r="I438" s="2572"/>
      <c r="J438" s="2572" t="s">
        <v>588</v>
      </c>
      <c r="K438" s="2572"/>
      <c r="L438" s="2572"/>
      <c r="M438" s="2572"/>
      <c r="N438" s="2572"/>
      <c r="O438" s="2572"/>
      <c r="P438" s="2572"/>
    </row>
    <row r="439" spans="1:16" ht="40.9" customHeight="1" x14ac:dyDescent="0.25">
      <c r="A439" s="2217"/>
      <c r="B439" s="2572" t="s">
        <v>6447</v>
      </c>
      <c r="C439" s="2572"/>
      <c r="D439" s="2572"/>
      <c r="E439" s="2572"/>
      <c r="F439" s="2572" t="s">
        <v>6448</v>
      </c>
      <c r="G439" s="2572"/>
      <c r="H439" s="2572"/>
      <c r="I439" s="2572"/>
      <c r="J439" s="2572" t="s">
        <v>588</v>
      </c>
      <c r="K439" s="2572"/>
      <c r="L439" s="2572"/>
      <c r="M439" s="2572"/>
      <c r="N439" s="2572"/>
      <c r="O439" s="2572"/>
      <c r="P439" s="2572"/>
    </row>
    <row r="440" spans="1:16" ht="108.75" customHeight="1" x14ac:dyDescent="0.25">
      <c r="A440" s="2217"/>
      <c r="B440" s="2572" t="s">
        <v>7014</v>
      </c>
      <c r="C440" s="2572"/>
      <c r="D440" s="2572"/>
      <c r="E440" s="2572"/>
      <c r="F440" s="2572" t="s">
        <v>7013</v>
      </c>
      <c r="G440" s="2572"/>
      <c r="H440" s="2572"/>
      <c r="I440" s="2572"/>
      <c r="J440" s="2572" t="s">
        <v>588</v>
      </c>
      <c r="K440" s="2572"/>
      <c r="L440" s="2572"/>
      <c r="M440" s="2572"/>
      <c r="N440" s="2572"/>
      <c r="O440" s="2572"/>
      <c r="P440" s="2572"/>
    </row>
    <row r="441" spans="1:16" ht="95.25" customHeight="1" x14ac:dyDescent="0.25">
      <c r="A441" s="2217"/>
      <c r="B441" s="2572" t="s">
        <v>6269</v>
      </c>
      <c r="C441" s="2572"/>
      <c r="D441" s="2572"/>
      <c r="E441" s="2572"/>
      <c r="F441" s="2572" t="s">
        <v>7094</v>
      </c>
      <c r="G441" s="2572"/>
      <c r="H441" s="2572"/>
      <c r="I441" s="2572"/>
      <c r="J441" s="2572" t="s">
        <v>588</v>
      </c>
      <c r="K441" s="2572"/>
      <c r="L441" s="2572"/>
      <c r="M441" s="2572"/>
      <c r="N441" s="2572"/>
      <c r="O441" s="2572"/>
      <c r="P441" s="2572"/>
    </row>
    <row r="442" spans="1:16" ht="149.65" customHeight="1" x14ac:dyDescent="0.25">
      <c r="A442" s="2217"/>
      <c r="B442" s="2572" t="s">
        <v>6148</v>
      </c>
      <c r="C442" s="2572"/>
      <c r="D442" s="2572"/>
      <c r="E442" s="2572"/>
      <c r="F442" s="2572" t="s">
        <v>6257</v>
      </c>
      <c r="G442" s="2572"/>
      <c r="H442" s="2572"/>
      <c r="I442" s="2572"/>
      <c r="J442" s="2572" t="s">
        <v>588</v>
      </c>
      <c r="K442" s="2572"/>
      <c r="L442" s="2572"/>
      <c r="M442" s="2572"/>
      <c r="N442" s="2572"/>
      <c r="O442" s="2572"/>
      <c r="P442" s="2572"/>
    </row>
    <row r="443" spans="1:16" ht="54.4" customHeight="1" x14ac:dyDescent="0.25">
      <c r="A443" s="2218"/>
      <c r="B443" s="2571" t="s">
        <v>6150</v>
      </c>
      <c r="C443" s="2571"/>
      <c r="D443" s="2571"/>
      <c r="E443" s="2571"/>
      <c r="F443" s="2571" t="s">
        <v>588</v>
      </c>
      <c r="G443" s="2571"/>
      <c r="H443" s="2571"/>
      <c r="I443" s="2571"/>
      <c r="J443" s="2571" t="s">
        <v>7279</v>
      </c>
      <c r="K443" s="2571"/>
      <c r="L443" s="2571"/>
      <c r="M443" s="2571"/>
      <c r="N443" s="2571"/>
      <c r="O443" s="2571"/>
      <c r="P443" s="2571"/>
    </row>
    <row r="444" spans="1:16" x14ac:dyDescent="0.25">
      <c r="A444" s="2217"/>
      <c r="B444" s="2572" t="s">
        <v>6160</v>
      </c>
      <c r="C444" s="2572"/>
      <c r="D444" s="2572"/>
      <c r="E444" s="2572"/>
      <c r="F444" s="2572" t="s">
        <v>7100</v>
      </c>
      <c r="G444" s="2572"/>
      <c r="H444" s="2572"/>
      <c r="I444" s="2572"/>
      <c r="J444" s="2572" t="s">
        <v>588</v>
      </c>
      <c r="K444" s="2572"/>
      <c r="L444" s="2572"/>
      <c r="M444" s="2572"/>
      <c r="N444" s="2572"/>
      <c r="O444" s="2572"/>
      <c r="P444" s="2572"/>
    </row>
    <row r="445" spans="1:16" x14ac:dyDescent="0.25">
      <c r="A445" s="2217"/>
      <c r="B445" s="2572" t="s">
        <v>6177</v>
      </c>
      <c r="C445" s="2572"/>
      <c r="D445" s="2572"/>
      <c r="E445" s="2572"/>
      <c r="F445" s="2572" t="s">
        <v>7099</v>
      </c>
      <c r="G445" s="2572"/>
      <c r="H445" s="2572"/>
      <c r="I445" s="2572"/>
      <c r="J445" s="2572" t="s">
        <v>588</v>
      </c>
      <c r="K445" s="2572"/>
      <c r="L445" s="2572"/>
      <c r="M445" s="2572"/>
      <c r="N445" s="2572"/>
      <c r="O445" s="2572"/>
      <c r="P445" s="2572"/>
    </row>
    <row r="446" spans="1:16" x14ac:dyDescent="0.25">
      <c r="A446" s="2217"/>
      <c r="B446" s="2572" t="s">
        <v>6249</v>
      </c>
      <c r="C446" s="2572"/>
      <c r="D446" s="2572"/>
      <c r="E446" s="2572"/>
      <c r="F446" s="2572" t="s">
        <v>7098</v>
      </c>
      <c r="G446" s="2572"/>
      <c r="H446" s="2572"/>
      <c r="I446" s="2572"/>
      <c r="J446" s="2572" t="s">
        <v>588</v>
      </c>
      <c r="K446" s="2572"/>
      <c r="L446" s="2572"/>
      <c r="M446" s="2572"/>
      <c r="N446" s="2572"/>
      <c r="O446" s="2572"/>
      <c r="P446" s="2572"/>
    </row>
    <row r="447" spans="1:16" x14ac:dyDescent="0.25">
      <c r="A447" s="2217"/>
      <c r="B447" s="2572" t="s">
        <v>6165</v>
      </c>
      <c r="C447" s="2572"/>
      <c r="D447" s="2572"/>
      <c r="E447" s="2572"/>
      <c r="F447" s="2572" t="s">
        <v>7096</v>
      </c>
      <c r="G447" s="2572"/>
      <c r="H447" s="2572"/>
      <c r="I447" s="2572"/>
      <c r="J447" s="2572" t="s">
        <v>588</v>
      </c>
      <c r="K447" s="2572"/>
      <c r="L447" s="2572"/>
      <c r="M447" s="2572"/>
      <c r="N447" s="2572"/>
      <c r="O447" s="2572"/>
      <c r="P447" s="2572"/>
    </row>
    <row r="448" spans="1:16" x14ac:dyDescent="0.25">
      <c r="A448" s="2217"/>
      <c r="B448" s="2572" t="s">
        <v>6184</v>
      </c>
      <c r="C448" s="2572"/>
      <c r="D448" s="2572"/>
      <c r="E448" s="2572"/>
      <c r="F448" s="2572" t="s">
        <v>7097</v>
      </c>
      <c r="G448" s="2572"/>
      <c r="H448" s="2572"/>
      <c r="I448" s="2572"/>
      <c r="J448" s="2572" t="s">
        <v>588</v>
      </c>
      <c r="K448" s="2572"/>
      <c r="L448" s="2572"/>
      <c r="M448" s="2572"/>
      <c r="N448" s="2572"/>
      <c r="O448" s="2572"/>
      <c r="P448" s="2572"/>
    </row>
    <row r="449" spans="1:16" x14ac:dyDescent="0.25">
      <c r="A449" s="2217"/>
      <c r="B449" s="2572" t="s">
        <v>6185</v>
      </c>
      <c r="C449" s="2572"/>
      <c r="D449" s="2572"/>
      <c r="E449" s="2572"/>
      <c r="F449" s="2572" t="s">
        <v>7096</v>
      </c>
      <c r="G449" s="2572"/>
      <c r="H449" s="2572"/>
      <c r="I449" s="2572"/>
      <c r="J449" s="2572" t="s">
        <v>588</v>
      </c>
      <c r="K449" s="2572"/>
      <c r="L449" s="2572"/>
      <c r="M449" s="2572"/>
      <c r="N449" s="2572"/>
      <c r="O449" s="2572"/>
      <c r="P449" s="2572"/>
    </row>
    <row r="450" spans="1:16" x14ac:dyDescent="0.25">
      <c r="A450" s="2217"/>
      <c r="B450" s="2572" t="s">
        <v>6234</v>
      </c>
      <c r="C450" s="2572"/>
      <c r="D450" s="2572"/>
      <c r="E450" s="2572"/>
      <c r="F450" s="2572" t="s">
        <v>7281</v>
      </c>
      <c r="G450" s="2572"/>
      <c r="H450" s="2572"/>
      <c r="I450" s="2572"/>
      <c r="J450" s="2572" t="s">
        <v>588</v>
      </c>
      <c r="K450" s="2572"/>
      <c r="L450" s="2572"/>
      <c r="M450" s="2572"/>
      <c r="N450" s="2572"/>
      <c r="O450" s="2572"/>
      <c r="P450" s="2572"/>
    </row>
    <row r="451" spans="1:16" ht="163.15" customHeight="1" x14ac:dyDescent="0.25">
      <c r="A451" s="2219" t="s">
        <v>6081</v>
      </c>
      <c r="B451" s="2573" t="s">
        <v>6268</v>
      </c>
      <c r="C451" s="2574"/>
      <c r="D451" s="2574"/>
      <c r="E451" s="2574"/>
      <c r="F451" s="2574" t="s">
        <v>7095</v>
      </c>
      <c r="G451" s="2574"/>
      <c r="H451" s="2574"/>
      <c r="I451" s="2574"/>
      <c r="J451" s="2574" t="s">
        <v>7280</v>
      </c>
      <c r="K451" s="2574"/>
      <c r="L451" s="2574"/>
      <c r="M451" s="2575">
        <f>ROUND((30800 + 608 * 190) * 1 * 1.68 * 0.4 * 0.9 * 1.1 * 1.24316, 0)</f>
        <v>121014</v>
      </c>
      <c r="N451" s="2574"/>
      <c r="O451" s="2574" t="s">
        <v>5983</v>
      </c>
      <c r="P451" s="2574"/>
    </row>
    <row r="452" spans="1:16" x14ac:dyDescent="0.25">
      <c r="A452" s="2218"/>
      <c r="B452" s="2571" t="s">
        <v>4168</v>
      </c>
      <c r="C452" s="2571"/>
      <c r="D452" s="2571"/>
      <c r="E452" s="2571"/>
      <c r="F452" s="2571" t="s">
        <v>588</v>
      </c>
      <c r="G452" s="2571"/>
      <c r="H452" s="2571"/>
      <c r="I452" s="2571"/>
      <c r="J452" s="2571" t="s">
        <v>588</v>
      </c>
      <c r="K452" s="2571"/>
      <c r="L452" s="2571"/>
      <c r="M452" s="2571"/>
      <c r="N452" s="2571"/>
      <c r="O452" s="2571"/>
      <c r="P452" s="2571"/>
    </row>
    <row r="453" spans="1:16" x14ac:dyDescent="0.25">
      <c r="A453" s="2217"/>
      <c r="B453" s="2572" t="s">
        <v>6142</v>
      </c>
      <c r="C453" s="2572"/>
      <c r="D453" s="2572"/>
      <c r="E453" s="2572"/>
      <c r="F453" s="2572" t="s">
        <v>6156</v>
      </c>
      <c r="G453" s="2572"/>
      <c r="H453" s="2572"/>
      <c r="I453" s="2572"/>
      <c r="J453" s="2572" t="s">
        <v>588</v>
      </c>
      <c r="K453" s="2572"/>
      <c r="L453" s="2572"/>
      <c r="M453" s="2572"/>
      <c r="N453" s="2572"/>
      <c r="O453" s="2572"/>
      <c r="P453" s="2572"/>
    </row>
    <row r="454" spans="1:16" ht="40.9" customHeight="1" x14ac:dyDescent="0.25">
      <c r="A454" s="2217"/>
      <c r="B454" s="2572" t="s">
        <v>6447</v>
      </c>
      <c r="C454" s="2572"/>
      <c r="D454" s="2572"/>
      <c r="E454" s="2572"/>
      <c r="F454" s="2572" t="s">
        <v>6448</v>
      </c>
      <c r="G454" s="2572"/>
      <c r="H454" s="2572"/>
      <c r="I454" s="2572"/>
      <c r="J454" s="2572" t="s">
        <v>588</v>
      </c>
      <c r="K454" s="2572"/>
      <c r="L454" s="2572"/>
      <c r="M454" s="2572"/>
      <c r="N454" s="2572"/>
      <c r="O454" s="2572"/>
      <c r="P454" s="2572"/>
    </row>
    <row r="455" spans="1:16" ht="108.75" customHeight="1" x14ac:dyDescent="0.25">
      <c r="A455" s="2217"/>
      <c r="B455" s="2572" t="s">
        <v>7014</v>
      </c>
      <c r="C455" s="2572"/>
      <c r="D455" s="2572"/>
      <c r="E455" s="2572"/>
      <c r="F455" s="2572" t="s">
        <v>7013</v>
      </c>
      <c r="G455" s="2572"/>
      <c r="H455" s="2572"/>
      <c r="I455" s="2572"/>
      <c r="J455" s="2572" t="s">
        <v>588</v>
      </c>
      <c r="K455" s="2572"/>
      <c r="L455" s="2572"/>
      <c r="M455" s="2572"/>
      <c r="N455" s="2572"/>
      <c r="O455" s="2572"/>
      <c r="P455" s="2572"/>
    </row>
    <row r="456" spans="1:16" ht="95.25" customHeight="1" x14ac:dyDescent="0.25">
      <c r="A456" s="2217"/>
      <c r="B456" s="2572" t="s">
        <v>6269</v>
      </c>
      <c r="C456" s="2572"/>
      <c r="D456" s="2572"/>
      <c r="E456" s="2572"/>
      <c r="F456" s="2572" t="s">
        <v>7094</v>
      </c>
      <c r="G456" s="2572"/>
      <c r="H456" s="2572"/>
      <c r="I456" s="2572"/>
      <c r="J456" s="2572" t="s">
        <v>588</v>
      </c>
      <c r="K456" s="2572"/>
      <c r="L456" s="2572"/>
      <c r="M456" s="2572"/>
      <c r="N456" s="2572"/>
      <c r="O456" s="2572"/>
      <c r="P456" s="2572"/>
    </row>
    <row r="457" spans="1:16" ht="149.65" customHeight="1" x14ac:dyDescent="0.25">
      <c r="A457" s="2217"/>
      <c r="B457" s="2572" t="s">
        <v>6148</v>
      </c>
      <c r="C457" s="2572"/>
      <c r="D457" s="2572"/>
      <c r="E457" s="2572"/>
      <c r="F457" s="2572" t="s">
        <v>6257</v>
      </c>
      <c r="G457" s="2572"/>
      <c r="H457" s="2572"/>
      <c r="I457" s="2572"/>
      <c r="J457" s="2572" t="s">
        <v>588</v>
      </c>
      <c r="K457" s="2572"/>
      <c r="L457" s="2572"/>
      <c r="M457" s="2572"/>
      <c r="N457" s="2572"/>
      <c r="O457" s="2572"/>
      <c r="P457" s="2572"/>
    </row>
    <row r="458" spans="1:16" ht="54.4" customHeight="1" x14ac:dyDescent="0.25">
      <c r="A458" s="2218"/>
      <c r="B458" s="2571" t="s">
        <v>6150</v>
      </c>
      <c r="C458" s="2571"/>
      <c r="D458" s="2571"/>
      <c r="E458" s="2571"/>
      <c r="F458" s="2571" t="s">
        <v>588</v>
      </c>
      <c r="G458" s="2571"/>
      <c r="H458" s="2571"/>
      <c r="I458" s="2571"/>
      <c r="J458" s="2571" t="s">
        <v>7279</v>
      </c>
      <c r="K458" s="2571"/>
      <c r="L458" s="2571"/>
      <c r="M458" s="2571"/>
      <c r="N458" s="2571"/>
      <c r="O458" s="2571"/>
      <c r="P458" s="2571"/>
    </row>
    <row r="459" spans="1:16" x14ac:dyDescent="0.25">
      <c r="A459" s="2217"/>
      <c r="B459" s="2572" t="s">
        <v>6160</v>
      </c>
      <c r="C459" s="2572"/>
      <c r="D459" s="2572"/>
      <c r="E459" s="2572"/>
      <c r="F459" s="2572" t="s">
        <v>7093</v>
      </c>
      <c r="G459" s="2572"/>
      <c r="H459" s="2572"/>
      <c r="I459" s="2572"/>
      <c r="J459" s="2572" t="s">
        <v>588</v>
      </c>
      <c r="K459" s="2572"/>
      <c r="L459" s="2572"/>
      <c r="M459" s="2572"/>
      <c r="N459" s="2572"/>
      <c r="O459" s="2572"/>
      <c r="P459" s="2572"/>
    </row>
    <row r="460" spans="1:16" x14ac:dyDescent="0.25">
      <c r="A460" s="2217"/>
      <c r="B460" s="2572" t="s">
        <v>6177</v>
      </c>
      <c r="C460" s="2572"/>
      <c r="D460" s="2572"/>
      <c r="E460" s="2572"/>
      <c r="F460" s="2572" t="s">
        <v>7092</v>
      </c>
      <c r="G460" s="2572"/>
      <c r="H460" s="2572"/>
      <c r="I460" s="2572"/>
      <c r="J460" s="2572" t="s">
        <v>588</v>
      </c>
      <c r="K460" s="2572"/>
      <c r="L460" s="2572"/>
      <c r="M460" s="2572"/>
      <c r="N460" s="2572"/>
      <c r="O460" s="2572"/>
      <c r="P460" s="2572"/>
    </row>
    <row r="461" spans="1:16" x14ac:dyDescent="0.25">
      <c r="A461" s="2217"/>
      <c r="B461" s="2572" t="s">
        <v>6249</v>
      </c>
      <c r="C461" s="2572"/>
      <c r="D461" s="2572"/>
      <c r="E461" s="2572"/>
      <c r="F461" s="2572" t="s">
        <v>7091</v>
      </c>
      <c r="G461" s="2572"/>
      <c r="H461" s="2572"/>
      <c r="I461" s="2572"/>
      <c r="J461" s="2572" t="s">
        <v>588</v>
      </c>
      <c r="K461" s="2572"/>
      <c r="L461" s="2572"/>
      <c r="M461" s="2572"/>
      <c r="N461" s="2572"/>
      <c r="O461" s="2572"/>
      <c r="P461" s="2572"/>
    </row>
    <row r="462" spans="1:16" x14ac:dyDescent="0.25">
      <c r="A462" s="2217"/>
      <c r="B462" s="2572" t="s">
        <v>6165</v>
      </c>
      <c r="C462" s="2572"/>
      <c r="D462" s="2572"/>
      <c r="E462" s="2572"/>
      <c r="F462" s="2572" t="s">
        <v>7089</v>
      </c>
      <c r="G462" s="2572"/>
      <c r="H462" s="2572"/>
      <c r="I462" s="2572"/>
      <c r="J462" s="2572" t="s">
        <v>588</v>
      </c>
      <c r="K462" s="2572"/>
      <c r="L462" s="2572"/>
      <c r="M462" s="2572"/>
      <c r="N462" s="2572"/>
      <c r="O462" s="2572"/>
      <c r="P462" s="2572"/>
    </row>
    <row r="463" spans="1:16" x14ac:dyDescent="0.25">
      <c r="A463" s="2217"/>
      <c r="B463" s="2572" t="s">
        <v>6184</v>
      </c>
      <c r="C463" s="2572"/>
      <c r="D463" s="2572"/>
      <c r="E463" s="2572"/>
      <c r="F463" s="2572" t="s">
        <v>7090</v>
      </c>
      <c r="G463" s="2572"/>
      <c r="H463" s="2572"/>
      <c r="I463" s="2572"/>
      <c r="J463" s="2572" t="s">
        <v>588</v>
      </c>
      <c r="K463" s="2572"/>
      <c r="L463" s="2572"/>
      <c r="M463" s="2572"/>
      <c r="N463" s="2572"/>
      <c r="O463" s="2572"/>
      <c r="P463" s="2572"/>
    </row>
    <row r="464" spans="1:16" x14ac:dyDescent="0.25">
      <c r="A464" s="2217"/>
      <c r="B464" s="2572" t="s">
        <v>6185</v>
      </c>
      <c r="C464" s="2572"/>
      <c r="D464" s="2572"/>
      <c r="E464" s="2572"/>
      <c r="F464" s="2572" t="s">
        <v>7089</v>
      </c>
      <c r="G464" s="2572"/>
      <c r="H464" s="2572"/>
      <c r="I464" s="2572"/>
      <c r="J464" s="2572" t="s">
        <v>588</v>
      </c>
      <c r="K464" s="2572"/>
      <c r="L464" s="2572"/>
      <c r="M464" s="2572"/>
      <c r="N464" s="2572"/>
      <c r="O464" s="2572"/>
      <c r="P464" s="2572"/>
    </row>
    <row r="465" spans="1:16" x14ac:dyDescent="0.25">
      <c r="A465" s="2217"/>
      <c r="B465" s="2572" t="s">
        <v>6234</v>
      </c>
      <c r="C465" s="2572"/>
      <c r="D465" s="2572"/>
      <c r="E465" s="2572"/>
      <c r="F465" s="2572" t="s">
        <v>7278</v>
      </c>
      <c r="G465" s="2572"/>
      <c r="H465" s="2572"/>
      <c r="I465" s="2572"/>
      <c r="J465" s="2572" t="s">
        <v>588</v>
      </c>
      <c r="K465" s="2572"/>
      <c r="L465" s="2572"/>
      <c r="M465" s="2572"/>
      <c r="N465" s="2572"/>
      <c r="O465" s="2572"/>
      <c r="P465" s="2572"/>
    </row>
    <row r="466" spans="1:16" ht="163.15" customHeight="1" x14ac:dyDescent="0.25">
      <c r="A466" s="2219" t="s">
        <v>6293</v>
      </c>
      <c r="B466" s="2573" t="s">
        <v>6250</v>
      </c>
      <c r="C466" s="2574"/>
      <c r="D466" s="2574"/>
      <c r="E466" s="2574"/>
      <c r="F466" s="2574" t="s">
        <v>7088</v>
      </c>
      <c r="G466" s="2574"/>
      <c r="H466" s="2574"/>
      <c r="I466" s="2574"/>
      <c r="J466" s="2574" t="s">
        <v>7277</v>
      </c>
      <c r="K466" s="2574"/>
      <c r="L466" s="2574"/>
      <c r="M466" s="2575">
        <f>ROUND((297700 + 2290 * (0.4 * 100 + 0.6 * (100 / 2))) * 1 * 0.4 * 1.68 * 0.4 * 1.1 * 0.9 * 1.24632, 0)</f>
        <v>151901</v>
      </c>
      <c r="N466" s="2574"/>
      <c r="O466" s="2574" t="s">
        <v>588</v>
      </c>
      <c r="P466" s="2574"/>
    </row>
    <row r="467" spans="1:16" x14ac:dyDescent="0.25">
      <c r="A467" s="2218"/>
      <c r="B467" s="2571" t="s">
        <v>4168</v>
      </c>
      <c r="C467" s="2571"/>
      <c r="D467" s="2571"/>
      <c r="E467" s="2571"/>
      <c r="F467" s="2571" t="s">
        <v>588</v>
      </c>
      <c r="G467" s="2571"/>
      <c r="H467" s="2571"/>
      <c r="I467" s="2571"/>
      <c r="J467" s="2571" t="s">
        <v>588</v>
      </c>
      <c r="K467" s="2571"/>
      <c r="L467" s="2571"/>
      <c r="M467" s="2571"/>
      <c r="N467" s="2571"/>
      <c r="O467" s="2571"/>
      <c r="P467" s="2571"/>
    </row>
    <row r="468" spans="1:16" x14ac:dyDescent="0.25">
      <c r="A468" s="2217"/>
      <c r="B468" s="2572" t="s">
        <v>6142</v>
      </c>
      <c r="C468" s="2572"/>
      <c r="D468" s="2572"/>
      <c r="E468" s="2572"/>
      <c r="F468" s="2572" t="s">
        <v>6156</v>
      </c>
      <c r="G468" s="2572"/>
      <c r="H468" s="2572"/>
      <c r="I468" s="2572"/>
      <c r="J468" s="2572" t="s">
        <v>588</v>
      </c>
      <c r="K468" s="2572"/>
      <c r="L468" s="2572"/>
      <c r="M468" s="2572"/>
      <c r="N468" s="2572"/>
      <c r="O468" s="2572"/>
      <c r="P468" s="2572"/>
    </row>
    <row r="469" spans="1:16" ht="40.9" customHeight="1" x14ac:dyDescent="0.25">
      <c r="A469" s="2217"/>
      <c r="B469" s="2572" t="s">
        <v>6447</v>
      </c>
      <c r="C469" s="2572"/>
      <c r="D469" s="2572"/>
      <c r="E469" s="2572"/>
      <c r="F469" s="2572" t="s">
        <v>6448</v>
      </c>
      <c r="G469" s="2572"/>
      <c r="H469" s="2572"/>
      <c r="I469" s="2572"/>
      <c r="J469" s="2572" t="s">
        <v>588</v>
      </c>
      <c r="K469" s="2572"/>
      <c r="L469" s="2572"/>
      <c r="M469" s="2572"/>
      <c r="N469" s="2572"/>
      <c r="O469" s="2572"/>
      <c r="P469" s="2572"/>
    </row>
    <row r="470" spans="1:16" ht="95.25" customHeight="1" x14ac:dyDescent="0.25">
      <c r="A470" s="2217"/>
      <c r="B470" s="2572" t="s">
        <v>6251</v>
      </c>
      <c r="C470" s="2572"/>
      <c r="D470" s="2572"/>
      <c r="E470" s="2572"/>
      <c r="F470" s="2572" t="s">
        <v>6252</v>
      </c>
      <c r="G470" s="2572"/>
      <c r="H470" s="2572"/>
      <c r="I470" s="2572"/>
      <c r="J470" s="2572" t="s">
        <v>588</v>
      </c>
      <c r="K470" s="2572"/>
      <c r="L470" s="2572"/>
      <c r="M470" s="2572"/>
      <c r="N470" s="2572"/>
      <c r="O470" s="2572"/>
      <c r="P470" s="2572"/>
    </row>
    <row r="471" spans="1:16" ht="40.9" customHeight="1" x14ac:dyDescent="0.25">
      <c r="A471" s="2217"/>
      <c r="B471" s="2572" t="s">
        <v>6253</v>
      </c>
      <c r="C471" s="2572"/>
      <c r="D471" s="2572"/>
      <c r="E471" s="2572"/>
      <c r="F471" s="2572" t="s">
        <v>6254</v>
      </c>
      <c r="G471" s="2572"/>
      <c r="H471" s="2572"/>
      <c r="I471" s="2572"/>
      <c r="J471" s="2572" t="s">
        <v>588</v>
      </c>
      <c r="K471" s="2572"/>
      <c r="L471" s="2572"/>
      <c r="M471" s="2572"/>
      <c r="N471" s="2572"/>
      <c r="O471" s="2572"/>
      <c r="P471" s="2572"/>
    </row>
    <row r="472" spans="1:16" ht="108.75" customHeight="1" x14ac:dyDescent="0.25">
      <c r="A472" s="2217"/>
      <c r="B472" s="2572" t="s">
        <v>7014</v>
      </c>
      <c r="C472" s="2572"/>
      <c r="D472" s="2572"/>
      <c r="E472" s="2572"/>
      <c r="F472" s="2572" t="s">
        <v>7087</v>
      </c>
      <c r="G472" s="2572"/>
      <c r="H472" s="2572"/>
      <c r="I472" s="2572"/>
      <c r="J472" s="2572" t="s">
        <v>588</v>
      </c>
      <c r="K472" s="2572"/>
      <c r="L472" s="2572"/>
      <c r="M472" s="2572"/>
      <c r="N472" s="2572"/>
      <c r="O472" s="2572"/>
      <c r="P472" s="2572"/>
    </row>
    <row r="473" spans="1:16" ht="149.65" customHeight="1" x14ac:dyDescent="0.25">
      <c r="A473" s="2217"/>
      <c r="B473" s="2572" t="s">
        <v>6148</v>
      </c>
      <c r="C473" s="2572"/>
      <c r="D473" s="2572"/>
      <c r="E473" s="2572"/>
      <c r="F473" s="2572" t="s">
        <v>6257</v>
      </c>
      <c r="G473" s="2572"/>
      <c r="H473" s="2572"/>
      <c r="I473" s="2572"/>
      <c r="J473" s="2572" t="s">
        <v>588</v>
      </c>
      <c r="K473" s="2572"/>
      <c r="L473" s="2572"/>
      <c r="M473" s="2572"/>
      <c r="N473" s="2572"/>
      <c r="O473" s="2572"/>
      <c r="P473" s="2572"/>
    </row>
    <row r="474" spans="1:16" ht="54.4" customHeight="1" x14ac:dyDescent="0.25">
      <c r="A474" s="2218"/>
      <c r="B474" s="2571" t="s">
        <v>6150</v>
      </c>
      <c r="C474" s="2571"/>
      <c r="D474" s="2571"/>
      <c r="E474" s="2571"/>
      <c r="F474" s="2571" t="s">
        <v>588</v>
      </c>
      <c r="G474" s="2571"/>
      <c r="H474" s="2571"/>
      <c r="I474" s="2571"/>
      <c r="J474" s="2571" t="s">
        <v>7276</v>
      </c>
      <c r="K474" s="2571"/>
      <c r="L474" s="2571"/>
      <c r="M474" s="2571"/>
      <c r="N474" s="2571"/>
      <c r="O474" s="2571"/>
      <c r="P474" s="2571"/>
    </row>
    <row r="475" spans="1:16" x14ac:dyDescent="0.25">
      <c r="A475" s="2217"/>
      <c r="B475" s="2572" t="s">
        <v>6160</v>
      </c>
      <c r="C475" s="2572"/>
      <c r="D475" s="2572"/>
      <c r="E475" s="2572"/>
      <c r="F475" s="2572" t="s">
        <v>6458</v>
      </c>
      <c r="G475" s="2572"/>
      <c r="H475" s="2572"/>
      <c r="I475" s="2572"/>
      <c r="J475" s="2572" t="s">
        <v>588</v>
      </c>
      <c r="K475" s="2572"/>
      <c r="L475" s="2572"/>
      <c r="M475" s="2572"/>
      <c r="N475" s="2572"/>
      <c r="O475" s="2572"/>
      <c r="P475" s="2572"/>
    </row>
    <row r="476" spans="1:16" x14ac:dyDescent="0.25">
      <c r="A476" s="2217"/>
      <c r="B476" s="2572" t="s">
        <v>6177</v>
      </c>
      <c r="C476" s="2572"/>
      <c r="D476" s="2572"/>
      <c r="E476" s="2572"/>
      <c r="F476" s="2572" t="s">
        <v>6459</v>
      </c>
      <c r="G476" s="2572"/>
      <c r="H476" s="2572"/>
      <c r="I476" s="2572"/>
      <c r="J476" s="2572" t="s">
        <v>588</v>
      </c>
      <c r="K476" s="2572"/>
      <c r="L476" s="2572"/>
      <c r="M476" s="2572"/>
      <c r="N476" s="2572"/>
      <c r="O476" s="2572"/>
      <c r="P476" s="2572"/>
    </row>
    <row r="477" spans="1:16" x14ac:dyDescent="0.25">
      <c r="A477" s="2217"/>
      <c r="B477" s="2572" t="s">
        <v>6249</v>
      </c>
      <c r="C477" s="2572"/>
      <c r="D477" s="2572"/>
      <c r="E477" s="2572"/>
      <c r="F477" s="2572" t="s">
        <v>6460</v>
      </c>
      <c r="G477" s="2572"/>
      <c r="H477" s="2572"/>
      <c r="I477" s="2572"/>
      <c r="J477" s="2572" t="s">
        <v>588</v>
      </c>
      <c r="K477" s="2572"/>
      <c r="L477" s="2572"/>
      <c r="M477" s="2572"/>
      <c r="N477" s="2572"/>
      <c r="O477" s="2572"/>
      <c r="P477" s="2572"/>
    </row>
    <row r="478" spans="1:16" x14ac:dyDescent="0.25">
      <c r="A478" s="2217"/>
      <c r="B478" s="2572" t="s">
        <v>6165</v>
      </c>
      <c r="C478" s="2572"/>
      <c r="D478" s="2572"/>
      <c r="E478" s="2572"/>
      <c r="F478" s="2572" t="s">
        <v>6461</v>
      </c>
      <c r="G478" s="2572"/>
      <c r="H478" s="2572"/>
      <c r="I478" s="2572"/>
      <c r="J478" s="2572" t="s">
        <v>588</v>
      </c>
      <c r="K478" s="2572"/>
      <c r="L478" s="2572"/>
      <c r="M478" s="2572"/>
      <c r="N478" s="2572"/>
      <c r="O478" s="2572"/>
      <c r="P478" s="2572"/>
    </row>
    <row r="479" spans="1:16" x14ac:dyDescent="0.25">
      <c r="A479" s="2217"/>
      <c r="B479" s="2572" t="s">
        <v>6184</v>
      </c>
      <c r="C479" s="2572"/>
      <c r="D479" s="2572"/>
      <c r="E479" s="2572"/>
      <c r="F479" s="2572" t="s">
        <v>6462</v>
      </c>
      <c r="G479" s="2572"/>
      <c r="H479" s="2572"/>
      <c r="I479" s="2572"/>
      <c r="J479" s="2572" t="s">
        <v>588</v>
      </c>
      <c r="K479" s="2572"/>
      <c r="L479" s="2572"/>
      <c r="M479" s="2572"/>
      <c r="N479" s="2572"/>
      <c r="O479" s="2572"/>
      <c r="P479" s="2572"/>
    </row>
    <row r="480" spans="1:16" x14ac:dyDescent="0.25">
      <c r="A480" s="2217"/>
      <c r="B480" s="2572" t="s">
        <v>6185</v>
      </c>
      <c r="C480" s="2572"/>
      <c r="D480" s="2572"/>
      <c r="E480" s="2572"/>
      <c r="F480" s="2572" t="s">
        <v>6463</v>
      </c>
      <c r="G480" s="2572"/>
      <c r="H480" s="2572"/>
      <c r="I480" s="2572"/>
      <c r="J480" s="2572" t="s">
        <v>588</v>
      </c>
      <c r="K480" s="2572"/>
      <c r="L480" s="2572"/>
      <c r="M480" s="2572"/>
      <c r="N480" s="2572"/>
      <c r="O480" s="2572"/>
      <c r="P480" s="2572"/>
    </row>
    <row r="481" spans="1:16" x14ac:dyDescent="0.25">
      <c r="A481" s="2217"/>
      <c r="B481" s="2572" t="s">
        <v>6234</v>
      </c>
      <c r="C481" s="2572"/>
      <c r="D481" s="2572"/>
      <c r="E481" s="2572"/>
      <c r="F481" s="2572" t="s">
        <v>7275</v>
      </c>
      <c r="G481" s="2572"/>
      <c r="H481" s="2572"/>
      <c r="I481" s="2572"/>
      <c r="J481" s="2572" t="s">
        <v>588</v>
      </c>
      <c r="K481" s="2572"/>
      <c r="L481" s="2572"/>
      <c r="M481" s="2572"/>
      <c r="N481" s="2572"/>
      <c r="O481" s="2572"/>
      <c r="P481" s="2572"/>
    </row>
    <row r="482" spans="1:16" ht="149.65" customHeight="1" x14ac:dyDescent="0.25">
      <c r="A482" s="2219" t="s">
        <v>6294</v>
      </c>
      <c r="B482" s="2573" t="s">
        <v>6273</v>
      </c>
      <c r="C482" s="2574"/>
      <c r="D482" s="2574"/>
      <c r="E482" s="2574"/>
      <c r="F482" s="2574" t="s">
        <v>6274</v>
      </c>
      <c r="G482" s="2574"/>
      <c r="H482" s="2574"/>
      <c r="I482" s="2574"/>
      <c r="J482" s="2574" t="s">
        <v>7274</v>
      </c>
      <c r="K482" s="2574"/>
      <c r="L482" s="2574"/>
      <c r="M482" s="2575">
        <f>ROUND(52800 * 1 * 1.68 * 0.4 * 0.9 * 1.24947, 0)</f>
        <v>39900</v>
      </c>
      <c r="N482" s="2574"/>
      <c r="O482" s="2574" t="s">
        <v>588</v>
      </c>
      <c r="P482" s="2574"/>
    </row>
    <row r="483" spans="1:16" x14ac:dyDescent="0.25">
      <c r="A483" s="2218"/>
      <c r="B483" s="2571" t="s">
        <v>4168</v>
      </c>
      <c r="C483" s="2571"/>
      <c r="D483" s="2571"/>
      <c r="E483" s="2571"/>
      <c r="F483" s="2571" t="s">
        <v>588</v>
      </c>
      <c r="G483" s="2571"/>
      <c r="H483" s="2571"/>
      <c r="I483" s="2571"/>
      <c r="J483" s="2571" t="s">
        <v>588</v>
      </c>
      <c r="K483" s="2571"/>
      <c r="L483" s="2571"/>
      <c r="M483" s="2571"/>
      <c r="N483" s="2571"/>
      <c r="O483" s="2571"/>
      <c r="P483" s="2571"/>
    </row>
    <row r="484" spans="1:16" x14ac:dyDescent="0.25">
      <c r="A484" s="2217"/>
      <c r="B484" s="2572" t="s">
        <v>6142</v>
      </c>
      <c r="C484" s="2572"/>
      <c r="D484" s="2572"/>
      <c r="E484" s="2572"/>
      <c r="F484" s="2572" t="s">
        <v>6156</v>
      </c>
      <c r="G484" s="2572"/>
      <c r="H484" s="2572"/>
      <c r="I484" s="2572"/>
      <c r="J484" s="2572" t="s">
        <v>588</v>
      </c>
      <c r="K484" s="2572"/>
      <c r="L484" s="2572"/>
      <c r="M484" s="2572"/>
      <c r="N484" s="2572"/>
      <c r="O484" s="2572"/>
      <c r="P484" s="2572"/>
    </row>
    <row r="485" spans="1:16" ht="40.9" customHeight="1" x14ac:dyDescent="0.25">
      <c r="A485" s="2217"/>
      <c r="B485" s="2572" t="s">
        <v>6447</v>
      </c>
      <c r="C485" s="2572"/>
      <c r="D485" s="2572"/>
      <c r="E485" s="2572"/>
      <c r="F485" s="2572" t="s">
        <v>6448</v>
      </c>
      <c r="G485" s="2572"/>
      <c r="H485" s="2572"/>
      <c r="I485" s="2572"/>
      <c r="J485" s="2572" t="s">
        <v>588</v>
      </c>
      <c r="K485" s="2572"/>
      <c r="L485" s="2572"/>
      <c r="M485" s="2572"/>
      <c r="N485" s="2572"/>
      <c r="O485" s="2572"/>
      <c r="P485" s="2572"/>
    </row>
    <row r="486" spans="1:16" ht="108.75" customHeight="1" x14ac:dyDescent="0.25">
      <c r="A486" s="2217"/>
      <c r="B486" s="2572" t="s">
        <v>7014</v>
      </c>
      <c r="C486" s="2572"/>
      <c r="D486" s="2572"/>
      <c r="E486" s="2572"/>
      <c r="F486" s="2572" t="s">
        <v>7013</v>
      </c>
      <c r="G486" s="2572"/>
      <c r="H486" s="2572"/>
      <c r="I486" s="2572"/>
      <c r="J486" s="2572" t="s">
        <v>588</v>
      </c>
      <c r="K486" s="2572"/>
      <c r="L486" s="2572"/>
      <c r="M486" s="2572"/>
      <c r="N486" s="2572"/>
      <c r="O486" s="2572"/>
      <c r="P486" s="2572"/>
    </row>
    <row r="487" spans="1:16" ht="149.65" customHeight="1" x14ac:dyDescent="0.25">
      <c r="A487" s="2217"/>
      <c r="B487" s="2572" t="s">
        <v>6148</v>
      </c>
      <c r="C487" s="2572"/>
      <c r="D487" s="2572"/>
      <c r="E487" s="2572"/>
      <c r="F487" s="2572" t="s">
        <v>6248</v>
      </c>
      <c r="G487" s="2572"/>
      <c r="H487" s="2572"/>
      <c r="I487" s="2572"/>
      <c r="J487" s="2572" t="s">
        <v>588</v>
      </c>
      <c r="K487" s="2572"/>
      <c r="L487" s="2572"/>
      <c r="M487" s="2572"/>
      <c r="N487" s="2572"/>
      <c r="O487" s="2572"/>
      <c r="P487" s="2572"/>
    </row>
    <row r="488" spans="1:16" ht="54.4" customHeight="1" x14ac:dyDescent="0.25">
      <c r="A488" s="2218"/>
      <c r="B488" s="2571" t="s">
        <v>6150</v>
      </c>
      <c r="C488" s="2571"/>
      <c r="D488" s="2571"/>
      <c r="E488" s="2571"/>
      <c r="F488" s="2571" t="s">
        <v>588</v>
      </c>
      <c r="G488" s="2571"/>
      <c r="H488" s="2571"/>
      <c r="I488" s="2571"/>
      <c r="J488" s="2571" t="s">
        <v>7271</v>
      </c>
      <c r="K488" s="2571"/>
      <c r="L488" s="2571"/>
      <c r="M488" s="2571"/>
      <c r="N488" s="2571"/>
      <c r="O488" s="2571"/>
      <c r="P488" s="2571"/>
    </row>
    <row r="489" spans="1:16" x14ac:dyDescent="0.25">
      <c r="A489" s="2217"/>
      <c r="B489" s="2572" t="s">
        <v>6160</v>
      </c>
      <c r="C489" s="2572"/>
      <c r="D489" s="2572"/>
      <c r="E489" s="2572"/>
      <c r="F489" s="2572" t="s">
        <v>7086</v>
      </c>
      <c r="G489" s="2572"/>
      <c r="H489" s="2572"/>
      <c r="I489" s="2572"/>
      <c r="J489" s="2572" t="s">
        <v>588</v>
      </c>
      <c r="K489" s="2572"/>
      <c r="L489" s="2572"/>
      <c r="M489" s="2572"/>
      <c r="N489" s="2572"/>
      <c r="O489" s="2572"/>
      <c r="P489" s="2572"/>
    </row>
    <row r="490" spans="1:16" x14ac:dyDescent="0.25">
      <c r="A490" s="2217"/>
      <c r="B490" s="2572" t="s">
        <v>6177</v>
      </c>
      <c r="C490" s="2572"/>
      <c r="D490" s="2572"/>
      <c r="E490" s="2572"/>
      <c r="F490" s="2572" t="s">
        <v>7085</v>
      </c>
      <c r="G490" s="2572"/>
      <c r="H490" s="2572"/>
      <c r="I490" s="2572"/>
      <c r="J490" s="2572" t="s">
        <v>588</v>
      </c>
      <c r="K490" s="2572"/>
      <c r="L490" s="2572"/>
      <c r="M490" s="2572"/>
      <c r="N490" s="2572"/>
      <c r="O490" s="2572"/>
      <c r="P490" s="2572"/>
    </row>
    <row r="491" spans="1:16" x14ac:dyDescent="0.25">
      <c r="A491" s="2217"/>
      <c r="B491" s="2572" t="s">
        <v>6249</v>
      </c>
      <c r="C491" s="2572"/>
      <c r="D491" s="2572"/>
      <c r="E491" s="2572"/>
      <c r="F491" s="2572" t="s">
        <v>7084</v>
      </c>
      <c r="G491" s="2572"/>
      <c r="H491" s="2572"/>
      <c r="I491" s="2572"/>
      <c r="J491" s="2572" t="s">
        <v>588</v>
      </c>
      <c r="K491" s="2572"/>
      <c r="L491" s="2572"/>
      <c r="M491" s="2572"/>
      <c r="N491" s="2572"/>
      <c r="O491" s="2572"/>
      <c r="P491" s="2572"/>
    </row>
    <row r="492" spans="1:16" x14ac:dyDescent="0.25">
      <c r="A492" s="2217"/>
      <c r="B492" s="2572" t="s">
        <v>6165</v>
      </c>
      <c r="C492" s="2572"/>
      <c r="D492" s="2572"/>
      <c r="E492" s="2572"/>
      <c r="F492" s="2572" t="s">
        <v>7083</v>
      </c>
      <c r="G492" s="2572"/>
      <c r="H492" s="2572"/>
      <c r="I492" s="2572"/>
      <c r="J492" s="2572" t="s">
        <v>588</v>
      </c>
      <c r="K492" s="2572"/>
      <c r="L492" s="2572"/>
      <c r="M492" s="2572"/>
      <c r="N492" s="2572"/>
      <c r="O492" s="2572"/>
      <c r="P492" s="2572"/>
    </row>
    <row r="493" spans="1:16" x14ac:dyDescent="0.25">
      <c r="A493" s="2217"/>
      <c r="B493" s="2572" t="s">
        <v>6184</v>
      </c>
      <c r="C493" s="2572"/>
      <c r="D493" s="2572"/>
      <c r="E493" s="2572"/>
      <c r="F493" s="2572" t="s">
        <v>7082</v>
      </c>
      <c r="G493" s="2572"/>
      <c r="H493" s="2572"/>
      <c r="I493" s="2572"/>
      <c r="J493" s="2572" t="s">
        <v>588</v>
      </c>
      <c r="K493" s="2572"/>
      <c r="L493" s="2572"/>
      <c r="M493" s="2572"/>
      <c r="N493" s="2572"/>
      <c r="O493" s="2572"/>
      <c r="P493" s="2572"/>
    </row>
    <row r="494" spans="1:16" x14ac:dyDescent="0.25">
      <c r="A494" s="2217"/>
      <c r="B494" s="2572" t="s">
        <v>6185</v>
      </c>
      <c r="C494" s="2572"/>
      <c r="D494" s="2572"/>
      <c r="E494" s="2572"/>
      <c r="F494" s="2572" t="s">
        <v>7081</v>
      </c>
      <c r="G494" s="2572"/>
      <c r="H494" s="2572"/>
      <c r="I494" s="2572"/>
      <c r="J494" s="2572" t="s">
        <v>588</v>
      </c>
      <c r="K494" s="2572"/>
      <c r="L494" s="2572"/>
      <c r="M494" s="2572"/>
      <c r="N494" s="2572"/>
      <c r="O494" s="2572"/>
      <c r="P494" s="2572"/>
    </row>
    <row r="495" spans="1:16" x14ac:dyDescent="0.25">
      <c r="A495" s="2217"/>
      <c r="B495" s="2572" t="s">
        <v>6234</v>
      </c>
      <c r="C495" s="2572"/>
      <c r="D495" s="2572"/>
      <c r="E495" s="2572"/>
      <c r="F495" s="2572" t="s">
        <v>7273</v>
      </c>
      <c r="G495" s="2572"/>
      <c r="H495" s="2572"/>
      <c r="I495" s="2572"/>
      <c r="J495" s="2572" t="s">
        <v>588</v>
      </c>
      <c r="K495" s="2572"/>
      <c r="L495" s="2572"/>
      <c r="M495" s="2572"/>
      <c r="N495" s="2572"/>
      <c r="O495" s="2572"/>
      <c r="P495" s="2572"/>
    </row>
    <row r="496" spans="1:16" ht="149.65" customHeight="1" x14ac:dyDescent="0.25">
      <c r="A496" s="2219" t="s">
        <v>7080</v>
      </c>
      <c r="B496" s="2573" t="s">
        <v>6276</v>
      </c>
      <c r="C496" s="2574"/>
      <c r="D496" s="2574"/>
      <c r="E496" s="2574"/>
      <c r="F496" s="2574" t="s">
        <v>6277</v>
      </c>
      <c r="G496" s="2574"/>
      <c r="H496" s="2574"/>
      <c r="I496" s="2574"/>
      <c r="J496" s="2574" t="s">
        <v>7272</v>
      </c>
      <c r="K496" s="2574"/>
      <c r="L496" s="2574"/>
      <c r="M496" s="2575">
        <f>ROUND(95200 * 1 * 1.68 * 0.4 * 0.9 * 1.8 * 1.24947, 0)</f>
        <v>129493</v>
      </c>
      <c r="N496" s="2574"/>
      <c r="O496" s="2574" t="s">
        <v>7511</v>
      </c>
      <c r="P496" s="2574"/>
    </row>
    <row r="497" spans="1:16" x14ac:dyDescent="0.25">
      <c r="A497" s="2218"/>
      <c r="B497" s="2571" t="s">
        <v>4168</v>
      </c>
      <c r="C497" s="2571"/>
      <c r="D497" s="2571"/>
      <c r="E497" s="2571"/>
      <c r="F497" s="2571" t="s">
        <v>588</v>
      </c>
      <c r="G497" s="2571"/>
      <c r="H497" s="2571"/>
      <c r="I497" s="2571"/>
      <c r="J497" s="2571" t="s">
        <v>588</v>
      </c>
      <c r="K497" s="2571"/>
      <c r="L497" s="2571"/>
      <c r="M497" s="2571"/>
      <c r="N497" s="2571"/>
      <c r="O497" s="2571"/>
      <c r="P497" s="2571"/>
    </row>
    <row r="498" spans="1:16" x14ac:dyDescent="0.25">
      <c r="A498" s="2217"/>
      <c r="B498" s="2572" t="s">
        <v>6142</v>
      </c>
      <c r="C498" s="2572"/>
      <c r="D498" s="2572"/>
      <c r="E498" s="2572"/>
      <c r="F498" s="2572" t="s">
        <v>6156</v>
      </c>
      <c r="G498" s="2572"/>
      <c r="H498" s="2572"/>
      <c r="I498" s="2572"/>
      <c r="J498" s="2572" t="s">
        <v>588</v>
      </c>
      <c r="K498" s="2572"/>
      <c r="L498" s="2572"/>
      <c r="M498" s="2572"/>
      <c r="N498" s="2572"/>
      <c r="O498" s="2572"/>
      <c r="P498" s="2572"/>
    </row>
    <row r="499" spans="1:16" ht="40.9" customHeight="1" x14ac:dyDescent="0.25">
      <c r="A499" s="2217"/>
      <c r="B499" s="2572" t="s">
        <v>6447</v>
      </c>
      <c r="C499" s="2572"/>
      <c r="D499" s="2572"/>
      <c r="E499" s="2572"/>
      <c r="F499" s="2572" t="s">
        <v>6448</v>
      </c>
      <c r="G499" s="2572"/>
      <c r="H499" s="2572"/>
      <c r="I499" s="2572"/>
      <c r="J499" s="2572" t="s">
        <v>588</v>
      </c>
      <c r="K499" s="2572"/>
      <c r="L499" s="2572"/>
      <c r="M499" s="2572"/>
      <c r="N499" s="2572"/>
      <c r="O499" s="2572"/>
      <c r="P499" s="2572"/>
    </row>
    <row r="500" spans="1:16" ht="108.75" customHeight="1" x14ac:dyDescent="0.25">
      <c r="A500" s="2217"/>
      <c r="B500" s="2572" t="s">
        <v>7014</v>
      </c>
      <c r="C500" s="2572"/>
      <c r="D500" s="2572"/>
      <c r="E500" s="2572"/>
      <c r="F500" s="2572" t="s">
        <v>7013</v>
      </c>
      <c r="G500" s="2572"/>
      <c r="H500" s="2572"/>
      <c r="I500" s="2572"/>
      <c r="J500" s="2572" t="s">
        <v>588</v>
      </c>
      <c r="K500" s="2572"/>
      <c r="L500" s="2572"/>
      <c r="M500" s="2572"/>
      <c r="N500" s="2572"/>
      <c r="O500" s="2572"/>
      <c r="P500" s="2572"/>
    </row>
    <row r="501" spans="1:16" ht="135.94999999999999" customHeight="1" x14ac:dyDescent="0.25">
      <c r="A501" s="2217"/>
      <c r="B501" s="2572" t="s">
        <v>7064</v>
      </c>
      <c r="C501" s="2572"/>
      <c r="D501" s="2572"/>
      <c r="E501" s="2572"/>
      <c r="F501" s="2572" t="s">
        <v>7079</v>
      </c>
      <c r="G501" s="2572"/>
      <c r="H501" s="2572"/>
      <c r="I501" s="2572"/>
      <c r="J501" s="2572" t="s">
        <v>588</v>
      </c>
      <c r="K501" s="2572"/>
      <c r="L501" s="2572"/>
      <c r="M501" s="2572"/>
      <c r="N501" s="2572"/>
      <c r="O501" s="2572"/>
      <c r="P501" s="2572"/>
    </row>
    <row r="502" spans="1:16" ht="149.65" customHeight="1" x14ac:dyDescent="0.25">
      <c r="A502" s="2217"/>
      <c r="B502" s="2572" t="s">
        <v>6148</v>
      </c>
      <c r="C502" s="2572"/>
      <c r="D502" s="2572"/>
      <c r="E502" s="2572"/>
      <c r="F502" s="2572" t="s">
        <v>6257</v>
      </c>
      <c r="G502" s="2572"/>
      <c r="H502" s="2572"/>
      <c r="I502" s="2572"/>
      <c r="J502" s="2572" t="s">
        <v>588</v>
      </c>
      <c r="K502" s="2572"/>
      <c r="L502" s="2572"/>
      <c r="M502" s="2572"/>
      <c r="N502" s="2572"/>
      <c r="O502" s="2572"/>
      <c r="P502" s="2572"/>
    </row>
    <row r="503" spans="1:16" ht="54.4" customHeight="1" x14ac:dyDescent="0.25">
      <c r="A503" s="2218"/>
      <c r="B503" s="2571" t="s">
        <v>6150</v>
      </c>
      <c r="C503" s="2571"/>
      <c r="D503" s="2571"/>
      <c r="E503" s="2571"/>
      <c r="F503" s="2571" t="s">
        <v>588</v>
      </c>
      <c r="G503" s="2571"/>
      <c r="H503" s="2571"/>
      <c r="I503" s="2571"/>
      <c r="J503" s="2571" t="s">
        <v>7271</v>
      </c>
      <c r="K503" s="2571"/>
      <c r="L503" s="2571"/>
      <c r="M503" s="2571"/>
      <c r="N503" s="2571"/>
      <c r="O503" s="2571"/>
      <c r="P503" s="2571"/>
    </row>
    <row r="504" spans="1:16" x14ac:dyDescent="0.25">
      <c r="A504" s="2217"/>
      <c r="B504" s="2572" t="s">
        <v>6160</v>
      </c>
      <c r="C504" s="2572"/>
      <c r="D504" s="2572"/>
      <c r="E504" s="2572"/>
      <c r="F504" s="2572" t="s">
        <v>7078</v>
      </c>
      <c r="G504" s="2572"/>
      <c r="H504" s="2572"/>
      <c r="I504" s="2572"/>
      <c r="J504" s="2572" t="s">
        <v>588</v>
      </c>
      <c r="K504" s="2572"/>
      <c r="L504" s="2572"/>
      <c r="M504" s="2572"/>
      <c r="N504" s="2572"/>
      <c r="O504" s="2572"/>
      <c r="P504" s="2572"/>
    </row>
    <row r="505" spans="1:16" x14ac:dyDescent="0.25">
      <c r="A505" s="2217"/>
      <c r="B505" s="2572" t="s">
        <v>6177</v>
      </c>
      <c r="C505" s="2572"/>
      <c r="D505" s="2572"/>
      <c r="E505" s="2572"/>
      <c r="F505" s="2572" t="s">
        <v>7077</v>
      </c>
      <c r="G505" s="2572"/>
      <c r="H505" s="2572"/>
      <c r="I505" s="2572"/>
      <c r="J505" s="2572" t="s">
        <v>588</v>
      </c>
      <c r="K505" s="2572"/>
      <c r="L505" s="2572"/>
      <c r="M505" s="2572"/>
      <c r="N505" s="2572"/>
      <c r="O505" s="2572"/>
      <c r="P505" s="2572"/>
    </row>
    <row r="506" spans="1:16" x14ac:dyDescent="0.25">
      <c r="A506" s="2217"/>
      <c r="B506" s="2572" t="s">
        <v>6249</v>
      </c>
      <c r="C506" s="2572"/>
      <c r="D506" s="2572"/>
      <c r="E506" s="2572"/>
      <c r="F506" s="2572" t="s">
        <v>7076</v>
      </c>
      <c r="G506" s="2572"/>
      <c r="H506" s="2572"/>
      <c r="I506" s="2572"/>
      <c r="J506" s="2572" t="s">
        <v>588</v>
      </c>
      <c r="K506" s="2572"/>
      <c r="L506" s="2572"/>
      <c r="M506" s="2572"/>
      <c r="N506" s="2572"/>
      <c r="O506" s="2572"/>
      <c r="P506" s="2572"/>
    </row>
    <row r="507" spans="1:16" x14ac:dyDescent="0.25">
      <c r="A507" s="2217"/>
      <c r="B507" s="2572" t="s">
        <v>6165</v>
      </c>
      <c r="C507" s="2572"/>
      <c r="D507" s="2572"/>
      <c r="E507" s="2572"/>
      <c r="F507" s="2572" t="s">
        <v>7075</v>
      </c>
      <c r="G507" s="2572"/>
      <c r="H507" s="2572"/>
      <c r="I507" s="2572"/>
      <c r="J507" s="2572" t="s">
        <v>588</v>
      </c>
      <c r="K507" s="2572"/>
      <c r="L507" s="2572"/>
      <c r="M507" s="2572"/>
      <c r="N507" s="2572"/>
      <c r="O507" s="2572"/>
      <c r="P507" s="2572"/>
    </row>
    <row r="508" spans="1:16" x14ac:dyDescent="0.25">
      <c r="A508" s="2217"/>
      <c r="B508" s="2572" t="s">
        <v>6184</v>
      </c>
      <c r="C508" s="2572"/>
      <c r="D508" s="2572"/>
      <c r="E508" s="2572"/>
      <c r="F508" s="2572" t="s">
        <v>7074</v>
      </c>
      <c r="G508" s="2572"/>
      <c r="H508" s="2572"/>
      <c r="I508" s="2572"/>
      <c r="J508" s="2572" t="s">
        <v>588</v>
      </c>
      <c r="K508" s="2572"/>
      <c r="L508" s="2572"/>
      <c r="M508" s="2572"/>
      <c r="N508" s="2572"/>
      <c r="O508" s="2572"/>
      <c r="P508" s="2572"/>
    </row>
    <row r="509" spans="1:16" x14ac:dyDescent="0.25">
      <c r="A509" s="2217"/>
      <c r="B509" s="2572" t="s">
        <v>6185</v>
      </c>
      <c r="C509" s="2572"/>
      <c r="D509" s="2572"/>
      <c r="E509" s="2572"/>
      <c r="F509" s="2572" t="s">
        <v>7073</v>
      </c>
      <c r="G509" s="2572"/>
      <c r="H509" s="2572"/>
      <c r="I509" s="2572"/>
      <c r="J509" s="2572" t="s">
        <v>588</v>
      </c>
      <c r="K509" s="2572"/>
      <c r="L509" s="2572"/>
      <c r="M509" s="2572"/>
      <c r="N509" s="2572"/>
      <c r="O509" s="2572"/>
      <c r="P509" s="2572"/>
    </row>
    <row r="510" spans="1:16" x14ac:dyDescent="0.25">
      <c r="A510" s="2217"/>
      <c r="B510" s="2572" t="s">
        <v>6234</v>
      </c>
      <c r="C510" s="2572"/>
      <c r="D510" s="2572"/>
      <c r="E510" s="2572"/>
      <c r="F510" s="2572" t="s">
        <v>7270</v>
      </c>
      <c r="G510" s="2572"/>
      <c r="H510" s="2572"/>
      <c r="I510" s="2572"/>
      <c r="J510" s="2572" t="s">
        <v>588</v>
      </c>
      <c r="K510" s="2572"/>
      <c r="L510" s="2572"/>
      <c r="M510" s="2572"/>
      <c r="N510" s="2572"/>
      <c r="O510" s="2572"/>
      <c r="P510" s="2572"/>
    </row>
    <row r="511" spans="1:16" ht="149.65" customHeight="1" x14ac:dyDescent="0.25">
      <c r="A511" s="2219" t="s">
        <v>7072</v>
      </c>
      <c r="B511" s="2573" t="s">
        <v>6280</v>
      </c>
      <c r="C511" s="2574"/>
      <c r="D511" s="2574"/>
      <c r="E511" s="2574"/>
      <c r="F511" s="2574" t="s">
        <v>7071</v>
      </c>
      <c r="G511" s="2574"/>
      <c r="H511" s="2574"/>
      <c r="I511" s="2574"/>
      <c r="J511" s="2574" t="s">
        <v>7269</v>
      </c>
      <c r="K511" s="2574"/>
      <c r="L511" s="2574"/>
      <c r="M511" s="2575">
        <f>ROUND(70400 * 1 * 1.68 * 0.4 * 0.9 * 1.6 * 1.27158, 0)</f>
        <v>86626</v>
      </c>
      <c r="N511" s="2574"/>
      <c r="O511" s="2574" t="s">
        <v>588</v>
      </c>
      <c r="P511" s="2574"/>
    </row>
    <row r="512" spans="1:16" x14ac:dyDescent="0.25">
      <c r="A512" s="2218"/>
      <c r="B512" s="2571" t="s">
        <v>4168</v>
      </c>
      <c r="C512" s="2571"/>
      <c r="D512" s="2571"/>
      <c r="E512" s="2571"/>
      <c r="F512" s="2571" t="s">
        <v>588</v>
      </c>
      <c r="G512" s="2571"/>
      <c r="H512" s="2571"/>
      <c r="I512" s="2571"/>
      <c r="J512" s="2571" t="s">
        <v>588</v>
      </c>
      <c r="K512" s="2571"/>
      <c r="L512" s="2571"/>
      <c r="M512" s="2571"/>
      <c r="N512" s="2571"/>
      <c r="O512" s="2571"/>
      <c r="P512" s="2571"/>
    </row>
    <row r="513" spans="1:16" x14ac:dyDescent="0.25">
      <c r="A513" s="2217"/>
      <c r="B513" s="2572" t="s">
        <v>6142</v>
      </c>
      <c r="C513" s="2572"/>
      <c r="D513" s="2572"/>
      <c r="E513" s="2572"/>
      <c r="F513" s="2572" t="s">
        <v>6156</v>
      </c>
      <c r="G513" s="2572"/>
      <c r="H513" s="2572"/>
      <c r="I513" s="2572"/>
      <c r="J513" s="2572" t="s">
        <v>588</v>
      </c>
      <c r="K513" s="2572"/>
      <c r="L513" s="2572"/>
      <c r="M513" s="2572"/>
      <c r="N513" s="2572"/>
      <c r="O513" s="2572"/>
      <c r="P513" s="2572"/>
    </row>
    <row r="514" spans="1:16" ht="40.9" customHeight="1" x14ac:dyDescent="0.25">
      <c r="A514" s="2217"/>
      <c r="B514" s="2572" t="s">
        <v>6447</v>
      </c>
      <c r="C514" s="2572"/>
      <c r="D514" s="2572"/>
      <c r="E514" s="2572"/>
      <c r="F514" s="2572" t="s">
        <v>6448</v>
      </c>
      <c r="G514" s="2572"/>
      <c r="H514" s="2572"/>
      <c r="I514" s="2572"/>
      <c r="J514" s="2572" t="s">
        <v>588</v>
      </c>
      <c r="K514" s="2572"/>
      <c r="L514" s="2572"/>
      <c r="M514" s="2572"/>
      <c r="N514" s="2572"/>
      <c r="O514" s="2572"/>
      <c r="P514" s="2572"/>
    </row>
    <row r="515" spans="1:16" ht="108.75" customHeight="1" x14ac:dyDescent="0.25">
      <c r="A515" s="2217"/>
      <c r="B515" s="2572" t="s">
        <v>7014</v>
      </c>
      <c r="C515" s="2572"/>
      <c r="D515" s="2572"/>
      <c r="E515" s="2572"/>
      <c r="F515" s="2572" t="s">
        <v>7013</v>
      </c>
      <c r="G515" s="2572"/>
      <c r="H515" s="2572"/>
      <c r="I515" s="2572"/>
      <c r="J515" s="2572" t="s">
        <v>588</v>
      </c>
      <c r="K515" s="2572"/>
      <c r="L515" s="2572"/>
      <c r="M515" s="2572"/>
      <c r="N515" s="2572"/>
      <c r="O515" s="2572"/>
      <c r="P515" s="2572"/>
    </row>
    <row r="516" spans="1:16" ht="135.94999999999999" customHeight="1" x14ac:dyDescent="0.25">
      <c r="A516" s="2217"/>
      <c r="B516" s="2572" t="s">
        <v>7064</v>
      </c>
      <c r="C516" s="2572"/>
      <c r="D516" s="2572"/>
      <c r="E516" s="2572"/>
      <c r="F516" s="2572" t="s">
        <v>7063</v>
      </c>
      <c r="G516" s="2572"/>
      <c r="H516" s="2572"/>
      <c r="I516" s="2572"/>
      <c r="J516" s="2572" t="s">
        <v>588</v>
      </c>
      <c r="K516" s="2572"/>
      <c r="L516" s="2572"/>
      <c r="M516" s="2572"/>
      <c r="N516" s="2572"/>
      <c r="O516" s="2572"/>
      <c r="P516" s="2572"/>
    </row>
    <row r="517" spans="1:16" ht="149.65" customHeight="1" x14ac:dyDescent="0.25">
      <c r="A517" s="2217"/>
      <c r="B517" s="2572" t="s">
        <v>6148</v>
      </c>
      <c r="C517" s="2572"/>
      <c r="D517" s="2572"/>
      <c r="E517" s="2572"/>
      <c r="F517" s="2572" t="s">
        <v>7062</v>
      </c>
      <c r="G517" s="2572"/>
      <c r="H517" s="2572"/>
      <c r="I517" s="2572"/>
      <c r="J517" s="2572" t="s">
        <v>588</v>
      </c>
      <c r="K517" s="2572"/>
      <c r="L517" s="2572"/>
      <c r="M517" s="2572"/>
      <c r="N517" s="2572"/>
      <c r="O517" s="2572"/>
      <c r="P517" s="2572"/>
    </row>
    <row r="518" spans="1:16" ht="40.9" customHeight="1" x14ac:dyDescent="0.25">
      <c r="A518" s="2218"/>
      <c r="B518" s="2571" t="s">
        <v>6150</v>
      </c>
      <c r="C518" s="2571"/>
      <c r="D518" s="2571"/>
      <c r="E518" s="2571"/>
      <c r="F518" s="2571" t="s">
        <v>588</v>
      </c>
      <c r="G518" s="2571"/>
      <c r="H518" s="2571"/>
      <c r="I518" s="2571"/>
      <c r="J518" s="2571" t="s">
        <v>7268</v>
      </c>
      <c r="K518" s="2571"/>
      <c r="L518" s="2571"/>
      <c r="M518" s="2571"/>
      <c r="N518" s="2571"/>
      <c r="O518" s="2571"/>
      <c r="P518" s="2571"/>
    </row>
    <row r="519" spans="1:16" x14ac:dyDescent="0.25">
      <c r="A519" s="2217"/>
      <c r="B519" s="2572" t="s">
        <v>6160</v>
      </c>
      <c r="C519" s="2572"/>
      <c r="D519" s="2572"/>
      <c r="E519" s="2572"/>
      <c r="F519" s="2572" t="s">
        <v>7070</v>
      </c>
      <c r="G519" s="2572"/>
      <c r="H519" s="2572"/>
      <c r="I519" s="2572"/>
      <c r="J519" s="2572" t="s">
        <v>588</v>
      </c>
      <c r="K519" s="2572"/>
      <c r="L519" s="2572"/>
      <c r="M519" s="2572"/>
      <c r="N519" s="2572"/>
      <c r="O519" s="2572"/>
      <c r="P519" s="2572"/>
    </row>
    <row r="520" spans="1:16" x14ac:dyDescent="0.25">
      <c r="A520" s="2217"/>
      <c r="B520" s="2572" t="s">
        <v>6281</v>
      </c>
      <c r="C520" s="2572"/>
      <c r="D520" s="2572"/>
      <c r="E520" s="2572"/>
      <c r="F520" s="2572" t="s">
        <v>7069</v>
      </c>
      <c r="G520" s="2572"/>
      <c r="H520" s="2572"/>
      <c r="I520" s="2572"/>
      <c r="J520" s="2572" t="s">
        <v>588</v>
      </c>
      <c r="K520" s="2572"/>
      <c r="L520" s="2572"/>
      <c r="M520" s="2572"/>
      <c r="N520" s="2572"/>
      <c r="O520" s="2572"/>
      <c r="P520" s="2572"/>
    </row>
    <row r="521" spans="1:16" x14ac:dyDescent="0.25">
      <c r="A521" s="2217"/>
      <c r="B521" s="2572" t="s">
        <v>6282</v>
      </c>
      <c r="C521" s="2572"/>
      <c r="D521" s="2572"/>
      <c r="E521" s="2572"/>
      <c r="F521" s="2572" t="s">
        <v>7068</v>
      </c>
      <c r="G521" s="2572"/>
      <c r="H521" s="2572"/>
      <c r="I521" s="2572"/>
      <c r="J521" s="2572" t="s">
        <v>588</v>
      </c>
      <c r="K521" s="2572"/>
      <c r="L521" s="2572"/>
      <c r="M521" s="2572"/>
      <c r="N521" s="2572"/>
      <c r="O521" s="2572"/>
      <c r="P521" s="2572"/>
    </row>
    <row r="522" spans="1:16" x14ac:dyDescent="0.25">
      <c r="A522" s="2217"/>
      <c r="B522" s="2572" t="s">
        <v>6262</v>
      </c>
      <c r="C522" s="2572"/>
      <c r="D522" s="2572"/>
      <c r="E522" s="2572"/>
      <c r="F522" s="2572" t="s">
        <v>7067</v>
      </c>
      <c r="G522" s="2572"/>
      <c r="H522" s="2572"/>
      <c r="I522" s="2572"/>
      <c r="J522" s="2572" t="s">
        <v>588</v>
      </c>
      <c r="K522" s="2572"/>
      <c r="L522" s="2572"/>
      <c r="M522" s="2572"/>
      <c r="N522" s="2572"/>
      <c r="O522" s="2572"/>
      <c r="P522" s="2572"/>
    </row>
    <row r="523" spans="1:16" x14ac:dyDescent="0.25">
      <c r="A523" s="2217"/>
      <c r="B523" s="2572" t="s">
        <v>6263</v>
      </c>
      <c r="C523" s="2572"/>
      <c r="D523" s="2572"/>
      <c r="E523" s="2572"/>
      <c r="F523" s="2572" t="s">
        <v>7067</v>
      </c>
      <c r="G523" s="2572"/>
      <c r="H523" s="2572"/>
      <c r="I523" s="2572"/>
      <c r="J523" s="2572" t="s">
        <v>588</v>
      </c>
      <c r="K523" s="2572"/>
      <c r="L523" s="2572"/>
      <c r="M523" s="2572"/>
      <c r="N523" s="2572"/>
      <c r="O523" s="2572"/>
      <c r="P523" s="2572"/>
    </row>
    <row r="524" spans="1:16" x14ac:dyDescent="0.25">
      <c r="A524" s="2217"/>
      <c r="B524" s="2572" t="s">
        <v>6217</v>
      </c>
      <c r="C524" s="2572"/>
      <c r="D524" s="2572"/>
      <c r="E524" s="2572"/>
      <c r="F524" s="2572" t="s">
        <v>7267</v>
      </c>
      <c r="G524" s="2572"/>
      <c r="H524" s="2572"/>
      <c r="I524" s="2572"/>
      <c r="J524" s="2572" t="s">
        <v>588</v>
      </c>
      <c r="K524" s="2572"/>
      <c r="L524" s="2572"/>
      <c r="M524" s="2572"/>
      <c r="N524" s="2572"/>
      <c r="O524" s="2572"/>
      <c r="P524" s="2572"/>
    </row>
    <row r="525" spans="1:16" ht="149.65" customHeight="1" x14ac:dyDescent="0.25">
      <c r="A525" s="2219" t="s">
        <v>7066</v>
      </c>
      <c r="B525" s="2573" t="s">
        <v>6284</v>
      </c>
      <c r="C525" s="2574"/>
      <c r="D525" s="2574"/>
      <c r="E525" s="2574"/>
      <c r="F525" s="2574" t="s">
        <v>7065</v>
      </c>
      <c r="G525" s="2574"/>
      <c r="H525" s="2574"/>
      <c r="I525" s="2574"/>
      <c r="J525" s="2574" t="s">
        <v>7266</v>
      </c>
      <c r="K525" s="2574"/>
      <c r="L525" s="2574"/>
      <c r="M525" s="2575">
        <f>ROUND(12000 * 1 * 1.68 * 0.4 * 0.9 * 1.6 * 1.26842, 0)</f>
        <v>14729</v>
      </c>
      <c r="N525" s="2574"/>
      <c r="O525" s="2574" t="s">
        <v>5995</v>
      </c>
      <c r="P525" s="2574"/>
    </row>
    <row r="526" spans="1:16" x14ac:dyDescent="0.25">
      <c r="A526" s="2218"/>
      <c r="B526" s="2571" t="s">
        <v>4168</v>
      </c>
      <c r="C526" s="2571"/>
      <c r="D526" s="2571"/>
      <c r="E526" s="2571"/>
      <c r="F526" s="2571" t="s">
        <v>588</v>
      </c>
      <c r="G526" s="2571"/>
      <c r="H526" s="2571"/>
      <c r="I526" s="2571"/>
      <c r="J526" s="2571" t="s">
        <v>588</v>
      </c>
      <c r="K526" s="2571"/>
      <c r="L526" s="2571"/>
      <c r="M526" s="2571"/>
      <c r="N526" s="2571"/>
      <c r="O526" s="2571"/>
      <c r="P526" s="2571"/>
    </row>
    <row r="527" spans="1:16" x14ac:dyDescent="0.25">
      <c r="A527" s="2217"/>
      <c r="B527" s="2572" t="s">
        <v>6142</v>
      </c>
      <c r="C527" s="2572"/>
      <c r="D527" s="2572"/>
      <c r="E527" s="2572"/>
      <c r="F527" s="2572" t="s">
        <v>6156</v>
      </c>
      <c r="G527" s="2572"/>
      <c r="H527" s="2572"/>
      <c r="I527" s="2572"/>
      <c r="J527" s="2572" t="s">
        <v>588</v>
      </c>
      <c r="K527" s="2572"/>
      <c r="L527" s="2572"/>
      <c r="M527" s="2572"/>
      <c r="N527" s="2572"/>
      <c r="O527" s="2572"/>
      <c r="P527" s="2572"/>
    </row>
    <row r="528" spans="1:16" ht="40.9" customHeight="1" x14ac:dyDescent="0.25">
      <c r="A528" s="2217"/>
      <c r="B528" s="2572" t="s">
        <v>6447</v>
      </c>
      <c r="C528" s="2572"/>
      <c r="D528" s="2572"/>
      <c r="E528" s="2572"/>
      <c r="F528" s="2572" t="s">
        <v>6448</v>
      </c>
      <c r="G528" s="2572"/>
      <c r="H528" s="2572"/>
      <c r="I528" s="2572"/>
      <c r="J528" s="2572" t="s">
        <v>588</v>
      </c>
      <c r="K528" s="2572"/>
      <c r="L528" s="2572"/>
      <c r="M528" s="2572"/>
      <c r="N528" s="2572"/>
      <c r="O528" s="2572"/>
      <c r="P528" s="2572"/>
    </row>
    <row r="529" spans="1:16" ht="108.75" customHeight="1" x14ac:dyDescent="0.25">
      <c r="A529" s="2217"/>
      <c r="B529" s="2572" t="s">
        <v>7014</v>
      </c>
      <c r="C529" s="2572"/>
      <c r="D529" s="2572"/>
      <c r="E529" s="2572"/>
      <c r="F529" s="2572" t="s">
        <v>7013</v>
      </c>
      <c r="G529" s="2572"/>
      <c r="H529" s="2572"/>
      <c r="I529" s="2572"/>
      <c r="J529" s="2572" t="s">
        <v>588</v>
      </c>
      <c r="K529" s="2572"/>
      <c r="L529" s="2572"/>
      <c r="M529" s="2572"/>
      <c r="N529" s="2572"/>
      <c r="O529" s="2572"/>
      <c r="P529" s="2572"/>
    </row>
    <row r="530" spans="1:16" ht="135.94999999999999" customHeight="1" x14ac:dyDescent="0.25">
      <c r="A530" s="2217"/>
      <c r="B530" s="2572" t="s">
        <v>7064</v>
      </c>
      <c r="C530" s="2572"/>
      <c r="D530" s="2572"/>
      <c r="E530" s="2572"/>
      <c r="F530" s="2572" t="s">
        <v>7063</v>
      </c>
      <c r="G530" s="2572"/>
      <c r="H530" s="2572"/>
      <c r="I530" s="2572"/>
      <c r="J530" s="2572" t="s">
        <v>588</v>
      </c>
      <c r="K530" s="2572"/>
      <c r="L530" s="2572"/>
      <c r="M530" s="2572"/>
      <c r="N530" s="2572"/>
      <c r="O530" s="2572"/>
      <c r="P530" s="2572"/>
    </row>
    <row r="531" spans="1:16" ht="149.65" customHeight="1" x14ac:dyDescent="0.25">
      <c r="A531" s="2217"/>
      <c r="B531" s="2572" t="s">
        <v>6148</v>
      </c>
      <c r="C531" s="2572"/>
      <c r="D531" s="2572"/>
      <c r="E531" s="2572"/>
      <c r="F531" s="2572" t="s">
        <v>7062</v>
      </c>
      <c r="G531" s="2572"/>
      <c r="H531" s="2572"/>
      <c r="I531" s="2572"/>
      <c r="J531" s="2572" t="s">
        <v>588</v>
      </c>
      <c r="K531" s="2572"/>
      <c r="L531" s="2572"/>
      <c r="M531" s="2572"/>
      <c r="N531" s="2572"/>
      <c r="O531" s="2572"/>
      <c r="P531" s="2572"/>
    </row>
    <row r="532" spans="1:16" ht="40.9" customHeight="1" x14ac:dyDescent="0.25">
      <c r="A532" s="2218"/>
      <c r="B532" s="2571" t="s">
        <v>6150</v>
      </c>
      <c r="C532" s="2571"/>
      <c r="D532" s="2571"/>
      <c r="E532" s="2571"/>
      <c r="F532" s="2571" t="s">
        <v>588</v>
      </c>
      <c r="G532" s="2571"/>
      <c r="H532" s="2571"/>
      <c r="I532" s="2571"/>
      <c r="J532" s="2571" t="s">
        <v>7265</v>
      </c>
      <c r="K532" s="2571"/>
      <c r="L532" s="2571"/>
      <c r="M532" s="2571"/>
      <c r="N532" s="2571"/>
      <c r="O532" s="2571"/>
      <c r="P532" s="2571"/>
    </row>
    <row r="533" spans="1:16" x14ac:dyDescent="0.25">
      <c r="A533" s="2217"/>
      <c r="B533" s="2572" t="s">
        <v>6160</v>
      </c>
      <c r="C533" s="2572"/>
      <c r="D533" s="2572"/>
      <c r="E533" s="2572"/>
      <c r="F533" s="2572" t="s">
        <v>7061</v>
      </c>
      <c r="G533" s="2572"/>
      <c r="H533" s="2572"/>
      <c r="I533" s="2572"/>
      <c r="J533" s="2572" t="s">
        <v>588</v>
      </c>
      <c r="K533" s="2572"/>
      <c r="L533" s="2572"/>
      <c r="M533" s="2572"/>
      <c r="N533" s="2572"/>
      <c r="O533" s="2572"/>
      <c r="P533" s="2572"/>
    </row>
    <row r="534" spans="1:16" x14ac:dyDescent="0.25">
      <c r="A534" s="2217"/>
      <c r="B534" s="2572" t="s">
        <v>6281</v>
      </c>
      <c r="C534" s="2572"/>
      <c r="D534" s="2572"/>
      <c r="E534" s="2572"/>
      <c r="F534" s="2572" t="s">
        <v>7060</v>
      </c>
      <c r="G534" s="2572"/>
      <c r="H534" s="2572"/>
      <c r="I534" s="2572"/>
      <c r="J534" s="2572" t="s">
        <v>588</v>
      </c>
      <c r="K534" s="2572"/>
      <c r="L534" s="2572"/>
      <c r="M534" s="2572"/>
      <c r="N534" s="2572"/>
      <c r="O534" s="2572"/>
      <c r="P534" s="2572"/>
    </row>
    <row r="535" spans="1:16" x14ac:dyDescent="0.25">
      <c r="A535" s="2217"/>
      <c r="B535" s="2572" t="s">
        <v>6282</v>
      </c>
      <c r="C535" s="2572"/>
      <c r="D535" s="2572"/>
      <c r="E535" s="2572"/>
      <c r="F535" s="2572" t="s">
        <v>7059</v>
      </c>
      <c r="G535" s="2572"/>
      <c r="H535" s="2572"/>
      <c r="I535" s="2572"/>
      <c r="J535" s="2572" t="s">
        <v>588</v>
      </c>
      <c r="K535" s="2572"/>
      <c r="L535" s="2572"/>
      <c r="M535" s="2572"/>
      <c r="N535" s="2572"/>
      <c r="O535" s="2572"/>
      <c r="P535" s="2572"/>
    </row>
    <row r="536" spans="1:16" x14ac:dyDescent="0.25">
      <c r="A536" s="2217"/>
      <c r="B536" s="2572" t="s">
        <v>6285</v>
      </c>
      <c r="C536" s="2572"/>
      <c r="D536" s="2572"/>
      <c r="E536" s="2572"/>
      <c r="F536" s="2572" t="s">
        <v>7058</v>
      </c>
      <c r="G536" s="2572"/>
      <c r="H536" s="2572"/>
      <c r="I536" s="2572"/>
      <c r="J536" s="2572" t="s">
        <v>588</v>
      </c>
      <c r="K536" s="2572"/>
      <c r="L536" s="2572"/>
      <c r="M536" s="2572"/>
      <c r="N536" s="2572"/>
      <c r="O536" s="2572"/>
      <c r="P536" s="2572"/>
    </row>
    <row r="537" spans="1:16" x14ac:dyDescent="0.25">
      <c r="A537" s="2217"/>
      <c r="B537" s="2572" t="s">
        <v>6286</v>
      </c>
      <c r="C537" s="2572"/>
      <c r="D537" s="2572"/>
      <c r="E537" s="2572"/>
      <c r="F537" s="2572" t="s">
        <v>7264</v>
      </c>
      <c r="G537" s="2572"/>
      <c r="H537" s="2572"/>
      <c r="I537" s="2572"/>
      <c r="J537" s="2572" t="s">
        <v>588</v>
      </c>
      <c r="K537" s="2572"/>
      <c r="L537" s="2572"/>
      <c r="M537" s="2572"/>
      <c r="N537" s="2572"/>
      <c r="O537" s="2572"/>
      <c r="P537" s="2572"/>
    </row>
    <row r="538" spans="1:16" x14ac:dyDescent="0.25">
      <c r="A538" s="2216" t="s">
        <v>7057</v>
      </c>
      <c r="B538" s="2568" t="s">
        <v>6287</v>
      </c>
      <c r="C538" s="2568"/>
      <c r="D538" s="2568"/>
      <c r="E538" s="2568"/>
      <c r="F538" s="2568"/>
      <c r="G538" s="2568"/>
      <c r="H538" s="2568"/>
      <c r="I538" s="2568"/>
      <c r="J538" s="2568" t="s">
        <v>588</v>
      </c>
      <c r="K538" s="2568"/>
      <c r="L538" s="2568"/>
      <c r="M538" s="2569">
        <f>ROUND(SUM($M$436:$M$525),0)</f>
        <v>607352</v>
      </c>
      <c r="N538" s="2568"/>
      <c r="O538" s="2568"/>
      <c r="P538" s="2568"/>
    </row>
    <row r="539" spans="1:16" x14ac:dyDescent="0.25">
      <c r="A539" s="2216" t="s">
        <v>7056</v>
      </c>
      <c r="B539" s="2568" t="s">
        <v>6288</v>
      </c>
      <c r="C539" s="2568"/>
      <c r="D539" s="2568"/>
      <c r="E539" s="2568"/>
      <c r="F539" s="2568"/>
      <c r="G539" s="2568"/>
      <c r="H539" s="2568"/>
      <c r="I539" s="2568"/>
      <c r="J539" s="2568" t="s">
        <v>588</v>
      </c>
      <c r="K539" s="2568"/>
      <c r="L539" s="2568"/>
      <c r="M539" s="2569">
        <f>ROUND(($M$538),0)</f>
        <v>607352</v>
      </c>
      <c r="N539" s="2568"/>
      <c r="O539" s="2568"/>
      <c r="P539" s="2568"/>
    </row>
    <row r="540" spans="1:16" ht="27.2" customHeight="1" x14ac:dyDescent="0.25">
      <c r="A540" s="2216" t="s">
        <v>650</v>
      </c>
      <c r="B540" s="2568" t="s">
        <v>6145</v>
      </c>
      <c r="C540" s="2568"/>
      <c r="D540" s="2568"/>
      <c r="E540" s="2568"/>
      <c r="F540" s="2568" t="s">
        <v>7055</v>
      </c>
      <c r="G540" s="2568"/>
      <c r="H540" s="2568"/>
      <c r="I540" s="2568"/>
      <c r="J540" s="2568"/>
      <c r="K540" s="2568"/>
      <c r="L540" s="2568"/>
      <c r="M540" s="2568"/>
      <c r="N540" s="2568"/>
      <c r="O540" s="2568"/>
      <c r="P540" s="2568"/>
    </row>
    <row r="541" spans="1:16" ht="176.85" customHeight="1" x14ac:dyDescent="0.25">
      <c r="A541" s="2219" t="s">
        <v>888</v>
      </c>
      <c r="B541" s="2573" t="s">
        <v>6289</v>
      </c>
      <c r="C541" s="2574"/>
      <c r="D541" s="2574"/>
      <c r="E541" s="2574"/>
      <c r="F541" s="2574" t="s">
        <v>7054</v>
      </c>
      <c r="G541" s="2574"/>
      <c r="H541" s="2574"/>
      <c r="I541" s="2574"/>
      <c r="J541" s="2574" t="s">
        <v>7263</v>
      </c>
      <c r="K541" s="2574"/>
      <c r="L541" s="2574"/>
      <c r="M541" s="2575">
        <f>ROUND((122600 + 641 * 200) * 1 * 1.68 * 0.4 * 0.9 * 1.1 * 1.24, 0)</f>
        <v>206897</v>
      </c>
      <c r="N541" s="2574"/>
      <c r="O541" s="2574" t="s">
        <v>5997</v>
      </c>
      <c r="P541" s="2574"/>
    </row>
    <row r="542" spans="1:16" x14ac:dyDescent="0.25">
      <c r="A542" s="2218"/>
      <c r="B542" s="2571" t="s">
        <v>4168</v>
      </c>
      <c r="C542" s="2571"/>
      <c r="D542" s="2571"/>
      <c r="E542" s="2571"/>
      <c r="F542" s="2571" t="s">
        <v>588</v>
      </c>
      <c r="G542" s="2571"/>
      <c r="H542" s="2571"/>
      <c r="I542" s="2571"/>
      <c r="J542" s="2571" t="s">
        <v>588</v>
      </c>
      <c r="K542" s="2571"/>
      <c r="L542" s="2571"/>
      <c r="M542" s="2571"/>
      <c r="N542" s="2571"/>
      <c r="O542" s="2571"/>
      <c r="P542" s="2571"/>
    </row>
    <row r="543" spans="1:16" x14ac:dyDescent="0.25">
      <c r="A543" s="2217"/>
      <c r="B543" s="2572" t="s">
        <v>6142</v>
      </c>
      <c r="C543" s="2572"/>
      <c r="D543" s="2572"/>
      <c r="E543" s="2572"/>
      <c r="F543" s="2572" t="s">
        <v>6156</v>
      </c>
      <c r="G543" s="2572"/>
      <c r="H543" s="2572"/>
      <c r="I543" s="2572"/>
      <c r="J543" s="2572" t="s">
        <v>588</v>
      </c>
      <c r="K543" s="2572"/>
      <c r="L543" s="2572"/>
      <c r="M543" s="2572"/>
      <c r="N543" s="2572"/>
      <c r="O543" s="2572"/>
      <c r="P543" s="2572"/>
    </row>
    <row r="544" spans="1:16" ht="40.9" customHeight="1" x14ac:dyDescent="0.25">
      <c r="A544" s="2217"/>
      <c r="B544" s="2572" t="s">
        <v>6447</v>
      </c>
      <c r="C544" s="2572"/>
      <c r="D544" s="2572"/>
      <c r="E544" s="2572"/>
      <c r="F544" s="2572" t="s">
        <v>6448</v>
      </c>
      <c r="G544" s="2572"/>
      <c r="H544" s="2572"/>
      <c r="I544" s="2572"/>
      <c r="J544" s="2572" t="s">
        <v>588</v>
      </c>
      <c r="K544" s="2572"/>
      <c r="L544" s="2572"/>
      <c r="M544" s="2572"/>
      <c r="N544" s="2572"/>
      <c r="O544" s="2572"/>
      <c r="P544" s="2572"/>
    </row>
    <row r="545" spans="1:16" ht="108.75" customHeight="1" x14ac:dyDescent="0.25">
      <c r="A545" s="2217"/>
      <c r="B545" s="2572" t="s">
        <v>7014</v>
      </c>
      <c r="C545" s="2572"/>
      <c r="D545" s="2572"/>
      <c r="E545" s="2572"/>
      <c r="F545" s="2572" t="s">
        <v>7013</v>
      </c>
      <c r="G545" s="2572"/>
      <c r="H545" s="2572"/>
      <c r="I545" s="2572"/>
      <c r="J545" s="2572" t="s">
        <v>588</v>
      </c>
      <c r="K545" s="2572"/>
      <c r="L545" s="2572"/>
      <c r="M545" s="2572"/>
      <c r="N545" s="2572"/>
      <c r="O545" s="2572"/>
      <c r="P545" s="2572"/>
    </row>
    <row r="546" spans="1:16" ht="95.25" customHeight="1" x14ac:dyDescent="0.25">
      <c r="A546" s="2217"/>
      <c r="B546" s="2572" t="s">
        <v>6290</v>
      </c>
      <c r="C546" s="2572"/>
      <c r="D546" s="2572"/>
      <c r="E546" s="2572"/>
      <c r="F546" s="2572" t="s">
        <v>7033</v>
      </c>
      <c r="G546" s="2572"/>
      <c r="H546" s="2572"/>
      <c r="I546" s="2572"/>
      <c r="J546" s="2572" t="s">
        <v>588</v>
      </c>
      <c r="K546" s="2572"/>
      <c r="L546" s="2572"/>
      <c r="M546" s="2572"/>
      <c r="N546" s="2572"/>
      <c r="O546" s="2572"/>
      <c r="P546" s="2572"/>
    </row>
    <row r="547" spans="1:16" ht="149.65" customHeight="1" x14ac:dyDescent="0.25">
      <c r="A547" s="2217"/>
      <c r="B547" s="2572" t="s">
        <v>6148</v>
      </c>
      <c r="C547" s="2572"/>
      <c r="D547" s="2572"/>
      <c r="E547" s="2572"/>
      <c r="F547" s="2572" t="s">
        <v>6257</v>
      </c>
      <c r="G547" s="2572"/>
      <c r="H547" s="2572"/>
      <c r="I547" s="2572"/>
      <c r="J547" s="2572" t="s">
        <v>588</v>
      </c>
      <c r="K547" s="2572"/>
      <c r="L547" s="2572"/>
      <c r="M547" s="2572"/>
      <c r="N547" s="2572"/>
      <c r="O547" s="2572"/>
      <c r="P547" s="2572"/>
    </row>
    <row r="548" spans="1:16" ht="40.9" customHeight="1" x14ac:dyDescent="0.25">
      <c r="A548" s="2218"/>
      <c r="B548" s="2571" t="s">
        <v>6150</v>
      </c>
      <c r="C548" s="2571"/>
      <c r="D548" s="2571"/>
      <c r="E548" s="2571"/>
      <c r="F548" s="2571" t="s">
        <v>588</v>
      </c>
      <c r="G548" s="2571"/>
      <c r="H548" s="2571"/>
      <c r="I548" s="2571"/>
      <c r="J548" s="2571" t="s">
        <v>7258</v>
      </c>
      <c r="K548" s="2571"/>
      <c r="L548" s="2571"/>
      <c r="M548" s="2571"/>
      <c r="N548" s="2571"/>
      <c r="O548" s="2571"/>
      <c r="P548" s="2571"/>
    </row>
    <row r="549" spans="1:16" x14ac:dyDescent="0.25">
      <c r="A549" s="2217"/>
      <c r="B549" s="2572" t="s">
        <v>6160</v>
      </c>
      <c r="C549" s="2572"/>
      <c r="D549" s="2572"/>
      <c r="E549" s="2572"/>
      <c r="F549" s="2572" t="s">
        <v>7053</v>
      </c>
      <c r="G549" s="2572"/>
      <c r="H549" s="2572"/>
      <c r="I549" s="2572"/>
      <c r="J549" s="2572" t="s">
        <v>588</v>
      </c>
      <c r="K549" s="2572"/>
      <c r="L549" s="2572"/>
      <c r="M549" s="2572"/>
      <c r="N549" s="2572"/>
      <c r="O549" s="2572"/>
      <c r="P549" s="2572"/>
    </row>
    <row r="550" spans="1:16" x14ac:dyDescent="0.25">
      <c r="A550" s="2217"/>
      <c r="B550" s="2572" t="s">
        <v>6177</v>
      </c>
      <c r="C550" s="2572"/>
      <c r="D550" s="2572"/>
      <c r="E550" s="2572"/>
      <c r="F550" s="2572" t="s">
        <v>7052</v>
      </c>
      <c r="G550" s="2572"/>
      <c r="H550" s="2572"/>
      <c r="I550" s="2572"/>
      <c r="J550" s="2572" t="s">
        <v>588</v>
      </c>
      <c r="K550" s="2572"/>
      <c r="L550" s="2572"/>
      <c r="M550" s="2572"/>
      <c r="N550" s="2572"/>
      <c r="O550" s="2572"/>
      <c r="P550" s="2572"/>
    </row>
    <row r="551" spans="1:16" x14ac:dyDescent="0.25">
      <c r="A551" s="2217"/>
      <c r="B551" s="2572" t="s">
        <v>6249</v>
      </c>
      <c r="C551" s="2572"/>
      <c r="D551" s="2572"/>
      <c r="E551" s="2572"/>
      <c r="F551" s="2572" t="s">
        <v>7051</v>
      </c>
      <c r="G551" s="2572"/>
      <c r="H551" s="2572"/>
      <c r="I551" s="2572"/>
      <c r="J551" s="2572" t="s">
        <v>588</v>
      </c>
      <c r="K551" s="2572"/>
      <c r="L551" s="2572"/>
      <c r="M551" s="2572"/>
      <c r="N551" s="2572"/>
      <c r="O551" s="2572"/>
      <c r="P551" s="2572"/>
    </row>
    <row r="552" spans="1:16" x14ac:dyDescent="0.25">
      <c r="A552" s="2217"/>
      <c r="B552" s="2572" t="s">
        <v>6165</v>
      </c>
      <c r="C552" s="2572"/>
      <c r="D552" s="2572"/>
      <c r="E552" s="2572"/>
      <c r="F552" s="2572" t="s">
        <v>7050</v>
      </c>
      <c r="G552" s="2572"/>
      <c r="H552" s="2572"/>
      <c r="I552" s="2572"/>
      <c r="J552" s="2572" t="s">
        <v>588</v>
      </c>
      <c r="K552" s="2572"/>
      <c r="L552" s="2572"/>
      <c r="M552" s="2572"/>
      <c r="N552" s="2572"/>
      <c r="O552" s="2572"/>
      <c r="P552" s="2572"/>
    </row>
    <row r="553" spans="1:16" x14ac:dyDescent="0.25">
      <c r="A553" s="2217"/>
      <c r="B553" s="2572" t="s">
        <v>6184</v>
      </c>
      <c r="C553" s="2572"/>
      <c r="D553" s="2572"/>
      <c r="E553" s="2572"/>
      <c r="F553" s="2572" t="s">
        <v>7049</v>
      </c>
      <c r="G553" s="2572"/>
      <c r="H553" s="2572"/>
      <c r="I553" s="2572"/>
      <c r="J553" s="2572" t="s">
        <v>588</v>
      </c>
      <c r="K553" s="2572"/>
      <c r="L553" s="2572"/>
      <c r="M553" s="2572"/>
      <c r="N553" s="2572"/>
      <c r="O553" s="2572"/>
      <c r="P553" s="2572"/>
    </row>
    <row r="554" spans="1:16" x14ac:dyDescent="0.25">
      <c r="A554" s="2217"/>
      <c r="B554" s="2572" t="s">
        <v>6185</v>
      </c>
      <c r="C554" s="2572"/>
      <c r="D554" s="2572"/>
      <c r="E554" s="2572"/>
      <c r="F554" s="2572" t="s">
        <v>7048</v>
      </c>
      <c r="G554" s="2572"/>
      <c r="H554" s="2572"/>
      <c r="I554" s="2572"/>
      <c r="J554" s="2572" t="s">
        <v>588</v>
      </c>
      <c r="K554" s="2572"/>
      <c r="L554" s="2572"/>
      <c r="M554" s="2572"/>
      <c r="N554" s="2572"/>
      <c r="O554" s="2572"/>
      <c r="P554" s="2572"/>
    </row>
    <row r="555" spans="1:16" x14ac:dyDescent="0.25">
      <c r="A555" s="2217"/>
      <c r="B555" s="2572" t="s">
        <v>6234</v>
      </c>
      <c r="C555" s="2572"/>
      <c r="D555" s="2572"/>
      <c r="E555" s="2572"/>
      <c r="F555" s="2572" t="s">
        <v>7262</v>
      </c>
      <c r="G555" s="2572"/>
      <c r="H555" s="2572"/>
      <c r="I555" s="2572"/>
      <c r="J555" s="2572" t="s">
        <v>588</v>
      </c>
      <c r="K555" s="2572"/>
      <c r="L555" s="2572"/>
      <c r="M555" s="2572"/>
      <c r="N555" s="2572"/>
      <c r="O555" s="2572"/>
      <c r="P555" s="2572"/>
    </row>
    <row r="556" spans="1:16" ht="149.65" customHeight="1" x14ac:dyDescent="0.25">
      <c r="A556" s="2219" t="s">
        <v>889</v>
      </c>
      <c r="B556" s="2573" t="s">
        <v>6291</v>
      </c>
      <c r="C556" s="2574"/>
      <c r="D556" s="2574"/>
      <c r="E556" s="2574"/>
      <c r="F556" s="2574" t="s">
        <v>6292</v>
      </c>
      <c r="G556" s="2574"/>
      <c r="H556" s="2574"/>
      <c r="I556" s="2574"/>
      <c r="J556" s="2574" t="s">
        <v>7261</v>
      </c>
      <c r="K556" s="2574"/>
      <c r="L556" s="2574"/>
      <c r="M556" s="2575">
        <f>ROUND(20300 * 1 * 1.68 * 0.4 * 0.9 * 1.8 * 1.24, 0)</f>
        <v>27403</v>
      </c>
      <c r="N556" s="2574"/>
      <c r="O556" s="2574" t="s">
        <v>6022</v>
      </c>
      <c r="P556" s="2574"/>
    </row>
    <row r="557" spans="1:16" x14ac:dyDescent="0.25">
      <c r="A557" s="2218"/>
      <c r="B557" s="2571" t="s">
        <v>4168</v>
      </c>
      <c r="C557" s="2571"/>
      <c r="D557" s="2571"/>
      <c r="E557" s="2571"/>
      <c r="F557" s="2571" t="s">
        <v>588</v>
      </c>
      <c r="G557" s="2571"/>
      <c r="H557" s="2571"/>
      <c r="I557" s="2571"/>
      <c r="J557" s="2571" t="s">
        <v>588</v>
      </c>
      <c r="K557" s="2571"/>
      <c r="L557" s="2571"/>
      <c r="M557" s="2571"/>
      <c r="N557" s="2571"/>
      <c r="O557" s="2571"/>
      <c r="P557" s="2571"/>
    </row>
    <row r="558" spans="1:16" x14ac:dyDescent="0.25">
      <c r="A558" s="2217"/>
      <c r="B558" s="2572" t="s">
        <v>6142</v>
      </c>
      <c r="C558" s="2572"/>
      <c r="D558" s="2572"/>
      <c r="E558" s="2572"/>
      <c r="F558" s="2572" t="s">
        <v>6156</v>
      </c>
      <c r="G558" s="2572"/>
      <c r="H558" s="2572"/>
      <c r="I558" s="2572"/>
      <c r="J558" s="2572" t="s">
        <v>588</v>
      </c>
      <c r="K558" s="2572"/>
      <c r="L558" s="2572"/>
      <c r="M558" s="2572"/>
      <c r="N558" s="2572"/>
      <c r="O558" s="2572"/>
      <c r="P558" s="2572"/>
    </row>
    <row r="559" spans="1:16" ht="40.9" customHeight="1" x14ac:dyDescent="0.25">
      <c r="A559" s="2217"/>
      <c r="B559" s="2572" t="s">
        <v>6447</v>
      </c>
      <c r="C559" s="2572"/>
      <c r="D559" s="2572"/>
      <c r="E559" s="2572"/>
      <c r="F559" s="2572" t="s">
        <v>6448</v>
      </c>
      <c r="G559" s="2572"/>
      <c r="H559" s="2572"/>
      <c r="I559" s="2572"/>
      <c r="J559" s="2572" t="s">
        <v>588</v>
      </c>
      <c r="K559" s="2572"/>
      <c r="L559" s="2572"/>
      <c r="M559" s="2572"/>
      <c r="N559" s="2572"/>
      <c r="O559" s="2572"/>
      <c r="P559" s="2572"/>
    </row>
    <row r="560" spans="1:16" ht="108.75" customHeight="1" x14ac:dyDescent="0.25">
      <c r="A560" s="2217"/>
      <c r="B560" s="2572" t="s">
        <v>7014</v>
      </c>
      <c r="C560" s="2572"/>
      <c r="D560" s="2572"/>
      <c r="E560" s="2572"/>
      <c r="F560" s="2572" t="s">
        <v>7013</v>
      </c>
      <c r="G560" s="2572"/>
      <c r="H560" s="2572"/>
      <c r="I560" s="2572"/>
      <c r="J560" s="2572" t="s">
        <v>588</v>
      </c>
      <c r="K560" s="2572"/>
      <c r="L560" s="2572"/>
      <c r="M560" s="2572"/>
      <c r="N560" s="2572"/>
      <c r="O560" s="2572"/>
      <c r="P560" s="2572"/>
    </row>
    <row r="561" spans="1:16" ht="122.45" customHeight="1" x14ac:dyDescent="0.25">
      <c r="A561" s="2217"/>
      <c r="B561" s="2572" t="s">
        <v>7047</v>
      </c>
      <c r="C561" s="2572"/>
      <c r="D561" s="2572"/>
      <c r="E561" s="2572"/>
      <c r="F561" s="2572" t="s">
        <v>7046</v>
      </c>
      <c r="G561" s="2572"/>
      <c r="H561" s="2572"/>
      <c r="I561" s="2572"/>
      <c r="J561" s="2572" t="s">
        <v>588</v>
      </c>
      <c r="K561" s="2572"/>
      <c r="L561" s="2572"/>
      <c r="M561" s="2572"/>
      <c r="N561" s="2572"/>
      <c r="O561" s="2572"/>
      <c r="P561" s="2572"/>
    </row>
    <row r="562" spans="1:16" ht="149.65" customHeight="1" x14ac:dyDescent="0.25">
      <c r="A562" s="2217"/>
      <c r="B562" s="2572" t="s">
        <v>6148</v>
      </c>
      <c r="C562" s="2572"/>
      <c r="D562" s="2572"/>
      <c r="E562" s="2572"/>
      <c r="F562" s="2572" t="s">
        <v>6257</v>
      </c>
      <c r="G562" s="2572"/>
      <c r="H562" s="2572"/>
      <c r="I562" s="2572"/>
      <c r="J562" s="2572" t="s">
        <v>588</v>
      </c>
      <c r="K562" s="2572"/>
      <c r="L562" s="2572"/>
      <c r="M562" s="2572"/>
      <c r="N562" s="2572"/>
      <c r="O562" s="2572"/>
      <c r="P562" s="2572"/>
    </row>
    <row r="563" spans="1:16" ht="40.9" customHeight="1" x14ac:dyDescent="0.25">
      <c r="A563" s="2218"/>
      <c r="B563" s="2571" t="s">
        <v>6150</v>
      </c>
      <c r="C563" s="2571"/>
      <c r="D563" s="2571"/>
      <c r="E563" s="2571"/>
      <c r="F563" s="2571" t="s">
        <v>588</v>
      </c>
      <c r="G563" s="2571"/>
      <c r="H563" s="2571"/>
      <c r="I563" s="2571"/>
      <c r="J563" s="2571" t="s">
        <v>7258</v>
      </c>
      <c r="K563" s="2571"/>
      <c r="L563" s="2571"/>
      <c r="M563" s="2571"/>
      <c r="N563" s="2571"/>
      <c r="O563" s="2571"/>
      <c r="P563" s="2571"/>
    </row>
    <row r="564" spans="1:16" x14ac:dyDescent="0.25">
      <c r="A564" s="2217"/>
      <c r="B564" s="2572" t="s">
        <v>6160</v>
      </c>
      <c r="C564" s="2572"/>
      <c r="D564" s="2572"/>
      <c r="E564" s="2572"/>
      <c r="F564" s="2572" t="s">
        <v>7045</v>
      </c>
      <c r="G564" s="2572"/>
      <c r="H564" s="2572"/>
      <c r="I564" s="2572"/>
      <c r="J564" s="2572" t="s">
        <v>588</v>
      </c>
      <c r="K564" s="2572"/>
      <c r="L564" s="2572"/>
      <c r="M564" s="2572"/>
      <c r="N564" s="2572"/>
      <c r="O564" s="2572"/>
      <c r="P564" s="2572"/>
    </row>
    <row r="565" spans="1:16" x14ac:dyDescent="0.25">
      <c r="A565" s="2217"/>
      <c r="B565" s="2572" t="s">
        <v>6177</v>
      </c>
      <c r="C565" s="2572"/>
      <c r="D565" s="2572"/>
      <c r="E565" s="2572"/>
      <c r="F565" s="2572" t="s">
        <v>7044</v>
      </c>
      <c r="G565" s="2572"/>
      <c r="H565" s="2572"/>
      <c r="I565" s="2572"/>
      <c r="J565" s="2572" t="s">
        <v>588</v>
      </c>
      <c r="K565" s="2572"/>
      <c r="L565" s="2572"/>
      <c r="M565" s="2572"/>
      <c r="N565" s="2572"/>
      <c r="O565" s="2572"/>
      <c r="P565" s="2572"/>
    </row>
    <row r="566" spans="1:16" x14ac:dyDescent="0.25">
      <c r="A566" s="2217"/>
      <c r="B566" s="2572" t="s">
        <v>6249</v>
      </c>
      <c r="C566" s="2572"/>
      <c r="D566" s="2572"/>
      <c r="E566" s="2572"/>
      <c r="F566" s="2572" t="s">
        <v>7043</v>
      </c>
      <c r="G566" s="2572"/>
      <c r="H566" s="2572"/>
      <c r="I566" s="2572"/>
      <c r="J566" s="2572" t="s">
        <v>588</v>
      </c>
      <c r="K566" s="2572"/>
      <c r="L566" s="2572"/>
      <c r="M566" s="2572"/>
      <c r="N566" s="2572"/>
      <c r="O566" s="2572"/>
      <c r="P566" s="2572"/>
    </row>
    <row r="567" spans="1:16" x14ac:dyDescent="0.25">
      <c r="A567" s="2217"/>
      <c r="B567" s="2572" t="s">
        <v>6165</v>
      </c>
      <c r="C567" s="2572"/>
      <c r="D567" s="2572"/>
      <c r="E567" s="2572"/>
      <c r="F567" s="2572" t="s">
        <v>7042</v>
      </c>
      <c r="G567" s="2572"/>
      <c r="H567" s="2572"/>
      <c r="I567" s="2572"/>
      <c r="J567" s="2572" t="s">
        <v>588</v>
      </c>
      <c r="K567" s="2572"/>
      <c r="L567" s="2572"/>
      <c r="M567" s="2572"/>
      <c r="N567" s="2572"/>
      <c r="O567" s="2572"/>
      <c r="P567" s="2572"/>
    </row>
    <row r="568" spans="1:16" x14ac:dyDescent="0.25">
      <c r="A568" s="2217"/>
      <c r="B568" s="2572" t="s">
        <v>6184</v>
      </c>
      <c r="C568" s="2572"/>
      <c r="D568" s="2572"/>
      <c r="E568" s="2572"/>
      <c r="F568" s="2572" t="s">
        <v>7041</v>
      </c>
      <c r="G568" s="2572"/>
      <c r="H568" s="2572"/>
      <c r="I568" s="2572"/>
      <c r="J568" s="2572" t="s">
        <v>588</v>
      </c>
      <c r="K568" s="2572"/>
      <c r="L568" s="2572"/>
      <c r="M568" s="2572"/>
      <c r="N568" s="2572"/>
      <c r="O568" s="2572"/>
      <c r="P568" s="2572"/>
    </row>
    <row r="569" spans="1:16" x14ac:dyDescent="0.25">
      <c r="A569" s="2217"/>
      <c r="B569" s="2572" t="s">
        <v>6185</v>
      </c>
      <c r="C569" s="2572"/>
      <c r="D569" s="2572"/>
      <c r="E569" s="2572"/>
      <c r="F569" s="2572" t="s">
        <v>7040</v>
      </c>
      <c r="G569" s="2572"/>
      <c r="H569" s="2572"/>
      <c r="I569" s="2572"/>
      <c r="J569" s="2572" t="s">
        <v>588</v>
      </c>
      <c r="K569" s="2572"/>
      <c r="L569" s="2572"/>
      <c r="M569" s="2572"/>
      <c r="N569" s="2572"/>
      <c r="O569" s="2572"/>
      <c r="P569" s="2572"/>
    </row>
    <row r="570" spans="1:16" x14ac:dyDescent="0.25">
      <c r="A570" s="2217"/>
      <c r="B570" s="2572" t="s">
        <v>6234</v>
      </c>
      <c r="C570" s="2572"/>
      <c r="D570" s="2572"/>
      <c r="E570" s="2572"/>
      <c r="F570" s="2572" t="s">
        <v>7260</v>
      </c>
      <c r="G570" s="2572"/>
      <c r="H570" s="2572"/>
      <c r="I570" s="2572"/>
      <c r="J570" s="2572" t="s">
        <v>588</v>
      </c>
      <c r="K570" s="2572"/>
      <c r="L570" s="2572"/>
      <c r="M570" s="2572"/>
      <c r="N570" s="2572"/>
      <c r="O570" s="2572"/>
      <c r="P570" s="2572"/>
    </row>
    <row r="571" spans="1:16" ht="27.2" customHeight="1" x14ac:dyDescent="0.25">
      <c r="A571" s="2216" t="s">
        <v>7039</v>
      </c>
      <c r="B571" s="2568" t="s">
        <v>7038</v>
      </c>
      <c r="C571" s="2568"/>
      <c r="D571" s="2568"/>
      <c r="E571" s="2568"/>
      <c r="F571" s="2568"/>
      <c r="G571" s="2568"/>
      <c r="H571" s="2568"/>
      <c r="I571" s="2568"/>
      <c r="J571" s="2568" t="s">
        <v>588</v>
      </c>
      <c r="K571" s="2568"/>
      <c r="L571" s="2568"/>
      <c r="M571" s="2569">
        <f>ROUND(SUM($M$541:$M$556),0)</f>
        <v>234300</v>
      </c>
      <c r="N571" s="2568"/>
      <c r="O571" s="2568"/>
      <c r="P571" s="2568"/>
    </row>
    <row r="572" spans="1:16" ht="27.2" customHeight="1" x14ac:dyDescent="0.25">
      <c r="A572" s="2216" t="s">
        <v>7037</v>
      </c>
      <c r="B572" s="2568" t="s">
        <v>7036</v>
      </c>
      <c r="C572" s="2568"/>
      <c r="D572" s="2568"/>
      <c r="E572" s="2568"/>
      <c r="F572" s="2568"/>
      <c r="G572" s="2568"/>
      <c r="H572" s="2568"/>
      <c r="I572" s="2568"/>
      <c r="J572" s="2568" t="s">
        <v>588</v>
      </c>
      <c r="K572" s="2568"/>
      <c r="L572" s="2568"/>
      <c r="M572" s="2569">
        <f>ROUND(($M$571),0)</f>
        <v>234300</v>
      </c>
      <c r="N572" s="2568"/>
      <c r="O572" s="2568"/>
      <c r="P572" s="2568"/>
    </row>
    <row r="573" spans="1:16" ht="27.2" customHeight="1" x14ac:dyDescent="0.25">
      <c r="A573" s="2216" t="s">
        <v>651</v>
      </c>
      <c r="B573" s="2568" t="s">
        <v>6145</v>
      </c>
      <c r="C573" s="2568"/>
      <c r="D573" s="2568"/>
      <c r="E573" s="2568"/>
      <c r="F573" s="2568" t="s">
        <v>7035</v>
      </c>
      <c r="G573" s="2568"/>
      <c r="H573" s="2568"/>
      <c r="I573" s="2568"/>
      <c r="J573" s="2568"/>
      <c r="K573" s="2568"/>
      <c r="L573" s="2568"/>
      <c r="M573" s="2568"/>
      <c r="N573" s="2568"/>
      <c r="O573" s="2568"/>
      <c r="P573" s="2568"/>
    </row>
    <row r="574" spans="1:16" ht="176.85" customHeight="1" x14ac:dyDescent="0.25">
      <c r="A574" s="2219" t="s">
        <v>4436</v>
      </c>
      <c r="B574" s="2573" t="s">
        <v>6289</v>
      </c>
      <c r="C574" s="2574"/>
      <c r="D574" s="2574"/>
      <c r="E574" s="2574"/>
      <c r="F574" s="2574" t="s">
        <v>7034</v>
      </c>
      <c r="G574" s="2574"/>
      <c r="H574" s="2574"/>
      <c r="I574" s="2574"/>
      <c r="J574" s="2574" t="s">
        <v>7259</v>
      </c>
      <c r="K574" s="2574"/>
      <c r="L574" s="2574"/>
      <c r="M574" s="2575">
        <f>ROUND((122600 + 641 * 350) * 1 * 1.68 * 0.4 * 0.9 * 1.1 * 1.24, 0)</f>
        <v>286215</v>
      </c>
      <c r="N574" s="2574"/>
      <c r="O574" s="2574" t="s">
        <v>7480</v>
      </c>
      <c r="P574" s="2574"/>
    </row>
    <row r="575" spans="1:16" x14ac:dyDescent="0.25">
      <c r="A575" s="2218"/>
      <c r="B575" s="2571" t="s">
        <v>4168</v>
      </c>
      <c r="C575" s="2571"/>
      <c r="D575" s="2571"/>
      <c r="E575" s="2571"/>
      <c r="F575" s="2571" t="s">
        <v>588</v>
      </c>
      <c r="G575" s="2571"/>
      <c r="H575" s="2571"/>
      <c r="I575" s="2571"/>
      <c r="J575" s="2571" t="s">
        <v>588</v>
      </c>
      <c r="K575" s="2571"/>
      <c r="L575" s="2571"/>
      <c r="M575" s="2571"/>
      <c r="N575" s="2571"/>
      <c r="O575" s="2571"/>
      <c r="P575" s="2571"/>
    </row>
    <row r="576" spans="1:16" x14ac:dyDescent="0.25">
      <c r="A576" s="2217"/>
      <c r="B576" s="2572" t="s">
        <v>6142</v>
      </c>
      <c r="C576" s="2572"/>
      <c r="D576" s="2572"/>
      <c r="E576" s="2572"/>
      <c r="F576" s="2572" t="s">
        <v>6156</v>
      </c>
      <c r="G576" s="2572"/>
      <c r="H576" s="2572"/>
      <c r="I576" s="2572"/>
      <c r="J576" s="2572" t="s">
        <v>588</v>
      </c>
      <c r="K576" s="2572"/>
      <c r="L576" s="2572"/>
      <c r="M576" s="2572"/>
      <c r="N576" s="2572"/>
      <c r="O576" s="2572"/>
      <c r="P576" s="2572"/>
    </row>
    <row r="577" spans="1:16" ht="40.9" customHeight="1" x14ac:dyDescent="0.25">
      <c r="A577" s="2217"/>
      <c r="B577" s="2572" t="s">
        <v>6447</v>
      </c>
      <c r="C577" s="2572"/>
      <c r="D577" s="2572"/>
      <c r="E577" s="2572"/>
      <c r="F577" s="2572" t="s">
        <v>6448</v>
      </c>
      <c r="G577" s="2572"/>
      <c r="H577" s="2572"/>
      <c r="I577" s="2572"/>
      <c r="J577" s="2572" t="s">
        <v>588</v>
      </c>
      <c r="K577" s="2572"/>
      <c r="L577" s="2572"/>
      <c r="M577" s="2572"/>
      <c r="N577" s="2572"/>
      <c r="O577" s="2572"/>
      <c r="P577" s="2572"/>
    </row>
    <row r="578" spans="1:16" ht="108.75" customHeight="1" x14ac:dyDescent="0.25">
      <c r="A578" s="2217"/>
      <c r="B578" s="2572" t="s">
        <v>7014</v>
      </c>
      <c r="C578" s="2572"/>
      <c r="D578" s="2572"/>
      <c r="E578" s="2572"/>
      <c r="F578" s="2572" t="s">
        <v>7013</v>
      </c>
      <c r="G578" s="2572"/>
      <c r="H578" s="2572"/>
      <c r="I578" s="2572"/>
      <c r="J578" s="2572" t="s">
        <v>588</v>
      </c>
      <c r="K578" s="2572"/>
      <c r="L578" s="2572"/>
      <c r="M578" s="2572"/>
      <c r="N578" s="2572"/>
      <c r="O578" s="2572"/>
      <c r="P578" s="2572"/>
    </row>
    <row r="579" spans="1:16" ht="95.25" customHeight="1" x14ac:dyDescent="0.25">
      <c r="A579" s="2217"/>
      <c r="B579" s="2572" t="s">
        <v>6290</v>
      </c>
      <c r="C579" s="2572"/>
      <c r="D579" s="2572"/>
      <c r="E579" s="2572"/>
      <c r="F579" s="2572" t="s">
        <v>7033</v>
      </c>
      <c r="G579" s="2572"/>
      <c r="H579" s="2572"/>
      <c r="I579" s="2572"/>
      <c r="J579" s="2572" t="s">
        <v>588</v>
      </c>
      <c r="K579" s="2572"/>
      <c r="L579" s="2572"/>
      <c r="M579" s="2572"/>
      <c r="N579" s="2572"/>
      <c r="O579" s="2572"/>
      <c r="P579" s="2572"/>
    </row>
    <row r="580" spans="1:16" ht="149.65" customHeight="1" x14ac:dyDescent="0.25">
      <c r="A580" s="2217"/>
      <c r="B580" s="2572" t="s">
        <v>6148</v>
      </c>
      <c r="C580" s="2572"/>
      <c r="D580" s="2572"/>
      <c r="E580" s="2572"/>
      <c r="F580" s="2572" t="s">
        <v>6257</v>
      </c>
      <c r="G580" s="2572"/>
      <c r="H580" s="2572"/>
      <c r="I580" s="2572"/>
      <c r="J580" s="2572" t="s">
        <v>588</v>
      </c>
      <c r="K580" s="2572"/>
      <c r="L580" s="2572"/>
      <c r="M580" s="2572"/>
      <c r="N580" s="2572"/>
      <c r="O580" s="2572"/>
      <c r="P580" s="2572"/>
    </row>
    <row r="581" spans="1:16" ht="40.9" customHeight="1" x14ac:dyDescent="0.25">
      <c r="A581" s="2218"/>
      <c r="B581" s="2571" t="s">
        <v>6150</v>
      </c>
      <c r="C581" s="2571"/>
      <c r="D581" s="2571"/>
      <c r="E581" s="2571"/>
      <c r="F581" s="2571" t="s">
        <v>588</v>
      </c>
      <c r="G581" s="2571"/>
      <c r="H581" s="2571"/>
      <c r="I581" s="2571"/>
      <c r="J581" s="2571" t="s">
        <v>7258</v>
      </c>
      <c r="K581" s="2571"/>
      <c r="L581" s="2571"/>
      <c r="M581" s="2571"/>
      <c r="N581" s="2571"/>
      <c r="O581" s="2571"/>
      <c r="P581" s="2571"/>
    </row>
    <row r="582" spans="1:16" x14ac:dyDescent="0.25">
      <c r="A582" s="2217"/>
      <c r="B582" s="2572" t="s">
        <v>6160</v>
      </c>
      <c r="C582" s="2572"/>
      <c r="D582" s="2572"/>
      <c r="E582" s="2572"/>
      <c r="F582" s="2572" t="s">
        <v>7032</v>
      </c>
      <c r="G582" s="2572"/>
      <c r="H582" s="2572"/>
      <c r="I582" s="2572"/>
      <c r="J582" s="2572" t="s">
        <v>588</v>
      </c>
      <c r="K582" s="2572"/>
      <c r="L582" s="2572"/>
      <c r="M582" s="2572"/>
      <c r="N582" s="2572"/>
      <c r="O582" s="2572"/>
      <c r="P582" s="2572"/>
    </row>
    <row r="583" spans="1:16" x14ac:dyDescent="0.25">
      <c r="A583" s="2217"/>
      <c r="B583" s="2572" t="s">
        <v>6177</v>
      </c>
      <c r="C583" s="2572"/>
      <c r="D583" s="2572"/>
      <c r="E583" s="2572"/>
      <c r="F583" s="2572" t="s">
        <v>7031</v>
      </c>
      <c r="G583" s="2572"/>
      <c r="H583" s="2572"/>
      <c r="I583" s="2572"/>
      <c r="J583" s="2572" t="s">
        <v>588</v>
      </c>
      <c r="K583" s="2572"/>
      <c r="L583" s="2572"/>
      <c r="M583" s="2572"/>
      <c r="N583" s="2572"/>
      <c r="O583" s="2572"/>
      <c r="P583" s="2572"/>
    </row>
    <row r="584" spans="1:16" x14ac:dyDescent="0.25">
      <c r="A584" s="2217"/>
      <c r="B584" s="2572" t="s">
        <v>6249</v>
      </c>
      <c r="C584" s="2572"/>
      <c r="D584" s="2572"/>
      <c r="E584" s="2572"/>
      <c r="F584" s="2572" t="s">
        <v>7030</v>
      </c>
      <c r="G584" s="2572"/>
      <c r="H584" s="2572"/>
      <c r="I584" s="2572"/>
      <c r="J584" s="2572" t="s">
        <v>588</v>
      </c>
      <c r="K584" s="2572"/>
      <c r="L584" s="2572"/>
      <c r="M584" s="2572"/>
      <c r="N584" s="2572"/>
      <c r="O584" s="2572"/>
      <c r="P584" s="2572"/>
    </row>
    <row r="585" spans="1:16" x14ac:dyDescent="0.25">
      <c r="A585" s="2217"/>
      <c r="B585" s="2572" t="s">
        <v>6165</v>
      </c>
      <c r="C585" s="2572"/>
      <c r="D585" s="2572"/>
      <c r="E585" s="2572"/>
      <c r="F585" s="2572" t="s">
        <v>7029</v>
      </c>
      <c r="G585" s="2572"/>
      <c r="H585" s="2572"/>
      <c r="I585" s="2572"/>
      <c r="J585" s="2572" t="s">
        <v>588</v>
      </c>
      <c r="K585" s="2572"/>
      <c r="L585" s="2572"/>
      <c r="M585" s="2572"/>
      <c r="N585" s="2572"/>
      <c r="O585" s="2572"/>
      <c r="P585" s="2572"/>
    </row>
    <row r="586" spans="1:16" x14ac:dyDescent="0.25">
      <c r="A586" s="2217"/>
      <c r="B586" s="2572" t="s">
        <v>6184</v>
      </c>
      <c r="C586" s="2572"/>
      <c r="D586" s="2572"/>
      <c r="E586" s="2572"/>
      <c r="F586" s="2572" t="s">
        <v>7028</v>
      </c>
      <c r="G586" s="2572"/>
      <c r="H586" s="2572"/>
      <c r="I586" s="2572"/>
      <c r="J586" s="2572" t="s">
        <v>588</v>
      </c>
      <c r="K586" s="2572"/>
      <c r="L586" s="2572"/>
      <c r="M586" s="2572"/>
      <c r="N586" s="2572"/>
      <c r="O586" s="2572"/>
      <c r="P586" s="2572"/>
    </row>
    <row r="587" spans="1:16" x14ac:dyDescent="0.25">
      <c r="A587" s="2217"/>
      <c r="B587" s="2572" t="s">
        <v>6185</v>
      </c>
      <c r="C587" s="2572"/>
      <c r="D587" s="2572"/>
      <c r="E587" s="2572"/>
      <c r="F587" s="2572" t="s">
        <v>7027</v>
      </c>
      <c r="G587" s="2572"/>
      <c r="H587" s="2572"/>
      <c r="I587" s="2572"/>
      <c r="J587" s="2572" t="s">
        <v>588</v>
      </c>
      <c r="K587" s="2572"/>
      <c r="L587" s="2572"/>
      <c r="M587" s="2572"/>
      <c r="N587" s="2572"/>
      <c r="O587" s="2572"/>
      <c r="P587" s="2572"/>
    </row>
    <row r="588" spans="1:16" x14ac:dyDescent="0.25">
      <c r="A588" s="2217"/>
      <c r="B588" s="2572" t="s">
        <v>6234</v>
      </c>
      <c r="C588" s="2572"/>
      <c r="D588" s="2572"/>
      <c r="E588" s="2572"/>
      <c r="F588" s="2572" t="s">
        <v>7257</v>
      </c>
      <c r="G588" s="2572"/>
      <c r="H588" s="2572"/>
      <c r="I588" s="2572"/>
      <c r="J588" s="2572" t="s">
        <v>588</v>
      </c>
      <c r="K588" s="2572"/>
      <c r="L588" s="2572"/>
      <c r="M588" s="2572"/>
      <c r="N588" s="2572"/>
      <c r="O588" s="2572"/>
      <c r="P588" s="2572"/>
    </row>
    <row r="589" spans="1:16" ht="204" customHeight="1" x14ac:dyDescent="0.25">
      <c r="A589" s="2219" t="s">
        <v>6133</v>
      </c>
      <c r="B589" s="2573" t="s">
        <v>7026</v>
      </c>
      <c r="C589" s="2574"/>
      <c r="D589" s="2574"/>
      <c r="E589" s="2574"/>
      <c r="F589" s="2574" t="s">
        <v>8991</v>
      </c>
      <c r="G589" s="2574"/>
      <c r="H589" s="2574"/>
      <c r="I589" s="2574"/>
      <c r="J589" s="2574" t="s">
        <v>8990</v>
      </c>
      <c r="K589" s="2574"/>
      <c r="L589" s="2574"/>
      <c r="M589" s="2575">
        <f>ROUND((137200 + 323 * 40) * 1 * 1.27 * 0.4 * 1.2 * 0.2 * 1.24, 0)</f>
        <v>22695</v>
      </c>
      <c r="N589" s="2574"/>
      <c r="O589" s="2574" t="s">
        <v>8992</v>
      </c>
      <c r="P589" s="2574"/>
    </row>
    <row r="590" spans="1:16" x14ac:dyDescent="0.25">
      <c r="A590" s="2218"/>
      <c r="B590" s="2571" t="s">
        <v>4168</v>
      </c>
      <c r="C590" s="2571"/>
      <c r="D590" s="2571"/>
      <c r="E590" s="2571"/>
      <c r="F590" s="2571" t="s">
        <v>588</v>
      </c>
      <c r="G590" s="2571"/>
      <c r="H590" s="2571"/>
      <c r="I590" s="2571"/>
      <c r="J590" s="2571" t="s">
        <v>588</v>
      </c>
      <c r="K590" s="2571"/>
      <c r="L590" s="2571"/>
      <c r="M590" s="2571"/>
      <c r="N590" s="2571"/>
      <c r="O590" s="2571"/>
      <c r="P590" s="2571"/>
    </row>
    <row r="591" spans="1:16" x14ac:dyDescent="0.25">
      <c r="A591" s="2217"/>
      <c r="B591" s="2572" t="s">
        <v>6142</v>
      </c>
      <c r="C591" s="2572"/>
      <c r="D591" s="2572"/>
      <c r="E591" s="2572"/>
      <c r="F591" s="2572" t="s">
        <v>6156</v>
      </c>
      <c r="G591" s="2572"/>
      <c r="H591" s="2572"/>
      <c r="I591" s="2572"/>
      <c r="J591" s="2572" t="s">
        <v>588</v>
      </c>
      <c r="K591" s="2572"/>
      <c r="L591" s="2572"/>
      <c r="M591" s="2572"/>
      <c r="N591" s="2572"/>
      <c r="O591" s="2572"/>
      <c r="P591" s="2572"/>
    </row>
    <row r="592" spans="1:16" ht="40.9" customHeight="1" x14ac:dyDescent="0.25">
      <c r="A592" s="2217"/>
      <c r="B592" s="2572" t="s">
        <v>6970</v>
      </c>
      <c r="C592" s="2572"/>
      <c r="D592" s="2572"/>
      <c r="E592" s="2572"/>
      <c r="F592" s="2572" t="s">
        <v>6969</v>
      </c>
      <c r="G592" s="2572"/>
      <c r="H592" s="2572"/>
      <c r="I592" s="2572"/>
      <c r="J592" s="2572" t="s">
        <v>588</v>
      </c>
      <c r="K592" s="2572"/>
      <c r="L592" s="2572"/>
      <c r="M592" s="2572"/>
      <c r="N592" s="2572"/>
      <c r="O592" s="2572"/>
      <c r="P592" s="2572"/>
    </row>
    <row r="593" spans="1:16" ht="122.45" customHeight="1" x14ac:dyDescent="0.25">
      <c r="A593" s="2217"/>
      <c r="B593" s="2572" t="s">
        <v>7024</v>
      </c>
      <c r="C593" s="2572"/>
      <c r="D593" s="2572"/>
      <c r="E593" s="2572"/>
      <c r="F593" s="2572" t="s">
        <v>7023</v>
      </c>
      <c r="G593" s="2572"/>
      <c r="H593" s="2572"/>
      <c r="I593" s="2572"/>
      <c r="J593" s="2572" t="s">
        <v>588</v>
      </c>
      <c r="K593" s="2572"/>
      <c r="L593" s="2572"/>
      <c r="M593" s="2572"/>
      <c r="N593" s="2572"/>
      <c r="O593" s="2572"/>
      <c r="P593" s="2572"/>
    </row>
    <row r="594" spans="1:16" ht="108.75" customHeight="1" x14ac:dyDescent="0.25">
      <c r="A594" s="2217"/>
      <c r="B594" s="2572" t="s">
        <v>8989</v>
      </c>
      <c r="C594" s="2572"/>
      <c r="D594" s="2572"/>
      <c r="E594" s="2572"/>
      <c r="F594" s="2572" t="s">
        <v>8988</v>
      </c>
      <c r="G594" s="2572"/>
      <c r="H594" s="2572"/>
      <c r="I594" s="2572"/>
      <c r="J594" s="2572" t="s">
        <v>588</v>
      </c>
      <c r="K594" s="2572"/>
      <c r="L594" s="2572"/>
      <c r="M594" s="2572"/>
      <c r="N594" s="2572"/>
      <c r="O594" s="2572"/>
      <c r="P594" s="2572"/>
    </row>
    <row r="595" spans="1:16" ht="149.65" customHeight="1" x14ac:dyDescent="0.25">
      <c r="A595" s="2217"/>
      <c r="B595" s="2572" t="s">
        <v>6148</v>
      </c>
      <c r="C595" s="2572"/>
      <c r="D595" s="2572"/>
      <c r="E595" s="2572"/>
      <c r="F595" s="2572" t="s">
        <v>8987</v>
      </c>
      <c r="G595" s="2572"/>
      <c r="H595" s="2572"/>
      <c r="I595" s="2572"/>
      <c r="J595" s="2572" t="s">
        <v>588</v>
      </c>
      <c r="K595" s="2572"/>
      <c r="L595" s="2572"/>
      <c r="M595" s="2572"/>
      <c r="N595" s="2572"/>
      <c r="O595" s="2572"/>
      <c r="P595" s="2572"/>
    </row>
    <row r="596" spans="1:16" ht="81.599999999999994" customHeight="1" x14ac:dyDescent="0.25">
      <c r="A596" s="2218"/>
      <c r="B596" s="2571" t="s">
        <v>6150</v>
      </c>
      <c r="C596" s="2571"/>
      <c r="D596" s="2571"/>
      <c r="E596" s="2571"/>
      <c r="F596" s="2571" t="s">
        <v>588</v>
      </c>
      <c r="G596" s="2571"/>
      <c r="H596" s="2571"/>
      <c r="I596" s="2571"/>
      <c r="J596" s="2571" t="s">
        <v>7022</v>
      </c>
      <c r="K596" s="2571"/>
      <c r="L596" s="2571"/>
      <c r="M596" s="2571"/>
      <c r="N596" s="2571"/>
      <c r="O596" s="2571"/>
      <c r="P596" s="2571"/>
    </row>
    <row r="597" spans="1:16" x14ac:dyDescent="0.25">
      <c r="A597" s="2217"/>
      <c r="B597" s="2572" t="s">
        <v>6160</v>
      </c>
      <c r="C597" s="2572"/>
      <c r="D597" s="2572"/>
      <c r="E597" s="2572"/>
      <c r="F597" s="2572" t="s">
        <v>8975</v>
      </c>
      <c r="G597" s="2572"/>
      <c r="H597" s="2572"/>
      <c r="I597" s="2572"/>
      <c r="J597" s="2572" t="s">
        <v>588</v>
      </c>
      <c r="K597" s="2572"/>
      <c r="L597" s="2572"/>
      <c r="M597" s="2572"/>
      <c r="N597" s="2572"/>
      <c r="O597" s="2572"/>
      <c r="P597" s="2572"/>
    </row>
    <row r="598" spans="1:16" x14ac:dyDescent="0.25">
      <c r="A598" s="2217"/>
      <c r="B598" s="2572" t="s">
        <v>6199</v>
      </c>
      <c r="C598" s="2572"/>
      <c r="D598" s="2572"/>
      <c r="E598" s="2572"/>
      <c r="F598" s="2572" t="s">
        <v>8986</v>
      </c>
      <c r="G598" s="2572"/>
      <c r="H598" s="2572"/>
      <c r="I598" s="2572"/>
      <c r="J598" s="2572" t="s">
        <v>588</v>
      </c>
      <c r="K598" s="2572"/>
      <c r="L598" s="2572"/>
      <c r="M598" s="2572"/>
      <c r="N598" s="2572"/>
      <c r="O598" s="2572"/>
      <c r="P598" s="2572"/>
    </row>
    <row r="599" spans="1:16" x14ac:dyDescent="0.25">
      <c r="A599" s="2217"/>
      <c r="B599" s="2572" t="s">
        <v>6203</v>
      </c>
      <c r="C599" s="2572"/>
      <c r="D599" s="2572"/>
      <c r="E599" s="2572"/>
      <c r="F599" s="2572" t="s">
        <v>8985</v>
      </c>
      <c r="G599" s="2572"/>
      <c r="H599" s="2572"/>
      <c r="I599" s="2572"/>
      <c r="J599" s="2572" t="s">
        <v>588</v>
      </c>
      <c r="K599" s="2572"/>
      <c r="L599" s="2572"/>
      <c r="M599" s="2572"/>
      <c r="N599" s="2572"/>
      <c r="O599" s="2572"/>
      <c r="P599" s="2572"/>
    </row>
    <row r="600" spans="1:16" x14ac:dyDescent="0.25">
      <c r="A600" s="2217"/>
      <c r="B600" s="2572" t="s">
        <v>6204</v>
      </c>
      <c r="C600" s="2572"/>
      <c r="D600" s="2572"/>
      <c r="E600" s="2572"/>
      <c r="F600" s="2572" t="s">
        <v>8984</v>
      </c>
      <c r="G600" s="2572"/>
      <c r="H600" s="2572"/>
      <c r="I600" s="2572"/>
      <c r="J600" s="2572" t="s">
        <v>588</v>
      </c>
      <c r="K600" s="2572"/>
      <c r="L600" s="2572"/>
      <c r="M600" s="2572"/>
      <c r="N600" s="2572"/>
      <c r="O600" s="2572"/>
      <c r="P600" s="2572"/>
    </row>
    <row r="601" spans="1:16" ht="27.2" customHeight="1" x14ac:dyDescent="0.25">
      <c r="A601" s="2217"/>
      <c r="B601" s="2572" t="s">
        <v>6961</v>
      </c>
      <c r="C601" s="2572"/>
      <c r="D601" s="2572"/>
      <c r="E601" s="2572"/>
      <c r="F601" s="2572" t="s">
        <v>8983</v>
      </c>
      <c r="G601" s="2572"/>
      <c r="H601" s="2572"/>
      <c r="I601" s="2572"/>
      <c r="J601" s="2572" t="s">
        <v>588</v>
      </c>
      <c r="K601" s="2572"/>
      <c r="L601" s="2572"/>
      <c r="M601" s="2572"/>
      <c r="N601" s="2572"/>
      <c r="O601" s="2572"/>
      <c r="P601" s="2572"/>
    </row>
    <row r="602" spans="1:16" x14ac:dyDescent="0.25">
      <c r="A602" s="2217"/>
      <c r="B602" s="2572" t="s">
        <v>6913</v>
      </c>
      <c r="C602" s="2572"/>
      <c r="D602" s="2572"/>
      <c r="E602" s="2572"/>
      <c r="F602" s="2572" t="s">
        <v>8982</v>
      </c>
      <c r="G602" s="2572"/>
      <c r="H602" s="2572"/>
      <c r="I602" s="2572"/>
      <c r="J602" s="2572" t="s">
        <v>588</v>
      </c>
      <c r="K602" s="2572"/>
      <c r="L602" s="2572"/>
      <c r="M602" s="2572"/>
      <c r="N602" s="2572"/>
      <c r="O602" s="2572"/>
      <c r="P602" s="2572"/>
    </row>
    <row r="603" spans="1:16" x14ac:dyDescent="0.25">
      <c r="A603" s="2217"/>
      <c r="B603" s="2572" t="s">
        <v>7021</v>
      </c>
      <c r="C603" s="2572"/>
      <c r="D603" s="2572"/>
      <c r="E603" s="2572"/>
      <c r="F603" s="2572" t="s">
        <v>8981</v>
      </c>
      <c r="G603" s="2572"/>
      <c r="H603" s="2572"/>
      <c r="I603" s="2572"/>
      <c r="J603" s="2572" t="s">
        <v>588</v>
      </c>
      <c r="K603" s="2572"/>
      <c r="L603" s="2572"/>
      <c r="M603" s="2572"/>
      <c r="N603" s="2572"/>
      <c r="O603" s="2572"/>
      <c r="P603" s="2572"/>
    </row>
    <row r="604" spans="1:16" x14ac:dyDescent="0.25">
      <c r="A604" s="2217"/>
      <c r="B604" s="2572" t="s">
        <v>7020</v>
      </c>
      <c r="C604" s="2572"/>
      <c r="D604" s="2572"/>
      <c r="E604" s="2572"/>
      <c r="F604" s="2572" t="s">
        <v>8980</v>
      </c>
      <c r="G604" s="2572"/>
      <c r="H604" s="2572"/>
      <c r="I604" s="2572"/>
      <c r="J604" s="2572" t="s">
        <v>588</v>
      </c>
      <c r="K604" s="2572"/>
      <c r="L604" s="2572"/>
      <c r="M604" s="2572"/>
      <c r="N604" s="2572"/>
      <c r="O604" s="2572"/>
      <c r="P604" s="2572"/>
    </row>
    <row r="605" spans="1:16" x14ac:dyDescent="0.25">
      <c r="A605" s="2217"/>
      <c r="B605" s="2572" t="s">
        <v>6951</v>
      </c>
      <c r="C605" s="2572"/>
      <c r="D605" s="2572"/>
      <c r="E605" s="2572"/>
      <c r="F605" s="2572" t="s">
        <v>8979</v>
      </c>
      <c r="G605" s="2572"/>
      <c r="H605" s="2572"/>
      <c r="I605" s="2572"/>
      <c r="J605" s="2572" t="s">
        <v>588</v>
      </c>
      <c r="K605" s="2572"/>
      <c r="L605" s="2572"/>
      <c r="M605" s="2572"/>
      <c r="N605" s="2572"/>
      <c r="O605" s="2572"/>
      <c r="P605" s="2572"/>
    </row>
    <row r="606" spans="1:16" x14ac:dyDescent="0.25">
      <c r="A606" s="2217"/>
      <c r="B606" s="2572" t="s">
        <v>6949</v>
      </c>
      <c r="C606" s="2572"/>
      <c r="D606" s="2572"/>
      <c r="E606" s="2572"/>
      <c r="F606" s="2572" t="s">
        <v>8978</v>
      </c>
      <c r="G606" s="2572"/>
      <c r="H606" s="2572"/>
      <c r="I606" s="2572"/>
      <c r="J606" s="2572" t="s">
        <v>588</v>
      </c>
      <c r="K606" s="2572"/>
      <c r="L606" s="2572"/>
      <c r="M606" s="2572"/>
      <c r="N606" s="2572"/>
      <c r="O606" s="2572"/>
      <c r="P606" s="2572"/>
    </row>
    <row r="607" spans="1:16" x14ac:dyDescent="0.25">
      <c r="A607" s="2217"/>
      <c r="B607" s="2572" t="s">
        <v>6948</v>
      </c>
      <c r="C607" s="2572"/>
      <c r="D607" s="2572"/>
      <c r="E607" s="2572"/>
      <c r="F607" s="2572" t="s">
        <v>8977</v>
      </c>
      <c r="G607" s="2572"/>
      <c r="H607" s="2572"/>
      <c r="I607" s="2572"/>
      <c r="J607" s="2572" t="s">
        <v>588</v>
      </c>
      <c r="K607" s="2572"/>
      <c r="L607" s="2572"/>
      <c r="M607" s="2572"/>
      <c r="N607" s="2572"/>
      <c r="O607" s="2572"/>
      <c r="P607" s="2572"/>
    </row>
    <row r="608" spans="1:16" x14ac:dyDescent="0.25">
      <c r="A608" s="2217"/>
      <c r="B608" s="2572" t="s">
        <v>6946</v>
      </c>
      <c r="C608" s="2572"/>
      <c r="D608" s="2572"/>
      <c r="E608" s="2572"/>
      <c r="F608" s="2572" t="s">
        <v>8976</v>
      </c>
      <c r="G608" s="2572"/>
      <c r="H608" s="2572"/>
      <c r="I608" s="2572"/>
      <c r="J608" s="2572" t="s">
        <v>588</v>
      </c>
      <c r="K608" s="2572"/>
      <c r="L608" s="2572"/>
      <c r="M608" s="2572"/>
      <c r="N608" s="2572"/>
      <c r="O608" s="2572"/>
      <c r="P608" s="2572"/>
    </row>
    <row r="609" spans="1:16" ht="27.2" customHeight="1" x14ac:dyDescent="0.25">
      <c r="A609" s="2217"/>
      <c r="B609" s="2572" t="s">
        <v>6944</v>
      </c>
      <c r="C609" s="2572"/>
      <c r="D609" s="2572"/>
      <c r="E609" s="2572"/>
      <c r="F609" s="2572" t="s">
        <v>8975</v>
      </c>
      <c r="G609" s="2572"/>
      <c r="H609" s="2572"/>
      <c r="I609" s="2572"/>
      <c r="J609" s="2572" t="s">
        <v>588</v>
      </c>
      <c r="K609" s="2572"/>
      <c r="L609" s="2572"/>
      <c r="M609" s="2572"/>
      <c r="N609" s="2572"/>
      <c r="O609" s="2572"/>
      <c r="P609" s="2572"/>
    </row>
    <row r="610" spans="1:16" ht="27.2" customHeight="1" x14ac:dyDescent="0.25">
      <c r="A610" s="2217"/>
      <c r="B610" s="2572" t="s">
        <v>6942</v>
      </c>
      <c r="C610" s="2572"/>
      <c r="D610" s="2572"/>
      <c r="E610" s="2572"/>
      <c r="F610" s="2572" t="s">
        <v>8974</v>
      </c>
      <c r="G610" s="2572"/>
      <c r="H610" s="2572"/>
      <c r="I610" s="2572"/>
      <c r="J610" s="2572" t="s">
        <v>588</v>
      </c>
      <c r="K610" s="2572"/>
      <c r="L610" s="2572"/>
      <c r="M610" s="2572"/>
      <c r="N610" s="2572"/>
      <c r="O610" s="2572"/>
      <c r="P610" s="2572"/>
    </row>
    <row r="611" spans="1:16" ht="149.65" customHeight="1" x14ac:dyDescent="0.25">
      <c r="A611" s="2219" t="s">
        <v>7019</v>
      </c>
      <c r="B611" s="2573" t="s">
        <v>7018</v>
      </c>
      <c r="C611" s="2574"/>
      <c r="D611" s="2574"/>
      <c r="E611" s="2574"/>
      <c r="F611" s="2574" t="s">
        <v>7017</v>
      </c>
      <c r="G611" s="2574"/>
      <c r="H611" s="2574"/>
      <c r="I611" s="2574"/>
      <c r="J611" s="2574" t="s">
        <v>7016</v>
      </c>
      <c r="K611" s="2574"/>
      <c r="L611" s="2574"/>
      <c r="M611" s="2575">
        <f>ROUND((331400 + 1664 * (0.4 * 100 + 0.6 * (100 / 2))) * 1 * 0.72 * 1.68 * 0.4 * 0.9 * (0.05), 0)</f>
        <v>9752</v>
      </c>
      <c r="N611" s="2574"/>
      <c r="O611" s="2574" t="s">
        <v>7457</v>
      </c>
      <c r="P611" s="2574"/>
    </row>
    <row r="612" spans="1:16" x14ac:dyDescent="0.25">
      <c r="A612" s="2218"/>
      <c r="B612" s="2571" t="s">
        <v>4168</v>
      </c>
      <c r="C612" s="2571"/>
      <c r="D612" s="2571"/>
      <c r="E612" s="2571"/>
      <c r="F612" s="2571" t="s">
        <v>588</v>
      </c>
      <c r="G612" s="2571"/>
      <c r="H612" s="2571"/>
      <c r="I612" s="2571"/>
      <c r="J612" s="2571" t="s">
        <v>588</v>
      </c>
      <c r="K612" s="2571"/>
      <c r="L612" s="2571"/>
      <c r="M612" s="2571"/>
      <c r="N612" s="2571"/>
      <c r="O612" s="2571"/>
      <c r="P612" s="2571"/>
    </row>
    <row r="613" spans="1:16" x14ac:dyDescent="0.25">
      <c r="A613" s="2217"/>
      <c r="B613" s="2572" t="s">
        <v>6142</v>
      </c>
      <c r="C613" s="2572"/>
      <c r="D613" s="2572"/>
      <c r="E613" s="2572"/>
      <c r="F613" s="2572" t="s">
        <v>6156</v>
      </c>
      <c r="G613" s="2572"/>
      <c r="H613" s="2572"/>
      <c r="I613" s="2572"/>
      <c r="J613" s="2572" t="s">
        <v>588</v>
      </c>
      <c r="K613" s="2572"/>
      <c r="L613" s="2572"/>
      <c r="M613" s="2572"/>
      <c r="N613" s="2572"/>
      <c r="O613" s="2572"/>
      <c r="P613" s="2572"/>
    </row>
    <row r="614" spans="1:16" ht="40.9" customHeight="1" x14ac:dyDescent="0.25">
      <c r="A614" s="2217"/>
      <c r="B614" s="2572" t="s">
        <v>6447</v>
      </c>
      <c r="C614" s="2572"/>
      <c r="D614" s="2572"/>
      <c r="E614" s="2572"/>
      <c r="F614" s="2572" t="s">
        <v>6448</v>
      </c>
      <c r="G614" s="2572"/>
      <c r="H614" s="2572"/>
      <c r="I614" s="2572"/>
      <c r="J614" s="2572" t="s">
        <v>588</v>
      </c>
      <c r="K614" s="2572"/>
      <c r="L614" s="2572"/>
      <c r="M614" s="2572"/>
      <c r="N614" s="2572"/>
      <c r="O614" s="2572"/>
      <c r="P614" s="2572"/>
    </row>
    <row r="615" spans="1:16" ht="95.25" customHeight="1" x14ac:dyDescent="0.25">
      <c r="A615" s="2217"/>
      <c r="B615" s="2572" t="s">
        <v>6251</v>
      </c>
      <c r="C615" s="2572"/>
      <c r="D615" s="2572"/>
      <c r="E615" s="2572"/>
      <c r="F615" s="2572" t="s">
        <v>7015</v>
      </c>
      <c r="G615" s="2572"/>
      <c r="H615" s="2572"/>
      <c r="I615" s="2572"/>
      <c r="J615" s="2572" t="s">
        <v>588</v>
      </c>
      <c r="K615" s="2572"/>
      <c r="L615" s="2572"/>
      <c r="M615" s="2572"/>
      <c r="N615" s="2572"/>
      <c r="O615" s="2572"/>
      <c r="P615" s="2572"/>
    </row>
    <row r="616" spans="1:16" ht="108.75" customHeight="1" x14ac:dyDescent="0.25">
      <c r="A616" s="2217"/>
      <c r="B616" s="2572" t="s">
        <v>7014</v>
      </c>
      <c r="C616" s="2572"/>
      <c r="D616" s="2572"/>
      <c r="E616" s="2572"/>
      <c r="F616" s="2572" t="s">
        <v>7013</v>
      </c>
      <c r="G616" s="2572"/>
      <c r="H616" s="2572"/>
      <c r="I616" s="2572"/>
      <c r="J616" s="2572" t="s">
        <v>588</v>
      </c>
      <c r="K616" s="2572"/>
      <c r="L616" s="2572"/>
      <c r="M616" s="2572"/>
      <c r="N616" s="2572"/>
      <c r="O616" s="2572"/>
      <c r="P616" s="2572"/>
    </row>
    <row r="617" spans="1:16" ht="81.599999999999994" customHeight="1" x14ac:dyDescent="0.25">
      <c r="A617" s="2217"/>
      <c r="B617" s="2572" t="s">
        <v>6968</v>
      </c>
      <c r="C617" s="2572"/>
      <c r="D617" s="2572"/>
      <c r="E617" s="2572"/>
      <c r="F617" s="2572" t="s">
        <v>7012</v>
      </c>
      <c r="G617" s="2572"/>
      <c r="H617" s="2572"/>
      <c r="I617" s="2572"/>
      <c r="J617" s="2572" t="s">
        <v>588</v>
      </c>
      <c r="K617" s="2572"/>
      <c r="L617" s="2572"/>
      <c r="M617" s="2572"/>
      <c r="N617" s="2572"/>
      <c r="O617" s="2572"/>
      <c r="P617" s="2572"/>
    </row>
    <row r="618" spans="1:16" ht="54.4" customHeight="1" x14ac:dyDescent="0.25">
      <c r="A618" s="2218"/>
      <c r="B618" s="2571" t="s">
        <v>6150</v>
      </c>
      <c r="C618" s="2571"/>
      <c r="D618" s="2571"/>
      <c r="E618" s="2571"/>
      <c r="F618" s="2571" t="s">
        <v>588</v>
      </c>
      <c r="G618" s="2571"/>
      <c r="H618" s="2571"/>
      <c r="I618" s="2571"/>
      <c r="J618" s="2571" t="s">
        <v>7011</v>
      </c>
      <c r="K618" s="2571"/>
      <c r="L618" s="2571"/>
      <c r="M618" s="2571"/>
      <c r="N618" s="2571"/>
      <c r="O618" s="2571"/>
      <c r="P618" s="2571"/>
    </row>
    <row r="619" spans="1:16" x14ac:dyDescent="0.25">
      <c r="A619" s="2217"/>
      <c r="B619" s="2572" t="s">
        <v>6160</v>
      </c>
      <c r="C619" s="2572"/>
      <c r="D619" s="2572"/>
      <c r="E619" s="2572"/>
      <c r="F619" s="2572" t="s">
        <v>6992</v>
      </c>
      <c r="G619" s="2572"/>
      <c r="H619" s="2572"/>
      <c r="I619" s="2572"/>
      <c r="J619" s="2572" t="s">
        <v>588</v>
      </c>
      <c r="K619" s="2572"/>
      <c r="L619" s="2572"/>
      <c r="M619" s="2572"/>
      <c r="N619" s="2572"/>
      <c r="O619" s="2572"/>
      <c r="P619" s="2572"/>
    </row>
    <row r="620" spans="1:16" x14ac:dyDescent="0.25">
      <c r="A620" s="2217"/>
      <c r="B620" s="2572" t="s">
        <v>6199</v>
      </c>
      <c r="C620" s="2572"/>
      <c r="D620" s="2572"/>
      <c r="E620" s="2572"/>
      <c r="F620" s="2572" t="s">
        <v>6994</v>
      </c>
      <c r="G620" s="2572"/>
      <c r="H620" s="2572"/>
      <c r="I620" s="2572"/>
      <c r="J620" s="2572" t="s">
        <v>588</v>
      </c>
      <c r="K620" s="2572"/>
      <c r="L620" s="2572"/>
      <c r="M620" s="2572"/>
      <c r="N620" s="2572"/>
      <c r="O620" s="2572"/>
      <c r="P620" s="2572"/>
    </row>
    <row r="621" spans="1:16" x14ac:dyDescent="0.25">
      <c r="A621" s="2217"/>
      <c r="B621" s="2572" t="s">
        <v>6215</v>
      </c>
      <c r="C621" s="2572"/>
      <c r="D621" s="2572"/>
      <c r="E621" s="2572"/>
      <c r="F621" s="2572" t="s">
        <v>7010</v>
      </c>
      <c r="G621" s="2572"/>
      <c r="H621" s="2572"/>
      <c r="I621" s="2572"/>
      <c r="J621" s="2572" t="s">
        <v>588</v>
      </c>
      <c r="K621" s="2572"/>
      <c r="L621" s="2572"/>
      <c r="M621" s="2572"/>
      <c r="N621" s="2572"/>
      <c r="O621" s="2572"/>
      <c r="P621" s="2572"/>
    </row>
    <row r="622" spans="1:16" ht="27.2" customHeight="1" x14ac:dyDescent="0.25">
      <c r="A622" s="2217"/>
      <c r="B622" s="2572" t="s">
        <v>6870</v>
      </c>
      <c r="C622" s="2572"/>
      <c r="D622" s="2572"/>
      <c r="E622" s="2572"/>
      <c r="F622" s="2572" t="s">
        <v>7009</v>
      </c>
      <c r="G622" s="2572"/>
      <c r="H622" s="2572"/>
      <c r="I622" s="2572"/>
      <c r="J622" s="2572" t="s">
        <v>588</v>
      </c>
      <c r="K622" s="2572"/>
      <c r="L622" s="2572"/>
      <c r="M622" s="2572"/>
      <c r="N622" s="2572"/>
      <c r="O622" s="2572"/>
      <c r="P622" s="2572"/>
    </row>
    <row r="623" spans="1:16" x14ac:dyDescent="0.25">
      <c r="A623" s="2217"/>
      <c r="B623" s="2572" t="s">
        <v>7008</v>
      </c>
      <c r="C623" s="2572"/>
      <c r="D623" s="2572"/>
      <c r="E623" s="2572"/>
      <c r="F623" s="2572" t="s">
        <v>7004</v>
      </c>
      <c r="G623" s="2572"/>
      <c r="H623" s="2572"/>
      <c r="I623" s="2572"/>
      <c r="J623" s="2572" t="s">
        <v>588</v>
      </c>
      <c r="K623" s="2572"/>
      <c r="L623" s="2572"/>
      <c r="M623" s="2572"/>
      <c r="N623" s="2572"/>
      <c r="O623" s="2572"/>
      <c r="P623" s="2572"/>
    </row>
    <row r="624" spans="1:16" x14ac:dyDescent="0.25">
      <c r="A624" s="2217"/>
      <c r="B624" s="2572" t="s">
        <v>7007</v>
      </c>
      <c r="C624" s="2572"/>
      <c r="D624" s="2572"/>
      <c r="E624" s="2572"/>
      <c r="F624" s="2572" t="s">
        <v>7006</v>
      </c>
      <c r="G624" s="2572"/>
      <c r="H624" s="2572"/>
      <c r="I624" s="2572"/>
      <c r="J624" s="2572" t="s">
        <v>588</v>
      </c>
      <c r="K624" s="2572"/>
      <c r="L624" s="2572"/>
      <c r="M624" s="2572"/>
      <c r="N624" s="2572"/>
      <c r="O624" s="2572"/>
      <c r="P624" s="2572"/>
    </row>
    <row r="625" spans="1:16" x14ac:dyDescent="0.25">
      <c r="A625" s="2217"/>
      <c r="B625" s="2572" t="s">
        <v>7005</v>
      </c>
      <c r="C625" s="2572"/>
      <c r="D625" s="2572"/>
      <c r="E625" s="2572"/>
      <c r="F625" s="2572" t="s">
        <v>7004</v>
      </c>
      <c r="G625" s="2572"/>
      <c r="H625" s="2572"/>
      <c r="I625" s="2572"/>
      <c r="J625" s="2572" t="s">
        <v>588</v>
      </c>
      <c r="K625" s="2572"/>
      <c r="L625" s="2572"/>
      <c r="M625" s="2572"/>
      <c r="N625" s="2572"/>
      <c r="O625" s="2572"/>
      <c r="P625" s="2572"/>
    </row>
    <row r="626" spans="1:16" x14ac:dyDescent="0.25">
      <c r="A626" s="2217"/>
      <c r="B626" s="2572" t="s">
        <v>7003</v>
      </c>
      <c r="C626" s="2572"/>
      <c r="D626" s="2572"/>
      <c r="E626" s="2572"/>
      <c r="F626" s="2572" t="s">
        <v>7002</v>
      </c>
      <c r="G626" s="2572"/>
      <c r="H626" s="2572"/>
      <c r="I626" s="2572"/>
      <c r="J626" s="2572" t="s">
        <v>588</v>
      </c>
      <c r="K626" s="2572"/>
      <c r="L626" s="2572"/>
      <c r="M626" s="2572"/>
      <c r="N626" s="2572"/>
      <c r="O626" s="2572"/>
      <c r="P626" s="2572"/>
    </row>
    <row r="627" spans="1:16" x14ac:dyDescent="0.25">
      <c r="A627" s="2217"/>
      <c r="B627" s="2572" t="s">
        <v>7001</v>
      </c>
      <c r="C627" s="2572"/>
      <c r="D627" s="2572"/>
      <c r="E627" s="2572"/>
      <c r="F627" s="2572" t="s">
        <v>7000</v>
      </c>
      <c r="G627" s="2572"/>
      <c r="H627" s="2572"/>
      <c r="I627" s="2572"/>
      <c r="J627" s="2572" t="s">
        <v>588</v>
      </c>
      <c r="K627" s="2572"/>
      <c r="L627" s="2572"/>
      <c r="M627" s="2572"/>
      <c r="N627" s="2572"/>
      <c r="O627" s="2572"/>
      <c r="P627" s="2572"/>
    </row>
    <row r="628" spans="1:16" x14ac:dyDescent="0.25">
      <c r="A628" s="2217"/>
      <c r="B628" s="2572" t="s">
        <v>6999</v>
      </c>
      <c r="C628" s="2572"/>
      <c r="D628" s="2572"/>
      <c r="E628" s="2572"/>
      <c r="F628" s="2572" t="s">
        <v>6998</v>
      </c>
      <c r="G628" s="2572"/>
      <c r="H628" s="2572"/>
      <c r="I628" s="2572"/>
      <c r="J628" s="2572" t="s">
        <v>588</v>
      </c>
      <c r="K628" s="2572"/>
      <c r="L628" s="2572"/>
      <c r="M628" s="2572"/>
      <c r="N628" s="2572"/>
      <c r="O628" s="2572"/>
      <c r="P628" s="2572"/>
    </row>
    <row r="629" spans="1:16" x14ac:dyDescent="0.25">
      <c r="A629" s="2217"/>
      <c r="B629" s="2572" t="s">
        <v>6205</v>
      </c>
      <c r="C629" s="2572"/>
      <c r="D629" s="2572"/>
      <c r="E629" s="2572"/>
      <c r="F629" s="2572" t="s">
        <v>6997</v>
      </c>
      <c r="G629" s="2572"/>
      <c r="H629" s="2572"/>
      <c r="I629" s="2572"/>
      <c r="J629" s="2572" t="s">
        <v>588</v>
      </c>
      <c r="K629" s="2572"/>
      <c r="L629" s="2572"/>
      <c r="M629" s="2572"/>
      <c r="N629" s="2572"/>
      <c r="O629" s="2572"/>
      <c r="P629" s="2572"/>
    </row>
    <row r="630" spans="1:16" x14ac:dyDescent="0.25">
      <c r="A630" s="2217"/>
      <c r="B630" s="2572" t="s">
        <v>6996</v>
      </c>
      <c r="C630" s="2572"/>
      <c r="D630" s="2572"/>
      <c r="E630" s="2572"/>
      <c r="F630" s="2572" t="s">
        <v>6991</v>
      </c>
      <c r="G630" s="2572"/>
      <c r="H630" s="2572"/>
      <c r="I630" s="2572"/>
      <c r="J630" s="2572" t="s">
        <v>588</v>
      </c>
      <c r="K630" s="2572"/>
      <c r="L630" s="2572"/>
      <c r="M630" s="2572"/>
      <c r="N630" s="2572"/>
      <c r="O630" s="2572"/>
      <c r="P630" s="2572"/>
    </row>
    <row r="631" spans="1:16" x14ac:dyDescent="0.25">
      <c r="A631" s="2217"/>
      <c r="B631" s="2572" t="s">
        <v>6995</v>
      </c>
      <c r="C631" s="2572"/>
      <c r="D631" s="2572"/>
      <c r="E631" s="2572"/>
      <c r="F631" s="2572" t="s">
        <v>6994</v>
      </c>
      <c r="G631" s="2572"/>
      <c r="H631" s="2572"/>
      <c r="I631" s="2572"/>
      <c r="J631" s="2572" t="s">
        <v>588</v>
      </c>
      <c r="K631" s="2572"/>
      <c r="L631" s="2572"/>
      <c r="M631" s="2572"/>
      <c r="N631" s="2572"/>
      <c r="O631" s="2572"/>
      <c r="P631" s="2572"/>
    </row>
    <row r="632" spans="1:16" x14ac:dyDescent="0.25">
      <c r="A632" s="2217"/>
      <c r="B632" s="2572" t="s">
        <v>6227</v>
      </c>
      <c r="C632" s="2572"/>
      <c r="D632" s="2572"/>
      <c r="E632" s="2572"/>
      <c r="F632" s="2572" t="s">
        <v>6992</v>
      </c>
      <c r="G632" s="2572"/>
      <c r="H632" s="2572"/>
      <c r="I632" s="2572"/>
      <c r="J632" s="2572" t="s">
        <v>588</v>
      </c>
      <c r="K632" s="2572"/>
      <c r="L632" s="2572"/>
      <c r="M632" s="2572"/>
      <c r="N632" s="2572"/>
      <c r="O632" s="2572"/>
      <c r="P632" s="2572"/>
    </row>
    <row r="633" spans="1:16" ht="40.9" customHeight="1" x14ac:dyDescent="0.25">
      <c r="A633" s="2217"/>
      <c r="B633" s="2572" t="s">
        <v>6993</v>
      </c>
      <c r="C633" s="2572"/>
      <c r="D633" s="2572"/>
      <c r="E633" s="2572"/>
      <c r="F633" s="2572" t="s">
        <v>6992</v>
      </c>
      <c r="G633" s="2572"/>
      <c r="H633" s="2572"/>
      <c r="I633" s="2572"/>
      <c r="J633" s="2572" t="s">
        <v>588</v>
      </c>
      <c r="K633" s="2572"/>
      <c r="L633" s="2572"/>
      <c r="M633" s="2572"/>
      <c r="N633" s="2572"/>
      <c r="O633" s="2572"/>
      <c r="P633" s="2572"/>
    </row>
    <row r="634" spans="1:16" x14ac:dyDescent="0.25">
      <c r="A634" s="2217"/>
      <c r="B634" s="2572" t="s">
        <v>6807</v>
      </c>
      <c r="C634" s="2572"/>
      <c r="D634" s="2572"/>
      <c r="E634" s="2572"/>
      <c r="F634" s="2572" t="s">
        <v>6991</v>
      </c>
      <c r="G634" s="2572"/>
      <c r="H634" s="2572"/>
      <c r="I634" s="2572"/>
      <c r="J634" s="2572" t="s">
        <v>588</v>
      </c>
      <c r="K634" s="2572"/>
      <c r="L634" s="2572"/>
      <c r="M634" s="2572"/>
      <c r="N634" s="2572"/>
      <c r="O634" s="2572"/>
      <c r="P634" s="2572"/>
    </row>
    <row r="635" spans="1:16" ht="176.85" customHeight="1" x14ac:dyDescent="0.25">
      <c r="A635" s="2219" t="s">
        <v>6990</v>
      </c>
      <c r="B635" s="2573" t="s">
        <v>6989</v>
      </c>
      <c r="C635" s="2574"/>
      <c r="D635" s="2574"/>
      <c r="E635" s="2574"/>
      <c r="F635" s="2574" t="s">
        <v>6988</v>
      </c>
      <c r="G635" s="2574"/>
      <c r="H635" s="2574"/>
      <c r="I635" s="2574"/>
      <c r="J635" s="2574" t="s">
        <v>6987</v>
      </c>
      <c r="K635" s="2574"/>
      <c r="L635" s="2574"/>
      <c r="M635" s="2575">
        <f>ROUND((2772000 + 222492 * 0.864) * 1 * 1.27 * 0.4 * (0.05) * 1.23368, 0)</f>
        <v>92886</v>
      </c>
      <c r="N635" s="2574"/>
      <c r="O635" s="2574" t="s">
        <v>7442</v>
      </c>
      <c r="P635" s="2574"/>
    </row>
    <row r="636" spans="1:16" x14ac:dyDescent="0.25">
      <c r="A636" s="2218"/>
      <c r="B636" s="2571" t="s">
        <v>4168</v>
      </c>
      <c r="C636" s="2571"/>
      <c r="D636" s="2571"/>
      <c r="E636" s="2571"/>
      <c r="F636" s="2571" t="s">
        <v>588</v>
      </c>
      <c r="G636" s="2571"/>
      <c r="H636" s="2571"/>
      <c r="I636" s="2571"/>
      <c r="J636" s="2571" t="s">
        <v>588</v>
      </c>
      <c r="K636" s="2571"/>
      <c r="L636" s="2571"/>
      <c r="M636" s="2571"/>
      <c r="N636" s="2571"/>
      <c r="O636" s="2571"/>
      <c r="P636" s="2571"/>
    </row>
    <row r="637" spans="1:16" x14ac:dyDescent="0.25">
      <c r="A637" s="2217"/>
      <c r="B637" s="2572" t="s">
        <v>6142</v>
      </c>
      <c r="C637" s="2572"/>
      <c r="D637" s="2572"/>
      <c r="E637" s="2572"/>
      <c r="F637" s="2572" t="s">
        <v>6156</v>
      </c>
      <c r="G637" s="2572"/>
      <c r="H637" s="2572"/>
      <c r="I637" s="2572"/>
      <c r="J637" s="2572" t="s">
        <v>588</v>
      </c>
      <c r="K637" s="2572"/>
      <c r="L637" s="2572"/>
      <c r="M637" s="2572"/>
      <c r="N637" s="2572"/>
      <c r="O637" s="2572"/>
      <c r="P637" s="2572"/>
    </row>
    <row r="638" spans="1:16" ht="40.9" customHeight="1" x14ac:dyDescent="0.25">
      <c r="A638" s="2217"/>
      <c r="B638" s="2572" t="s">
        <v>6970</v>
      </c>
      <c r="C638" s="2572"/>
      <c r="D638" s="2572"/>
      <c r="E638" s="2572"/>
      <c r="F638" s="2572" t="s">
        <v>6969</v>
      </c>
      <c r="G638" s="2572"/>
      <c r="H638" s="2572"/>
      <c r="I638" s="2572"/>
      <c r="J638" s="2572" t="s">
        <v>588</v>
      </c>
      <c r="K638" s="2572"/>
      <c r="L638" s="2572"/>
      <c r="M638" s="2572"/>
      <c r="N638" s="2572"/>
      <c r="O638" s="2572"/>
      <c r="P638" s="2572"/>
    </row>
    <row r="639" spans="1:16" ht="81.599999999999994" customHeight="1" x14ac:dyDescent="0.25">
      <c r="A639" s="2217"/>
      <c r="B639" s="2572" t="s">
        <v>6968</v>
      </c>
      <c r="C639" s="2572"/>
      <c r="D639" s="2572"/>
      <c r="E639" s="2572"/>
      <c r="F639" s="2572" t="s">
        <v>6967</v>
      </c>
      <c r="G639" s="2572"/>
      <c r="H639" s="2572"/>
      <c r="I639" s="2572"/>
      <c r="J639" s="2572" t="s">
        <v>588</v>
      </c>
      <c r="K639" s="2572"/>
      <c r="L639" s="2572"/>
      <c r="M639" s="2572"/>
      <c r="N639" s="2572"/>
      <c r="O639" s="2572"/>
      <c r="P639" s="2572"/>
    </row>
    <row r="640" spans="1:16" ht="149.65" customHeight="1" x14ac:dyDescent="0.25">
      <c r="A640" s="2217"/>
      <c r="B640" s="2572" t="s">
        <v>6148</v>
      </c>
      <c r="C640" s="2572"/>
      <c r="D640" s="2572"/>
      <c r="E640" s="2572"/>
      <c r="F640" s="2572" t="s">
        <v>6966</v>
      </c>
      <c r="G640" s="2572"/>
      <c r="H640" s="2572"/>
      <c r="I640" s="2572"/>
      <c r="J640" s="2572" t="s">
        <v>588</v>
      </c>
      <c r="K640" s="2572"/>
      <c r="L640" s="2572"/>
      <c r="M640" s="2572"/>
      <c r="N640" s="2572"/>
      <c r="O640" s="2572"/>
      <c r="P640" s="2572"/>
    </row>
    <row r="641" spans="1:16" ht="108.75" customHeight="1" x14ac:dyDescent="0.25">
      <c r="A641" s="2218"/>
      <c r="B641" s="2571" t="s">
        <v>6150</v>
      </c>
      <c r="C641" s="2571"/>
      <c r="D641" s="2571"/>
      <c r="E641" s="2571"/>
      <c r="F641" s="2571" t="s">
        <v>588</v>
      </c>
      <c r="G641" s="2571"/>
      <c r="H641" s="2571"/>
      <c r="I641" s="2571"/>
      <c r="J641" s="2571" t="s">
        <v>6965</v>
      </c>
      <c r="K641" s="2571"/>
      <c r="L641" s="2571"/>
      <c r="M641" s="2571"/>
      <c r="N641" s="2571"/>
      <c r="O641" s="2571"/>
      <c r="P641" s="2571"/>
    </row>
    <row r="642" spans="1:16" x14ac:dyDescent="0.25">
      <c r="A642" s="2217"/>
      <c r="B642" s="2572" t="s">
        <v>6160</v>
      </c>
      <c r="C642" s="2572"/>
      <c r="D642" s="2572"/>
      <c r="E642" s="2572"/>
      <c r="F642" s="2572" t="s">
        <v>6976</v>
      </c>
      <c r="G642" s="2572"/>
      <c r="H642" s="2572"/>
      <c r="I642" s="2572"/>
      <c r="J642" s="2572" t="s">
        <v>588</v>
      </c>
      <c r="K642" s="2572"/>
      <c r="L642" s="2572"/>
      <c r="M642" s="2572"/>
      <c r="N642" s="2572"/>
      <c r="O642" s="2572"/>
      <c r="P642" s="2572"/>
    </row>
    <row r="643" spans="1:16" x14ac:dyDescent="0.25">
      <c r="A643" s="2217"/>
      <c r="B643" s="2572" t="s">
        <v>6199</v>
      </c>
      <c r="C643" s="2572"/>
      <c r="D643" s="2572"/>
      <c r="E643" s="2572"/>
      <c r="F643" s="2572" t="s">
        <v>6986</v>
      </c>
      <c r="G643" s="2572"/>
      <c r="H643" s="2572"/>
      <c r="I643" s="2572"/>
      <c r="J643" s="2572" t="s">
        <v>588</v>
      </c>
      <c r="K643" s="2572"/>
      <c r="L643" s="2572"/>
      <c r="M643" s="2572"/>
      <c r="N643" s="2572"/>
      <c r="O643" s="2572"/>
      <c r="P643" s="2572"/>
    </row>
    <row r="644" spans="1:16" x14ac:dyDescent="0.25">
      <c r="A644" s="2217"/>
      <c r="B644" s="2572" t="s">
        <v>6203</v>
      </c>
      <c r="C644" s="2572"/>
      <c r="D644" s="2572"/>
      <c r="E644" s="2572"/>
      <c r="F644" s="2572" t="s">
        <v>6985</v>
      </c>
      <c r="G644" s="2572"/>
      <c r="H644" s="2572"/>
      <c r="I644" s="2572"/>
      <c r="J644" s="2572" t="s">
        <v>588</v>
      </c>
      <c r="K644" s="2572"/>
      <c r="L644" s="2572"/>
      <c r="M644" s="2572"/>
      <c r="N644" s="2572"/>
      <c r="O644" s="2572"/>
      <c r="P644" s="2572"/>
    </row>
    <row r="645" spans="1:16" x14ac:dyDescent="0.25">
      <c r="A645" s="2217"/>
      <c r="B645" s="2572" t="s">
        <v>6204</v>
      </c>
      <c r="C645" s="2572"/>
      <c r="D645" s="2572"/>
      <c r="E645" s="2572"/>
      <c r="F645" s="2572" t="s">
        <v>6984</v>
      </c>
      <c r="G645" s="2572"/>
      <c r="H645" s="2572"/>
      <c r="I645" s="2572"/>
      <c r="J645" s="2572" t="s">
        <v>588</v>
      </c>
      <c r="K645" s="2572"/>
      <c r="L645" s="2572"/>
      <c r="M645" s="2572"/>
      <c r="N645" s="2572"/>
      <c r="O645" s="2572"/>
      <c r="P645" s="2572"/>
    </row>
    <row r="646" spans="1:16" ht="27.2" customHeight="1" x14ac:dyDescent="0.25">
      <c r="A646" s="2217"/>
      <c r="B646" s="2572" t="s">
        <v>6961</v>
      </c>
      <c r="C646" s="2572"/>
      <c r="D646" s="2572"/>
      <c r="E646" s="2572"/>
      <c r="F646" s="2572" t="s">
        <v>6983</v>
      </c>
      <c r="G646" s="2572"/>
      <c r="H646" s="2572"/>
      <c r="I646" s="2572"/>
      <c r="J646" s="2572" t="s">
        <v>588</v>
      </c>
      <c r="K646" s="2572"/>
      <c r="L646" s="2572"/>
      <c r="M646" s="2572"/>
      <c r="N646" s="2572"/>
      <c r="O646" s="2572"/>
      <c r="P646" s="2572"/>
    </row>
    <row r="647" spans="1:16" x14ac:dyDescent="0.25">
      <c r="A647" s="2217"/>
      <c r="B647" s="2572" t="s">
        <v>6913</v>
      </c>
      <c r="C647" s="2572"/>
      <c r="D647" s="2572"/>
      <c r="E647" s="2572"/>
      <c r="F647" s="2572" t="s">
        <v>6982</v>
      </c>
      <c r="G647" s="2572"/>
      <c r="H647" s="2572"/>
      <c r="I647" s="2572"/>
      <c r="J647" s="2572" t="s">
        <v>588</v>
      </c>
      <c r="K647" s="2572"/>
      <c r="L647" s="2572"/>
      <c r="M647" s="2572"/>
      <c r="N647" s="2572"/>
      <c r="O647" s="2572"/>
      <c r="P647" s="2572"/>
    </row>
    <row r="648" spans="1:16" x14ac:dyDescent="0.25">
      <c r="A648" s="2217"/>
      <c r="B648" s="2572" t="s">
        <v>6959</v>
      </c>
      <c r="C648" s="2572"/>
      <c r="D648" s="2572"/>
      <c r="E648" s="2572"/>
      <c r="F648" s="2572" t="s">
        <v>6982</v>
      </c>
      <c r="G648" s="2572"/>
      <c r="H648" s="2572"/>
      <c r="I648" s="2572"/>
      <c r="J648" s="2572" t="s">
        <v>588</v>
      </c>
      <c r="K648" s="2572"/>
      <c r="L648" s="2572"/>
      <c r="M648" s="2572"/>
      <c r="N648" s="2572"/>
      <c r="O648" s="2572"/>
      <c r="P648" s="2572"/>
    </row>
    <row r="649" spans="1:16" x14ac:dyDescent="0.25">
      <c r="A649" s="2217"/>
      <c r="B649" s="2572" t="s">
        <v>6958</v>
      </c>
      <c r="C649" s="2572"/>
      <c r="D649" s="2572"/>
      <c r="E649" s="2572"/>
      <c r="F649" s="2572" t="s">
        <v>6982</v>
      </c>
      <c r="G649" s="2572"/>
      <c r="H649" s="2572"/>
      <c r="I649" s="2572"/>
      <c r="J649" s="2572" t="s">
        <v>588</v>
      </c>
      <c r="K649" s="2572"/>
      <c r="L649" s="2572"/>
      <c r="M649" s="2572"/>
      <c r="N649" s="2572"/>
      <c r="O649" s="2572"/>
      <c r="P649" s="2572"/>
    </row>
    <row r="650" spans="1:16" x14ac:dyDescent="0.25">
      <c r="A650" s="2217"/>
      <c r="B650" s="2572" t="s">
        <v>6957</v>
      </c>
      <c r="C650" s="2572"/>
      <c r="D650" s="2572"/>
      <c r="E650" s="2572"/>
      <c r="F650" s="2572" t="s">
        <v>6982</v>
      </c>
      <c r="G650" s="2572"/>
      <c r="H650" s="2572"/>
      <c r="I650" s="2572"/>
      <c r="J650" s="2572" t="s">
        <v>588</v>
      </c>
      <c r="K650" s="2572"/>
      <c r="L650" s="2572"/>
      <c r="M650" s="2572"/>
      <c r="N650" s="2572"/>
      <c r="O650" s="2572"/>
      <c r="P650" s="2572"/>
    </row>
    <row r="651" spans="1:16" x14ac:dyDescent="0.25">
      <c r="A651" s="2217"/>
      <c r="B651" s="2572" t="s">
        <v>6955</v>
      </c>
      <c r="C651" s="2572"/>
      <c r="D651" s="2572"/>
      <c r="E651" s="2572"/>
      <c r="F651" s="2572" t="s">
        <v>6981</v>
      </c>
      <c r="G651" s="2572"/>
      <c r="H651" s="2572"/>
      <c r="I651" s="2572"/>
      <c r="J651" s="2572" t="s">
        <v>588</v>
      </c>
      <c r="K651" s="2572"/>
      <c r="L651" s="2572"/>
      <c r="M651" s="2572"/>
      <c r="N651" s="2572"/>
      <c r="O651" s="2572"/>
      <c r="P651" s="2572"/>
    </row>
    <row r="652" spans="1:16" x14ac:dyDescent="0.25">
      <c r="A652" s="2217"/>
      <c r="B652" s="2572" t="s">
        <v>6953</v>
      </c>
      <c r="C652" s="2572"/>
      <c r="D652" s="2572"/>
      <c r="E652" s="2572"/>
      <c r="F652" s="2572" t="s">
        <v>6980</v>
      </c>
      <c r="G652" s="2572"/>
      <c r="H652" s="2572"/>
      <c r="I652" s="2572"/>
      <c r="J652" s="2572" t="s">
        <v>588</v>
      </c>
      <c r="K652" s="2572"/>
      <c r="L652" s="2572"/>
      <c r="M652" s="2572"/>
      <c r="N652" s="2572"/>
      <c r="O652" s="2572"/>
      <c r="P652" s="2572"/>
    </row>
    <row r="653" spans="1:16" x14ac:dyDescent="0.25">
      <c r="A653" s="2217"/>
      <c r="B653" s="2572" t="s">
        <v>6951</v>
      </c>
      <c r="C653" s="2572"/>
      <c r="D653" s="2572"/>
      <c r="E653" s="2572"/>
      <c r="F653" s="2572" t="s">
        <v>6979</v>
      </c>
      <c r="G653" s="2572"/>
      <c r="H653" s="2572"/>
      <c r="I653" s="2572"/>
      <c r="J653" s="2572" t="s">
        <v>588</v>
      </c>
      <c r="K653" s="2572"/>
      <c r="L653" s="2572"/>
      <c r="M653" s="2572"/>
      <c r="N653" s="2572"/>
      <c r="O653" s="2572"/>
      <c r="P653" s="2572"/>
    </row>
    <row r="654" spans="1:16" x14ac:dyDescent="0.25">
      <c r="A654" s="2217"/>
      <c r="B654" s="2572" t="s">
        <v>6949</v>
      </c>
      <c r="C654" s="2572"/>
      <c r="D654" s="2572"/>
      <c r="E654" s="2572"/>
      <c r="F654" s="2572" t="s">
        <v>6977</v>
      </c>
      <c r="G654" s="2572"/>
      <c r="H654" s="2572"/>
      <c r="I654" s="2572"/>
      <c r="J654" s="2572" t="s">
        <v>588</v>
      </c>
      <c r="K654" s="2572"/>
      <c r="L654" s="2572"/>
      <c r="M654" s="2572"/>
      <c r="N654" s="2572"/>
      <c r="O654" s="2572"/>
      <c r="P654" s="2572"/>
    </row>
    <row r="655" spans="1:16" x14ac:dyDescent="0.25">
      <c r="A655" s="2217"/>
      <c r="B655" s="2572" t="s">
        <v>6948</v>
      </c>
      <c r="C655" s="2572"/>
      <c r="D655" s="2572"/>
      <c r="E655" s="2572"/>
      <c r="F655" s="2572" t="s">
        <v>6978</v>
      </c>
      <c r="G655" s="2572"/>
      <c r="H655" s="2572"/>
      <c r="I655" s="2572"/>
      <c r="J655" s="2572" t="s">
        <v>588</v>
      </c>
      <c r="K655" s="2572"/>
      <c r="L655" s="2572"/>
      <c r="M655" s="2572"/>
      <c r="N655" s="2572"/>
      <c r="O655" s="2572"/>
      <c r="P655" s="2572"/>
    </row>
    <row r="656" spans="1:16" x14ac:dyDescent="0.25">
      <c r="A656" s="2217"/>
      <c r="B656" s="2572" t="s">
        <v>6946</v>
      </c>
      <c r="C656" s="2572"/>
      <c r="D656" s="2572"/>
      <c r="E656" s="2572"/>
      <c r="F656" s="2572" t="s">
        <v>6977</v>
      </c>
      <c r="G656" s="2572"/>
      <c r="H656" s="2572"/>
      <c r="I656" s="2572"/>
      <c r="J656" s="2572" t="s">
        <v>588</v>
      </c>
      <c r="K656" s="2572"/>
      <c r="L656" s="2572"/>
      <c r="M656" s="2572"/>
      <c r="N656" s="2572"/>
      <c r="O656" s="2572"/>
      <c r="P656" s="2572"/>
    </row>
    <row r="657" spans="1:16" ht="27.2" customHeight="1" x14ac:dyDescent="0.25">
      <c r="A657" s="2217"/>
      <c r="B657" s="2572" t="s">
        <v>6944</v>
      </c>
      <c r="C657" s="2572"/>
      <c r="D657" s="2572"/>
      <c r="E657" s="2572"/>
      <c r="F657" s="2572" t="s">
        <v>6976</v>
      </c>
      <c r="G657" s="2572"/>
      <c r="H657" s="2572"/>
      <c r="I657" s="2572"/>
      <c r="J657" s="2572" t="s">
        <v>588</v>
      </c>
      <c r="K657" s="2572"/>
      <c r="L657" s="2572"/>
      <c r="M657" s="2572"/>
      <c r="N657" s="2572"/>
      <c r="O657" s="2572"/>
      <c r="P657" s="2572"/>
    </row>
    <row r="658" spans="1:16" ht="27.2" customHeight="1" x14ac:dyDescent="0.25">
      <c r="A658" s="2217"/>
      <c r="B658" s="2572" t="s">
        <v>6942</v>
      </c>
      <c r="C658" s="2572"/>
      <c r="D658" s="2572"/>
      <c r="E658" s="2572"/>
      <c r="F658" s="2572" t="s">
        <v>6975</v>
      </c>
      <c r="G658" s="2572"/>
      <c r="H658" s="2572"/>
      <c r="I658" s="2572"/>
      <c r="J658" s="2572" t="s">
        <v>588</v>
      </c>
      <c r="K658" s="2572"/>
      <c r="L658" s="2572"/>
      <c r="M658" s="2572"/>
      <c r="N658" s="2572"/>
      <c r="O658" s="2572"/>
      <c r="P658" s="2572"/>
    </row>
    <row r="659" spans="1:16" ht="190.35" customHeight="1" x14ac:dyDescent="0.25">
      <c r="A659" s="2219" t="s">
        <v>6974</v>
      </c>
      <c r="B659" s="2573" t="s">
        <v>6973</v>
      </c>
      <c r="C659" s="2574"/>
      <c r="D659" s="2574"/>
      <c r="E659" s="2574"/>
      <c r="F659" s="2574" t="s">
        <v>6972</v>
      </c>
      <c r="G659" s="2574"/>
      <c r="H659" s="2574"/>
      <c r="I659" s="2574"/>
      <c r="J659" s="2574" t="s">
        <v>6971</v>
      </c>
      <c r="K659" s="2574"/>
      <c r="L659" s="2574"/>
      <c r="M659" s="2575">
        <f>ROUND((824900 + 1334 * (0.4 * 50 + 0.6 * 36)) * 1 * 1.27 * 0.4 * (0.05) * 1.23368, 0)</f>
        <v>27588</v>
      </c>
      <c r="N659" s="2574"/>
      <c r="O659" s="2574" t="s">
        <v>7431</v>
      </c>
      <c r="P659" s="2574"/>
    </row>
    <row r="660" spans="1:16" x14ac:dyDescent="0.25">
      <c r="A660" s="2218"/>
      <c r="B660" s="2571" t="s">
        <v>4168</v>
      </c>
      <c r="C660" s="2571"/>
      <c r="D660" s="2571"/>
      <c r="E660" s="2571"/>
      <c r="F660" s="2571" t="s">
        <v>588</v>
      </c>
      <c r="G660" s="2571"/>
      <c r="H660" s="2571"/>
      <c r="I660" s="2571"/>
      <c r="J660" s="2571" t="s">
        <v>588</v>
      </c>
      <c r="K660" s="2571"/>
      <c r="L660" s="2571"/>
      <c r="M660" s="2571"/>
      <c r="N660" s="2571"/>
      <c r="O660" s="2571"/>
      <c r="P660" s="2571"/>
    </row>
    <row r="661" spans="1:16" x14ac:dyDescent="0.25">
      <c r="A661" s="2217"/>
      <c r="B661" s="2572" t="s">
        <v>6142</v>
      </c>
      <c r="C661" s="2572"/>
      <c r="D661" s="2572"/>
      <c r="E661" s="2572"/>
      <c r="F661" s="2572" t="s">
        <v>6156</v>
      </c>
      <c r="G661" s="2572"/>
      <c r="H661" s="2572"/>
      <c r="I661" s="2572"/>
      <c r="J661" s="2572" t="s">
        <v>588</v>
      </c>
      <c r="K661" s="2572"/>
      <c r="L661" s="2572"/>
      <c r="M661" s="2572"/>
      <c r="N661" s="2572"/>
      <c r="O661" s="2572"/>
      <c r="P661" s="2572"/>
    </row>
    <row r="662" spans="1:16" ht="40.9" customHeight="1" x14ac:dyDescent="0.25">
      <c r="A662" s="2217"/>
      <c r="B662" s="2572" t="s">
        <v>6970</v>
      </c>
      <c r="C662" s="2572"/>
      <c r="D662" s="2572"/>
      <c r="E662" s="2572"/>
      <c r="F662" s="2572" t="s">
        <v>6969</v>
      </c>
      <c r="G662" s="2572"/>
      <c r="H662" s="2572"/>
      <c r="I662" s="2572"/>
      <c r="J662" s="2572" t="s">
        <v>588</v>
      </c>
      <c r="K662" s="2572"/>
      <c r="L662" s="2572"/>
      <c r="M662" s="2572"/>
      <c r="N662" s="2572"/>
      <c r="O662" s="2572"/>
      <c r="P662" s="2572"/>
    </row>
    <row r="663" spans="1:16" ht="81.599999999999994" customHeight="1" x14ac:dyDescent="0.25">
      <c r="A663" s="2217"/>
      <c r="B663" s="2572" t="s">
        <v>6968</v>
      </c>
      <c r="C663" s="2572"/>
      <c r="D663" s="2572"/>
      <c r="E663" s="2572"/>
      <c r="F663" s="2572" t="s">
        <v>6967</v>
      </c>
      <c r="G663" s="2572"/>
      <c r="H663" s="2572"/>
      <c r="I663" s="2572"/>
      <c r="J663" s="2572" t="s">
        <v>588</v>
      </c>
      <c r="K663" s="2572"/>
      <c r="L663" s="2572"/>
      <c r="M663" s="2572"/>
      <c r="N663" s="2572"/>
      <c r="O663" s="2572"/>
      <c r="P663" s="2572"/>
    </row>
    <row r="664" spans="1:16" ht="149.65" customHeight="1" x14ac:dyDescent="0.25">
      <c r="A664" s="2217"/>
      <c r="B664" s="2572" t="s">
        <v>6148</v>
      </c>
      <c r="C664" s="2572"/>
      <c r="D664" s="2572"/>
      <c r="E664" s="2572"/>
      <c r="F664" s="2572" t="s">
        <v>6966</v>
      </c>
      <c r="G664" s="2572"/>
      <c r="H664" s="2572"/>
      <c r="I664" s="2572"/>
      <c r="J664" s="2572" t="s">
        <v>588</v>
      </c>
      <c r="K664" s="2572"/>
      <c r="L664" s="2572"/>
      <c r="M664" s="2572"/>
      <c r="N664" s="2572"/>
      <c r="O664" s="2572"/>
      <c r="P664" s="2572"/>
    </row>
    <row r="665" spans="1:16" ht="108.75" customHeight="1" x14ac:dyDescent="0.25">
      <c r="A665" s="2218"/>
      <c r="B665" s="2571" t="s">
        <v>6150</v>
      </c>
      <c r="C665" s="2571"/>
      <c r="D665" s="2571"/>
      <c r="E665" s="2571"/>
      <c r="F665" s="2571" t="s">
        <v>588</v>
      </c>
      <c r="G665" s="2571"/>
      <c r="H665" s="2571"/>
      <c r="I665" s="2571"/>
      <c r="J665" s="2571" t="s">
        <v>6965</v>
      </c>
      <c r="K665" s="2571"/>
      <c r="L665" s="2571"/>
      <c r="M665" s="2571"/>
      <c r="N665" s="2571"/>
      <c r="O665" s="2571"/>
      <c r="P665" s="2571"/>
    </row>
    <row r="666" spans="1:16" x14ac:dyDescent="0.25">
      <c r="A666" s="2217"/>
      <c r="B666" s="2572" t="s">
        <v>6160</v>
      </c>
      <c r="C666" s="2572"/>
      <c r="D666" s="2572"/>
      <c r="E666" s="2572"/>
      <c r="F666" s="2572" t="s">
        <v>6943</v>
      </c>
      <c r="G666" s="2572"/>
      <c r="H666" s="2572"/>
      <c r="I666" s="2572"/>
      <c r="J666" s="2572" t="s">
        <v>588</v>
      </c>
      <c r="K666" s="2572"/>
      <c r="L666" s="2572"/>
      <c r="M666" s="2572"/>
      <c r="N666" s="2572"/>
      <c r="O666" s="2572"/>
      <c r="P666" s="2572"/>
    </row>
    <row r="667" spans="1:16" x14ac:dyDescent="0.25">
      <c r="A667" s="2217"/>
      <c r="B667" s="2572" t="s">
        <v>6199</v>
      </c>
      <c r="C667" s="2572"/>
      <c r="D667" s="2572"/>
      <c r="E667" s="2572"/>
      <c r="F667" s="2572" t="s">
        <v>6964</v>
      </c>
      <c r="G667" s="2572"/>
      <c r="H667" s="2572"/>
      <c r="I667" s="2572"/>
      <c r="J667" s="2572" t="s">
        <v>588</v>
      </c>
      <c r="K667" s="2572"/>
      <c r="L667" s="2572"/>
      <c r="M667" s="2572"/>
      <c r="N667" s="2572"/>
      <c r="O667" s="2572"/>
      <c r="P667" s="2572"/>
    </row>
    <row r="668" spans="1:16" x14ac:dyDescent="0.25">
      <c r="A668" s="2217"/>
      <c r="B668" s="2572" t="s">
        <v>6203</v>
      </c>
      <c r="C668" s="2572"/>
      <c r="D668" s="2572"/>
      <c r="E668" s="2572"/>
      <c r="F668" s="2572" t="s">
        <v>6963</v>
      </c>
      <c r="G668" s="2572"/>
      <c r="H668" s="2572"/>
      <c r="I668" s="2572"/>
      <c r="J668" s="2572" t="s">
        <v>588</v>
      </c>
      <c r="K668" s="2572"/>
      <c r="L668" s="2572"/>
      <c r="M668" s="2572"/>
      <c r="N668" s="2572"/>
      <c r="O668" s="2572"/>
      <c r="P668" s="2572"/>
    </row>
    <row r="669" spans="1:16" x14ac:dyDescent="0.25">
      <c r="A669" s="2217"/>
      <c r="B669" s="2572" t="s">
        <v>6204</v>
      </c>
      <c r="C669" s="2572"/>
      <c r="D669" s="2572"/>
      <c r="E669" s="2572"/>
      <c r="F669" s="2572" t="s">
        <v>6962</v>
      </c>
      <c r="G669" s="2572"/>
      <c r="H669" s="2572"/>
      <c r="I669" s="2572"/>
      <c r="J669" s="2572" t="s">
        <v>588</v>
      </c>
      <c r="K669" s="2572"/>
      <c r="L669" s="2572"/>
      <c r="M669" s="2572"/>
      <c r="N669" s="2572"/>
      <c r="O669" s="2572"/>
      <c r="P669" s="2572"/>
    </row>
    <row r="670" spans="1:16" ht="27.2" customHeight="1" x14ac:dyDescent="0.25">
      <c r="A670" s="2217"/>
      <c r="B670" s="2572" t="s">
        <v>6961</v>
      </c>
      <c r="C670" s="2572"/>
      <c r="D670" s="2572"/>
      <c r="E670" s="2572"/>
      <c r="F670" s="2572" t="s">
        <v>6960</v>
      </c>
      <c r="G670" s="2572"/>
      <c r="H670" s="2572"/>
      <c r="I670" s="2572"/>
      <c r="J670" s="2572" t="s">
        <v>588</v>
      </c>
      <c r="K670" s="2572"/>
      <c r="L670" s="2572"/>
      <c r="M670" s="2572"/>
      <c r="N670" s="2572"/>
      <c r="O670" s="2572"/>
      <c r="P670" s="2572"/>
    </row>
    <row r="671" spans="1:16" x14ac:dyDescent="0.25">
      <c r="A671" s="2217"/>
      <c r="B671" s="2572" t="s">
        <v>6913</v>
      </c>
      <c r="C671" s="2572"/>
      <c r="D671" s="2572"/>
      <c r="E671" s="2572"/>
      <c r="F671" s="2572" t="s">
        <v>6956</v>
      </c>
      <c r="G671" s="2572"/>
      <c r="H671" s="2572"/>
      <c r="I671" s="2572"/>
      <c r="J671" s="2572" t="s">
        <v>588</v>
      </c>
      <c r="K671" s="2572"/>
      <c r="L671" s="2572"/>
      <c r="M671" s="2572"/>
      <c r="N671" s="2572"/>
      <c r="O671" s="2572"/>
      <c r="P671" s="2572"/>
    </row>
    <row r="672" spans="1:16" x14ac:dyDescent="0.25">
      <c r="A672" s="2217"/>
      <c r="B672" s="2572" t="s">
        <v>6959</v>
      </c>
      <c r="C672" s="2572"/>
      <c r="D672" s="2572"/>
      <c r="E672" s="2572"/>
      <c r="F672" s="2572" t="s">
        <v>6956</v>
      </c>
      <c r="G672" s="2572"/>
      <c r="H672" s="2572"/>
      <c r="I672" s="2572"/>
      <c r="J672" s="2572" t="s">
        <v>588</v>
      </c>
      <c r="K672" s="2572"/>
      <c r="L672" s="2572"/>
      <c r="M672" s="2572"/>
      <c r="N672" s="2572"/>
      <c r="O672" s="2572"/>
      <c r="P672" s="2572"/>
    </row>
    <row r="673" spans="1:16" x14ac:dyDescent="0.25">
      <c r="A673" s="2217"/>
      <c r="B673" s="2572" t="s">
        <v>6958</v>
      </c>
      <c r="C673" s="2572"/>
      <c r="D673" s="2572"/>
      <c r="E673" s="2572"/>
      <c r="F673" s="2572" t="s">
        <v>6956</v>
      </c>
      <c r="G673" s="2572"/>
      <c r="H673" s="2572"/>
      <c r="I673" s="2572"/>
      <c r="J673" s="2572" t="s">
        <v>588</v>
      </c>
      <c r="K673" s="2572"/>
      <c r="L673" s="2572"/>
      <c r="M673" s="2572"/>
      <c r="N673" s="2572"/>
      <c r="O673" s="2572"/>
      <c r="P673" s="2572"/>
    </row>
    <row r="674" spans="1:16" x14ac:dyDescent="0.25">
      <c r="A674" s="2217"/>
      <c r="B674" s="2572" t="s">
        <v>6957</v>
      </c>
      <c r="C674" s="2572"/>
      <c r="D674" s="2572"/>
      <c r="E674" s="2572"/>
      <c r="F674" s="2572" t="s">
        <v>6956</v>
      </c>
      <c r="G674" s="2572"/>
      <c r="H674" s="2572"/>
      <c r="I674" s="2572"/>
      <c r="J674" s="2572" t="s">
        <v>588</v>
      </c>
      <c r="K674" s="2572"/>
      <c r="L674" s="2572"/>
      <c r="M674" s="2572"/>
      <c r="N674" s="2572"/>
      <c r="O674" s="2572"/>
      <c r="P674" s="2572"/>
    </row>
    <row r="675" spans="1:16" x14ac:dyDescent="0.25">
      <c r="A675" s="2217"/>
      <c r="B675" s="2572" t="s">
        <v>6955</v>
      </c>
      <c r="C675" s="2572"/>
      <c r="D675" s="2572"/>
      <c r="E675" s="2572"/>
      <c r="F675" s="2572" t="s">
        <v>6954</v>
      </c>
      <c r="G675" s="2572"/>
      <c r="H675" s="2572"/>
      <c r="I675" s="2572"/>
      <c r="J675" s="2572" t="s">
        <v>588</v>
      </c>
      <c r="K675" s="2572"/>
      <c r="L675" s="2572"/>
      <c r="M675" s="2572"/>
      <c r="N675" s="2572"/>
      <c r="O675" s="2572"/>
      <c r="P675" s="2572"/>
    </row>
    <row r="676" spans="1:16" x14ac:dyDescent="0.25">
      <c r="A676" s="2217"/>
      <c r="B676" s="2572" t="s">
        <v>6953</v>
      </c>
      <c r="C676" s="2572"/>
      <c r="D676" s="2572"/>
      <c r="E676" s="2572"/>
      <c r="F676" s="2572" t="s">
        <v>6952</v>
      </c>
      <c r="G676" s="2572"/>
      <c r="H676" s="2572"/>
      <c r="I676" s="2572"/>
      <c r="J676" s="2572" t="s">
        <v>588</v>
      </c>
      <c r="K676" s="2572"/>
      <c r="L676" s="2572"/>
      <c r="M676" s="2572"/>
      <c r="N676" s="2572"/>
      <c r="O676" s="2572"/>
      <c r="P676" s="2572"/>
    </row>
    <row r="677" spans="1:16" x14ac:dyDescent="0.25">
      <c r="A677" s="2217"/>
      <c r="B677" s="2572" t="s">
        <v>6951</v>
      </c>
      <c r="C677" s="2572"/>
      <c r="D677" s="2572"/>
      <c r="E677" s="2572"/>
      <c r="F677" s="2572" t="s">
        <v>6950</v>
      </c>
      <c r="G677" s="2572"/>
      <c r="H677" s="2572"/>
      <c r="I677" s="2572"/>
      <c r="J677" s="2572" t="s">
        <v>588</v>
      </c>
      <c r="K677" s="2572"/>
      <c r="L677" s="2572"/>
      <c r="M677" s="2572"/>
      <c r="N677" s="2572"/>
      <c r="O677" s="2572"/>
      <c r="P677" s="2572"/>
    </row>
    <row r="678" spans="1:16" x14ac:dyDescent="0.25">
      <c r="A678" s="2217"/>
      <c r="B678" s="2572" t="s">
        <v>6949</v>
      </c>
      <c r="C678" s="2572"/>
      <c r="D678" s="2572"/>
      <c r="E678" s="2572"/>
      <c r="F678" s="2572" t="s">
        <v>6945</v>
      </c>
      <c r="G678" s="2572"/>
      <c r="H678" s="2572"/>
      <c r="I678" s="2572"/>
      <c r="J678" s="2572" t="s">
        <v>588</v>
      </c>
      <c r="K678" s="2572"/>
      <c r="L678" s="2572"/>
      <c r="M678" s="2572"/>
      <c r="N678" s="2572"/>
      <c r="O678" s="2572"/>
      <c r="P678" s="2572"/>
    </row>
    <row r="679" spans="1:16" x14ac:dyDescent="0.25">
      <c r="A679" s="2217"/>
      <c r="B679" s="2572" t="s">
        <v>6948</v>
      </c>
      <c r="C679" s="2572"/>
      <c r="D679" s="2572"/>
      <c r="E679" s="2572"/>
      <c r="F679" s="2572" t="s">
        <v>6947</v>
      </c>
      <c r="G679" s="2572"/>
      <c r="H679" s="2572"/>
      <c r="I679" s="2572"/>
      <c r="J679" s="2572" t="s">
        <v>588</v>
      </c>
      <c r="K679" s="2572"/>
      <c r="L679" s="2572"/>
      <c r="M679" s="2572"/>
      <c r="N679" s="2572"/>
      <c r="O679" s="2572"/>
      <c r="P679" s="2572"/>
    </row>
    <row r="680" spans="1:16" x14ac:dyDescent="0.25">
      <c r="A680" s="2217"/>
      <c r="B680" s="2572" t="s">
        <v>6946</v>
      </c>
      <c r="C680" s="2572"/>
      <c r="D680" s="2572"/>
      <c r="E680" s="2572"/>
      <c r="F680" s="2572" t="s">
        <v>6945</v>
      </c>
      <c r="G680" s="2572"/>
      <c r="H680" s="2572"/>
      <c r="I680" s="2572"/>
      <c r="J680" s="2572" t="s">
        <v>588</v>
      </c>
      <c r="K680" s="2572"/>
      <c r="L680" s="2572"/>
      <c r="M680" s="2572"/>
      <c r="N680" s="2572"/>
      <c r="O680" s="2572"/>
      <c r="P680" s="2572"/>
    </row>
    <row r="681" spans="1:16" ht="27.2" customHeight="1" x14ac:dyDescent="0.25">
      <c r="A681" s="2217"/>
      <c r="B681" s="2572" t="s">
        <v>6944</v>
      </c>
      <c r="C681" s="2572"/>
      <c r="D681" s="2572"/>
      <c r="E681" s="2572"/>
      <c r="F681" s="2572" t="s">
        <v>6943</v>
      </c>
      <c r="G681" s="2572"/>
      <c r="H681" s="2572"/>
      <c r="I681" s="2572"/>
      <c r="J681" s="2572" t="s">
        <v>588</v>
      </c>
      <c r="K681" s="2572"/>
      <c r="L681" s="2572"/>
      <c r="M681" s="2572"/>
      <c r="N681" s="2572"/>
      <c r="O681" s="2572"/>
      <c r="P681" s="2572"/>
    </row>
    <row r="682" spans="1:16" ht="27.2" customHeight="1" x14ac:dyDescent="0.25">
      <c r="A682" s="2217"/>
      <c r="B682" s="2572" t="s">
        <v>6942</v>
      </c>
      <c r="C682" s="2572"/>
      <c r="D682" s="2572"/>
      <c r="E682" s="2572"/>
      <c r="F682" s="2572" t="s">
        <v>6941</v>
      </c>
      <c r="G682" s="2572"/>
      <c r="H682" s="2572"/>
      <c r="I682" s="2572"/>
      <c r="J682" s="2572" t="s">
        <v>588</v>
      </c>
      <c r="K682" s="2572"/>
      <c r="L682" s="2572"/>
      <c r="M682" s="2572"/>
      <c r="N682" s="2572"/>
      <c r="O682" s="2572"/>
      <c r="P682" s="2572"/>
    </row>
    <row r="683" spans="1:16" ht="27.2" customHeight="1" x14ac:dyDescent="0.25">
      <c r="A683" s="2216" t="s">
        <v>6940</v>
      </c>
      <c r="B683" s="2568" t="s">
        <v>6939</v>
      </c>
      <c r="C683" s="2568"/>
      <c r="D683" s="2568"/>
      <c r="E683" s="2568"/>
      <c r="F683" s="2568"/>
      <c r="G683" s="2568"/>
      <c r="H683" s="2568"/>
      <c r="I683" s="2568"/>
      <c r="J683" s="2568" t="s">
        <v>588</v>
      </c>
      <c r="K683" s="2568"/>
      <c r="L683" s="2568"/>
      <c r="M683" s="2569">
        <f>ROUND(SUM($M$574:$M$659),0)</f>
        <v>439136</v>
      </c>
      <c r="N683" s="2568"/>
      <c r="O683" s="2568"/>
      <c r="P683" s="2568"/>
    </row>
    <row r="684" spans="1:16" ht="27.2" customHeight="1" x14ac:dyDescent="0.25">
      <c r="A684" s="2216" t="s">
        <v>6938</v>
      </c>
      <c r="B684" s="2568" t="s">
        <v>6937</v>
      </c>
      <c r="C684" s="2568"/>
      <c r="D684" s="2568"/>
      <c r="E684" s="2568"/>
      <c r="F684" s="2568"/>
      <c r="G684" s="2568"/>
      <c r="H684" s="2568"/>
      <c r="I684" s="2568"/>
      <c r="J684" s="2568" t="s">
        <v>588</v>
      </c>
      <c r="K684" s="2568"/>
      <c r="L684" s="2568"/>
      <c r="M684" s="2569">
        <f>ROUND(($M$683),0)</f>
        <v>439136</v>
      </c>
      <c r="N684" s="2568"/>
      <c r="O684" s="2568"/>
      <c r="P684" s="2568"/>
    </row>
    <row r="685" spans="1:16" ht="27.2" customHeight="1" x14ac:dyDescent="0.25">
      <c r="A685" s="2216" t="s">
        <v>652</v>
      </c>
      <c r="B685" s="2568" t="s">
        <v>6145</v>
      </c>
      <c r="C685" s="2568"/>
      <c r="D685" s="2568"/>
      <c r="E685" s="2568"/>
      <c r="F685" s="2568" t="s">
        <v>6936</v>
      </c>
      <c r="G685" s="2568"/>
      <c r="H685" s="2568"/>
      <c r="I685" s="2568"/>
      <c r="J685" s="2568"/>
      <c r="K685" s="2568"/>
      <c r="L685" s="2568"/>
      <c r="M685" s="2568"/>
      <c r="N685" s="2568"/>
      <c r="O685" s="2568"/>
      <c r="P685" s="2568"/>
    </row>
    <row r="686" spans="1:16" ht="149.65" customHeight="1" x14ac:dyDescent="0.25">
      <c r="A686" s="2219" t="s">
        <v>4447</v>
      </c>
      <c r="B686" s="2573" t="s">
        <v>6935</v>
      </c>
      <c r="C686" s="2574"/>
      <c r="D686" s="2574"/>
      <c r="E686" s="2574"/>
      <c r="F686" s="2574" t="s">
        <v>6934</v>
      </c>
      <c r="G686" s="2574"/>
      <c r="H686" s="2574"/>
      <c r="I686" s="2574"/>
      <c r="J686" s="2574" t="s">
        <v>6933</v>
      </c>
      <c r="K686" s="2574"/>
      <c r="L686" s="2574"/>
      <c r="M686" s="2575">
        <f>ROUND((104500 + 15480 * 9) * 1 * 1.68 * 0.4 * 1.19321, 0)</f>
        <v>195504</v>
      </c>
      <c r="N686" s="2574"/>
      <c r="O686" s="2574" t="s">
        <v>588</v>
      </c>
      <c r="P686" s="2574"/>
    </row>
    <row r="687" spans="1:16" x14ac:dyDescent="0.25">
      <c r="A687" s="2218"/>
      <c r="B687" s="2571" t="s">
        <v>4168</v>
      </c>
      <c r="C687" s="2571"/>
      <c r="D687" s="2571"/>
      <c r="E687" s="2571"/>
      <c r="F687" s="2571" t="s">
        <v>588</v>
      </c>
      <c r="G687" s="2571"/>
      <c r="H687" s="2571"/>
      <c r="I687" s="2571"/>
      <c r="J687" s="2571" t="s">
        <v>588</v>
      </c>
      <c r="K687" s="2571"/>
      <c r="L687" s="2571"/>
      <c r="M687" s="2571"/>
      <c r="N687" s="2571"/>
      <c r="O687" s="2571"/>
      <c r="P687" s="2571"/>
    </row>
    <row r="688" spans="1:16" x14ac:dyDescent="0.25">
      <c r="A688" s="2217"/>
      <c r="B688" s="2572" t="s">
        <v>6142</v>
      </c>
      <c r="C688" s="2572"/>
      <c r="D688" s="2572"/>
      <c r="E688" s="2572"/>
      <c r="F688" s="2572" t="s">
        <v>6156</v>
      </c>
      <c r="G688" s="2572"/>
      <c r="H688" s="2572"/>
      <c r="I688" s="2572"/>
      <c r="J688" s="2572" t="s">
        <v>588</v>
      </c>
      <c r="K688" s="2572"/>
      <c r="L688" s="2572"/>
      <c r="M688" s="2572"/>
      <c r="N688" s="2572"/>
      <c r="O688" s="2572"/>
      <c r="P688" s="2572"/>
    </row>
    <row r="689" spans="1:16" ht="40.9" customHeight="1" x14ac:dyDescent="0.25">
      <c r="A689" s="2217"/>
      <c r="B689" s="2572" t="s">
        <v>6447</v>
      </c>
      <c r="C689" s="2572"/>
      <c r="D689" s="2572"/>
      <c r="E689" s="2572"/>
      <c r="F689" s="2572" t="s">
        <v>6448</v>
      </c>
      <c r="G689" s="2572"/>
      <c r="H689" s="2572"/>
      <c r="I689" s="2572"/>
      <c r="J689" s="2572" t="s">
        <v>588</v>
      </c>
      <c r="K689" s="2572"/>
      <c r="L689" s="2572"/>
      <c r="M689" s="2572"/>
      <c r="N689" s="2572"/>
      <c r="O689" s="2572"/>
      <c r="P689" s="2572"/>
    </row>
    <row r="690" spans="1:16" ht="149.65" customHeight="1" x14ac:dyDescent="0.25">
      <c r="A690" s="2217"/>
      <c r="B690" s="2572" t="s">
        <v>6148</v>
      </c>
      <c r="C690" s="2572"/>
      <c r="D690" s="2572"/>
      <c r="E690" s="2572"/>
      <c r="F690" s="2572" t="s">
        <v>6877</v>
      </c>
      <c r="G690" s="2572"/>
      <c r="H690" s="2572"/>
      <c r="I690" s="2572"/>
      <c r="J690" s="2572" t="s">
        <v>588</v>
      </c>
      <c r="K690" s="2572"/>
      <c r="L690" s="2572"/>
      <c r="M690" s="2572"/>
      <c r="N690" s="2572"/>
      <c r="O690" s="2572"/>
      <c r="P690" s="2572"/>
    </row>
    <row r="691" spans="1:16" ht="68.099999999999994" customHeight="1" x14ac:dyDescent="0.25">
      <c r="A691" s="2218"/>
      <c r="B691" s="2571" t="s">
        <v>6150</v>
      </c>
      <c r="C691" s="2571"/>
      <c r="D691" s="2571"/>
      <c r="E691" s="2571"/>
      <c r="F691" s="2571" t="s">
        <v>588</v>
      </c>
      <c r="G691" s="2571"/>
      <c r="H691" s="2571"/>
      <c r="I691" s="2571"/>
      <c r="J691" s="2571" t="s">
        <v>6932</v>
      </c>
      <c r="K691" s="2571"/>
      <c r="L691" s="2571"/>
      <c r="M691" s="2571"/>
      <c r="N691" s="2571"/>
      <c r="O691" s="2571"/>
      <c r="P691" s="2571"/>
    </row>
    <row r="692" spans="1:16" x14ac:dyDescent="0.25">
      <c r="A692" s="2217"/>
      <c r="B692" s="2572" t="s">
        <v>6160</v>
      </c>
      <c r="C692" s="2572"/>
      <c r="D692" s="2572"/>
      <c r="E692" s="2572"/>
      <c r="F692" s="2572" t="s">
        <v>6931</v>
      </c>
      <c r="G692" s="2572"/>
      <c r="H692" s="2572"/>
      <c r="I692" s="2572"/>
      <c r="J692" s="2572" t="s">
        <v>588</v>
      </c>
      <c r="K692" s="2572"/>
      <c r="L692" s="2572"/>
      <c r="M692" s="2572"/>
      <c r="N692" s="2572"/>
      <c r="O692" s="2572"/>
      <c r="P692" s="2572"/>
    </row>
    <row r="693" spans="1:16" x14ac:dyDescent="0.25">
      <c r="A693" s="2217"/>
      <c r="B693" s="2572" t="s">
        <v>6874</v>
      </c>
      <c r="C693" s="2572"/>
      <c r="D693" s="2572"/>
      <c r="E693" s="2572"/>
      <c r="F693" s="2572" t="s">
        <v>6930</v>
      </c>
      <c r="G693" s="2572"/>
      <c r="H693" s="2572"/>
      <c r="I693" s="2572"/>
      <c r="J693" s="2572" t="s">
        <v>588</v>
      </c>
      <c r="K693" s="2572"/>
      <c r="L693" s="2572"/>
      <c r="M693" s="2572"/>
      <c r="N693" s="2572"/>
      <c r="O693" s="2572"/>
      <c r="P693" s="2572"/>
    </row>
    <row r="694" spans="1:16" x14ac:dyDescent="0.25">
      <c r="A694" s="2217"/>
      <c r="B694" s="2572" t="s">
        <v>6872</v>
      </c>
      <c r="C694" s="2572"/>
      <c r="D694" s="2572"/>
      <c r="E694" s="2572"/>
      <c r="F694" s="2572" t="s">
        <v>6929</v>
      </c>
      <c r="G694" s="2572"/>
      <c r="H694" s="2572"/>
      <c r="I694" s="2572"/>
      <c r="J694" s="2572" t="s">
        <v>588</v>
      </c>
      <c r="K694" s="2572"/>
      <c r="L694" s="2572"/>
      <c r="M694" s="2572"/>
      <c r="N694" s="2572"/>
      <c r="O694" s="2572"/>
      <c r="P694" s="2572"/>
    </row>
    <row r="695" spans="1:16" ht="27.2" customHeight="1" x14ac:dyDescent="0.25">
      <c r="A695" s="2217"/>
      <c r="B695" s="2572" t="s">
        <v>6870</v>
      </c>
      <c r="C695" s="2572"/>
      <c r="D695" s="2572"/>
      <c r="E695" s="2572"/>
      <c r="F695" s="2572" t="s">
        <v>6928</v>
      </c>
      <c r="G695" s="2572"/>
      <c r="H695" s="2572"/>
      <c r="I695" s="2572"/>
      <c r="J695" s="2572" t="s">
        <v>588</v>
      </c>
      <c r="K695" s="2572"/>
      <c r="L695" s="2572"/>
      <c r="M695" s="2572"/>
      <c r="N695" s="2572"/>
      <c r="O695" s="2572"/>
      <c r="P695" s="2572"/>
    </row>
    <row r="696" spans="1:16" ht="27.2" customHeight="1" x14ac:dyDescent="0.25">
      <c r="A696" s="2217"/>
      <c r="B696" s="2572" t="s">
        <v>6868</v>
      </c>
      <c r="C696" s="2572"/>
      <c r="D696" s="2572"/>
      <c r="E696" s="2572"/>
      <c r="F696" s="2572" t="s">
        <v>6927</v>
      </c>
      <c r="G696" s="2572"/>
      <c r="H696" s="2572"/>
      <c r="I696" s="2572"/>
      <c r="J696" s="2572" t="s">
        <v>588</v>
      </c>
      <c r="K696" s="2572"/>
      <c r="L696" s="2572"/>
      <c r="M696" s="2572"/>
      <c r="N696" s="2572"/>
      <c r="O696" s="2572"/>
      <c r="P696" s="2572"/>
    </row>
    <row r="697" spans="1:16" ht="27.2" customHeight="1" x14ac:dyDescent="0.25">
      <c r="A697" s="2217"/>
      <c r="B697" s="2572" t="s">
        <v>6866</v>
      </c>
      <c r="C697" s="2572"/>
      <c r="D697" s="2572"/>
      <c r="E697" s="2572"/>
      <c r="F697" s="2572" t="s">
        <v>6927</v>
      </c>
      <c r="G697" s="2572"/>
      <c r="H697" s="2572"/>
      <c r="I697" s="2572"/>
      <c r="J697" s="2572" t="s">
        <v>588</v>
      </c>
      <c r="K697" s="2572"/>
      <c r="L697" s="2572"/>
      <c r="M697" s="2572"/>
      <c r="N697" s="2572"/>
      <c r="O697" s="2572"/>
      <c r="P697" s="2572"/>
    </row>
    <row r="698" spans="1:16" x14ac:dyDescent="0.25">
      <c r="A698" s="2217"/>
      <c r="B698" s="2572" t="s">
        <v>6205</v>
      </c>
      <c r="C698" s="2572"/>
      <c r="D698" s="2572"/>
      <c r="E698" s="2572"/>
      <c r="F698" s="2572" t="s">
        <v>6926</v>
      </c>
      <c r="G698" s="2572"/>
      <c r="H698" s="2572"/>
      <c r="I698" s="2572"/>
      <c r="J698" s="2572" t="s">
        <v>588</v>
      </c>
      <c r="K698" s="2572"/>
      <c r="L698" s="2572"/>
      <c r="M698" s="2572"/>
      <c r="N698" s="2572"/>
      <c r="O698" s="2572"/>
      <c r="P698" s="2572"/>
    </row>
    <row r="699" spans="1:16" x14ac:dyDescent="0.25">
      <c r="A699" s="2217"/>
      <c r="B699" s="2572" t="s">
        <v>6185</v>
      </c>
      <c r="C699" s="2572"/>
      <c r="D699" s="2572"/>
      <c r="E699" s="2572"/>
      <c r="F699" s="2572" t="s">
        <v>6925</v>
      </c>
      <c r="G699" s="2572"/>
      <c r="H699" s="2572"/>
      <c r="I699" s="2572"/>
      <c r="J699" s="2572" t="s">
        <v>588</v>
      </c>
      <c r="K699" s="2572"/>
      <c r="L699" s="2572"/>
      <c r="M699" s="2572"/>
      <c r="N699" s="2572"/>
      <c r="O699" s="2572"/>
      <c r="P699" s="2572"/>
    </row>
    <row r="700" spans="1:16" x14ac:dyDescent="0.25">
      <c r="A700" s="2217"/>
      <c r="B700" s="2572" t="s">
        <v>6234</v>
      </c>
      <c r="C700" s="2572"/>
      <c r="D700" s="2572"/>
      <c r="E700" s="2572"/>
      <c r="F700" s="2572" t="s">
        <v>6924</v>
      </c>
      <c r="G700" s="2572"/>
      <c r="H700" s="2572"/>
      <c r="I700" s="2572"/>
      <c r="J700" s="2572" t="s">
        <v>588</v>
      </c>
      <c r="K700" s="2572"/>
      <c r="L700" s="2572"/>
      <c r="M700" s="2572"/>
      <c r="N700" s="2572"/>
      <c r="O700" s="2572"/>
      <c r="P700" s="2572"/>
    </row>
    <row r="701" spans="1:16" ht="149.65" customHeight="1" x14ac:dyDescent="0.25">
      <c r="A701" s="2219" t="s">
        <v>6112</v>
      </c>
      <c r="B701" s="2573" t="s">
        <v>6923</v>
      </c>
      <c r="C701" s="2574"/>
      <c r="D701" s="2574"/>
      <c r="E701" s="2574"/>
      <c r="F701" s="2574" t="s">
        <v>6922</v>
      </c>
      <c r="G701" s="2574"/>
      <c r="H701" s="2574"/>
      <c r="I701" s="2574"/>
      <c r="J701" s="2574" t="s">
        <v>6921</v>
      </c>
      <c r="K701" s="2574"/>
      <c r="L701" s="2574"/>
      <c r="M701" s="2575">
        <f>ROUND((110100 + 7105 * 40) * 1 * 1.68 * 0.4 * 1.22277, 0)</f>
        <v>323997</v>
      </c>
      <c r="N701" s="2574"/>
      <c r="O701" s="2574" t="s">
        <v>588</v>
      </c>
      <c r="P701" s="2574"/>
    </row>
    <row r="702" spans="1:16" x14ac:dyDescent="0.25">
      <c r="A702" s="2218"/>
      <c r="B702" s="2571" t="s">
        <v>4168</v>
      </c>
      <c r="C702" s="2571"/>
      <c r="D702" s="2571"/>
      <c r="E702" s="2571"/>
      <c r="F702" s="2571" t="s">
        <v>588</v>
      </c>
      <c r="G702" s="2571"/>
      <c r="H702" s="2571"/>
      <c r="I702" s="2571"/>
      <c r="J702" s="2571" t="s">
        <v>588</v>
      </c>
      <c r="K702" s="2571"/>
      <c r="L702" s="2571"/>
      <c r="M702" s="2571"/>
      <c r="N702" s="2571"/>
      <c r="O702" s="2571"/>
      <c r="P702" s="2571"/>
    </row>
    <row r="703" spans="1:16" x14ac:dyDescent="0.25">
      <c r="A703" s="2217"/>
      <c r="B703" s="2572" t="s">
        <v>6142</v>
      </c>
      <c r="C703" s="2572"/>
      <c r="D703" s="2572"/>
      <c r="E703" s="2572"/>
      <c r="F703" s="2572" t="s">
        <v>6156</v>
      </c>
      <c r="G703" s="2572"/>
      <c r="H703" s="2572"/>
      <c r="I703" s="2572"/>
      <c r="J703" s="2572" t="s">
        <v>588</v>
      </c>
      <c r="K703" s="2572"/>
      <c r="L703" s="2572"/>
      <c r="M703" s="2572"/>
      <c r="N703" s="2572"/>
      <c r="O703" s="2572"/>
      <c r="P703" s="2572"/>
    </row>
    <row r="704" spans="1:16" ht="40.9" customHeight="1" x14ac:dyDescent="0.25">
      <c r="A704" s="2217"/>
      <c r="B704" s="2572" t="s">
        <v>6447</v>
      </c>
      <c r="C704" s="2572"/>
      <c r="D704" s="2572"/>
      <c r="E704" s="2572"/>
      <c r="F704" s="2572" t="s">
        <v>6448</v>
      </c>
      <c r="G704" s="2572"/>
      <c r="H704" s="2572"/>
      <c r="I704" s="2572"/>
      <c r="J704" s="2572" t="s">
        <v>588</v>
      </c>
      <c r="K704" s="2572"/>
      <c r="L704" s="2572"/>
      <c r="M704" s="2572"/>
      <c r="N704" s="2572"/>
      <c r="O704" s="2572"/>
      <c r="P704" s="2572"/>
    </row>
    <row r="705" spans="1:16" ht="149.65" customHeight="1" x14ac:dyDescent="0.25">
      <c r="A705" s="2217"/>
      <c r="B705" s="2572" t="s">
        <v>6148</v>
      </c>
      <c r="C705" s="2572"/>
      <c r="D705" s="2572"/>
      <c r="E705" s="2572"/>
      <c r="F705" s="2572" t="s">
        <v>6920</v>
      </c>
      <c r="G705" s="2572"/>
      <c r="H705" s="2572"/>
      <c r="I705" s="2572"/>
      <c r="J705" s="2572" t="s">
        <v>588</v>
      </c>
      <c r="K705" s="2572"/>
      <c r="L705" s="2572"/>
      <c r="M705" s="2572"/>
      <c r="N705" s="2572"/>
      <c r="O705" s="2572"/>
      <c r="P705" s="2572"/>
    </row>
    <row r="706" spans="1:16" ht="68.099999999999994" customHeight="1" x14ac:dyDescent="0.25">
      <c r="A706" s="2218"/>
      <c r="B706" s="2571" t="s">
        <v>6150</v>
      </c>
      <c r="C706" s="2571"/>
      <c r="D706" s="2571"/>
      <c r="E706" s="2571"/>
      <c r="F706" s="2571" t="s">
        <v>588</v>
      </c>
      <c r="G706" s="2571"/>
      <c r="H706" s="2571"/>
      <c r="I706" s="2571"/>
      <c r="J706" s="2571" t="s">
        <v>6919</v>
      </c>
      <c r="K706" s="2571"/>
      <c r="L706" s="2571"/>
      <c r="M706" s="2571"/>
      <c r="N706" s="2571"/>
      <c r="O706" s="2571"/>
      <c r="P706" s="2571"/>
    </row>
    <row r="707" spans="1:16" x14ac:dyDescent="0.25">
      <c r="A707" s="2217"/>
      <c r="B707" s="2572" t="s">
        <v>6160</v>
      </c>
      <c r="C707" s="2572"/>
      <c r="D707" s="2572"/>
      <c r="E707" s="2572"/>
      <c r="F707" s="2572" t="s">
        <v>6918</v>
      </c>
      <c r="G707" s="2572"/>
      <c r="H707" s="2572"/>
      <c r="I707" s="2572"/>
      <c r="J707" s="2572" t="s">
        <v>588</v>
      </c>
      <c r="K707" s="2572"/>
      <c r="L707" s="2572"/>
      <c r="M707" s="2572"/>
      <c r="N707" s="2572"/>
      <c r="O707" s="2572"/>
      <c r="P707" s="2572"/>
    </row>
    <row r="708" spans="1:16" x14ac:dyDescent="0.25">
      <c r="A708" s="2217"/>
      <c r="B708" s="2572" t="s">
        <v>6199</v>
      </c>
      <c r="C708" s="2572"/>
      <c r="D708" s="2572"/>
      <c r="E708" s="2572"/>
      <c r="F708" s="2572" t="s">
        <v>6917</v>
      </c>
      <c r="G708" s="2572"/>
      <c r="H708" s="2572"/>
      <c r="I708" s="2572"/>
      <c r="J708" s="2572" t="s">
        <v>588</v>
      </c>
      <c r="K708" s="2572"/>
      <c r="L708" s="2572"/>
      <c r="M708" s="2572"/>
      <c r="N708" s="2572"/>
      <c r="O708" s="2572"/>
      <c r="P708" s="2572"/>
    </row>
    <row r="709" spans="1:16" x14ac:dyDescent="0.25">
      <c r="A709" s="2217"/>
      <c r="B709" s="2572" t="s">
        <v>6215</v>
      </c>
      <c r="C709" s="2572"/>
      <c r="D709" s="2572"/>
      <c r="E709" s="2572"/>
      <c r="F709" s="2572" t="s">
        <v>6916</v>
      </c>
      <c r="G709" s="2572"/>
      <c r="H709" s="2572"/>
      <c r="I709" s="2572"/>
      <c r="J709" s="2572" t="s">
        <v>588</v>
      </c>
      <c r="K709" s="2572"/>
      <c r="L709" s="2572"/>
      <c r="M709" s="2572"/>
      <c r="N709" s="2572"/>
      <c r="O709" s="2572"/>
      <c r="P709" s="2572"/>
    </row>
    <row r="710" spans="1:16" x14ac:dyDescent="0.25">
      <c r="A710" s="2217"/>
      <c r="B710" s="2572" t="s">
        <v>6216</v>
      </c>
      <c r="C710" s="2572"/>
      <c r="D710" s="2572"/>
      <c r="E710" s="2572"/>
      <c r="F710" s="2572" t="s">
        <v>6915</v>
      </c>
      <c r="G710" s="2572"/>
      <c r="H710" s="2572"/>
      <c r="I710" s="2572"/>
      <c r="J710" s="2572" t="s">
        <v>588</v>
      </c>
      <c r="K710" s="2572"/>
      <c r="L710" s="2572"/>
      <c r="M710" s="2572"/>
      <c r="N710" s="2572"/>
      <c r="O710" s="2572"/>
      <c r="P710" s="2572"/>
    </row>
    <row r="711" spans="1:16" ht="27.2" customHeight="1" x14ac:dyDescent="0.25">
      <c r="A711" s="2217"/>
      <c r="B711" s="2572" t="s">
        <v>6232</v>
      </c>
      <c r="C711" s="2572"/>
      <c r="D711" s="2572"/>
      <c r="E711" s="2572"/>
      <c r="F711" s="2572" t="s">
        <v>6914</v>
      </c>
      <c r="G711" s="2572"/>
      <c r="H711" s="2572"/>
      <c r="I711" s="2572"/>
      <c r="J711" s="2572" t="s">
        <v>588</v>
      </c>
      <c r="K711" s="2572"/>
      <c r="L711" s="2572"/>
      <c r="M711" s="2572"/>
      <c r="N711" s="2572"/>
      <c r="O711" s="2572"/>
      <c r="P711" s="2572"/>
    </row>
    <row r="712" spans="1:16" ht="27.2" customHeight="1" x14ac:dyDescent="0.25">
      <c r="A712" s="2217"/>
      <c r="B712" s="2572" t="s">
        <v>6913</v>
      </c>
      <c r="C712" s="2572"/>
      <c r="D712" s="2572"/>
      <c r="E712" s="2572"/>
      <c r="F712" s="2572" t="s">
        <v>6912</v>
      </c>
      <c r="G712" s="2572"/>
      <c r="H712" s="2572"/>
      <c r="I712" s="2572"/>
      <c r="J712" s="2572" t="s">
        <v>588</v>
      </c>
      <c r="K712" s="2572"/>
      <c r="L712" s="2572"/>
      <c r="M712" s="2572"/>
      <c r="N712" s="2572"/>
      <c r="O712" s="2572"/>
      <c r="P712" s="2572"/>
    </row>
    <row r="713" spans="1:16" ht="27.2" customHeight="1" x14ac:dyDescent="0.25">
      <c r="A713" s="2217"/>
      <c r="B713" s="2572" t="s">
        <v>6224</v>
      </c>
      <c r="C713" s="2572"/>
      <c r="D713" s="2572"/>
      <c r="E713" s="2572"/>
      <c r="F713" s="2572" t="s">
        <v>6911</v>
      </c>
      <c r="G713" s="2572"/>
      <c r="H713" s="2572"/>
      <c r="I713" s="2572"/>
      <c r="J713" s="2572" t="s">
        <v>588</v>
      </c>
      <c r="K713" s="2572"/>
      <c r="L713" s="2572"/>
      <c r="M713" s="2572"/>
      <c r="N713" s="2572"/>
      <c r="O713" s="2572"/>
      <c r="P713" s="2572"/>
    </row>
    <row r="714" spans="1:16" x14ac:dyDescent="0.25">
      <c r="A714" s="2217"/>
      <c r="B714" s="2572" t="s">
        <v>6225</v>
      </c>
      <c r="C714" s="2572"/>
      <c r="D714" s="2572"/>
      <c r="E714" s="2572"/>
      <c r="F714" s="2572" t="s">
        <v>6910</v>
      </c>
      <c r="G714" s="2572"/>
      <c r="H714" s="2572"/>
      <c r="I714" s="2572"/>
      <c r="J714" s="2572" t="s">
        <v>588</v>
      </c>
      <c r="K714" s="2572"/>
      <c r="L714" s="2572"/>
      <c r="M714" s="2572"/>
      <c r="N714" s="2572"/>
      <c r="O714" s="2572"/>
      <c r="P714" s="2572"/>
    </row>
    <row r="715" spans="1:16" x14ac:dyDescent="0.25">
      <c r="A715" s="2217"/>
      <c r="B715" s="2572" t="s">
        <v>6234</v>
      </c>
      <c r="C715" s="2572"/>
      <c r="D715" s="2572"/>
      <c r="E715" s="2572"/>
      <c r="F715" s="2572" t="s">
        <v>6909</v>
      </c>
      <c r="G715" s="2572"/>
      <c r="H715" s="2572"/>
      <c r="I715" s="2572"/>
      <c r="J715" s="2572" t="s">
        <v>588</v>
      </c>
      <c r="K715" s="2572"/>
      <c r="L715" s="2572"/>
      <c r="M715" s="2572"/>
      <c r="N715" s="2572"/>
      <c r="O715" s="2572"/>
      <c r="P715" s="2572"/>
    </row>
    <row r="716" spans="1:16" ht="149.65" customHeight="1" x14ac:dyDescent="0.25">
      <c r="A716" s="2219" t="s">
        <v>6908</v>
      </c>
      <c r="B716" s="2573" t="s">
        <v>6907</v>
      </c>
      <c r="C716" s="2574"/>
      <c r="D716" s="2574"/>
      <c r="E716" s="2574"/>
      <c r="F716" s="2574" t="s">
        <v>6906</v>
      </c>
      <c r="G716" s="2574"/>
      <c r="H716" s="2574"/>
      <c r="I716" s="2574"/>
      <c r="J716" s="2574" t="s">
        <v>6905</v>
      </c>
      <c r="K716" s="2574"/>
      <c r="L716" s="2574"/>
      <c r="M716" s="2575">
        <f>ROUND((109200 + 5153 * 32) * 1 * 1.68 * 0.4 * 1.21468, 0)</f>
        <v>223735</v>
      </c>
      <c r="N716" s="2574"/>
      <c r="O716" s="2574" t="s">
        <v>588</v>
      </c>
      <c r="P716" s="2574"/>
    </row>
    <row r="717" spans="1:16" x14ac:dyDescent="0.25">
      <c r="A717" s="2218"/>
      <c r="B717" s="2571" t="s">
        <v>4168</v>
      </c>
      <c r="C717" s="2571"/>
      <c r="D717" s="2571"/>
      <c r="E717" s="2571"/>
      <c r="F717" s="2571" t="s">
        <v>588</v>
      </c>
      <c r="G717" s="2571"/>
      <c r="H717" s="2571"/>
      <c r="I717" s="2571"/>
      <c r="J717" s="2571" t="s">
        <v>588</v>
      </c>
      <c r="K717" s="2571"/>
      <c r="L717" s="2571"/>
      <c r="M717" s="2571"/>
      <c r="N717" s="2571"/>
      <c r="O717" s="2571"/>
      <c r="P717" s="2571"/>
    </row>
    <row r="718" spans="1:16" x14ac:dyDescent="0.25">
      <c r="A718" s="2217"/>
      <c r="B718" s="2572" t="s">
        <v>6142</v>
      </c>
      <c r="C718" s="2572"/>
      <c r="D718" s="2572"/>
      <c r="E718" s="2572"/>
      <c r="F718" s="2572" t="s">
        <v>6156</v>
      </c>
      <c r="G718" s="2572"/>
      <c r="H718" s="2572"/>
      <c r="I718" s="2572"/>
      <c r="J718" s="2572" t="s">
        <v>588</v>
      </c>
      <c r="K718" s="2572"/>
      <c r="L718" s="2572"/>
      <c r="M718" s="2572"/>
      <c r="N718" s="2572"/>
      <c r="O718" s="2572"/>
      <c r="P718" s="2572"/>
    </row>
    <row r="719" spans="1:16" ht="40.9" customHeight="1" x14ac:dyDescent="0.25">
      <c r="A719" s="2217"/>
      <c r="B719" s="2572" t="s">
        <v>6447</v>
      </c>
      <c r="C719" s="2572"/>
      <c r="D719" s="2572"/>
      <c r="E719" s="2572"/>
      <c r="F719" s="2572" t="s">
        <v>6448</v>
      </c>
      <c r="G719" s="2572"/>
      <c r="H719" s="2572"/>
      <c r="I719" s="2572"/>
      <c r="J719" s="2572" t="s">
        <v>588</v>
      </c>
      <c r="K719" s="2572"/>
      <c r="L719" s="2572"/>
      <c r="M719" s="2572"/>
      <c r="N719" s="2572"/>
      <c r="O719" s="2572"/>
      <c r="P719" s="2572"/>
    </row>
    <row r="720" spans="1:16" ht="149.65" customHeight="1" x14ac:dyDescent="0.25">
      <c r="A720" s="2217"/>
      <c r="B720" s="2572" t="s">
        <v>6148</v>
      </c>
      <c r="C720" s="2572"/>
      <c r="D720" s="2572"/>
      <c r="E720" s="2572"/>
      <c r="F720" s="2572" t="s">
        <v>6877</v>
      </c>
      <c r="G720" s="2572"/>
      <c r="H720" s="2572"/>
      <c r="I720" s="2572"/>
      <c r="J720" s="2572" t="s">
        <v>588</v>
      </c>
      <c r="K720" s="2572"/>
      <c r="L720" s="2572"/>
      <c r="M720" s="2572"/>
      <c r="N720" s="2572"/>
      <c r="O720" s="2572"/>
      <c r="P720" s="2572"/>
    </row>
    <row r="721" spans="1:16" ht="68.099999999999994" customHeight="1" x14ac:dyDescent="0.25">
      <c r="A721" s="2218"/>
      <c r="B721" s="2571" t="s">
        <v>6150</v>
      </c>
      <c r="C721" s="2571"/>
      <c r="D721" s="2571"/>
      <c r="E721" s="2571"/>
      <c r="F721" s="2571" t="s">
        <v>588</v>
      </c>
      <c r="G721" s="2571"/>
      <c r="H721" s="2571"/>
      <c r="I721" s="2571"/>
      <c r="J721" s="2571" t="s">
        <v>6904</v>
      </c>
      <c r="K721" s="2571"/>
      <c r="L721" s="2571"/>
      <c r="M721" s="2571"/>
      <c r="N721" s="2571"/>
      <c r="O721" s="2571"/>
      <c r="P721" s="2571"/>
    </row>
    <row r="722" spans="1:16" x14ac:dyDescent="0.25">
      <c r="A722" s="2217"/>
      <c r="B722" s="2572" t="s">
        <v>6160</v>
      </c>
      <c r="C722" s="2572"/>
      <c r="D722" s="2572"/>
      <c r="E722" s="2572"/>
      <c r="F722" s="2572" t="s">
        <v>6903</v>
      </c>
      <c r="G722" s="2572"/>
      <c r="H722" s="2572"/>
      <c r="I722" s="2572"/>
      <c r="J722" s="2572" t="s">
        <v>588</v>
      </c>
      <c r="K722" s="2572"/>
      <c r="L722" s="2572"/>
      <c r="M722" s="2572"/>
      <c r="N722" s="2572"/>
      <c r="O722" s="2572"/>
      <c r="P722" s="2572"/>
    </row>
    <row r="723" spans="1:16" x14ac:dyDescent="0.25">
      <c r="A723" s="2217"/>
      <c r="B723" s="2572" t="s">
        <v>6874</v>
      </c>
      <c r="C723" s="2572"/>
      <c r="D723" s="2572"/>
      <c r="E723" s="2572"/>
      <c r="F723" s="2572" t="s">
        <v>6902</v>
      </c>
      <c r="G723" s="2572"/>
      <c r="H723" s="2572"/>
      <c r="I723" s="2572"/>
      <c r="J723" s="2572" t="s">
        <v>588</v>
      </c>
      <c r="K723" s="2572"/>
      <c r="L723" s="2572"/>
      <c r="M723" s="2572"/>
      <c r="N723" s="2572"/>
      <c r="O723" s="2572"/>
      <c r="P723" s="2572"/>
    </row>
    <row r="724" spans="1:16" x14ac:dyDescent="0.25">
      <c r="A724" s="2217"/>
      <c r="B724" s="2572" t="s">
        <v>6872</v>
      </c>
      <c r="C724" s="2572"/>
      <c r="D724" s="2572"/>
      <c r="E724" s="2572"/>
      <c r="F724" s="2572" t="s">
        <v>6901</v>
      </c>
      <c r="G724" s="2572"/>
      <c r="H724" s="2572"/>
      <c r="I724" s="2572"/>
      <c r="J724" s="2572" t="s">
        <v>588</v>
      </c>
      <c r="K724" s="2572"/>
      <c r="L724" s="2572"/>
      <c r="M724" s="2572"/>
      <c r="N724" s="2572"/>
      <c r="O724" s="2572"/>
      <c r="P724" s="2572"/>
    </row>
    <row r="725" spans="1:16" ht="27.2" customHeight="1" x14ac:dyDescent="0.25">
      <c r="A725" s="2217"/>
      <c r="B725" s="2572" t="s">
        <v>6870</v>
      </c>
      <c r="C725" s="2572"/>
      <c r="D725" s="2572"/>
      <c r="E725" s="2572"/>
      <c r="F725" s="2572" t="s">
        <v>6900</v>
      </c>
      <c r="G725" s="2572"/>
      <c r="H725" s="2572"/>
      <c r="I725" s="2572"/>
      <c r="J725" s="2572" t="s">
        <v>588</v>
      </c>
      <c r="K725" s="2572"/>
      <c r="L725" s="2572"/>
      <c r="M725" s="2572"/>
      <c r="N725" s="2572"/>
      <c r="O725" s="2572"/>
      <c r="P725" s="2572"/>
    </row>
    <row r="726" spans="1:16" ht="27.2" customHeight="1" x14ac:dyDescent="0.25">
      <c r="A726" s="2217"/>
      <c r="B726" s="2572" t="s">
        <v>6868</v>
      </c>
      <c r="C726" s="2572"/>
      <c r="D726" s="2572"/>
      <c r="E726" s="2572"/>
      <c r="F726" s="2572" t="s">
        <v>6899</v>
      </c>
      <c r="G726" s="2572"/>
      <c r="H726" s="2572"/>
      <c r="I726" s="2572"/>
      <c r="J726" s="2572" t="s">
        <v>588</v>
      </c>
      <c r="K726" s="2572"/>
      <c r="L726" s="2572"/>
      <c r="M726" s="2572"/>
      <c r="N726" s="2572"/>
      <c r="O726" s="2572"/>
      <c r="P726" s="2572"/>
    </row>
    <row r="727" spans="1:16" ht="27.2" customHeight="1" x14ac:dyDescent="0.25">
      <c r="A727" s="2217"/>
      <c r="B727" s="2572" t="s">
        <v>6866</v>
      </c>
      <c r="C727" s="2572"/>
      <c r="D727" s="2572"/>
      <c r="E727" s="2572"/>
      <c r="F727" s="2572" t="s">
        <v>6899</v>
      </c>
      <c r="G727" s="2572"/>
      <c r="H727" s="2572"/>
      <c r="I727" s="2572"/>
      <c r="J727" s="2572" t="s">
        <v>588</v>
      </c>
      <c r="K727" s="2572"/>
      <c r="L727" s="2572"/>
      <c r="M727" s="2572"/>
      <c r="N727" s="2572"/>
      <c r="O727" s="2572"/>
      <c r="P727" s="2572"/>
    </row>
    <row r="728" spans="1:16" x14ac:dyDescent="0.25">
      <c r="A728" s="2217"/>
      <c r="B728" s="2572" t="s">
        <v>6205</v>
      </c>
      <c r="C728" s="2572"/>
      <c r="D728" s="2572"/>
      <c r="E728" s="2572"/>
      <c r="F728" s="2572" t="s">
        <v>6898</v>
      </c>
      <c r="G728" s="2572"/>
      <c r="H728" s="2572"/>
      <c r="I728" s="2572"/>
      <c r="J728" s="2572" t="s">
        <v>588</v>
      </c>
      <c r="K728" s="2572"/>
      <c r="L728" s="2572"/>
      <c r="M728" s="2572"/>
      <c r="N728" s="2572"/>
      <c r="O728" s="2572"/>
      <c r="P728" s="2572"/>
    </row>
    <row r="729" spans="1:16" x14ac:dyDescent="0.25">
      <c r="A729" s="2217"/>
      <c r="B729" s="2572" t="s">
        <v>6217</v>
      </c>
      <c r="C729" s="2572"/>
      <c r="D729" s="2572"/>
      <c r="E729" s="2572"/>
      <c r="F729" s="2572" t="s">
        <v>6897</v>
      </c>
      <c r="G729" s="2572"/>
      <c r="H729" s="2572"/>
      <c r="I729" s="2572"/>
      <c r="J729" s="2572" t="s">
        <v>588</v>
      </c>
      <c r="K729" s="2572"/>
      <c r="L729" s="2572"/>
      <c r="M729" s="2572"/>
      <c r="N729" s="2572"/>
      <c r="O729" s="2572"/>
      <c r="P729" s="2572"/>
    </row>
    <row r="730" spans="1:16" ht="163.15" customHeight="1" x14ac:dyDescent="0.25">
      <c r="A730" s="2219" t="s">
        <v>6896</v>
      </c>
      <c r="B730" s="2573" t="s">
        <v>6895</v>
      </c>
      <c r="C730" s="2574"/>
      <c r="D730" s="2574"/>
      <c r="E730" s="2574"/>
      <c r="F730" s="2574" t="s">
        <v>6894</v>
      </c>
      <c r="G730" s="2574"/>
      <c r="H730" s="2574"/>
      <c r="I730" s="2574"/>
      <c r="J730" s="2574" t="s">
        <v>6893</v>
      </c>
      <c r="K730" s="2574"/>
      <c r="L730" s="2574"/>
      <c r="M730" s="2575">
        <f>ROUND(21100 * 1 * 1.68 * 0.4 * 2 * 1.19286, 0)</f>
        <v>33828</v>
      </c>
      <c r="N730" s="2574"/>
      <c r="O730" s="2574" t="s">
        <v>588</v>
      </c>
      <c r="P730" s="2574"/>
    </row>
    <row r="731" spans="1:16" x14ac:dyDescent="0.25">
      <c r="A731" s="2218"/>
      <c r="B731" s="2571" t="s">
        <v>4168</v>
      </c>
      <c r="C731" s="2571"/>
      <c r="D731" s="2571"/>
      <c r="E731" s="2571"/>
      <c r="F731" s="2571" t="s">
        <v>588</v>
      </c>
      <c r="G731" s="2571"/>
      <c r="H731" s="2571"/>
      <c r="I731" s="2571"/>
      <c r="J731" s="2571" t="s">
        <v>588</v>
      </c>
      <c r="K731" s="2571"/>
      <c r="L731" s="2571"/>
      <c r="M731" s="2571"/>
      <c r="N731" s="2571"/>
      <c r="O731" s="2571"/>
      <c r="P731" s="2571"/>
    </row>
    <row r="732" spans="1:16" x14ac:dyDescent="0.25">
      <c r="A732" s="2217"/>
      <c r="B732" s="2572" t="s">
        <v>6142</v>
      </c>
      <c r="C732" s="2572"/>
      <c r="D732" s="2572"/>
      <c r="E732" s="2572"/>
      <c r="F732" s="2572" t="s">
        <v>6156</v>
      </c>
      <c r="G732" s="2572"/>
      <c r="H732" s="2572"/>
      <c r="I732" s="2572"/>
      <c r="J732" s="2572" t="s">
        <v>588</v>
      </c>
      <c r="K732" s="2572"/>
      <c r="L732" s="2572"/>
      <c r="M732" s="2572"/>
      <c r="N732" s="2572"/>
      <c r="O732" s="2572"/>
      <c r="P732" s="2572"/>
    </row>
    <row r="733" spans="1:16" ht="40.9" customHeight="1" x14ac:dyDescent="0.25">
      <c r="A733" s="2217"/>
      <c r="B733" s="2572" t="s">
        <v>6447</v>
      </c>
      <c r="C733" s="2572"/>
      <c r="D733" s="2572"/>
      <c r="E733" s="2572"/>
      <c r="F733" s="2572" t="s">
        <v>6448</v>
      </c>
      <c r="G733" s="2572"/>
      <c r="H733" s="2572"/>
      <c r="I733" s="2572"/>
      <c r="J733" s="2572" t="s">
        <v>588</v>
      </c>
      <c r="K733" s="2572"/>
      <c r="L733" s="2572"/>
      <c r="M733" s="2572"/>
      <c r="N733" s="2572"/>
      <c r="O733" s="2572"/>
      <c r="P733" s="2572"/>
    </row>
    <row r="734" spans="1:16" ht="95.25" customHeight="1" x14ac:dyDescent="0.25">
      <c r="A734" s="2217"/>
      <c r="B734" s="2572" t="s">
        <v>6892</v>
      </c>
      <c r="C734" s="2572"/>
      <c r="D734" s="2572"/>
      <c r="E734" s="2572"/>
      <c r="F734" s="2572" t="s">
        <v>6891</v>
      </c>
      <c r="G734" s="2572"/>
      <c r="H734" s="2572"/>
      <c r="I734" s="2572"/>
      <c r="J734" s="2572" t="s">
        <v>588</v>
      </c>
      <c r="K734" s="2572"/>
      <c r="L734" s="2572"/>
      <c r="M734" s="2572"/>
      <c r="N734" s="2572"/>
      <c r="O734" s="2572"/>
      <c r="P734" s="2572"/>
    </row>
    <row r="735" spans="1:16" ht="149.65" customHeight="1" x14ac:dyDescent="0.25">
      <c r="A735" s="2217"/>
      <c r="B735" s="2572" t="s">
        <v>6148</v>
      </c>
      <c r="C735" s="2572"/>
      <c r="D735" s="2572"/>
      <c r="E735" s="2572"/>
      <c r="F735" s="2572" t="s">
        <v>6890</v>
      </c>
      <c r="G735" s="2572"/>
      <c r="H735" s="2572"/>
      <c r="I735" s="2572"/>
      <c r="J735" s="2572" t="s">
        <v>588</v>
      </c>
      <c r="K735" s="2572"/>
      <c r="L735" s="2572"/>
      <c r="M735" s="2572"/>
      <c r="N735" s="2572"/>
      <c r="O735" s="2572"/>
      <c r="P735" s="2572"/>
    </row>
    <row r="736" spans="1:16" ht="54.4" customHeight="1" x14ac:dyDescent="0.25">
      <c r="A736" s="2218"/>
      <c r="B736" s="2571" t="s">
        <v>6150</v>
      </c>
      <c r="C736" s="2571"/>
      <c r="D736" s="2571"/>
      <c r="E736" s="2571"/>
      <c r="F736" s="2571" t="s">
        <v>588</v>
      </c>
      <c r="G736" s="2571"/>
      <c r="H736" s="2571"/>
      <c r="I736" s="2571"/>
      <c r="J736" s="2571" t="s">
        <v>6889</v>
      </c>
      <c r="K736" s="2571"/>
      <c r="L736" s="2571"/>
      <c r="M736" s="2571"/>
      <c r="N736" s="2571"/>
      <c r="O736" s="2571"/>
      <c r="P736" s="2571"/>
    </row>
    <row r="737" spans="1:16" x14ac:dyDescent="0.25">
      <c r="A737" s="2217"/>
      <c r="B737" s="2572" t="s">
        <v>6160</v>
      </c>
      <c r="C737" s="2572"/>
      <c r="D737" s="2572"/>
      <c r="E737" s="2572"/>
      <c r="F737" s="2572" t="s">
        <v>6888</v>
      </c>
      <c r="G737" s="2572"/>
      <c r="H737" s="2572"/>
      <c r="I737" s="2572"/>
      <c r="J737" s="2572" t="s">
        <v>588</v>
      </c>
      <c r="K737" s="2572"/>
      <c r="L737" s="2572"/>
      <c r="M737" s="2572"/>
      <c r="N737" s="2572"/>
      <c r="O737" s="2572"/>
      <c r="P737" s="2572"/>
    </row>
    <row r="738" spans="1:16" x14ac:dyDescent="0.25">
      <c r="A738" s="2217"/>
      <c r="B738" s="2572" t="s">
        <v>6874</v>
      </c>
      <c r="C738" s="2572"/>
      <c r="D738" s="2572"/>
      <c r="E738" s="2572"/>
      <c r="F738" s="2572" t="s">
        <v>6887</v>
      </c>
      <c r="G738" s="2572"/>
      <c r="H738" s="2572"/>
      <c r="I738" s="2572"/>
      <c r="J738" s="2572" t="s">
        <v>588</v>
      </c>
      <c r="K738" s="2572"/>
      <c r="L738" s="2572"/>
      <c r="M738" s="2572"/>
      <c r="N738" s="2572"/>
      <c r="O738" s="2572"/>
      <c r="P738" s="2572"/>
    </row>
    <row r="739" spans="1:16" x14ac:dyDescent="0.25">
      <c r="A739" s="2217"/>
      <c r="B739" s="2572" t="s">
        <v>6872</v>
      </c>
      <c r="C739" s="2572"/>
      <c r="D739" s="2572"/>
      <c r="E739" s="2572"/>
      <c r="F739" s="2572" t="s">
        <v>6886</v>
      </c>
      <c r="G739" s="2572"/>
      <c r="H739" s="2572"/>
      <c r="I739" s="2572"/>
      <c r="J739" s="2572" t="s">
        <v>588</v>
      </c>
      <c r="K739" s="2572"/>
      <c r="L739" s="2572"/>
      <c r="M739" s="2572"/>
      <c r="N739" s="2572"/>
      <c r="O739" s="2572"/>
      <c r="P739" s="2572"/>
    </row>
    <row r="740" spans="1:16" ht="27.2" customHeight="1" x14ac:dyDescent="0.25">
      <c r="A740" s="2217"/>
      <c r="B740" s="2572" t="s">
        <v>6870</v>
      </c>
      <c r="C740" s="2572"/>
      <c r="D740" s="2572"/>
      <c r="E740" s="2572"/>
      <c r="F740" s="2572" t="s">
        <v>6885</v>
      </c>
      <c r="G740" s="2572"/>
      <c r="H740" s="2572"/>
      <c r="I740" s="2572"/>
      <c r="J740" s="2572" t="s">
        <v>588</v>
      </c>
      <c r="K740" s="2572"/>
      <c r="L740" s="2572"/>
      <c r="M740" s="2572"/>
      <c r="N740" s="2572"/>
      <c r="O740" s="2572"/>
      <c r="P740" s="2572"/>
    </row>
    <row r="741" spans="1:16" ht="27.2" customHeight="1" x14ac:dyDescent="0.25">
      <c r="A741" s="2217"/>
      <c r="B741" s="2572" t="s">
        <v>6868</v>
      </c>
      <c r="C741" s="2572"/>
      <c r="D741" s="2572"/>
      <c r="E741" s="2572"/>
      <c r="F741" s="2572" t="s">
        <v>6884</v>
      </c>
      <c r="G741" s="2572"/>
      <c r="H741" s="2572"/>
      <c r="I741" s="2572"/>
      <c r="J741" s="2572" t="s">
        <v>588</v>
      </c>
      <c r="K741" s="2572"/>
      <c r="L741" s="2572"/>
      <c r="M741" s="2572"/>
      <c r="N741" s="2572"/>
      <c r="O741" s="2572"/>
      <c r="P741" s="2572"/>
    </row>
    <row r="742" spans="1:16" x14ac:dyDescent="0.25">
      <c r="A742" s="2217"/>
      <c r="B742" s="2572" t="s">
        <v>6205</v>
      </c>
      <c r="C742" s="2572"/>
      <c r="D742" s="2572"/>
      <c r="E742" s="2572"/>
      <c r="F742" s="2572" t="s">
        <v>6883</v>
      </c>
      <c r="G742" s="2572"/>
      <c r="H742" s="2572"/>
      <c r="I742" s="2572"/>
      <c r="J742" s="2572" t="s">
        <v>588</v>
      </c>
      <c r="K742" s="2572"/>
      <c r="L742" s="2572"/>
      <c r="M742" s="2572"/>
      <c r="N742" s="2572"/>
      <c r="O742" s="2572"/>
      <c r="P742" s="2572"/>
    </row>
    <row r="743" spans="1:16" x14ac:dyDescent="0.25">
      <c r="A743" s="2217"/>
      <c r="B743" s="2572" t="s">
        <v>6217</v>
      </c>
      <c r="C743" s="2572"/>
      <c r="D743" s="2572"/>
      <c r="E743" s="2572"/>
      <c r="F743" s="2572" t="s">
        <v>6882</v>
      </c>
      <c r="G743" s="2572"/>
      <c r="H743" s="2572"/>
      <c r="I743" s="2572"/>
      <c r="J743" s="2572" t="s">
        <v>588</v>
      </c>
      <c r="K743" s="2572"/>
      <c r="L743" s="2572"/>
      <c r="M743" s="2572"/>
      <c r="N743" s="2572"/>
      <c r="O743" s="2572"/>
      <c r="P743" s="2572"/>
    </row>
    <row r="744" spans="1:16" ht="149.65" customHeight="1" x14ac:dyDescent="0.25">
      <c r="A744" s="2219" t="s">
        <v>6881</v>
      </c>
      <c r="B744" s="2573" t="s">
        <v>6880</v>
      </c>
      <c r="C744" s="2574"/>
      <c r="D744" s="2574"/>
      <c r="E744" s="2574"/>
      <c r="F744" s="2574" t="s">
        <v>6879</v>
      </c>
      <c r="G744" s="2574"/>
      <c r="H744" s="2574"/>
      <c r="I744" s="2574"/>
      <c r="J744" s="2574" t="s">
        <v>6878</v>
      </c>
      <c r="K744" s="2574"/>
      <c r="L744" s="2574"/>
      <c r="M744" s="2575">
        <f>ROUND((72300 + 24 * 2228) * 1 * 1.68 * 0.4 * 1.21671, 0)</f>
        <v>102835</v>
      </c>
      <c r="N744" s="2574"/>
      <c r="O744" s="2574" t="s">
        <v>588</v>
      </c>
      <c r="P744" s="2574"/>
    </row>
    <row r="745" spans="1:16" x14ac:dyDescent="0.25">
      <c r="A745" s="2218"/>
      <c r="B745" s="2571" t="s">
        <v>4168</v>
      </c>
      <c r="C745" s="2571"/>
      <c r="D745" s="2571"/>
      <c r="E745" s="2571"/>
      <c r="F745" s="2571" t="s">
        <v>588</v>
      </c>
      <c r="G745" s="2571"/>
      <c r="H745" s="2571"/>
      <c r="I745" s="2571"/>
      <c r="J745" s="2571" t="s">
        <v>588</v>
      </c>
      <c r="K745" s="2571"/>
      <c r="L745" s="2571"/>
      <c r="M745" s="2571"/>
      <c r="N745" s="2571"/>
      <c r="O745" s="2571"/>
      <c r="P745" s="2571"/>
    </row>
    <row r="746" spans="1:16" x14ac:dyDescent="0.25">
      <c r="A746" s="2217"/>
      <c r="B746" s="2572" t="s">
        <v>6142</v>
      </c>
      <c r="C746" s="2572"/>
      <c r="D746" s="2572"/>
      <c r="E746" s="2572"/>
      <c r="F746" s="2572" t="s">
        <v>6156</v>
      </c>
      <c r="G746" s="2572"/>
      <c r="H746" s="2572"/>
      <c r="I746" s="2572"/>
      <c r="J746" s="2572" t="s">
        <v>588</v>
      </c>
      <c r="K746" s="2572"/>
      <c r="L746" s="2572"/>
      <c r="M746" s="2572"/>
      <c r="N746" s="2572"/>
      <c r="O746" s="2572"/>
      <c r="P746" s="2572"/>
    </row>
    <row r="747" spans="1:16" ht="40.9" customHeight="1" x14ac:dyDescent="0.25">
      <c r="A747" s="2217"/>
      <c r="B747" s="2572" t="s">
        <v>6447</v>
      </c>
      <c r="C747" s="2572"/>
      <c r="D747" s="2572"/>
      <c r="E747" s="2572"/>
      <c r="F747" s="2572" t="s">
        <v>6448</v>
      </c>
      <c r="G747" s="2572"/>
      <c r="H747" s="2572"/>
      <c r="I747" s="2572"/>
      <c r="J747" s="2572" t="s">
        <v>588</v>
      </c>
      <c r="K747" s="2572"/>
      <c r="L747" s="2572"/>
      <c r="M747" s="2572"/>
      <c r="N747" s="2572"/>
      <c r="O747" s="2572"/>
      <c r="P747" s="2572"/>
    </row>
    <row r="748" spans="1:16" ht="149.65" customHeight="1" x14ac:dyDescent="0.25">
      <c r="A748" s="2217"/>
      <c r="B748" s="2572" t="s">
        <v>6148</v>
      </c>
      <c r="C748" s="2572"/>
      <c r="D748" s="2572"/>
      <c r="E748" s="2572"/>
      <c r="F748" s="2572" t="s">
        <v>6877</v>
      </c>
      <c r="G748" s="2572"/>
      <c r="H748" s="2572"/>
      <c r="I748" s="2572"/>
      <c r="J748" s="2572" t="s">
        <v>588</v>
      </c>
      <c r="K748" s="2572"/>
      <c r="L748" s="2572"/>
      <c r="M748" s="2572"/>
      <c r="N748" s="2572"/>
      <c r="O748" s="2572"/>
      <c r="P748" s="2572"/>
    </row>
    <row r="749" spans="1:16" ht="68.099999999999994" customHeight="1" x14ac:dyDescent="0.25">
      <c r="A749" s="2218"/>
      <c r="B749" s="2571" t="s">
        <v>6150</v>
      </c>
      <c r="C749" s="2571"/>
      <c r="D749" s="2571"/>
      <c r="E749" s="2571"/>
      <c r="F749" s="2571" t="s">
        <v>588</v>
      </c>
      <c r="G749" s="2571"/>
      <c r="H749" s="2571"/>
      <c r="I749" s="2571"/>
      <c r="J749" s="2571" t="s">
        <v>6876</v>
      </c>
      <c r="K749" s="2571"/>
      <c r="L749" s="2571"/>
      <c r="M749" s="2571"/>
      <c r="N749" s="2571"/>
      <c r="O749" s="2571"/>
      <c r="P749" s="2571"/>
    </row>
    <row r="750" spans="1:16" x14ac:dyDescent="0.25">
      <c r="A750" s="2217"/>
      <c r="B750" s="2572" t="s">
        <v>6160</v>
      </c>
      <c r="C750" s="2572"/>
      <c r="D750" s="2572"/>
      <c r="E750" s="2572"/>
      <c r="F750" s="2572" t="s">
        <v>6875</v>
      </c>
      <c r="G750" s="2572"/>
      <c r="H750" s="2572"/>
      <c r="I750" s="2572"/>
      <c r="J750" s="2572" t="s">
        <v>588</v>
      </c>
      <c r="K750" s="2572"/>
      <c r="L750" s="2572"/>
      <c r="M750" s="2572"/>
      <c r="N750" s="2572"/>
      <c r="O750" s="2572"/>
      <c r="P750" s="2572"/>
    </row>
    <row r="751" spans="1:16" x14ac:dyDescent="0.25">
      <c r="A751" s="2217"/>
      <c r="B751" s="2572" t="s">
        <v>6874</v>
      </c>
      <c r="C751" s="2572"/>
      <c r="D751" s="2572"/>
      <c r="E751" s="2572"/>
      <c r="F751" s="2572" t="s">
        <v>6873</v>
      </c>
      <c r="G751" s="2572"/>
      <c r="H751" s="2572"/>
      <c r="I751" s="2572"/>
      <c r="J751" s="2572" t="s">
        <v>588</v>
      </c>
      <c r="K751" s="2572"/>
      <c r="L751" s="2572"/>
      <c r="M751" s="2572"/>
      <c r="N751" s="2572"/>
      <c r="O751" s="2572"/>
      <c r="P751" s="2572"/>
    </row>
    <row r="752" spans="1:16" x14ac:dyDescent="0.25">
      <c r="A752" s="2217"/>
      <c r="B752" s="2572" t="s">
        <v>6872</v>
      </c>
      <c r="C752" s="2572"/>
      <c r="D752" s="2572"/>
      <c r="E752" s="2572"/>
      <c r="F752" s="2572" t="s">
        <v>6871</v>
      </c>
      <c r="G752" s="2572"/>
      <c r="H752" s="2572"/>
      <c r="I752" s="2572"/>
      <c r="J752" s="2572" t="s">
        <v>588</v>
      </c>
      <c r="K752" s="2572"/>
      <c r="L752" s="2572"/>
      <c r="M752" s="2572"/>
      <c r="N752" s="2572"/>
      <c r="O752" s="2572"/>
      <c r="P752" s="2572"/>
    </row>
    <row r="753" spans="1:16" ht="27.2" customHeight="1" x14ac:dyDescent="0.25">
      <c r="A753" s="2217"/>
      <c r="B753" s="2572" t="s">
        <v>6870</v>
      </c>
      <c r="C753" s="2572"/>
      <c r="D753" s="2572"/>
      <c r="E753" s="2572"/>
      <c r="F753" s="2572" t="s">
        <v>6869</v>
      </c>
      <c r="G753" s="2572"/>
      <c r="H753" s="2572"/>
      <c r="I753" s="2572"/>
      <c r="J753" s="2572" t="s">
        <v>588</v>
      </c>
      <c r="K753" s="2572"/>
      <c r="L753" s="2572"/>
      <c r="M753" s="2572"/>
      <c r="N753" s="2572"/>
      <c r="O753" s="2572"/>
      <c r="P753" s="2572"/>
    </row>
    <row r="754" spans="1:16" ht="27.2" customHeight="1" x14ac:dyDescent="0.25">
      <c r="A754" s="2217"/>
      <c r="B754" s="2572" t="s">
        <v>6868</v>
      </c>
      <c r="C754" s="2572"/>
      <c r="D754" s="2572"/>
      <c r="E754" s="2572"/>
      <c r="F754" s="2572" t="s">
        <v>6867</v>
      </c>
      <c r="G754" s="2572"/>
      <c r="H754" s="2572"/>
      <c r="I754" s="2572"/>
      <c r="J754" s="2572" t="s">
        <v>588</v>
      </c>
      <c r="K754" s="2572"/>
      <c r="L754" s="2572"/>
      <c r="M754" s="2572"/>
      <c r="N754" s="2572"/>
      <c r="O754" s="2572"/>
      <c r="P754" s="2572"/>
    </row>
    <row r="755" spans="1:16" ht="27.2" customHeight="1" x14ac:dyDescent="0.25">
      <c r="A755" s="2217"/>
      <c r="B755" s="2572" t="s">
        <v>6866</v>
      </c>
      <c r="C755" s="2572"/>
      <c r="D755" s="2572"/>
      <c r="E755" s="2572"/>
      <c r="F755" s="2572" t="s">
        <v>6865</v>
      </c>
      <c r="G755" s="2572"/>
      <c r="H755" s="2572"/>
      <c r="I755" s="2572"/>
      <c r="J755" s="2572" t="s">
        <v>588</v>
      </c>
      <c r="K755" s="2572"/>
      <c r="L755" s="2572"/>
      <c r="M755" s="2572"/>
      <c r="N755" s="2572"/>
      <c r="O755" s="2572"/>
      <c r="P755" s="2572"/>
    </row>
    <row r="756" spans="1:16" x14ac:dyDescent="0.25">
      <c r="A756" s="2217"/>
      <c r="B756" s="2572" t="s">
        <v>6205</v>
      </c>
      <c r="C756" s="2572"/>
      <c r="D756" s="2572"/>
      <c r="E756" s="2572"/>
      <c r="F756" s="2572" t="s">
        <v>6864</v>
      </c>
      <c r="G756" s="2572"/>
      <c r="H756" s="2572"/>
      <c r="I756" s="2572"/>
      <c r="J756" s="2572" t="s">
        <v>588</v>
      </c>
      <c r="K756" s="2572"/>
      <c r="L756" s="2572"/>
      <c r="M756" s="2572"/>
      <c r="N756" s="2572"/>
      <c r="O756" s="2572"/>
      <c r="P756" s="2572"/>
    </row>
    <row r="757" spans="1:16" x14ac:dyDescent="0.25">
      <c r="A757" s="2217"/>
      <c r="B757" s="2572" t="s">
        <v>6217</v>
      </c>
      <c r="C757" s="2572"/>
      <c r="D757" s="2572"/>
      <c r="E757" s="2572"/>
      <c r="F757" s="2572" t="s">
        <v>6863</v>
      </c>
      <c r="G757" s="2572"/>
      <c r="H757" s="2572"/>
      <c r="I757" s="2572"/>
      <c r="J757" s="2572" t="s">
        <v>588</v>
      </c>
      <c r="K757" s="2572"/>
      <c r="L757" s="2572"/>
      <c r="M757" s="2572"/>
      <c r="N757" s="2572"/>
      <c r="O757" s="2572"/>
      <c r="P757" s="2572"/>
    </row>
    <row r="758" spans="1:16" ht="108.75" customHeight="1" x14ac:dyDescent="0.25">
      <c r="A758" s="2219" t="s">
        <v>6862</v>
      </c>
      <c r="B758" s="2573" t="s">
        <v>6861</v>
      </c>
      <c r="C758" s="2574"/>
      <c r="D758" s="2574"/>
      <c r="E758" s="2574"/>
      <c r="F758" s="2574" t="s">
        <v>6860</v>
      </c>
      <c r="G758" s="2574"/>
      <c r="H758" s="2574"/>
      <c r="I758" s="2574"/>
      <c r="J758" s="2574" t="s">
        <v>6859</v>
      </c>
      <c r="K758" s="2574"/>
      <c r="L758" s="2574"/>
      <c r="M758" s="2575">
        <f>ROUND((25980 + 4623 * 78) * 1 * 7.1 * 0.42 * 1.23152, 0)</f>
        <v>1419652</v>
      </c>
      <c r="N758" s="2574"/>
      <c r="O758" s="2574" t="s">
        <v>307</v>
      </c>
      <c r="P758" s="2574"/>
    </row>
    <row r="759" spans="1:16" x14ac:dyDescent="0.25">
      <c r="A759" s="2218"/>
      <c r="B759" s="2571" t="s">
        <v>4168</v>
      </c>
      <c r="C759" s="2571"/>
      <c r="D759" s="2571"/>
      <c r="E759" s="2571"/>
      <c r="F759" s="2571" t="s">
        <v>588</v>
      </c>
      <c r="G759" s="2571"/>
      <c r="H759" s="2571"/>
      <c r="I759" s="2571"/>
      <c r="J759" s="2571" t="s">
        <v>588</v>
      </c>
      <c r="K759" s="2571"/>
      <c r="L759" s="2571"/>
      <c r="M759" s="2571"/>
      <c r="N759" s="2571"/>
      <c r="O759" s="2571"/>
      <c r="P759" s="2571"/>
    </row>
    <row r="760" spans="1:16" x14ac:dyDescent="0.25">
      <c r="A760" s="2217"/>
      <c r="B760" s="2572" t="s">
        <v>6142</v>
      </c>
      <c r="C760" s="2572"/>
      <c r="D760" s="2572"/>
      <c r="E760" s="2572"/>
      <c r="F760" s="2572" t="s">
        <v>6858</v>
      </c>
      <c r="G760" s="2572"/>
      <c r="H760" s="2572"/>
      <c r="I760" s="2572"/>
      <c r="J760" s="2572" t="s">
        <v>588</v>
      </c>
      <c r="K760" s="2572"/>
      <c r="L760" s="2572"/>
      <c r="M760" s="2572"/>
      <c r="N760" s="2572"/>
      <c r="O760" s="2572"/>
      <c r="P760" s="2572"/>
    </row>
    <row r="761" spans="1:16" ht="40.9" customHeight="1" x14ac:dyDescent="0.25">
      <c r="A761" s="2217"/>
      <c r="B761" s="2572" t="s">
        <v>6397</v>
      </c>
      <c r="C761" s="2572"/>
      <c r="D761" s="2572"/>
      <c r="E761" s="2572"/>
      <c r="F761" s="2572" t="s">
        <v>6398</v>
      </c>
      <c r="G761" s="2572"/>
      <c r="H761" s="2572"/>
      <c r="I761" s="2572"/>
      <c r="J761" s="2572" t="s">
        <v>588</v>
      </c>
      <c r="K761" s="2572"/>
      <c r="L761" s="2572"/>
      <c r="M761" s="2572"/>
      <c r="N761" s="2572"/>
      <c r="O761" s="2572"/>
      <c r="P761" s="2572"/>
    </row>
    <row r="762" spans="1:16" ht="149.65" customHeight="1" x14ac:dyDescent="0.25">
      <c r="A762" s="2217"/>
      <c r="B762" s="2572" t="s">
        <v>6148</v>
      </c>
      <c r="C762" s="2572"/>
      <c r="D762" s="2572"/>
      <c r="E762" s="2572"/>
      <c r="F762" s="2572" t="s">
        <v>6836</v>
      </c>
      <c r="G762" s="2572"/>
      <c r="H762" s="2572"/>
      <c r="I762" s="2572"/>
      <c r="J762" s="2572" t="s">
        <v>588</v>
      </c>
      <c r="K762" s="2572"/>
      <c r="L762" s="2572"/>
      <c r="M762" s="2572"/>
      <c r="N762" s="2572"/>
      <c r="O762" s="2572"/>
      <c r="P762" s="2572"/>
    </row>
    <row r="763" spans="1:16" ht="122.45" customHeight="1" x14ac:dyDescent="0.25">
      <c r="A763" s="2218"/>
      <c r="B763" s="2571" t="s">
        <v>6150</v>
      </c>
      <c r="C763" s="2571"/>
      <c r="D763" s="2571"/>
      <c r="E763" s="2571"/>
      <c r="F763" s="2571" t="s">
        <v>588</v>
      </c>
      <c r="G763" s="2571"/>
      <c r="H763" s="2571"/>
      <c r="I763" s="2571"/>
      <c r="J763" s="2571" t="s">
        <v>6835</v>
      </c>
      <c r="K763" s="2571"/>
      <c r="L763" s="2571"/>
      <c r="M763" s="2571"/>
      <c r="N763" s="2571"/>
      <c r="O763" s="2571"/>
      <c r="P763" s="2571"/>
    </row>
    <row r="764" spans="1:16" x14ac:dyDescent="0.25">
      <c r="A764" s="2217"/>
      <c r="B764" s="2572" t="s">
        <v>6160</v>
      </c>
      <c r="C764" s="2572"/>
      <c r="D764" s="2572"/>
      <c r="E764" s="2572"/>
      <c r="F764" s="2572" t="s">
        <v>6857</v>
      </c>
      <c r="G764" s="2572"/>
      <c r="H764" s="2572"/>
      <c r="I764" s="2572"/>
      <c r="J764" s="2572" t="s">
        <v>588</v>
      </c>
      <c r="K764" s="2572"/>
      <c r="L764" s="2572"/>
      <c r="M764" s="2572"/>
      <c r="N764" s="2572"/>
      <c r="O764" s="2572"/>
      <c r="P764" s="2572"/>
    </row>
    <row r="765" spans="1:16" x14ac:dyDescent="0.25">
      <c r="A765" s="2217"/>
      <c r="B765" s="2572" t="s">
        <v>6199</v>
      </c>
      <c r="C765" s="2572"/>
      <c r="D765" s="2572"/>
      <c r="E765" s="2572"/>
      <c r="F765" s="2572" t="s">
        <v>6856</v>
      </c>
      <c r="G765" s="2572"/>
      <c r="H765" s="2572"/>
      <c r="I765" s="2572"/>
      <c r="J765" s="2572" t="s">
        <v>588</v>
      </c>
      <c r="K765" s="2572"/>
      <c r="L765" s="2572"/>
      <c r="M765" s="2572"/>
      <c r="N765" s="2572"/>
      <c r="O765" s="2572"/>
      <c r="P765" s="2572"/>
    </row>
    <row r="766" spans="1:16" x14ac:dyDescent="0.25">
      <c r="A766" s="2217"/>
      <c r="B766" s="2572" t="s">
        <v>6832</v>
      </c>
      <c r="C766" s="2572"/>
      <c r="D766" s="2572"/>
      <c r="E766" s="2572"/>
      <c r="F766" s="2572" t="s">
        <v>6855</v>
      </c>
      <c r="G766" s="2572"/>
      <c r="H766" s="2572"/>
      <c r="I766" s="2572"/>
      <c r="J766" s="2572" t="s">
        <v>588</v>
      </c>
      <c r="K766" s="2572"/>
      <c r="L766" s="2572"/>
      <c r="M766" s="2572"/>
      <c r="N766" s="2572"/>
      <c r="O766" s="2572"/>
      <c r="P766" s="2572"/>
    </row>
    <row r="767" spans="1:16" x14ac:dyDescent="0.25">
      <c r="A767" s="2217"/>
      <c r="B767" s="2572" t="s">
        <v>6830</v>
      </c>
      <c r="C767" s="2572"/>
      <c r="D767" s="2572"/>
      <c r="E767" s="2572"/>
      <c r="F767" s="2572" t="s">
        <v>6854</v>
      </c>
      <c r="G767" s="2572"/>
      <c r="H767" s="2572"/>
      <c r="I767" s="2572"/>
      <c r="J767" s="2572" t="s">
        <v>588</v>
      </c>
      <c r="K767" s="2572"/>
      <c r="L767" s="2572"/>
      <c r="M767" s="2572"/>
      <c r="N767" s="2572"/>
      <c r="O767" s="2572"/>
      <c r="P767" s="2572"/>
    </row>
    <row r="768" spans="1:16" x14ac:dyDescent="0.25">
      <c r="A768" s="2217"/>
      <c r="B768" s="2572" t="s">
        <v>6828</v>
      </c>
      <c r="C768" s="2572"/>
      <c r="D768" s="2572"/>
      <c r="E768" s="2572"/>
      <c r="F768" s="2572" t="s">
        <v>6853</v>
      </c>
      <c r="G768" s="2572"/>
      <c r="H768" s="2572"/>
      <c r="I768" s="2572"/>
      <c r="J768" s="2572" t="s">
        <v>588</v>
      </c>
      <c r="K768" s="2572"/>
      <c r="L768" s="2572"/>
      <c r="M768" s="2572"/>
      <c r="N768" s="2572"/>
      <c r="O768" s="2572"/>
      <c r="P768" s="2572"/>
    </row>
    <row r="769" spans="1:16" ht="27.2" customHeight="1" x14ac:dyDescent="0.25">
      <c r="A769" s="2217"/>
      <c r="B769" s="2572" t="s">
        <v>6826</v>
      </c>
      <c r="C769" s="2572"/>
      <c r="D769" s="2572"/>
      <c r="E769" s="2572"/>
      <c r="F769" s="2572" t="s">
        <v>6852</v>
      </c>
      <c r="G769" s="2572"/>
      <c r="H769" s="2572"/>
      <c r="I769" s="2572"/>
      <c r="J769" s="2572" t="s">
        <v>588</v>
      </c>
      <c r="K769" s="2572"/>
      <c r="L769" s="2572"/>
      <c r="M769" s="2572"/>
      <c r="N769" s="2572"/>
      <c r="O769" s="2572"/>
      <c r="P769" s="2572"/>
    </row>
    <row r="770" spans="1:16" ht="27.2" customHeight="1" x14ac:dyDescent="0.25">
      <c r="A770" s="2217"/>
      <c r="B770" s="2572" t="s">
        <v>6824</v>
      </c>
      <c r="C770" s="2572"/>
      <c r="D770" s="2572"/>
      <c r="E770" s="2572"/>
      <c r="F770" s="2572" t="s">
        <v>6850</v>
      </c>
      <c r="G770" s="2572"/>
      <c r="H770" s="2572"/>
      <c r="I770" s="2572"/>
      <c r="J770" s="2572" t="s">
        <v>588</v>
      </c>
      <c r="K770" s="2572"/>
      <c r="L770" s="2572"/>
      <c r="M770" s="2572"/>
      <c r="N770" s="2572"/>
      <c r="O770" s="2572"/>
      <c r="P770" s="2572"/>
    </row>
    <row r="771" spans="1:16" ht="27.2" customHeight="1" x14ac:dyDescent="0.25">
      <c r="A771" s="2217"/>
      <c r="B771" s="2572" t="s">
        <v>6823</v>
      </c>
      <c r="C771" s="2572"/>
      <c r="D771" s="2572"/>
      <c r="E771" s="2572"/>
      <c r="F771" s="2572" t="s">
        <v>6850</v>
      </c>
      <c r="G771" s="2572"/>
      <c r="H771" s="2572"/>
      <c r="I771" s="2572"/>
      <c r="J771" s="2572" t="s">
        <v>588</v>
      </c>
      <c r="K771" s="2572"/>
      <c r="L771" s="2572"/>
      <c r="M771" s="2572"/>
      <c r="N771" s="2572"/>
      <c r="O771" s="2572"/>
      <c r="P771" s="2572"/>
    </row>
    <row r="772" spans="1:16" ht="27.2" customHeight="1" x14ac:dyDescent="0.25">
      <c r="A772" s="2217"/>
      <c r="B772" s="2572" t="s">
        <v>6822</v>
      </c>
      <c r="C772" s="2572"/>
      <c r="D772" s="2572"/>
      <c r="E772" s="2572"/>
      <c r="F772" s="2572" t="s">
        <v>6851</v>
      </c>
      <c r="G772" s="2572"/>
      <c r="H772" s="2572"/>
      <c r="I772" s="2572"/>
      <c r="J772" s="2572" t="s">
        <v>588</v>
      </c>
      <c r="K772" s="2572"/>
      <c r="L772" s="2572"/>
      <c r="M772" s="2572"/>
      <c r="N772" s="2572"/>
      <c r="O772" s="2572"/>
      <c r="P772" s="2572"/>
    </row>
    <row r="773" spans="1:16" ht="27.2" customHeight="1" x14ac:dyDescent="0.25">
      <c r="A773" s="2217"/>
      <c r="B773" s="2572" t="s">
        <v>6820</v>
      </c>
      <c r="C773" s="2572"/>
      <c r="D773" s="2572"/>
      <c r="E773" s="2572"/>
      <c r="F773" s="2572" t="s">
        <v>6850</v>
      </c>
      <c r="G773" s="2572"/>
      <c r="H773" s="2572"/>
      <c r="I773" s="2572"/>
      <c r="J773" s="2572" t="s">
        <v>588</v>
      </c>
      <c r="K773" s="2572"/>
      <c r="L773" s="2572"/>
      <c r="M773" s="2572"/>
      <c r="N773" s="2572"/>
      <c r="O773" s="2572"/>
      <c r="P773" s="2572"/>
    </row>
    <row r="774" spans="1:16" ht="27.2" customHeight="1" x14ac:dyDescent="0.25">
      <c r="A774" s="2217"/>
      <c r="B774" s="2572" t="s">
        <v>6818</v>
      </c>
      <c r="C774" s="2572"/>
      <c r="D774" s="2572"/>
      <c r="E774" s="2572"/>
      <c r="F774" s="2572" t="s">
        <v>6849</v>
      </c>
      <c r="G774" s="2572"/>
      <c r="H774" s="2572"/>
      <c r="I774" s="2572"/>
      <c r="J774" s="2572" t="s">
        <v>588</v>
      </c>
      <c r="K774" s="2572"/>
      <c r="L774" s="2572"/>
      <c r="M774" s="2572"/>
      <c r="N774" s="2572"/>
      <c r="O774" s="2572"/>
      <c r="P774" s="2572"/>
    </row>
    <row r="775" spans="1:16" ht="27.2" customHeight="1" x14ac:dyDescent="0.25">
      <c r="A775" s="2217"/>
      <c r="B775" s="2572" t="s">
        <v>6816</v>
      </c>
      <c r="C775" s="2572"/>
      <c r="D775" s="2572"/>
      <c r="E775" s="2572"/>
      <c r="F775" s="2572" t="s">
        <v>6848</v>
      </c>
      <c r="G775" s="2572"/>
      <c r="H775" s="2572"/>
      <c r="I775" s="2572"/>
      <c r="J775" s="2572" t="s">
        <v>588</v>
      </c>
      <c r="K775" s="2572"/>
      <c r="L775" s="2572"/>
      <c r="M775" s="2572"/>
      <c r="N775" s="2572"/>
      <c r="O775" s="2572"/>
      <c r="P775" s="2572"/>
    </row>
    <row r="776" spans="1:16" x14ac:dyDescent="0.25">
      <c r="A776" s="2217"/>
      <c r="B776" s="2572" t="s">
        <v>6225</v>
      </c>
      <c r="C776" s="2572"/>
      <c r="D776" s="2572"/>
      <c r="E776" s="2572"/>
      <c r="F776" s="2572" t="s">
        <v>6847</v>
      </c>
      <c r="G776" s="2572"/>
      <c r="H776" s="2572"/>
      <c r="I776" s="2572"/>
      <c r="J776" s="2572" t="s">
        <v>588</v>
      </c>
      <c r="K776" s="2572"/>
      <c r="L776" s="2572"/>
      <c r="M776" s="2572"/>
      <c r="N776" s="2572"/>
      <c r="O776" s="2572"/>
      <c r="P776" s="2572"/>
    </row>
    <row r="777" spans="1:16" x14ac:dyDescent="0.25">
      <c r="A777" s="2217"/>
      <c r="B777" s="2572" t="s">
        <v>6813</v>
      </c>
      <c r="C777" s="2572"/>
      <c r="D777" s="2572"/>
      <c r="E777" s="2572"/>
      <c r="F777" s="2572" t="s">
        <v>6846</v>
      </c>
      <c r="G777" s="2572"/>
      <c r="H777" s="2572"/>
      <c r="I777" s="2572"/>
      <c r="J777" s="2572" t="s">
        <v>588</v>
      </c>
      <c r="K777" s="2572"/>
      <c r="L777" s="2572"/>
      <c r="M777" s="2572"/>
      <c r="N777" s="2572"/>
      <c r="O777" s="2572"/>
      <c r="P777" s="2572"/>
    </row>
    <row r="778" spans="1:16" x14ac:dyDescent="0.25">
      <c r="A778" s="2217"/>
      <c r="B778" s="2572" t="s">
        <v>6811</v>
      </c>
      <c r="C778" s="2572"/>
      <c r="D778" s="2572"/>
      <c r="E778" s="2572"/>
      <c r="F778" s="2572" t="s">
        <v>6845</v>
      </c>
      <c r="G778" s="2572"/>
      <c r="H778" s="2572"/>
      <c r="I778" s="2572"/>
      <c r="J778" s="2572" t="s">
        <v>588</v>
      </c>
      <c r="K778" s="2572"/>
      <c r="L778" s="2572"/>
      <c r="M778" s="2572"/>
      <c r="N778" s="2572"/>
      <c r="O778" s="2572"/>
      <c r="P778" s="2572"/>
    </row>
    <row r="779" spans="1:16" x14ac:dyDescent="0.25">
      <c r="A779" s="2217"/>
      <c r="B779" s="2572" t="s">
        <v>6809</v>
      </c>
      <c r="C779" s="2572"/>
      <c r="D779" s="2572"/>
      <c r="E779" s="2572"/>
      <c r="F779" s="2572" t="s">
        <v>6844</v>
      </c>
      <c r="G779" s="2572"/>
      <c r="H779" s="2572"/>
      <c r="I779" s="2572"/>
      <c r="J779" s="2572" t="s">
        <v>588</v>
      </c>
      <c r="K779" s="2572"/>
      <c r="L779" s="2572"/>
      <c r="M779" s="2572"/>
      <c r="N779" s="2572"/>
      <c r="O779" s="2572"/>
      <c r="P779" s="2572"/>
    </row>
    <row r="780" spans="1:16" x14ac:dyDescent="0.25">
      <c r="A780" s="2217"/>
      <c r="B780" s="2572" t="s">
        <v>6807</v>
      </c>
      <c r="C780" s="2572"/>
      <c r="D780" s="2572"/>
      <c r="E780" s="2572"/>
      <c r="F780" s="2572" t="s">
        <v>6843</v>
      </c>
      <c r="G780" s="2572"/>
      <c r="H780" s="2572"/>
      <c r="I780" s="2572"/>
      <c r="J780" s="2572" t="s">
        <v>588</v>
      </c>
      <c r="K780" s="2572"/>
      <c r="L780" s="2572"/>
      <c r="M780" s="2572"/>
      <c r="N780" s="2572"/>
      <c r="O780" s="2572"/>
      <c r="P780" s="2572"/>
    </row>
    <row r="781" spans="1:16" ht="108.75" customHeight="1" x14ac:dyDescent="0.25">
      <c r="A781" s="2219" t="s">
        <v>6842</v>
      </c>
      <c r="B781" s="2573" t="s">
        <v>6841</v>
      </c>
      <c r="C781" s="2574"/>
      <c r="D781" s="2574"/>
      <c r="E781" s="2574"/>
      <c r="F781" s="2574" t="s">
        <v>6840</v>
      </c>
      <c r="G781" s="2574"/>
      <c r="H781" s="2574"/>
      <c r="I781" s="2574"/>
      <c r="J781" s="2574" t="s">
        <v>6839</v>
      </c>
      <c r="K781" s="2574"/>
      <c r="L781" s="2574"/>
      <c r="M781" s="2575">
        <f>ROUND((1020 + 15 * (0.4 * 50 + 0.6 * (50 / 2))) * 1 * 0.1 * 7.1 * 0.48 * 1.23152, 0)</f>
        <v>648</v>
      </c>
      <c r="N781" s="2574"/>
      <c r="O781" s="2574" t="s">
        <v>7350</v>
      </c>
      <c r="P781" s="2574"/>
    </row>
    <row r="782" spans="1:16" x14ac:dyDescent="0.25">
      <c r="A782" s="2218"/>
      <c r="B782" s="2571" t="s">
        <v>4168</v>
      </c>
      <c r="C782" s="2571"/>
      <c r="D782" s="2571"/>
      <c r="E782" s="2571"/>
      <c r="F782" s="2571" t="s">
        <v>588</v>
      </c>
      <c r="G782" s="2571"/>
      <c r="H782" s="2571"/>
      <c r="I782" s="2571"/>
      <c r="J782" s="2571" t="s">
        <v>588</v>
      </c>
      <c r="K782" s="2571"/>
      <c r="L782" s="2571"/>
      <c r="M782" s="2571"/>
      <c r="N782" s="2571"/>
      <c r="O782" s="2571"/>
      <c r="P782" s="2571"/>
    </row>
    <row r="783" spans="1:16" x14ac:dyDescent="0.25">
      <c r="A783" s="2217"/>
      <c r="B783" s="2572" t="s">
        <v>6142</v>
      </c>
      <c r="C783" s="2572"/>
      <c r="D783" s="2572"/>
      <c r="E783" s="2572"/>
      <c r="F783" s="2572" t="s">
        <v>6838</v>
      </c>
      <c r="G783" s="2572"/>
      <c r="H783" s="2572"/>
      <c r="I783" s="2572"/>
      <c r="J783" s="2572" t="s">
        <v>588</v>
      </c>
      <c r="K783" s="2572"/>
      <c r="L783" s="2572"/>
      <c r="M783" s="2572"/>
      <c r="N783" s="2572"/>
      <c r="O783" s="2572"/>
      <c r="P783" s="2572"/>
    </row>
    <row r="784" spans="1:16" ht="40.9" customHeight="1" x14ac:dyDescent="0.25">
      <c r="A784" s="2217"/>
      <c r="B784" s="2572" t="s">
        <v>6397</v>
      </c>
      <c r="C784" s="2572"/>
      <c r="D784" s="2572"/>
      <c r="E784" s="2572"/>
      <c r="F784" s="2572" t="s">
        <v>6398</v>
      </c>
      <c r="G784" s="2572"/>
      <c r="H784" s="2572"/>
      <c r="I784" s="2572"/>
      <c r="J784" s="2572" t="s">
        <v>588</v>
      </c>
      <c r="K784" s="2572"/>
      <c r="L784" s="2572"/>
      <c r="M784" s="2572"/>
      <c r="N784" s="2572"/>
      <c r="O784" s="2572"/>
      <c r="P784" s="2572"/>
    </row>
    <row r="785" spans="1:16" ht="95.25" customHeight="1" x14ac:dyDescent="0.25">
      <c r="A785" s="2217"/>
      <c r="B785" s="2572" t="s">
        <v>6251</v>
      </c>
      <c r="C785" s="2572"/>
      <c r="D785" s="2572"/>
      <c r="E785" s="2572"/>
      <c r="F785" s="2572" t="s">
        <v>6837</v>
      </c>
      <c r="G785" s="2572"/>
      <c r="H785" s="2572"/>
      <c r="I785" s="2572"/>
      <c r="J785" s="2572" t="s">
        <v>588</v>
      </c>
      <c r="K785" s="2572"/>
      <c r="L785" s="2572"/>
      <c r="M785" s="2572"/>
      <c r="N785" s="2572"/>
      <c r="O785" s="2572"/>
      <c r="P785" s="2572"/>
    </row>
    <row r="786" spans="1:16" ht="149.65" customHeight="1" x14ac:dyDescent="0.25">
      <c r="A786" s="2217"/>
      <c r="B786" s="2572" t="s">
        <v>6148</v>
      </c>
      <c r="C786" s="2572"/>
      <c r="D786" s="2572"/>
      <c r="E786" s="2572"/>
      <c r="F786" s="2572" t="s">
        <v>6836</v>
      </c>
      <c r="G786" s="2572"/>
      <c r="H786" s="2572"/>
      <c r="I786" s="2572"/>
      <c r="J786" s="2572" t="s">
        <v>588</v>
      </c>
      <c r="K786" s="2572"/>
      <c r="L786" s="2572"/>
      <c r="M786" s="2572"/>
      <c r="N786" s="2572"/>
      <c r="O786" s="2572"/>
      <c r="P786" s="2572"/>
    </row>
    <row r="787" spans="1:16" ht="122.45" customHeight="1" x14ac:dyDescent="0.25">
      <c r="A787" s="2218"/>
      <c r="B787" s="2571" t="s">
        <v>6150</v>
      </c>
      <c r="C787" s="2571"/>
      <c r="D787" s="2571"/>
      <c r="E787" s="2571"/>
      <c r="F787" s="2571" t="s">
        <v>588</v>
      </c>
      <c r="G787" s="2571"/>
      <c r="H787" s="2571"/>
      <c r="I787" s="2571"/>
      <c r="J787" s="2571" t="s">
        <v>6835</v>
      </c>
      <c r="K787" s="2571"/>
      <c r="L787" s="2571"/>
      <c r="M787" s="2571"/>
      <c r="N787" s="2571"/>
      <c r="O787" s="2571"/>
      <c r="P787" s="2571"/>
    </row>
    <row r="788" spans="1:16" x14ac:dyDescent="0.25">
      <c r="A788" s="2217"/>
      <c r="B788" s="2572" t="s">
        <v>6160</v>
      </c>
      <c r="C788" s="2572"/>
      <c r="D788" s="2572"/>
      <c r="E788" s="2572"/>
      <c r="F788" s="2572" t="s">
        <v>6834</v>
      </c>
      <c r="G788" s="2572"/>
      <c r="H788" s="2572"/>
      <c r="I788" s="2572"/>
      <c r="J788" s="2572" t="s">
        <v>588</v>
      </c>
      <c r="K788" s="2572"/>
      <c r="L788" s="2572"/>
      <c r="M788" s="2572"/>
      <c r="N788" s="2572"/>
      <c r="O788" s="2572"/>
      <c r="P788" s="2572"/>
    </row>
    <row r="789" spans="1:16" x14ac:dyDescent="0.25">
      <c r="A789" s="2217"/>
      <c r="B789" s="2572" t="s">
        <v>6199</v>
      </c>
      <c r="C789" s="2572"/>
      <c r="D789" s="2572"/>
      <c r="E789" s="2572"/>
      <c r="F789" s="2572" t="s">
        <v>6833</v>
      </c>
      <c r="G789" s="2572"/>
      <c r="H789" s="2572"/>
      <c r="I789" s="2572"/>
      <c r="J789" s="2572" t="s">
        <v>588</v>
      </c>
      <c r="K789" s="2572"/>
      <c r="L789" s="2572"/>
      <c r="M789" s="2572"/>
      <c r="N789" s="2572"/>
      <c r="O789" s="2572"/>
      <c r="P789" s="2572"/>
    </row>
    <row r="790" spans="1:16" x14ac:dyDescent="0.25">
      <c r="A790" s="2217"/>
      <c r="B790" s="2572" t="s">
        <v>6832</v>
      </c>
      <c r="C790" s="2572"/>
      <c r="D790" s="2572"/>
      <c r="E790" s="2572"/>
      <c r="F790" s="2572" t="s">
        <v>6831</v>
      </c>
      <c r="G790" s="2572"/>
      <c r="H790" s="2572"/>
      <c r="I790" s="2572"/>
      <c r="J790" s="2572" t="s">
        <v>588</v>
      </c>
      <c r="K790" s="2572"/>
      <c r="L790" s="2572"/>
      <c r="M790" s="2572"/>
      <c r="N790" s="2572"/>
      <c r="O790" s="2572"/>
      <c r="P790" s="2572"/>
    </row>
    <row r="791" spans="1:16" x14ac:dyDescent="0.25">
      <c r="A791" s="2217"/>
      <c r="B791" s="2572" t="s">
        <v>6830</v>
      </c>
      <c r="C791" s="2572"/>
      <c r="D791" s="2572"/>
      <c r="E791" s="2572"/>
      <c r="F791" s="2572" t="s">
        <v>6829</v>
      </c>
      <c r="G791" s="2572"/>
      <c r="H791" s="2572"/>
      <c r="I791" s="2572"/>
      <c r="J791" s="2572" t="s">
        <v>588</v>
      </c>
      <c r="K791" s="2572"/>
      <c r="L791" s="2572"/>
      <c r="M791" s="2572"/>
      <c r="N791" s="2572"/>
      <c r="O791" s="2572"/>
      <c r="P791" s="2572"/>
    </row>
    <row r="792" spans="1:16" x14ac:dyDescent="0.25">
      <c r="A792" s="2217"/>
      <c r="B792" s="2572" t="s">
        <v>6828</v>
      </c>
      <c r="C792" s="2572"/>
      <c r="D792" s="2572"/>
      <c r="E792" s="2572"/>
      <c r="F792" s="2572" t="s">
        <v>6827</v>
      </c>
      <c r="G792" s="2572"/>
      <c r="H792" s="2572"/>
      <c r="I792" s="2572"/>
      <c r="J792" s="2572" t="s">
        <v>588</v>
      </c>
      <c r="K792" s="2572"/>
      <c r="L792" s="2572"/>
      <c r="M792" s="2572"/>
      <c r="N792" s="2572"/>
      <c r="O792" s="2572"/>
      <c r="P792" s="2572"/>
    </row>
    <row r="793" spans="1:16" ht="27.2" customHeight="1" x14ac:dyDescent="0.25">
      <c r="A793" s="2217"/>
      <c r="B793" s="2572" t="s">
        <v>6826</v>
      </c>
      <c r="C793" s="2572"/>
      <c r="D793" s="2572"/>
      <c r="E793" s="2572"/>
      <c r="F793" s="2572" t="s">
        <v>6825</v>
      </c>
      <c r="G793" s="2572"/>
      <c r="H793" s="2572"/>
      <c r="I793" s="2572"/>
      <c r="J793" s="2572" t="s">
        <v>588</v>
      </c>
      <c r="K793" s="2572"/>
      <c r="L793" s="2572"/>
      <c r="M793" s="2572"/>
      <c r="N793" s="2572"/>
      <c r="O793" s="2572"/>
      <c r="P793" s="2572"/>
    </row>
    <row r="794" spans="1:16" x14ac:dyDescent="0.25">
      <c r="A794" s="2217"/>
      <c r="B794" s="2572" t="s">
        <v>6824</v>
      </c>
      <c r="C794" s="2572"/>
      <c r="D794" s="2572"/>
      <c r="E794" s="2572"/>
      <c r="F794" s="2572" t="s">
        <v>6819</v>
      </c>
      <c r="G794" s="2572"/>
      <c r="H794" s="2572"/>
      <c r="I794" s="2572"/>
      <c r="J794" s="2572" t="s">
        <v>588</v>
      </c>
      <c r="K794" s="2572"/>
      <c r="L794" s="2572"/>
      <c r="M794" s="2572"/>
      <c r="N794" s="2572"/>
      <c r="O794" s="2572"/>
      <c r="P794" s="2572"/>
    </row>
    <row r="795" spans="1:16" x14ac:dyDescent="0.25">
      <c r="A795" s="2217"/>
      <c r="B795" s="2572" t="s">
        <v>6823</v>
      </c>
      <c r="C795" s="2572"/>
      <c r="D795" s="2572"/>
      <c r="E795" s="2572"/>
      <c r="F795" s="2572" t="s">
        <v>6819</v>
      </c>
      <c r="G795" s="2572"/>
      <c r="H795" s="2572"/>
      <c r="I795" s="2572"/>
      <c r="J795" s="2572" t="s">
        <v>588</v>
      </c>
      <c r="K795" s="2572"/>
      <c r="L795" s="2572"/>
      <c r="M795" s="2572"/>
      <c r="N795" s="2572"/>
      <c r="O795" s="2572"/>
      <c r="P795" s="2572"/>
    </row>
    <row r="796" spans="1:16" x14ac:dyDescent="0.25">
      <c r="A796" s="2217"/>
      <c r="B796" s="2572" t="s">
        <v>6822</v>
      </c>
      <c r="C796" s="2572"/>
      <c r="D796" s="2572"/>
      <c r="E796" s="2572"/>
      <c r="F796" s="2572" t="s">
        <v>6821</v>
      </c>
      <c r="G796" s="2572"/>
      <c r="H796" s="2572"/>
      <c r="I796" s="2572"/>
      <c r="J796" s="2572" t="s">
        <v>588</v>
      </c>
      <c r="K796" s="2572"/>
      <c r="L796" s="2572"/>
      <c r="M796" s="2572"/>
      <c r="N796" s="2572"/>
      <c r="O796" s="2572"/>
      <c r="P796" s="2572"/>
    </row>
    <row r="797" spans="1:16" x14ac:dyDescent="0.25">
      <c r="A797" s="2217"/>
      <c r="B797" s="2572" t="s">
        <v>6820</v>
      </c>
      <c r="C797" s="2572"/>
      <c r="D797" s="2572"/>
      <c r="E797" s="2572"/>
      <c r="F797" s="2572" t="s">
        <v>6819</v>
      </c>
      <c r="G797" s="2572"/>
      <c r="H797" s="2572"/>
      <c r="I797" s="2572"/>
      <c r="J797" s="2572" t="s">
        <v>588</v>
      </c>
      <c r="K797" s="2572"/>
      <c r="L797" s="2572"/>
      <c r="M797" s="2572"/>
      <c r="N797" s="2572"/>
      <c r="O797" s="2572"/>
      <c r="P797" s="2572"/>
    </row>
    <row r="798" spans="1:16" x14ac:dyDescent="0.25">
      <c r="A798" s="2217"/>
      <c r="B798" s="2572" t="s">
        <v>6818</v>
      </c>
      <c r="C798" s="2572"/>
      <c r="D798" s="2572"/>
      <c r="E798" s="2572"/>
      <c r="F798" s="2572" t="s">
        <v>6817</v>
      </c>
      <c r="G798" s="2572"/>
      <c r="H798" s="2572"/>
      <c r="I798" s="2572"/>
      <c r="J798" s="2572" t="s">
        <v>588</v>
      </c>
      <c r="K798" s="2572"/>
      <c r="L798" s="2572"/>
      <c r="M798" s="2572"/>
      <c r="N798" s="2572"/>
      <c r="O798" s="2572"/>
      <c r="P798" s="2572"/>
    </row>
    <row r="799" spans="1:16" ht="27.2" customHeight="1" x14ac:dyDescent="0.25">
      <c r="A799" s="2217"/>
      <c r="B799" s="2572" t="s">
        <v>6816</v>
      </c>
      <c r="C799" s="2572"/>
      <c r="D799" s="2572"/>
      <c r="E799" s="2572"/>
      <c r="F799" s="2572" t="s">
        <v>6815</v>
      </c>
      <c r="G799" s="2572"/>
      <c r="H799" s="2572"/>
      <c r="I799" s="2572"/>
      <c r="J799" s="2572" t="s">
        <v>588</v>
      </c>
      <c r="K799" s="2572"/>
      <c r="L799" s="2572"/>
      <c r="M799" s="2572"/>
      <c r="N799" s="2572"/>
      <c r="O799" s="2572"/>
      <c r="P799" s="2572"/>
    </row>
    <row r="800" spans="1:16" x14ac:dyDescent="0.25">
      <c r="A800" s="2217"/>
      <c r="B800" s="2572" t="s">
        <v>6225</v>
      </c>
      <c r="C800" s="2572"/>
      <c r="D800" s="2572"/>
      <c r="E800" s="2572"/>
      <c r="F800" s="2572" t="s">
        <v>6814</v>
      </c>
      <c r="G800" s="2572"/>
      <c r="H800" s="2572"/>
      <c r="I800" s="2572"/>
      <c r="J800" s="2572" t="s">
        <v>588</v>
      </c>
      <c r="K800" s="2572"/>
      <c r="L800" s="2572"/>
      <c r="M800" s="2572"/>
      <c r="N800" s="2572"/>
      <c r="O800" s="2572"/>
      <c r="P800" s="2572"/>
    </row>
    <row r="801" spans="1:16" x14ac:dyDescent="0.25">
      <c r="A801" s="2217"/>
      <c r="B801" s="2572" t="s">
        <v>6813</v>
      </c>
      <c r="C801" s="2572"/>
      <c r="D801" s="2572"/>
      <c r="E801" s="2572"/>
      <c r="F801" s="2572" t="s">
        <v>6812</v>
      </c>
      <c r="G801" s="2572"/>
      <c r="H801" s="2572"/>
      <c r="I801" s="2572"/>
      <c r="J801" s="2572" t="s">
        <v>588</v>
      </c>
      <c r="K801" s="2572"/>
      <c r="L801" s="2572"/>
      <c r="M801" s="2572"/>
      <c r="N801" s="2572"/>
      <c r="O801" s="2572"/>
      <c r="P801" s="2572"/>
    </row>
    <row r="802" spans="1:16" x14ac:dyDescent="0.25">
      <c r="A802" s="2217"/>
      <c r="B802" s="2572" t="s">
        <v>6811</v>
      </c>
      <c r="C802" s="2572"/>
      <c r="D802" s="2572"/>
      <c r="E802" s="2572"/>
      <c r="F802" s="2572" t="s">
        <v>6810</v>
      </c>
      <c r="G802" s="2572"/>
      <c r="H802" s="2572"/>
      <c r="I802" s="2572"/>
      <c r="J802" s="2572" t="s">
        <v>588</v>
      </c>
      <c r="K802" s="2572"/>
      <c r="L802" s="2572"/>
      <c r="M802" s="2572"/>
      <c r="N802" s="2572"/>
      <c r="O802" s="2572"/>
      <c r="P802" s="2572"/>
    </row>
    <row r="803" spans="1:16" x14ac:dyDescent="0.25">
      <c r="A803" s="2217"/>
      <c r="B803" s="2572" t="s">
        <v>6809</v>
      </c>
      <c r="C803" s="2572"/>
      <c r="D803" s="2572"/>
      <c r="E803" s="2572"/>
      <c r="F803" s="2572" t="s">
        <v>6808</v>
      </c>
      <c r="G803" s="2572"/>
      <c r="H803" s="2572"/>
      <c r="I803" s="2572"/>
      <c r="J803" s="2572" t="s">
        <v>588</v>
      </c>
      <c r="K803" s="2572"/>
      <c r="L803" s="2572"/>
      <c r="M803" s="2572"/>
      <c r="N803" s="2572"/>
      <c r="O803" s="2572"/>
      <c r="P803" s="2572"/>
    </row>
    <row r="804" spans="1:16" x14ac:dyDescent="0.25">
      <c r="A804" s="2217"/>
      <c r="B804" s="2572" t="s">
        <v>6807</v>
      </c>
      <c r="C804" s="2572"/>
      <c r="D804" s="2572"/>
      <c r="E804" s="2572"/>
      <c r="F804" s="2572" t="s">
        <v>6806</v>
      </c>
      <c r="G804" s="2572"/>
      <c r="H804" s="2572"/>
      <c r="I804" s="2572"/>
      <c r="J804" s="2572" t="s">
        <v>588</v>
      </c>
      <c r="K804" s="2572"/>
      <c r="L804" s="2572"/>
      <c r="M804" s="2572"/>
      <c r="N804" s="2572"/>
      <c r="O804" s="2572"/>
      <c r="P804" s="2572"/>
    </row>
    <row r="805" spans="1:16" ht="149.65" customHeight="1" x14ac:dyDescent="0.25">
      <c r="A805" s="2219" t="s">
        <v>6805</v>
      </c>
      <c r="B805" s="2573" t="s">
        <v>6804</v>
      </c>
      <c r="C805" s="2574"/>
      <c r="D805" s="2574"/>
      <c r="E805" s="2574"/>
      <c r="F805" s="2574" t="s">
        <v>6803</v>
      </c>
      <c r="G805" s="2574"/>
      <c r="H805" s="2574"/>
      <c r="I805" s="2574"/>
      <c r="J805" s="2574" t="s">
        <v>6802</v>
      </c>
      <c r="K805" s="2574"/>
      <c r="L805" s="2574"/>
      <c r="M805" s="2575">
        <f>ROUND((20500 + 3650 * 36) * 1 * 1.53 * 0.4 * 1.3, 0)</f>
        <v>120852</v>
      </c>
      <c r="N805" s="2574"/>
      <c r="O805" s="2574" t="s">
        <v>588</v>
      </c>
      <c r="P805" s="2574"/>
    </row>
    <row r="806" spans="1:16" x14ac:dyDescent="0.25">
      <c r="A806" s="2218"/>
      <c r="B806" s="2571" t="s">
        <v>4168</v>
      </c>
      <c r="C806" s="2571"/>
      <c r="D806" s="2571"/>
      <c r="E806" s="2571"/>
      <c r="F806" s="2571" t="s">
        <v>588</v>
      </c>
      <c r="G806" s="2571"/>
      <c r="H806" s="2571"/>
      <c r="I806" s="2571"/>
      <c r="J806" s="2571" t="s">
        <v>588</v>
      </c>
      <c r="K806" s="2571"/>
      <c r="L806" s="2571"/>
      <c r="M806" s="2571"/>
      <c r="N806" s="2571"/>
      <c r="O806" s="2571"/>
      <c r="P806" s="2571"/>
    </row>
    <row r="807" spans="1:16" x14ac:dyDescent="0.25">
      <c r="A807" s="2217"/>
      <c r="B807" s="2572" t="s">
        <v>6142</v>
      </c>
      <c r="C807" s="2572"/>
      <c r="D807" s="2572"/>
      <c r="E807" s="2572"/>
      <c r="F807" s="2572" t="s">
        <v>6156</v>
      </c>
      <c r="G807" s="2572"/>
      <c r="H807" s="2572"/>
      <c r="I807" s="2572"/>
      <c r="J807" s="2572" t="s">
        <v>588</v>
      </c>
      <c r="K807" s="2572"/>
      <c r="L807" s="2572"/>
      <c r="M807" s="2572"/>
      <c r="N807" s="2572"/>
      <c r="O807" s="2572"/>
      <c r="P807" s="2572"/>
    </row>
    <row r="808" spans="1:16" ht="40.9" customHeight="1" x14ac:dyDescent="0.25">
      <c r="A808" s="2217"/>
      <c r="B808" s="2572" t="s">
        <v>6401</v>
      </c>
      <c r="C808" s="2572"/>
      <c r="D808" s="2572"/>
      <c r="E808" s="2572"/>
      <c r="F808" s="2572" t="s">
        <v>6402</v>
      </c>
      <c r="G808" s="2572"/>
      <c r="H808" s="2572"/>
      <c r="I808" s="2572"/>
      <c r="J808" s="2572" t="s">
        <v>588</v>
      </c>
      <c r="K808" s="2572"/>
      <c r="L808" s="2572"/>
      <c r="M808" s="2572"/>
      <c r="N808" s="2572"/>
      <c r="O808" s="2572"/>
      <c r="P808" s="2572"/>
    </row>
    <row r="809" spans="1:16" ht="149.65" customHeight="1" x14ac:dyDescent="0.25">
      <c r="A809" s="2217"/>
      <c r="B809" s="2572" t="s">
        <v>6148</v>
      </c>
      <c r="C809" s="2572"/>
      <c r="D809" s="2572"/>
      <c r="E809" s="2572"/>
      <c r="F809" s="2572" t="s">
        <v>6149</v>
      </c>
      <c r="G809" s="2572"/>
      <c r="H809" s="2572"/>
      <c r="I809" s="2572"/>
      <c r="J809" s="2572" t="s">
        <v>588</v>
      </c>
      <c r="K809" s="2572"/>
      <c r="L809" s="2572"/>
      <c r="M809" s="2572"/>
      <c r="N809" s="2572"/>
      <c r="O809" s="2572"/>
      <c r="P809" s="2572"/>
    </row>
    <row r="810" spans="1:16" x14ac:dyDescent="0.25">
      <c r="A810" s="2218"/>
      <c r="B810" s="2571" t="s">
        <v>6150</v>
      </c>
      <c r="C810" s="2571"/>
      <c r="D810" s="2571"/>
      <c r="E810" s="2571"/>
      <c r="F810" s="2571" t="s">
        <v>588</v>
      </c>
      <c r="G810" s="2571"/>
      <c r="H810" s="2571"/>
      <c r="I810" s="2571"/>
      <c r="J810" s="2571" t="s">
        <v>6243</v>
      </c>
      <c r="K810" s="2571"/>
      <c r="L810" s="2571"/>
      <c r="M810" s="2571"/>
      <c r="N810" s="2571"/>
      <c r="O810" s="2571"/>
      <c r="P810" s="2571"/>
    </row>
    <row r="811" spans="1:16" x14ac:dyDescent="0.25">
      <c r="A811" s="2217"/>
      <c r="B811" s="2572" t="s">
        <v>6244</v>
      </c>
      <c r="C811" s="2572"/>
      <c r="D811" s="2572"/>
      <c r="E811" s="2572"/>
      <c r="F811" s="2572" t="s">
        <v>6801</v>
      </c>
      <c r="G811" s="2572"/>
      <c r="H811" s="2572"/>
      <c r="I811" s="2572"/>
      <c r="J811" s="2572" t="s">
        <v>588</v>
      </c>
      <c r="K811" s="2572"/>
      <c r="L811" s="2572"/>
      <c r="M811" s="2572"/>
      <c r="N811" s="2572"/>
      <c r="O811" s="2572"/>
      <c r="P811" s="2572"/>
    </row>
    <row r="812" spans="1:16" ht="27.2" customHeight="1" x14ac:dyDescent="0.25">
      <c r="A812" s="2216" t="s">
        <v>6800</v>
      </c>
      <c r="B812" s="2568" t="s">
        <v>6799</v>
      </c>
      <c r="C812" s="2568"/>
      <c r="D812" s="2568"/>
      <c r="E812" s="2568"/>
      <c r="F812" s="2568"/>
      <c r="G812" s="2568"/>
      <c r="H812" s="2568"/>
      <c r="I812" s="2568"/>
      <c r="J812" s="2568" t="s">
        <v>588</v>
      </c>
      <c r="K812" s="2568"/>
      <c r="L812" s="2568"/>
      <c r="M812" s="2569">
        <f>ROUND(SUM($M$686:$M$805),0)</f>
        <v>2421051</v>
      </c>
      <c r="N812" s="2568"/>
      <c r="O812" s="2568"/>
      <c r="P812" s="2568"/>
    </row>
    <row r="813" spans="1:16" ht="27.2" customHeight="1" x14ac:dyDescent="0.25">
      <c r="A813" s="2216" t="s">
        <v>6798</v>
      </c>
      <c r="B813" s="2568" t="s">
        <v>6797</v>
      </c>
      <c r="C813" s="2568"/>
      <c r="D813" s="2568"/>
      <c r="E813" s="2568"/>
      <c r="F813" s="2568"/>
      <c r="G813" s="2568"/>
      <c r="H813" s="2568"/>
      <c r="I813" s="2568"/>
      <c r="J813" s="2568" t="s">
        <v>588</v>
      </c>
      <c r="K813" s="2568"/>
      <c r="L813" s="2568"/>
      <c r="M813" s="2569">
        <f>ROUND(($M$812),0)</f>
        <v>2421051</v>
      </c>
      <c r="N813" s="2568"/>
      <c r="O813" s="2568"/>
      <c r="P813" s="2568"/>
    </row>
    <row r="814" spans="1:16" x14ac:dyDescent="0.25">
      <c r="A814" s="2216" t="s">
        <v>653</v>
      </c>
      <c r="B814" s="2568" t="s">
        <v>4218</v>
      </c>
      <c r="C814" s="2568"/>
      <c r="D814" s="2568"/>
      <c r="E814" s="2568"/>
      <c r="F814" s="2568"/>
      <c r="G814" s="2568"/>
      <c r="H814" s="2568"/>
      <c r="I814" s="2568"/>
      <c r="J814" s="2568" t="s">
        <v>588</v>
      </c>
      <c r="K814" s="2568"/>
      <c r="L814" s="2568"/>
      <c r="M814" s="2569">
        <f>ROUND($M$131+$M$174+$M$228+$M$297+$M$338+$M$434+$M$539+$M$572+$M$684+$M$813,0)</f>
        <v>12698885</v>
      </c>
      <c r="N814" s="2568"/>
      <c r="O814" s="2568"/>
      <c r="P814" s="2568"/>
    </row>
    <row r="815" spans="1:16" x14ac:dyDescent="0.25">
      <c r="A815" s="2216" t="s">
        <v>654</v>
      </c>
      <c r="B815" s="2568" t="s">
        <v>6295</v>
      </c>
      <c r="C815" s="2568"/>
      <c r="D815" s="2568"/>
      <c r="E815" s="2568"/>
      <c r="F815" s="2568"/>
      <c r="G815" s="2568"/>
      <c r="H815" s="2568"/>
      <c r="I815" s="2568"/>
      <c r="J815" s="2568" t="s">
        <v>588</v>
      </c>
      <c r="K815" s="2568"/>
      <c r="L815" s="2568"/>
      <c r="M815" s="2559">
        <f>ROUND(($M$814),0)</f>
        <v>12698885</v>
      </c>
      <c r="N815" s="2441"/>
      <c r="O815" s="2568"/>
      <c r="P815" s="2568"/>
    </row>
    <row r="816" spans="1:16" ht="40.9" customHeight="1" x14ac:dyDescent="0.25">
      <c r="A816" s="2216" t="s">
        <v>655</v>
      </c>
      <c r="B816" s="2563" t="s">
        <v>6296</v>
      </c>
      <c r="C816" s="2563"/>
      <c r="D816" s="2563"/>
      <c r="E816" s="2563"/>
      <c r="F816" s="2563" t="s">
        <v>6367</v>
      </c>
      <c r="G816" s="2563"/>
      <c r="H816" s="2563"/>
      <c r="I816" s="2563"/>
      <c r="J816" s="2563" t="s">
        <v>9120</v>
      </c>
      <c r="K816" s="2563"/>
      <c r="L816" s="2563"/>
      <c r="M816" s="2564">
        <f>ROUND((($M$815) / 7.1),0)</f>
        <v>1788575</v>
      </c>
      <c r="N816" s="2563"/>
      <c r="O816" s="2563" t="s">
        <v>588</v>
      </c>
      <c r="P816" s="2563"/>
    </row>
    <row r="818" spans="1:16" ht="30" customHeight="1" x14ac:dyDescent="0.25">
      <c r="A818" s="2565" t="s">
        <v>6297</v>
      </c>
      <c r="B818" s="2565"/>
      <c r="C818" s="2565"/>
      <c r="D818" s="2565"/>
      <c r="E818" s="2565"/>
      <c r="F818" s="2565" t="str">
        <f>[33]!СуммаПрописью($M$815)</f>
        <v>Двенадцать миллионов шестьсот девяносто восемь тысяч восемьсот восемьдесят пять рублей 00 копеек</v>
      </c>
      <c r="G818" s="2566"/>
      <c r="H818" s="2566"/>
      <c r="I818" s="2566"/>
      <c r="J818" s="2566"/>
      <c r="K818" s="2566"/>
      <c r="L818" s="2566"/>
      <c r="M818" s="2566"/>
      <c r="N818" s="2566"/>
      <c r="O818" s="2566"/>
      <c r="P818" s="2566"/>
    </row>
    <row r="820" spans="1:16" x14ac:dyDescent="0.25">
      <c r="A820" s="2565" t="s">
        <v>6298</v>
      </c>
      <c r="B820" s="2565"/>
      <c r="C820" s="2565"/>
      <c r="D820" s="2565"/>
      <c r="E820" s="2565"/>
      <c r="F820" s="2567"/>
      <c r="G820" s="2567"/>
      <c r="H820" s="2567"/>
      <c r="I820" s="2567"/>
      <c r="J820" s="2567"/>
      <c r="K820" s="2567"/>
      <c r="L820" s="2567"/>
      <c r="M820" s="2567"/>
      <c r="N820" s="2567"/>
      <c r="O820" s="2567"/>
      <c r="P820" s="2567"/>
    </row>
    <row r="821" spans="1:16" x14ac:dyDescent="0.25">
      <c r="F821" s="2570" t="s">
        <v>6299</v>
      </c>
      <c r="G821" s="2570"/>
      <c r="H821" s="2570"/>
      <c r="I821" s="2570"/>
      <c r="J821" s="2570"/>
      <c r="K821" s="2570"/>
      <c r="L821" s="2570"/>
      <c r="M821" s="2570"/>
      <c r="N821" s="2570"/>
      <c r="O821" s="2570"/>
      <c r="P821" s="2570"/>
    </row>
    <row r="823" spans="1:16" x14ac:dyDescent="0.25">
      <c r="A823" s="2565" t="s">
        <v>6300</v>
      </c>
      <c r="B823" s="2565"/>
      <c r="C823" s="2565"/>
      <c r="D823" s="2565"/>
      <c r="E823" s="2565"/>
      <c r="F823" s="2567"/>
      <c r="G823" s="2567"/>
      <c r="H823" s="2567"/>
      <c r="I823" s="2567"/>
      <c r="J823" s="2567"/>
      <c r="K823" s="2567"/>
      <c r="L823" s="2567"/>
      <c r="M823" s="2567"/>
      <c r="N823" s="2567"/>
      <c r="O823" s="2567"/>
      <c r="P823" s="2567"/>
    </row>
    <row r="824" spans="1:16" x14ac:dyDescent="0.25">
      <c r="F824" s="2570" t="s">
        <v>6299</v>
      </c>
      <c r="G824" s="2570"/>
      <c r="H824" s="2570"/>
      <c r="I824" s="2570"/>
      <c r="J824" s="2570"/>
      <c r="K824" s="2570"/>
      <c r="L824" s="2570"/>
      <c r="M824" s="2570"/>
      <c r="N824" s="2570"/>
      <c r="O824" s="2570"/>
      <c r="P824" s="2570"/>
    </row>
    <row r="826" spans="1:16" x14ac:dyDescent="0.25">
      <c r="A826" s="2565" t="s">
        <v>6301</v>
      </c>
      <c r="B826" s="2565"/>
      <c r="C826" s="2565"/>
      <c r="D826" s="2565"/>
      <c r="E826" s="2565"/>
      <c r="F826" s="2567"/>
      <c r="G826" s="2567"/>
      <c r="H826" s="2567"/>
      <c r="I826" s="2567"/>
      <c r="J826" s="2215" t="s">
        <v>6302</v>
      </c>
      <c r="K826" s="2567"/>
      <c r="L826" s="2567"/>
      <c r="M826" s="2567"/>
      <c r="N826" s="2567"/>
      <c r="O826" s="2567"/>
      <c r="P826" s="2567"/>
    </row>
    <row r="827" spans="1:16" x14ac:dyDescent="0.25">
      <c r="F827" s="2570" t="s">
        <v>6464</v>
      </c>
      <c r="G827" s="2570"/>
      <c r="H827" s="2570"/>
      <c r="I827" s="2570"/>
      <c r="K827" s="2570" t="s">
        <v>6299</v>
      </c>
      <c r="L827" s="2570"/>
      <c r="M827" s="2570"/>
      <c r="N827" s="2570"/>
      <c r="O827" s="2570"/>
      <c r="P827" s="2570"/>
    </row>
    <row r="829" spans="1:16" x14ac:dyDescent="0.25">
      <c r="A829" s="2565" t="s">
        <v>668</v>
      </c>
      <c r="B829" s="2565"/>
      <c r="C829" s="2565"/>
      <c r="D829" s="2565"/>
      <c r="E829" s="2565"/>
      <c r="F829" s="2567"/>
      <c r="G829" s="2567"/>
      <c r="H829" s="2567"/>
      <c r="I829" s="2567"/>
      <c r="J829" s="2567"/>
      <c r="K829" s="2567"/>
      <c r="L829" s="2567"/>
      <c r="M829" s="2567"/>
      <c r="N829" s="2567"/>
      <c r="O829" s="2567"/>
      <c r="P829" s="2567"/>
    </row>
    <row r="830" spans="1:16" x14ac:dyDescent="0.25">
      <c r="F830" s="2570" t="s">
        <v>6299</v>
      </c>
      <c r="G830" s="2570"/>
      <c r="H830" s="2570"/>
      <c r="I830" s="2570"/>
      <c r="J830" s="2570"/>
      <c r="K830" s="2570"/>
      <c r="L830" s="2570"/>
      <c r="M830" s="2570"/>
      <c r="N830" s="2570"/>
      <c r="O830" s="2570"/>
      <c r="P830" s="2570"/>
    </row>
  </sheetData>
  <mergeCells count="4030">
    <mergeCell ref="A1:D1"/>
    <mergeCell ref="E1:P1"/>
    <mergeCell ref="A3:P3"/>
    <mergeCell ref="A4:P4"/>
    <mergeCell ref="A6:E6"/>
    <mergeCell ref="B20:E20"/>
    <mergeCell ref="F20:I20"/>
    <mergeCell ref="J20:L20"/>
    <mergeCell ref="M20:N20"/>
    <mergeCell ref="O20:P20"/>
    <mergeCell ref="B21:E21"/>
    <mergeCell ref="F21:I21"/>
    <mergeCell ref="J21:L21"/>
    <mergeCell ref="M21:N21"/>
    <mergeCell ref="O21:P21"/>
    <mergeCell ref="M18:N18"/>
    <mergeCell ref="O17:P17"/>
    <mergeCell ref="O18:P18"/>
    <mergeCell ref="A13:E13"/>
    <mergeCell ref="F13:P13"/>
    <mergeCell ref="A15:P15"/>
    <mergeCell ref="B17:E17"/>
    <mergeCell ref="B18:E18"/>
    <mergeCell ref="F17:I17"/>
    <mergeCell ref="F18:I18"/>
    <mergeCell ref="J17:L17"/>
    <mergeCell ref="J18:L18"/>
    <mergeCell ref="M17:N17"/>
    <mergeCell ref="F6:P6"/>
    <mergeCell ref="F8:P8"/>
    <mergeCell ref="F9:P9"/>
    <mergeCell ref="A8:E9"/>
    <mergeCell ref="B19:E19"/>
    <mergeCell ref="F19:I19"/>
    <mergeCell ref="J19:L19"/>
    <mergeCell ref="M19:N19"/>
    <mergeCell ref="O19:P19"/>
    <mergeCell ref="B24:E24"/>
    <mergeCell ref="F24:I24"/>
    <mergeCell ref="J24:L24"/>
    <mergeCell ref="M24:N24"/>
    <mergeCell ref="O24:P24"/>
    <mergeCell ref="B25:E25"/>
    <mergeCell ref="F25:I25"/>
    <mergeCell ref="J25:L25"/>
    <mergeCell ref="M25:N25"/>
    <mergeCell ref="O25:P25"/>
    <mergeCell ref="B22:E22"/>
    <mergeCell ref="F22:I22"/>
    <mergeCell ref="J22:L22"/>
    <mergeCell ref="M22:N22"/>
    <mergeCell ref="O22:P22"/>
    <mergeCell ref="B23:E23"/>
    <mergeCell ref="F23:I23"/>
    <mergeCell ref="J23:L23"/>
    <mergeCell ref="M23:N23"/>
    <mergeCell ref="O23:P23"/>
    <mergeCell ref="A11:E11"/>
    <mergeCell ref="F11:P11"/>
    <mergeCell ref="B28:E28"/>
    <mergeCell ref="F28:I28"/>
    <mergeCell ref="J28:L28"/>
    <mergeCell ref="M28:N28"/>
    <mergeCell ref="O28:P28"/>
    <mergeCell ref="B29:E29"/>
    <mergeCell ref="F29:I29"/>
    <mergeCell ref="J29:L29"/>
    <mergeCell ref="M29:N29"/>
    <mergeCell ref="O29:P29"/>
    <mergeCell ref="B26:E26"/>
    <mergeCell ref="F26:I26"/>
    <mergeCell ref="J26:L26"/>
    <mergeCell ref="M26:N26"/>
    <mergeCell ref="O26:P26"/>
    <mergeCell ref="B27:E27"/>
    <mergeCell ref="F27:I27"/>
    <mergeCell ref="J27:L27"/>
    <mergeCell ref="M27:N27"/>
    <mergeCell ref="O27:P27"/>
    <mergeCell ref="B32:E32"/>
    <mergeCell ref="F32:I32"/>
    <mergeCell ref="J32:L32"/>
    <mergeCell ref="M32:N32"/>
    <mergeCell ref="O32:P32"/>
    <mergeCell ref="B33:E33"/>
    <mergeCell ref="F33:I33"/>
    <mergeCell ref="J33:L33"/>
    <mergeCell ref="M33:N33"/>
    <mergeCell ref="O33:P33"/>
    <mergeCell ref="B30:E30"/>
    <mergeCell ref="F30:I30"/>
    <mergeCell ref="J30:L30"/>
    <mergeCell ref="M30:N30"/>
    <mergeCell ref="O30:P30"/>
    <mergeCell ref="B31:E31"/>
    <mergeCell ref="F31:I31"/>
    <mergeCell ref="J31:L31"/>
    <mergeCell ref="M31:N31"/>
    <mergeCell ref="O31:P31"/>
    <mergeCell ref="B36:E36"/>
    <mergeCell ref="F36:I36"/>
    <mergeCell ref="J36:L36"/>
    <mergeCell ref="M36:N36"/>
    <mergeCell ref="O36:P36"/>
    <mergeCell ref="B37:E37"/>
    <mergeCell ref="F37:I37"/>
    <mergeCell ref="J37:L37"/>
    <mergeCell ref="M37:N37"/>
    <mergeCell ref="O37:P37"/>
    <mergeCell ref="B34:E34"/>
    <mergeCell ref="F34:I34"/>
    <mergeCell ref="J34:L34"/>
    <mergeCell ref="M34:N34"/>
    <mergeCell ref="O34:P34"/>
    <mergeCell ref="B35:E35"/>
    <mergeCell ref="F35:I35"/>
    <mergeCell ref="J35:L35"/>
    <mergeCell ref="M35:N35"/>
    <mergeCell ref="O35:P35"/>
    <mergeCell ref="B40:E40"/>
    <mergeCell ref="F40:I40"/>
    <mergeCell ref="J40:L40"/>
    <mergeCell ref="M40:N40"/>
    <mergeCell ref="O40:P40"/>
    <mergeCell ref="B41:E41"/>
    <mergeCell ref="F41:I41"/>
    <mergeCell ref="J41:L41"/>
    <mergeCell ref="M41:N41"/>
    <mergeCell ref="O41:P41"/>
    <mergeCell ref="B38:E38"/>
    <mergeCell ref="F38:I38"/>
    <mergeCell ref="J38:L38"/>
    <mergeCell ref="M38:N38"/>
    <mergeCell ref="O38:P38"/>
    <mergeCell ref="B39:E39"/>
    <mergeCell ref="F39:I39"/>
    <mergeCell ref="J39:L39"/>
    <mergeCell ref="M39:N39"/>
    <mergeCell ref="O39:P39"/>
    <mergeCell ref="B44:E44"/>
    <mergeCell ref="F44:I44"/>
    <mergeCell ref="J44:L44"/>
    <mergeCell ref="M44:N44"/>
    <mergeCell ref="O44:P44"/>
    <mergeCell ref="B45:E45"/>
    <mergeCell ref="F45:I45"/>
    <mergeCell ref="J45:L45"/>
    <mergeCell ref="M45:N45"/>
    <mergeCell ref="O45:P45"/>
    <mergeCell ref="B42:E42"/>
    <mergeCell ref="F42:I42"/>
    <mergeCell ref="J42:L42"/>
    <mergeCell ref="M42:N42"/>
    <mergeCell ref="O42:P42"/>
    <mergeCell ref="B43:E43"/>
    <mergeCell ref="F43:I43"/>
    <mergeCell ref="J43:L43"/>
    <mergeCell ref="M43:N43"/>
    <mergeCell ref="O43:P43"/>
    <mergeCell ref="B48:E48"/>
    <mergeCell ref="F48:I48"/>
    <mergeCell ref="J48:L48"/>
    <mergeCell ref="M48:N48"/>
    <mergeCell ref="O48:P48"/>
    <mergeCell ref="B49:E49"/>
    <mergeCell ref="F49:I49"/>
    <mergeCell ref="J49:L49"/>
    <mergeCell ref="M49:N49"/>
    <mergeCell ref="O49:P49"/>
    <mergeCell ref="B46:E46"/>
    <mergeCell ref="F46:I46"/>
    <mergeCell ref="J46:L46"/>
    <mergeCell ref="M46:N46"/>
    <mergeCell ref="O46:P46"/>
    <mergeCell ref="B47:E47"/>
    <mergeCell ref="F47:I47"/>
    <mergeCell ref="J47:L47"/>
    <mergeCell ref="M47:N47"/>
    <mergeCell ref="O47:P47"/>
    <mergeCell ref="B52:E52"/>
    <mergeCell ref="F52:I52"/>
    <mergeCell ref="J52:L52"/>
    <mergeCell ref="M52:N52"/>
    <mergeCell ref="O52:P52"/>
    <mergeCell ref="B53:E53"/>
    <mergeCell ref="F53:I53"/>
    <mergeCell ref="J53:L53"/>
    <mergeCell ref="M53:N53"/>
    <mergeCell ref="O53:P53"/>
    <mergeCell ref="B50:E50"/>
    <mergeCell ref="F50:I50"/>
    <mergeCell ref="J50:L50"/>
    <mergeCell ref="M50:N50"/>
    <mergeCell ref="O50:P50"/>
    <mergeCell ref="B51:E51"/>
    <mergeCell ref="F51:I51"/>
    <mergeCell ref="J51:L51"/>
    <mergeCell ref="M51:N51"/>
    <mergeCell ref="O51:P51"/>
    <mergeCell ref="B56:E56"/>
    <mergeCell ref="F56:I56"/>
    <mergeCell ref="J56:L56"/>
    <mergeCell ref="M56:N56"/>
    <mergeCell ref="O56:P56"/>
    <mergeCell ref="B57:E57"/>
    <mergeCell ref="F57:I57"/>
    <mergeCell ref="J57:L57"/>
    <mergeCell ref="M57:N57"/>
    <mergeCell ref="O57:P57"/>
    <mergeCell ref="B54:E54"/>
    <mergeCell ref="F54:I54"/>
    <mergeCell ref="J54:L54"/>
    <mergeCell ref="M54:N54"/>
    <mergeCell ref="O54:P54"/>
    <mergeCell ref="B55:E55"/>
    <mergeCell ref="F55:I55"/>
    <mergeCell ref="J55:L55"/>
    <mergeCell ref="M55:N55"/>
    <mergeCell ref="O55:P55"/>
    <mergeCell ref="B60:E60"/>
    <mergeCell ref="F60:I60"/>
    <mergeCell ref="J60:L60"/>
    <mergeCell ref="M60:N60"/>
    <mergeCell ref="O60:P60"/>
    <mergeCell ref="B61:E61"/>
    <mergeCell ref="F61:I61"/>
    <mergeCell ref="J61:L61"/>
    <mergeCell ref="M61:N61"/>
    <mergeCell ref="O61:P61"/>
    <mergeCell ref="B58:E58"/>
    <mergeCell ref="F58:I58"/>
    <mergeCell ref="J58:L58"/>
    <mergeCell ref="M58:N58"/>
    <mergeCell ref="O58:P58"/>
    <mergeCell ref="B59:E59"/>
    <mergeCell ref="F59:I59"/>
    <mergeCell ref="J59:L59"/>
    <mergeCell ref="M59:N59"/>
    <mergeCell ref="O59:P59"/>
    <mergeCell ref="B64:E64"/>
    <mergeCell ref="F64:I64"/>
    <mergeCell ref="J64:L64"/>
    <mergeCell ref="M64:N64"/>
    <mergeCell ref="O64:P64"/>
    <mergeCell ref="B65:E65"/>
    <mergeCell ref="F65:I65"/>
    <mergeCell ref="J65:L65"/>
    <mergeCell ref="M65:N65"/>
    <mergeCell ref="O65:P65"/>
    <mergeCell ref="B62:E62"/>
    <mergeCell ref="F62:I62"/>
    <mergeCell ref="J62:L62"/>
    <mergeCell ref="M62:N62"/>
    <mergeCell ref="O62:P62"/>
    <mergeCell ref="B63:E63"/>
    <mergeCell ref="F63:I63"/>
    <mergeCell ref="J63:L63"/>
    <mergeCell ref="M63:N63"/>
    <mergeCell ref="O63:P63"/>
    <mergeCell ref="B68:E68"/>
    <mergeCell ref="F68:I68"/>
    <mergeCell ref="J68:L68"/>
    <mergeCell ref="M68:N68"/>
    <mergeCell ref="O68:P68"/>
    <mergeCell ref="B69:E69"/>
    <mergeCell ref="F69:I69"/>
    <mergeCell ref="J69:L69"/>
    <mergeCell ref="M69:N69"/>
    <mergeCell ref="O69:P69"/>
    <mergeCell ref="B66:E66"/>
    <mergeCell ref="F66:I66"/>
    <mergeCell ref="J66:L66"/>
    <mergeCell ref="M66:N66"/>
    <mergeCell ref="O66:P66"/>
    <mergeCell ref="B67:E67"/>
    <mergeCell ref="F67:I67"/>
    <mergeCell ref="J67:L67"/>
    <mergeCell ref="M67:N67"/>
    <mergeCell ref="O67:P67"/>
    <mergeCell ref="B72:E72"/>
    <mergeCell ref="F72:I72"/>
    <mergeCell ref="J72:L72"/>
    <mergeCell ref="M72:N72"/>
    <mergeCell ref="O72:P72"/>
    <mergeCell ref="B73:E73"/>
    <mergeCell ref="F73:I73"/>
    <mergeCell ref="J73:L73"/>
    <mergeCell ref="M73:N73"/>
    <mergeCell ref="O73:P73"/>
    <mergeCell ref="B70:E70"/>
    <mergeCell ref="F70:I70"/>
    <mergeCell ref="J70:L70"/>
    <mergeCell ref="M70:N70"/>
    <mergeCell ref="O70:P70"/>
    <mergeCell ref="B71:E71"/>
    <mergeCell ref="F71:I71"/>
    <mergeCell ref="J71:L71"/>
    <mergeCell ref="M71:N71"/>
    <mergeCell ref="O71:P71"/>
    <mergeCell ref="B76:E76"/>
    <mergeCell ref="F76:I76"/>
    <mergeCell ref="J76:L76"/>
    <mergeCell ref="M76:N76"/>
    <mergeCell ref="O76:P76"/>
    <mergeCell ref="B77:E77"/>
    <mergeCell ref="F77:I77"/>
    <mergeCell ref="J77:L77"/>
    <mergeCell ref="M77:N77"/>
    <mergeCell ref="O77:P77"/>
    <mergeCell ref="B74:E74"/>
    <mergeCell ref="F74:I74"/>
    <mergeCell ref="J74:L74"/>
    <mergeCell ref="M74:N74"/>
    <mergeCell ref="O74:P74"/>
    <mergeCell ref="B75:E75"/>
    <mergeCell ref="F75:I75"/>
    <mergeCell ref="J75:L75"/>
    <mergeCell ref="M75:N75"/>
    <mergeCell ref="O75:P75"/>
    <mergeCell ref="B80:E80"/>
    <mergeCell ref="F80:I80"/>
    <mergeCell ref="J80:L80"/>
    <mergeCell ref="M80:N80"/>
    <mergeCell ref="O80:P80"/>
    <mergeCell ref="B81:E81"/>
    <mergeCell ref="F81:I81"/>
    <mergeCell ref="J81:L81"/>
    <mergeCell ref="M81:N81"/>
    <mergeCell ref="O81:P81"/>
    <mergeCell ref="B78:E78"/>
    <mergeCell ref="F78:I78"/>
    <mergeCell ref="J78:L78"/>
    <mergeCell ref="M78:N78"/>
    <mergeCell ref="O78:P78"/>
    <mergeCell ref="B79:E79"/>
    <mergeCell ref="F79:I79"/>
    <mergeCell ref="J79:L79"/>
    <mergeCell ref="M79:N79"/>
    <mergeCell ref="O79:P79"/>
    <mergeCell ref="B84:E84"/>
    <mergeCell ref="F84:I84"/>
    <mergeCell ref="J84:L84"/>
    <mergeCell ref="M84:N84"/>
    <mergeCell ref="O84:P84"/>
    <mergeCell ref="B85:E85"/>
    <mergeCell ref="F85:I85"/>
    <mergeCell ref="J85:L85"/>
    <mergeCell ref="M85:N85"/>
    <mergeCell ref="O85:P85"/>
    <mergeCell ref="B82:E82"/>
    <mergeCell ref="F82:I82"/>
    <mergeCell ref="J82:L82"/>
    <mergeCell ref="M82:N82"/>
    <mergeCell ref="O82:P82"/>
    <mergeCell ref="B83:E83"/>
    <mergeCell ref="F83:I83"/>
    <mergeCell ref="J83:L83"/>
    <mergeCell ref="M83:N83"/>
    <mergeCell ref="O83:P83"/>
    <mergeCell ref="B88:E88"/>
    <mergeCell ref="F88:I88"/>
    <mergeCell ref="J88:L88"/>
    <mergeCell ref="M88:N88"/>
    <mergeCell ref="O88:P88"/>
    <mergeCell ref="B89:E89"/>
    <mergeCell ref="F89:I89"/>
    <mergeCell ref="J89:L89"/>
    <mergeCell ref="M89:N89"/>
    <mergeCell ref="O89:P89"/>
    <mergeCell ref="B86:E86"/>
    <mergeCell ref="F86:I86"/>
    <mergeCell ref="J86:L86"/>
    <mergeCell ref="M86:N86"/>
    <mergeCell ref="O86:P86"/>
    <mergeCell ref="B87:E87"/>
    <mergeCell ref="F87:I87"/>
    <mergeCell ref="J87:L87"/>
    <mergeCell ref="M87:N87"/>
    <mergeCell ref="O87:P87"/>
    <mergeCell ref="B92:E92"/>
    <mergeCell ref="F92:I92"/>
    <mergeCell ref="J92:L92"/>
    <mergeCell ref="M92:N92"/>
    <mergeCell ref="O92:P92"/>
    <mergeCell ref="B93:E93"/>
    <mergeCell ref="F93:I93"/>
    <mergeCell ref="J93:L93"/>
    <mergeCell ref="M93:N93"/>
    <mergeCell ref="O93:P93"/>
    <mergeCell ref="B90:E90"/>
    <mergeCell ref="F90:I90"/>
    <mergeCell ref="J90:L90"/>
    <mergeCell ref="M90:N90"/>
    <mergeCell ref="O90:P90"/>
    <mergeCell ref="B91:E91"/>
    <mergeCell ref="F91:I91"/>
    <mergeCell ref="J91:L91"/>
    <mergeCell ref="M91:N91"/>
    <mergeCell ref="O91:P91"/>
    <mergeCell ref="B96:E96"/>
    <mergeCell ref="F96:I96"/>
    <mergeCell ref="J96:L96"/>
    <mergeCell ref="M96:N96"/>
    <mergeCell ref="O96:P96"/>
    <mergeCell ref="B97:E97"/>
    <mergeCell ref="F97:I97"/>
    <mergeCell ref="J97:L97"/>
    <mergeCell ref="M97:N97"/>
    <mergeCell ref="O97:P97"/>
    <mergeCell ref="B94:E94"/>
    <mergeCell ref="F94:I94"/>
    <mergeCell ref="J94:L94"/>
    <mergeCell ref="M94:N94"/>
    <mergeCell ref="O94:P94"/>
    <mergeCell ref="B95:E95"/>
    <mergeCell ref="F95:I95"/>
    <mergeCell ref="J95:L95"/>
    <mergeCell ref="M95:N95"/>
    <mergeCell ref="O95:P95"/>
    <mergeCell ref="B100:E100"/>
    <mergeCell ref="F100:I100"/>
    <mergeCell ref="J100:L100"/>
    <mergeCell ref="M100:N100"/>
    <mergeCell ref="O100:P100"/>
    <mergeCell ref="B101:E101"/>
    <mergeCell ref="F101:I101"/>
    <mergeCell ref="J101:L101"/>
    <mergeCell ref="M101:N101"/>
    <mergeCell ref="O101:P101"/>
    <mergeCell ref="B98:E98"/>
    <mergeCell ref="F98:I98"/>
    <mergeCell ref="J98:L98"/>
    <mergeCell ref="M98:N98"/>
    <mergeCell ref="O98:P98"/>
    <mergeCell ref="B99:E99"/>
    <mergeCell ref="F99:I99"/>
    <mergeCell ref="J99:L99"/>
    <mergeCell ref="M99:N99"/>
    <mergeCell ref="O99:P99"/>
    <mergeCell ref="B104:E104"/>
    <mergeCell ref="F104:I104"/>
    <mergeCell ref="J104:L104"/>
    <mergeCell ref="M104:N104"/>
    <mergeCell ref="O104:P104"/>
    <mergeCell ref="B105:E105"/>
    <mergeCell ref="F105:I105"/>
    <mergeCell ref="J105:L105"/>
    <mergeCell ref="M105:N105"/>
    <mergeCell ref="O105:P105"/>
    <mergeCell ref="B102:E102"/>
    <mergeCell ref="F102:I102"/>
    <mergeCell ref="J102:L102"/>
    <mergeCell ref="M102:N102"/>
    <mergeCell ref="O102:P102"/>
    <mergeCell ref="B103:E103"/>
    <mergeCell ref="F103:I103"/>
    <mergeCell ref="J103:L103"/>
    <mergeCell ref="M103:N103"/>
    <mergeCell ref="O103:P103"/>
    <mergeCell ref="B108:E108"/>
    <mergeCell ref="F108:I108"/>
    <mergeCell ref="J108:L108"/>
    <mergeCell ref="M108:N108"/>
    <mergeCell ref="O108:P108"/>
    <mergeCell ref="B109:E109"/>
    <mergeCell ref="F109:I109"/>
    <mergeCell ref="J109:L109"/>
    <mergeCell ref="M109:N109"/>
    <mergeCell ref="O109:P109"/>
    <mergeCell ref="B106:E106"/>
    <mergeCell ref="F106:I106"/>
    <mergeCell ref="J106:L106"/>
    <mergeCell ref="M106:N106"/>
    <mergeCell ref="O106:P106"/>
    <mergeCell ref="B107:E107"/>
    <mergeCell ref="F107:I107"/>
    <mergeCell ref="J107:L107"/>
    <mergeCell ref="M107:N107"/>
    <mergeCell ref="O107:P107"/>
    <mergeCell ref="B112:E112"/>
    <mergeCell ref="F112:I112"/>
    <mergeCell ref="J112:L112"/>
    <mergeCell ref="M112:N112"/>
    <mergeCell ref="O112:P112"/>
    <mergeCell ref="B113:E113"/>
    <mergeCell ref="F113:I113"/>
    <mergeCell ref="J113:L113"/>
    <mergeCell ref="M113:N113"/>
    <mergeCell ref="O113:P113"/>
    <mergeCell ref="B110:E110"/>
    <mergeCell ref="F110:I110"/>
    <mergeCell ref="J110:L110"/>
    <mergeCell ref="M110:N110"/>
    <mergeCell ref="O110:P110"/>
    <mergeCell ref="B111:E111"/>
    <mergeCell ref="F111:I111"/>
    <mergeCell ref="J111:L111"/>
    <mergeCell ref="M111:N111"/>
    <mergeCell ref="O111:P111"/>
    <mergeCell ref="B116:E116"/>
    <mergeCell ref="F116:I116"/>
    <mergeCell ref="J116:L116"/>
    <mergeCell ref="M116:N116"/>
    <mergeCell ref="O116:P116"/>
    <mergeCell ref="B117:E117"/>
    <mergeCell ref="F117:I117"/>
    <mergeCell ref="J117:L117"/>
    <mergeCell ref="M117:N117"/>
    <mergeCell ref="O117:P117"/>
    <mergeCell ref="B114:E114"/>
    <mergeCell ref="F114:I114"/>
    <mergeCell ref="J114:L114"/>
    <mergeCell ref="M114:N114"/>
    <mergeCell ref="O114:P114"/>
    <mergeCell ref="B115:E115"/>
    <mergeCell ref="F115:I115"/>
    <mergeCell ref="J115:L115"/>
    <mergeCell ref="M115:N115"/>
    <mergeCell ref="O115:P115"/>
    <mergeCell ref="B120:E120"/>
    <mergeCell ref="F120:I120"/>
    <mergeCell ref="J120:L120"/>
    <mergeCell ref="M120:N120"/>
    <mergeCell ref="O120:P120"/>
    <mergeCell ref="B121:E121"/>
    <mergeCell ref="F121:I121"/>
    <mergeCell ref="J121:L121"/>
    <mergeCell ref="M121:N121"/>
    <mergeCell ref="O121:P121"/>
    <mergeCell ref="B118:E118"/>
    <mergeCell ref="F118:I118"/>
    <mergeCell ref="J118:L118"/>
    <mergeCell ref="M118:N118"/>
    <mergeCell ref="O118:P118"/>
    <mergeCell ref="B119:E119"/>
    <mergeCell ref="F119:I119"/>
    <mergeCell ref="J119:L119"/>
    <mergeCell ref="M119:N119"/>
    <mergeCell ref="O119:P119"/>
    <mergeCell ref="B124:E124"/>
    <mergeCell ref="F124:I124"/>
    <mergeCell ref="J124:L124"/>
    <mergeCell ref="M124:N124"/>
    <mergeCell ref="O124:P124"/>
    <mergeCell ref="B125:E125"/>
    <mergeCell ref="F125:I125"/>
    <mergeCell ref="J125:L125"/>
    <mergeCell ref="M125:N125"/>
    <mergeCell ref="O125:P125"/>
    <mergeCell ref="B122:E122"/>
    <mergeCell ref="F122:I122"/>
    <mergeCell ref="J122:L122"/>
    <mergeCell ref="M122:N122"/>
    <mergeCell ref="O122:P122"/>
    <mergeCell ref="B123:E123"/>
    <mergeCell ref="F123:I123"/>
    <mergeCell ref="J123:L123"/>
    <mergeCell ref="M123:N123"/>
    <mergeCell ref="O123:P123"/>
    <mergeCell ref="B128:E128"/>
    <mergeCell ref="F128:I128"/>
    <mergeCell ref="J128:L128"/>
    <mergeCell ref="M128:N128"/>
    <mergeCell ref="O128:P128"/>
    <mergeCell ref="B129:E129"/>
    <mergeCell ref="F129:I129"/>
    <mergeCell ref="J129:L129"/>
    <mergeCell ref="M129:N129"/>
    <mergeCell ref="O129:P129"/>
    <mergeCell ref="B126:E126"/>
    <mergeCell ref="F126:I126"/>
    <mergeCell ref="J126:L126"/>
    <mergeCell ref="M126:N126"/>
    <mergeCell ref="O126:P126"/>
    <mergeCell ref="B127:E127"/>
    <mergeCell ref="F127:I127"/>
    <mergeCell ref="J127:L127"/>
    <mergeCell ref="M127:N127"/>
    <mergeCell ref="O127:P127"/>
    <mergeCell ref="B132:E132"/>
    <mergeCell ref="F132:I132"/>
    <mergeCell ref="J132:L132"/>
    <mergeCell ref="M132:N132"/>
    <mergeCell ref="O132:P132"/>
    <mergeCell ref="B133:E133"/>
    <mergeCell ref="F133:I133"/>
    <mergeCell ref="J133:L133"/>
    <mergeCell ref="M133:N133"/>
    <mergeCell ref="O133:P133"/>
    <mergeCell ref="B130:E130"/>
    <mergeCell ref="F130:I130"/>
    <mergeCell ref="J130:L130"/>
    <mergeCell ref="M130:N130"/>
    <mergeCell ref="O130:P130"/>
    <mergeCell ref="B131:E131"/>
    <mergeCell ref="F131:I131"/>
    <mergeCell ref="J131:L131"/>
    <mergeCell ref="M131:N131"/>
    <mergeCell ref="O131:P131"/>
    <mergeCell ref="B136:E136"/>
    <mergeCell ref="F136:I136"/>
    <mergeCell ref="J136:L136"/>
    <mergeCell ref="M136:N136"/>
    <mergeCell ref="O136:P136"/>
    <mergeCell ref="B137:E137"/>
    <mergeCell ref="F137:I137"/>
    <mergeCell ref="J137:L137"/>
    <mergeCell ref="M137:N137"/>
    <mergeCell ref="O137:P137"/>
    <mergeCell ref="B134:E134"/>
    <mergeCell ref="F134:I134"/>
    <mergeCell ref="J134:L134"/>
    <mergeCell ref="M134:N134"/>
    <mergeCell ref="O134:P134"/>
    <mergeCell ref="B135:E135"/>
    <mergeCell ref="F135:I135"/>
    <mergeCell ref="J135:L135"/>
    <mergeCell ref="M135:N135"/>
    <mergeCell ref="O135:P135"/>
    <mergeCell ref="B140:E140"/>
    <mergeCell ref="F140:I140"/>
    <mergeCell ref="J140:L140"/>
    <mergeCell ref="M140:N140"/>
    <mergeCell ref="O140:P140"/>
    <mergeCell ref="B141:E141"/>
    <mergeCell ref="F141:I141"/>
    <mergeCell ref="J141:L141"/>
    <mergeCell ref="M141:N141"/>
    <mergeCell ref="O141:P141"/>
    <mergeCell ref="B138:E138"/>
    <mergeCell ref="F138:I138"/>
    <mergeCell ref="J138:L138"/>
    <mergeCell ref="M138:N138"/>
    <mergeCell ref="O138:P138"/>
    <mergeCell ref="B139:E139"/>
    <mergeCell ref="F139:I139"/>
    <mergeCell ref="J139:L139"/>
    <mergeCell ref="M139:N139"/>
    <mergeCell ref="O139:P139"/>
    <mergeCell ref="B144:E144"/>
    <mergeCell ref="F144:I144"/>
    <mergeCell ref="J144:L144"/>
    <mergeCell ref="M144:N144"/>
    <mergeCell ref="O144:P144"/>
    <mergeCell ref="B145:E145"/>
    <mergeCell ref="F145:I145"/>
    <mergeCell ref="J145:L145"/>
    <mergeCell ref="M145:N145"/>
    <mergeCell ref="O145:P145"/>
    <mergeCell ref="B142:E142"/>
    <mergeCell ref="F142:I142"/>
    <mergeCell ref="J142:L142"/>
    <mergeCell ref="M142:N142"/>
    <mergeCell ref="O142:P142"/>
    <mergeCell ref="B143:E143"/>
    <mergeCell ref="F143:I143"/>
    <mergeCell ref="J143:L143"/>
    <mergeCell ref="M143:N143"/>
    <mergeCell ref="O143:P143"/>
    <mergeCell ref="B148:E148"/>
    <mergeCell ref="F148:I148"/>
    <mergeCell ref="J148:L148"/>
    <mergeCell ref="M148:N148"/>
    <mergeCell ref="O148:P148"/>
    <mergeCell ref="B149:E149"/>
    <mergeCell ref="F149:I149"/>
    <mergeCell ref="J149:L149"/>
    <mergeCell ref="M149:N149"/>
    <mergeCell ref="O149:P149"/>
    <mergeCell ref="B146:E146"/>
    <mergeCell ref="F146:I146"/>
    <mergeCell ref="J146:L146"/>
    <mergeCell ref="M146:N146"/>
    <mergeCell ref="O146:P146"/>
    <mergeCell ref="B147:E147"/>
    <mergeCell ref="F147:I147"/>
    <mergeCell ref="J147:L147"/>
    <mergeCell ref="M147:N147"/>
    <mergeCell ref="O147:P147"/>
    <mergeCell ref="B152:E152"/>
    <mergeCell ref="F152:I152"/>
    <mergeCell ref="J152:L152"/>
    <mergeCell ref="M152:N152"/>
    <mergeCell ref="O152:P152"/>
    <mergeCell ref="B153:E153"/>
    <mergeCell ref="F153:I153"/>
    <mergeCell ref="J153:L153"/>
    <mergeCell ref="M153:N153"/>
    <mergeCell ref="O153:P153"/>
    <mergeCell ref="B150:E150"/>
    <mergeCell ref="F150:I150"/>
    <mergeCell ref="J150:L150"/>
    <mergeCell ref="M150:N150"/>
    <mergeCell ref="O150:P150"/>
    <mergeCell ref="B151:E151"/>
    <mergeCell ref="F151:I151"/>
    <mergeCell ref="J151:L151"/>
    <mergeCell ref="M151:N151"/>
    <mergeCell ref="O151:P151"/>
    <mergeCell ref="B156:E156"/>
    <mergeCell ref="F156:I156"/>
    <mergeCell ref="J156:L156"/>
    <mergeCell ref="M156:N156"/>
    <mergeCell ref="O156:P156"/>
    <mergeCell ref="B157:E157"/>
    <mergeCell ref="F157:I157"/>
    <mergeCell ref="J157:L157"/>
    <mergeCell ref="M157:N157"/>
    <mergeCell ref="O157:P157"/>
    <mergeCell ref="B154:E154"/>
    <mergeCell ref="F154:I154"/>
    <mergeCell ref="J154:L154"/>
    <mergeCell ref="M154:N154"/>
    <mergeCell ref="O154:P154"/>
    <mergeCell ref="B155:E155"/>
    <mergeCell ref="F155:I155"/>
    <mergeCell ref="J155:L155"/>
    <mergeCell ref="M155:N155"/>
    <mergeCell ref="O155:P155"/>
    <mergeCell ref="B160:E160"/>
    <mergeCell ref="F160:I160"/>
    <mergeCell ref="J160:L160"/>
    <mergeCell ref="M160:N160"/>
    <mergeCell ref="O160:P160"/>
    <mergeCell ref="B161:E161"/>
    <mergeCell ref="F161:I161"/>
    <mergeCell ref="J161:L161"/>
    <mergeCell ref="M161:N161"/>
    <mergeCell ref="O161:P161"/>
    <mergeCell ref="B158:E158"/>
    <mergeCell ref="F158:I158"/>
    <mergeCell ref="J158:L158"/>
    <mergeCell ref="M158:N158"/>
    <mergeCell ref="O158:P158"/>
    <mergeCell ref="B159:E159"/>
    <mergeCell ref="F159:I159"/>
    <mergeCell ref="J159:L159"/>
    <mergeCell ref="M159:N159"/>
    <mergeCell ref="O159:P159"/>
    <mergeCell ref="B164:E164"/>
    <mergeCell ref="F164:I164"/>
    <mergeCell ref="J164:L164"/>
    <mergeCell ref="M164:N164"/>
    <mergeCell ref="O164:P164"/>
    <mergeCell ref="B165:E165"/>
    <mergeCell ref="F165:I165"/>
    <mergeCell ref="J165:L165"/>
    <mergeCell ref="M165:N165"/>
    <mergeCell ref="O165:P165"/>
    <mergeCell ref="B162:E162"/>
    <mergeCell ref="F162:I162"/>
    <mergeCell ref="J162:L162"/>
    <mergeCell ref="M162:N162"/>
    <mergeCell ref="O162:P162"/>
    <mergeCell ref="B163:E163"/>
    <mergeCell ref="F163:I163"/>
    <mergeCell ref="J163:L163"/>
    <mergeCell ref="M163:N163"/>
    <mergeCell ref="O163:P163"/>
    <mergeCell ref="B168:E168"/>
    <mergeCell ref="F168:I168"/>
    <mergeCell ref="J168:L168"/>
    <mergeCell ref="M168:N168"/>
    <mergeCell ref="O168:P168"/>
    <mergeCell ref="B169:E169"/>
    <mergeCell ref="F169:I169"/>
    <mergeCell ref="J169:L169"/>
    <mergeCell ref="M169:N169"/>
    <mergeCell ref="O169:P169"/>
    <mergeCell ref="B166:E166"/>
    <mergeCell ref="F166:I166"/>
    <mergeCell ref="J166:L166"/>
    <mergeCell ref="M166:N166"/>
    <mergeCell ref="O166:P166"/>
    <mergeCell ref="B167:E167"/>
    <mergeCell ref="F167:I167"/>
    <mergeCell ref="J167:L167"/>
    <mergeCell ref="M167:N167"/>
    <mergeCell ref="O167:P167"/>
    <mergeCell ref="B172:E172"/>
    <mergeCell ref="F172:I172"/>
    <mergeCell ref="J172:L172"/>
    <mergeCell ref="M172:N172"/>
    <mergeCell ref="O172:P172"/>
    <mergeCell ref="B173:E173"/>
    <mergeCell ref="F173:I173"/>
    <mergeCell ref="J173:L173"/>
    <mergeCell ref="M173:N173"/>
    <mergeCell ref="O173:P173"/>
    <mergeCell ref="B170:E170"/>
    <mergeCell ref="F170:I170"/>
    <mergeCell ref="J170:L170"/>
    <mergeCell ref="M170:N170"/>
    <mergeCell ref="O170:P170"/>
    <mergeCell ref="B171:E171"/>
    <mergeCell ref="F171:I171"/>
    <mergeCell ref="J171:L171"/>
    <mergeCell ref="M171:N171"/>
    <mergeCell ref="O171:P171"/>
    <mergeCell ref="B176:E176"/>
    <mergeCell ref="F176:I176"/>
    <mergeCell ref="J176:L176"/>
    <mergeCell ref="M176:N176"/>
    <mergeCell ref="O176:P176"/>
    <mergeCell ref="B177:E177"/>
    <mergeCell ref="F177:I177"/>
    <mergeCell ref="J177:L177"/>
    <mergeCell ref="M177:N177"/>
    <mergeCell ref="O177:P177"/>
    <mergeCell ref="B174:E174"/>
    <mergeCell ref="F174:I174"/>
    <mergeCell ref="J174:L174"/>
    <mergeCell ref="M174:N174"/>
    <mergeCell ref="O174:P174"/>
    <mergeCell ref="B175:E175"/>
    <mergeCell ref="F175:I175"/>
    <mergeCell ref="J175:L175"/>
    <mergeCell ref="M175:N175"/>
    <mergeCell ref="O175:P175"/>
    <mergeCell ref="B180:E180"/>
    <mergeCell ref="F180:I180"/>
    <mergeCell ref="J180:L180"/>
    <mergeCell ref="M180:N180"/>
    <mergeCell ref="O180:P180"/>
    <mergeCell ref="B181:E181"/>
    <mergeCell ref="F181:I181"/>
    <mergeCell ref="J181:L181"/>
    <mergeCell ref="M181:N181"/>
    <mergeCell ref="O181:P181"/>
    <mergeCell ref="B178:E178"/>
    <mergeCell ref="F178:I178"/>
    <mergeCell ref="J178:L178"/>
    <mergeCell ref="M178:N178"/>
    <mergeCell ref="O178:P178"/>
    <mergeCell ref="B179:E179"/>
    <mergeCell ref="F179:I179"/>
    <mergeCell ref="J179:L179"/>
    <mergeCell ref="M179:N179"/>
    <mergeCell ref="O179:P179"/>
    <mergeCell ref="B184:E184"/>
    <mergeCell ref="F184:I184"/>
    <mergeCell ref="J184:L184"/>
    <mergeCell ref="M184:N184"/>
    <mergeCell ref="O184:P184"/>
    <mergeCell ref="B185:E185"/>
    <mergeCell ref="F185:I185"/>
    <mergeCell ref="J185:L185"/>
    <mergeCell ref="M185:N185"/>
    <mergeCell ref="O185:P185"/>
    <mergeCell ref="B182:E182"/>
    <mergeCell ref="F182:I182"/>
    <mergeCell ref="J182:L182"/>
    <mergeCell ref="M182:N182"/>
    <mergeCell ref="O182:P182"/>
    <mergeCell ref="B183:E183"/>
    <mergeCell ref="F183:I183"/>
    <mergeCell ref="J183:L183"/>
    <mergeCell ref="M183:N183"/>
    <mergeCell ref="O183:P183"/>
    <mergeCell ref="B188:E188"/>
    <mergeCell ref="F188:I188"/>
    <mergeCell ref="J188:L188"/>
    <mergeCell ref="M188:N188"/>
    <mergeCell ref="O188:P188"/>
    <mergeCell ref="B189:E189"/>
    <mergeCell ref="F189:I189"/>
    <mergeCell ref="J189:L189"/>
    <mergeCell ref="M189:N189"/>
    <mergeCell ref="O189:P189"/>
    <mergeCell ref="B186:E186"/>
    <mergeCell ref="F186:I186"/>
    <mergeCell ref="J186:L186"/>
    <mergeCell ref="M186:N186"/>
    <mergeCell ref="O186:P186"/>
    <mergeCell ref="B187:E187"/>
    <mergeCell ref="F187:I187"/>
    <mergeCell ref="J187:L187"/>
    <mergeCell ref="M187:N187"/>
    <mergeCell ref="O187:P187"/>
    <mergeCell ref="B192:E192"/>
    <mergeCell ref="F192:I192"/>
    <mergeCell ref="J192:L192"/>
    <mergeCell ref="M192:N192"/>
    <mergeCell ref="O192:P192"/>
    <mergeCell ref="B193:E193"/>
    <mergeCell ref="F193:I193"/>
    <mergeCell ref="J193:L193"/>
    <mergeCell ref="M193:N193"/>
    <mergeCell ref="O193:P193"/>
    <mergeCell ref="B190:E190"/>
    <mergeCell ref="F190:I190"/>
    <mergeCell ref="J190:L190"/>
    <mergeCell ref="M190:N190"/>
    <mergeCell ref="O190:P190"/>
    <mergeCell ref="B191:E191"/>
    <mergeCell ref="F191:I191"/>
    <mergeCell ref="J191:L191"/>
    <mergeCell ref="M191:N191"/>
    <mergeCell ref="O191:P191"/>
    <mergeCell ref="B196:E196"/>
    <mergeCell ref="F196:I196"/>
    <mergeCell ref="J196:L196"/>
    <mergeCell ref="M196:N196"/>
    <mergeCell ref="O196:P196"/>
    <mergeCell ref="B197:E197"/>
    <mergeCell ref="F197:I197"/>
    <mergeCell ref="J197:L197"/>
    <mergeCell ref="M197:N197"/>
    <mergeCell ref="O197:P197"/>
    <mergeCell ref="B194:E194"/>
    <mergeCell ref="F194:I194"/>
    <mergeCell ref="J194:L194"/>
    <mergeCell ref="M194:N194"/>
    <mergeCell ref="O194:P194"/>
    <mergeCell ref="B195:E195"/>
    <mergeCell ref="F195:I195"/>
    <mergeCell ref="J195:L195"/>
    <mergeCell ref="M195:N195"/>
    <mergeCell ref="O195:P195"/>
    <mergeCell ref="B200:E200"/>
    <mergeCell ref="F200:I200"/>
    <mergeCell ref="J200:L200"/>
    <mergeCell ref="M200:N200"/>
    <mergeCell ref="O200:P200"/>
    <mergeCell ref="B201:E201"/>
    <mergeCell ref="F201:I201"/>
    <mergeCell ref="J201:L201"/>
    <mergeCell ref="M201:N201"/>
    <mergeCell ref="O201:P201"/>
    <mergeCell ref="B198:E198"/>
    <mergeCell ref="F198:I198"/>
    <mergeCell ref="J198:L198"/>
    <mergeCell ref="M198:N198"/>
    <mergeCell ref="O198:P198"/>
    <mergeCell ref="B199:E199"/>
    <mergeCell ref="F199:I199"/>
    <mergeCell ref="J199:L199"/>
    <mergeCell ref="M199:N199"/>
    <mergeCell ref="O199:P199"/>
    <mergeCell ref="B204:E204"/>
    <mergeCell ref="F204:I204"/>
    <mergeCell ref="J204:L204"/>
    <mergeCell ref="M204:N204"/>
    <mergeCell ref="O204:P204"/>
    <mergeCell ref="B205:E205"/>
    <mergeCell ref="F205:I205"/>
    <mergeCell ref="J205:L205"/>
    <mergeCell ref="M205:N205"/>
    <mergeCell ref="O205:P205"/>
    <mergeCell ref="B202:E202"/>
    <mergeCell ref="F202:I202"/>
    <mergeCell ref="J202:L202"/>
    <mergeCell ref="M202:N202"/>
    <mergeCell ref="O202:P202"/>
    <mergeCell ref="B203:E203"/>
    <mergeCell ref="F203:I203"/>
    <mergeCell ref="J203:L203"/>
    <mergeCell ref="M203:N203"/>
    <mergeCell ref="O203:P203"/>
    <mergeCell ref="B208:E208"/>
    <mergeCell ref="F208:I208"/>
    <mergeCell ref="J208:L208"/>
    <mergeCell ref="M208:N208"/>
    <mergeCell ref="O208:P208"/>
    <mergeCell ref="B209:E209"/>
    <mergeCell ref="F209:I209"/>
    <mergeCell ref="J209:L209"/>
    <mergeCell ref="M209:N209"/>
    <mergeCell ref="O209:P209"/>
    <mergeCell ref="B206:E206"/>
    <mergeCell ref="F206:I206"/>
    <mergeCell ref="J206:L206"/>
    <mergeCell ref="M206:N206"/>
    <mergeCell ref="O206:P206"/>
    <mergeCell ref="B207:E207"/>
    <mergeCell ref="F207:I207"/>
    <mergeCell ref="J207:L207"/>
    <mergeCell ref="M207:N207"/>
    <mergeCell ref="O207:P207"/>
    <mergeCell ref="B212:E212"/>
    <mergeCell ref="F212:I212"/>
    <mergeCell ref="J212:L212"/>
    <mergeCell ref="M212:N212"/>
    <mergeCell ref="O212:P212"/>
    <mergeCell ref="B213:E213"/>
    <mergeCell ref="F213:I213"/>
    <mergeCell ref="J213:L213"/>
    <mergeCell ref="M213:N213"/>
    <mergeCell ref="O213:P213"/>
    <mergeCell ref="B210:E210"/>
    <mergeCell ref="F210:I210"/>
    <mergeCell ref="J210:L210"/>
    <mergeCell ref="M210:N210"/>
    <mergeCell ref="O210:P210"/>
    <mergeCell ref="B211:E211"/>
    <mergeCell ref="F211:I211"/>
    <mergeCell ref="J211:L211"/>
    <mergeCell ref="M211:N211"/>
    <mergeCell ref="O211:P211"/>
    <mergeCell ref="B216:E216"/>
    <mergeCell ref="F216:I216"/>
    <mergeCell ref="J216:L216"/>
    <mergeCell ref="M216:N216"/>
    <mergeCell ref="O216:P216"/>
    <mergeCell ref="B217:E217"/>
    <mergeCell ref="F217:I217"/>
    <mergeCell ref="J217:L217"/>
    <mergeCell ref="M217:N217"/>
    <mergeCell ref="O217:P217"/>
    <mergeCell ref="B214:E214"/>
    <mergeCell ref="F214:I214"/>
    <mergeCell ref="J214:L214"/>
    <mergeCell ref="M214:N214"/>
    <mergeCell ref="O214:P214"/>
    <mergeCell ref="B215:E215"/>
    <mergeCell ref="F215:I215"/>
    <mergeCell ref="J215:L215"/>
    <mergeCell ref="M215:N215"/>
    <mergeCell ref="O215:P215"/>
    <mergeCell ref="B220:E220"/>
    <mergeCell ref="F220:I220"/>
    <mergeCell ref="J220:L220"/>
    <mergeCell ref="M220:N220"/>
    <mergeCell ref="O220:P220"/>
    <mergeCell ref="B221:E221"/>
    <mergeCell ref="F221:I221"/>
    <mergeCell ref="J221:L221"/>
    <mergeCell ref="M221:N221"/>
    <mergeCell ref="O221:P221"/>
    <mergeCell ref="B218:E218"/>
    <mergeCell ref="F218:I218"/>
    <mergeCell ref="J218:L218"/>
    <mergeCell ref="M218:N218"/>
    <mergeCell ref="O218:P218"/>
    <mergeCell ref="B219:E219"/>
    <mergeCell ref="F219:I219"/>
    <mergeCell ref="J219:L219"/>
    <mergeCell ref="M219:N219"/>
    <mergeCell ref="O219:P219"/>
    <mergeCell ref="B224:E224"/>
    <mergeCell ref="F224:I224"/>
    <mergeCell ref="J224:L224"/>
    <mergeCell ref="M224:N224"/>
    <mergeCell ref="O224:P224"/>
    <mergeCell ref="B225:E225"/>
    <mergeCell ref="F225:I225"/>
    <mergeCell ref="J225:L225"/>
    <mergeCell ref="M225:N225"/>
    <mergeCell ref="O225:P225"/>
    <mergeCell ref="B222:E222"/>
    <mergeCell ref="F222:I222"/>
    <mergeCell ref="J222:L222"/>
    <mergeCell ref="M222:N222"/>
    <mergeCell ref="O222:P222"/>
    <mergeCell ref="B223:E223"/>
    <mergeCell ref="F223:I223"/>
    <mergeCell ref="J223:L223"/>
    <mergeCell ref="M223:N223"/>
    <mergeCell ref="O223:P223"/>
    <mergeCell ref="B228:E228"/>
    <mergeCell ref="F228:I228"/>
    <mergeCell ref="J228:L228"/>
    <mergeCell ref="M228:N228"/>
    <mergeCell ref="O228:P228"/>
    <mergeCell ref="B229:E229"/>
    <mergeCell ref="F229:I229"/>
    <mergeCell ref="J229:L229"/>
    <mergeCell ref="M229:N229"/>
    <mergeCell ref="O229:P229"/>
    <mergeCell ref="B226:E226"/>
    <mergeCell ref="F226:I226"/>
    <mergeCell ref="J226:L226"/>
    <mergeCell ref="M226:N226"/>
    <mergeCell ref="O226:P226"/>
    <mergeCell ref="B227:E227"/>
    <mergeCell ref="F227:I227"/>
    <mergeCell ref="J227:L227"/>
    <mergeCell ref="M227:N227"/>
    <mergeCell ref="O227:P227"/>
    <mergeCell ref="B232:E232"/>
    <mergeCell ref="F232:I232"/>
    <mergeCell ref="J232:L232"/>
    <mergeCell ref="M232:N232"/>
    <mergeCell ref="O232:P232"/>
    <mergeCell ref="B233:E233"/>
    <mergeCell ref="F233:I233"/>
    <mergeCell ref="J233:L233"/>
    <mergeCell ref="M233:N233"/>
    <mergeCell ref="O233:P233"/>
    <mergeCell ref="B230:E230"/>
    <mergeCell ref="F230:I230"/>
    <mergeCell ref="J230:L230"/>
    <mergeCell ref="M230:N230"/>
    <mergeCell ref="O230:P230"/>
    <mergeCell ref="B231:E231"/>
    <mergeCell ref="F231:I231"/>
    <mergeCell ref="J231:L231"/>
    <mergeCell ref="M231:N231"/>
    <mergeCell ref="O231:P231"/>
    <mergeCell ref="B236:E236"/>
    <mergeCell ref="F236:I236"/>
    <mergeCell ref="J236:L236"/>
    <mergeCell ref="M236:N236"/>
    <mergeCell ref="O236:P236"/>
    <mergeCell ref="B237:E237"/>
    <mergeCell ref="F237:I237"/>
    <mergeCell ref="J237:L237"/>
    <mergeCell ref="M237:N237"/>
    <mergeCell ref="O237:P237"/>
    <mergeCell ref="B234:E234"/>
    <mergeCell ref="F234:I234"/>
    <mergeCell ref="J234:L234"/>
    <mergeCell ref="M234:N234"/>
    <mergeCell ref="O234:P234"/>
    <mergeCell ref="B235:E235"/>
    <mergeCell ref="F235:I235"/>
    <mergeCell ref="J235:L235"/>
    <mergeCell ref="M235:N235"/>
    <mergeCell ref="O235:P235"/>
    <mergeCell ref="B240:E240"/>
    <mergeCell ref="F240:I240"/>
    <mergeCell ref="J240:L240"/>
    <mergeCell ref="M240:N240"/>
    <mergeCell ref="O240:P240"/>
    <mergeCell ref="B241:E241"/>
    <mergeCell ref="F241:I241"/>
    <mergeCell ref="J241:L241"/>
    <mergeCell ref="M241:N241"/>
    <mergeCell ref="O241:P241"/>
    <mergeCell ref="B238:E238"/>
    <mergeCell ref="F238:I238"/>
    <mergeCell ref="J238:L238"/>
    <mergeCell ref="M238:N238"/>
    <mergeCell ref="O238:P238"/>
    <mergeCell ref="B239:E239"/>
    <mergeCell ref="F239:I239"/>
    <mergeCell ref="J239:L239"/>
    <mergeCell ref="M239:N239"/>
    <mergeCell ref="O239:P239"/>
    <mergeCell ref="B244:E244"/>
    <mergeCell ref="F244:I244"/>
    <mergeCell ref="J244:L244"/>
    <mergeCell ref="M244:N244"/>
    <mergeCell ref="O244:P244"/>
    <mergeCell ref="B245:E245"/>
    <mergeCell ref="F245:I245"/>
    <mergeCell ref="J245:L245"/>
    <mergeCell ref="M245:N245"/>
    <mergeCell ref="O245:P245"/>
    <mergeCell ref="B242:E242"/>
    <mergeCell ref="F242:I242"/>
    <mergeCell ref="J242:L242"/>
    <mergeCell ref="M242:N242"/>
    <mergeCell ref="O242:P242"/>
    <mergeCell ref="B243:E243"/>
    <mergeCell ref="F243:I243"/>
    <mergeCell ref="J243:L243"/>
    <mergeCell ref="M243:N243"/>
    <mergeCell ref="O243:P243"/>
    <mergeCell ref="B248:E248"/>
    <mergeCell ref="F248:I248"/>
    <mergeCell ref="J248:L248"/>
    <mergeCell ref="M248:N248"/>
    <mergeCell ref="O248:P248"/>
    <mergeCell ref="B249:E249"/>
    <mergeCell ref="F249:I249"/>
    <mergeCell ref="J249:L249"/>
    <mergeCell ref="M249:N249"/>
    <mergeCell ref="O249:P249"/>
    <mergeCell ref="B246:E246"/>
    <mergeCell ref="F246:I246"/>
    <mergeCell ref="J246:L246"/>
    <mergeCell ref="M246:N246"/>
    <mergeCell ref="O246:P246"/>
    <mergeCell ref="B247:E247"/>
    <mergeCell ref="F247:I247"/>
    <mergeCell ref="J247:L247"/>
    <mergeCell ref="M247:N247"/>
    <mergeCell ref="O247:P247"/>
    <mergeCell ref="B252:E252"/>
    <mergeCell ref="F252:I252"/>
    <mergeCell ref="J252:L252"/>
    <mergeCell ref="M252:N252"/>
    <mergeCell ref="O252:P252"/>
    <mergeCell ref="B253:E253"/>
    <mergeCell ref="F253:I253"/>
    <mergeCell ref="J253:L253"/>
    <mergeCell ref="M253:N253"/>
    <mergeCell ref="O253:P253"/>
    <mergeCell ref="B250:E250"/>
    <mergeCell ref="F250:I250"/>
    <mergeCell ref="J250:L250"/>
    <mergeCell ref="M250:N250"/>
    <mergeCell ref="O250:P250"/>
    <mergeCell ref="B251:E251"/>
    <mergeCell ref="F251:I251"/>
    <mergeCell ref="J251:L251"/>
    <mergeCell ref="M251:N251"/>
    <mergeCell ref="O251:P251"/>
    <mergeCell ref="B256:E256"/>
    <mergeCell ref="F256:I256"/>
    <mergeCell ref="J256:L256"/>
    <mergeCell ref="M256:N256"/>
    <mergeCell ref="O256:P256"/>
    <mergeCell ref="B257:E257"/>
    <mergeCell ref="F257:I257"/>
    <mergeCell ref="J257:L257"/>
    <mergeCell ref="M257:N257"/>
    <mergeCell ref="O257:P257"/>
    <mergeCell ref="B254:E254"/>
    <mergeCell ref="F254:I254"/>
    <mergeCell ref="J254:L254"/>
    <mergeCell ref="M254:N254"/>
    <mergeCell ref="O254:P254"/>
    <mergeCell ref="B255:E255"/>
    <mergeCell ref="F255:I255"/>
    <mergeCell ref="J255:L255"/>
    <mergeCell ref="M255:N255"/>
    <mergeCell ref="O255:P255"/>
    <mergeCell ref="B260:E260"/>
    <mergeCell ref="F260:I260"/>
    <mergeCell ref="J260:L260"/>
    <mergeCell ref="M260:N260"/>
    <mergeCell ref="O260:P260"/>
    <mergeCell ref="B261:E261"/>
    <mergeCell ref="F261:I261"/>
    <mergeCell ref="J261:L261"/>
    <mergeCell ref="M261:N261"/>
    <mergeCell ref="O261:P261"/>
    <mergeCell ref="B258:E258"/>
    <mergeCell ref="F258:I258"/>
    <mergeCell ref="J258:L258"/>
    <mergeCell ref="M258:N258"/>
    <mergeCell ref="O258:P258"/>
    <mergeCell ref="B259:E259"/>
    <mergeCell ref="F259:I259"/>
    <mergeCell ref="J259:L259"/>
    <mergeCell ref="M259:N259"/>
    <mergeCell ref="O259:P259"/>
    <mergeCell ref="B264:E264"/>
    <mergeCell ref="F264:I264"/>
    <mergeCell ref="J264:L264"/>
    <mergeCell ref="M264:N264"/>
    <mergeCell ref="O264:P264"/>
    <mergeCell ref="B265:E265"/>
    <mergeCell ref="F265:I265"/>
    <mergeCell ref="J265:L265"/>
    <mergeCell ref="M265:N265"/>
    <mergeCell ref="O265:P265"/>
    <mergeCell ref="B262:E262"/>
    <mergeCell ref="F262:I262"/>
    <mergeCell ref="J262:L262"/>
    <mergeCell ref="M262:N262"/>
    <mergeCell ref="O262:P262"/>
    <mergeCell ref="B263:E263"/>
    <mergeCell ref="F263:I263"/>
    <mergeCell ref="J263:L263"/>
    <mergeCell ref="M263:N263"/>
    <mergeCell ref="O263:P263"/>
    <mergeCell ref="B268:E268"/>
    <mergeCell ref="F268:I268"/>
    <mergeCell ref="J268:L268"/>
    <mergeCell ref="M268:N268"/>
    <mergeCell ref="O268:P268"/>
    <mergeCell ref="B269:E269"/>
    <mergeCell ref="F269:I269"/>
    <mergeCell ref="J269:L269"/>
    <mergeCell ref="M269:N269"/>
    <mergeCell ref="O269:P269"/>
    <mergeCell ref="B266:E266"/>
    <mergeCell ref="F266:I266"/>
    <mergeCell ref="J266:L266"/>
    <mergeCell ref="M266:N266"/>
    <mergeCell ref="O266:P266"/>
    <mergeCell ref="B267:E267"/>
    <mergeCell ref="F267:I267"/>
    <mergeCell ref="J267:L267"/>
    <mergeCell ref="M267:N267"/>
    <mergeCell ref="O267:P267"/>
    <mergeCell ref="B272:E272"/>
    <mergeCell ref="F272:I272"/>
    <mergeCell ref="J272:L272"/>
    <mergeCell ref="M272:N272"/>
    <mergeCell ref="O272:P272"/>
    <mergeCell ref="B273:E273"/>
    <mergeCell ref="F273:I273"/>
    <mergeCell ref="J273:L273"/>
    <mergeCell ref="M273:N273"/>
    <mergeCell ref="O273:P273"/>
    <mergeCell ref="B270:E270"/>
    <mergeCell ref="F270:I270"/>
    <mergeCell ref="J270:L270"/>
    <mergeCell ref="M270:N270"/>
    <mergeCell ref="O270:P270"/>
    <mergeCell ref="B271:E271"/>
    <mergeCell ref="F271:I271"/>
    <mergeCell ref="J271:L271"/>
    <mergeCell ref="M271:N271"/>
    <mergeCell ref="O271:P271"/>
    <mergeCell ref="B276:E276"/>
    <mergeCell ref="F276:I276"/>
    <mergeCell ref="J276:L276"/>
    <mergeCell ref="M276:N276"/>
    <mergeCell ref="O276:P276"/>
    <mergeCell ref="B277:E277"/>
    <mergeCell ref="F277:I277"/>
    <mergeCell ref="J277:L277"/>
    <mergeCell ref="M277:N277"/>
    <mergeCell ref="O277:P277"/>
    <mergeCell ref="B274:E274"/>
    <mergeCell ref="F274:I274"/>
    <mergeCell ref="J274:L274"/>
    <mergeCell ref="M274:N274"/>
    <mergeCell ref="O274:P274"/>
    <mergeCell ref="B275:E275"/>
    <mergeCell ref="F275:I275"/>
    <mergeCell ref="J275:L275"/>
    <mergeCell ref="M275:N275"/>
    <mergeCell ref="O275:P275"/>
    <mergeCell ref="B280:E280"/>
    <mergeCell ref="F280:I280"/>
    <mergeCell ref="J280:L280"/>
    <mergeCell ref="M280:N280"/>
    <mergeCell ref="O280:P280"/>
    <mergeCell ref="B281:E281"/>
    <mergeCell ref="F281:I281"/>
    <mergeCell ref="J281:L281"/>
    <mergeCell ref="M281:N281"/>
    <mergeCell ref="O281:P281"/>
    <mergeCell ref="B278:E278"/>
    <mergeCell ref="F278:I278"/>
    <mergeCell ref="J278:L278"/>
    <mergeCell ref="M278:N278"/>
    <mergeCell ref="O278:P278"/>
    <mergeCell ref="B279:E279"/>
    <mergeCell ref="F279:I279"/>
    <mergeCell ref="J279:L279"/>
    <mergeCell ref="M279:N279"/>
    <mergeCell ref="O279:P279"/>
    <mergeCell ref="B284:E284"/>
    <mergeCell ref="F284:I284"/>
    <mergeCell ref="J284:L284"/>
    <mergeCell ref="M284:N284"/>
    <mergeCell ref="O284:P284"/>
    <mergeCell ref="B285:E285"/>
    <mergeCell ref="F285:I285"/>
    <mergeCell ref="J285:L285"/>
    <mergeCell ref="M285:N285"/>
    <mergeCell ref="O285:P285"/>
    <mergeCell ref="B282:E282"/>
    <mergeCell ref="F282:I282"/>
    <mergeCell ref="J282:L282"/>
    <mergeCell ref="M282:N282"/>
    <mergeCell ref="O282:P282"/>
    <mergeCell ref="B283:E283"/>
    <mergeCell ref="F283:I283"/>
    <mergeCell ref="J283:L283"/>
    <mergeCell ref="M283:N283"/>
    <mergeCell ref="O283:P283"/>
    <mergeCell ref="B288:E288"/>
    <mergeCell ref="F288:I288"/>
    <mergeCell ref="J288:L288"/>
    <mergeCell ref="M288:N288"/>
    <mergeCell ref="O288:P288"/>
    <mergeCell ref="B289:E289"/>
    <mergeCell ref="F289:I289"/>
    <mergeCell ref="J289:L289"/>
    <mergeCell ref="M289:N289"/>
    <mergeCell ref="O289:P289"/>
    <mergeCell ref="B286:E286"/>
    <mergeCell ref="F286:I286"/>
    <mergeCell ref="J286:L286"/>
    <mergeCell ref="M286:N286"/>
    <mergeCell ref="O286:P286"/>
    <mergeCell ref="B287:E287"/>
    <mergeCell ref="F287:I287"/>
    <mergeCell ref="J287:L287"/>
    <mergeCell ref="M287:N287"/>
    <mergeCell ref="O287:P287"/>
    <mergeCell ref="B292:E292"/>
    <mergeCell ref="F292:I292"/>
    <mergeCell ref="J292:L292"/>
    <mergeCell ref="M292:N292"/>
    <mergeCell ref="O292:P292"/>
    <mergeCell ref="B293:E293"/>
    <mergeCell ref="F293:I293"/>
    <mergeCell ref="J293:L293"/>
    <mergeCell ref="M293:N293"/>
    <mergeCell ref="O293:P293"/>
    <mergeCell ref="B290:E290"/>
    <mergeCell ref="F290:I290"/>
    <mergeCell ref="J290:L290"/>
    <mergeCell ref="M290:N290"/>
    <mergeCell ref="O290:P290"/>
    <mergeCell ref="B291:E291"/>
    <mergeCell ref="F291:I291"/>
    <mergeCell ref="J291:L291"/>
    <mergeCell ref="M291:N291"/>
    <mergeCell ref="O291:P291"/>
    <mergeCell ref="B296:E296"/>
    <mergeCell ref="F296:I296"/>
    <mergeCell ref="J296:L296"/>
    <mergeCell ref="M296:N296"/>
    <mergeCell ref="O296:P296"/>
    <mergeCell ref="B297:E297"/>
    <mergeCell ref="F297:I297"/>
    <mergeCell ref="J297:L297"/>
    <mergeCell ref="M297:N297"/>
    <mergeCell ref="O297:P297"/>
    <mergeCell ref="B294:E294"/>
    <mergeCell ref="F294:I294"/>
    <mergeCell ref="J294:L294"/>
    <mergeCell ref="M294:N294"/>
    <mergeCell ref="O294:P294"/>
    <mergeCell ref="B295:E295"/>
    <mergeCell ref="F295:I295"/>
    <mergeCell ref="J295:L295"/>
    <mergeCell ref="M295:N295"/>
    <mergeCell ref="O295:P295"/>
    <mergeCell ref="B300:E300"/>
    <mergeCell ref="F300:I300"/>
    <mergeCell ref="J300:L300"/>
    <mergeCell ref="M300:N300"/>
    <mergeCell ref="O300:P300"/>
    <mergeCell ref="B301:E301"/>
    <mergeCell ref="F301:I301"/>
    <mergeCell ref="J301:L301"/>
    <mergeCell ref="M301:N301"/>
    <mergeCell ref="O301:P301"/>
    <mergeCell ref="B298:E298"/>
    <mergeCell ref="F298:I298"/>
    <mergeCell ref="J298:L298"/>
    <mergeCell ref="M298:N298"/>
    <mergeCell ref="O298:P298"/>
    <mergeCell ref="B299:E299"/>
    <mergeCell ref="F299:I299"/>
    <mergeCell ref="J299:L299"/>
    <mergeCell ref="M299:N299"/>
    <mergeCell ref="O299:P299"/>
    <mergeCell ref="B304:E304"/>
    <mergeCell ref="F304:I304"/>
    <mergeCell ref="J304:L304"/>
    <mergeCell ref="M304:N304"/>
    <mergeCell ref="O304:P304"/>
    <mergeCell ref="B305:E305"/>
    <mergeCell ref="F305:I305"/>
    <mergeCell ref="J305:L305"/>
    <mergeCell ref="M305:N305"/>
    <mergeCell ref="O305:P305"/>
    <mergeCell ref="B302:E302"/>
    <mergeCell ref="F302:I302"/>
    <mergeCell ref="J302:L302"/>
    <mergeCell ref="M302:N302"/>
    <mergeCell ref="O302:P302"/>
    <mergeCell ref="B303:E303"/>
    <mergeCell ref="F303:I303"/>
    <mergeCell ref="J303:L303"/>
    <mergeCell ref="M303:N303"/>
    <mergeCell ref="O303:P303"/>
    <mergeCell ref="B308:E308"/>
    <mergeCell ref="F308:I308"/>
    <mergeCell ref="J308:L308"/>
    <mergeCell ref="M308:N308"/>
    <mergeCell ref="O308:P308"/>
    <mergeCell ref="B309:E309"/>
    <mergeCell ref="F309:I309"/>
    <mergeCell ref="J309:L309"/>
    <mergeCell ref="M309:N309"/>
    <mergeCell ref="O309:P309"/>
    <mergeCell ref="B306:E306"/>
    <mergeCell ref="F306:I306"/>
    <mergeCell ref="J306:L306"/>
    <mergeCell ref="M306:N306"/>
    <mergeCell ref="O306:P306"/>
    <mergeCell ref="B307:E307"/>
    <mergeCell ref="F307:I307"/>
    <mergeCell ref="J307:L307"/>
    <mergeCell ref="M307:N307"/>
    <mergeCell ref="O307:P307"/>
    <mergeCell ref="B312:E312"/>
    <mergeCell ref="F312:I312"/>
    <mergeCell ref="J312:L312"/>
    <mergeCell ref="M312:N312"/>
    <mergeCell ref="O312:P312"/>
    <mergeCell ref="B313:E313"/>
    <mergeCell ref="F313:I313"/>
    <mergeCell ref="J313:L313"/>
    <mergeCell ref="M313:N313"/>
    <mergeCell ref="O313:P313"/>
    <mergeCell ref="B310:E310"/>
    <mergeCell ref="F310:I310"/>
    <mergeCell ref="J310:L310"/>
    <mergeCell ref="M310:N310"/>
    <mergeCell ref="O310:P310"/>
    <mergeCell ref="B311:E311"/>
    <mergeCell ref="F311:I311"/>
    <mergeCell ref="J311:L311"/>
    <mergeCell ref="M311:N311"/>
    <mergeCell ref="O311:P311"/>
    <mergeCell ref="B316:E316"/>
    <mergeCell ref="F316:I316"/>
    <mergeCell ref="J316:L316"/>
    <mergeCell ref="M316:N316"/>
    <mergeCell ref="O316:P316"/>
    <mergeCell ref="B317:E317"/>
    <mergeCell ref="F317:I317"/>
    <mergeCell ref="J317:L317"/>
    <mergeCell ref="M317:N317"/>
    <mergeCell ref="O317:P317"/>
    <mergeCell ref="B314:E314"/>
    <mergeCell ref="F314:I314"/>
    <mergeCell ref="J314:L314"/>
    <mergeCell ref="M314:N314"/>
    <mergeCell ref="O314:P314"/>
    <mergeCell ref="B315:E315"/>
    <mergeCell ref="F315:I315"/>
    <mergeCell ref="J315:L315"/>
    <mergeCell ref="M315:N315"/>
    <mergeCell ref="O315:P315"/>
    <mergeCell ref="B320:E320"/>
    <mergeCell ref="F320:I320"/>
    <mergeCell ref="J320:L320"/>
    <mergeCell ref="M320:N320"/>
    <mergeCell ref="O320:P320"/>
    <mergeCell ref="B321:E321"/>
    <mergeCell ref="F321:I321"/>
    <mergeCell ref="J321:L321"/>
    <mergeCell ref="M321:N321"/>
    <mergeCell ref="O321:P321"/>
    <mergeCell ref="B318:E318"/>
    <mergeCell ref="F318:I318"/>
    <mergeCell ref="J318:L318"/>
    <mergeCell ref="M318:N318"/>
    <mergeCell ref="O318:P318"/>
    <mergeCell ref="B319:E319"/>
    <mergeCell ref="F319:I319"/>
    <mergeCell ref="J319:L319"/>
    <mergeCell ref="M319:N319"/>
    <mergeCell ref="O319:P319"/>
    <mergeCell ref="B324:E324"/>
    <mergeCell ref="F324:I324"/>
    <mergeCell ref="J324:L324"/>
    <mergeCell ref="M324:N324"/>
    <mergeCell ref="O324:P324"/>
    <mergeCell ref="B325:E325"/>
    <mergeCell ref="F325:I325"/>
    <mergeCell ref="J325:L325"/>
    <mergeCell ref="M325:N325"/>
    <mergeCell ref="O325:P325"/>
    <mergeCell ref="B322:E322"/>
    <mergeCell ref="F322:I322"/>
    <mergeCell ref="J322:L322"/>
    <mergeCell ref="M322:N322"/>
    <mergeCell ref="O322:P322"/>
    <mergeCell ref="B323:E323"/>
    <mergeCell ref="F323:I323"/>
    <mergeCell ref="J323:L323"/>
    <mergeCell ref="M323:N323"/>
    <mergeCell ref="O323:P323"/>
    <mergeCell ref="B328:E328"/>
    <mergeCell ref="F328:I328"/>
    <mergeCell ref="J328:L328"/>
    <mergeCell ref="M328:N328"/>
    <mergeCell ref="O328:P328"/>
    <mergeCell ref="B329:E329"/>
    <mergeCell ref="F329:I329"/>
    <mergeCell ref="J329:L329"/>
    <mergeCell ref="M329:N329"/>
    <mergeCell ref="O329:P329"/>
    <mergeCell ref="B326:E326"/>
    <mergeCell ref="F326:I326"/>
    <mergeCell ref="J326:L326"/>
    <mergeCell ref="M326:N326"/>
    <mergeCell ref="O326:P326"/>
    <mergeCell ref="B327:E327"/>
    <mergeCell ref="F327:I327"/>
    <mergeCell ref="J327:L327"/>
    <mergeCell ref="M327:N327"/>
    <mergeCell ref="O327:P327"/>
    <mergeCell ref="B332:E332"/>
    <mergeCell ref="F332:I332"/>
    <mergeCell ref="J332:L332"/>
    <mergeCell ref="M332:N332"/>
    <mergeCell ref="O332:P332"/>
    <mergeCell ref="B333:E333"/>
    <mergeCell ref="F333:I333"/>
    <mergeCell ref="J333:L333"/>
    <mergeCell ref="M333:N333"/>
    <mergeCell ref="O333:P333"/>
    <mergeCell ref="B330:E330"/>
    <mergeCell ref="F330:I330"/>
    <mergeCell ref="J330:L330"/>
    <mergeCell ref="M330:N330"/>
    <mergeCell ref="O330:P330"/>
    <mergeCell ref="B331:E331"/>
    <mergeCell ref="F331:I331"/>
    <mergeCell ref="J331:L331"/>
    <mergeCell ref="M331:N331"/>
    <mergeCell ref="O331:P331"/>
    <mergeCell ref="B336:E336"/>
    <mergeCell ref="F336:I336"/>
    <mergeCell ref="J336:L336"/>
    <mergeCell ref="M336:N336"/>
    <mergeCell ref="O336:P336"/>
    <mergeCell ref="B337:E337"/>
    <mergeCell ref="F337:I337"/>
    <mergeCell ref="J337:L337"/>
    <mergeCell ref="M337:N337"/>
    <mergeCell ref="O337:P337"/>
    <mergeCell ref="B334:E334"/>
    <mergeCell ref="F334:I334"/>
    <mergeCell ref="J334:L334"/>
    <mergeCell ref="M334:N334"/>
    <mergeCell ref="O334:P334"/>
    <mergeCell ref="B335:E335"/>
    <mergeCell ref="F335:I335"/>
    <mergeCell ref="J335:L335"/>
    <mergeCell ref="M335:N335"/>
    <mergeCell ref="O335:P335"/>
    <mergeCell ref="B340:E340"/>
    <mergeCell ref="F340:I340"/>
    <mergeCell ref="J340:L340"/>
    <mergeCell ref="M340:N340"/>
    <mergeCell ref="O340:P340"/>
    <mergeCell ref="B341:E341"/>
    <mergeCell ref="F341:I341"/>
    <mergeCell ref="J341:L341"/>
    <mergeCell ref="M341:N341"/>
    <mergeCell ref="O341:P341"/>
    <mergeCell ref="B338:E338"/>
    <mergeCell ref="F338:I338"/>
    <mergeCell ref="J338:L338"/>
    <mergeCell ref="M338:N338"/>
    <mergeCell ref="O338:P338"/>
    <mergeCell ref="B339:E339"/>
    <mergeCell ref="F339:I339"/>
    <mergeCell ref="J339:L339"/>
    <mergeCell ref="M339:N339"/>
    <mergeCell ref="O339:P339"/>
    <mergeCell ref="B344:E344"/>
    <mergeCell ref="F344:I344"/>
    <mergeCell ref="J344:L344"/>
    <mergeCell ref="M344:N344"/>
    <mergeCell ref="O344:P344"/>
    <mergeCell ref="B345:E345"/>
    <mergeCell ref="F345:I345"/>
    <mergeCell ref="J345:L345"/>
    <mergeCell ref="M345:N345"/>
    <mergeCell ref="O345:P345"/>
    <mergeCell ref="B342:E342"/>
    <mergeCell ref="F342:I342"/>
    <mergeCell ref="J342:L342"/>
    <mergeCell ref="M342:N342"/>
    <mergeCell ref="O342:P342"/>
    <mergeCell ref="B343:E343"/>
    <mergeCell ref="F343:I343"/>
    <mergeCell ref="J343:L343"/>
    <mergeCell ref="M343:N343"/>
    <mergeCell ref="O343:P343"/>
    <mergeCell ref="B348:E348"/>
    <mergeCell ref="F348:I348"/>
    <mergeCell ref="J348:L348"/>
    <mergeCell ref="M348:N348"/>
    <mergeCell ref="O348:P348"/>
    <mergeCell ref="B349:E349"/>
    <mergeCell ref="F349:I349"/>
    <mergeCell ref="J349:L349"/>
    <mergeCell ref="M349:N349"/>
    <mergeCell ref="O349:P349"/>
    <mergeCell ref="B346:E346"/>
    <mergeCell ref="F346:I346"/>
    <mergeCell ref="J346:L346"/>
    <mergeCell ref="M346:N346"/>
    <mergeCell ref="O346:P346"/>
    <mergeCell ref="B347:E347"/>
    <mergeCell ref="F347:I347"/>
    <mergeCell ref="J347:L347"/>
    <mergeCell ref="M347:N347"/>
    <mergeCell ref="O347:P347"/>
    <mergeCell ref="B352:E352"/>
    <mergeCell ref="F352:I352"/>
    <mergeCell ref="J352:L352"/>
    <mergeCell ref="M352:N352"/>
    <mergeCell ref="O352:P352"/>
    <mergeCell ref="B353:E353"/>
    <mergeCell ref="F353:I353"/>
    <mergeCell ref="J353:L353"/>
    <mergeCell ref="M353:N353"/>
    <mergeCell ref="O353:P353"/>
    <mergeCell ref="B350:E350"/>
    <mergeCell ref="F350:I350"/>
    <mergeCell ref="J350:L350"/>
    <mergeCell ref="M350:N350"/>
    <mergeCell ref="O350:P350"/>
    <mergeCell ref="B351:E351"/>
    <mergeCell ref="F351:I351"/>
    <mergeCell ref="J351:L351"/>
    <mergeCell ref="M351:N351"/>
    <mergeCell ref="O351:P351"/>
    <mergeCell ref="B356:E356"/>
    <mergeCell ref="F356:I356"/>
    <mergeCell ref="J356:L356"/>
    <mergeCell ref="M356:N356"/>
    <mergeCell ref="O356:P356"/>
    <mergeCell ref="B357:E357"/>
    <mergeCell ref="F357:I357"/>
    <mergeCell ref="J357:L357"/>
    <mergeCell ref="M357:N357"/>
    <mergeCell ref="O357:P357"/>
    <mergeCell ref="B354:E354"/>
    <mergeCell ref="F354:I354"/>
    <mergeCell ref="J354:L354"/>
    <mergeCell ref="M354:N354"/>
    <mergeCell ref="O354:P354"/>
    <mergeCell ref="B355:E355"/>
    <mergeCell ref="F355:I355"/>
    <mergeCell ref="J355:L355"/>
    <mergeCell ref="M355:N355"/>
    <mergeCell ref="O355:P355"/>
    <mergeCell ref="B360:E360"/>
    <mergeCell ref="F360:I360"/>
    <mergeCell ref="J360:L360"/>
    <mergeCell ref="M360:N360"/>
    <mergeCell ref="O360:P360"/>
    <mergeCell ref="B361:E361"/>
    <mergeCell ref="F361:I361"/>
    <mergeCell ref="J361:L361"/>
    <mergeCell ref="M361:N361"/>
    <mergeCell ref="O361:P361"/>
    <mergeCell ref="B358:E358"/>
    <mergeCell ref="F358:I358"/>
    <mergeCell ref="J358:L358"/>
    <mergeCell ref="M358:N358"/>
    <mergeCell ref="O358:P358"/>
    <mergeCell ref="B359:E359"/>
    <mergeCell ref="F359:I359"/>
    <mergeCell ref="J359:L359"/>
    <mergeCell ref="M359:N359"/>
    <mergeCell ref="O359:P359"/>
    <mergeCell ref="B364:E364"/>
    <mergeCell ref="F364:I364"/>
    <mergeCell ref="J364:L364"/>
    <mergeCell ref="M364:N364"/>
    <mergeCell ref="O364:P364"/>
    <mergeCell ref="B365:E365"/>
    <mergeCell ref="F365:I365"/>
    <mergeCell ref="J365:L365"/>
    <mergeCell ref="M365:N365"/>
    <mergeCell ref="O365:P365"/>
    <mergeCell ref="B362:E362"/>
    <mergeCell ref="F362:I362"/>
    <mergeCell ref="J362:L362"/>
    <mergeCell ref="M362:N362"/>
    <mergeCell ref="O362:P362"/>
    <mergeCell ref="B363:E363"/>
    <mergeCell ref="F363:I363"/>
    <mergeCell ref="J363:L363"/>
    <mergeCell ref="M363:N363"/>
    <mergeCell ref="O363:P363"/>
    <mergeCell ref="B368:E368"/>
    <mergeCell ref="F368:I368"/>
    <mergeCell ref="J368:L368"/>
    <mergeCell ref="M368:N368"/>
    <mergeCell ref="O368:P368"/>
    <mergeCell ref="B369:E369"/>
    <mergeCell ref="F369:I369"/>
    <mergeCell ref="J369:L369"/>
    <mergeCell ref="M369:N369"/>
    <mergeCell ref="O369:P369"/>
    <mergeCell ref="B366:E366"/>
    <mergeCell ref="F366:I366"/>
    <mergeCell ref="J366:L366"/>
    <mergeCell ref="M366:N366"/>
    <mergeCell ref="O366:P366"/>
    <mergeCell ref="B367:E367"/>
    <mergeCell ref="F367:I367"/>
    <mergeCell ref="J367:L367"/>
    <mergeCell ref="M367:N367"/>
    <mergeCell ref="O367:P367"/>
    <mergeCell ref="B372:E372"/>
    <mergeCell ref="F372:I372"/>
    <mergeCell ref="J372:L372"/>
    <mergeCell ref="M372:N372"/>
    <mergeCell ref="O372:P372"/>
    <mergeCell ref="B373:E373"/>
    <mergeCell ref="F373:I373"/>
    <mergeCell ref="J373:L373"/>
    <mergeCell ref="M373:N373"/>
    <mergeCell ref="O373:P373"/>
    <mergeCell ref="B370:E370"/>
    <mergeCell ref="F370:I370"/>
    <mergeCell ref="J370:L370"/>
    <mergeCell ref="M370:N370"/>
    <mergeCell ref="O370:P370"/>
    <mergeCell ref="B371:E371"/>
    <mergeCell ref="F371:I371"/>
    <mergeCell ref="J371:L371"/>
    <mergeCell ref="M371:N371"/>
    <mergeCell ref="O371:P371"/>
    <mergeCell ref="B376:E376"/>
    <mergeCell ref="F376:I376"/>
    <mergeCell ref="J376:L376"/>
    <mergeCell ref="M376:N376"/>
    <mergeCell ref="O376:P376"/>
    <mergeCell ref="B377:E377"/>
    <mergeCell ref="F377:I377"/>
    <mergeCell ref="J377:L377"/>
    <mergeCell ref="M377:N377"/>
    <mergeCell ref="O377:P377"/>
    <mergeCell ref="B374:E374"/>
    <mergeCell ref="F374:I374"/>
    <mergeCell ref="J374:L374"/>
    <mergeCell ref="M374:N374"/>
    <mergeCell ref="O374:P374"/>
    <mergeCell ref="B375:E375"/>
    <mergeCell ref="F375:I375"/>
    <mergeCell ref="J375:L375"/>
    <mergeCell ref="M375:N375"/>
    <mergeCell ref="O375:P375"/>
    <mergeCell ref="B380:E380"/>
    <mergeCell ref="F380:I380"/>
    <mergeCell ref="J380:L380"/>
    <mergeCell ref="M380:N380"/>
    <mergeCell ref="O380:P380"/>
    <mergeCell ref="B381:E381"/>
    <mergeCell ref="F381:I381"/>
    <mergeCell ref="J381:L381"/>
    <mergeCell ref="M381:N381"/>
    <mergeCell ref="O381:P381"/>
    <mergeCell ref="B378:E378"/>
    <mergeCell ref="F378:I378"/>
    <mergeCell ref="J378:L378"/>
    <mergeCell ref="M378:N378"/>
    <mergeCell ref="O378:P378"/>
    <mergeCell ref="B379:E379"/>
    <mergeCell ref="F379:I379"/>
    <mergeCell ref="J379:L379"/>
    <mergeCell ref="M379:N379"/>
    <mergeCell ref="O379:P379"/>
    <mergeCell ref="B384:E384"/>
    <mergeCell ref="F384:I384"/>
    <mergeCell ref="J384:L384"/>
    <mergeCell ref="M384:N384"/>
    <mergeCell ref="O384:P384"/>
    <mergeCell ref="B385:E385"/>
    <mergeCell ref="F385:I385"/>
    <mergeCell ref="J385:L385"/>
    <mergeCell ref="M385:N385"/>
    <mergeCell ref="O385:P385"/>
    <mergeCell ref="B382:E382"/>
    <mergeCell ref="F382:I382"/>
    <mergeCell ref="J382:L382"/>
    <mergeCell ref="M382:N382"/>
    <mergeCell ref="O382:P382"/>
    <mergeCell ref="B383:E383"/>
    <mergeCell ref="F383:I383"/>
    <mergeCell ref="J383:L383"/>
    <mergeCell ref="M383:N383"/>
    <mergeCell ref="O383:P383"/>
    <mergeCell ref="B388:E388"/>
    <mergeCell ref="F388:I388"/>
    <mergeCell ref="J388:L388"/>
    <mergeCell ref="M388:N388"/>
    <mergeCell ref="O388:P388"/>
    <mergeCell ref="B389:E389"/>
    <mergeCell ref="F389:I389"/>
    <mergeCell ref="J389:L389"/>
    <mergeCell ref="M389:N389"/>
    <mergeCell ref="O389:P389"/>
    <mergeCell ref="B386:E386"/>
    <mergeCell ref="F386:I386"/>
    <mergeCell ref="J386:L386"/>
    <mergeCell ref="M386:N386"/>
    <mergeCell ref="O386:P386"/>
    <mergeCell ref="B387:E387"/>
    <mergeCell ref="F387:I387"/>
    <mergeCell ref="J387:L387"/>
    <mergeCell ref="M387:N387"/>
    <mergeCell ref="O387:P387"/>
    <mergeCell ref="B392:E392"/>
    <mergeCell ref="F392:I392"/>
    <mergeCell ref="J392:L392"/>
    <mergeCell ref="M392:N392"/>
    <mergeCell ref="O392:P392"/>
    <mergeCell ref="B393:E393"/>
    <mergeCell ref="F393:I393"/>
    <mergeCell ref="J393:L393"/>
    <mergeCell ref="M393:N393"/>
    <mergeCell ref="O393:P393"/>
    <mergeCell ref="B390:E390"/>
    <mergeCell ref="F390:I390"/>
    <mergeCell ref="J390:L390"/>
    <mergeCell ref="M390:N390"/>
    <mergeCell ref="O390:P390"/>
    <mergeCell ref="B391:E391"/>
    <mergeCell ref="F391:I391"/>
    <mergeCell ref="J391:L391"/>
    <mergeCell ref="M391:N391"/>
    <mergeCell ref="O391:P391"/>
    <mergeCell ref="B396:E396"/>
    <mergeCell ref="F396:I396"/>
    <mergeCell ref="J396:L396"/>
    <mergeCell ref="M396:N396"/>
    <mergeCell ref="O396:P396"/>
    <mergeCell ref="B397:E397"/>
    <mergeCell ref="F397:I397"/>
    <mergeCell ref="J397:L397"/>
    <mergeCell ref="M397:N397"/>
    <mergeCell ref="O397:P397"/>
    <mergeCell ref="B394:E394"/>
    <mergeCell ref="F394:I394"/>
    <mergeCell ref="J394:L394"/>
    <mergeCell ref="M394:N394"/>
    <mergeCell ref="O394:P394"/>
    <mergeCell ref="B395:E395"/>
    <mergeCell ref="F395:I395"/>
    <mergeCell ref="J395:L395"/>
    <mergeCell ref="M395:N395"/>
    <mergeCell ref="O395:P395"/>
    <mergeCell ref="B400:E400"/>
    <mergeCell ref="F400:I400"/>
    <mergeCell ref="J400:L400"/>
    <mergeCell ref="M400:N400"/>
    <mergeCell ref="O400:P400"/>
    <mergeCell ref="B401:E401"/>
    <mergeCell ref="F401:I401"/>
    <mergeCell ref="J401:L401"/>
    <mergeCell ref="M401:N401"/>
    <mergeCell ref="O401:P401"/>
    <mergeCell ref="B398:E398"/>
    <mergeCell ref="F398:I398"/>
    <mergeCell ref="J398:L398"/>
    <mergeCell ref="M398:N398"/>
    <mergeCell ref="O398:P398"/>
    <mergeCell ref="B399:E399"/>
    <mergeCell ref="F399:I399"/>
    <mergeCell ref="J399:L399"/>
    <mergeCell ref="M399:N399"/>
    <mergeCell ref="O399:P399"/>
    <mergeCell ref="B404:E404"/>
    <mergeCell ref="F404:I404"/>
    <mergeCell ref="J404:L404"/>
    <mergeCell ref="M404:N404"/>
    <mergeCell ref="O404:P404"/>
    <mergeCell ref="B405:E405"/>
    <mergeCell ref="F405:I405"/>
    <mergeCell ref="J405:L405"/>
    <mergeCell ref="M405:N405"/>
    <mergeCell ref="O405:P405"/>
    <mergeCell ref="B402:E402"/>
    <mergeCell ref="F402:I402"/>
    <mergeCell ref="J402:L402"/>
    <mergeCell ref="M402:N402"/>
    <mergeCell ref="O402:P402"/>
    <mergeCell ref="B403:E403"/>
    <mergeCell ref="F403:I403"/>
    <mergeCell ref="J403:L403"/>
    <mergeCell ref="M403:N403"/>
    <mergeCell ref="O403:P403"/>
    <mergeCell ref="B408:E408"/>
    <mergeCell ref="F408:I408"/>
    <mergeCell ref="J408:L408"/>
    <mergeCell ref="M408:N408"/>
    <mergeCell ref="O408:P408"/>
    <mergeCell ref="B409:E409"/>
    <mergeCell ref="F409:I409"/>
    <mergeCell ref="J409:L409"/>
    <mergeCell ref="M409:N409"/>
    <mergeCell ref="O409:P409"/>
    <mergeCell ref="B406:E406"/>
    <mergeCell ref="F406:I406"/>
    <mergeCell ref="J406:L406"/>
    <mergeCell ref="M406:N406"/>
    <mergeCell ref="O406:P406"/>
    <mergeCell ref="B407:E407"/>
    <mergeCell ref="F407:I407"/>
    <mergeCell ref="J407:L407"/>
    <mergeCell ref="M407:N407"/>
    <mergeCell ref="O407:P407"/>
    <mergeCell ref="B412:E412"/>
    <mergeCell ref="F412:I412"/>
    <mergeCell ref="J412:L412"/>
    <mergeCell ref="M412:N412"/>
    <mergeCell ref="O412:P412"/>
    <mergeCell ref="B413:E413"/>
    <mergeCell ref="F413:I413"/>
    <mergeCell ref="J413:L413"/>
    <mergeCell ref="M413:N413"/>
    <mergeCell ref="O413:P413"/>
    <mergeCell ref="B410:E410"/>
    <mergeCell ref="F410:I410"/>
    <mergeCell ref="J410:L410"/>
    <mergeCell ref="M410:N410"/>
    <mergeCell ref="O410:P410"/>
    <mergeCell ref="B411:E411"/>
    <mergeCell ref="F411:I411"/>
    <mergeCell ref="J411:L411"/>
    <mergeCell ref="M411:N411"/>
    <mergeCell ref="O411:P411"/>
    <mergeCell ref="B416:E416"/>
    <mergeCell ref="F416:I416"/>
    <mergeCell ref="J416:L416"/>
    <mergeCell ref="M416:N416"/>
    <mergeCell ref="O416:P416"/>
    <mergeCell ref="B417:E417"/>
    <mergeCell ref="F417:I417"/>
    <mergeCell ref="J417:L417"/>
    <mergeCell ref="M417:N417"/>
    <mergeCell ref="O417:P417"/>
    <mergeCell ref="B414:E414"/>
    <mergeCell ref="F414:I414"/>
    <mergeCell ref="J414:L414"/>
    <mergeCell ref="M414:N414"/>
    <mergeCell ref="O414:P414"/>
    <mergeCell ref="B415:E415"/>
    <mergeCell ref="F415:I415"/>
    <mergeCell ref="J415:L415"/>
    <mergeCell ref="M415:N415"/>
    <mergeCell ref="O415:P415"/>
    <mergeCell ref="B420:E420"/>
    <mergeCell ref="F420:I420"/>
    <mergeCell ref="J420:L420"/>
    <mergeCell ref="M420:N420"/>
    <mergeCell ref="O420:P420"/>
    <mergeCell ref="B421:E421"/>
    <mergeCell ref="F421:I421"/>
    <mergeCell ref="J421:L421"/>
    <mergeCell ref="M421:N421"/>
    <mergeCell ref="O421:P421"/>
    <mergeCell ref="B418:E418"/>
    <mergeCell ref="F418:I418"/>
    <mergeCell ref="J418:L418"/>
    <mergeCell ref="M418:N418"/>
    <mergeCell ref="O418:P418"/>
    <mergeCell ref="B419:E419"/>
    <mergeCell ref="F419:I419"/>
    <mergeCell ref="J419:L419"/>
    <mergeCell ref="M419:N419"/>
    <mergeCell ref="O419:P419"/>
    <mergeCell ref="B424:E424"/>
    <mergeCell ref="F424:I424"/>
    <mergeCell ref="J424:L424"/>
    <mergeCell ref="M424:N424"/>
    <mergeCell ref="O424:P424"/>
    <mergeCell ref="B425:E425"/>
    <mergeCell ref="F425:I425"/>
    <mergeCell ref="J425:L425"/>
    <mergeCell ref="M425:N425"/>
    <mergeCell ref="O425:P425"/>
    <mergeCell ref="B422:E422"/>
    <mergeCell ref="F422:I422"/>
    <mergeCell ref="J422:L422"/>
    <mergeCell ref="M422:N422"/>
    <mergeCell ref="O422:P422"/>
    <mergeCell ref="B423:E423"/>
    <mergeCell ref="F423:I423"/>
    <mergeCell ref="J423:L423"/>
    <mergeCell ref="M423:N423"/>
    <mergeCell ref="O423:P423"/>
    <mergeCell ref="B428:E428"/>
    <mergeCell ref="F428:I428"/>
    <mergeCell ref="J428:L428"/>
    <mergeCell ref="M428:N428"/>
    <mergeCell ref="O428:P428"/>
    <mergeCell ref="B429:E429"/>
    <mergeCell ref="F429:I429"/>
    <mergeCell ref="J429:L429"/>
    <mergeCell ref="M429:N429"/>
    <mergeCell ref="O429:P429"/>
    <mergeCell ref="B426:E426"/>
    <mergeCell ref="F426:I426"/>
    <mergeCell ref="J426:L426"/>
    <mergeCell ref="M426:N426"/>
    <mergeCell ref="O426:P426"/>
    <mergeCell ref="B427:E427"/>
    <mergeCell ref="F427:I427"/>
    <mergeCell ref="J427:L427"/>
    <mergeCell ref="M427:N427"/>
    <mergeCell ref="O427:P427"/>
    <mergeCell ref="B432:E432"/>
    <mergeCell ref="F432:I432"/>
    <mergeCell ref="J432:L432"/>
    <mergeCell ref="M432:N432"/>
    <mergeCell ref="O432:P432"/>
    <mergeCell ref="B433:E433"/>
    <mergeCell ref="F433:I433"/>
    <mergeCell ref="J433:L433"/>
    <mergeCell ref="M433:N433"/>
    <mergeCell ref="O433:P433"/>
    <mergeCell ref="B430:E430"/>
    <mergeCell ref="F430:I430"/>
    <mergeCell ref="J430:L430"/>
    <mergeCell ref="M430:N430"/>
    <mergeCell ref="O430:P430"/>
    <mergeCell ref="B431:E431"/>
    <mergeCell ref="F431:I431"/>
    <mergeCell ref="J431:L431"/>
    <mergeCell ref="M431:N431"/>
    <mergeCell ref="O431:P431"/>
    <mergeCell ref="B436:E436"/>
    <mergeCell ref="F436:I436"/>
    <mergeCell ref="J436:L436"/>
    <mergeCell ref="M436:N436"/>
    <mergeCell ref="O436:P436"/>
    <mergeCell ref="B437:E437"/>
    <mergeCell ref="F437:I437"/>
    <mergeCell ref="J437:L437"/>
    <mergeCell ref="M437:N437"/>
    <mergeCell ref="O437:P437"/>
    <mergeCell ref="B434:E434"/>
    <mergeCell ref="F434:I434"/>
    <mergeCell ref="J434:L434"/>
    <mergeCell ref="M434:N434"/>
    <mergeCell ref="O434:P434"/>
    <mergeCell ref="B435:E435"/>
    <mergeCell ref="F435:I435"/>
    <mergeCell ref="J435:L435"/>
    <mergeCell ref="M435:N435"/>
    <mergeCell ref="O435:P435"/>
    <mergeCell ref="B440:E440"/>
    <mergeCell ref="F440:I440"/>
    <mergeCell ref="J440:L440"/>
    <mergeCell ref="M440:N440"/>
    <mergeCell ref="O440:P440"/>
    <mergeCell ref="B441:E441"/>
    <mergeCell ref="F441:I441"/>
    <mergeCell ref="J441:L441"/>
    <mergeCell ref="M441:N441"/>
    <mergeCell ref="O441:P441"/>
    <mergeCell ref="B438:E438"/>
    <mergeCell ref="F438:I438"/>
    <mergeCell ref="J438:L438"/>
    <mergeCell ref="M438:N438"/>
    <mergeCell ref="O438:P438"/>
    <mergeCell ref="B439:E439"/>
    <mergeCell ref="F439:I439"/>
    <mergeCell ref="J439:L439"/>
    <mergeCell ref="M439:N439"/>
    <mergeCell ref="O439:P439"/>
    <mergeCell ref="B444:E444"/>
    <mergeCell ref="F444:I444"/>
    <mergeCell ref="J444:L444"/>
    <mergeCell ref="M444:N444"/>
    <mergeCell ref="O444:P444"/>
    <mergeCell ref="B445:E445"/>
    <mergeCell ref="F445:I445"/>
    <mergeCell ref="J445:L445"/>
    <mergeCell ref="M445:N445"/>
    <mergeCell ref="O445:P445"/>
    <mergeCell ref="B442:E442"/>
    <mergeCell ref="F442:I442"/>
    <mergeCell ref="J442:L442"/>
    <mergeCell ref="M442:N442"/>
    <mergeCell ref="O442:P442"/>
    <mergeCell ref="B443:E443"/>
    <mergeCell ref="F443:I443"/>
    <mergeCell ref="J443:L443"/>
    <mergeCell ref="M443:N443"/>
    <mergeCell ref="O443:P443"/>
    <mergeCell ref="B448:E448"/>
    <mergeCell ref="F448:I448"/>
    <mergeCell ref="J448:L448"/>
    <mergeCell ref="M448:N448"/>
    <mergeCell ref="O448:P448"/>
    <mergeCell ref="B449:E449"/>
    <mergeCell ref="F449:I449"/>
    <mergeCell ref="J449:L449"/>
    <mergeCell ref="M449:N449"/>
    <mergeCell ref="O449:P449"/>
    <mergeCell ref="B446:E446"/>
    <mergeCell ref="F446:I446"/>
    <mergeCell ref="J446:L446"/>
    <mergeCell ref="M446:N446"/>
    <mergeCell ref="O446:P446"/>
    <mergeCell ref="B447:E447"/>
    <mergeCell ref="F447:I447"/>
    <mergeCell ref="J447:L447"/>
    <mergeCell ref="M447:N447"/>
    <mergeCell ref="O447:P447"/>
    <mergeCell ref="B452:E452"/>
    <mergeCell ref="F452:I452"/>
    <mergeCell ref="J452:L452"/>
    <mergeCell ref="M452:N452"/>
    <mergeCell ref="O452:P452"/>
    <mergeCell ref="B453:E453"/>
    <mergeCell ref="F453:I453"/>
    <mergeCell ref="J453:L453"/>
    <mergeCell ref="M453:N453"/>
    <mergeCell ref="O453:P453"/>
    <mergeCell ref="B450:E450"/>
    <mergeCell ref="F450:I450"/>
    <mergeCell ref="J450:L450"/>
    <mergeCell ref="M450:N450"/>
    <mergeCell ref="O450:P450"/>
    <mergeCell ref="B451:E451"/>
    <mergeCell ref="F451:I451"/>
    <mergeCell ref="J451:L451"/>
    <mergeCell ref="M451:N451"/>
    <mergeCell ref="O451:P451"/>
    <mergeCell ref="B456:E456"/>
    <mergeCell ref="F456:I456"/>
    <mergeCell ref="J456:L456"/>
    <mergeCell ref="M456:N456"/>
    <mergeCell ref="O456:P456"/>
    <mergeCell ref="B457:E457"/>
    <mergeCell ref="F457:I457"/>
    <mergeCell ref="J457:L457"/>
    <mergeCell ref="M457:N457"/>
    <mergeCell ref="O457:P457"/>
    <mergeCell ref="B454:E454"/>
    <mergeCell ref="F454:I454"/>
    <mergeCell ref="J454:L454"/>
    <mergeCell ref="M454:N454"/>
    <mergeCell ref="O454:P454"/>
    <mergeCell ref="B455:E455"/>
    <mergeCell ref="F455:I455"/>
    <mergeCell ref="J455:L455"/>
    <mergeCell ref="M455:N455"/>
    <mergeCell ref="O455:P455"/>
    <mergeCell ref="B460:E460"/>
    <mergeCell ref="F460:I460"/>
    <mergeCell ref="J460:L460"/>
    <mergeCell ref="M460:N460"/>
    <mergeCell ref="O460:P460"/>
    <mergeCell ref="B461:E461"/>
    <mergeCell ref="F461:I461"/>
    <mergeCell ref="J461:L461"/>
    <mergeCell ref="M461:N461"/>
    <mergeCell ref="O461:P461"/>
    <mergeCell ref="B458:E458"/>
    <mergeCell ref="F458:I458"/>
    <mergeCell ref="J458:L458"/>
    <mergeCell ref="M458:N458"/>
    <mergeCell ref="O458:P458"/>
    <mergeCell ref="B459:E459"/>
    <mergeCell ref="F459:I459"/>
    <mergeCell ref="J459:L459"/>
    <mergeCell ref="M459:N459"/>
    <mergeCell ref="O459:P459"/>
    <mergeCell ref="B464:E464"/>
    <mergeCell ref="F464:I464"/>
    <mergeCell ref="J464:L464"/>
    <mergeCell ref="M464:N464"/>
    <mergeCell ref="O464:P464"/>
    <mergeCell ref="B465:E465"/>
    <mergeCell ref="F465:I465"/>
    <mergeCell ref="J465:L465"/>
    <mergeCell ref="M465:N465"/>
    <mergeCell ref="O465:P465"/>
    <mergeCell ref="B462:E462"/>
    <mergeCell ref="F462:I462"/>
    <mergeCell ref="J462:L462"/>
    <mergeCell ref="M462:N462"/>
    <mergeCell ref="O462:P462"/>
    <mergeCell ref="B463:E463"/>
    <mergeCell ref="F463:I463"/>
    <mergeCell ref="J463:L463"/>
    <mergeCell ref="M463:N463"/>
    <mergeCell ref="O463:P463"/>
    <mergeCell ref="B468:E468"/>
    <mergeCell ref="F468:I468"/>
    <mergeCell ref="J468:L468"/>
    <mergeCell ref="M468:N468"/>
    <mergeCell ref="O468:P468"/>
    <mergeCell ref="B469:E469"/>
    <mergeCell ref="F469:I469"/>
    <mergeCell ref="J469:L469"/>
    <mergeCell ref="M469:N469"/>
    <mergeCell ref="O469:P469"/>
    <mergeCell ref="B466:E466"/>
    <mergeCell ref="F466:I466"/>
    <mergeCell ref="J466:L466"/>
    <mergeCell ref="M466:N466"/>
    <mergeCell ref="O466:P466"/>
    <mergeCell ref="B467:E467"/>
    <mergeCell ref="F467:I467"/>
    <mergeCell ref="J467:L467"/>
    <mergeCell ref="M467:N467"/>
    <mergeCell ref="O467:P467"/>
    <mergeCell ref="B472:E472"/>
    <mergeCell ref="F472:I472"/>
    <mergeCell ref="J472:L472"/>
    <mergeCell ref="M472:N472"/>
    <mergeCell ref="O472:P472"/>
    <mergeCell ref="B473:E473"/>
    <mergeCell ref="F473:I473"/>
    <mergeCell ref="J473:L473"/>
    <mergeCell ref="M473:N473"/>
    <mergeCell ref="O473:P473"/>
    <mergeCell ref="B470:E470"/>
    <mergeCell ref="F470:I470"/>
    <mergeCell ref="J470:L470"/>
    <mergeCell ref="M470:N470"/>
    <mergeCell ref="O470:P470"/>
    <mergeCell ref="B471:E471"/>
    <mergeCell ref="F471:I471"/>
    <mergeCell ref="J471:L471"/>
    <mergeCell ref="M471:N471"/>
    <mergeCell ref="O471:P471"/>
    <mergeCell ref="B476:E476"/>
    <mergeCell ref="F476:I476"/>
    <mergeCell ref="J476:L476"/>
    <mergeCell ref="M476:N476"/>
    <mergeCell ref="O476:P476"/>
    <mergeCell ref="B477:E477"/>
    <mergeCell ref="F477:I477"/>
    <mergeCell ref="J477:L477"/>
    <mergeCell ref="M477:N477"/>
    <mergeCell ref="O477:P477"/>
    <mergeCell ref="B474:E474"/>
    <mergeCell ref="F474:I474"/>
    <mergeCell ref="J474:L474"/>
    <mergeCell ref="M474:N474"/>
    <mergeCell ref="O474:P474"/>
    <mergeCell ref="B475:E475"/>
    <mergeCell ref="F475:I475"/>
    <mergeCell ref="J475:L475"/>
    <mergeCell ref="M475:N475"/>
    <mergeCell ref="O475:P475"/>
    <mergeCell ref="B480:E480"/>
    <mergeCell ref="F480:I480"/>
    <mergeCell ref="J480:L480"/>
    <mergeCell ref="M480:N480"/>
    <mergeCell ref="O480:P480"/>
    <mergeCell ref="B481:E481"/>
    <mergeCell ref="F481:I481"/>
    <mergeCell ref="J481:L481"/>
    <mergeCell ref="M481:N481"/>
    <mergeCell ref="O481:P481"/>
    <mergeCell ref="B478:E478"/>
    <mergeCell ref="F478:I478"/>
    <mergeCell ref="J478:L478"/>
    <mergeCell ref="M478:N478"/>
    <mergeCell ref="O478:P478"/>
    <mergeCell ref="B479:E479"/>
    <mergeCell ref="F479:I479"/>
    <mergeCell ref="J479:L479"/>
    <mergeCell ref="M479:N479"/>
    <mergeCell ref="O479:P479"/>
    <mergeCell ref="B484:E484"/>
    <mergeCell ref="F484:I484"/>
    <mergeCell ref="J484:L484"/>
    <mergeCell ref="M484:N484"/>
    <mergeCell ref="O484:P484"/>
    <mergeCell ref="B485:E485"/>
    <mergeCell ref="F485:I485"/>
    <mergeCell ref="J485:L485"/>
    <mergeCell ref="M485:N485"/>
    <mergeCell ref="O485:P485"/>
    <mergeCell ref="B482:E482"/>
    <mergeCell ref="F482:I482"/>
    <mergeCell ref="J482:L482"/>
    <mergeCell ref="M482:N482"/>
    <mergeCell ref="O482:P482"/>
    <mergeCell ref="B483:E483"/>
    <mergeCell ref="F483:I483"/>
    <mergeCell ref="J483:L483"/>
    <mergeCell ref="M483:N483"/>
    <mergeCell ref="O483:P483"/>
    <mergeCell ref="B488:E488"/>
    <mergeCell ref="F488:I488"/>
    <mergeCell ref="J488:L488"/>
    <mergeCell ref="M488:N488"/>
    <mergeCell ref="O488:P488"/>
    <mergeCell ref="B489:E489"/>
    <mergeCell ref="F489:I489"/>
    <mergeCell ref="J489:L489"/>
    <mergeCell ref="M489:N489"/>
    <mergeCell ref="O489:P489"/>
    <mergeCell ref="B486:E486"/>
    <mergeCell ref="F486:I486"/>
    <mergeCell ref="J486:L486"/>
    <mergeCell ref="M486:N486"/>
    <mergeCell ref="O486:P486"/>
    <mergeCell ref="B487:E487"/>
    <mergeCell ref="F487:I487"/>
    <mergeCell ref="J487:L487"/>
    <mergeCell ref="M487:N487"/>
    <mergeCell ref="O487:P487"/>
    <mergeCell ref="B492:E492"/>
    <mergeCell ref="F492:I492"/>
    <mergeCell ref="J492:L492"/>
    <mergeCell ref="M492:N492"/>
    <mergeCell ref="O492:P492"/>
    <mergeCell ref="B493:E493"/>
    <mergeCell ref="F493:I493"/>
    <mergeCell ref="J493:L493"/>
    <mergeCell ref="M493:N493"/>
    <mergeCell ref="O493:P493"/>
    <mergeCell ref="B490:E490"/>
    <mergeCell ref="F490:I490"/>
    <mergeCell ref="J490:L490"/>
    <mergeCell ref="M490:N490"/>
    <mergeCell ref="O490:P490"/>
    <mergeCell ref="B491:E491"/>
    <mergeCell ref="F491:I491"/>
    <mergeCell ref="J491:L491"/>
    <mergeCell ref="M491:N491"/>
    <mergeCell ref="O491:P491"/>
    <mergeCell ref="B496:E496"/>
    <mergeCell ref="F496:I496"/>
    <mergeCell ref="J496:L496"/>
    <mergeCell ref="M496:N496"/>
    <mergeCell ref="O496:P496"/>
    <mergeCell ref="B497:E497"/>
    <mergeCell ref="F497:I497"/>
    <mergeCell ref="J497:L497"/>
    <mergeCell ref="M497:N497"/>
    <mergeCell ref="O497:P497"/>
    <mergeCell ref="B494:E494"/>
    <mergeCell ref="F494:I494"/>
    <mergeCell ref="J494:L494"/>
    <mergeCell ref="M494:N494"/>
    <mergeCell ref="O494:P494"/>
    <mergeCell ref="B495:E495"/>
    <mergeCell ref="F495:I495"/>
    <mergeCell ref="J495:L495"/>
    <mergeCell ref="M495:N495"/>
    <mergeCell ref="O495:P495"/>
    <mergeCell ref="B500:E500"/>
    <mergeCell ref="F500:I500"/>
    <mergeCell ref="J500:L500"/>
    <mergeCell ref="M500:N500"/>
    <mergeCell ref="O500:P500"/>
    <mergeCell ref="B501:E501"/>
    <mergeCell ref="F501:I501"/>
    <mergeCell ref="J501:L501"/>
    <mergeCell ref="M501:N501"/>
    <mergeCell ref="O501:P501"/>
    <mergeCell ref="B498:E498"/>
    <mergeCell ref="F498:I498"/>
    <mergeCell ref="J498:L498"/>
    <mergeCell ref="M498:N498"/>
    <mergeCell ref="O498:P498"/>
    <mergeCell ref="B499:E499"/>
    <mergeCell ref="F499:I499"/>
    <mergeCell ref="J499:L499"/>
    <mergeCell ref="M499:N499"/>
    <mergeCell ref="O499:P499"/>
    <mergeCell ref="B504:E504"/>
    <mergeCell ref="F504:I504"/>
    <mergeCell ref="J504:L504"/>
    <mergeCell ref="M504:N504"/>
    <mergeCell ref="O504:P504"/>
    <mergeCell ref="B505:E505"/>
    <mergeCell ref="F505:I505"/>
    <mergeCell ref="J505:L505"/>
    <mergeCell ref="M505:N505"/>
    <mergeCell ref="O505:P505"/>
    <mergeCell ref="B502:E502"/>
    <mergeCell ref="F502:I502"/>
    <mergeCell ref="J502:L502"/>
    <mergeCell ref="M502:N502"/>
    <mergeCell ref="O502:P502"/>
    <mergeCell ref="B503:E503"/>
    <mergeCell ref="F503:I503"/>
    <mergeCell ref="J503:L503"/>
    <mergeCell ref="M503:N503"/>
    <mergeCell ref="O503:P503"/>
    <mergeCell ref="B508:E508"/>
    <mergeCell ref="F508:I508"/>
    <mergeCell ref="J508:L508"/>
    <mergeCell ref="M508:N508"/>
    <mergeCell ref="O508:P508"/>
    <mergeCell ref="B509:E509"/>
    <mergeCell ref="F509:I509"/>
    <mergeCell ref="J509:L509"/>
    <mergeCell ref="M509:N509"/>
    <mergeCell ref="O509:P509"/>
    <mergeCell ref="B506:E506"/>
    <mergeCell ref="F506:I506"/>
    <mergeCell ref="J506:L506"/>
    <mergeCell ref="M506:N506"/>
    <mergeCell ref="O506:P506"/>
    <mergeCell ref="B507:E507"/>
    <mergeCell ref="F507:I507"/>
    <mergeCell ref="J507:L507"/>
    <mergeCell ref="M507:N507"/>
    <mergeCell ref="O507:P507"/>
    <mergeCell ref="B512:E512"/>
    <mergeCell ref="F512:I512"/>
    <mergeCell ref="J512:L512"/>
    <mergeCell ref="M512:N512"/>
    <mergeCell ref="O512:P512"/>
    <mergeCell ref="B513:E513"/>
    <mergeCell ref="F513:I513"/>
    <mergeCell ref="J513:L513"/>
    <mergeCell ref="M513:N513"/>
    <mergeCell ref="O513:P513"/>
    <mergeCell ref="B510:E510"/>
    <mergeCell ref="F510:I510"/>
    <mergeCell ref="J510:L510"/>
    <mergeCell ref="M510:N510"/>
    <mergeCell ref="O510:P510"/>
    <mergeCell ref="B511:E511"/>
    <mergeCell ref="F511:I511"/>
    <mergeCell ref="J511:L511"/>
    <mergeCell ref="M511:N511"/>
    <mergeCell ref="O511:P511"/>
    <mergeCell ref="B516:E516"/>
    <mergeCell ref="F516:I516"/>
    <mergeCell ref="J516:L516"/>
    <mergeCell ref="M516:N516"/>
    <mergeCell ref="O516:P516"/>
    <mergeCell ref="B517:E517"/>
    <mergeCell ref="F517:I517"/>
    <mergeCell ref="J517:L517"/>
    <mergeCell ref="M517:N517"/>
    <mergeCell ref="O517:P517"/>
    <mergeCell ref="B514:E514"/>
    <mergeCell ref="F514:I514"/>
    <mergeCell ref="J514:L514"/>
    <mergeCell ref="M514:N514"/>
    <mergeCell ref="O514:P514"/>
    <mergeCell ref="B515:E515"/>
    <mergeCell ref="F515:I515"/>
    <mergeCell ref="J515:L515"/>
    <mergeCell ref="M515:N515"/>
    <mergeCell ref="O515:P515"/>
    <mergeCell ref="B520:E520"/>
    <mergeCell ref="F520:I520"/>
    <mergeCell ref="J520:L520"/>
    <mergeCell ref="M520:N520"/>
    <mergeCell ref="O520:P520"/>
    <mergeCell ref="B521:E521"/>
    <mergeCell ref="F521:I521"/>
    <mergeCell ref="J521:L521"/>
    <mergeCell ref="M521:N521"/>
    <mergeCell ref="O521:P521"/>
    <mergeCell ref="B518:E518"/>
    <mergeCell ref="F518:I518"/>
    <mergeCell ref="J518:L518"/>
    <mergeCell ref="M518:N518"/>
    <mergeCell ref="O518:P518"/>
    <mergeCell ref="B519:E519"/>
    <mergeCell ref="F519:I519"/>
    <mergeCell ref="J519:L519"/>
    <mergeCell ref="M519:N519"/>
    <mergeCell ref="O519:P519"/>
    <mergeCell ref="B524:E524"/>
    <mergeCell ref="F524:I524"/>
    <mergeCell ref="J524:L524"/>
    <mergeCell ref="M524:N524"/>
    <mergeCell ref="O524:P524"/>
    <mergeCell ref="B525:E525"/>
    <mergeCell ref="F525:I525"/>
    <mergeCell ref="J525:L525"/>
    <mergeCell ref="M525:N525"/>
    <mergeCell ref="O525:P525"/>
    <mergeCell ref="B522:E522"/>
    <mergeCell ref="F522:I522"/>
    <mergeCell ref="J522:L522"/>
    <mergeCell ref="M522:N522"/>
    <mergeCell ref="O522:P522"/>
    <mergeCell ref="B523:E523"/>
    <mergeCell ref="F523:I523"/>
    <mergeCell ref="J523:L523"/>
    <mergeCell ref="M523:N523"/>
    <mergeCell ref="O523:P523"/>
    <mergeCell ref="B528:E528"/>
    <mergeCell ref="F528:I528"/>
    <mergeCell ref="J528:L528"/>
    <mergeCell ref="M528:N528"/>
    <mergeCell ref="O528:P528"/>
    <mergeCell ref="B529:E529"/>
    <mergeCell ref="F529:I529"/>
    <mergeCell ref="J529:L529"/>
    <mergeCell ref="M529:N529"/>
    <mergeCell ref="O529:P529"/>
    <mergeCell ref="B526:E526"/>
    <mergeCell ref="F526:I526"/>
    <mergeCell ref="J526:L526"/>
    <mergeCell ref="M526:N526"/>
    <mergeCell ref="O526:P526"/>
    <mergeCell ref="B527:E527"/>
    <mergeCell ref="F527:I527"/>
    <mergeCell ref="J527:L527"/>
    <mergeCell ref="M527:N527"/>
    <mergeCell ref="O527:P527"/>
    <mergeCell ref="B532:E532"/>
    <mergeCell ref="F532:I532"/>
    <mergeCell ref="J532:L532"/>
    <mergeCell ref="M532:N532"/>
    <mergeCell ref="O532:P532"/>
    <mergeCell ref="B533:E533"/>
    <mergeCell ref="F533:I533"/>
    <mergeCell ref="J533:L533"/>
    <mergeCell ref="M533:N533"/>
    <mergeCell ref="O533:P533"/>
    <mergeCell ref="B530:E530"/>
    <mergeCell ref="F530:I530"/>
    <mergeCell ref="J530:L530"/>
    <mergeCell ref="M530:N530"/>
    <mergeCell ref="O530:P530"/>
    <mergeCell ref="B531:E531"/>
    <mergeCell ref="F531:I531"/>
    <mergeCell ref="J531:L531"/>
    <mergeCell ref="M531:N531"/>
    <mergeCell ref="O531:P531"/>
    <mergeCell ref="B536:E536"/>
    <mergeCell ref="F536:I536"/>
    <mergeCell ref="J536:L536"/>
    <mergeCell ref="M536:N536"/>
    <mergeCell ref="O536:P536"/>
    <mergeCell ref="B537:E537"/>
    <mergeCell ref="F537:I537"/>
    <mergeCell ref="J537:L537"/>
    <mergeCell ref="M537:N537"/>
    <mergeCell ref="O537:P537"/>
    <mergeCell ref="B534:E534"/>
    <mergeCell ref="F534:I534"/>
    <mergeCell ref="J534:L534"/>
    <mergeCell ref="M534:N534"/>
    <mergeCell ref="O534:P534"/>
    <mergeCell ref="B535:E535"/>
    <mergeCell ref="F535:I535"/>
    <mergeCell ref="J535:L535"/>
    <mergeCell ref="M535:N535"/>
    <mergeCell ref="O535:P535"/>
    <mergeCell ref="B540:E540"/>
    <mergeCell ref="F540:I540"/>
    <mergeCell ref="J540:L540"/>
    <mergeCell ref="M540:N540"/>
    <mergeCell ref="O540:P540"/>
    <mergeCell ref="B541:E541"/>
    <mergeCell ref="F541:I541"/>
    <mergeCell ref="J541:L541"/>
    <mergeCell ref="M541:N541"/>
    <mergeCell ref="O541:P541"/>
    <mergeCell ref="B538:E538"/>
    <mergeCell ref="F538:I538"/>
    <mergeCell ref="J538:L538"/>
    <mergeCell ref="M538:N538"/>
    <mergeCell ref="O538:P538"/>
    <mergeCell ref="B539:E539"/>
    <mergeCell ref="F539:I539"/>
    <mergeCell ref="J539:L539"/>
    <mergeCell ref="M539:N539"/>
    <mergeCell ref="O539:P539"/>
    <mergeCell ref="B544:E544"/>
    <mergeCell ref="F544:I544"/>
    <mergeCell ref="J544:L544"/>
    <mergeCell ref="M544:N544"/>
    <mergeCell ref="O544:P544"/>
    <mergeCell ref="B545:E545"/>
    <mergeCell ref="F545:I545"/>
    <mergeCell ref="J545:L545"/>
    <mergeCell ref="M545:N545"/>
    <mergeCell ref="O545:P545"/>
    <mergeCell ref="B542:E542"/>
    <mergeCell ref="F542:I542"/>
    <mergeCell ref="J542:L542"/>
    <mergeCell ref="M542:N542"/>
    <mergeCell ref="O542:P542"/>
    <mergeCell ref="B543:E543"/>
    <mergeCell ref="F543:I543"/>
    <mergeCell ref="J543:L543"/>
    <mergeCell ref="M543:N543"/>
    <mergeCell ref="O543:P543"/>
    <mergeCell ref="B548:E548"/>
    <mergeCell ref="F548:I548"/>
    <mergeCell ref="J548:L548"/>
    <mergeCell ref="M548:N548"/>
    <mergeCell ref="O548:P548"/>
    <mergeCell ref="B549:E549"/>
    <mergeCell ref="F549:I549"/>
    <mergeCell ref="J549:L549"/>
    <mergeCell ref="M549:N549"/>
    <mergeCell ref="O549:P549"/>
    <mergeCell ref="B546:E546"/>
    <mergeCell ref="F546:I546"/>
    <mergeCell ref="J546:L546"/>
    <mergeCell ref="M546:N546"/>
    <mergeCell ref="O546:P546"/>
    <mergeCell ref="B547:E547"/>
    <mergeCell ref="F547:I547"/>
    <mergeCell ref="J547:L547"/>
    <mergeCell ref="M547:N547"/>
    <mergeCell ref="O547:P547"/>
    <mergeCell ref="B552:E552"/>
    <mergeCell ref="F552:I552"/>
    <mergeCell ref="J552:L552"/>
    <mergeCell ref="M552:N552"/>
    <mergeCell ref="O552:P552"/>
    <mergeCell ref="B553:E553"/>
    <mergeCell ref="F553:I553"/>
    <mergeCell ref="J553:L553"/>
    <mergeCell ref="M553:N553"/>
    <mergeCell ref="O553:P553"/>
    <mergeCell ref="B550:E550"/>
    <mergeCell ref="F550:I550"/>
    <mergeCell ref="J550:L550"/>
    <mergeCell ref="M550:N550"/>
    <mergeCell ref="O550:P550"/>
    <mergeCell ref="B551:E551"/>
    <mergeCell ref="F551:I551"/>
    <mergeCell ref="J551:L551"/>
    <mergeCell ref="M551:N551"/>
    <mergeCell ref="O551:P551"/>
    <mergeCell ref="B556:E556"/>
    <mergeCell ref="F556:I556"/>
    <mergeCell ref="J556:L556"/>
    <mergeCell ref="M556:N556"/>
    <mergeCell ref="O556:P556"/>
    <mergeCell ref="B557:E557"/>
    <mergeCell ref="F557:I557"/>
    <mergeCell ref="J557:L557"/>
    <mergeCell ref="M557:N557"/>
    <mergeCell ref="O557:P557"/>
    <mergeCell ref="B554:E554"/>
    <mergeCell ref="F554:I554"/>
    <mergeCell ref="J554:L554"/>
    <mergeCell ref="M554:N554"/>
    <mergeCell ref="O554:P554"/>
    <mergeCell ref="B555:E555"/>
    <mergeCell ref="F555:I555"/>
    <mergeCell ref="J555:L555"/>
    <mergeCell ref="M555:N555"/>
    <mergeCell ref="O555:P555"/>
    <mergeCell ref="B560:E560"/>
    <mergeCell ref="F560:I560"/>
    <mergeCell ref="J560:L560"/>
    <mergeCell ref="M560:N560"/>
    <mergeCell ref="O560:P560"/>
    <mergeCell ref="B561:E561"/>
    <mergeCell ref="F561:I561"/>
    <mergeCell ref="J561:L561"/>
    <mergeCell ref="M561:N561"/>
    <mergeCell ref="O561:P561"/>
    <mergeCell ref="B558:E558"/>
    <mergeCell ref="F558:I558"/>
    <mergeCell ref="J558:L558"/>
    <mergeCell ref="M558:N558"/>
    <mergeCell ref="O558:P558"/>
    <mergeCell ref="B559:E559"/>
    <mergeCell ref="F559:I559"/>
    <mergeCell ref="J559:L559"/>
    <mergeCell ref="M559:N559"/>
    <mergeCell ref="O559:P559"/>
    <mergeCell ref="B564:E564"/>
    <mergeCell ref="F564:I564"/>
    <mergeCell ref="J564:L564"/>
    <mergeCell ref="M564:N564"/>
    <mergeCell ref="O564:P564"/>
    <mergeCell ref="B565:E565"/>
    <mergeCell ref="F565:I565"/>
    <mergeCell ref="J565:L565"/>
    <mergeCell ref="M565:N565"/>
    <mergeCell ref="O565:P565"/>
    <mergeCell ref="B562:E562"/>
    <mergeCell ref="F562:I562"/>
    <mergeCell ref="J562:L562"/>
    <mergeCell ref="M562:N562"/>
    <mergeCell ref="O562:P562"/>
    <mergeCell ref="B563:E563"/>
    <mergeCell ref="F563:I563"/>
    <mergeCell ref="J563:L563"/>
    <mergeCell ref="M563:N563"/>
    <mergeCell ref="O563:P563"/>
    <mergeCell ref="B568:E568"/>
    <mergeCell ref="F568:I568"/>
    <mergeCell ref="J568:L568"/>
    <mergeCell ref="M568:N568"/>
    <mergeCell ref="O568:P568"/>
    <mergeCell ref="B569:E569"/>
    <mergeCell ref="F569:I569"/>
    <mergeCell ref="J569:L569"/>
    <mergeCell ref="M569:N569"/>
    <mergeCell ref="O569:P569"/>
    <mergeCell ref="B566:E566"/>
    <mergeCell ref="F566:I566"/>
    <mergeCell ref="J566:L566"/>
    <mergeCell ref="M566:N566"/>
    <mergeCell ref="O566:P566"/>
    <mergeCell ref="B567:E567"/>
    <mergeCell ref="F567:I567"/>
    <mergeCell ref="J567:L567"/>
    <mergeCell ref="M567:N567"/>
    <mergeCell ref="O567:P567"/>
    <mergeCell ref="B572:E572"/>
    <mergeCell ref="F572:I572"/>
    <mergeCell ref="J572:L572"/>
    <mergeCell ref="M572:N572"/>
    <mergeCell ref="O572:P572"/>
    <mergeCell ref="B573:E573"/>
    <mergeCell ref="F573:I573"/>
    <mergeCell ref="J573:L573"/>
    <mergeCell ref="M573:N573"/>
    <mergeCell ref="O573:P573"/>
    <mergeCell ref="B570:E570"/>
    <mergeCell ref="F570:I570"/>
    <mergeCell ref="J570:L570"/>
    <mergeCell ref="M570:N570"/>
    <mergeCell ref="O570:P570"/>
    <mergeCell ref="B571:E571"/>
    <mergeCell ref="F571:I571"/>
    <mergeCell ref="J571:L571"/>
    <mergeCell ref="M571:N571"/>
    <mergeCell ref="O571:P571"/>
    <mergeCell ref="B576:E576"/>
    <mergeCell ref="F576:I576"/>
    <mergeCell ref="J576:L576"/>
    <mergeCell ref="M576:N576"/>
    <mergeCell ref="O576:P576"/>
    <mergeCell ref="B577:E577"/>
    <mergeCell ref="F577:I577"/>
    <mergeCell ref="J577:L577"/>
    <mergeCell ref="M577:N577"/>
    <mergeCell ref="O577:P577"/>
    <mergeCell ref="B574:E574"/>
    <mergeCell ref="F574:I574"/>
    <mergeCell ref="J574:L574"/>
    <mergeCell ref="M574:N574"/>
    <mergeCell ref="O574:P574"/>
    <mergeCell ref="B575:E575"/>
    <mergeCell ref="F575:I575"/>
    <mergeCell ref="J575:L575"/>
    <mergeCell ref="M575:N575"/>
    <mergeCell ref="O575:P575"/>
    <mergeCell ref="B580:E580"/>
    <mergeCell ref="F580:I580"/>
    <mergeCell ref="J580:L580"/>
    <mergeCell ref="M580:N580"/>
    <mergeCell ref="O580:P580"/>
    <mergeCell ref="B581:E581"/>
    <mergeCell ref="F581:I581"/>
    <mergeCell ref="J581:L581"/>
    <mergeCell ref="M581:N581"/>
    <mergeCell ref="O581:P581"/>
    <mergeCell ref="B578:E578"/>
    <mergeCell ref="F578:I578"/>
    <mergeCell ref="J578:L578"/>
    <mergeCell ref="M578:N578"/>
    <mergeCell ref="O578:P578"/>
    <mergeCell ref="B579:E579"/>
    <mergeCell ref="F579:I579"/>
    <mergeCell ref="J579:L579"/>
    <mergeCell ref="M579:N579"/>
    <mergeCell ref="O579:P579"/>
    <mergeCell ref="B584:E584"/>
    <mergeCell ref="F584:I584"/>
    <mergeCell ref="J584:L584"/>
    <mergeCell ref="M584:N584"/>
    <mergeCell ref="O584:P584"/>
    <mergeCell ref="B585:E585"/>
    <mergeCell ref="F585:I585"/>
    <mergeCell ref="J585:L585"/>
    <mergeCell ref="M585:N585"/>
    <mergeCell ref="O585:P585"/>
    <mergeCell ref="B582:E582"/>
    <mergeCell ref="F582:I582"/>
    <mergeCell ref="J582:L582"/>
    <mergeCell ref="M582:N582"/>
    <mergeCell ref="O582:P582"/>
    <mergeCell ref="B583:E583"/>
    <mergeCell ref="F583:I583"/>
    <mergeCell ref="J583:L583"/>
    <mergeCell ref="M583:N583"/>
    <mergeCell ref="O583:P583"/>
    <mergeCell ref="B588:E588"/>
    <mergeCell ref="F588:I588"/>
    <mergeCell ref="J588:L588"/>
    <mergeCell ref="M588:N588"/>
    <mergeCell ref="O588:P588"/>
    <mergeCell ref="B589:E589"/>
    <mergeCell ref="F589:I589"/>
    <mergeCell ref="J589:L589"/>
    <mergeCell ref="M589:N589"/>
    <mergeCell ref="O589:P589"/>
    <mergeCell ref="B586:E586"/>
    <mergeCell ref="F586:I586"/>
    <mergeCell ref="J586:L586"/>
    <mergeCell ref="M586:N586"/>
    <mergeCell ref="O586:P586"/>
    <mergeCell ref="B587:E587"/>
    <mergeCell ref="F587:I587"/>
    <mergeCell ref="J587:L587"/>
    <mergeCell ref="M587:N587"/>
    <mergeCell ref="O587:P587"/>
    <mergeCell ref="B592:E592"/>
    <mergeCell ref="F592:I592"/>
    <mergeCell ref="J592:L592"/>
    <mergeCell ref="M592:N592"/>
    <mergeCell ref="O592:P592"/>
    <mergeCell ref="B593:E593"/>
    <mergeCell ref="F593:I593"/>
    <mergeCell ref="J593:L593"/>
    <mergeCell ref="M593:N593"/>
    <mergeCell ref="O593:P593"/>
    <mergeCell ref="B590:E590"/>
    <mergeCell ref="F590:I590"/>
    <mergeCell ref="J590:L590"/>
    <mergeCell ref="M590:N590"/>
    <mergeCell ref="O590:P590"/>
    <mergeCell ref="B591:E591"/>
    <mergeCell ref="F591:I591"/>
    <mergeCell ref="J591:L591"/>
    <mergeCell ref="M591:N591"/>
    <mergeCell ref="O591:P591"/>
    <mergeCell ref="B596:E596"/>
    <mergeCell ref="F596:I596"/>
    <mergeCell ref="J596:L596"/>
    <mergeCell ref="M596:N596"/>
    <mergeCell ref="O596:P596"/>
    <mergeCell ref="B597:E597"/>
    <mergeCell ref="F597:I597"/>
    <mergeCell ref="J597:L597"/>
    <mergeCell ref="M597:N597"/>
    <mergeCell ref="O597:P597"/>
    <mergeCell ref="B594:E594"/>
    <mergeCell ref="F594:I594"/>
    <mergeCell ref="J594:L594"/>
    <mergeCell ref="M594:N594"/>
    <mergeCell ref="O594:P594"/>
    <mergeCell ref="B595:E595"/>
    <mergeCell ref="F595:I595"/>
    <mergeCell ref="J595:L595"/>
    <mergeCell ref="M595:N595"/>
    <mergeCell ref="O595:P595"/>
    <mergeCell ref="B600:E600"/>
    <mergeCell ref="F600:I600"/>
    <mergeCell ref="J600:L600"/>
    <mergeCell ref="M600:N600"/>
    <mergeCell ref="O600:P600"/>
    <mergeCell ref="B601:E601"/>
    <mergeCell ref="F601:I601"/>
    <mergeCell ref="J601:L601"/>
    <mergeCell ref="M601:N601"/>
    <mergeCell ref="O601:P601"/>
    <mergeCell ref="B598:E598"/>
    <mergeCell ref="F598:I598"/>
    <mergeCell ref="J598:L598"/>
    <mergeCell ref="M598:N598"/>
    <mergeCell ref="O598:P598"/>
    <mergeCell ref="B599:E599"/>
    <mergeCell ref="F599:I599"/>
    <mergeCell ref="J599:L599"/>
    <mergeCell ref="M599:N599"/>
    <mergeCell ref="O599:P599"/>
    <mergeCell ref="B604:E604"/>
    <mergeCell ref="F604:I604"/>
    <mergeCell ref="J604:L604"/>
    <mergeCell ref="M604:N604"/>
    <mergeCell ref="O604:P604"/>
    <mergeCell ref="B605:E605"/>
    <mergeCell ref="F605:I605"/>
    <mergeCell ref="J605:L605"/>
    <mergeCell ref="M605:N605"/>
    <mergeCell ref="O605:P605"/>
    <mergeCell ref="B602:E602"/>
    <mergeCell ref="F602:I602"/>
    <mergeCell ref="J602:L602"/>
    <mergeCell ref="M602:N602"/>
    <mergeCell ref="O602:P602"/>
    <mergeCell ref="B603:E603"/>
    <mergeCell ref="F603:I603"/>
    <mergeCell ref="J603:L603"/>
    <mergeCell ref="M603:N603"/>
    <mergeCell ref="O603:P603"/>
    <mergeCell ref="B608:E608"/>
    <mergeCell ref="F608:I608"/>
    <mergeCell ref="J608:L608"/>
    <mergeCell ref="M608:N608"/>
    <mergeCell ref="O608:P608"/>
    <mergeCell ref="B609:E609"/>
    <mergeCell ref="F609:I609"/>
    <mergeCell ref="J609:L609"/>
    <mergeCell ref="M609:N609"/>
    <mergeCell ref="O609:P609"/>
    <mergeCell ref="B606:E606"/>
    <mergeCell ref="F606:I606"/>
    <mergeCell ref="J606:L606"/>
    <mergeCell ref="M606:N606"/>
    <mergeCell ref="O606:P606"/>
    <mergeCell ref="B607:E607"/>
    <mergeCell ref="F607:I607"/>
    <mergeCell ref="J607:L607"/>
    <mergeCell ref="M607:N607"/>
    <mergeCell ref="O607:P607"/>
    <mergeCell ref="B612:E612"/>
    <mergeCell ref="F612:I612"/>
    <mergeCell ref="J612:L612"/>
    <mergeCell ref="M612:N612"/>
    <mergeCell ref="O612:P612"/>
    <mergeCell ref="B613:E613"/>
    <mergeCell ref="F613:I613"/>
    <mergeCell ref="J613:L613"/>
    <mergeCell ref="M613:N613"/>
    <mergeCell ref="O613:P613"/>
    <mergeCell ref="B610:E610"/>
    <mergeCell ref="F610:I610"/>
    <mergeCell ref="J610:L610"/>
    <mergeCell ref="M610:N610"/>
    <mergeCell ref="O610:P610"/>
    <mergeCell ref="B611:E611"/>
    <mergeCell ref="F611:I611"/>
    <mergeCell ref="J611:L611"/>
    <mergeCell ref="M611:N611"/>
    <mergeCell ref="O611:P611"/>
    <mergeCell ref="B616:E616"/>
    <mergeCell ref="F616:I616"/>
    <mergeCell ref="J616:L616"/>
    <mergeCell ref="M616:N616"/>
    <mergeCell ref="O616:P616"/>
    <mergeCell ref="B617:E617"/>
    <mergeCell ref="F617:I617"/>
    <mergeCell ref="J617:L617"/>
    <mergeCell ref="M617:N617"/>
    <mergeCell ref="O617:P617"/>
    <mergeCell ref="B614:E614"/>
    <mergeCell ref="F614:I614"/>
    <mergeCell ref="J614:L614"/>
    <mergeCell ref="M614:N614"/>
    <mergeCell ref="O614:P614"/>
    <mergeCell ref="B615:E615"/>
    <mergeCell ref="F615:I615"/>
    <mergeCell ref="J615:L615"/>
    <mergeCell ref="M615:N615"/>
    <mergeCell ref="O615:P615"/>
    <mergeCell ref="B620:E620"/>
    <mergeCell ref="F620:I620"/>
    <mergeCell ref="J620:L620"/>
    <mergeCell ref="M620:N620"/>
    <mergeCell ref="O620:P620"/>
    <mergeCell ref="B621:E621"/>
    <mergeCell ref="F621:I621"/>
    <mergeCell ref="J621:L621"/>
    <mergeCell ref="M621:N621"/>
    <mergeCell ref="O621:P621"/>
    <mergeCell ref="B618:E618"/>
    <mergeCell ref="F618:I618"/>
    <mergeCell ref="J618:L618"/>
    <mergeCell ref="M618:N618"/>
    <mergeCell ref="O618:P618"/>
    <mergeCell ref="B619:E619"/>
    <mergeCell ref="F619:I619"/>
    <mergeCell ref="J619:L619"/>
    <mergeCell ref="M619:N619"/>
    <mergeCell ref="O619:P619"/>
    <mergeCell ref="B624:E624"/>
    <mergeCell ref="F624:I624"/>
    <mergeCell ref="J624:L624"/>
    <mergeCell ref="M624:N624"/>
    <mergeCell ref="O624:P624"/>
    <mergeCell ref="B625:E625"/>
    <mergeCell ref="F625:I625"/>
    <mergeCell ref="J625:L625"/>
    <mergeCell ref="M625:N625"/>
    <mergeCell ref="O625:P625"/>
    <mergeCell ref="B622:E622"/>
    <mergeCell ref="F622:I622"/>
    <mergeCell ref="J622:L622"/>
    <mergeCell ref="M622:N622"/>
    <mergeCell ref="O622:P622"/>
    <mergeCell ref="B623:E623"/>
    <mergeCell ref="F623:I623"/>
    <mergeCell ref="J623:L623"/>
    <mergeCell ref="M623:N623"/>
    <mergeCell ref="O623:P623"/>
    <mergeCell ref="B628:E628"/>
    <mergeCell ref="F628:I628"/>
    <mergeCell ref="J628:L628"/>
    <mergeCell ref="M628:N628"/>
    <mergeCell ref="O628:P628"/>
    <mergeCell ref="B629:E629"/>
    <mergeCell ref="F629:I629"/>
    <mergeCell ref="J629:L629"/>
    <mergeCell ref="M629:N629"/>
    <mergeCell ref="O629:P629"/>
    <mergeCell ref="B626:E626"/>
    <mergeCell ref="F626:I626"/>
    <mergeCell ref="J626:L626"/>
    <mergeCell ref="M626:N626"/>
    <mergeCell ref="O626:P626"/>
    <mergeCell ref="B627:E627"/>
    <mergeCell ref="F627:I627"/>
    <mergeCell ref="J627:L627"/>
    <mergeCell ref="M627:N627"/>
    <mergeCell ref="O627:P627"/>
    <mergeCell ref="B632:E632"/>
    <mergeCell ref="F632:I632"/>
    <mergeCell ref="J632:L632"/>
    <mergeCell ref="M632:N632"/>
    <mergeCell ref="O632:P632"/>
    <mergeCell ref="B633:E633"/>
    <mergeCell ref="F633:I633"/>
    <mergeCell ref="J633:L633"/>
    <mergeCell ref="M633:N633"/>
    <mergeCell ref="O633:P633"/>
    <mergeCell ref="B630:E630"/>
    <mergeCell ref="F630:I630"/>
    <mergeCell ref="J630:L630"/>
    <mergeCell ref="M630:N630"/>
    <mergeCell ref="O630:P630"/>
    <mergeCell ref="B631:E631"/>
    <mergeCell ref="F631:I631"/>
    <mergeCell ref="J631:L631"/>
    <mergeCell ref="M631:N631"/>
    <mergeCell ref="O631:P631"/>
    <mergeCell ref="B636:E636"/>
    <mergeCell ref="F636:I636"/>
    <mergeCell ref="J636:L636"/>
    <mergeCell ref="M636:N636"/>
    <mergeCell ref="O636:P636"/>
    <mergeCell ref="B637:E637"/>
    <mergeCell ref="F637:I637"/>
    <mergeCell ref="J637:L637"/>
    <mergeCell ref="M637:N637"/>
    <mergeCell ref="O637:P637"/>
    <mergeCell ref="B634:E634"/>
    <mergeCell ref="F634:I634"/>
    <mergeCell ref="J634:L634"/>
    <mergeCell ref="M634:N634"/>
    <mergeCell ref="O634:P634"/>
    <mergeCell ref="B635:E635"/>
    <mergeCell ref="F635:I635"/>
    <mergeCell ref="J635:L635"/>
    <mergeCell ref="M635:N635"/>
    <mergeCell ref="O635:P635"/>
    <mergeCell ref="B640:E640"/>
    <mergeCell ref="F640:I640"/>
    <mergeCell ref="J640:L640"/>
    <mergeCell ref="M640:N640"/>
    <mergeCell ref="O640:P640"/>
    <mergeCell ref="B641:E641"/>
    <mergeCell ref="F641:I641"/>
    <mergeCell ref="J641:L641"/>
    <mergeCell ref="M641:N641"/>
    <mergeCell ref="O641:P641"/>
    <mergeCell ref="B638:E638"/>
    <mergeCell ref="F638:I638"/>
    <mergeCell ref="J638:L638"/>
    <mergeCell ref="M638:N638"/>
    <mergeCell ref="O638:P638"/>
    <mergeCell ref="B639:E639"/>
    <mergeCell ref="F639:I639"/>
    <mergeCell ref="J639:L639"/>
    <mergeCell ref="M639:N639"/>
    <mergeCell ref="O639:P639"/>
    <mergeCell ref="B644:E644"/>
    <mergeCell ref="F644:I644"/>
    <mergeCell ref="J644:L644"/>
    <mergeCell ref="M644:N644"/>
    <mergeCell ref="O644:P644"/>
    <mergeCell ref="B645:E645"/>
    <mergeCell ref="F645:I645"/>
    <mergeCell ref="J645:L645"/>
    <mergeCell ref="M645:N645"/>
    <mergeCell ref="O645:P645"/>
    <mergeCell ref="B642:E642"/>
    <mergeCell ref="F642:I642"/>
    <mergeCell ref="J642:L642"/>
    <mergeCell ref="M642:N642"/>
    <mergeCell ref="O642:P642"/>
    <mergeCell ref="B643:E643"/>
    <mergeCell ref="F643:I643"/>
    <mergeCell ref="J643:L643"/>
    <mergeCell ref="M643:N643"/>
    <mergeCell ref="O643:P643"/>
    <mergeCell ref="B648:E648"/>
    <mergeCell ref="F648:I648"/>
    <mergeCell ref="J648:L648"/>
    <mergeCell ref="M648:N648"/>
    <mergeCell ref="O648:P648"/>
    <mergeCell ref="B649:E649"/>
    <mergeCell ref="F649:I649"/>
    <mergeCell ref="J649:L649"/>
    <mergeCell ref="M649:N649"/>
    <mergeCell ref="O649:P649"/>
    <mergeCell ref="B646:E646"/>
    <mergeCell ref="F646:I646"/>
    <mergeCell ref="J646:L646"/>
    <mergeCell ref="M646:N646"/>
    <mergeCell ref="O646:P646"/>
    <mergeCell ref="B647:E647"/>
    <mergeCell ref="F647:I647"/>
    <mergeCell ref="J647:L647"/>
    <mergeCell ref="M647:N647"/>
    <mergeCell ref="O647:P647"/>
    <mergeCell ref="B652:E652"/>
    <mergeCell ref="F652:I652"/>
    <mergeCell ref="J652:L652"/>
    <mergeCell ref="M652:N652"/>
    <mergeCell ref="O652:P652"/>
    <mergeCell ref="B653:E653"/>
    <mergeCell ref="F653:I653"/>
    <mergeCell ref="J653:L653"/>
    <mergeCell ref="M653:N653"/>
    <mergeCell ref="O653:P653"/>
    <mergeCell ref="B650:E650"/>
    <mergeCell ref="F650:I650"/>
    <mergeCell ref="J650:L650"/>
    <mergeCell ref="M650:N650"/>
    <mergeCell ref="O650:P650"/>
    <mergeCell ref="B651:E651"/>
    <mergeCell ref="F651:I651"/>
    <mergeCell ref="J651:L651"/>
    <mergeCell ref="M651:N651"/>
    <mergeCell ref="O651:P651"/>
    <mergeCell ref="B656:E656"/>
    <mergeCell ref="F656:I656"/>
    <mergeCell ref="J656:L656"/>
    <mergeCell ref="M656:N656"/>
    <mergeCell ref="O656:P656"/>
    <mergeCell ref="B657:E657"/>
    <mergeCell ref="F657:I657"/>
    <mergeCell ref="J657:L657"/>
    <mergeCell ref="M657:N657"/>
    <mergeCell ref="O657:P657"/>
    <mergeCell ref="B654:E654"/>
    <mergeCell ref="F654:I654"/>
    <mergeCell ref="J654:L654"/>
    <mergeCell ref="M654:N654"/>
    <mergeCell ref="O654:P654"/>
    <mergeCell ref="B655:E655"/>
    <mergeCell ref="F655:I655"/>
    <mergeCell ref="J655:L655"/>
    <mergeCell ref="M655:N655"/>
    <mergeCell ref="O655:P655"/>
    <mergeCell ref="B660:E660"/>
    <mergeCell ref="F660:I660"/>
    <mergeCell ref="J660:L660"/>
    <mergeCell ref="M660:N660"/>
    <mergeCell ref="O660:P660"/>
    <mergeCell ref="B661:E661"/>
    <mergeCell ref="F661:I661"/>
    <mergeCell ref="J661:L661"/>
    <mergeCell ref="M661:N661"/>
    <mergeCell ref="O661:P661"/>
    <mergeCell ref="B658:E658"/>
    <mergeCell ref="F658:I658"/>
    <mergeCell ref="J658:L658"/>
    <mergeCell ref="M658:N658"/>
    <mergeCell ref="O658:P658"/>
    <mergeCell ref="B659:E659"/>
    <mergeCell ref="F659:I659"/>
    <mergeCell ref="J659:L659"/>
    <mergeCell ref="M659:N659"/>
    <mergeCell ref="O659:P659"/>
    <mergeCell ref="B664:E664"/>
    <mergeCell ref="F664:I664"/>
    <mergeCell ref="J664:L664"/>
    <mergeCell ref="M664:N664"/>
    <mergeCell ref="O664:P664"/>
    <mergeCell ref="B665:E665"/>
    <mergeCell ref="F665:I665"/>
    <mergeCell ref="J665:L665"/>
    <mergeCell ref="M665:N665"/>
    <mergeCell ref="O665:P665"/>
    <mergeCell ref="B662:E662"/>
    <mergeCell ref="F662:I662"/>
    <mergeCell ref="J662:L662"/>
    <mergeCell ref="M662:N662"/>
    <mergeCell ref="O662:P662"/>
    <mergeCell ref="B663:E663"/>
    <mergeCell ref="F663:I663"/>
    <mergeCell ref="J663:L663"/>
    <mergeCell ref="M663:N663"/>
    <mergeCell ref="O663:P663"/>
    <mergeCell ref="B668:E668"/>
    <mergeCell ref="F668:I668"/>
    <mergeCell ref="J668:L668"/>
    <mergeCell ref="M668:N668"/>
    <mergeCell ref="O668:P668"/>
    <mergeCell ref="B669:E669"/>
    <mergeCell ref="F669:I669"/>
    <mergeCell ref="J669:L669"/>
    <mergeCell ref="M669:N669"/>
    <mergeCell ref="O669:P669"/>
    <mergeCell ref="B666:E666"/>
    <mergeCell ref="F666:I666"/>
    <mergeCell ref="J666:L666"/>
    <mergeCell ref="M666:N666"/>
    <mergeCell ref="O666:P666"/>
    <mergeCell ref="B667:E667"/>
    <mergeCell ref="F667:I667"/>
    <mergeCell ref="J667:L667"/>
    <mergeCell ref="M667:N667"/>
    <mergeCell ref="O667:P667"/>
    <mergeCell ref="B672:E672"/>
    <mergeCell ref="F672:I672"/>
    <mergeCell ref="J672:L672"/>
    <mergeCell ref="M672:N672"/>
    <mergeCell ref="O672:P672"/>
    <mergeCell ref="B673:E673"/>
    <mergeCell ref="F673:I673"/>
    <mergeCell ref="J673:L673"/>
    <mergeCell ref="M673:N673"/>
    <mergeCell ref="O673:P673"/>
    <mergeCell ref="B670:E670"/>
    <mergeCell ref="F670:I670"/>
    <mergeCell ref="J670:L670"/>
    <mergeCell ref="M670:N670"/>
    <mergeCell ref="O670:P670"/>
    <mergeCell ref="B671:E671"/>
    <mergeCell ref="F671:I671"/>
    <mergeCell ref="J671:L671"/>
    <mergeCell ref="M671:N671"/>
    <mergeCell ref="O671:P671"/>
    <mergeCell ref="B676:E676"/>
    <mergeCell ref="F676:I676"/>
    <mergeCell ref="J676:L676"/>
    <mergeCell ref="M676:N676"/>
    <mergeCell ref="O676:P676"/>
    <mergeCell ref="B677:E677"/>
    <mergeCell ref="F677:I677"/>
    <mergeCell ref="J677:L677"/>
    <mergeCell ref="M677:N677"/>
    <mergeCell ref="O677:P677"/>
    <mergeCell ref="B674:E674"/>
    <mergeCell ref="F674:I674"/>
    <mergeCell ref="J674:L674"/>
    <mergeCell ref="M674:N674"/>
    <mergeCell ref="O674:P674"/>
    <mergeCell ref="B675:E675"/>
    <mergeCell ref="F675:I675"/>
    <mergeCell ref="J675:L675"/>
    <mergeCell ref="M675:N675"/>
    <mergeCell ref="O675:P675"/>
    <mergeCell ref="B680:E680"/>
    <mergeCell ref="F680:I680"/>
    <mergeCell ref="J680:L680"/>
    <mergeCell ref="M680:N680"/>
    <mergeCell ref="O680:P680"/>
    <mergeCell ref="B681:E681"/>
    <mergeCell ref="F681:I681"/>
    <mergeCell ref="J681:L681"/>
    <mergeCell ref="M681:N681"/>
    <mergeCell ref="O681:P681"/>
    <mergeCell ref="B678:E678"/>
    <mergeCell ref="F678:I678"/>
    <mergeCell ref="J678:L678"/>
    <mergeCell ref="M678:N678"/>
    <mergeCell ref="O678:P678"/>
    <mergeCell ref="B679:E679"/>
    <mergeCell ref="F679:I679"/>
    <mergeCell ref="J679:L679"/>
    <mergeCell ref="M679:N679"/>
    <mergeCell ref="O679:P679"/>
    <mergeCell ref="B684:E684"/>
    <mergeCell ref="F684:I684"/>
    <mergeCell ref="J684:L684"/>
    <mergeCell ref="M684:N684"/>
    <mergeCell ref="O684:P684"/>
    <mergeCell ref="B685:E685"/>
    <mergeCell ref="F685:I685"/>
    <mergeCell ref="J685:L685"/>
    <mergeCell ref="M685:N685"/>
    <mergeCell ref="O685:P685"/>
    <mergeCell ref="B682:E682"/>
    <mergeCell ref="F682:I682"/>
    <mergeCell ref="J682:L682"/>
    <mergeCell ref="M682:N682"/>
    <mergeCell ref="O682:P682"/>
    <mergeCell ref="B683:E683"/>
    <mergeCell ref="F683:I683"/>
    <mergeCell ref="J683:L683"/>
    <mergeCell ref="M683:N683"/>
    <mergeCell ref="O683:P683"/>
    <mergeCell ref="B688:E688"/>
    <mergeCell ref="F688:I688"/>
    <mergeCell ref="J688:L688"/>
    <mergeCell ref="M688:N688"/>
    <mergeCell ref="O688:P688"/>
    <mergeCell ref="B689:E689"/>
    <mergeCell ref="F689:I689"/>
    <mergeCell ref="J689:L689"/>
    <mergeCell ref="M689:N689"/>
    <mergeCell ref="O689:P689"/>
    <mergeCell ref="B686:E686"/>
    <mergeCell ref="F686:I686"/>
    <mergeCell ref="J686:L686"/>
    <mergeCell ref="M686:N686"/>
    <mergeCell ref="O686:P686"/>
    <mergeCell ref="B687:E687"/>
    <mergeCell ref="F687:I687"/>
    <mergeCell ref="J687:L687"/>
    <mergeCell ref="M687:N687"/>
    <mergeCell ref="O687:P687"/>
    <mergeCell ref="B692:E692"/>
    <mergeCell ref="F692:I692"/>
    <mergeCell ref="J692:L692"/>
    <mergeCell ref="M692:N692"/>
    <mergeCell ref="O692:P692"/>
    <mergeCell ref="B693:E693"/>
    <mergeCell ref="F693:I693"/>
    <mergeCell ref="J693:L693"/>
    <mergeCell ref="M693:N693"/>
    <mergeCell ref="O693:P693"/>
    <mergeCell ref="B690:E690"/>
    <mergeCell ref="F690:I690"/>
    <mergeCell ref="J690:L690"/>
    <mergeCell ref="M690:N690"/>
    <mergeCell ref="O690:P690"/>
    <mergeCell ref="B691:E691"/>
    <mergeCell ref="F691:I691"/>
    <mergeCell ref="J691:L691"/>
    <mergeCell ref="M691:N691"/>
    <mergeCell ref="O691:P691"/>
    <mergeCell ref="B696:E696"/>
    <mergeCell ref="F696:I696"/>
    <mergeCell ref="J696:L696"/>
    <mergeCell ref="M696:N696"/>
    <mergeCell ref="O696:P696"/>
    <mergeCell ref="B697:E697"/>
    <mergeCell ref="F697:I697"/>
    <mergeCell ref="J697:L697"/>
    <mergeCell ref="M697:N697"/>
    <mergeCell ref="O697:P697"/>
    <mergeCell ref="B694:E694"/>
    <mergeCell ref="F694:I694"/>
    <mergeCell ref="J694:L694"/>
    <mergeCell ref="M694:N694"/>
    <mergeCell ref="O694:P694"/>
    <mergeCell ref="B695:E695"/>
    <mergeCell ref="F695:I695"/>
    <mergeCell ref="J695:L695"/>
    <mergeCell ref="M695:N695"/>
    <mergeCell ref="O695:P695"/>
    <mergeCell ref="B700:E700"/>
    <mergeCell ref="F700:I700"/>
    <mergeCell ref="J700:L700"/>
    <mergeCell ref="M700:N700"/>
    <mergeCell ref="O700:P700"/>
    <mergeCell ref="B701:E701"/>
    <mergeCell ref="F701:I701"/>
    <mergeCell ref="J701:L701"/>
    <mergeCell ref="M701:N701"/>
    <mergeCell ref="O701:P701"/>
    <mergeCell ref="B698:E698"/>
    <mergeCell ref="F698:I698"/>
    <mergeCell ref="J698:L698"/>
    <mergeCell ref="M698:N698"/>
    <mergeCell ref="O698:P698"/>
    <mergeCell ref="B699:E699"/>
    <mergeCell ref="F699:I699"/>
    <mergeCell ref="J699:L699"/>
    <mergeCell ref="M699:N699"/>
    <mergeCell ref="O699:P699"/>
    <mergeCell ref="B704:E704"/>
    <mergeCell ref="F704:I704"/>
    <mergeCell ref="J704:L704"/>
    <mergeCell ref="M704:N704"/>
    <mergeCell ref="O704:P704"/>
    <mergeCell ref="B705:E705"/>
    <mergeCell ref="F705:I705"/>
    <mergeCell ref="J705:L705"/>
    <mergeCell ref="M705:N705"/>
    <mergeCell ref="O705:P705"/>
    <mergeCell ref="B702:E702"/>
    <mergeCell ref="F702:I702"/>
    <mergeCell ref="J702:L702"/>
    <mergeCell ref="M702:N702"/>
    <mergeCell ref="O702:P702"/>
    <mergeCell ref="B703:E703"/>
    <mergeCell ref="F703:I703"/>
    <mergeCell ref="J703:L703"/>
    <mergeCell ref="M703:N703"/>
    <mergeCell ref="O703:P703"/>
    <mergeCell ref="B708:E708"/>
    <mergeCell ref="F708:I708"/>
    <mergeCell ref="J708:L708"/>
    <mergeCell ref="M708:N708"/>
    <mergeCell ref="O708:P708"/>
    <mergeCell ref="B709:E709"/>
    <mergeCell ref="F709:I709"/>
    <mergeCell ref="J709:L709"/>
    <mergeCell ref="M709:N709"/>
    <mergeCell ref="O709:P709"/>
    <mergeCell ref="B706:E706"/>
    <mergeCell ref="F706:I706"/>
    <mergeCell ref="J706:L706"/>
    <mergeCell ref="M706:N706"/>
    <mergeCell ref="O706:P706"/>
    <mergeCell ref="B707:E707"/>
    <mergeCell ref="F707:I707"/>
    <mergeCell ref="J707:L707"/>
    <mergeCell ref="M707:N707"/>
    <mergeCell ref="O707:P707"/>
    <mergeCell ref="B712:E712"/>
    <mergeCell ref="F712:I712"/>
    <mergeCell ref="J712:L712"/>
    <mergeCell ref="M712:N712"/>
    <mergeCell ref="O712:P712"/>
    <mergeCell ref="B713:E713"/>
    <mergeCell ref="F713:I713"/>
    <mergeCell ref="J713:L713"/>
    <mergeCell ref="M713:N713"/>
    <mergeCell ref="O713:P713"/>
    <mergeCell ref="B710:E710"/>
    <mergeCell ref="F710:I710"/>
    <mergeCell ref="J710:L710"/>
    <mergeCell ref="M710:N710"/>
    <mergeCell ref="O710:P710"/>
    <mergeCell ref="B711:E711"/>
    <mergeCell ref="F711:I711"/>
    <mergeCell ref="J711:L711"/>
    <mergeCell ref="M711:N711"/>
    <mergeCell ref="O711:P711"/>
    <mergeCell ref="B716:E716"/>
    <mergeCell ref="F716:I716"/>
    <mergeCell ref="J716:L716"/>
    <mergeCell ref="M716:N716"/>
    <mergeCell ref="O716:P716"/>
    <mergeCell ref="B717:E717"/>
    <mergeCell ref="F717:I717"/>
    <mergeCell ref="J717:L717"/>
    <mergeCell ref="M717:N717"/>
    <mergeCell ref="O717:P717"/>
    <mergeCell ref="B714:E714"/>
    <mergeCell ref="F714:I714"/>
    <mergeCell ref="J714:L714"/>
    <mergeCell ref="M714:N714"/>
    <mergeCell ref="O714:P714"/>
    <mergeCell ref="B715:E715"/>
    <mergeCell ref="F715:I715"/>
    <mergeCell ref="J715:L715"/>
    <mergeCell ref="M715:N715"/>
    <mergeCell ref="O715:P715"/>
    <mergeCell ref="B720:E720"/>
    <mergeCell ref="F720:I720"/>
    <mergeCell ref="J720:L720"/>
    <mergeCell ref="M720:N720"/>
    <mergeCell ref="O720:P720"/>
    <mergeCell ref="B721:E721"/>
    <mergeCell ref="F721:I721"/>
    <mergeCell ref="J721:L721"/>
    <mergeCell ref="M721:N721"/>
    <mergeCell ref="O721:P721"/>
    <mergeCell ref="B718:E718"/>
    <mergeCell ref="F718:I718"/>
    <mergeCell ref="J718:L718"/>
    <mergeCell ref="M718:N718"/>
    <mergeCell ref="O718:P718"/>
    <mergeCell ref="B719:E719"/>
    <mergeCell ref="F719:I719"/>
    <mergeCell ref="J719:L719"/>
    <mergeCell ref="M719:N719"/>
    <mergeCell ref="O719:P719"/>
    <mergeCell ref="B724:E724"/>
    <mergeCell ref="F724:I724"/>
    <mergeCell ref="J724:L724"/>
    <mergeCell ref="M724:N724"/>
    <mergeCell ref="O724:P724"/>
    <mergeCell ref="B725:E725"/>
    <mergeCell ref="F725:I725"/>
    <mergeCell ref="J725:L725"/>
    <mergeCell ref="M725:N725"/>
    <mergeCell ref="O725:P725"/>
    <mergeCell ref="B722:E722"/>
    <mergeCell ref="F722:I722"/>
    <mergeCell ref="J722:L722"/>
    <mergeCell ref="M722:N722"/>
    <mergeCell ref="O722:P722"/>
    <mergeCell ref="B723:E723"/>
    <mergeCell ref="F723:I723"/>
    <mergeCell ref="J723:L723"/>
    <mergeCell ref="M723:N723"/>
    <mergeCell ref="O723:P723"/>
    <mergeCell ref="B728:E728"/>
    <mergeCell ref="F728:I728"/>
    <mergeCell ref="J728:L728"/>
    <mergeCell ref="M728:N728"/>
    <mergeCell ref="O728:P728"/>
    <mergeCell ref="B729:E729"/>
    <mergeCell ref="F729:I729"/>
    <mergeCell ref="J729:L729"/>
    <mergeCell ref="M729:N729"/>
    <mergeCell ref="O729:P729"/>
    <mergeCell ref="B726:E726"/>
    <mergeCell ref="F726:I726"/>
    <mergeCell ref="J726:L726"/>
    <mergeCell ref="M726:N726"/>
    <mergeCell ref="O726:P726"/>
    <mergeCell ref="B727:E727"/>
    <mergeCell ref="F727:I727"/>
    <mergeCell ref="J727:L727"/>
    <mergeCell ref="M727:N727"/>
    <mergeCell ref="O727:P727"/>
    <mergeCell ref="B732:E732"/>
    <mergeCell ref="F732:I732"/>
    <mergeCell ref="J732:L732"/>
    <mergeCell ref="M732:N732"/>
    <mergeCell ref="O732:P732"/>
    <mergeCell ref="B733:E733"/>
    <mergeCell ref="F733:I733"/>
    <mergeCell ref="J733:L733"/>
    <mergeCell ref="M733:N733"/>
    <mergeCell ref="O733:P733"/>
    <mergeCell ref="B730:E730"/>
    <mergeCell ref="F730:I730"/>
    <mergeCell ref="J730:L730"/>
    <mergeCell ref="M730:N730"/>
    <mergeCell ref="O730:P730"/>
    <mergeCell ref="B731:E731"/>
    <mergeCell ref="F731:I731"/>
    <mergeCell ref="J731:L731"/>
    <mergeCell ref="M731:N731"/>
    <mergeCell ref="O731:P731"/>
    <mergeCell ref="B736:E736"/>
    <mergeCell ref="F736:I736"/>
    <mergeCell ref="J736:L736"/>
    <mergeCell ref="M736:N736"/>
    <mergeCell ref="O736:P736"/>
    <mergeCell ref="B737:E737"/>
    <mergeCell ref="F737:I737"/>
    <mergeCell ref="J737:L737"/>
    <mergeCell ref="M737:N737"/>
    <mergeCell ref="O737:P737"/>
    <mergeCell ref="B734:E734"/>
    <mergeCell ref="F734:I734"/>
    <mergeCell ref="J734:L734"/>
    <mergeCell ref="M734:N734"/>
    <mergeCell ref="O734:P734"/>
    <mergeCell ref="B735:E735"/>
    <mergeCell ref="F735:I735"/>
    <mergeCell ref="J735:L735"/>
    <mergeCell ref="M735:N735"/>
    <mergeCell ref="O735:P735"/>
    <mergeCell ref="B740:E740"/>
    <mergeCell ref="F740:I740"/>
    <mergeCell ref="J740:L740"/>
    <mergeCell ref="M740:N740"/>
    <mergeCell ref="O740:P740"/>
    <mergeCell ref="B741:E741"/>
    <mergeCell ref="F741:I741"/>
    <mergeCell ref="J741:L741"/>
    <mergeCell ref="M741:N741"/>
    <mergeCell ref="O741:P741"/>
    <mergeCell ref="B738:E738"/>
    <mergeCell ref="F738:I738"/>
    <mergeCell ref="J738:L738"/>
    <mergeCell ref="M738:N738"/>
    <mergeCell ref="O738:P738"/>
    <mergeCell ref="B739:E739"/>
    <mergeCell ref="F739:I739"/>
    <mergeCell ref="J739:L739"/>
    <mergeCell ref="M739:N739"/>
    <mergeCell ref="O739:P739"/>
    <mergeCell ref="B744:E744"/>
    <mergeCell ref="F744:I744"/>
    <mergeCell ref="J744:L744"/>
    <mergeCell ref="M744:N744"/>
    <mergeCell ref="O744:P744"/>
    <mergeCell ref="B745:E745"/>
    <mergeCell ref="F745:I745"/>
    <mergeCell ref="J745:L745"/>
    <mergeCell ref="M745:N745"/>
    <mergeCell ref="O745:P745"/>
    <mergeCell ref="B742:E742"/>
    <mergeCell ref="F742:I742"/>
    <mergeCell ref="J742:L742"/>
    <mergeCell ref="M742:N742"/>
    <mergeCell ref="O742:P742"/>
    <mergeCell ref="B743:E743"/>
    <mergeCell ref="F743:I743"/>
    <mergeCell ref="J743:L743"/>
    <mergeCell ref="M743:N743"/>
    <mergeCell ref="O743:P743"/>
    <mergeCell ref="B748:E748"/>
    <mergeCell ref="F748:I748"/>
    <mergeCell ref="J748:L748"/>
    <mergeCell ref="M748:N748"/>
    <mergeCell ref="O748:P748"/>
    <mergeCell ref="B749:E749"/>
    <mergeCell ref="F749:I749"/>
    <mergeCell ref="J749:L749"/>
    <mergeCell ref="M749:N749"/>
    <mergeCell ref="O749:P749"/>
    <mergeCell ref="B746:E746"/>
    <mergeCell ref="F746:I746"/>
    <mergeCell ref="J746:L746"/>
    <mergeCell ref="M746:N746"/>
    <mergeCell ref="O746:P746"/>
    <mergeCell ref="B747:E747"/>
    <mergeCell ref="F747:I747"/>
    <mergeCell ref="J747:L747"/>
    <mergeCell ref="M747:N747"/>
    <mergeCell ref="O747:P747"/>
    <mergeCell ref="B752:E752"/>
    <mergeCell ref="F752:I752"/>
    <mergeCell ref="J752:L752"/>
    <mergeCell ref="M752:N752"/>
    <mergeCell ref="O752:P752"/>
    <mergeCell ref="B753:E753"/>
    <mergeCell ref="F753:I753"/>
    <mergeCell ref="J753:L753"/>
    <mergeCell ref="M753:N753"/>
    <mergeCell ref="O753:P753"/>
    <mergeCell ref="B750:E750"/>
    <mergeCell ref="F750:I750"/>
    <mergeCell ref="J750:L750"/>
    <mergeCell ref="M750:N750"/>
    <mergeCell ref="O750:P750"/>
    <mergeCell ref="B751:E751"/>
    <mergeCell ref="F751:I751"/>
    <mergeCell ref="J751:L751"/>
    <mergeCell ref="M751:N751"/>
    <mergeCell ref="O751:P751"/>
    <mergeCell ref="B756:E756"/>
    <mergeCell ref="F756:I756"/>
    <mergeCell ref="J756:L756"/>
    <mergeCell ref="M756:N756"/>
    <mergeCell ref="O756:P756"/>
    <mergeCell ref="B757:E757"/>
    <mergeCell ref="F757:I757"/>
    <mergeCell ref="J757:L757"/>
    <mergeCell ref="M757:N757"/>
    <mergeCell ref="O757:P757"/>
    <mergeCell ref="B754:E754"/>
    <mergeCell ref="F754:I754"/>
    <mergeCell ref="J754:L754"/>
    <mergeCell ref="M754:N754"/>
    <mergeCell ref="O754:P754"/>
    <mergeCell ref="B755:E755"/>
    <mergeCell ref="F755:I755"/>
    <mergeCell ref="J755:L755"/>
    <mergeCell ref="M755:N755"/>
    <mergeCell ref="O755:P755"/>
    <mergeCell ref="B760:E760"/>
    <mergeCell ref="F760:I760"/>
    <mergeCell ref="J760:L760"/>
    <mergeCell ref="M760:N760"/>
    <mergeCell ref="O760:P760"/>
    <mergeCell ref="B761:E761"/>
    <mergeCell ref="F761:I761"/>
    <mergeCell ref="J761:L761"/>
    <mergeCell ref="M761:N761"/>
    <mergeCell ref="O761:P761"/>
    <mergeCell ref="B758:E758"/>
    <mergeCell ref="F758:I758"/>
    <mergeCell ref="J758:L758"/>
    <mergeCell ref="M758:N758"/>
    <mergeCell ref="O758:P758"/>
    <mergeCell ref="B759:E759"/>
    <mergeCell ref="F759:I759"/>
    <mergeCell ref="J759:L759"/>
    <mergeCell ref="M759:N759"/>
    <mergeCell ref="O759:P759"/>
    <mergeCell ref="B764:E764"/>
    <mergeCell ref="F764:I764"/>
    <mergeCell ref="J764:L764"/>
    <mergeCell ref="M764:N764"/>
    <mergeCell ref="O764:P764"/>
    <mergeCell ref="B765:E765"/>
    <mergeCell ref="F765:I765"/>
    <mergeCell ref="J765:L765"/>
    <mergeCell ref="M765:N765"/>
    <mergeCell ref="O765:P765"/>
    <mergeCell ref="B762:E762"/>
    <mergeCell ref="F762:I762"/>
    <mergeCell ref="J762:L762"/>
    <mergeCell ref="M762:N762"/>
    <mergeCell ref="O762:P762"/>
    <mergeCell ref="B763:E763"/>
    <mergeCell ref="F763:I763"/>
    <mergeCell ref="J763:L763"/>
    <mergeCell ref="M763:N763"/>
    <mergeCell ref="O763:P763"/>
    <mergeCell ref="B768:E768"/>
    <mergeCell ref="F768:I768"/>
    <mergeCell ref="J768:L768"/>
    <mergeCell ref="M768:N768"/>
    <mergeCell ref="O768:P768"/>
    <mergeCell ref="B769:E769"/>
    <mergeCell ref="F769:I769"/>
    <mergeCell ref="J769:L769"/>
    <mergeCell ref="M769:N769"/>
    <mergeCell ref="O769:P769"/>
    <mergeCell ref="B766:E766"/>
    <mergeCell ref="F766:I766"/>
    <mergeCell ref="J766:L766"/>
    <mergeCell ref="M766:N766"/>
    <mergeCell ref="O766:P766"/>
    <mergeCell ref="B767:E767"/>
    <mergeCell ref="F767:I767"/>
    <mergeCell ref="J767:L767"/>
    <mergeCell ref="M767:N767"/>
    <mergeCell ref="O767:P767"/>
    <mergeCell ref="B772:E772"/>
    <mergeCell ref="F772:I772"/>
    <mergeCell ref="J772:L772"/>
    <mergeCell ref="M772:N772"/>
    <mergeCell ref="O772:P772"/>
    <mergeCell ref="B773:E773"/>
    <mergeCell ref="F773:I773"/>
    <mergeCell ref="J773:L773"/>
    <mergeCell ref="M773:N773"/>
    <mergeCell ref="O773:P773"/>
    <mergeCell ref="B770:E770"/>
    <mergeCell ref="F770:I770"/>
    <mergeCell ref="J770:L770"/>
    <mergeCell ref="M770:N770"/>
    <mergeCell ref="O770:P770"/>
    <mergeCell ref="B771:E771"/>
    <mergeCell ref="F771:I771"/>
    <mergeCell ref="J771:L771"/>
    <mergeCell ref="M771:N771"/>
    <mergeCell ref="O771:P771"/>
    <mergeCell ref="B776:E776"/>
    <mergeCell ref="F776:I776"/>
    <mergeCell ref="J776:L776"/>
    <mergeCell ref="M776:N776"/>
    <mergeCell ref="O776:P776"/>
    <mergeCell ref="B777:E777"/>
    <mergeCell ref="F777:I777"/>
    <mergeCell ref="J777:L777"/>
    <mergeCell ref="M777:N777"/>
    <mergeCell ref="O777:P777"/>
    <mergeCell ref="B774:E774"/>
    <mergeCell ref="F774:I774"/>
    <mergeCell ref="J774:L774"/>
    <mergeCell ref="M774:N774"/>
    <mergeCell ref="O774:P774"/>
    <mergeCell ref="B775:E775"/>
    <mergeCell ref="F775:I775"/>
    <mergeCell ref="J775:L775"/>
    <mergeCell ref="M775:N775"/>
    <mergeCell ref="O775:P775"/>
    <mergeCell ref="B780:E780"/>
    <mergeCell ref="F780:I780"/>
    <mergeCell ref="J780:L780"/>
    <mergeCell ref="M780:N780"/>
    <mergeCell ref="O780:P780"/>
    <mergeCell ref="B781:E781"/>
    <mergeCell ref="F781:I781"/>
    <mergeCell ref="J781:L781"/>
    <mergeCell ref="M781:N781"/>
    <mergeCell ref="O781:P781"/>
    <mergeCell ref="B778:E778"/>
    <mergeCell ref="F778:I778"/>
    <mergeCell ref="J778:L778"/>
    <mergeCell ref="M778:N778"/>
    <mergeCell ref="O778:P778"/>
    <mergeCell ref="B779:E779"/>
    <mergeCell ref="F779:I779"/>
    <mergeCell ref="J779:L779"/>
    <mergeCell ref="M779:N779"/>
    <mergeCell ref="O779:P779"/>
    <mergeCell ref="B784:E784"/>
    <mergeCell ref="F784:I784"/>
    <mergeCell ref="J784:L784"/>
    <mergeCell ref="M784:N784"/>
    <mergeCell ref="O784:P784"/>
    <mergeCell ref="B785:E785"/>
    <mergeCell ref="F785:I785"/>
    <mergeCell ref="J785:L785"/>
    <mergeCell ref="M785:N785"/>
    <mergeCell ref="O785:P785"/>
    <mergeCell ref="B782:E782"/>
    <mergeCell ref="F782:I782"/>
    <mergeCell ref="J782:L782"/>
    <mergeCell ref="M782:N782"/>
    <mergeCell ref="O782:P782"/>
    <mergeCell ref="B783:E783"/>
    <mergeCell ref="F783:I783"/>
    <mergeCell ref="J783:L783"/>
    <mergeCell ref="M783:N783"/>
    <mergeCell ref="O783:P783"/>
    <mergeCell ref="B788:E788"/>
    <mergeCell ref="F788:I788"/>
    <mergeCell ref="J788:L788"/>
    <mergeCell ref="M788:N788"/>
    <mergeCell ref="O788:P788"/>
    <mergeCell ref="B789:E789"/>
    <mergeCell ref="F789:I789"/>
    <mergeCell ref="J789:L789"/>
    <mergeCell ref="M789:N789"/>
    <mergeCell ref="O789:P789"/>
    <mergeCell ref="B786:E786"/>
    <mergeCell ref="F786:I786"/>
    <mergeCell ref="J786:L786"/>
    <mergeCell ref="M786:N786"/>
    <mergeCell ref="O786:P786"/>
    <mergeCell ref="B787:E787"/>
    <mergeCell ref="F787:I787"/>
    <mergeCell ref="J787:L787"/>
    <mergeCell ref="M787:N787"/>
    <mergeCell ref="O787:P787"/>
    <mergeCell ref="B792:E792"/>
    <mergeCell ref="F792:I792"/>
    <mergeCell ref="J792:L792"/>
    <mergeCell ref="M792:N792"/>
    <mergeCell ref="O792:P792"/>
    <mergeCell ref="B793:E793"/>
    <mergeCell ref="F793:I793"/>
    <mergeCell ref="J793:L793"/>
    <mergeCell ref="M793:N793"/>
    <mergeCell ref="O793:P793"/>
    <mergeCell ref="B790:E790"/>
    <mergeCell ref="F790:I790"/>
    <mergeCell ref="J790:L790"/>
    <mergeCell ref="M790:N790"/>
    <mergeCell ref="O790:P790"/>
    <mergeCell ref="B791:E791"/>
    <mergeCell ref="F791:I791"/>
    <mergeCell ref="J791:L791"/>
    <mergeCell ref="M791:N791"/>
    <mergeCell ref="O791:P791"/>
    <mergeCell ref="B796:E796"/>
    <mergeCell ref="F796:I796"/>
    <mergeCell ref="J796:L796"/>
    <mergeCell ref="M796:N796"/>
    <mergeCell ref="O796:P796"/>
    <mergeCell ref="B797:E797"/>
    <mergeCell ref="F797:I797"/>
    <mergeCell ref="J797:L797"/>
    <mergeCell ref="M797:N797"/>
    <mergeCell ref="O797:P797"/>
    <mergeCell ref="B794:E794"/>
    <mergeCell ref="F794:I794"/>
    <mergeCell ref="J794:L794"/>
    <mergeCell ref="M794:N794"/>
    <mergeCell ref="O794:P794"/>
    <mergeCell ref="B795:E795"/>
    <mergeCell ref="F795:I795"/>
    <mergeCell ref="J795:L795"/>
    <mergeCell ref="M795:N795"/>
    <mergeCell ref="O795:P795"/>
    <mergeCell ref="B800:E800"/>
    <mergeCell ref="F800:I800"/>
    <mergeCell ref="J800:L800"/>
    <mergeCell ref="M800:N800"/>
    <mergeCell ref="O800:P800"/>
    <mergeCell ref="B801:E801"/>
    <mergeCell ref="F801:I801"/>
    <mergeCell ref="J801:L801"/>
    <mergeCell ref="M801:N801"/>
    <mergeCell ref="O801:P801"/>
    <mergeCell ref="B798:E798"/>
    <mergeCell ref="F798:I798"/>
    <mergeCell ref="J798:L798"/>
    <mergeCell ref="M798:N798"/>
    <mergeCell ref="O798:P798"/>
    <mergeCell ref="B799:E799"/>
    <mergeCell ref="F799:I799"/>
    <mergeCell ref="J799:L799"/>
    <mergeCell ref="M799:N799"/>
    <mergeCell ref="O799:P799"/>
    <mergeCell ref="B804:E804"/>
    <mergeCell ref="F804:I804"/>
    <mergeCell ref="J804:L804"/>
    <mergeCell ref="M804:N804"/>
    <mergeCell ref="O804:P804"/>
    <mergeCell ref="B805:E805"/>
    <mergeCell ref="F805:I805"/>
    <mergeCell ref="J805:L805"/>
    <mergeCell ref="M805:N805"/>
    <mergeCell ref="O805:P805"/>
    <mergeCell ref="B802:E802"/>
    <mergeCell ref="F802:I802"/>
    <mergeCell ref="J802:L802"/>
    <mergeCell ref="M802:N802"/>
    <mergeCell ref="O802:P802"/>
    <mergeCell ref="B803:E803"/>
    <mergeCell ref="F803:I803"/>
    <mergeCell ref="J803:L803"/>
    <mergeCell ref="M803:N803"/>
    <mergeCell ref="O803:P803"/>
    <mergeCell ref="B808:E808"/>
    <mergeCell ref="F808:I808"/>
    <mergeCell ref="J808:L808"/>
    <mergeCell ref="M808:N808"/>
    <mergeCell ref="O808:P808"/>
    <mergeCell ref="B809:E809"/>
    <mergeCell ref="F809:I809"/>
    <mergeCell ref="J809:L809"/>
    <mergeCell ref="M809:N809"/>
    <mergeCell ref="O809:P809"/>
    <mergeCell ref="B806:E806"/>
    <mergeCell ref="F806:I806"/>
    <mergeCell ref="J806:L806"/>
    <mergeCell ref="M806:N806"/>
    <mergeCell ref="O806:P806"/>
    <mergeCell ref="B807:E807"/>
    <mergeCell ref="F807:I807"/>
    <mergeCell ref="J807:L807"/>
    <mergeCell ref="M807:N807"/>
    <mergeCell ref="O807:P807"/>
    <mergeCell ref="J812:L812"/>
    <mergeCell ref="M812:N812"/>
    <mergeCell ref="O812:P812"/>
    <mergeCell ref="B813:E813"/>
    <mergeCell ref="F813:I813"/>
    <mergeCell ref="J813:L813"/>
    <mergeCell ref="M813:N813"/>
    <mergeCell ref="O813:P813"/>
    <mergeCell ref="B810:E810"/>
    <mergeCell ref="F810:I810"/>
    <mergeCell ref="J810:L810"/>
    <mergeCell ref="M810:N810"/>
    <mergeCell ref="O810:P810"/>
    <mergeCell ref="B811:E811"/>
    <mergeCell ref="F811:I811"/>
    <mergeCell ref="J811:L811"/>
    <mergeCell ref="M811:N811"/>
    <mergeCell ref="O811:P811"/>
    <mergeCell ref="B812:E812"/>
    <mergeCell ref="F812:I812"/>
    <mergeCell ref="J816:L816"/>
    <mergeCell ref="M816:N816"/>
    <mergeCell ref="O816:P816"/>
    <mergeCell ref="A818:E818"/>
    <mergeCell ref="F818:P818"/>
    <mergeCell ref="A820:E820"/>
    <mergeCell ref="F820:P820"/>
    <mergeCell ref="B814:E814"/>
    <mergeCell ref="F814:I814"/>
    <mergeCell ref="J814:L814"/>
    <mergeCell ref="M814:N814"/>
    <mergeCell ref="O814:P814"/>
    <mergeCell ref="A829:E829"/>
    <mergeCell ref="F829:P829"/>
    <mergeCell ref="F830:P830"/>
    <mergeCell ref="B815:E815"/>
    <mergeCell ref="F815:I815"/>
    <mergeCell ref="J815:L815"/>
    <mergeCell ref="M815:N815"/>
    <mergeCell ref="O815:P815"/>
    <mergeCell ref="B816:E816"/>
    <mergeCell ref="F816:I816"/>
    <mergeCell ref="F824:P824"/>
    <mergeCell ref="A826:E826"/>
    <mergeCell ref="F826:I826"/>
    <mergeCell ref="F827:I827"/>
    <mergeCell ref="K826:P826"/>
    <mergeCell ref="K827:P827"/>
    <mergeCell ref="F821:P821"/>
    <mergeCell ref="A823:E823"/>
    <mergeCell ref="F823:P823"/>
  </mergeCells>
  <pageMargins left="0.4" right="0.4" top="0.75" bottom="0.75" header="0.3" footer="0.3"/>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0"/>
  <sheetViews>
    <sheetView topLeftCell="A10" workbookViewId="0">
      <selection activeCell="E23" sqref="E23"/>
    </sheetView>
  </sheetViews>
  <sheetFormatPr defaultColWidth="9.140625" defaultRowHeight="15" x14ac:dyDescent="0.25"/>
  <cols>
    <col min="1" max="1" width="5.28515625" style="295" customWidth="1"/>
    <col min="2" max="2" width="21.85546875" style="126" customWidth="1"/>
    <col min="3" max="3" width="26.140625" style="126" customWidth="1"/>
    <col min="4" max="4" width="14.85546875" style="126" customWidth="1"/>
    <col min="5" max="5" width="11.28515625" style="126" customWidth="1"/>
    <col min="6" max="6" width="11.7109375" style="126" customWidth="1"/>
    <col min="7" max="7" width="23.7109375" style="126" customWidth="1"/>
    <col min="8" max="8" width="17.5703125" style="296" customWidth="1"/>
    <col min="9" max="9" width="9.140625" style="126"/>
    <col min="10" max="10" width="0" style="126" hidden="1" customWidth="1"/>
    <col min="11" max="16384" width="9.140625" style="126"/>
  </cols>
  <sheetData>
    <row r="1" spans="1:15" ht="15.75" x14ac:dyDescent="0.25">
      <c r="A1" s="2381" t="s">
        <v>4099</v>
      </c>
      <c r="B1" s="2382"/>
      <c r="C1" s="2382"/>
      <c r="D1" s="2382"/>
      <c r="E1" s="2382"/>
      <c r="F1" s="2382"/>
      <c r="G1" s="2382"/>
      <c r="H1" s="2382"/>
    </row>
    <row r="2" spans="1:15" ht="15.75" x14ac:dyDescent="0.25">
      <c r="A2" s="2383"/>
      <c r="B2" s="2382"/>
      <c r="C2" s="2382"/>
      <c r="D2" s="2382"/>
      <c r="E2" s="2382"/>
      <c r="F2" s="2382"/>
      <c r="G2" s="2382"/>
      <c r="H2" s="2382"/>
    </row>
    <row r="3" spans="1:15" ht="54" customHeight="1" x14ac:dyDescent="0.25">
      <c r="A3" s="2384" t="s">
        <v>448</v>
      </c>
      <c r="B3" s="2382"/>
      <c r="C3" s="2589" t="str">
        <f>Пояснительная!$A$4</f>
        <v>«Всесезонный туристско-рекреационный комплекс «Мамисон», 
Республика Северная Осетия-Алания. Кампус»</v>
      </c>
      <c r="D3" s="2589"/>
      <c r="E3" s="2589"/>
      <c r="F3" s="2590"/>
      <c r="G3" s="2590"/>
      <c r="H3" s="2590"/>
    </row>
    <row r="4" spans="1:15" ht="17.25" customHeight="1" x14ac:dyDescent="0.25">
      <c r="A4" s="2384" t="s">
        <v>449</v>
      </c>
      <c r="B4" s="2382"/>
      <c r="C4" s="2387"/>
      <c r="D4" s="2387"/>
      <c r="E4" s="2387"/>
      <c r="F4" s="2382"/>
      <c r="G4" s="2382"/>
      <c r="H4" s="2382"/>
    </row>
    <row r="5" spans="1:15" ht="30" customHeight="1" x14ac:dyDescent="0.25">
      <c r="A5" s="2398" t="s">
        <v>450</v>
      </c>
      <c r="B5" s="2382"/>
      <c r="C5" s="2387" t="s">
        <v>451</v>
      </c>
      <c r="D5" s="2387"/>
      <c r="E5" s="2387"/>
      <c r="F5" s="2382"/>
      <c r="G5" s="2382"/>
      <c r="H5" s="2382"/>
    </row>
    <row r="6" spans="1:15" ht="15.75" x14ac:dyDescent="0.25">
      <c r="A6" s="2384" t="s">
        <v>452</v>
      </c>
      <c r="B6" s="2382"/>
      <c r="C6" s="2399"/>
      <c r="D6" s="2399"/>
      <c r="E6" s="2399"/>
      <c r="F6" s="2382"/>
      <c r="G6" s="2382"/>
      <c r="H6" s="2382"/>
    </row>
    <row r="7" spans="1:15" ht="15.75" x14ac:dyDescent="0.25">
      <c r="A7" s="2384" t="s">
        <v>453</v>
      </c>
      <c r="B7" s="2382"/>
      <c r="C7" s="2399" t="s">
        <v>608</v>
      </c>
      <c r="D7" s="2399"/>
      <c r="E7" s="2399"/>
      <c r="F7" s="2382"/>
      <c r="G7" s="2382"/>
      <c r="H7" s="2382"/>
    </row>
    <row r="8" spans="1:15" ht="15.75" x14ac:dyDescent="0.25">
      <c r="A8" s="150"/>
      <c r="B8" s="151"/>
      <c r="C8" s="270"/>
      <c r="D8" s="270"/>
      <c r="E8" s="270"/>
      <c r="F8" s="151"/>
      <c r="G8" s="151"/>
      <c r="H8" s="153"/>
    </row>
    <row r="9" spans="1:15" ht="109.5" customHeight="1" x14ac:dyDescent="0.25">
      <c r="A9" s="317" t="s">
        <v>5</v>
      </c>
      <c r="B9" s="317" t="s">
        <v>239</v>
      </c>
      <c r="C9" s="2587" t="s">
        <v>454</v>
      </c>
      <c r="D9" s="2588"/>
      <c r="E9" s="2588"/>
      <c r="F9" s="317" t="s">
        <v>455</v>
      </c>
      <c r="G9" s="317" t="s">
        <v>456</v>
      </c>
      <c r="H9" s="318" t="s">
        <v>457</v>
      </c>
    </row>
    <row r="10" spans="1:15" ht="31.5" x14ac:dyDescent="0.25">
      <c r="A10" s="2582">
        <v>1</v>
      </c>
      <c r="B10" s="2582" t="s">
        <v>429</v>
      </c>
      <c r="C10" s="158" t="s">
        <v>6466</v>
      </c>
      <c r="D10" s="276">
        <f>'Cводная смета ПИР'!G20-'Cводная смета ПИР'!G19</f>
        <v>4330422.9400000004</v>
      </c>
      <c r="E10" s="160" t="s">
        <v>458</v>
      </c>
      <c r="F10" s="161"/>
      <c r="G10" s="2403"/>
      <c r="H10" s="2585"/>
    </row>
    <row r="11" spans="1:15" ht="15.75" x14ac:dyDescent="0.25">
      <c r="A11" s="2583"/>
      <c r="B11" s="2583"/>
      <c r="C11" s="158" t="s">
        <v>6465</v>
      </c>
      <c r="D11" s="162">
        <v>7.07</v>
      </c>
      <c r="E11" s="163"/>
      <c r="F11" s="161"/>
      <c r="G11" s="2403"/>
      <c r="H11" s="2585"/>
    </row>
    <row r="12" spans="1:15" ht="47.25" x14ac:dyDescent="0.25">
      <c r="A12" s="2584"/>
      <c r="B12" s="2584"/>
      <c r="C12" s="158" t="s">
        <v>459</v>
      </c>
      <c r="D12" s="276">
        <f>D10/D11</f>
        <v>612506.78</v>
      </c>
      <c r="E12" s="160" t="s">
        <v>458</v>
      </c>
      <c r="F12" s="161"/>
      <c r="G12" s="2403"/>
      <c r="H12" s="2585"/>
    </row>
    <row r="13" spans="1:15" ht="32.450000000000003" customHeight="1" x14ac:dyDescent="0.25">
      <c r="A13" s="2582">
        <v>2</v>
      </c>
      <c r="B13" s="2582" t="s">
        <v>2</v>
      </c>
      <c r="C13" s="158" t="s">
        <v>6467</v>
      </c>
      <c r="D13" s="276">
        <f>'Cводная смета ПИР'!G22</f>
        <v>12698885</v>
      </c>
      <c r="E13" s="160" t="s">
        <v>458</v>
      </c>
      <c r="F13" s="161"/>
      <c r="G13" s="2403"/>
      <c r="H13" s="2585"/>
    </row>
    <row r="14" spans="1:15" ht="25.9" customHeight="1" x14ac:dyDescent="0.25">
      <c r="A14" s="2583"/>
      <c r="B14" s="2583"/>
      <c r="C14" s="158" t="s">
        <v>6465</v>
      </c>
      <c r="D14" s="164">
        <v>7.1</v>
      </c>
      <c r="E14" s="163"/>
      <c r="F14" s="161"/>
      <c r="G14" s="2403"/>
      <c r="H14" s="2585"/>
    </row>
    <row r="15" spans="1:15" ht="47.25" x14ac:dyDescent="0.25">
      <c r="A15" s="2584"/>
      <c r="B15" s="2584"/>
      <c r="C15" s="158" t="s">
        <v>460</v>
      </c>
      <c r="D15" s="276">
        <f>D13/D14</f>
        <v>1788575.35</v>
      </c>
      <c r="E15" s="160" t="s">
        <v>458</v>
      </c>
      <c r="F15" s="161"/>
      <c r="G15" s="2404"/>
      <c r="H15" s="2586"/>
      <c r="O15" s="126" t="s">
        <v>461</v>
      </c>
    </row>
    <row r="16" spans="1:15" ht="39.75" customHeight="1" x14ac:dyDescent="0.25">
      <c r="A16" s="277"/>
      <c r="B16" s="278"/>
      <c r="C16" s="167" t="s">
        <v>462</v>
      </c>
      <c r="D16" s="1872">
        <f>D12+D15</f>
        <v>2401082.13</v>
      </c>
      <c r="E16" s="1873" t="s">
        <v>458</v>
      </c>
      <c r="F16" s="1874"/>
      <c r="G16" s="1875" t="str">
        <f>IF(AND(0&lt;$D$16,$D$16&lt;150000),"до 0,15 млн.",IF(AND(150000&lt;$D$16,$D$16&lt;250000),"от 0,15 до 0,25 млн.",IF(AND(250000&lt;$D$16,$D$16&lt;500000),"от 0,25 до 0,5 млн.",IF(AND(500000&lt;$D$16,$D$16&lt;750000),"от 0,5 до 0,75 млн.",IF(AND(750000&lt;$D$16,$D$16&lt;1000000),"от 0,75 до 1 млн.",IF(AND(1000000&lt;$D$16,$D$16&lt;1500000),"от 1 до 1,5 млн.",IF(AND(1500000&lt;$D$16,$D$16&lt;3000000),"от 1,5 до 3 млн.",IF(AND(3000000&lt;$D$16,$D$16&lt;4000000),"от 3 до 4 млн.",IF(AND(4000000&lt;$D$16,$D$16&lt;6000000),"от 4 до 6 млн.",IF(AND(6000000&lt;$D$16,$D$16&lt;8000000),"от 6 до 8 млн.",IF(AND(8000000&lt;$D$16,$D$16&lt;12000000),"от 8 до 12 млн.",IF(AND(12000000&lt;$D$16,$D$16&lt;18000000),"от 12 до 18 млн.",IF(AND(18000000&lt;$D$16,$D$16&lt;24000000),"от 18 до 24 млн.",IF(AND(24000000&lt;$D$16,$D$16&lt;30000000),"от 24 до 30 млн.",IF(AND(30000000&lt;$D$16,$D$16&lt;36000000),"от 30 до 36 млн.",IF(AND(36000000&lt;$D$16,$D$16&lt;45000000),"от 36 до 45 млн.",IF(AND(45000000&lt;$D$16,$D$16&lt;52500000),"от 45 до 52,5 млн.",IF(AND(52500000&lt;$D$16,$D$16&lt;60000000),"от 52,5 до 60 млн.",IF(AND(60000000&lt;$D$16,$D$16&lt;70000000),"от 60 до 70 млн.",IF(AND(70000000&lt;$D$16,$D$16&lt;80000000),"от 70 до 80 млн.",IF(AND(80000000&lt;$D$16,$D$16&lt;100000000),"от 80 до 100 млн.",IF(AND(100000000&lt;$D$16,$D$16&lt;120000000),"от 100 до 120 млн.",IF(AND(120000000&lt;$D$16,$D$16&lt;140000000),"от 120 до 140 млн.",IF(AND(140000000&lt;$D$16,$D$16&lt;160000000),"от 140 до 160 млн.",IF(AND(160000000&lt;$D$16,$D$16&lt;180000000),"от 160 до 180 млн.",IF(AND(180000000&lt;$D$16,$D$16&lt;200000000),"от 180 до 200 млн.",IF(AND(200000000&lt;$D$16,$D$16&lt;220000000),"от 200 до 220 млн.",IF(220000000&lt;$D$16,C52,"дог."))))))))))))))))))))))))))))</f>
        <v>от 1,5 до 3 млн.</v>
      </c>
      <c r="H16" s="279"/>
    </row>
    <row r="17" spans="1:10" ht="63.75" customHeight="1" x14ac:dyDescent="0.25">
      <c r="A17" s="280"/>
      <c r="B17" s="281" t="s">
        <v>463</v>
      </c>
      <c r="C17" s="175" t="s">
        <v>464</v>
      </c>
      <c r="D17" s="1876">
        <f>IF(AND(0&lt;$D$16,$D$16&lt;150000),C25,IF(AND(150000&lt;$D$16,$D$16&lt;250000),C26,IF(AND(250000&lt;$D$16,$D$16&lt;500000),C27,IF(AND(500000&lt;$D$16,$D$16&lt;750000),C28,IF(AND(750000&lt;$D$16,$D$16&lt;1000000),C29,IF(AND(1000000&lt;$D$16,$D$16&lt;1500000),C30,IF(AND(1500000&lt;$D$16,$D$16&lt;3000000),C31,IF(AND(3000000&lt;$D$16,$D$16&lt;4000000),C32,IF(AND(4000000&lt;$D$16,$D$16&lt;6000000),C33,IF(AND(6000000&lt;$D$16,$D$16&lt;8000000),C34,IF(AND(8000000&lt;$D$16,$D$16&lt;12000000),C35,IF(AND(12000000&lt;$D$16,$D$16&lt;18000000),C36,IF(AND(18000000&lt;$D$16,$D$16&lt;24000000),C37,IF(AND(24000000&lt;$D$16,$D$16&lt;30000000),C38,IF(AND(30000000&lt;$D$16,$D$16&lt;36000000),C39,IF(AND(36000000&lt;$D$16,$D$16&lt;45000000),C40,IF(AND(45000000&lt;$D$16,$D$16&lt;52500000),C41,IF(AND(52500000&lt;$D$16,$D$16&lt;60000000),C42,IF(AND(60000000&lt;$D$16,$D$16&lt;70000000),C43,IF(AND(70000000&lt;$D$16,$D$16&lt;80000000),C44,IF(AND(80000000&lt;$D$16,$D$16&lt;100000000),C45,IF(AND(100000000&lt;$D$16,$D$16&lt;120000000),C46,IF(AND(120000000&lt;$D$16,$D$16&lt;140000000),C47,IF(AND(140000000&lt;$D$16,$D$16&lt;160000000),C48,IF(AND(160000000&lt;$D$16,$D$16&lt;180000000),C49,IF(AND(180000000&lt;$D$16,$D$16&lt;200000000),C50,IF(AND(200000000&lt;$D$16,$D$16&lt;220000000),C51,IF(220000000&lt;$D$16,C52,"дог."))))))))))))))))))))))))))))/100</f>
        <v>0.1188</v>
      </c>
      <c r="E17" s="1877"/>
      <c r="F17" s="1878"/>
      <c r="G17" s="1879"/>
      <c r="H17" s="282">
        <f>D16*D17</f>
        <v>285248.56</v>
      </c>
      <c r="J17" s="126" t="b">
        <f>IF(0&lt;D16&lt;150000,C25%,IF(150000&lt;D16&lt;250000,C26%,IF(250000&lt;D16&lt;500000,C27%,IF(500000&lt;D16&lt;750000,C28%,IF(750000&lt;D16&lt;1000000,C29%,IF(1000000&lt;D16&lt;1500000,C30%,IF(1500000&lt;D16&lt;3000000,C31%,IF(3000000&lt;D16&lt;4000000,C32%,IF(4000000&lt;D16&lt;6000000,C33%,IF(6000000&lt;D16&lt;8000000,C34%,IF(8000000&lt;D16&lt;12000000,C35%,IF(12000000&lt;D16&lt;18000000,C36%,IF(18000000&lt;D16&lt;24000000,C37%,IF(24000000&lt;D16&lt;30000000,C38%,IF(30000000&lt;D16&lt;36000000,C39%,IF(36000000&lt;D16&lt;45000000,C40%,IF(45000000&lt;D16&lt;52500000,C41%,IF(52500000&lt;D16&lt;60000000,C42%,IF(60000000&lt;D16&lt;70000000,C43%,IF(70000000&lt;D16&lt;80000000,C44%,IF(80000000&lt;D16&lt;100000000,C45%,IF(100000000&lt;D16&lt;120000000,C46%,IF(120000000&lt;D16&lt;140000000,C47%,IF(140000000&lt;D16&lt;160000000,C48%,IF(160000000&lt;D16&lt;180000000,C49%,IF(180000000&lt;D16&lt;200000000,C50%,IF(200000000&lt;D16&lt;220000000,C51%,IF(D16&gt;220000000,C52%))))))))))))))))))))))))))))</f>
        <v>0</v>
      </c>
    </row>
    <row r="18" spans="1:10" ht="40.5" customHeight="1" x14ac:dyDescent="0.25">
      <c r="A18" s="280"/>
      <c r="B18" s="283"/>
      <c r="C18" s="175" t="s">
        <v>6045</v>
      </c>
      <c r="D18" s="1880">
        <v>8.6</v>
      </c>
      <c r="E18" s="1881"/>
      <c r="F18" s="1882"/>
      <c r="G18" s="1883"/>
      <c r="H18" s="284">
        <f>H17*D18</f>
        <v>2453137.62</v>
      </c>
    </row>
    <row r="19" spans="1:10" ht="15.75" x14ac:dyDescent="0.25">
      <c r="A19" s="285"/>
      <c r="B19" s="286"/>
      <c r="C19" s="286"/>
      <c r="D19" s="286"/>
      <c r="E19" s="286"/>
      <c r="F19" s="286"/>
      <c r="G19" s="287" t="s">
        <v>624</v>
      </c>
      <c r="H19" s="288">
        <f>H18*1.22</f>
        <v>2992827.9</v>
      </c>
    </row>
    <row r="20" spans="1:10" ht="15.75" x14ac:dyDescent="0.25">
      <c r="A20" s="285"/>
      <c r="B20" s="286"/>
      <c r="C20" s="286"/>
      <c r="D20" s="289"/>
      <c r="E20" s="286"/>
      <c r="F20" s="286"/>
      <c r="G20" s="290"/>
      <c r="H20" s="291"/>
    </row>
    <row r="21" spans="1:10" ht="15.75" x14ac:dyDescent="0.25">
      <c r="A21" s="285"/>
      <c r="B21" s="286"/>
      <c r="C21" s="286"/>
      <c r="D21" s="286"/>
      <c r="E21" s="286"/>
      <c r="F21" s="286"/>
      <c r="G21" s="290"/>
      <c r="H21" s="291"/>
    </row>
    <row r="22" spans="1:10" ht="15.75" x14ac:dyDescent="0.25">
      <c r="A22" s="285"/>
      <c r="B22" s="286"/>
      <c r="C22" s="286"/>
      <c r="D22" s="286"/>
      <c r="E22" s="286"/>
      <c r="F22" s="286"/>
      <c r="G22" s="290"/>
      <c r="H22" s="291"/>
    </row>
    <row r="23" spans="1:10" ht="30" x14ac:dyDescent="0.25">
      <c r="A23" s="285"/>
      <c r="B23" s="292" t="s">
        <v>476</v>
      </c>
      <c r="C23" s="292" t="s">
        <v>625</v>
      </c>
      <c r="D23" s="286"/>
      <c r="E23" s="286"/>
      <c r="F23" s="286"/>
      <c r="G23" s="286"/>
      <c r="H23" s="293"/>
    </row>
    <row r="24" spans="1:10" x14ac:dyDescent="0.25">
      <c r="A24" s="285"/>
      <c r="B24" s="292" t="s">
        <v>477</v>
      </c>
      <c r="C24" s="292" t="s">
        <v>479</v>
      </c>
      <c r="D24" s="286"/>
      <c r="E24" s="286"/>
      <c r="F24" s="286"/>
      <c r="G24" s="286"/>
      <c r="H24" s="293"/>
    </row>
    <row r="25" spans="1:10" x14ac:dyDescent="0.25">
      <c r="A25" s="285"/>
      <c r="B25" s="292" t="s">
        <v>480</v>
      </c>
      <c r="C25" s="292">
        <v>33.75</v>
      </c>
      <c r="D25" s="286"/>
      <c r="E25" s="286"/>
      <c r="F25" s="286"/>
      <c r="G25" s="286"/>
      <c r="H25" s="293"/>
    </row>
    <row r="26" spans="1:10" x14ac:dyDescent="0.25">
      <c r="A26" s="285"/>
      <c r="B26" s="292" t="s">
        <v>481</v>
      </c>
      <c r="C26" s="292">
        <v>29.25</v>
      </c>
      <c r="D26" s="286"/>
      <c r="E26" s="286"/>
      <c r="F26" s="286"/>
      <c r="G26" s="286"/>
      <c r="H26" s="293"/>
    </row>
    <row r="27" spans="1:10" x14ac:dyDescent="0.25">
      <c r="A27" s="285"/>
      <c r="B27" s="292" t="s">
        <v>482</v>
      </c>
      <c r="C27" s="292">
        <v>27.3</v>
      </c>
      <c r="D27" s="286"/>
      <c r="E27" s="286"/>
      <c r="F27" s="286"/>
      <c r="G27" s="286"/>
      <c r="H27" s="293"/>
    </row>
    <row r="28" spans="1:10" x14ac:dyDescent="0.25">
      <c r="A28" s="285"/>
      <c r="B28" s="559" t="s">
        <v>483</v>
      </c>
      <c r="C28" s="559">
        <v>20.22</v>
      </c>
      <c r="D28" s="286"/>
      <c r="E28" s="286"/>
      <c r="F28" s="286"/>
      <c r="G28" s="286"/>
      <c r="H28" s="293"/>
    </row>
    <row r="29" spans="1:10" x14ac:dyDescent="0.25">
      <c r="A29" s="285"/>
      <c r="B29" s="559" t="s">
        <v>484</v>
      </c>
      <c r="C29" s="559">
        <v>16.649999999999999</v>
      </c>
      <c r="D29" s="286"/>
      <c r="E29" s="286"/>
      <c r="F29" s="286"/>
      <c r="G29" s="286"/>
      <c r="H29" s="293"/>
    </row>
    <row r="30" spans="1:10" x14ac:dyDescent="0.25">
      <c r="A30" s="285"/>
      <c r="B30" s="559" t="s">
        <v>485</v>
      </c>
      <c r="C30" s="559">
        <v>12.69</v>
      </c>
      <c r="D30" s="286"/>
      <c r="E30" s="286"/>
      <c r="F30" s="286"/>
      <c r="G30" s="286"/>
      <c r="H30" s="293"/>
    </row>
    <row r="31" spans="1:10" x14ac:dyDescent="0.25">
      <c r="A31" s="285"/>
      <c r="B31" s="294" t="s">
        <v>486</v>
      </c>
      <c r="C31" s="294">
        <v>11.88</v>
      </c>
      <c r="D31" s="286"/>
      <c r="E31" s="286"/>
      <c r="F31" s="286"/>
      <c r="G31" s="286"/>
      <c r="H31" s="293"/>
    </row>
    <row r="32" spans="1:10" x14ac:dyDescent="0.25">
      <c r="A32" s="285"/>
      <c r="B32" s="294" t="s">
        <v>487</v>
      </c>
      <c r="C32" s="294">
        <v>10.98</v>
      </c>
      <c r="D32" s="286"/>
      <c r="E32" s="286"/>
      <c r="F32" s="286"/>
      <c r="G32" s="286"/>
      <c r="H32" s="293"/>
    </row>
    <row r="33" spans="1:8" x14ac:dyDescent="0.25">
      <c r="A33" s="285"/>
      <c r="B33" s="559" t="s">
        <v>488</v>
      </c>
      <c r="C33" s="559">
        <v>8.77</v>
      </c>
      <c r="D33" s="286"/>
      <c r="E33" s="286"/>
      <c r="F33" s="286"/>
      <c r="G33" s="286"/>
      <c r="H33" s="293"/>
    </row>
    <row r="34" spans="1:8" x14ac:dyDescent="0.25">
      <c r="A34" s="285"/>
      <c r="B34" s="294" t="s">
        <v>489</v>
      </c>
      <c r="C34" s="294">
        <v>7.07</v>
      </c>
      <c r="D34" s="286"/>
      <c r="E34" s="286"/>
      <c r="F34" s="286"/>
      <c r="G34" s="286"/>
      <c r="H34" s="293"/>
    </row>
    <row r="35" spans="1:8" x14ac:dyDescent="0.25">
      <c r="A35" s="285"/>
      <c r="B35" s="294" t="s">
        <v>490</v>
      </c>
      <c r="C35" s="294">
        <v>6.15</v>
      </c>
      <c r="D35" s="286"/>
      <c r="E35" s="286"/>
      <c r="F35" s="286"/>
      <c r="G35" s="286"/>
      <c r="H35" s="293"/>
    </row>
    <row r="36" spans="1:8" x14ac:dyDescent="0.25">
      <c r="A36" s="285"/>
      <c r="B36" s="559" t="s">
        <v>491</v>
      </c>
      <c r="C36" s="559">
        <v>4.76</v>
      </c>
      <c r="D36" s="286"/>
      <c r="E36" s="286"/>
      <c r="F36" s="286"/>
      <c r="G36" s="286"/>
      <c r="H36" s="293"/>
    </row>
    <row r="37" spans="1:8" x14ac:dyDescent="0.25">
      <c r="A37" s="285"/>
      <c r="B37" s="292" t="s">
        <v>492</v>
      </c>
      <c r="C37" s="292">
        <v>4.13</v>
      </c>
      <c r="D37" s="286"/>
      <c r="E37" s="286"/>
      <c r="F37" s="286"/>
      <c r="G37" s="286"/>
      <c r="H37" s="293"/>
    </row>
    <row r="38" spans="1:8" x14ac:dyDescent="0.25">
      <c r="A38" s="285"/>
      <c r="B38" s="292" t="s">
        <v>493</v>
      </c>
      <c r="C38" s="292">
        <v>3.52</v>
      </c>
      <c r="D38" s="286"/>
      <c r="E38" s="286"/>
      <c r="F38" s="286"/>
      <c r="G38" s="286"/>
      <c r="H38" s="293"/>
    </row>
    <row r="39" spans="1:8" x14ac:dyDescent="0.25">
      <c r="A39" s="285"/>
      <c r="B39" s="292" t="s">
        <v>494</v>
      </c>
      <c r="C39" s="292">
        <v>3.06</v>
      </c>
      <c r="D39" s="286"/>
      <c r="E39" s="286"/>
      <c r="F39" s="286"/>
      <c r="G39" s="286"/>
      <c r="H39" s="293"/>
    </row>
    <row r="40" spans="1:8" x14ac:dyDescent="0.25">
      <c r="A40" s="285"/>
      <c r="B40" s="292" t="s">
        <v>495</v>
      </c>
      <c r="C40" s="292">
        <v>2.62</v>
      </c>
      <c r="D40" s="286"/>
      <c r="E40" s="286"/>
      <c r="F40" s="286"/>
      <c r="G40" s="286"/>
      <c r="H40" s="293"/>
    </row>
    <row r="41" spans="1:8" x14ac:dyDescent="0.25">
      <c r="A41" s="285"/>
      <c r="B41" s="292" t="s">
        <v>496</v>
      </c>
      <c r="C41" s="292">
        <v>2.33</v>
      </c>
      <c r="D41" s="286"/>
      <c r="E41" s="286"/>
      <c r="F41" s="286"/>
      <c r="G41" s="286"/>
      <c r="H41" s="293"/>
    </row>
    <row r="42" spans="1:8" x14ac:dyDescent="0.25">
      <c r="A42" s="285"/>
      <c r="B42" s="292" t="s">
        <v>497</v>
      </c>
      <c r="C42" s="292">
        <v>2.0099999999999998</v>
      </c>
      <c r="D42" s="286"/>
      <c r="E42" s="286"/>
      <c r="F42" s="286"/>
      <c r="G42" s="286"/>
      <c r="H42" s="293"/>
    </row>
    <row r="43" spans="1:8" x14ac:dyDescent="0.25">
      <c r="A43" s="285"/>
      <c r="B43" s="292" t="s">
        <v>498</v>
      </c>
      <c r="C43" s="292">
        <v>1.68</v>
      </c>
      <c r="D43" s="286"/>
      <c r="E43" s="286"/>
      <c r="F43" s="286"/>
      <c r="G43" s="286"/>
      <c r="H43" s="293"/>
    </row>
    <row r="44" spans="1:8" x14ac:dyDescent="0.25">
      <c r="A44" s="285"/>
      <c r="B44" s="292" t="s">
        <v>499</v>
      </c>
      <c r="C44" s="292">
        <v>1.56</v>
      </c>
      <c r="D44" s="286"/>
      <c r="E44" s="286"/>
      <c r="F44" s="286"/>
      <c r="G44" s="286"/>
      <c r="H44" s="293"/>
    </row>
    <row r="45" spans="1:8" x14ac:dyDescent="0.25">
      <c r="A45" s="285"/>
      <c r="B45" s="292" t="s">
        <v>500</v>
      </c>
      <c r="C45" s="292">
        <v>1.22</v>
      </c>
      <c r="D45" s="286"/>
      <c r="E45" s="286"/>
      <c r="F45" s="286"/>
      <c r="G45" s="286"/>
      <c r="H45" s="293"/>
    </row>
    <row r="46" spans="1:8" x14ac:dyDescent="0.25">
      <c r="A46" s="285"/>
      <c r="B46" s="292" t="s">
        <v>501</v>
      </c>
      <c r="C46" s="292">
        <v>1.04</v>
      </c>
      <c r="D46" s="286"/>
      <c r="E46" s="286"/>
      <c r="F46" s="286"/>
      <c r="G46" s="286"/>
      <c r="H46" s="293"/>
    </row>
    <row r="47" spans="1:8" x14ac:dyDescent="0.25">
      <c r="A47" s="285"/>
      <c r="B47" s="292" t="s">
        <v>502</v>
      </c>
      <c r="C47" s="292">
        <v>0.9</v>
      </c>
      <c r="D47" s="286"/>
      <c r="E47" s="286"/>
      <c r="F47" s="286"/>
      <c r="G47" s="286"/>
      <c r="H47" s="293"/>
    </row>
    <row r="48" spans="1:8" x14ac:dyDescent="0.25">
      <c r="A48" s="285"/>
      <c r="B48" s="292" t="s">
        <v>503</v>
      </c>
      <c r="C48" s="292">
        <v>0.8</v>
      </c>
      <c r="D48" s="286"/>
      <c r="E48" s="286"/>
      <c r="F48" s="286"/>
      <c r="G48" s="286"/>
      <c r="H48" s="293"/>
    </row>
    <row r="49" spans="1:8" x14ac:dyDescent="0.25">
      <c r="A49" s="285"/>
      <c r="B49" s="292" t="s">
        <v>504</v>
      </c>
      <c r="C49" s="292">
        <v>0.73</v>
      </c>
      <c r="D49" s="286"/>
      <c r="E49" s="286"/>
      <c r="F49" s="286"/>
      <c r="G49" s="286"/>
      <c r="H49" s="293"/>
    </row>
    <row r="50" spans="1:8" x14ac:dyDescent="0.25">
      <c r="A50" s="285"/>
      <c r="B50" s="292" t="s">
        <v>505</v>
      </c>
      <c r="C50" s="292">
        <v>0.66</v>
      </c>
      <c r="D50" s="286"/>
      <c r="E50" s="286"/>
      <c r="F50" s="286"/>
      <c r="G50" s="286"/>
      <c r="H50" s="293"/>
    </row>
    <row r="51" spans="1:8" x14ac:dyDescent="0.25">
      <c r="A51" s="285"/>
      <c r="B51" s="292" t="s">
        <v>506</v>
      </c>
      <c r="C51" s="292">
        <v>0.61</v>
      </c>
      <c r="D51" s="286"/>
      <c r="E51" s="286"/>
      <c r="F51" s="286"/>
      <c r="G51" s="286"/>
      <c r="H51" s="293"/>
    </row>
    <row r="52" spans="1:8" x14ac:dyDescent="0.25">
      <c r="A52" s="285"/>
      <c r="B52" s="292" t="s">
        <v>507</v>
      </c>
      <c r="C52" s="292">
        <v>0.57999999999999996</v>
      </c>
      <c r="D52" s="286"/>
      <c r="E52" s="286"/>
      <c r="F52" s="286"/>
      <c r="G52" s="286"/>
      <c r="H52" s="293"/>
    </row>
    <row r="53" spans="1:8" x14ac:dyDescent="0.25">
      <c r="A53" s="285"/>
      <c r="B53" s="286"/>
      <c r="C53" s="286"/>
      <c r="D53" s="286"/>
      <c r="E53" s="286"/>
      <c r="F53" s="286"/>
      <c r="G53" s="286"/>
      <c r="H53" s="293"/>
    </row>
    <row r="54" spans="1:8" x14ac:dyDescent="0.25">
      <c r="A54" s="285"/>
      <c r="B54" s="286"/>
      <c r="C54" s="286"/>
      <c r="D54" s="286"/>
      <c r="E54" s="286"/>
      <c r="F54" s="286"/>
      <c r="G54" s="286"/>
      <c r="H54" s="293"/>
    </row>
    <row r="55" spans="1:8" x14ac:dyDescent="0.25">
      <c r="A55" s="285"/>
      <c r="B55" s="286"/>
      <c r="C55" s="286"/>
      <c r="D55" s="286"/>
      <c r="E55" s="286"/>
      <c r="F55" s="286"/>
      <c r="G55" s="286"/>
      <c r="H55" s="293"/>
    </row>
    <row r="56" spans="1:8" x14ac:dyDescent="0.25">
      <c r="A56" s="285"/>
      <c r="B56" s="286"/>
      <c r="C56" s="286"/>
      <c r="D56" s="286"/>
      <c r="E56" s="286"/>
      <c r="F56" s="286"/>
      <c r="G56" s="286"/>
      <c r="H56" s="293"/>
    </row>
    <row r="57" spans="1:8" x14ac:dyDescent="0.25">
      <c r="A57" s="285"/>
      <c r="B57" s="286"/>
      <c r="C57" s="286"/>
      <c r="D57" s="286"/>
      <c r="E57" s="286"/>
      <c r="F57" s="286"/>
      <c r="G57" s="286"/>
      <c r="H57" s="293"/>
    </row>
    <row r="58" spans="1:8" x14ac:dyDescent="0.25">
      <c r="A58" s="285"/>
      <c r="B58" s="286"/>
      <c r="C58" s="286"/>
      <c r="D58" s="286"/>
      <c r="E58" s="286"/>
      <c r="F58" s="286"/>
      <c r="G58" s="286"/>
      <c r="H58" s="293"/>
    </row>
    <row r="59" spans="1:8" x14ac:dyDescent="0.25">
      <c r="A59" s="285"/>
      <c r="B59" s="286"/>
      <c r="C59" s="286"/>
      <c r="D59" s="286"/>
      <c r="E59" s="286"/>
      <c r="F59" s="286"/>
      <c r="G59" s="286"/>
      <c r="H59" s="293"/>
    </row>
    <row r="60" spans="1:8" x14ac:dyDescent="0.25">
      <c r="A60" s="285"/>
      <c r="B60" s="286"/>
      <c r="C60" s="286"/>
      <c r="D60" s="286"/>
      <c r="E60" s="286"/>
      <c r="F60" s="286"/>
      <c r="G60" s="286"/>
      <c r="H60" s="293"/>
    </row>
    <row r="61" spans="1:8" x14ac:dyDescent="0.25">
      <c r="A61" s="285"/>
      <c r="B61" s="286"/>
      <c r="C61" s="286"/>
      <c r="D61" s="286"/>
      <c r="E61" s="286"/>
      <c r="F61" s="286"/>
      <c r="G61" s="286"/>
      <c r="H61" s="293"/>
    </row>
    <row r="62" spans="1:8" x14ac:dyDescent="0.25">
      <c r="A62" s="285"/>
      <c r="B62" s="286"/>
      <c r="C62" s="286"/>
      <c r="D62" s="286"/>
      <c r="E62" s="286"/>
      <c r="F62" s="286"/>
      <c r="G62" s="286"/>
      <c r="H62" s="293"/>
    </row>
    <row r="63" spans="1:8" x14ac:dyDescent="0.25">
      <c r="A63" s="285"/>
      <c r="B63" s="286"/>
      <c r="C63" s="286"/>
      <c r="D63" s="286"/>
      <c r="E63" s="286"/>
      <c r="F63" s="286"/>
      <c r="G63" s="286"/>
      <c r="H63" s="293"/>
    </row>
    <row r="64" spans="1:8" x14ac:dyDescent="0.25">
      <c r="A64" s="285"/>
      <c r="B64" s="286"/>
      <c r="C64" s="286"/>
      <c r="D64" s="286"/>
      <c r="E64" s="286"/>
      <c r="F64" s="286"/>
      <c r="G64" s="286"/>
      <c r="H64" s="293"/>
    </row>
    <row r="65" spans="1:8" x14ac:dyDescent="0.25">
      <c r="A65" s="285"/>
      <c r="B65" s="286"/>
      <c r="C65" s="286"/>
      <c r="D65" s="286"/>
      <c r="E65" s="286"/>
      <c r="F65" s="286"/>
      <c r="G65" s="286"/>
      <c r="H65" s="293"/>
    </row>
    <row r="66" spans="1:8" x14ac:dyDescent="0.25">
      <c r="A66" s="285"/>
      <c r="B66" s="286"/>
      <c r="C66" s="286"/>
      <c r="D66" s="286"/>
      <c r="E66" s="286"/>
      <c r="F66" s="286"/>
      <c r="G66" s="286"/>
      <c r="H66" s="293"/>
    </row>
    <row r="67" spans="1:8" x14ac:dyDescent="0.25">
      <c r="A67" s="285"/>
      <c r="B67" s="286"/>
      <c r="C67" s="286"/>
      <c r="D67" s="286"/>
      <c r="E67" s="286"/>
      <c r="F67" s="286"/>
      <c r="G67" s="286"/>
      <c r="H67" s="293"/>
    </row>
    <row r="68" spans="1:8" x14ac:dyDescent="0.25">
      <c r="A68" s="285"/>
      <c r="B68" s="286"/>
      <c r="C68" s="286"/>
      <c r="D68" s="286"/>
      <c r="E68" s="286"/>
      <c r="F68" s="286"/>
      <c r="G68" s="286"/>
      <c r="H68" s="293"/>
    </row>
    <row r="69" spans="1:8" x14ac:dyDescent="0.25">
      <c r="A69" s="285"/>
      <c r="B69" s="286"/>
      <c r="C69" s="286"/>
      <c r="D69" s="286"/>
      <c r="E69" s="286"/>
      <c r="F69" s="286"/>
      <c r="G69" s="286"/>
      <c r="H69" s="293"/>
    </row>
    <row r="70" spans="1:8" x14ac:dyDescent="0.25">
      <c r="A70" s="285"/>
      <c r="B70" s="286"/>
      <c r="C70" s="286"/>
      <c r="D70" s="286"/>
      <c r="E70" s="286"/>
      <c r="F70" s="286"/>
      <c r="G70" s="286"/>
      <c r="H70" s="293"/>
    </row>
  </sheetData>
  <mergeCells count="19">
    <mergeCell ref="A1:H1"/>
    <mergeCell ref="A2:H2"/>
    <mergeCell ref="A3:B3"/>
    <mergeCell ref="C3:H3"/>
    <mergeCell ref="A4:B4"/>
    <mergeCell ref="C4:H4"/>
    <mergeCell ref="B13:B15"/>
    <mergeCell ref="A10:A12"/>
    <mergeCell ref="B10:B12"/>
    <mergeCell ref="H10:H15"/>
    <mergeCell ref="A5:B5"/>
    <mergeCell ref="C5:H5"/>
    <mergeCell ref="A6:B6"/>
    <mergeCell ref="C6:H6"/>
    <mergeCell ref="A7:B7"/>
    <mergeCell ref="C7:H7"/>
    <mergeCell ref="C9:E9"/>
    <mergeCell ref="G10:G15"/>
    <mergeCell ref="A13:A1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6"/>
  <sheetViews>
    <sheetView topLeftCell="A60" workbookViewId="0">
      <selection activeCell="D82" sqref="D82"/>
    </sheetView>
  </sheetViews>
  <sheetFormatPr defaultColWidth="9.140625" defaultRowHeight="11.25" x14ac:dyDescent="0.2"/>
  <cols>
    <col min="1" max="1" width="6.7109375" style="448" customWidth="1"/>
    <col min="2" max="2" width="20.140625" style="448" customWidth="1"/>
    <col min="3" max="3" width="32.7109375" style="448" customWidth="1"/>
    <col min="4" max="4" width="15.5703125" style="448" customWidth="1"/>
    <col min="5" max="8" width="13.42578125" style="448" customWidth="1"/>
    <col min="9" max="10" width="10" style="448" bestFit="1" customWidth="1"/>
    <col min="11" max="11" width="14.7109375" style="448" customWidth="1"/>
    <col min="12" max="12" width="11.140625" style="448" customWidth="1"/>
    <col min="13" max="13" width="11.42578125" style="448" bestFit="1" customWidth="1"/>
    <col min="14" max="14" width="12.42578125" style="448" bestFit="1" customWidth="1"/>
    <col min="15" max="18" width="9.140625" style="448"/>
    <col min="19" max="19" width="12" style="448" customWidth="1"/>
    <col min="20" max="20" width="11.85546875" style="448" customWidth="1"/>
    <col min="21" max="21" width="14.28515625" style="448" customWidth="1"/>
    <col min="22" max="16384" width="9.140625" style="448"/>
  </cols>
  <sheetData>
    <row r="1" spans="1:8" s="358" customFormat="1" ht="15" x14ac:dyDescent="0.25">
      <c r="A1" s="355"/>
      <c r="B1" s="356"/>
      <c r="C1" s="356"/>
      <c r="D1" s="356"/>
      <c r="E1" s="356"/>
      <c r="F1" s="356"/>
      <c r="G1" s="356"/>
      <c r="H1" s="357" t="s">
        <v>666</v>
      </c>
    </row>
    <row r="2" spans="1:8" s="358" customFormat="1" ht="15" x14ac:dyDescent="0.25">
      <c r="A2" s="359"/>
      <c r="B2" s="360"/>
      <c r="C2" s="360"/>
      <c r="D2" s="360"/>
      <c r="E2" s="360"/>
      <c r="F2" s="360"/>
      <c r="G2" s="360"/>
      <c r="H2" s="361" t="s">
        <v>667</v>
      </c>
    </row>
    <row r="3" spans="1:8" s="358" customFormat="1" ht="15" x14ac:dyDescent="0.25">
      <c r="A3" s="359"/>
      <c r="B3" s="360"/>
      <c r="C3" s="360"/>
      <c r="D3" s="360"/>
      <c r="E3" s="360"/>
      <c r="F3" s="360"/>
      <c r="G3" s="360"/>
      <c r="H3" s="361"/>
    </row>
    <row r="4" spans="1:8" s="358" customFormat="1" ht="15" x14ac:dyDescent="0.25">
      <c r="A4" s="359"/>
      <c r="B4" s="360" t="s">
        <v>668</v>
      </c>
      <c r="C4" s="2592" t="s">
        <v>669</v>
      </c>
      <c r="D4" s="2592"/>
      <c r="E4" s="2592"/>
      <c r="F4" s="2592"/>
      <c r="G4" s="2592"/>
      <c r="H4" s="362"/>
    </row>
    <row r="5" spans="1:8" s="358" customFormat="1" ht="10.5" customHeight="1" x14ac:dyDescent="0.25">
      <c r="A5" s="359"/>
      <c r="B5" s="360"/>
      <c r="C5" s="2593" t="s">
        <v>182</v>
      </c>
      <c r="D5" s="2593"/>
      <c r="E5" s="2593"/>
      <c r="F5" s="2593"/>
      <c r="G5" s="2593"/>
      <c r="H5" s="362"/>
    </row>
    <row r="6" spans="1:8" s="358" customFormat="1" ht="17.25" customHeight="1" x14ac:dyDescent="0.25">
      <c r="A6" s="359"/>
      <c r="B6" s="360" t="s">
        <v>670</v>
      </c>
      <c r="C6" s="363"/>
      <c r="D6" s="363"/>
      <c r="E6" s="363"/>
      <c r="F6" s="363"/>
      <c r="G6" s="363"/>
      <c r="H6" s="362"/>
    </row>
    <row r="7" spans="1:8" s="358" customFormat="1" ht="17.25" customHeight="1" x14ac:dyDescent="0.25">
      <c r="A7" s="359"/>
      <c r="B7" s="360"/>
      <c r="C7" s="363"/>
      <c r="D7" s="363"/>
      <c r="E7" s="363"/>
      <c r="F7" s="363"/>
      <c r="G7" s="363"/>
      <c r="H7" s="362"/>
    </row>
    <row r="8" spans="1:8" s="358" customFormat="1" ht="17.25" customHeight="1" x14ac:dyDescent="0.25">
      <c r="A8" s="359"/>
      <c r="B8" s="364" t="s">
        <v>671</v>
      </c>
      <c r="C8" s="363"/>
      <c r="D8" s="365" t="e">
        <f>H72</f>
        <v>#REF!</v>
      </c>
      <c r="E8" s="363" t="s">
        <v>672</v>
      </c>
      <c r="F8" s="363"/>
      <c r="G8" s="363"/>
      <c r="H8" s="362"/>
    </row>
    <row r="9" spans="1:8" s="358" customFormat="1" ht="17.25" customHeight="1" x14ac:dyDescent="0.25">
      <c r="A9" s="359"/>
      <c r="B9" s="360"/>
      <c r="C9" s="2594"/>
      <c r="D9" s="2594"/>
      <c r="E9" s="2594"/>
      <c r="F9" s="2594"/>
      <c r="G9" s="2594"/>
      <c r="H9" s="362"/>
    </row>
    <row r="10" spans="1:8" s="358" customFormat="1" ht="11.25" customHeight="1" x14ac:dyDescent="0.25">
      <c r="A10" s="366"/>
      <c r="B10" s="367"/>
      <c r="C10" s="2593" t="s">
        <v>673</v>
      </c>
      <c r="D10" s="2593"/>
      <c r="E10" s="2593"/>
      <c r="F10" s="2593"/>
      <c r="G10" s="2593"/>
      <c r="H10" s="368"/>
    </row>
    <row r="11" spans="1:8" s="358" customFormat="1" ht="11.25" customHeight="1" x14ac:dyDescent="0.25">
      <c r="A11" s="366"/>
      <c r="B11" s="367"/>
      <c r="C11" s="363"/>
      <c r="D11" s="363"/>
      <c r="E11" s="363"/>
      <c r="F11" s="363"/>
      <c r="G11" s="363"/>
      <c r="H11" s="368"/>
    </row>
    <row r="12" spans="1:8" s="358" customFormat="1" ht="18" x14ac:dyDescent="0.25">
      <c r="A12" s="366"/>
      <c r="B12" s="2595" t="s">
        <v>674</v>
      </c>
      <c r="C12" s="2595"/>
      <c r="D12" s="2595"/>
      <c r="E12" s="2595"/>
      <c r="F12" s="2595"/>
      <c r="G12" s="2595"/>
      <c r="H12" s="368"/>
    </row>
    <row r="13" spans="1:8" s="358" customFormat="1" ht="15" x14ac:dyDescent="0.25">
      <c r="A13" s="369"/>
      <c r="B13" s="2591" t="s">
        <v>648</v>
      </c>
      <c r="C13" s="2591"/>
      <c r="D13" s="2591"/>
      <c r="E13" s="2591"/>
      <c r="F13" s="2591"/>
      <c r="G13" s="2591"/>
      <c r="H13" s="370"/>
    </row>
    <row r="14" spans="1:8" s="358" customFormat="1" ht="13.5" customHeight="1" x14ac:dyDescent="0.25">
      <c r="A14" s="371"/>
      <c r="B14" s="2596" t="s">
        <v>675</v>
      </c>
      <c r="C14" s="2596"/>
      <c r="D14" s="2596"/>
      <c r="E14" s="2596"/>
      <c r="F14" s="2596"/>
      <c r="G14" s="2596"/>
      <c r="H14" s="372"/>
    </row>
    <row r="15" spans="1:8" s="358" customFormat="1" ht="9.75" customHeight="1" x14ac:dyDescent="0.25">
      <c r="A15" s="359"/>
      <c r="B15" s="360"/>
      <c r="C15" s="360"/>
      <c r="D15" s="373"/>
      <c r="E15" s="373"/>
      <c r="F15" s="373"/>
      <c r="G15" s="374"/>
      <c r="H15" s="375"/>
    </row>
    <row r="16" spans="1:8" s="358" customFormat="1" ht="27" customHeight="1" x14ac:dyDescent="0.25">
      <c r="A16" s="376"/>
      <c r="B16" s="2597" t="s">
        <v>676</v>
      </c>
      <c r="C16" s="2597"/>
      <c r="D16" s="2597"/>
      <c r="E16" s="2597"/>
      <c r="F16" s="2597"/>
      <c r="G16" s="2597"/>
      <c r="H16" s="2598"/>
    </row>
    <row r="17" spans="1:21" s="358" customFormat="1" ht="9.75" customHeight="1" x14ac:dyDescent="0.25">
      <c r="A17" s="359"/>
      <c r="B17" s="360"/>
      <c r="C17" s="360"/>
      <c r="D17" s="363"/>
      <c r="E17" s="363"/>
      <c r="F17" s="363"/>
      <c r="G17" s="363"/>
      <c r="H17" s="377"/>
    </row>
    <row r="18" spans="1:21" s="358" customFormat="1" ht="16.5" customHeight="1" x14ac:dyDescent="0.25">
      <c r="A18" s="2599" t="s">
        <v>5</v>
      </c>
      <c r="B18" s="2602" t="s">
        <v>665</v>
      </c>
      <c r="C18" s="2602" t="s">
        <v>677</v>
      </c>
      <c r="D18" s="2605" t="s">
        <v>678</v>
      </c>
      <c r="E18" s="2606"/>
      <c r="F18" s="2606"/>
      <c r="G18" s="2606"/>
      <c r="H18" s="2607"/>
    </row>
    <row r="19" spans="1:21" s="358" customFormat="1" ht="45.75" customHeight="1" x14ac:dyDescent="0.25">
      <c r="A19" s="2600"/>
      <c r="B19" s="2603"/>
      <c r="C19" s="2603"/>
      <c r="D19" s="2602" t="s">
        <v>679</v>
      </c>
      <c r="E19" s="2602" t="s">
        <v>680</v>
      </c>
      <c r="F19" s="2602" t="s">
        <v>681</v>
      </c>
      <c r="G19" s="2602" t="s">
        <v>682</v>
      </c>
      <c r="H19" s="2608" t="s">
        <v>683</v>
      </c>
    </row>
    <row r="20" spans="1:21" s="358" customFormat="1" ht="27.75" customHeight="1" x14ac:dyDescent="0.25">
      <c r="A20" s="2601"/>
      <c r="B20" s="2604"/>
      <c r="C20" s="2604"/>
      <c r="D20" s="2604"/>
      <c r="E20" s="2604"/>
      <c r="F20" s="2604"/>
      <c r="G20" s="2604"/>
      <c r="H20" s="2609"/>
    </row>
    <row r="21" spans="1:21" s="358" customFormat="1" ht="15" x14ac:dyDescent="0.25">
      <c r="A21" s="378">
        <v>1</v>
      </c>
      <c r="B21" s="379">
        <v>2</v>
      </c>
      <c r="C21" s="379">
        <v>3</v>
      </c>
      <c r="D21" s="379">
        <v>4</v>
      </c>
      <c r="E21" s="379">
        <v>5</v>
      </c>
      <c r="F21" s="379">
        <v>6</v>
      </c>
      <c r="G21" s="379">
        <v>7</v>
      </c>
      <c r="H21" s="380">
        <v>8</v>
      </c>
    </row>
    <row r="22" spans="1:21" s="358" customFormat="1" ht="15" x14ac:dyDescent="0.25">
      <c r="A22" s="2610" t="s">
        <v>684</v>
      </c>
      <c r="B22" s="2611"/>
      <c r="C22" s="2611"/>
      <c r="D22" s="2611"/>
      <c r="E22" s="2611"/>
      <c r="F22" s="2611"/>
      <c r="G22" s="2611"/>
      <c r="H22" s="2612"/>
      <c r="I22" s="2613" t="s">
        <v>685</v>
      </c>
      <c r="J22" s="2613"/>
      <c r="K22" s="2613"/>
      <c r="L22" s="2613"/>
      <c r="M22" s="2613"/>
      <c r="N22" s="2613"/>
      <c r="O22" s="2613"/>
      <c r="P22" s="2613"/>
      <c r="Q22" s="2613"/>
      <c r="R22" s="2613"/>
      <c r="S22" s="2613"/>
      <c r="T22" s="2613"/>
      <c r="U22" s="2613"/>
    </row>
    <row r="23" spans="1:21" s="358" customFormat="1" ht="45" x14ac:dyDescent="0.25">
      <c r="A23" s="381">
        <v>1</v>
      </c>
      <c r="B23" s="382" t="s">
        <v>686</v>
      </c>
      <c r="C23" s="382" t="s">
        <v>687</v>
      </c>
      <c r="D23" s="383"/>
      <c r="E23" s="383"/>
      <c r="F23" s="383"/>
      <c r="G23" s="384"/>
      <c r="H23" s="385"/>
      <c r="I23" s="386"/>
      <c r="J23" s="387"/>
      <c r="K23" s="387"/>
      <c r="L23" s="387"/>
      <c r="M23" s="387"/>
      <c r="N23" s="387"/>
      <c r="O23" s="387"/>
      <c r="P23" s="387"/>
      <c r="Q23" s="387"/>
      <c r="R23" s="387"/>
      <c r="S23" s="387"/>
      <c r="T23" s="387"/>
      <c r="U23" s="387"/>
    </row>
    <row r="24" spans="1:21" s="358" customFormat="1" ht="79.5" customHeight="1" x14ac:dyDescent="0.25">
      <c r="A24" s="388"/>
      <c r="B24" s="2614" t="s">
        <v>688</v>
      </c>
      <c r="C24" s="2615"/>
      <c r="D24" s="389"/>
      <c r="E24" s="389"/>
      <c r="F24" s="390"/>
      <c r="G24" s="391"/>
      <c r="H24" s="392"/>
      <c r="I24" s="2616" t="s">
        <v>689</v>
      </c>
      <c r="J24" s="2617"/>
      <c r="K24" s="2617"/>
      <c r="L24" s="2618" t="s">
        <v>690</v>
      </c>
      <c r="M24" s="2618"/>
      <c r="N24" s="2618"/>
      <c r="O24" s="2619" t="s">
        <v>691</v>
      </c>
      <c r="P24" s="2619"/>
      <c r="Q24" s="2619"/>
      <c r="R24" s="2620" t="s">
        <v>692</v>
      </c>
      <c r="S24" s="2621"/>
      <c r="T24" s="2621"/>
      <c r="U24" s="2621"/>
    </row>
    <row r="25" spans="1:21" s="358" customFormat="1" ht="30" x14ac:dyDescent="0.25">
      <c r="A25" s="2610" t="s">
        <v>693</v>
      </c>
      <c r="B25" s="2611"/>
      <c r="C25" s="2611"/>
      <c r="D25" s="2611"/>
      <c r="E25" s="2611"/>
      <c r="F25" s="2611"/>
      <c r="G25" s="2611"/>
      <c r="H25" s="2612"/>
      <c r="I25" s="393" t="s">
        <v>694</v>
      </c>
      <c r="J25" s="394" t="s">
        <v>695</v>
      </c>
      <c r="K25" s="395" t="s">
        <v>683</v>
      </c>
      <c r="L25" s="396" t="s">
        <v>696</v>
      </c>
      <c r="M25" s="397" t="s">
        <v>697</v>
      </c>
      <c r="N25" s="397" t="s">
        <v>698</v>
      </c>
      <c r="O25" s="398" t="s">
        <v>699</v>
      </c>
      <c r="P25" s="398" t="s">
        <v>697</v>
      </c>
      <c r="Q25" s="398" t="s">
        <v>698</v>
      </c>
      <c r="R25" s="399" t="s">
        <v>699</v>
      </c>
      <c r="S25" s="399" t="s">
        <v>697</v>
      </c>
      <c r="T25" s="399" t="s">
        <v>698</v>
      </c>
      <c r="U25" s="399" t="s">
        <v>521</v>
      </c>
    </row>
    <row r="26" spans="1:21" s="358" customFormat="1" ht="33.75" x14ac:dyDescent="0.25">
      <c r="A26" s="400">
        <v>3</v>
      </c>
      <c r="B26" s="401" t="s">
        <v>935</v>
      </c>
      <c r="C26" s="402" t="s">
        <v>700</v>
      </c>
      <c r="D26" s="403" t="e">
        <f>#REF!/1000</f>
        <v>#REF!</v>
      </c>
      <c r="E26" s="404"/>
      <c r="F26" s="404"/>
      <c r="G26" s="405"/>
      <c r="H26" s="406" t="e">
        <f>G26+F26+E26+D26</f>
        <v>#REF!</v>
      </c>
      <c r="I26" s="407" t="e">
        <f>#REF!</f>
        <v>#REF!</v>
      </c>
      <c r="J26" s="408" t="e">
        <f>#REF!</f>
        <v>#REF!</v>
      </c>
      <c r="K26" s="409" t="e">
        <f>I26+J26</f>
        <v>#REF!</v>
      </c>
      <c r="L26" s="410" t="e">
        <f>(#REF!+#REF!+#REF!+#REF!)/1000</f>
        <v>#REF!</v>
      </c>
      <c r="M26" s="410" t="e">
        <f>#REF!/1000</f>
        <v>#REF!</v>
      </c>
      <c r="N26" s="411" t="e">
        <f>(#REF!+#REF!)/1000</f>
        <v>#REF!</v>
      </c>
      <c r="O26" s="412">
        <v>28.18</v>
      </c>
      <c r="P26" s="412">
        <v>11.1</v>
      </c>
      <c r="Q26" s="412">
        <v>8.26</v>
      </c>
      <c r="R26" s="413" t="e">
        <f t="shared" ref="R26:T29" si="0">L26/O26</f>
        <v>#REF!</v>
      </c>
      <c r="S26" s="413" t="e">
        <f t="shared" si="0"/>
        <v>#REF!</v>
      </c>
      <c r="T26" s="413" t="e">
        <f t="shared" si="0"/>
        <v>#REF!</v>
      </c>
      <c r="U26" s="414" t="e">
        <f>R26+S26+T26</f>
        <v>#REF!</v>
      </c>
    </row>
    <row r="27" spans="1:21" s="358" customFormat="1" ht="123.75" x14ac:dyDescent="0.25">
      <c r="A27" s="400">
        <v>4</v>
      </c>
      <c r="B27" s="415" t="s">
        <v>701</v>
      </c>
      <c r="C27" s="402" t="s">
        <v>702</v>
      </c>
      <c r="D27" s="403">
        <f>438578683/1000/4112*5638.5*1.049*1.146*1.07</f>
        <v>773574.03</v>
      </c>
      <c r="E27" s="404"/>
      <c r="F27" s="404"/>
      <c r="G27" s="405"/>
      <c r="H27" s="406">
        <f>G27+F27+E27+D27</f>
        <v>773574.03</v>
      </c>
      <c r="I27" s="407">
        <f>77546.39/4112*5638.5</f>
        <v>106333.98</v>
      </c>
      <c r="J27" s="408">
        <f>25160.26/4112*5638.5</f>
        <v>34500.519999999997</v>
      </c>
      <c r="K27" s="409">
        <f>I27+J27</f>
        <v>140834.5</v>
      </c>
      <c r="L27" s="410">
        <f>(729757.73+344057.86+917722.79+599190.37)*7.3/1000/4112*5638.5*1.049*1.146*1.07</f>
        <v>33357.94</v>
      </c>
      <c r="M27" s="410">
        <f>((24874243.85-344057.86)*7.3/1000-0.01)/4112*5638.5*1.049*1.146*1.07+0.1</f>
        <v>315848.03000000003</v>
      </c>
      <c r="N27" s="410">
        <f>32958356.96*7.3/1000/4112*5638.5*1.049*1.146*1.07</f>
        <v>424368.14</v>
      </c>
      <c r="O27" s="412">
        <v>28.18</v>
      </c>
      <c r="P27" s="412">
        <v>11.1</v>
      </c>
      <c r="Q27" s="412">
        <v>8.26</v>
      </c>
      <c r="R27" s="413">
        <f t="shared" si="0"/>
        <v>1183.75</v>
      </c>
      <c r="S27" s="413">
        <f t="shared" si="0"/>
        <v>28454.78</v>
      </c>
      <c r="T27" s="413">
        <f t="shared" si="0"/>
        <v>51376.29</v>
      </c>
      <c r="U27" s="414">
        <f>R27+S27+T27</f>
        <v>81014.820000000007</v>
      </c>
    </row>
    <row r="28" spans="1:21" s="358" customFormat="1" ht="123.75" x14ac:dyDescent="0.25">
      <c r="A28" s="400">
        <v>5</v>
      </c>
      <c r="B28" s="415" t="s">
        <v>701</v>
      </c>
      <c r="C28" s="402" t="s">
        <v>703</v>
      </c>
      <c r="D28" s="403">
        <f>438578683/1000/4112*3594.5*1.049*1.146*1.07</f>
        <v>493147.44</v>
      </c>
      <c r="E28" s="404"/>
      <c r="F28" s="404"/>
      <c r="G28" s="405"/>
      <c r="H28" s="406">
        <f>G28+F28+E28+D28</f>
        <v>493147.44</v>
      </c>
      <c r="I28" s="407">
        <f>77546.39/4112*3594.5</f>
        <v>67787.09</v>
      </c>
      <c r="J28" s="408">
        <f>25160.26/4112*3594.5</f>
        <v>21993.81</v>
      </c>
      <c r="K28" s="409">
        <f>I28+J28</f>
        <v>89780.9</v>
      </c>
      <c r="L28" s="410">
        <f>(729757.73+344057.86+917722.79+599190.37)*7.3/1000/4112*3594.5*1.049*1.146*1.07</f>
        <v>21265.43</v>
      </c>
      <c r="M28" s="410">
        <f>((24874243.85-344057.86)*7.3/1000-0.01)/4112*3594.5*1.049*1.146*1.07+0.1</f>
        <v>201350.71</v>
      </c>
      <c r="N28" s="410">
        <f>32958356.96*7.3/1000/4112*3594.5*1.049*1.146*1.07</f>
        <v>270531.40000000002</v>
      </c>
      <c r="O28" s="412">
        <v>28.18</v>
      </c>
      <c r="P28" s="412">
        <v>11.1</v>
      </c>
      <c r="Q28" s="412">
        <v>8.26</v>
      </c>
      <c r="R28" s="413">
        <f t="shared" si="0"/>
        <v>754.63</v>
      </c>
      <c r="S28" s="413">
        <f t="shared" si="0"/>
        <v>18139.7</v>
      </c>
      <c r="T28" s="413">
        <f t="shared" si="0"/>
        <v>32751.99</v>
      </c>
      <c r="U28" s="414">
        <f>R28+S28+T28</f>
        <v>51646.32</v>
      </c>
    </row>
    <row r="29" spans="1:21" s="358" customFormat="1" ht="123.75" x14ac:dyDescent="0.25">
      <c r="A29" s="400">
        <v>6</v>
      </c>
      <c r="B29" s="415" t="s">
        <v>701</v>
      </c>
      <c r="C29" s="402" t="s">
        <v>704</v>
      </c>
      <c r="D29" s="403">
        <f>438578683/1000/4112*1984.5*1.049*1.146*1.07</f>
        <v>272263.49</v>
      </c>
      <c r="E29" s="404"/>
      <c r="F29" s="404"/>
      <c r="G29" s="405"/>
      <c r="H29" s="406">
        <f>G29+F29+E29+D29</f>
        <v>272263.49</v>
      </c>
      <c r="I29" s="407">
        <f>77546.39/4112*1984.5</f>
        <v>37424.81</v>
      </c>
      <c r="J29" s="408">
        <f>25160.26/4112*1984.5</f>
        <v>12142.64</v>
      </c>
      <c r="K29" s="409">
        <f>I29+J29</f>
        <v>49567.45</v>
      </c>
      <c r="L29" s="410">
        <f>(729757.73+344057.86+917722.79+599190.37)*7.3/1000/4112*1984.5*1.049*1.146*1.07</f>
        <v>11740.5</v>
      </c>
      <c r="M29" s="410">
        <f>((24874243.85-344057.86)*7.3/1000-0.01)/4112*1984.5*1.049*1.146*1.07+0.1</f>
        <v>111164.46</v>
      </c>
      <c r="N29" s="410">
        <f>32958356.96*7.3/1000/4112*1984.5*1.049*1.146*1.07</f>
        <v>149358.62</v>
      </c>
      <c r="O29" s="412">
        <v>28.18</v>
      </c>
      <c r="P29" s="412">
        <v>11.1</v>
      </c>
      <c r="Q29" s="412">
        <v>8.26</v>
      </c>
      <c r="R29" s="413">
        <f t="shared" si="0"/>
        <v>416.63</v>
      </c>
      <c r="S29" s="413">
        <f t="shared" si="0"/>
        <v>10014.82</v>
      </c>
      <c r="T29" s="413">
        <f t="shared" si="0"/>
        <v>18082.16</v>
      </c>
      <c r="U29" s="414">
        <f>R29+S29+T29</f>
        <v>28513.61</v>
      </c>
    </row>
    <row r="30" spans="1:21" s="358" customFormat="1" ht="15" x14ac:dyDescent="0.25">
      <c r="A30" s="381"/>
      <c r="B30" s="416"/>
      <c r="C30" s="417"/>
      <c r="D30" s="418"/>
      <c r="E30" s="418"/>
      <c r="F30" s="418"/>
      <c r="G30" s="383"/>
      <c r="H30" s="419"/>
      <c r="I30" s="420"/>
      <c r="J30" s="421" t="s">
        <v>521</v>
      </c>
      <c r="K30" s="421" t="e">
        <f>SUM(K26:K29)</f>
        <v>#REF!</v>
      </c>
      <c r="L30" s="421"/>
      <c r="M30" s="421"/>
      <c r="N30" s="421" t="e">
        <f>SUM(N26:N29)</f>
        <v>#REF!</v>
      </c>
      <c r="O30" s="421"/>
      <c r="P30" s="421"/>
      <c r="Q30" s="421"/>
      <c r="R30" s="421"/>
      <c r="S30" s="421"/>
      <c r="T30" s="421"/>
      <c r="U30" s="421" t="e">
        <f>SUM(U26:U29)</f>
        <v>#REF!</v>
      </c>
    </row>
    <row r="31" spans="1:21" s="358" customFormat="1" ht="27.75" customHeight="1" x14ac:dyDescent="0.25">
      <c r="A31" s="388"/>
      <c r="B31" s="2614" t="s">
        <v>705</v>
      </c>
      <c r="C31" s="2615"/>
      <c r="D31" s="422" t="e">
        <f>SUM(D26:D30)</f>
        <v>#REF!</v>
      </c>
      <c r="E31" s="423"/>
      <c r="F31" s="391"/>
      <c r="G31" s="390"/>
      <c r="H31" s="424" t="e">
        <f>SUM(H26:H30)</f>
        <v>#REF!</v>
      </c>
      <c r="I31" s="425"/>
      <c r="J31" s="426"/>
      <c r="K31" s="426"/>
      <c r="L31" s="426"/>
      <c r="M31" s="426"/>
      <c r="N31" s="426"/>
      <c r="O31" s="426"/>
      <c r="P31" s="426"/>
      <c r="Q31" s="426"/>
      <c r="R31" s="426"/>
      <c r="S31" s="426"/>
      <c r="T31" s="426"/>
      <c r="U31" s="427" t="e">
        <f>U30</f>
        <v>#REF!</v>
      </c>
    </row>
    <row r="32" spans="1:21" s="358" customFormat="1" ht="15" x14ac:dyDescent="0.25">
      <c r="A32" s="2610" t="s">
        <v>706</v>
      </c>
      <c r="B32" s="2611"/>
      <c r="C32" s="2611"/>
      <c r="D32" s="2611"/>
      <c r="E32" s="2611"/>
      <c r="F32" s="2611"/>
      <c r="G32" s="2611"/>
      <c r="H32" s="2612"/>
      <c r="I32" s="386"/>
      <c r="J32" s="387"/>
      <c r="K32" s="387"/>
      <c r="L32" s="387"/>
      <c r="M32" s="387"/>
      <c r="N32" s="387"/>
      <c r="O32" s="387"/>
      <c r="P32" s="387"/>
      <c r="Q32" s="387"/>
      <c r="R32" s="387"/>
      <c r="S32" s="387"/>
      <c r="T32" s="387"/>
      <c r="U32" s="387"/>
    </row>
    <row r="33" spans="1:21" s="358" customFormat="1" ht="15" x14ac:dyDescent="0.25">
      <c r="A33" s="388"/>
      <c r="B33" s="2614" t="s">
        <v>707</v>
      </c>
      <c r="C33" s="2615"/>
      <c r="D33" s="428"/>
      <c r="E33" s="428"/>
      <c r="F33" s="429"/>
      <c r="G33" s="390"/>
      <c r="H33" s="392"/>
      <c r="I33" s="425"/>
      <c r="J33" s="426"/>
      <c r="K33" s="426"/>
      <c r="L33" s="426"/>
      <c r="M33" s="426"/>
      <c r="N33" s="426"/>
      <c r="O33" s="426"/>
      <c r="P33" s="426"/>
      <c r="Q33" s="426"/>
      <c r="R33" s="426"/>
      <c r="S33" s="426"/>
      <c r="T33" s="426"/>
      <c r="U33" s="426"/>
    </row>
    <row r="34" spans="1:21" s="358" customFormat="1" ht="15" x14ac:dyDescent="0.25">
      <c r="A34" s="2610" t="s">
        <v>708</v>
      </c>
      <c r="B34" s="2611"/>
      <c r="C34" s="2611"/>
      <c r="D34" s="2611"/>
      <c r="E34" s="2611"/>
      <c r="F34" s="2611"/>
      <c r="G34" s="2611"/>
      <c r="H34" s="2612"/>
      <c r="I34" s="386"/>
      <c r="J34" s="387"/>
      <c r="K34" s="387"/>
      <c r="L34" s="387"/>
      <c r="M34" s="387"/>
      <c r="N34" s="387"/>
      <c r="O34" s="387"/>
      <c r="P34" s="387"/>
      <c r="Q34" s="387"/>
      <c r="R34" s="387"/>
      <c r="S34" s="387"/>
      <c r="T34" s="387"/>
      <c r="U34" s="387"/>
    </row>
    <row r="35" spans="1:21" s="358" customFormat="1" ht="15" x14ac:dyDescent="0.25">
      <c r="A35" s="381">
        <v>7</v>
      </c>
      <c r="B35" s="382"/>
      <c r="C35" s="382"/>
      <c r="D35" s="418"/>
      <c r="E35" s="384"/>
      <c r="F35" s="418"/>
      <c r="G35" s="383"/>
      <c r="H35" s="419"/>
      <c r="I35" s="386"/>
      <c r="J35" s="387"/>
      <c r="K35" s="387"/>
      <c r="L35" s="387"/>
      <c r="M35" s="387"/>
      <c r="N35" s="387"/>
      <c r="O35" s="387"/>
      <c r="P35" s="387"/>
      <c r="Q35" s="387"/>
      <c r="R35" s="387"/>
      <c r="S35" s="387"/>
      <c r="T35" s="387"/>
      <c r="U35" s="387"/>
    </row>
    <row r="36" spans="1:21" s="358" customFormat="1" ht="15" x14ac:dyDescent="0.25">
      <c r="A36" s="388"/>
      <c r="B36" s="2614" t="s">
        <v>709</v>
      </c>
      <c r="C36" s="2615"/>
      <c r="D36" s="423"/>
      <c r="E36" s="428"/>
      <c r="F36" s="391"/>
      <c r="G36" s="390"/>
      <c r="H36" s="392"/>
      <c r="I36" s="425"/>
      <c r="J36" s="426"/>
      <c r="K36" s="426"/>
      <c r="L36" s="426"/>
      <c r="M36" s="426"/>
      <c r="N36" s="426"/>
      <c r="O36" s="426"/>
      <c r="P36" s="426"/>
      <c r="Q36" s="426"/>
      <c r="R36" s="426"/>
      <c r="S36" s="426"/>
      <c r="T36" s="426"/>
      <c r="U36" s="426"/>
    </row>
    <row r="37" spans="1:21" s="358" customFormat="1" ht="15" x14ac:dyDescent="0.25">
      <c r="A37" s="2610" t="s">
        <v>710</v>
      </c>
      <c r="B37" s="2611"/>
      <c r="C37" s="2611"/>
      <c r="D37" s="2611"/>
      <c r="E37" s="2611"/>
      <c r="F37" s="2611"/>
      <c r="G37" s="2611"/>
      <c r="H37" s="2612"/>
      <c r="I37" s="386"/>
      <c r="J37" s="387"/>
      <c r="K37" s="387"/>
      <c r="L37" s="387"/>
      <c r="M37" s="387"/>
      <c r="N37" s="387"/>
      <c r="O37" s="387"/>
      <c r="P37" s="387"/>
      <c r="Q37" s="387"/>
      <c r="R37" s="387"/>
      <c r="S37" s="387"/>
      <c r="T37" s="387"/>
      <c r="U37" s="387"/>
    </row>
    <row r="38" spans="1:21" s="358" customFormat="1" ht="15" x14ac:dyDescent="0.25">
      <c r="A38" s="388"/>
      <c r="B38" s="2614" t="s">
        <v>711</v>
      </c>
      <c r="C38" s="2615"/>
      <c r="D38" s="423"/>
      <c r="E38" s="423"/>
      <c r="F38" s="391"/>
      <c r="G38" s="390"/>
      <c r="H38" s="392"/>
      <c r="I38" s="425"/>
      <c r="J38" s="426"/>
      <c r="K38" s="426"/>
      <c r="L38" s="426"/>
      <c r="M38" s="426"/>
      <c r="N38" s="426"/>
      <c r="O38" s="426"/>
      <c r="P38" s="426"/>
      <c r="Q38" s="426"/>
      <c r="R38" s="426"/>
      <c r="S38" s="426"/>
      <c r="T38" s="426"/>
      <c r="U38" s="426"/>
    </row>
    <row r="39" spans="1:21" s="358" customFormat="1" ht="15" x14ac:dyDescent="0.25">
      <c r="A39" s="2610" t="s">
        <v>712</v>
      </c>
      <c r="B39" s="2611"/>
      <c r="C39" s="2611"/>
      <c r="D39" s="2611"/>
      <c r="E39" s="2611"/>
      <c r="F39" s="2611"/>
      <c r="G39" s="2611"/>
      <c r="H39" s="2612"/>
      <c r="I39" s="386"/>
      <c r="J39" s="387"/>
      <c r="K39" s="387"/>
      <c r="L39" s="387"/>
      <c r="M39" s="387"/>
      <c r="N39" s="387"/>
      <c r="O39" s="387"/>
      <c r="P39" s="387"/>
      <c r="Q39" s="387"/>
      <c r="R39" s="387"/>
      <c r="S39" s="387"/>
      <c r="T39" s="387"/>
      <c r="U39" s="387"/>
    </row>
    <row r="40" spans="1:21" s="358" customFormat="1" ht="15" x14ac:dyDescent="0.25">
      <c r="A40" s="388"/>
      <c r="B40" s="2614" t="s">
        <v>713</v>
      </c>
      <c r="C40" s="2615"/>
      <c r="D40" s="423"/>
      <c r="E40" s="389"/>
      <c r="F40" s="390"/>
      <c r="G40" s="390"/>
      <c r="H40" s="392"/>
      <c r="I40" s="425"/>
      <c r="J40" s="426"/>
      <c r="K40" s="426"/>
      <c r="L40" s="426"/>
      <c r="M40" s="426"/>
      <c r="N40" s="426"/>
      <c r="O40" s="426"/>
      <c r="P40" s="426"/>
      <c r="Q40" s="426"/>
      <c r="R40" s="426"/>
      <c r="S40" s="426"/>
      <c r="T40" s="426"/>
      <c r="U40" s="426"/>
    </row>
    <row r="41" spans="1:21" s="358" customFormat="1" ht="15" x14ac:dyDescent="0.25">
      <c r="A41" s="388"/>
      <c r="B41" s="2622" t="s">
        <v>714</v>
      </c>
      <c r="C41" s="2623"/>
      <c r="D41" s="430" t="e">
        <f>D24+D31+D33+D36+D38+D40</f>
        <v>#REF!</v>
      </c>
      <c r="E41" s="423"/>
      <c r="F41" s="391"/>
      <c r="G41" s="391"/>
      <c r="H41" s="431" t="e">
        <f>D41+E41+F41+G41</f>
        <v>#REF!</v>
      </c>
      <c r="I41" s="432"/>
      <c r="J41" s="433"/>
      <c r="K41" s="433"/>
      <c r="L41" s="433"/>
      <c r="M41" s="433"/>
      <c r="N41" s="433"/>
      <c r="O41" s="433"/>
      <c r="P41" s="433"/>
      <c r="Q41" s="433"/>
      <c r="R41" s="433"/>
      <c r="S41" s="433"/>
      <c r="T41" s="433"/>
      <c r="U41" s="427" t="e">
        <f>U23+U30</f>
        <v>#REF!</v>
      </c>
    </row>
    <row r="42" spans="1:21" s="358" customFormat="1" ht="15" x14ac:dyDescent="0.25">
      <c r="A42" s="2610" t="s">
        <v>715</v>
      </c>
      <c r="B42" s="2611"/>
      <c r="C42" s="2611"/>
      <c r="D42" s="2611"/>
      <c r="E42" s="2611"/>
      <c r="F42" s="2611"/>
      <c r="G42" s="2611"/>
      <c r="H42" s="2612"/>
      <c r="I42" s="386"/>
      <c r="J42" s="387"/>
      <c r="K42" s="387"/>
      <c r="L42" s="387"/>
      <c r="M42" s="387"/>
      <c r="N42" s="387"/>
      <c r="O42" s="387"/>
      <c r="P42" s="387"/>
      <c r="Q42" s="387"/>
      <c r="R42" s="387"/>
      <c r="S42" s="387"/>
      <c r="T42" s="387"/>
      <c r="U42" s="434"/>
    </row>
    <row r="43" spans="1:21" s="358" customFormat="1" ht="56.25" x14ac:dyDescent="0.25">
      <c r="A43" s="381">
        <v>13</v>
      </c>
      <c r="B43" s="382" t="s">
        <v>716</v>
      </c>
      <c r="C43" s="382" t="s">
        <v>717</v>
      </c>
      <c r="D43" s="435" t="e">
        <f>D26*3.1%*0.8</f>
        <v>#REF!</v>
      </c>
      <c r="E43" s="418"/>
      <c r="F43" s="383"/>
      <c r="G43" s="383"/>
      <c r="H43" s="436" t="e">
        <f>D43+E43+F43+G43</f>
        <v>#REF!</v>
      </c>
      <c r="I43" s="386"/>
      <c r="J43" s="387"/>
      <c r="K43" s="387"/>
      <c r="L43" s="387"/>
      <c r="M43" s="387"/>
      <c r="N43" s="387"/>
      <c r="O43" s="387"/>
      <c r="P43" s="387"/>
      <c r="Q43" s="387"/>
      <c r="R43" s="387"/>
      <c r="S43" s="387"/>
      <c r="T43" s="387"/>
      <c r="U43" s="437" t="e">
        <f>U26*3.1%*0.8</f>
        <v>#REF!</v>
      </c>
    </row>
    <row r="44" spans="1:21" s="358" customFormat="1" ht="56.25" x14ac:dyDescent="0.25">
      <c r="A44" s="381">
        <v>14</v>
      </c>
      <c r="B44" s="382" t="s">
        <v>716</v>
      </c>
      <c r="C44" s="382" t="s">
        <v>718</v>
      </c>
      <c r="D44" s="435">
        <f>(D23+D27+D28+D29)*3.1%</f>
        <v>47708.53</v>
      </c>
      <c r="E44" s="418"/>
      <c r="F44" s="383"/>
      <c r="G44" s="383"/>
      <c r="H44" s="436">
        <f>D44</f>
        <v>47708.53</v>
      </c>
      <c r="I44" s="386"/>
      <c r="J44" s="387"/>
      <c r="K44" s="387"/>
      <c r="L44" s="387"/>
      <c r="M44" s="387"/>
      <c r="N44" s="387"/>
      <c r="O44" s="387"/>
      <c r="P44" s="387"/>
      <c r="Q44" s="387"/>
      <c r="R44" s="387"/>
      <c r="S44" s="387"/>
      <c r="T44" s="387"/>
      <c r="U44" s="418">
        <f>(U23+U27+U28+U29)*3.1%</f>
        <v>4996.42</v>
      </c>
    </row>
    <row r="45" spans="1:21" s="358" customFormat="1" ht="15" x14ac:dyDescent="0.25">
      <c r="A45" s="388"/>
      <c r="B45" s="2614" t="s">
        <v>719</v>
      </c>
      <c r="C45" s="2615"/>
      <c r="D45" s="430" t="e">
        <f>D43+D44</f>
        <v>#REF!</v>
      </c>
      <c r="E45" s="423"/>
      <c r="F45" s="390"/>
      <c r="G45" s="390"/>
      <c r="H45" s="424" t="e">
        <f>H43+H44</f>
        <v>#REF!</v>
      </c>
      <c r="I45" s="432"/>
      <c r="J45" s="433"/>
      <c r="K45" s="433"/>
      <c r="L45" s="433"/>
      <c r="M45" s="433"/>
      <c r="N45" s="433"/>
      <c r="O45" s="433"/>
      <c r="P45" s="433"/>
      <c r="Q45" s="433"/>
      <c r="R45" s="433"/>
      <c r="S45" s="433"/>
      <c r="T45" s="433"/>
      <c r="U45" s="427" t="e">
        <f>U43+U44</f>
        <v>#REF!</v>
      </c>
    </row>
    <row r="46" spans="1:21" s="358" customFormat="1" ht="15" x14ac:dyDescent="0.25">
      <c r="A46" s="388"/>
      <c r="B46" s="2622" t="s">
        <v>720</v>
      </c>
      <c r="C46" s="2623"/>
      <c r="D46" s="430" t="e">
        <f>D41+D45</f>
        <v>#REF!</v>
      </c>
      <c r="E46" s="438"/>
      <c r="F46" s="391"/>
      <c r="G46" s="391"/>
      <c r="H46" s="431" t="e">
        <f>H41+H45</f>
        <v>#REF!</v>
      </c>
      <c r="I46" s="432"/>
      <c r="J46" s="433"/>
      <c r="K46" s="433"/>
      <c r="L46" s="433"/>
      <c r="M46" s="433"/>
      <c r="N46" s="433"/>
      <c r="O46" s="433"/>
      <c r="P46" s="433"/>
      <c r="Q46" s="433"/>
      <c r="R46" s="433"/>
      <c r="S46" s="433"/>
      <c r="T46" s="433"/>
      <c r="U46" s="427" t="e">
        <f>U41+U45</f>
        <v>#REF!</v>
      </c>
    </row>
    <row r="47" spans="1:21" s="358" customFormat="1" ht="15" x14ac:dyDescent="0.25">
      <c r="A47" s="2610" t="s">
        <v>721</v>
      </c>
      <c r="B47" s="2611"/>
      <c r="C47" s="2611"/>
      <c r="D47" s="2611"/>
      <c r="E47" s="2611"/>
      <c r="F47" s="2611"/>
      <c r="G47" s="2611"/>
      <c r="H47" s="2612"/>
      <c r="I47" s="386"/>
      <c r="J47" s="387"/>
      <c r="K47" s="387"/>
      <c r="L47" s="387"/>
      <c r="M47" s="387"/>
      <c r="N47" s="387"/>
      <c r="O47" s="387"/>
      <c r="P47" s="387"/>
      <c r="Q47" s="387"/>
      <c r="R47" s="387"/>
      <c r="S47" s="387"/>
      <c r="T47" s="387"/>
      <c r="U47" s="434"/>
    </row>
    <row r="48" spans="1:21" s="358" customFormat="1" ht="45" x14ac:dyDescent="0.25">
      <c r="A48" s="381">
        <v>14</v>
      </c>
      <c r="B48" s="382" t="s">
        <v>722</v>
      </c>
      <c r="C48" s="382" t="s">
        <v>723</v>
      </c>
      <c r="D48" s="435" t="e">
        <f>D46*0.5%</f>
        <v>#REF!</v>
      </c>
      <c r="E48" s="384"/>
      <c r="F48" s="383"/>
      <c r="G48" s="383"/>
      <c r="H48" s="436" t="e">
        <f>D48+E48+F48+G48</f>
        <v>#REF!</v>
      </c>
      <c r="I48" s="386"/>
      <c r="J48" s="387"/>
      <c r="K48" s="387"/>
      <c r="L48" s="387"/>
      <c r="M48" s="387"/>
      <c r="N48" s="387"/>
      <c r="O48" s="387"/>
      <c r="P48" s="387"/>
      <c r="Q48" s="387"/>
      <c r="R48" s="387"/>
      <c r="S48" s="387"/>
      <c r="T48" s="387"/>
      <c r="U48" s="434" t="e">
        <f>U46*0.5%</f>
        <v>#REF!</v>
      </c>
    </row>
    <row r="49" spans="1:21" s="358" customFormat="1" ht="15" x14ac:dyDescent="0.25">
      <c r="A49" s="381">
        <v>16</v>
      </c>
      <c r="B49" s="382" t="s">
        <v>724</v>
      </c>
      <c r="C49" s="382" t="s">
        <v>725</v>
      </c>
      <c r="D49" s="383"/>
      <c r="E49" s="383"/>
      <c r="F49" s="383"/>
      <c r="G49" s="418" t="e">
        <f>#REF!/1000</f>
        <v>#REF!</v>
      </c>
      <c r="H49" s="436" t="e">
        <f>G49</f>
        <v>#REF!</v>
      </c>
      <c r="I49" s="386"/>
      <c r="J49" s="387"/>
      <c r="K49" s="387"/>
      <c r="L49" s="387"/>
      <c r="M49" s="387"/>
      <c r="N49" s="387"/>
      <c r="O49" s="387"/>
      <c r="P49" s="387"/>
      <c r="Q49" s="387"/>
      <c r="R49" s="387"/>
      <c r="S49" s="387"/>
      <c r="T49" s="387"/>
      <c r="U49" s="434" t="e">
        <f>#REF!/1000</f>
        <v>#REF!</v>
      </c>
    </row>
    <row r="50" spans="1:21" s="358" customFormat="1" ht="22.5" x14ac:dyDescent="0.25">
      <c r="A50" s="381">
        <v>20</v>
      </c>
      <c r="B50" s="382" t="s">
        <v>726</v>
      </c>
      <c r="C50" s="382" t="s">
        <v>727</v>
      </c>
      <c r="D50" s="383"/>
      <c r="E50" s="383"/>
      <c r="F50" s="383"/>
      <c r="G50" s="439"/>
      <c r="H50" s="440"/>
      <c r="I50" s="386"/>
      <c r="J50" s="387"/>
      <c r="K50" s="387"/>
      <c r="L50" s="387"/>
      <c r="M50" s="387"/>
      <c r="N50" s="387"/>
      <c r="O50" s="387"/>
      <c r="P50" s="387"/>
      <c r="Q50" s="387"/>
      <c r="R50" s="387"/>
      <c r="S50" s="387"/>
      <c r="T50" s="387"/>
      <c r="U50" s="434"/>
    </row>
    <row r="51" spans="1:21" s="358" customFormat="1" ht="15" x14ac:dyDescent="0.25">
      <c r="A51" s="388"/>
      <c r="B51" s="2614" t="s">
        <v>728</v>
      </c>
      <c r="C51" s="2615"/>
      <c r="D51" s="423" t="e">
        <f>D48+D49+D50</f>
        <v>#REF!</v>
      </c>
      <c r="E51" s="428"/>
      <c r="F51" s="390"/>
      <c r="G51" s="423" t="e">
        <f>G48+G49+G50</f>
        <v>#REF!</v>
      </c>
      <c r="H51" s="431" t="e">
        <f>H48+H49+H50</f>
        <v>#REF!</v>
      </c>
      <c r="I51" s="432"/>
      <c r="J51" s="433"/>
      <c r="K51" s="433"/>
      <c r="L51" s="433"/>
      <c r="M51" s="433"/>
      <c r="N51" s="433"/>
      <c r="O51" s="433"/>
      <c r="P51" s="433"/>
      <c r="Q51" s="433"/>
      <c r="R51" s="433"/>
      <c r="S51" s="433"/>
      <c r="T51" s="433"/>
      <c r="U51" s="423" t="e">
        <f>U48+U49+U50</f>
        <v>#REF!</v>
      </c>
    </row>
    <row r="52" spans="1:21" s="358" customFormat="1" ht="15" x14ac:dyDescent="0.25">
      <c r="A52" s="388"/>
      <c r="B52" s="2622" t="s">
        <v>729</v>
      </c>
      <c r="C52" s="2623"/>
      <c r="D52" s="438" t="e">
        <f>D46+D51</f>
        <v>#REF!</v>
      </c>
      <c r="E52" s="438"/>
      <c r="F52" s="438"/>
      <c r="G52" s="438" t="e">
        <f>G46+G51</f>
        <v>#REF!</v>
      </c>
      <c r="H52" s="441" t="e">
        <f>H46+H51</f>
        <v>#REF!</v>
      </c>
      <c r="I52" s="432"/>
      <c r="J52" s="433"/>
      <c r="K52" s="433"/>
      <c r="L52" s="433"/>
      <c r="M52" s="433"/>
      <c r="N52" s="433"/>
      <c r="O52" s="433"/>
      <c r="P52" s="433"/>
      <c r="Q52" s="433"/>
      <c r="R52" s="433"/>
      <c r="S52" s="433"/>
      <c r="T52" s="433"/>
      <c r="U52" s="427" t="e">
        <f>U46+U51</f>
        <v>#REF!</v>
      </c>
    </row>
    <row r="53" spans="1:21" s="358" customFormat="1" ht="15" x14ac:dyDescent="0.25">
      <c r="A53" s="2610" t="s">
        <v>730</v>
      </c>
      <c r="B53" s="2611"/>
      <c r="C53" s="2611"/>
      <c r="D53" s="2611"/>
      <c r="E53" s="2611"/>
      <c r="F53" s="2611"/>
      <c r="G53" s="2611"/>
      <c r="H53" s="2612"/>
      <c r="I53" s="386"/>
      <c r="J53" s="387"/>
      <c r="K53" s="387"/>
      <c r="L53" s="387"/>
      <c r="M53" s="387"/>
      <c r="N53" s="387"/>
      <c r="O53" s="387"/>
      <c r="P53" s="387"/>
      <c r="Q53" s="387"/>
      <c r="R53" s="387"/>
      <c r="S53" s="387"/>
      <c r="T53" s="387"/>
      <c r="U53" s="434"/>
    </row>
    <row r="54" spans="1:21" s="358" customFormat="1" ht="56.25" x14ac:dyDescent="0.25">
      <c r="A54" s="381">
        <v>23</v>
      </c>
      <c r="B54" s="382" t="s">
        <v>731</v>
      </c>
      <c r="C54" s="382" t="s">
        <v>1142</v>
      </c>
      <c r="D54" s="383"/>
      <c r="E54" s="383"/>
      <c r="F54" s="383"/>
      <c r="G54" s="418" t="e">
        <f>H52*1.47%</f>
        <v>#REF!</v>
      </c>
      <c r="H54" s="419" t="e">
        <f>G54</f>
        <v>#REF!</v>
      </c>
      <c r="I54" s="386"/>
      <c r="J54" s="387"/>
      <c r="K54" s="387"/>
      <c r="L54" s="387"/>
      <c r="M54" s="387"/>
      <c r="N54" s="387"/>
      <c r="O54" s="387"/>
      <c r="P54" s="387"/>
      <c r="Q54" s="387"/>
      <c r="R54" s="387"/>
      <c r="S54" s="387"/>
      <c r="T54" s="387"/>
      <c r="U54" s="434"/>
    </row>
    <row r="55" spans="1:21" s="358" customFormat="1" ht="42.75" customHeight="1" x14ac:dyDescent="0.25">
      <c r="A55" s="388"/>
      <c r="B55" s="2614" t="s">
        <v>732</v>
      </c>
      <c r="C55" s="2615"/>
      <c r="D55" s="389"/>
      <c r="E55" s="389"/>
      <c r="F55" s="390"/>
      <c r="G55" s="391" t="e">
        <f>G54</f>
        <v>#REF!</v>
      </c>
      <c r="H55" s="392" t="e">
        <f>H54</f>
        <v>#REF!</v>
      </c>
      <c r="I55" s="386"/>
      <c r="J55" s="387"/>
      <c r="K55" s="387"/>
      <c r="L55" s="387"/>
      <c r="M55" s="387"/>
      <c r="N55" s="387"/>
      <c r="O55" s="387"/>
      <c r="P55" s="387"/>
      <c r="Q55" s="387"/>
      <c r="R55" s="387"/>
      <c r="S55" s="387"/>
      <c r="T55" s="387"/>
      <c r="U55" s="434"/>
    </row>
    <row r="56" spans="1:21" s="358" customFormat="1" ht="67.5" customHeight="1" x14ac:dyDescent="0.25">
      <c r="A56" s="2610" t="s">
        <v>733</v>
      </c>
      <c r="B56" s="2611"/>
      <c r="C56" s="2611"/>
      <c r="D56" s="2611"/>
      <c r="E56" s="2611"/>
      <c r="F56" s="2611"/>
      <c r="G56" s="2611"/>
      <c r="H56" s="2612"/>
      <c r="I56" s="386"/>
      <c r="J56" s="387"/>
      <c r="K56" s="387"/>
      <c r="L56" s="387"/>
      <c r="M56" s="387"/>
      <c r="N56" s="387"/>
      <c r="O56" s="387"/>
      <c r="P56" s="387"/>
      <c r="Q56" s="387"/>
      <c r="R56" s="387"/>
      <c r="S56" s="387"/>
      <c r="T56" s="387"/>
      <c r="U56" s="434"/>
    </row>
    <row r="57" spans="1:21" s="358" customFormat="1" ht="15" x14ac:dyDescent="0.25">
      <c r="A57" s="381">
        <v>24</v>
      </c>
      <c r="B57" s="382" t="s">
        <v>734</v>
      </c>
      <c r="C57" s="382" t="s">
        <v>429</v>
      </c>
      <c r="D57" s="383"/>
      <c r="E57" s="383"/>
      <c r="F57" s="383"/>
      <c r="G57" s="418">
        <f>'Cводная смета ПИР'!$G$20/1000</f>
        <v>4523.0200000000004</v>
      </c>
      <c r="H57" s="419">
        <f t="shared" ref="H57:H62" si="1">G57</f>
        <v>4523.0200000000004</v>
      </c>
      <c r="I57" s="386"/>
      <c r="J57" s="387"/>
      <c r="K57" s="387"/>
      <c r="L57" s="387"/>
      <c r="M57" s="387"/>
      <c r="N57" s="387"/>
      <c r="O57" s="387"/>
      <c r="P57" s="387"/>
      <c r="Q57" s="387"/>
      <c r="R57" s="387"/>
      <c r="S57" s="387"/>
      <c r="T57" s="387"/>
      <c r="U57" s="434"/>
    </row>
    <row r="58" spans="1:21" s="358" customFormat="1" ht="15" x14ac:dyDescent="0.25">
      <c r="A58" s="381">
        <v>25</v>
      </c>
      <c r="B58" s="382" t="s">
        <v>734</v>
      </c>
      <c r="C58" s="382" t="s">
        <v>430</v>
      </c>
      <c r="D58" s="383"/>
      <c r="E58" s="383"/>
      <c r="F58" s="383"/>
      <c r="G58" s="418">
        <f>'Cводная смета ПИР'!$G$26/1000</f>
        <v>12698.89</v>
      </c>
      <c r="H58" s="419">
        <f t="shared" si="1"/>
        <v>12698.89</v>
      </c>
      <c r="I58" s="386"/>
      <c r="J58" s="387"/>
      <c r="K58" s="387"/>
      <c r="L58" s="387"/>
      <c r="M58" s="387"/>
      <c r="N58" s="387"/>
      <c r="O58" s="387"/>
      <c r="P58" s="387"/>
      <c r="Q58" s="387"/>
      <c r="R58" s="387"/>
      <c r="S58" s="387"/>
      <c r="T58" s="387"/>
      <c r="U58" s="434"/>
    </row>
    <row r="59" spans="1:21" s="358" customFormat="1" ht="15" x14ac:dyDescent="0.25">
      <c r="A59" s="381">
        <v>26</v>
      </c>
      <c r="B59" s="382" t="s">
        <v>734</v>
      </c>
      <c r="C59" s="382" t="s">
        <v>735</v>
      </c>
      <c r="D59" s="383"/>
      <c r="E59" s="383"/>
      <c r="F59" s="383"/>
      <c r="G59" s="418" t="e">
        <f>#REF!/1000</f>
        <v>#REF!</v>
      </c>
      <c r="H59" s="419" t="e">
        <f t="shared" si="1"/>
        <v>#REF!</v>
      </c>
      <c r="I59" s="386"/>
      <c r="J59" s="387"/>
      <c r="K59" s="387"/>
      <c r="L59" s="387"/>
      <c r="M59" s="387"/>
      <c r="N59" s="387"/>
      <c r="O59" s="387"/>
      <c r="P59" s="387"/>
      <c r="Q59" s="387"/>
      <c r="R59" s="387"/>
      <c r="S59" s="387"/>
      <c r="T59" s="387"/>
      <c r="U59" s="434"/>
    </row>
    <row r="60" spans="1:21" s="358" customFormat="1" ht="56.25" x14ac:dyDescent="0.25">
      <c r="A60" s="381">
        <v>27</v>
      </c>
      <c r="B60" s="382" t="s">
        <v>736</v>
      </c>
      <c r="C60" s="382" t="s">
        <v>737</v>
      </c>
      <c r="D60" s="383"/>
      <c r="E60" s="383"/>
      <c r="F60" s="383"/>
      <c r="G60" s="418">
        <f>'Экспертиза ГГЭ'!$H$18/1000</f>
        <v>2453.14</v>
      </c>
      <c r="H60" s="419">
        <f t="shared" si="1"/>
        <v>2453.14</v>
      </c>
      <c r="I60" s="386"/>
      <c r="J60" s="387"/>
      <c r="K60" s="387"/>
      <c r="L60" s="387"/>
      <c r="M60" s="387"/>
      <c r="N60" s="387"/>
      <c r="O60" s="387"/>
      <c r="P60" s="387"/>
      <c r="Q60" s="387"/>
      <c r="R60" s="387"/>
      <c r="S60" s="387"/>
      <c r="T60" s="387"/>
      <c r="U60" s="434"/>
    </row>
    <row r="61" spans="1:21" s="358" customFormat="1" ht="22.5" x14ac:dyDescent="0.25">
      <c r="A61" s="381">
        <v>28</v>
      </c>
      <c r="B61" s="382" t="s">
        <v>738</v>
      </c>
      <c r="C61" s="382" t="s">
        <v>739</v>
      </c>
      <c r="D61" s="383"/>
      <c r="E61" s="383"/>
      <c r="F61" s="383"/>
      <c r="G61" s="418" t="e">
        <f>H52*0.2%</f>
        <v>#REF!</v>
      </c>
      <c r="H61" s="419" t="e">
        <f t="shared" si="1"/>
        <v>#REF!</v>
      </c>
      <c r="I61" s="386"/>
      <c r="J61" s="387"/>
      <c r="K61" s="387"/>
      <c r="L61" s="387"/>
      <c r="M61" s="387"/>
      <c r="N61" s="387"/>
      <c r="O61" s="387"/>
      <c r="P61" s="387"/>
      <c r="Q61" s="387"/>
      <c r="R61" s="387"/>
      <c r="S61" s="387"/>
      <c r="T61" s="387"/>
      <c r="U61" s="434"/>
    </row>
    <row r="62" spans="1:21" s="358" customFormat="1" ht="15" x14ac:dyDescent="0.25">
      <c r="A62" s="381">
        <v>29</v>
      </c>
      <c r="B62" s="382" t="s">
        <v>740</v>
      </c>
      <c r="C62" s="382" t="s">
        <v>741</v>
      </c>
      <c r="D62" s="383"/>
      <c r="E62" s="383"/>
      <c r="F62" s="383"/>
      <c r="G62" s="384" t="e">
        <f>#REF!/1000</f>
        <v>#REF!</v>
      </c>
      <c r="H62" s="385" t="e">
        <f t="shared" si="1"/>
        <v>#REF!</v>
      </c>
      <c r="I62" s="386"/>
      <c r="J62" s="387"/>
      <c r="K62" s="387"/>
      <c r="L62" s="387"/>
      <c r="M62" s="387"/>
      <c r="N62" s="387"/>
      <c r="O62" s="387"/>
      <c r="P62" s="387"/>
      <c r="Q62" s="387"/>
      <c r="R62" s="387"/>
      <c r="S62" s="387"/>
      <c r="T62" s="387"/>
      <c r="U62" s="434"/>
    </row>
    <row r="63" spans="1:21" s="358" customFormat="1" ht="132" customHeight="1" x14ac:dyDescent="0.25">
      <c r="A63" s="388"/>
      <c r="B63" s="2614" t="s">
        <v>742</v>
      </c>
      <c r="C63" s="2615"/>
      <c r="D63" s="389"/>
      <c r="E63" s="389"/>
      <c r="F63" s="390"/>
      <c r="G63" s="391" t="e">
        <f>SUM(G57:G62)</f>
        <v>#REF!</v>
      </c>
      <c r="H63" s="391" t="e">
        <f>SUM(H57:H62)</f>
        <v>#REF!</v>
      </c>
      <c r="I63" s="386"/>
      <c r="J63" s="387"/>
      <c r="K63" s="387"/>
      <c r="L63" s="387"/>
      <c r="M63" s="387"/>
      <c r="N63" s="387"/>
      <c r="O63" s="387"/>
      <c r="P63" s="387"/>
      <c r="Q63" s="387"/>
      <c r="R63" s="387"/>
      <c r="S63" s="387"/>
      <c r="T63" s="387"/>
      <c r="U63" s="434"/>
    </row>
    <row r="64" spans="1:21" s="358" customFormat="1" ht="15" x14ac:dyDescent="0.25">
      <c r="A64" s="388"/>
      <c r="B64" s="2622" t="s">
        <v>743</v>
      </c>
      <c r="C64" s="2623"/>
      <c r="D64" s="438" t="e">
        <f>D52+D55+D63</f>
        <v>#REF!</v>
      </c>
      <c r="E64" s="438">
        <f>E52+E55+E63</f>
        <v>0</v>
      </c>
      <c r="F64" s="438">
        <f>F52+F55+F63</f>
        <v>0</v>
      </c>
      <c r="G64" s="438" t="e">
        <f>G52+G55+G63</f>
        <v>#REF!</v>
      </c>
      <c r="H64" s="438" t="e">
        <f>H52+H55+H63</f>
        <v>#REF!</v>
      </c>
      <c r="I64" s="386"/>
      <c r="J64" s="387"/>
      <c r="K64" s="387"/>
      <c r="L64" s="387"/>
      <c r="M64" s="387"/>
      <c r="N64" s="387"/>
      <c r="O64" s="387"/>
      <c r="P64" s="387"/>
      <c r="Q64" s="387"/>
      <c r="R64" s="387"/>
      <c r="S64" s="387"/>
      <c r="T64" s="387"/>
      <c r="U64" s="434"/>
    </row>
    <row r="65" spans="1:21" s="358" customFormat="1" ht="15" x14ac:dyDescent="0.25">
      <c r="A65" s="2610" t="s">
        <v>744</v>
      </c>
      <c r="B65" s="2611"/>
      <c r="C65" s="2611"/>
      <c r="D65" s="2611"/>
      <c r="E65" s="2611"/>
      <c r="F65" s="2611"/>
      <c r="G65" s="2611"/>
      <c r="H65" s="2612"/>
      <c r="I65" s="386"/>
      <c r="J65" s="387"/>
      <c r="K65" s="387"/>
      <c r="L65" s="387"/>
      <c r="M65" s="387"/>
      <c r="N65" s="387"/>
      <c r="O65" s="387"/>
      <c r="P65" s="387"/>
      <c r="Q65" s="387"/>
      <c r="R65" s="387"/>
      <c r="S65" s="387"/>
      <c r="T65" s="387"/>
      <c r="U65" s="434"/>
    </row>
    <row r="66" spans="1:21" s="358" customFormat="1" ht="33.75" x14ac:dyDescent="0.25">
      <c r="A66" s="381">
        <v>30</v>
      </c>
      <c r="B66" s="382" t="s">
        <v>745</v>
      </c>
      <c r="C66" s="382" t="s">
        <v>746</v>
      </c>
      <c r="D66" s="418" t="e">
        <f>D64*3%</f>
        <v>#REF!</v>
      </c>
      <c r="E66" s="442"/>
      <c r="F66" s="418"/>
      <c r="G66" s="418" t="e">
        <f>G64*3%</f>
        <v>#REF!</v>
      </c>
      <c r="H66" s="419" t="e">
        <f>G66+F66+E66+D66</f>
        <v>#REF!</v>
      </c>
      <c r="I66" s="386"/>
      <c r="J66" s="387"/>
      <c r="K66" s="387"/>
      <c r="L66" s="387"/>
      <c r="M66" s="387"/>
      <c r="N66" s="387"/>
      <c r="O66" s="387"/>
      <c r="P66" s="387"/>
      <c r="Q66" s="387"/>
      <c r="R66" s="387"/>
      <c r="S66" s="387"/>
      <c r="T66" s="387"/>
      <c r="U66" s="434"/>
    </row>
    <row r="67" spans="1:21" s="358" customFormat="1" ht="15" x14ac:dyDescent="0.25">
      <c r="A67" s="388"/>
      <c r="B67" s="2614" t="s">
        <v>747</v>
      </c>
      <c r="C67" s="2615"/>
      <c r="D67" s="423" t="e">
        <f>D66</f>
        <v>#REF!</v>
      </c>
      <c r="E67" s="443"/>
      <c r="F67" s="391"/>
      <c r="G67" s="444" t="e">
        <f>G66</f>
        <v>#REF!</v>
      </c>
      <c r="H67" s="392" t="e">
        <f>H66</f>
        <v>#REF!</v>
      </c>
      <c r="I67" s="386"/>
      <c r="J67" s="387"/>
      <c r="K67" s="387"/>
      <c r="L67" s="387"/>
      <c r="M67" s="387"/>
      <c r="N67" s="387"/>
      <c r="O67" s="387"/>
      <c r="P67" s="387"/>
      <c r="Q67" s="387"/>
      <c r="R67" s="387"/>
      <c r="S67" s="387"/>
      <c r="T67" s="387"/>
      <c r="U67" s="434"/>
    </row>
    <row r="68" spans="1:21" s="358" customFormat="1" ht="15" x14ac:dyDescent="0.25">
      <c r="A68" s="388"/>
      <c r="B68" s="2622" t="s">
        <v>748</v>
      </c>
      <c r="C68" s="2623"/>
      <c r="D68" s="423" t="e">
        <f>D64+D67</f>
        <v>#REF!</v>
      </c>
      <c r="E68" s="423"/>
      <c r="F68" s="391"/>
      <c r="G68" s="423" t="e">
        <f>G64+G67</f>
        <v>#REF!</v>
      </c>
      <c r="H68" s="423" t="e">
        <f>H64+H67</f>
        <v>#REF!</v>
      </c>
      <c r="I68" s="386"/>
      <c r="J68" s="387"/>
      <c r="K68" s="387"/>
      <c r="L68" s="387"/>
      <c r="M68" s="387"/>
      <c r="N68" s="387"/>
      <c r="O68" s="387"/>
      <c r="P68" s="387"/>
      <c r="Q68" s="387"/>
      <c r="R68" s="387"/>
      <c r="S68" s="387"/>
      <c r="T68" s="387"/>
      <c r="U68" s="434"/>
    </row>
    <row r="69" spans="1:21" s="358" customFormat="1" ht="15" x14ac:dyDescent="0.25">
      <c r="A69" s="2610" t="s">
        <v>749</v>
      </c>
      <c r="B69" s="2611"/>
      <c r="C69" s="2611"/>
      <c r="D69" s="2611"/>
      <c r="E69" s="2611"/>
      <c r="F69" s="2611"/>
      <c r="G69" s="2611"/>
      <c r="H69" s="2612"/>
      <c r="I69" s="386"/>
      <c r="J69" s="387"/>
      <c r="K69" s="387"/>
      <c r="L69" s="387"/>
      <c r="M69" s="387"/>
      <c r="N69" s="387"/>
      <c r="O69" s="387"/>
      <c r="P69" s="387"/>
      <c r="Q69" s="387"/>
      <c r="R69" s="387"/>
      <c r="S69" s="387"/>
      <c r="T69" s="387"/>
      <c r="U69" s="434"/>
    </row>
    <row r="70" spans="1:21" s="358" customFormat="1" ht="15" x14ac:dyDescent="0.25">
      <c r="A70" s="381">
        <v>31</v>
      </c>
      <c r="B70" s="382" t="s">
        <v>750</v>
      </c>
      <c r="C70" s="382" t="s">
        <v>751</v>
      </c>
      <c r="D70" s="418" t="e">
        <f>D68*20%</f>
        <v>#REF!</v>
      </c>
      <c r="E70" s="418"/>
      <c r="F70" s="418"/>
      <c r="G70" s="418" t="e">
        <f>G68*20%</f>
        <v>#REF!</v>
      </c>
      <c r="H70" s="418" t="e">
        <f>H68*20%</f>
        <v>#REF!</v>
      </c>
      <c r="I70" s="386"/>
      <c r="J70" s="387"/>
      <c r="K70" s="387"/>
      <c r="L70" s="387"/>
      <c r="M70" s="387"/>
      <c r="N70" s="387"/>
      <c r="O70" s="387"/>
      <c r="P70" s="387"/>
      <c r="Q70" s="387"/>
      <c r="R70" s="387"/>
      <c r="S70" s="387"/>
      <c r="T70" s="387"/>
      <c r="U70" s="434"/>
    </row>
    <row r="71" spans="1:21" s="358" customFormat="1" ht="15" x14ac:dyDescent="0.25">
      <c r="A71" s="388"/>
      <c r="B71" s="2614" t="s">
        <v>752</v>
      </c>
      <c r="C71" s="2615"/>
      <c r="D71" s="423" t="e">
        <f>D70</f>
        <v>#REF!</v>
      </c>
      <c r="E71" s="423"/>
      <c r="F71" s="391"/>
      <c r="G71" s="391" t="e">
        <f>G70</f>
        <v>#REF!</v>
      </c>
      <c r="H71" s="392" t="e">
        <f>H70</f>
        <v>#REF!</v>
      </c>
      <c r="I71" s="386"/>
      <c r="J71" s="387"/>
      <c r="K71" s="387"/>
      <c r="L71" s="387"/>
      <c r="M71" s="387"/>
      <c r="N71" s="387"/>
      <c r="O71" s="387"/>
      <c r="P71" s="387"/>
      <c r="Q71" s="387"/>
      <c r="R71" s="387"/>
      <c r="S71" s="387"/>
      <c r="T71" s="387"/>
      <c r="U71" s="434"/>
    </row>
    <row r="72" spans="1:21" s="358" customFormat="1" ht="15.75" thickBot="1" x14ac:dyDescent="0.3">
      <c r="A72" s="445"/>
      <c r="B72" s="2625" t="s">
        <v>753</v>
      </c>
      <c r="C72" s="2626"/>
      <c r="D72" s="446" t="e">
        <f>D68+D71</f>
        <v>#REF!</v>
      </c>
      <c r="E72" s="446"/>
      <c r="F72" s="447"/>
      <c r="G72" s="446" t="e">
        <f>G68+G71</f>
        <v>#REF!</v>
      </c>
      <c r="H72" s="446" t="e">
        <f>H68+H71</f>
        <v>#REF!</v>
      </c>
      <c r="I72" s="386"/>
      <c r="J72" s="387"/>
      <c r="K72" s="387"/>
      <c r="L72" s="387"/>
      <c r="M72" s="387"/>
      <c r="N72" s="387"/>
      <c r="O72" s="387"/>
      <c r="P72" s="387"/>
      <c r="Q72" s="387"/>
      <c r="R72" s="387"/>
      <c r="S72" s="387"/>
      <c r="T72" s="387"/>
      <c r="U72" s="434"/>
    </row>
    <row r="74" spans="1:21" ht="35.25" customHeight="1" x14ac:dyDescent="0.2">
      <c r="A74" s="2627" t="s">
        <v>756</v>
      </c>
      <c r="B74" s="2627"/>
      <c r="C74" s="2627"/>
      <c r="D74" s="2627"/>
      <c r="E74" s="2627"/>
      <c r="F74" s="2627"/>
      <c r="G74" s="2627"/>
      <c r="H74" s="2627"/>
    </row>
    <row r="75" spans="1:21" ht="16.5" customHeight="1" x14ac:dyDescent="0.2">
      <c r="A75" s="449"/>
      <c r="B75" s="2624" t="s">
        <v>754</v>
      </c>
      <c r="C75" s="2624"/>
      <c r="D75" s="449"/>
      <c r="E75" s="449"/>
      <c r="F75" s="449"/>
      <c r="G75" s="450">
        <v>1.0529999999999999</v>
      </c>
      <c r="H75" s="451" t="e">
        <f>H72*G75</f>
        <v>#REF!</v>
      </c>
    </row>
    <row r="76" spans="1:21" ht="18.75" customHeight="1" x14ac:dyDescent="0.2">
      <c r="A76" s="449"/>
      <c r="B76" s="2624" t="s">
        <v>755</v>
      </c>
      <c r="C76" s="2624"/>
      <c r="D76" s="449"/>
      <c r="E76" s="449"/>
      <c r="F76" s="449"/>
      <c r="G76" s="450">
        <v>1.048</v>
      </c>
      <c r="H76" s="451" t="e">
        <f>H75*G76</f>
        <v>#REF!</v>
      </c>
    </row>
  </sheetData>
  <mergeCells count="55">
    <mergeCell ref="B76:C76"/>
    <mergeCell ref="B68:C68"/>
    <mergeCell ref="A69:H69"/>
    <mergeCell ref="B71:C71"/>
    <mergeCell ref="B72:C72"/>
    <mergeCell ref="A74:H74"/>
    <mergeCell ref="B75:C75"/>
    <mergeCell ref="B67:C67"/>
    <mergeCell ref="B45:C45"/>
    <mergeCell ref="B46:C46"/>
    <mergeCell ref="A47:H47"/>
    <mergeCell ref="B51:C51"/>
    <mergeCell ref="B52:C52"/>
    <mergeCell ref="A53:H53"/>
    <mergeCell ref="B55:C55"/>
    <mergeCell ref="A56:H56"/>
    <mergeCell ref="B63:C63"/>
    <mergeCell ref="B64:C64"/>
    <mergeCell ref="A65:H65"/>
    <mergeCell ref="A42:H42"/>
    <mergeCell ref="A25:H25"/>
    <mergeCell ref="B31:C31"/>
    <mergeCell ref="A32:H32"/>
    <mergeCell ref="B33:C33"/>
    <mergeCell ref="A34:H34"/>
    <mergeCell ref="B36:C36"/>
    <mergeCell ref="A37:H37"/>
    <mergeCell ref="B38:C38"/>
    <mergeCell ref="A39:H39"/>
    <mergeCell ref="B40:C40"/>
    <mergeCell ref="B41:C41"/>
    <mergeCell ref="A22:H22"/>
    <mergeCell ref="I22:U22"/>
    <mergeCell ref="B24:C24"/>
    <mergeCell ref="I24:K24"/>
    <mergeCell ref="L24:N24"/>
    <mergeCell ref="O24:Q24"/>
    <mergeCell ref="R24:U24"/>
    <mergeCell ref="B14:G14"/>
    <mergeCell ref="B16:H16"/>
    <mergeCell ref="A18:A20"/>
    <mergeCell ref="B18:B20"/>
    <mergeCell ref="C18:C20"/>
    <mergeCell ref="D18:H18"/>
    <mergeCell ref="D19:D20"/>
    <mergeCell ref="E19:E20"/>
    <mergeCell ref="F19:F20"/>
    <mergeCell ref="G19:G20"/>
    <mergeCell ref="H19:H20"/>
    <mergeCell ref="B13:G13"/>
    <mergeCell ref="C4:G4"/>
    <mergeCell ref="C5:G5"/>
    <mergeCell ref="C9:G9"/>
    <mergeCell ref="C10:G10"/>
    <mergeCell ref="B12:G12"/>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76"/>
  <sheetViews>
    <sheetView workbookViewId="0">
      <selection activeCell="I24" sqref="I24:K24"/>
    </sheetView>
  </sheetViews>
  <sheetFormatPr defaultColWidth="9.140625" defaultRowHeight="11.25" x14ac:dyDescent="0.2"/>
  <cols>
    <col min="1" max="1" width="6.7109375" style="448" customWidth="1"/>
    <col min="2" max="2" width="20.140625" style="448" customWidth="1"/>
    <col min="3" max="3" width="32.7109375" style="448" customWidth="1"/>
    <col min="4" max="4" width="15.5703125" style="448" customWidth="1"/>
    <col min="5" max="8" width="13.42578125" style="448" customWidth="1"/>
    <col min="9" max="10" width="10" style="448" bestFit="1" customWidth="1"/>
    <col min="11" max="11" width="14.7109375" style="448" customWidth="1"/>
    <col min="12" max="12" width="11.140625" style="448" customWidth="1"/>
    <col min="13" max="13" width="11.42578125" style="448" bestFit="1" customWidth="1"/>
    <col min="14" max="14" width="12.42578125" style="448" bestFit="1" customWidth="1"/>
    <col min="15" max="18" width="9.140625" style="448"/>
    <col min="19" max="19" width="12" style="448" customWidth="1"/>
    <col min="20" max="20" width="11.85546875" style="448" customWidth="1"/>
    <col min="21" max="21" width="14.28515625" style="448" customWidth="1"/>
    <col min="22" max="16384" width="9.140625" style="448"/>
  </cols>
  <sheetData>
    <row r="1" spans="1:8" s="358" customFormat="1" ht="15" x14ac:dyDescent="0.25">
      <c r="A1" s="355"/>
      <c r="B1" s="356"/>
      <c r="C1" s="356"/>
      <c r="D1" s="356"/>
      <c r="E1" s="356"/>
      <c r="F1" s="356"/>
      <c r="G1" s="356"/>
      <c r="H1" s="357" t="s">
        <v>666</v>
      </c>
    </row>
    <row r="2" spans="1:8" s="358" customFormat="1" ht="15" x14ac:dyDescent="0.25">
      <c r="A2" s="359"/>
      <c r="B2" s="360"/>
      <c r="C2" s="360"/>
      <c r="D2" s="360"/>
      <c r="E2" s="360"/>
      <c r="F2" s="360"/>
      <c r="G2" s="360"/>
      <c r="H2" s="361" t="s">
        <v>667</v>
      </c>
    </row>
    <row r="3" spans="1:8" s="358" customFormat="1" ht="15" x14ac:dyDescent="0.25">
      <c r="A3" s="359"/>
      <c r="B3" s="360"/>
      <c r="C3" s="360"/>
      <c r="D3" s="360"/>
      <c r="E3" s="360"/>
      <c r="F3" s="360"/>
      <c r="G3" s="360"/>
      <c r="H3" s="361"/>
    </row>
    <row r="4" spans="1:8" s="358" customFormat="1" ht="15" x14ac:dyDescent="0.25">
      <c r="A4" s="359"/>
      <c r="B4" s="360" t="s">
        <v>668</v>
      </c>
      <c r="C4" s="2592" t="s">
        <v>669</v>
      </c>
      <c r="D4" s="2592"/>
      <c r="E4" s="2592"/>
      <c r="F4" s="2592"/>
      <c r="G4" s="2592"/>
      <c r="H4" s="362"/>
    </row>
    <row r="5" spans="1:8" s="358" customFormat="1" ht="10.5" customHeight="1" x14ac:dyDescent="0.25">
      <c r="A5" s="359"/>
      <c r="B5" s="360"/>
      <c r="C5" s="2593" t="s">
        <v>182</v>
      </c>
      <c r="D5" s="2593"/>
      <c r="E5" s="2593"/>
      <c r="F5" s="2593"/>
      <c r="G5" s="2593"/>
      <c r="H5" s="362"/>
    </row>
    <row r="6" spans="1:8" s="358" customFormat="1" ht="17.25" customHeight="1" x14ac:dyDescent="0.25">
      <c r="A6" s="359"/>
      <c r="B6" s="360" t="s">
        <v>670</v>
      </c>
      <c r="C6" s="565"/>
      <c r="D6" s="565"/>
      <c r="E6" s="565"/>
      <c r="F6" s="565"/>
      <c r="G6" s="565"/>
      <c r="H6" s="362"/>
    </row>
    <row r="7" spans="1:8" s="358" customFormat="1" ht="17.25" customHeight="1" x14ac:dyDescent="0.25">
      <c r="A7" s="359"/>
      <c r="B7" s="360"/>
      <c r="C7" s="565"/>
      <c r="D7" s="565"/>
      <c r="E7" s="565"/>
      <c r="F7" s="565"/>
      <c r="G7" s="565"/>
      <c r="H7" s="362"/>
    </row>
    <row r="8" spans="1:8" s="358" customFormat="1" ht="17.25" customHeight="1" x14ac:dyDescent="0.25">
      <c r="A8" s="359"/>
      <c r="B8" s="364" t="s">
        <v>671</v>
      </c>
      <c r="C8" s="565"/>
      <c r="D8" s="365" t="e">
        <f>H72</f>
        <v>#REF!</v>
      </c>
      <c r="E8" s="565" t="s">
        <v>672</v>
      </c>
      <c r="F8" s="565"/>
      <c r="G8" s="565"/>
      <c r="H8" s="362"/>
    </row>
    <row r="9" spans="1:8" s="358" customFormat="1" ht="17.25" customHeight="1" x14ac:dyDescent="0.25">
      <c r="A9" s="359"/>
      <c r="B9" s="360"/>
      <c r="C9" s="2594"/>
      <c r="D9" s="2594"/>
      <c r="E9" s="2594"/>
      <c r="F9" s="2594"/>
      <c r="G9" s="2594"/>
      <c r="H9" s="362"/>
    </row>
    <row r="10" spans="1:8" s="358" customFormat="1" ht="11.25" customHeight="1" x14ac:dyDescent="0.25">
      <c r="A10" s="366"/>
      <c r="B10" s="367"/>
      <c r="C10" s="2593" t="s">
        <v>673</v>
      </c>
      <c r="D10" s="2593"/>
      <c r="E10" s="2593"/>
      <c r="F10" s="2593"/>
      <c r="G10" s="2593"/>
      <c r="H10" s="368"/>
    </row>
    <row r="11" spans="1:8" s="358" customFormat="1" ht="11.25" customHeight="1" x14ac:dyDescent="0.25">
      <c r="A11" s="366"/>
      <c r="B11" s="367"/>
      <c r="C11" s="565"/>
      <c r="D11" s="565"/>
      <c r="E11" s="565"/>
      <c r="F11" s="565"/>
      <c r="G11" s="565"/>
      <c r="H11" s="368"/>
    </row>
    <row r="12" spans="1:8" s="358" customFormat="1" ht="18" x14ac:dyDescent="0.25">
      <c r="A12" s="366"/>
      <c r="B12" s="2595" t="s">
        <v>674</v>
      </c>
      <c r="C12" s="2595"/>
      <c r="D12" s="2595"/>
      <c r="E12" s="2595"/>
      <c r="F12" s="2595"/>
      <c r="G12" s="2595"/>
      <c r="H12" s="368"/>
    </row>
    <row r="13" spans="1:8" s="358" customFormat="1" ht="15" x14ac:dyDescent="0.25">
      <c r="A13" s="369"/>
      <c r="B13" s="2591" t="s">
        <v>648</v>
      </c>
      <c r="C13" s="2591"/>
      <c r="D13" s="2591"/>
      <c r="E13" s="2591"/>
      <c r="F13" s="2591"/>
      <c r="G13" s="2591"/>
      <c r="H13" s="370"/>
    </row>
    <row r="14" spans="1:8" s="358" customFormat="1" ht="13.5" customHeight="1" x14ac:dyDescent="0.25">
      <c r="A14" s="371"/>
      <c r="B14" s="2596" t="s">
        <v>675</v>
      </c>
      <c r="C14" s="2596"/>
      <c r="D14" s="2596"/>
      <c r="E14" s="2596"/>
      <c r="F14" s="2596"/>
      <c r="G14" s="2596"/>
      <c r="H14" s="372"/>
    </row>
    <row r="15" spans="1:8" s="358" customFormat="1" ht="9.75" customHeight="1" x14ac:dyDescent="0.25">
      <c r="A15" s="359"/>
      <c r="B15" s="360"/>
      <c r="C15" s="360"/>
      <c r="D15" s="373"/>
      <c r="E15" s="373"/>
      <c r="F15" s="373"/>
      <c r="G15" s="374"/>
      <c r="H15" s="375"/>
    </row>
    <row r="16" spans="1:8" s="358" customFormat="1" ht="27" customHeight="1" x14ac:dyDescent="0.25">
      <c r="A16" s="376"/>
      <c r="B16" s="2597" t="s">
        <v>676</v>
      </c>
      <c r="C16" s="2597"/>
      <c r="D16" s="2597"/>
      <c r="E16" s="2597"/>
      <c r="F16" s="2597"/>
      <c r="G16" s="2597"/>
      <c r="H16" s="2598"/>
    </row>
    <row r="17" spans="1:21" s="358" customFormat="1" ht="9.75" customHeight="1" x14ac:dyDescent="0.25">
      <c r="A17" s="359"/>
      <c r="B17" s="360"/>
      <c r="C17" s="360"/>
      <c r="D17" s="565"/>
      <c r="E17" s="565"/>
      <c r="F17" s="565"/>
      <c r="G17" s="565"/>
      <c r="H17" s="377"/>
    </row>
    <row r="18" spans="1:21" s="358" customFormat="1" ht="16.5" customHeight="1" x14ac:dyDescent="0.25">
      <c r="A18" s="2599" t="s">
        <v>5</v>
      </c>
      <c r="B18" s="2602" t="s">
        <v>665</v>
      </c>
      <c r="C18" s="2602" t="s">
        <v>677</v>
      </c>
      <c r="D18" s="2605" t="s">
        <v>678</v>
      </c>
      <c r="E18" s="2606"/>
      <c r="F18" s="2606"/>
      <c r="G18" s="2606"/>
      <c r="H18" s="2607"/>
    </row>
    <row r="19" spans="1:21" s="358" customFormat="1" ht="45.75" customHeight="1" x14ac:dyDescent="0.25">
      <c r="A19" s="2600"/>
      <c r="B19" s="2603"/>
      <c r="C19" s="2603"/>
      <c r="D19" s="2602" t="s">
        <v>679</v>
      </c>
      <c r="E19" s="2602" t="s">
        <v>680</v>
      </c>
      <c r="F19" s="2602" t="s">
        <v>681</v>
      </c>
      <c r="G19" s="2602" t="s">
        <v>682</v>
      </c>
      <c r="H19" s="2608" t="s">
        <v>683</v>
      </c>
    </row>
    <row r="20" spans="1:21" s="358" customFormat="1" ht="27.75" customHeight="1" x14ac:dyDescent="0.25">
      <c r="A20" s="2601"/>
      <c r="B20" s="2604"/>
      <c r="C20" s="2604"/>
      <c r="D20" s="2604"/>
      <c r="E20" s="2604"/>
      <c r="F20" s="2604"/>
      <c r="G20" s="2604"/>
      <c r="H20" s="2609"/>
    </row>
    <row r="21" spans="1:21" s="358" customFormat="1" ht="15" x14ac:dyDescent="0.25">
      <c r="A21" s="378">
        <v>1</v>
      </c>
      <c r="B21" s="379">
        <v>2</v>
      </c>
      <c r="C21" s="379">
        <v>3</v>
      </c>
      <c r="D21" s="379">
        <v>4</v>
      </c>
      <c r="E21" s="379">
        <v>5</v>
      </c>
      <c r="F21" s="379">
        <v>6</v>
      </c>
      <c r="G21" s="379">
        <v>7</v>
      </c>
      <c r="H21" s="380">
        <v>8</v>
      </c>
    </row>
    <row r="22" spans="1:21" s="358" customFormat="1" ht="15" x14ac:dyDescent="0.25">
      <c r="A22" s="2610" t="s">
        <v>684</v>
      </c>
      <c r="B22" s="2611"/>
      <c r="C22" s="2611"/>
      <c r="D22" s="2611"/>
      <c r="E22" s="2611"/>
      <c r="F22" s="2611"/>
      <c r="G22" s="2611"/>
      <c r="H22" s="2612"/>
      <c r="I22" s="2613" t="s">
        <v>685</v>
      </c>
      <c r="J22" s="2613"/>
      <c r="K22" s="2613"/>
      <c r="L22" s="2613"/>
      <c r="M22" s="2613"/>
      <c r="N22" s="2613"/>
      <c r="O22" s="2613"/>
      <c r="P22" s="2613"/>
      <c r="Q22" s="2613"/>
      <c r="R22" s="2613"/>
      <c r="S22" s="2613"/>
      <c r="T22" s="2613"/>
      <c r="U22" s="2613"/>
    </row>
    <row r="23" spans="1:21" s="358" customFormat="1" ht="45" x14ac:dyDescent="0.25">
      <c r="A23" s="381">
        <v>1</v>
      </c>
      <c r="B23" s="382" t="s">
        <v>686</v>
      </c>
      <c r="C23" s="382" t="s">
        <v>687</v>
      </c>
      <c r="D23" s="383"/>
      <c r="E23" s="383"/>
      <c r="F23" s="383"/>
      <c r="G23" s="384"/>
      <c r="H23" s="385"/>
      <c r="I23" s="386"/>
      <c r="J23" s="387"/>
      <c r="K23" s="387"/>
      <c r="L23" s="387"/>
      <c r="M23" s="387"/>
      <c r="N23" s="387"/>
      <c r="O23" s="387"/>
      <c r="P23" s="387"/>
      <c r="Q23" s="387"/>
      <c r="R23" s="387"/>
      <c r="S23" s="387"/>
      <c r="T23" s="387"/>
      <c r="U23" s="387"/>
    </row>
    <row r="24" spans="1:21" s="358" customFormat="1" ht="79.5" customHeight="1" x14ac:dyDescent="0.25">
      <c r="A24" s="388"/>
      <c r="B24" s="2614" t="s">
        <v>688</v>
      </c>
      <c r="C24" s="2615"/>
      <c r="D24" s="389"/>
      <c r="E24" s="389"/>
      <c r="F24" s="390"/>
      <c r="G24" s="391"/>
      <c r="H24" s="392"/>
      <c r="I24" s="2616" t="s">
        <v>689</v>
      </c>
      <c r="J24" s="2617"/>
      <c r="K24" s="2617"/>
      <c r="L24" s="2618" t="s">
        <v>690</v>
      </c>
      <c r="M24" s="2618"/>
      <c r="N24" s="2618"/>
      <c r="O24" s="2619" t="s">
        <v>691</v>
      </c>
      <c r="P24" s="2619"/>
      <c r="Q24" s="2619"/>
      <c r="R24" s="2620" t="s">
        <v>692</v>
      </c>
      <c r="S24" s="2621"/>
      <c r="T24" s="2621"/>
      <c r="U24" s="2621"/>
    </row>
    <row r="25" spans="1:21" s="358" customFormat="1" ht="30" x14ac:dyDescent="0.25">
      <c r="A25" s="2610" t="s">
        <v>693</v>
      </c>
      <c r="B25" s="2611"/>
      <c r="C25" s="2611"/>
      <c r="D25" s="2611"/>
      <c r="E25" s="2611"/>
      <c r="F25" s="2611"/>
      <c r="G25" s="2611"/>
      <c r="H25" s="2612"/>
      <c r="I25" s="393" t="s">
        <v>694</v>
      </c>
      <c r="J25" s="394" t="s">
        <v>695</v>
      </c>
      <c r="K25" s="395" t="s">
        <v>683</v>
      </c>
      <c r="L25" s="396" t="s">
        <v>696</v>
      </c>
      <c r="M25" s="397" t="s">
        <v>697</v>
      </c>
      <c r="N25" s="397" t="s">
        <v>698</v>
      </c>
      <c r="O25" s="398" t="s">
        <v>699</v>
      </c>
      <c r="P25" s="398" t="s">
        <v>697</v>
      </c>
      <c r="Q25" s="398" t="s">
        <v>698</v>
      </c>
      <c r="R25" s="399" t="s">
        <v>699</v>
      </c>
      <c r="S25" s="399" t="s">
        <v>697</v>
      </c>
      <c r="T25" s="399" t="s">
        <v>698</v>
      </c>
      <c r="U25" s="399" t="s">
        <v>521</v>
      </c>
    </row>
    <row r="26" spans="1:21" s="358" customFormat="1" ht="33.75" x14ac:dyDescent="0.25">
      <c r="A26" s="400">
        <v>3</v>
      </c>
      <c r="B26" s="401" t="s">
        <v>935</v>
      </c>
      <c r="C26" s="402" t="s">
        <v>700</v>
      </c>
      <c r="D26" s="403" t="e">
        <f>#REF!/1000</f>
        <v>#REF!</v>
      </c>
      <c r="E26" s="404"/>
      <c r="F26" s="404"/>
      <c r="G26" s="405"/>
      <c r="H26" s="406" t="e">
        <f>G26+F26+E26+D26</f>
        <v>#REF!</v>
      </c>
      <c r="I26" s="407" t="e">
        <f>#REF!</f>
        <v>#REF!</v>
      </c>
      <c r="J26" s="408" t="e">
        <f>#REF!</f>
        <v>#REF!</v>
      </c>
      <c r="K26" s="409" t="e">
        <f>I26+J26</f>
        <v>#REF!</v>
      </c>
      <c r="L26" s="410" t="e">
        <f>(#REF!+#REF!+#REF!+#REF!)/1000</f>
        <v>#REF!</v>
      </c>
      <c r="M26" s="410" t="e">
        <f>#REF!/1000</f>
        <v>#REF!</v>
      </c>
      <c r="N26" s="411" t="e">
        <f>(#REF!+#REF!)/1000</f>
        <v>#REF!</v>
      </c>
      <c r="O26" s="412">
        <v>28.18</v>
      </c>
      <c r="P26" s="412">
        <v>11.1</v>
      </c>
      <c r="Q26" s="412">
        <v>8.26</v>
      </c>
      <c r="R26" s="413" t="e">
        <f t="shared" ref="R26:T29" si="0">L26/O26</f>
        <v>#REF!</v>
      </c>
      <c r="S26" s="413" t="e">
        <f t="shared" si="0"/>
        <v>#REF!</v>
      </c>
      <c r="T26" s="413" t="e">
        <f t="shared" si="0"/>
        <v>#REF!</v>
      </c>
      <c r="U26" s="414" t="e">
        <f>R26+S26+T26</f>
        <v>#REF!</v>
      </c>
    </row>
    <row r="27" spans="1:21" s="358" customFormat="1" ht="191.25" x14ac:dyDescent="0.25">
      <c r="A27" s="400">
        <v>4</v>
      </c>
      <c r="B27" s="570" t="s">
        <v>2677</v>
      </c>
      <c r="C27" s="402" t="s">
        <v>702</v>
      </c>
      <c r="D27" s="403" t="e">
        <f>(('02-01-08 (аналог)'!G112+(-27339))*6.99*#REF!*#REF!*#REF!*#REF!+'02-01-08-Д (аналог)'!N263*#REF!^(1/2))/1000/128.5*5638.5</f>
        <v>#REF!</v>
      </c>
      <c r="E27" s="404"/>
      <c r="F27" s="404"/>
      <c r="G27" s="405"/>
      <c r="H27" s="406" t="e">
        <f>G27+F27+E27+D27</f>
        <v>#REF!</v>
      </c>
      <c r="I27" s="407">
        <f>77546.39/4112*5638.5</f>
        <v>106333.98</v>
      </c>
      <c r="J27" s="408">
        <f>25160.26/4112*5638.5</f>
        <v>34500.519999999997</v>
      </c>
      <c r="K27" s="409">
        <f>I27+J27</f>
        <v>140834.5</v>
      </c>
      <c r="L27" s="410">
        <f>(729757.73+344057.86+917722.79+599190.37)*7.3/1000/4112*5638.5*1.049*1.146*1.07</f>
        <v>33357.94</v>
      </c>
      <c r="M27" s="410">
        <f>((24874243.85-344057.86)*7.3/1000-0.01)/4112*5638.5*1.049*1.146*1.07+0.1</f>
        <v>315848.03000000003</v>
      </c>
      <c r="N27" s="410">
        <f>32958356.96*7.3/1000/4112*5638.5*1.049*1.146*1.07</f>
        <v>424368.14</v>
      </c>
      <c r="O27" s="412">
        <v>28.18</v>
      </c>
      <c r="P27" s="412">
        <v>11.1</v>
      </c>
      <c r="Q27" s="412">
        <v>8.26</v>
      </c>
      <c r="R27" s="413">
        <f t="shared" si="0"/>
        <v>1183.75</v>
      </c>
      <c r="S27" s="413">
        <f t="shared" si="0"/>
        <v>28454.78</v>
      </c>
      <c r="T27" s="413">
        <f t="shared" si="0"/>
        <v>51376.29</v>
      </c>
      <c r="U27" s="414">
        <f>R27+S27+T27</f>
        <v>81014.820000000007</v>
      </c>
    </row>
    <row r="28" spans="1:21" s="358" customFormat="1" ht="191.25" x14ac:dyDescent="0.25">
      <c r="A28" s="400">
        <v>5</v>
      </c>
      <c r="B28" s="570" t="s">
        <v>2677</v>
      </c>
      <c r="C28" s="402" t="s">
        <v>703</v>
      </c>
      <c r="D28" s="403" t="e">
        <f>(('02-01-08 (аналог)'!G112+(-27339))*6.99*#REF!*#REF!*#REF!*#REF!+'02-01-08-Д (аналог)'!N263*#REF!^(1/2))/1000/128.5*3594.5</f>
        <v>#REF!</v>
      </c>
      <c r="E28" s="404"/>
      <c r="F28" s="404"/>
      <c r="G28" s="405"/>
      <c r="H28" s="406" t="e">
        <f>G28+F28+E28+D28</f>
        <v>#REF!</v>
      </c>
      <c r="I28" s="407">
        <f>77546.39/4112*3594.5</f>
        <v>67787.09</v>
      </c>
      <c r="J28" s="408">
        <f>25160.26/4112*3594.5</f>
        <v>21993.81</v>
      </c>
      <c r="K28" s="409">
        <f>I28+J28</f>
        <v>89780.9</v>
      </c>
      <c r="L28" s="410">
        <f>(729757.73+344057.86+917722.79+599190.37)*7.3/1000/4112*3594.5*1.049*1.146*1.07</f>
        <v>21265.43</v>
      </c>
      <c r="M28" s="410">
        <f>((24874243.85-344057.86)*7.3/1000-0.01)/4112*3594.5*1.049*1.146*1.07+0.1</f>
        <v>201350.71</v>
      </c>
      <c r="N28" s="410">
        <f>32958356.96*7.3/1000/4112*3594.5*1.049*1.146*1.07</f>
        <v>270531.40000000002</v>
      </c>
      <c r="O28" s="412">
        <v>28.18</v>
      </c>
      <c r="P28" s="412">
        <v>11.1</v>
      </c>
      <c r="Q28" s="412">
        <v>8.26</v>
      </c>
      <c r="R28" s="413">
        <f t="shared" si="0"/>
        <v>754.63</v>
      </c>
      <c r="S28" s="413">
        <f t="shared" si="0"/>
        <v>18139.7</v>
      </c>
      <c r="T28" s="413">
        <f t="shared" si="0"/>
        <v>32751.99</v>
      </c>
      <c r="U28" s="414">
        <f>R28+S28+T28</f>
        <v>51646.32</v>
      </c>
    </row>
    <row r="29" spans="1:21" s="358" customFormat="1" ht="191.25" x14ac:dyDescent="0.25">
      <c r="A29" s="400">
        <v>6</v>
      </c>
      <c r="B29" s="570" t="s">
        <v>2677</v>
      </c>
      <c r="C29" s="402" t="s">
        <v>704</v>
      </c>
      <c r="D29" s="403" t="e">
        <f>(('02-01-08 (аналог)'!G112+(-27339))*6.99*#REF!*#REF!*#REF!*#REF!+'02-01-08-Д (аналог)'!N263*#REF!^(1/2))/1000/128.5*1984.5</f>
        <v>#REF!</v>
      </c>
      <c r="E29" s="404"/>
      <c r="F29" s="404"/>
      <c r="G29" s="405"/>
      <c r="H29" s="406" t="e">
        <f>G29+F29+E29+D29</f>
        <v>#REF!</v>
      </c>
      <c r="I29" s="407">
        <f>77546.39/4112*1984.5</f>
        <v>37424.81</v>
      </c>
      <c r="J29" s="408">
        <f>25160.26/4112*1984.5</f>
        <v>12142.64</v>
      </c>
      <c r="K29" s="409">
        <f>I29+J29</f>
        <v>49567.45</v>
      </c>
      <c r="L29" s="410">
        <f>(729757.73+344057.86+917722.79+599190.37)*7.3/1000/4112*1984.5*1.049*1.146*1.07</f>
        <v>11740.5</v>
      </c>
      <c r="M29" s="410">
        <f>((24874243.85-344057.86)*7.3/1000-0.01)/4112*1984.5*1.049*1.146*1.07+0.1</f>
        <v>111164.46</v>
      </c>
      <c r="N29" s="410">
        <f>32958356.96*7.3/1000/4112*1984.5*1.049*1.146*1.07</f>
        <v>149358.62</v>
      </c>
      <c r="O29" s="412">
        <v>28.18</v>
      </c>
      <c r="P29" s="412">
        <v>11.1</v>
      </c>
      <c r="Q29" s="412">
        <v>8.26</v>
      </c>
      <c r="R29" s="413">
        <f t="shared" si="0"/>
        <v>416.63</v>
      </c>
      <c r="S29" s="413">
        <f t="shared" si="0"/>
        <v>10014.82</v>
      </c>
      <c r="T29" s="413">
        <f t="shared" si="0"/>
        <v>18082.16</v>
      </c>
      <c r="U29" s="414">
        <f>R29+S29+T29</f>
        <v>28513.61</v>
      </c>
    </row>
    <row r="30" spans="1:21" s="358" customFormat="1" ht="15" x14ac:dyDescent="0.25">
      <c r="A30" s="381"/>
      <c r="B30" s="416"/>
      <c r="C30" s="417"/>
      <c r="D30" s="418"/>
      <c r="E30" s="418"/>
      <c r="F30" s="418"/>
      <c r="G30" s="383"/>
      <c r="H30" s="419"/>
      <c r="I30" s="420"/>
      <c r="J30" s="421" t="s">
        <v>521</v>
      </c>
      <c r="K30" s="421" t="e">
        <f>SUM(K26:K29)</f>
        <v>#REF!</v>
      </c>
      <c r="L30" s="421"/>
      <c r="M30" s="421"/>
      <c r="N30" s="421" t="e">
        <f>SUM(N26:N29)</f>
        <v>#REF!</v>
      </c>
      <c r="O30" s="421"/>
      <c r="P30" s="421"/>
      <c r="Q30" s="421"/>
      <c r="R30" s="421"/>
      <c r="S30" s="421"/>
      <c r="T30" s="421"/>
      <c r="U30" s="421" t="e">
        <f>SUM(U26:U29)</f>
        <v>#REF!</v>
      </c>
    </row>
    <row r="31" spans="1:21" s="358" customFormat="1" ht="27.75" customHeight="1" x14ac:dyDescent="0.25">
      <c r="A31" s="388"/>
      <c r="B31" s="2614" t="s">
        <v>705</v>
      </c>
      <c r="C31" s="2615"/>
      <c r="D31" s="422" t="e">
        <f>SUM(D26:D30)</f>
        <v>#REF!</v>
      </c>
      <c r="E31" s="423"/>
      <c r="F31" s="391"/>
      <c r="G31" s="390"/>
      <c r="H31" s="424" t="e">
        <f>SUM(H26:H30)</f>
        <v>#REF!</v>
      </c>
      <c r="I31" s="425"/>
      <c r="J31" s="426"/>
      <c r="K31" s="426"/>
      <c r="L31" s="426"/>
      <c r="M31" s="426"/>
      <c r="N31" s="426"/>
      <c r="O31" s="426"/>
      <c r="P31" s="426"/>
      <c r="Q31" s="426"/>
      <c r="R31" s="426"/>
      <c r="S31" s="426"/>
      <c r="T31" s="426"/>
      <c r="U31" s="427" t="e">
        <f>U30</f>
        <v>#REF!</v>
      </c>
    </row>
    <row r="32" spans="1:21" s="358" customFormat="1" ht="15" x14ac:dyDescent="0.25">
      <c r="A32" s="2610" t="s">
        <v>706</v>
      </c>
      <c r="B32" s="2611"/>
      <c r="C32" s="2611"/>
      <c r="D32" s="2611"/>
      <c r="E32" s="2611"/>
      <c r="F32" s="2611"/>
      <c r="G32" s="2611"/>
      <c r="H32" s="2612"/>
      <c r="I32" s="386"/>
      <c r="J32" s="387"/>
      <c r="K32" s="387"/>
      <c r="L32" s="387"/>
      <c r="M32" s="387"/>
      <c r="N32" s="387"/>
      <c r="O32" s="387"/>
      <c r="P32" s="387"/>
      <c r="Q32" s="387"/>
      <c r="R32" s="387"/>
      <c r="S32" s="387"/>
      <c r="T32" s="387"/>
      <c r="U32" s="387"/>
    </row>
    <row r="33" spans="1:21" s="358" customFormat="1" ht="15" x14ac:dyDescent="0.25">
      <c r="A33" s="388"/>
      <c r="B33" s="2614" t="s">
        <v>707</v>
      </c>
      <c r="C33" s="2615"/>
      <c r="D33" s="428"/>
      <c r="E33" s="428"/>
      <c r="F33" s="429"/>
      <c r="G33" s="390"/>
      <c r="H33" s="392"/>
      <c r="I33" s="425"/>
      <c r="J33" s="426"/>
      <c r="K33" s="426"/>
      <c r="L33" s="426"/>
      <c r="M33" s="426"/>
      <c r="N33" s="426"/>
      <c r="O33" s="426"/>
      <c r="P33" s="426"/>
      <c r="Q33" s="426"/>
      <c r="R33" s="426"/>
      <c r="S33" s="426"/>
      <c r="T33" s="426"/>
      <c r="U33" s="426"/>
    </row>
    <row r="34" spans="1:21" s="358" customFormat="1" ht="15" x14ac:dyDescent="0.25">
      <c r="A34" s="2610" t="s">
        <v>708</v>
      </c>
      <c r="B34" s="2611"/>
      <c r="C34" s="2611"/>
      <c r="D34" s="2611"/>
      <c r="E34" s="2611"/>
      <c r="F34" s="2611"/>
      <c r="G34" s="2611"/>
      <c r="H34" s="2612"/>
      <c r="I34" s="386"/>
      <c r="J34" s="387"/>
      <c r="K34" s="387"/>
      <c r="L34" s="387"/>
      <c r="M34" s="387"/>
      <c r="N34" s="387"/>
      <c r="O34" s="387"/>
      <c r="P34" s="387"/>
      <c r="Q34" s="387"/>
      <c r="R34" s="387"/>
      <c r="S34" s="387"/>
      <c r="T34" s="387"/>
      <c r="U34" s="387"/>
    </row>
    <row r="35" spans="1:21" s="358" customFormat="1" ht="15" x14ac:dyDescent="0.25">
      <c r="A35" s="381">
        <v>7</v>
      </c>
      <c r="B35" s="382"/>
      <c r="C35" s="382"/>
      <c r="D35" s="418"/>
      <c r="E35" s="384"/>
      <c r="F35" s="418"/>
      <c r="G35" s="383"/>
      <c r="H35" s="419"/>
      <c r="I35" s="386"/>
      <c r="J35" s="387"/>
      <c r="K35" s="387"/>
      <c r="L35" s="387"/>
      <c r="M35" s="387"/>
      <c r="N35" s="387"/>
      <c r="O35" s="387"/>
      <c r="P35" s="387"/>
      <c r="Q35" s="387"/>
      <c r="R35" s="387"/>
      <c r="S35" s="387"/>
      <c r="T35" s="387"/>
      <c r="U35" s="387"/>
    </row>
    <row r="36" spans="1:21" s="358" customFormat="1" ht="15" x14ac:dyDescent="0.25">
      <c r="A36" s="388"/>
      <c r="B36" s="2614" t="s">
        <v>709</v>
      </c>
      <c r="C36" s="2615"/>
      <c r="D36" s="423"/>
      <c r="E36" s="428"/>
      <c r="F36" s="391"/>
      <c r="G36" s="390"/>
      <c r="H36" s="392"/>
      <c r="I36" s="425"/>
      <c r="J36" s="426"/>
      <c r="K36" s="426"/>
      <c r="L36" s="426"/>
      <c r="M36" s="426"/>
      <c r="N36" s="426"/>
      <c r="O36" s="426"/>
      <c r="P36" s="426"/>
      <c r="Q36" s="426"/>
      <c r="R36" s="426"/>
      <c r="S36" s="426"/>
      <c r="T36" s="426"/>
      <c r="U36" s="426"/>
    </row>
    <row r="37" spans="1:21" s="358" customFormat="1" ht="15" x14ac:dyDescent="0.25">
      <c r="A37" s="2610" t="s">
        <v>710</v>
      </c>
      <c r="B37" s="2611"/>
      <c r="C37" s="2611"/>
      <c r="D37" s="2611"/>
      <c r="E37" s="2611"/>
      <c r="F37" s="2611"/>
      <c r="G37" s="2611"/>
      <c r="H37" s="2612"/>
      <c r="I37" s="386"/>
      <c r="J37" s="387"/>
      <c r="K37" s="387"/>
      <c r="L37" s="387"/>
      <c r="M37" s="387"/>
      <c r="N37" s="387"/>
      <c r="O37" s="387"/>
      <c r="P37" s="387"/>
      <c r="Q37" s="387"/>
      <c r="R37" s="387"/>
      <c r="S37" s="387"/>
      <c r="T37" s="387"/>
      <c r="U37" s="387"/>
    </row>
    <row r="38" spans="1:21" s="358" customFormat="1" ht="15" x14ac:dyDescent="0.25">
      <c r="A38" s="388"/>
      <c r="B38" s="2614" t="s">
        <v>711</v>
      </c>
      <c r="C38" s="2615"/>
      <c r="D38" s="423"/>
      <c r="E38" s="423"/>
      <c r="F38" s="391"/>
      <c r="G38" s="390"/>
      <c r="H38" s="392"/>
      <c r="I38" s="425"/>
      <c r="J38" s="426"/>
      <c r="K38" s="426"/>
      <c r="L38" s="426"/>
      <c r="M38" s="426"/>
      <c r="N38" s="426"/>
      <c r="O38" s="426"/>
      <c r="P38" s="426"/>
      <c r="Q38" s="426"/>
      <c r="R38" s="426"/>
      <c r="S38" s="426"/>
      <c r="T38" s="426"/>
      <c r="U38" s="426"/>
    </row>
    <row r="39" spans="1:21" s="358" customFormat="1" ht="15" x14ac:dyDescent="0.25">
      <c r="A39" s="2610" t="s">
        <v>712</v>
      </c>
      <c r="B39" s="2611"/>
      <c r="C39" s="2611"/>
      <c r="D39" s="2611"/>
      <c r="E39" s="2611"/>
      <c r="F39" s="2611"/>
      <c r="G39" s="2611"/>
      <c r="H39" s="2612"/>
      <c r="I39" s="386"/>
      <c r="J39" s="387"/>
      <c r="K39" s="387"/>
      <c r="L39" s="387"/>
      <c r="M39" s="387"/>
      <c r="N39" s="387"/>
      <c r="O39" s="387"/>
      <c r="P39" s="387"/>
      <c r="Q39" s="387"/>
      <c r="R39" s="387"/>
      <c r="S39" s="387"/>
      <c r="T39" s="387"/>
      <c r="U39" s="387"/>
    </row>
    <row r="40" spans="1:21" s="358" customFormat="1" ht="15" x14ac:dyDescent="0.25">
      <c r="A40" s="388"/>
      <c r="B40" s="2614" t="s">
        <v>713</v>
      </c>
      <c r="C40" s="2615"/>
      <c r="D40" s="423"/>
      <c r="E40" s="389"/>
      <c r="F40" s="390"/>
      <c r="G40" s="390"/>
      <c r="H40" s="392"/>
      <c r="I40" s="425"/>
      <c r="J40" s="426"/>
      <c r="K40" s="426"/>
      <c r="L40" s="426"/>
      <c r="M40" s="426"/>
      <c r="N40" s="426"/>
      <c r="O40" s="426"/>
      <c r="P40" s="426"/>
      <c r="Q40" s="426"/>
      <c r="R40" s="426"/>
      <c r="S40" s="426"/>
      <c r="T40" s="426"/>
      <c r="U40" s="426"/>
    </row>
    <row r="41" spans="1:21" s="358" customFormat="1" ht="15" x14ac:dyDescent="0.25">
      <c r="A41" s="388"/>
      <c r="B41" s="2622" t="s">
        <v>714</v>
      </c>
      <c r="C41" s="2623"/>
      <c r="D41" s="430" t="e">
        <f>D24+D31+D33+D36+D38+D40</f>
        <v>#REF!</v>
      </c>
      <c r="E41" s="423"/>
      <c r="F41" s="391"/>
      <c r="G41" s="391"/>
      <c r="H41" s="431" t="e">
        <f>D41+E41+F41+G41</f>
        <v>#REF!</v>
      </c>
      <c r="I41" s="432"/>
      <c r="J41" s="433"/>
      <c r="K41" s="433"/>
      <c r="L41" s="433"/>
      <c r="M41" s="433"/>
      <c r="N41" s="433"/>
      <c r="O41" s="433"/>
      <c r="P41" s="433"/>
      <c r="Q41" s="433"/>
      <c r="R41" s="433"/>
      <c r="S41" s="433"/>
      <c r="T41" s="433"/>
      <c r="U41" s="427" t="e">
        <f>U23+U30</f>
        <v>#REF!</v>
      </c>
    </row>
    <row r="42" spans="1:21" s="358" customFormat="1" ht="15" x14ac:dyDescent="0.25">
      <c r="A42" s="2610" t="s">
        <v>715</v>
      </c>
      <c r="B42" s="2611"/>
      <c r="C42" s="2611"/>
      <c r="D42" s="2611"/>
      <c r="E42" s="2611"/>
      <c r="F42" s="2611"/>
      <c r="G42" s="2611"/>
      <c r="H42" s="2612"/>
      <c r="I42" s="386"/>
      <c r="J42" s="387"/>
      <c r="K42" s="387"/>
      <c r="L42" s="387"/>
      <c r="M42" s="387"/>
      <c r="N42" s="387"/>
      <c r="O42" s="387"/>
      <c r="P42" s="387"/>
      <c r="Q42" s="387"/>
      <c r="R42" s="387"/>
      <c r="S42" s="387"/>
      <c r="T42" s="387"/>
      <c r="U42" s="434"/>
    </row>
    <row r="43" spans="1:21" s="358" customFormat="1" ht="56.25" x14ac:dyDescent="0.25">
      <c r="A43" s="381">
        <v>13</v>
      </c>
      <c r="B43" s="382" t="s">
        <v>716</v>
      </c>
      <c r="C43" s="382" t="s">
        <v>717</v>
      </c>
      <c r="D43" s="435" t="e">
        <f>D26*3.1%*0.8</f>
        <v>#REF!</v>
      </c>
      <c r="E43" s="418"/>
      <c r="F43" s="383"/>
      <c r="G43" s="383"/>
      <c r="H43" s="436" t="e">
        <f>D43+E43+F43+G43</f>
        <v>#REF!</v>
      </c>
      <c r="I43" s="386"/>
      <c r="J43" s="387"/>
      <c r="K43" s="387"/>
      <c r="L43" s="387"/>
      <c r="M43" s="387"/>
      <c r="N43" s="387"/>
      <c r="O43" s="387"/>
      <c r="P43" s="387"/>
      <c r="Q43" s="387"/>
      <c r="R43" s="387"/>
      <c r="S43" s="387"/>
      <c r="T43" s="387"/>
      <c r="U43" s="437" t="e">
        <f>U26*3.1%*0.8</f>
        <v>#REF!</v>
      </c>
    </row>
    <row r="44" spans="1:21" s="358" customFormat="1" ht="56.25" x14ac:dyDescent="0.25">
      <c r="A44" s="381">
        <v>14</v>
      </c>
      <c r="B44" s="382" t="s">
        <v>716</v>
      </c>
      <c r="C44" s="382" t="s">
        <v>718</v>
      </c>
      <c r="D44" s="435" t="e">
        <f>(D23+D27+D28+D29)*3.1%</f>
        <v>#REF!</v>
      </c>
      <c r="E44" s="418"/>
      <c r="F44" s="383"/>
      <c r="G44" s="383"/>
      <c r="H44" s="436" t="e">
        <f>D44</f>
        <v>#REF!</v>
      </c>
      <c r="I44" s="386"/>
      <c r="J44" s="387"/>
      <c r="K44" s="387"/>
      <c r="L44" s="387"/>
      <c r="M44" s="387"/>
      <c r="N44" s="387"/>
      <c r="O44" s="387"/>
      <c r="P44" s="387"/>
      <c r="Q44" s="387"/>
      <c r="R44" s="387"/>
      <c r="S44" s="387"/>
      <c r="T44" s="387"/>
      <c r="U44" s="418">
        <f>(U23+U27+U28+U29)*3.1%</f>
        <v>4996.42</v>
      </c>
    </row>
    <row r="45" spans="1:21" s="358" customFormat="1" ht="15" x14ac:dyDescent="0.25">
      <c r="A45" s="388"/>
      <c r="B45" s="2614" t="s">
        <v>719</v>
      </c>
      <c r="C45" s="2615"/>
      <c r="D45" s="430" t="e">
        <f>D43+D44</f>
        <v>#REF!</v>
      </c>
      <c r="E45" s="423"/>
      <c r="F45" s="390"/>
      <c r="G45" s="390"/>
      <c r="H45" s="424" t="e">
        <f>H43+H44</f>
        <v>#REF!</v>
      </c>
      <c r="I45" s="432"/>
      <c r="J45" s="433"/>
      <c r="K45" s="433"/>
      <c r="L45" s="433"/>
      <c r="M45" s="433"/>
      <c r="N45" s="433"/>
      <c r="O45" s="433"/>
      <c r="P45" s="433"/>
      <c r="Q45" s="433"/>
      <c r="R45" s="433"/>
      <c r="S45" s="433"/>
      <c r="T45" s="433"/>
      <c r="U45" s="427" t="e">
        <f>U43+U44</f>
        <v>#REF!</v>
      </c>
    </row>
    <row r="46" spans="1:21" s="358" customFormat="1" ht="15" x14ac:dyDescent="0.25">
      <c r="A46" s="388"/>
      <c r="B46" s="2622" t="s">
        <v>720</v>
      </c>
      <c r="C46" s="2623"/>
      <c r="D46" s="430" t="e">
        <f>D41+D45</f>
        <v>#REF!</v>
      </c>
      <c r="E46" s="438"/>
      <c r="F46" s="391"/>
      <c r="G46" s="391"/>
      <c r="H46" s="431" t="e">
        <f>H41+H45</f>
        <v>#REF!</v>
      </c>
      <c r="I46" s="432"/>
      <c r="J46" s="433"/>
      <c r="K46" s="433"/>
      <c r="L46" s="433"/>
      <c r="M46" s="433"/>
      <c r="N46" s="433"/>
      <c r="O46" s="433"/>
      <c r="P46" s="433"/>
      <c r="Q46" s="433"/>
      <c r="R46" s="433"/>
      <c r="S46" s="433"/>
      <c r="T46" s="433"/>
      <c r="U46" s="427" t="e">
        <f>U41+U45</f>
        <v>#REF!</v>
      </c>
    </row>
    <row r="47" spans="1:21" s="358" customFormat="1" ht="15" x14ac:dyDescent="0.25">
      <c r="A47" s="2610" t="s">
        <v>721</v>
      </c>
      <c r="B47" s="2611"/>
      <c r="C47" s="2611"/>
      <c r="D47" s="2611"/>
      <c r="E47" s="2611"/>
      <c r="F47" s="2611"/>
      <c r="G47" s="2611"/>
      <c r="H47" s="2612"/>
      <c r="I47" s="386"/>
      <c r="J47" s="387"/>
      <c r="K47" s="387"/>
      <c r="L47" s="387"/>
      <c r="M47" s="387"/>
      <c r="N47" s="387"/>
      <c r="O47" s="387"/>
      <c r="P47" s="387"/>
      <c r="Q47" s="387"/>
      <c r="R47" s="387"/>
      <c r="S47" s="387"/>
      <c r="T47" s="387"/>
      <c r="U47" s="434"/>
    </row>
    <row r="48" spans="1:21" s="358" customFormat="1" ht="45" x14ac:dyDescent="0.25">
      <c r="A48" s="381">
        <v>14</v>
      </c>
      <c r="B48" s="382" t="s">
        <v>722</v>
      </c>
      <c r="C48" s="382" t="s">
        <v>723</v>
      </c>
      <c r="D48" s="435" t="e">
        <f>D46*0.5%</f>
        <v>#REF!</v>
      </c>
      <c r="E48" s="384"/>
      <c r="F48" s="383"/>
      <c r="G48" s="383"/>
      <c r="H48" s="436" t="e">
        <f>D48+E48+F48+G48</f>
        <v>#REF!</v>
      </c>
      <c r="I48" s="386"/>
      <c r="J48" s="387"/>
      <c r="K48" s="387"/>
      <c r="L48" s="387"/>
      <c r="M48" s="387"/>
      <c r="N48" s="387"/>
      <c r="O48" s="387"/>
      <c r="P48" s="387"/>
      <c r="Q48" s="387"/>
      <c r="R48" s="387"/>
      <c r="S48" s="387"/>
      <c r="T48" s="387"/>
      <c r="U48" s="434" t="e">
        <f>U46*0.5%</f>
        <v>#REF!</v>
      </c>
    </row>
    <row r="49" spans="1:21" s="806" customFormat="1" ht="15" x14ac:dyDescent="0.25">
      <c r="A49" s="799">
        <v>16</v>
      </c>
      <c r="B49" s="800" t="s">
        <v>724</v>
      </c>
      <c r="C49" s="800" t="s">
        <v>725</v>
      </c>
      <c r="D49" s="801"/>
      <c r="E49" s="801"/>
      <c r="F49" s="801"/>
      <c r="G49" s="798" t="e">
        <f>#REF!/1000</f>
        <v>#REF!</v>
      </c>
      <c r="H49" s="802" t="e">
        <f>G49</f>
        <v>#REF!</v>
      </c>
      <c r="I49" s="803"/>
      <c r="J49" s="804"/>
      <c r="K49" s="804"/>
      <c r="L49" s="804"/>
      <c r="M49" s="804"/>
      <c r="N49" s="804"/>
      <c r="O49" s="804"/>
      <c r="P49" s="804"/>
      <c r="Q49" s="804"/>
      <c r="R49" s="804"/>
      <c r="S49" s="804"/>
      <c r="T49" s="804"/>
      <c r="U49" s="805" t="e">
        <f>#REF!/1000</f>
        <v>#REF!</v>
      </c>
    </row>
    <row r="50" spans="1:21" s="358" customFormat="1" ht="22.5" x14ac:dyDescent="0.25">
      <c r="A50" s="381">
        <v>20</v>
      </c>
      <c r="B50" s="382" t="s">
        <v>726</v>
      </c>
      <c r="C50" s="382" t="s">
        <v>727</v>
      </c>
      <c r="D50" s="383"/>
      <c r="E50" s="383"/>
      <c r="F50" s="383"/>
      <c r="G50" s="439"/>
      <c r="H50" s="440"/>
      <c r="I50" s="386"/>
      <c r="J50" s="387"/>
      <c r="K50" s="387"/>
      <c r="L50" s="387"/>
      <c r="M50" s="387"/>
      <c r="N50" s="387"/>
      <c r="O50" s="387"/>
      <c r="P50" s="387"/>
      <c r="Q50" s="387"/>
      <c r="R50" s="387"/>
      <c r="S50" s="387"/>
      <c r="T50" s="387"/>
      <c r="U50" s="434"/>
    </row>
    <row r="51" spans="1:21" s="358" customFormat="1" ht="15" x14ac:dyDescent="0.25">
      <c r="A51" s="388"/>
      <c r="B51" s="2614" t="s">
        <v>728</v>
      </c>
      <c r="C51" s="2615"/>
      <c r="D51" s="423" t="e">
        <f>D48+D49+D50</f>
        <v>#REF!</v>
      </c>
      <c r="E51" s="428"/>
      <c r="F51" s="390"/>
      <c r="G51" s="423" t="e">
        <f>G48+G49+G50</f>
        <v>#REF!</v>
      </c>
      <c r="H51" s="431" t="e">
        <f>H48+H49+H50</f>
        <v>#REF!</v>
      </c>
      <c r="I51" s="432"/>
      <c r="J51" s="433"/>
      <c r="K51" s="433"/>
      <c r="L51" s="433"/>
      <c r="M51" s="433"/>
      <c r="N51" s="433"/>
      <c r="O51" s="433"/>
      <c r="P51" s="433"/>
      <c r="Q51" s="433"/>
      <c r="R51" s="433"/>
      <c r="S51" s="433"/>
      <c r="T51" s="433"/>
      <c r="U51" s="423" t="e">
        <f>U48+U49+U50</f>
        <v>#REF!</v>
      </c>
    </row>
    <row r="52" spans="1:21" s="358" customFormat="1" ht="15" x14ac:dyDescent="0.25">
      <c r="A52" s="388"/>
      <c r="B52" s="2622" t="s">
        <v>729</v>
      </c>
      <c r="C52" s="2623"/>
      <c r="D52" s="438" t="e">
        <f>D46+D51</f>
        <v>#REF!</v>
      </c>
      <c r="E52" s="438"/>
      <c r="F52" s="438"/>
      <c r="G52" s="438" t="e">
        <f>G46+G51</f>
        <v>#REF!</v>
      </c>
      <c r="H52" s="441" t="e">
        <f>H46+H51</f>
        <v>#REF!</v>
      </c>
      <c r="I52" s="432"/>
      <c r="J52" s="433"/>
      <c r="K52" s="433"/>
      <c r="L52" s="433"/>
      <c r="M52" s="433"/>
      <c r="N52" s="433"/>
      <c r="O52" s="433"/>
      <c r="P52" s="433"/>
      <c r="Q52" s="433"/>
      <c r="R52" s="433"/>
      <c r="S52" s="433"/>
      <c r="T52" s="433"/>
      <c r="U52" s="427" t="e">
        <f>U46+U51</f>
        <v>#REF!</v>
      </c>
    </row>
    <row r="53" spans="1:21" s="358" customFormat="1" ht="15" x14ac:dyDescent="0.25">
      <c r="A53" s="2610" t="s">
        <v>730</v>
      </c>
      <c r="B53" s="2611"/>
      <c r="C53" s="2611"/>
      <c r="D53" s="2611"/>
      <c r="E53" s="2611"/>
      <c r="F53" s="2611"/>
      <c r="G53" s="2611"/>
      <c r="H53" s="2612"/>
      <c r="I53" s="386"/>
      <c r="J53" s="387"/>
      <c r="K53" s="387"/>
      <c r="L53" s="387"/>
      <c r="M53" s="387"/>
      <c r="N53" s="387"/>
      <c r="O53" s="387"/>
      <c r="P53" s="387"/>
      <c r="Q53" s="387"/>
      <c r="R53" s="387"/>
      <c r="S53" s="387"/>
      <c r="T53" s="387"/>
      <c r="U53" s="434"/>
    </row>
    <row r="54" spans="1:21" s="806" customFormat="1" ht="56.25" x14ac:dyDescent="0.25">
      <c r="A54" s="799">
        <v>23</v>
      </c>
      <c r="B54" s="800" t="s">
        <v>731</v>
      </c>
      <c r="C54" s="800" t="s">
        <v>1142</v>
      </c>
      <c r="D54" s="801"/>
      <c r="E54" s="801"/>
      <c r="F54" s="801"/>
      <c r="G54" s="798" t="e">
        <f>H52*1.47%</f>
        <v>#REF!</v>
      </c>
      <c r="H54" s="809" t="e">
        <f>G54</f>
        <v>#REF!</v>
      </c>
      <c r="I54" s="803"/>
      <c r="J54" s="804"/>
      <c r="K54" s="804"/>
      <c r="L54" s="804"/>
      <c r="M54" s="804"/>
      <c r="N54" s="804"/>
      <c r="O54" s="804"/>
      <c r="P54" s="804"/>
      <c r="Q54" s="804"/>
      <c r="R54" s="804"/>
      <c r="S54" s="804"/>
      <c r="T54" s="804"/>
      <c r="U54" s="805"/>
    </row>
    <row r="55" spans="1:21" s="358" customFormat="1" ht="42.75" customHeight="1" x14ac:dyDescent="0.25">
      <c r="A55" s="388"/>
      <c r="B55" s="2614" t="s">
        <v>732</v>
      </c>
      <c r="C55" s="2615"/>
      <c r="D55" s="389"/>
      <c r="E55" s="389"/>
      <c r="F55" s="390"/>
      <c r="G55" s="391" t="e">
        <f>G54</f>
        <v>#REF!</v>
      </c>
      <c r="H55" s="392" t="e">
        <f>H54</f>
        <v>#REF!</v>
      </c>
      <c r="I55" s="386"/>
      <c r="J55" s="387"/>
      <c r="K55" s="387"/>
      <c r="L55" s="387"/>
      <c r="M55" s="387"/>
      <c r="N55" s="387"/>
      <c r="O55" s="387"/>
      <c r="P55" s="387"/>
      <c r="Q55" s="387"/>
      <c r="R55" s="387"/>
      <c r="S55" s="387"/>
      <c r="T55" s="387"/>
      <c r="U55" s="434"/>
    </row>
    <row r="56" spans="1:21" s="358" customFormat="1" ht="67.5" customHeight="1" x14ac:dyDescent="0.25">
      <c r="A56" s="2610" t="s">
        <v>733</v>
      </c>
      <c r="B56" s="2611"/>
      <c r="C56" s="2611"/>
      <c r="D56" s="2611"/>
      <c r="E56" s="2611"/>
      <c r="F56" s="2611"/>
      <c r="G56" s="2611"/>
      <c r="H56" s="2612"/>
      <c r="I56" s="386"/>
      <c r="J56" s="387"/>
      <c r="K56" s="387"/>
      <c r="L56" s="387"/>
      <c r="M56" s="387"/>
      <c r="N56" s="387"/>
      <c r="O56" s="387"/>
      <c r="P56" s="387"/>
      <c r="Q56" s="387"/>
      <c r="R56" s="387"/>
      <c r="S56" s="387"/>
      <c r="T56" s="387"/>
      <c r="U56" s="434"/>
    </row>
    <row r="57" spans="1:21" s="358" customFormat="1" ht="15" x14ac:dyDescent="0.25">
      <c r="A57" s="381">
        <v>24</v>
      </c>
      <c r="B57" s="382" t="s">
        <v>734</v>
      </c>
      <c r="C57" s="382" t="s">
        <v>429</v>
      </c>
      <c r="D57" s="383"/>
      <c r="E57" s="383"/>
      <c r="F57" s="383"/>
      <c r="G57" s="418">
        <f>'Cводная смета ПИР'!$G$20/1000</f>
        <v>4523.0200000000004</v>
      </c>
      <c r="H57" s="419">
        <f t="shared" ref="H57:H62" si="1">G57</f>
        <v>4523.0200000000004</v>
      </c>
      <c r="I57" s="386"/>
      <c r="J57" s="387"/>
      <c r="K57" s="387"/>
      <c r="L57" s="387"/>
      <c r="M57" s="387"/>
      <c r="N57" s="387"/>
      <c r="O57" s="387"/>
      <c r="P57" s="387"/>
      <c r="Q57" s="387"/>
      <c r="R57" s="387"/>
      <c r="S57" s="387"/>
      <c r="T57" s="387"/>
      <c r="U57" s="434"/>
    </row>
    <row r="58" spans="1:21" s="358" customFormat="1" ht="15" x14ac:dyDescent="0.25">
      <c r="A58" s="381">
        <v>25</v>
      </c>
      <c r="B58" s="382" t="s">
        <v>734</v>
      </c>
      <c r="C58" s="382" t="s">
        <v>430</v>
      </c>
      <c r="D58" s="383"/>
      <c r="E58" s="383"/>
      <c r="F58" s="383"/>
      <c r="G58" s="418">
        <f>'Cводная смета ПИР'!$G$26/1000</f>
        <v>12698.89</v>
      </c>
      <c r="H58" s="419">
        <f t="shared" si="1"/>
        <v>12698.89</v>
      </c>
      <c r="I58" s="386"/>
      <c r="J58" s="387"/>
      <c r="K58" s="387"/>
      <c r="L58" s="387"/>
      <c r="M58" s="387"/>
      <c r="N58" s="387"/>
      <c r="O58" s="387"/>
      <c r="P58" s="387"/>
      <c r="Q58" s="387"/>
      <c r="R58" s="387"/>
      <c r="S58" s="387"/>
      <c r="T58" s="387"/>
      <c r="U58" s="434"/>
    </row>
    <row r="59" spans="1:21" s="358" customFormat="1" ht="15" x14ac:dyDescent="0.25">
      <c r="A59" s="381">
        <v>26</v>
      </c>
      <c r="B59" s="382" t="s">
        <v>734</v>
      </c>
      <c r="C59" s="382" t="s">
        <v>735</v>
      </c>
      <c r="D59" s="383"/>
      <c r="E59" s="383"/>
      <c r="F59" s="383"/>
      <c r="G59" s="418" t="e">
        <f>#REF!/1000</f>
        <v>#REF!</v>
      </c>
      <c r="H59" s="419" t="e">
        <f t="shared" si="1"/>
        <v>#REF!</v>
      </c>
      <c r="I59" s="386"/>
      <c r="J59" s="387"/>
      <c r="K59" s="387"/>
      <c r="L59" s="387"/>
      <c r="M59" s="387"/>
      <c r="N59" s="387"/>
      <c r="O59" s="387"/>
      <c r="P59" s="387"/>
      <c r="Q59" s="387"/>
      <c r="R59" s="387"/>
      <c r="S59" s="387"/>
      <c r="T59" s="387"/>
      <c r="U59" s="434"/>
    </row>
    <row r="60" spans="1:21" s="358" customFormat="1" ht="56.25" x14ac:dyDescent="0.25">
      <c r="A60" s="381">
        <v>27</v>
      </c>
      <c r="B60" s="382" t="s">
        <v>736</v>
      </c>
      <c r="C60" s="382" t="s">
        <v>737</v>
      </c>
      <c r="D60" s="383"/>
      <c r="E60" s="383"/>
      <c r="F60" s="383"/>
      <c r="G60" s="418">
        <f>'Экспертиза ГГЭ'!$H$18/1000</f>
        <v>2453.14</v>
      </c>
      <c r="H60" s="419">
        <f t="shared" si="1"/>
        <v>2453.14</v>
      </c>
      <c r="I60" s="386"/>
      <c r="J60" s="387"/>
      <c r="K60" s="387"/>
      <c r="L60" s="387"/>
      <c r="M60" s="387"/>
      <c r="N60" s="387"/>
      <c r="O60" s="387"/>
      <c r="P60" s="387"/>
      <c r="Q60" s="387"/>
      <c r="R60" s="387"/>
      <c r="S60" s="387"/>
      <c r="T60" s="387"/>
      <c r="U60" s="434"/>
    </row>
    <row r="61" spans="1:21" s="358" customFormat="1" ht="22.5" x14ac:dyDescent="0.25">
      <c r="A61" s="381">
        <v>28</v>
      </c>
      <c r="B61" s="382" t="s">
        <v>738</v>
      </c>
      <c r="C61" s="382" t="s">
        <v>739</v>
      </c>
      <c r="D61" s="383"/>
      <c r="E61" s="383"/>
      <c r="F61" s="383"/>
      <c r="G61" s="418" t="e">
        <f>H52*0.2%</f>
        <v>#REF!</v>
      </c>
      <c r="H61" s="419" t="e">
        <f t="shared" si="1"/>
        <v>#REF!</v>
      </c>
      <c r="I61" s="386"/>
      <c r="J61" s="387"/>
      <c r="K61" s="387"/>
      <c r="L61" s="387"/>
      <c r="M61" s="387"/>
      <c r="N61" s="387"/>
      <c r="O61" s="387"/>
      <c r="P61" s="387"/>
      <c r="Q61" s="387"/>
      <c r="R61" s="387"/>
      <c r="S61" s="387"/>
      <c r="T61" s="387"/>
      <c r="U61" s="434"/>
    </row>
    <row r="62" spans="1:21" s="806" customFormat="1" ht="15" x14ac:dyDescent="0.25">
      <c r="A62" s="799">
        <v>29</v>
      </c>
      <c r="B62" s="800" t="s">
        <v>740</v>
      </c>
      <c r="C62" s="800" t="s">
        <v>741</v>
      </c>
      <c r="D62" s="801"/>
      <c r="E62" s="801"/>
      <c r="F62" s="801"/>
      <c r="G62" s="807" t="e">
        <f>#REF!/1000</f>
        <v>#REF!</v>
      </c>
      <c r="H62" s="808" t="e">
        <f t="shared" si="1"/>
        <v>#REF!</v>
      </c>
      <c r="I62" s="803"/>
      <c r="J62" s="804"/>
      <c r="K62" s="804"/>
      <c r="L62" s="804"/>
      <c r="M62" s="804"/>
      <c r="N62" s="804"/>
      <c r="O62" s="804"/>
      <c r="P62" s="804"/>
      <c r="Q62" s="804"/>
      <c r="R62" s="804"/>
      <c r="S62" s="804"/>
      <c r="T62" s="804"/>
      <c r="U62" s="805"/>
    </row>
    <row r="63" spans="1:21" s="358" customFormat="1" ht="132" customHeight="1" x14ac:dyDescent="0.25">
      <c r="A63" s="388"/>
      <c r="B63" s="2614" t="s">
        <v>742</v>
      </c>
      <c r="C63" s="2615"/>
      <c r="D63" s="389"/>
      <c r="E63" s="389"/>
      <c r="F63" s="390"/>
      <c r="G63" s="391" t="e">
        <f>SUM(G57:G62)</f>
        <v>#REF!</v>
      </c>
      <c r="H63" s="391" t="e">
        <f>SUM(H57:H62)</f>
        <v>#REF!</v>
      </c>
      <c r="I63" s="386"/>
      <c r="J63" s="387"/>
      <c r="K63" s="387"/>
      <c r="L63" s="387"/>
      <c r="M63" s="387"/>
      <c r="N63" s="387"/>
      <c r="O63" s="387"/>
      <c r="P63" s="387"/>
      <c r="Q63" s="387"/>
      <c r="R63" s="387"/>
      <c r="S63" s="387"/>
      <c r="T63" s="387"/>
      <c r="U63" s="434"/>
    </row>
    <row r="64" spans="1:21" s="358" customFormat="1" ht="15" x14ac:dyDescent="0.25">
      <c r="A64" s="388"/>
      <c r="B64" s="2622" t="s">
        <v>743</v>
      </c>
      <c r="C64" s="2623"/>
      <c r="D64" s="438" t="e">
        <f>D52+D55+D63</f>
        <v>#REF!</v>
      </c>
      <c r="E64" s="438">
        <f>E52+E55+E63</f>
        <v>0</v>
      </c>
      <c r="F64" s="438">
        <f>F52+F55+F63</f>
        <v>0</v>
      </c>
      <c r="G64" s="438" t="e">
        <f>G52+G55+G63</f>
        <v>#REF!</v>
      </c>
      <c r="H64" s="438" t="e">
        <f>H52+H55+H63</f>
        <v>#REF!</v>
      </c>
      <c r="I64" s="386"/>
      <c r="J64" s="387"/>
      <c r="K64" s="387"/>
      <c r="L64" s="387"/>
      <c r="M64" s="387"/>
      <c r="N64" s="387"/>
      <c r="O64" s="387"/>
      <c r="P64" s="387"/>
      <c r="Q64" s="387"/>
      <c r="R64" s="387"/>
      <c r="S64" s="387"/>
      <c r="T64" s="387"/>
      <c r="U64" s="434"/>
    </row>
    <row r="65" spans="1:21" s="358" customFormat="1" ht="15" x14ac:dyDescent="0.25">
      <c r="A65" s="2610" t="s">
        <v>744</v>
      </c>
      <c r="B65" s="2611"/>
      <c r="C65" s="2611"/>
      <c r="D65" s="2611"/>
      <c r="E65" s="2611"/>
      <c r="F65" s="2611"/>
      <c r="G65" s="2611"/>
      <c r="H65" s="2612"/>
      <c r="I65" s="386"/>
      <c r="J65" s="387"/>
      <c r="K65" s="387"/>
      <c r="L65" s="387"/>
      <c r="M65" s="387"/>
      <c r="N65" s="387"/>
      <c r="O65" s="387"/>
      <c r="P65" s="387"/>
      <c r="Q65" s="387"/>
      <c r="R65" s="387"/>
      <c r="S65" s="387"/>
      <c r="T65" s="387"/>
      <c r="U65" s="434"/>
    </row>
    <row r="66" spans="1:21" s="358" customFormat="1" ht="33.75" x14ac:dyDescent="0.25">
      <c r="A66" s="381">
        <v>30</v>
      </c>
      <c r="B66" s="382" t="s">
        <v>745</v>
      </c>
      <c r="C66" s="382" t="s">
        <v>746</v>
      </c>
      <c r="D66" s="418" t="e">
        <f>D64*3%</f>
        <v>#REF!</v>
      </c>
      <c r="E66" s="442"/>
      <c r="F66" s="418"/>
      <c r="G66" s="418" t="e">
        <f>G64*3%</f>
        <v>#REF!</v>
      </c>
      <c r="H66" s="419" t="e">
        <f>G66+F66+E66+D66</f>
        <v>#REF!</v>
      </c>
      <c r="I66" s="386"/>
      <c r="J66" s="387"/>
      <c r="K66" s="387"/>
      <c r="L66" s="387"/>
      <c r="M66" s="387"/>
      <c r="N66" s="387"/>
      <c r="O66" s="387"/>
      <c r="P66" s="387"/>
      <c r="Q66" s="387"/>
      <c r="R66" s="387"/>
      <c r="S66" s="387"/>
      <c r="T66" s="387"/>
      <c r="U66" s="434"/>
    </row>
    <row r="67" spans="1:21" s="358" customFormat="1" ht="15" x14ac:dyDescent="0.25">
      <c r="A67" s="388"/>
      <c r="B67" s="2614" t="s">
        <v>747</v>
      </c>
      <c r="C67" s="2615"/>
      <c r="D67" s="423" t="e">
        <f>D66</f>
        <v>#REF!</v>
      </c>
      <c r="E67" s="443"/>
      <c r="F67" s="391"/>
      <c r="G67" s="444" t="e">
        <f>G66</f>
        <v>#REF!</v>
      </c>
      <c r="H67" s="392" t="e">
        <f>H66</f>
        <v>#REF!</v>
      </c>
      <c r="I67" s="386"/>
      <c r="J67" s="387"/>
      <c r="K67" s="387"/>
      <c r="L67" s="387"/>
      <c r="M67" s="387"/>
      <c r="N67" s="387"/>
      <c r="O67" s="387"/>
      <c r="P67" s="387"/>
      <c r="Q67" s="387"/>
      <c r="R67" s="387"/>
      <c r="S67" s="387"/>
      <c r="T67" s="387"/>
      <c r="U67" s="434"/>
    </row>
    <row r="68" spans="1:21" s="358" customFormat="1" ht="15" x14ac:dyDescent="0.25">
      <c r="A68" s="388"/>
      <c r="B68" s="2622" t="s">
        <v>748</v>
      </c>
      <c r="C68" s="2623"/>
      <c r="D68" s="423" t="e">
        <f>D64+D67</f>
        <v>#REF!</v>
      </c>
      <c r="E68" s="423"/>
      <c r="F68" s="391"/>
      <c r="G68" s="423" t="e">
        <f>G64+G67</f>
        <v>#REF!</v>
      </c>
      <c r="H68" s="423" t="e">
        <f>H64+H67</f>
        <v>#REF!</v>
      </c>
      <c r="I68" s="386"/>
      <c r="J68" s="387"/>
      <c r="K68" s="387"/>
      <c r="L68" s="387"/>
      <c r="M68" s="387"/>
      <c r="N68" s="387"/>
      <c r="O68" s="387"/>
      <c r="P68" s="387"/>
      <c r="Q68" s="387"/>
      <c r="R68" s="387"/>
      <c r="S68" s="387"/>
      <c r="T68" s="387"/>
      <c r="U68" s="434"/>
    </row>
    <row r="69" spans="1:21" s="358" customFormat="1" ht="15" x14ac:dyDescent="0.25">
      <c r="A69" s="2610" t="s">
        <v>749</v>
      </c>
      <c r="B69" s="2611"/>
      <c r="C69" s="2611"/>
      <c r="D69" s="2611"/>
      <c r="E69" s="2611"/>
      <c r="F69" s="2611"/>
      <c r="G69" s="2611"/>
      <c r="H69" s="2612"/>
      <c r="I69" s="386"/>
      <c r="J69" s="387"/>
      <c r="K69" s="387"/>
      <c r="L69" s="387"/>
      <c r="M69" s="387"/>
      <c r="N69" s="387"/>
      <c r="O69" s="387"/>
      <c r="P69" s="387"/>
      <c r="Q69" s="387"/>
      <c r="R69" s="387"/>
      <c r="S69" s="387"/>
      <c r="T69" s="387"/>
      <c r="U69" s="434"/>
    </row>
    <row r="70" spans="1:21" s="358" customFormat="1" ht="15" x14ac:dyDescent="0.25">
      <c r="A70" s="381">
        <v>31</v>
      </c>
      <c r="B70" s="382" t="s">
        <v>750</v>
      </c>
      <c r="C70" s="382" t="s">
        <v>751</v>
      </c>
      <c r="D70" s="418" t="e">
        <f>D68*20%</f>
        <v>#REF!</v>
      </c>
      <c r="E70" s="418"/>
      <c r="F70" s="418"/>
      <c r="G70" s="418" t="e">
        <f>G68*20%</f>
        <v>#REF!</v>
      </c>
      <c r="H70" s="418" t="e">
        <f>H68*20%</f>
        <v>#REF!</v>
      </c>
      <c r="I70" s="386"/>
      <c r="J70" s="387"/>
      <c r="K70" s="387"/>
      <c r="L70" s="387"/>
      <c r="M70" s="387"/>
      <c r="N70" s="387"/>
      <c r="O70" s="387"/>
      <c r="P70" s="387"/>
      <c r="Q70" s="387"/>
      <c r="R70" s="387"/>
      <c r="S70" s="387"/>
      <c r="T70" s="387"/>
      <c r="U70" s="434"/>
    </row>
    <row r="71" spans="1:21" s="358" customFormat="1" ht="15" x14ac:dyDescent="0.25">
      <c r="A71" s="388"/>
      <c r="B71" s="2614" t="s">
        <v>752</v>
      </c>
      <c r="C71" s="2615"/>
      <c r="D71" s="423" t="e">
        <f>D70</f>
        <v>#REF!</v>
      </c>
      <c r="E71" s="423"/>
      <c r="F71" s="391"/>
      <c r="G71" s="391" t="e">
        <f>G70</f>
        <v>#REF!</v>
      </c>
      <c r="H71" s="392" t="e">
        <f>H70</f>
        <v>#REF!</v>
      </c>
      <c r="I71" s="386"/>
      <c r="J71" s="387"/>
      <c r="K71" s="387"/>
      <c r="L71" s="387"/>
      <c r="M71" s="387"/>
      <c r="N71" s="387"/>
      <c r="O71" s="387"/>
      <c r="P71" s="387"/>
      <c r="Q71" s="387"/>
      <c r="R71" s="387"/>
      <c r="S71" s="387"/>
      <c r="T71" s="387"/>
      <c r="U71" s="434"/>
    </row>
    <row r="72" spans="1:21" s="358" customFormat="1" ht="15.75" thickBot="1" x14ac:dyDescent="0.3">
      <c r="A72" s="445"/>
      <c r="B72" s="2625" t="s">
        <v>753</v>
      </c>
      <c r="C72" s="2626"/>
      <c r="D72" s="446" t="e">
        <f>D68+D71</f>
        <v>#REF!</v>
      </c>
      <c r="E72" s="446"/>
      <c r="F72" s="447"/>
      <c r="G72" s="446" t="e">
        <f>G68+G71</f>
        <v>#REF!</v>
      </c>
      <c r="H72" s="446" t="e">
        <f>H68+H71</f>
        <v>#REF!</v>
      </c>
      <c r="I72" s="386"/>
      <c r="J72" s="387"/>
      <c r="K72" s="387"/>
      <c r="L72" s="387"/>
      <c r="M72" s="387"/>
      <c r="N72" s="387"/>
      <c r="O72" s="387"/>
      <c r="P72" s="387"/>
      <c r="Q72" s="387"/>
      <c r="R72" s="387"/>
      <c r="S72" s="387"/>
      <c r="T72" s="387"/>
      <c r="U72" s="434"/>
    </row>
    <row r="74" spans="1:21" ht="35.25" customHeight="1" x14ac:dyDescent="0.2">
      <c r="A74" s="2627" t="s">
        <v>756</v>
      </c>
      <c r="B74" s="2627"/>
      <c r="C74" s="2627"/>
      <c r="D74" s="2627"/>
      <c r="E74" s="2627"/>
      <c r="F74" s="2627"/>
      <c r="G74" s="2627"/>
      <c r="H74" s="2627"/>
    </row>
    <row r="75" spans="1:21" ht="16.5" customHeight="1" x14ac:dyDescent="0.2">
      <c r="A75" s="449"/>
      <c r="B75" s="2624" t="s">
        <v>754</v>
      </c>
      <c r="C75" s="2624"/>
      <c r="D75" s="449"/>
      <c r="E75" s="449"/>
      <c r="F75" s="449"/>
      <c r="G75" s="450">
        <v>1.0529999999999999</v>
      </c>
      <c r="H75" s="451" t="e">
        <f>H72*G75</f>
        <v>#REF!</v>
      </c>
    </row>
    <row r="76" spans="1:21" ht="18.75" customHeight="1" x14ac:dyDescent="0.2">
      <c r="A76" s="449"/>
      <c r="B76" s="2624" t="s">
        <v>755</v>
      </c>
      <c r="C76" s="2624"/>
      <c r="D76" s="449"/>
      <c r="E76" s="449"/>
      <c r="F76" s="449"/>
      <c r="G76" s="450">
        <v>1.048</v>
      </c>
      <c r="H76" s="451" t="e">
        <f>H75*G76</f>
        <v>#REF!</v>
      </c>
    </row>
  </sheetData>
  <mergeCells count="55">
    <mergeCell ref="B76:C76"/>
    <mergeCell ref="B68:C68"/>
    <mergeCell ref="A69:H69"/>
    <mergeCell ref="B71:C71"/>
    <mergeCell ref="B72:C72"/>
    <mergeCell ref="A74:H74"/>
    <mergeCell ref="B75:C75"/>
    <mergeCell ref="B67:C67"/>
    <mergeCell ref="B45:C45"/>
    <mergeCell ref="B46:C46"/>
    <mergeCell ref="A47:H47"/>
    <mergeCell ref="B51:C51"/>
    <mergeCell ref="B52:C52"/>
    <mergeCell ref="A53:H53"/>
    <mergeCell ref="B55:C55"/>
    <mergeCell ref="A56:H56"/>
    <mergeCell ref="B63:C63"/>
    <mergeCell ref="B64:C64"/>
    <mergeCell ref="A65:H65"/>
    <mergeCell ref="A42:H42"/>
    <mergeCell ref="A25:H25"/>
    <mergeCell ref="B31:C31"/>
    <mergeCell ref="A32:H32"/>
    <mergeCell ref="B33:C33"/>
    <mergeCell ref="A34:H34"/>
    <mergeCell ref="B36:C36"/>
    <mergeCell ref="A37:H37"/>
    <mergeCell ref="B38:C38"/>
    <mergeCell ref="A39:H39"/>
    <mergeCell ref="B40:C40"/>
    <mergeCell ref="B41:C41"/>
    <mergeCell ref="A22:H22"/>
    <mergeCell ref="I22:U22"/>
    <mergeCell ref="B24:C24"/>
    <mergeCell ref="I24:K24"/>
    <mergeCell ref="L24:N24"/>
    <mergeCell ref="O24:Q24"/>
    <mergeCell ref="R24:U24"/>
    <mergeCell ref="B14:G14"/>
    <mergeCell ref="B16:H16"/>
    <mergeCell ref="A18:A20"/>
    <mergeCell ref="B18:B20"/>
    <mergeCell ref="C18:C20"/>
    <mergeCell ref="D18:H18"/>
    <mergeCell ref="D19:D20"/>
    <mergeCell ref="E19:E20"/>
    <mergeCell ref="F19:F20"/>
    <mergeCell ref="G19:G20"/>
    <mergeCell ref="H19:H20"/>
    <mergeCell ref="B13:G13"/>
    <mergeCell ref="C4:G4"/>
    <mergeCell ref="C5:G5"/>
    <mergeCell ref="C9:G9"/>
    <mergeCell ref="C10:G10"/>
    <mergeCell ref="B12:G12"/>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autoPageBreaks="0" fitToPage="1"/>
  </sheetPr>
  <dimension ref="A1:P3622"/>
  <sheetViews>
    <sheetView showGridLines="0" view="pageBreakPreview" topLeftCell="A101" zoomScale="91" zoomScaleNormal="100" zoomScaleSheetLayoutView="91" workbookViewId="0">
      <selection activeCell="I24" sqref="I24:K24"/>
    </sheetView>
  </sheetViews>
  <sheetFormatPr defaultRowHeight="12.75" outlineLevelRow="2" x14ac:dyDescent="0.2"/>
  <cols>
    <col min="1" max="1" width="4.7109375" style="605" customWidth="1"/>
    <col min="2" max="2" width="20.28515625" style="641" customWidth="1"/>
    <col min="3" max="3" width="37.140625" style="573" customWidth="1"/>
    <col min="4" max="4" width="17.140625" style="574" customWidth="1"/>
    <col min="5" max="5" width="11.7109375" style="575" customWidth="1"/>
    <col min="6" max="7" width="10.5703125" style="576" customWidth="1"/>
    <col min="8" max="8" width="11" style="576" customWidth="1"/>
    <col min="9" max="9" width="10.7109375" style="576" customWidth="1"/>
    <col min="10" max="10" width="8.28515625" style="576" customWidth="1"/>
    <col min="11" max="11" width="8.140625" style="576" customWidth="1"/>
    <col min="12" max="12" width="38.85546875" style="576" customWidth="1"/>
    <col min="13" max="14" width="7.140625" style="576" customWidth="1"/>
    <col min="15" max="16" width="6.28515625" style="576" customWidth="1"/>
    <col min="17" max="16384" width="9.140625" style="578"/>
  </cols>
  <sheetData>
    <row r="1" spans="1:16" ht="2.25" hidden="1" customHeight="1" outlineLevel="2" x14ac:dyDescent="0.2">
      <c r="A1" s="571" t="s">
        <v>1145</v>
      </c>
      <c r="B1" s="572"/>
      <c r="I1" s="577" t="s">
        <v>1146</v>
      </c>
    </row>
    <row r="2" spans="1:16" hidden="1" outlineLevel="1" x14ac:dyDescent="0.2">
      <c r="A2" s="579"/>
      <c r="B2" s="572"/>
      <c r="I2" s="580"/>
    </row>
    <row r="3" spans="1:16" hidden="1" outlineLevel="1" x14ac:dyDescent="0.2">
      <c r="A3" s="579"/>
      <c r="B3" s="572"/>
      <c r="I3" s="580"/>
    </row>
    <row r="4" spans="1:16" hidden="1" outlineLevel="1" x14ac:dyDescent="0.2">
      <c r="A4" s="579" t="s">
        <v>1147</v>
      </c>
      <c r="B4" s="572"/>
      <c r="I4" s="580" t="s">
        <v>1148</v>
      </c>
    </row>
    <row r="5" spans="1:16" hidden="1" outlineLevel="1" x14ac:dyDescent="0.2">
      <c r="A5" s="581" t="s">
        <v>1149</v>
      </c>
      <c r="B5" s="572"/>
      <c r="I5" s="582" t="s">
        <v>1150</v>
      </c>
    </row>
    <row r="6" spans="1:16" ht="18" customHeight="1" collapsed="1" x14ac:dyDescent="0.2">
      <c r="A6" s="2634" t="s">
        <v>1151</v>
      </c>
      <c r="B6" s="2634"/>
      <c r="C6" s="2634"/>
      <c r="D6" s="2634"/>
      <c r="E6" s="2634"/>
      <c r="F6" s="2634"/>
      <c r="G6" s="2634"/>
      <c r="H6" s="2634"/>
      <c r="I6" s="2634"/>
      <c r="J6" s="2634"/>
      <c r="K6" s="2634"/>
      <c r="N6" s="578"/>
      <c r="O6" s="578"/>
      <c r="P6" s="578"/>
    </row>
    <row r="7" spans="1:16" x14ac:dyDescent="0.2">
      <c r="A7" s="583"/>
      <c r="B7" s="584"/>
      <c r="C7" s="585"/>
      <c r="D7" s="586" t="s">
        <v>675</v>
      </c>
      <c r="E7" s="587"/>
      <c r="F7" s="588"/>
      <c r="G7" s="585"/>
      <c r="N7" s="578"/>
      <c r="O7" s="578"/>
      <c r="P7" s="578"/>
    </row>
    <row r="8" spans="1:16" x14ac:dyDescent="0.2">
      <c r="A8" s="583"/>
      <c r="B8" s="589"/>
      <c r="C8" s="576"/>
      <c r="D8" s="576"/>
      <c r="E8" s="576"/>
      <c r="O8" s="578"/>
      <c r="P8" s="578"/>
    </row>
    <row r="9" spans="1:16" ht="15.75" x14ac:dyDescent="0.2">
      <c r="A9" s="583"/>
      <c r="B9" s="589"/>
      <c r="C9" s="576"/>
      <c r="D9" s="590" t="s">
        <v>1152</v>
      </c>
      <c r="F9" s="591"/>
      <c r="G9" s="591"/>
      <c r="O9" s="578"/>
      <c r="P9" s="578"/>
    </row>
    <row r="10" spans="1:16" x14ac:dyDescent="0.2">
      <c r="A10" s="583"/>
      <c r="B10" s="589"/>
      <c r="C10" s="576"/>
      <c r="D10" s="592" t="s">
        <v>1153</v>
      </c>
      <c r="F10" s="593"/>
      <c r="G10" s="593"/>
      <c r="O10" s="578"/>
      <c r="P10" s="578"/>
    </row>
    <row r="11" spans="1:16" x14ac:dyDescent="0.2">
      <c r="A11" s="583"/>
      <c r="B11" s="589"/>
      <c r="C11" s="576"/>
      <c r="D11" s="576"/>
      <c r="E11" s="576"/>
      <c r="O11" s="578"/>
      <c r="P11" s="578"/>
    </row>
    <row r="12" spans="1:16" ht="14.25" x14ac:dyDescent="0.2">
      <c r="A12" s="594" t="s">
        <v>1154</v>
      </c>
      <c r="B12" s="595" t="s">
        <v>1155</v>
      </c>
      <c r="C12" s="596"/>
      <c r="D12" s="597"/>
      <c r="E12" s="598"/>
      <c r="F12" s="596"/>
      <c r="G12" s="596"/>
      <c r="N12" s="578"/>
      <c r="O12" s="578"/>
      <c r="P12" s="578"/>
    </row>
    <row r="13" spans="1:16" x14ac:dyDescent="0.2">
      <c r="A13" s="583"/>
      <c r="B13" s="599"/>
      <c r="C13" s="600"/>
      <c r="D13" s="601" t="s">
        <v>184</v>
      </c>
      <c r="F13" s="602"/>
      <c r="G13" s="602"/>
      <c r="H13" s="600"/>
      <c r="I13" s="585"/>
      <c r="O13" s="578"/>
      <c r="P13" s="578"/>
    </row>
    <row r="14" spans="1:16" x14ac:dyDescent="0.2">
      <c r="A14" s="603"/>
      <c r="B14" s="604"/>
      <c r="C14" s="576"/>
      <c r="D14" s="576"/>
      <c r="E14" s="576"/>
      <c r="N14" s="578"/>
      <c r="O14" s="578"/>
      <c r="P14" s="578"/>
    </row>
    <row r="15" spans="1:16" ht="14.25" x14ac:dyDescent="0.2">
      <c r="B15" s="595" t="s">
        <v>1156</v>
      </c>
      <c r="C15" s="606"/>
      <c r="D15" s="585"/>
      <c r="E15" s="585"/>
      <c r="F15" s="607"/>
      <c r="G15" s="608"/>
      <c r="H15" s="609"/>
      <c r="O15" s="596"/>
      <c r="P15" s="578"/>
    </row>
    <row r="16" spans="1:16" s="612" customFormat="1" ht="14.25" x14ac:dyDescent="0.2">
      <c r="A16" s="610"/>
      <c r="B16" s="595" t="s">
        <v>1157</v>
      </c>
      <c r="C16" s="611"/>
      <c r="D16" s="2632" t="s">
        <v>1158</v>
      </c>
      <c r="E16" s="2633"/>
      <c r="F16" s="608" t="s">
        <v>672</v>
      </c>
      <c r="G16" s="608"/>
      <c r="H16" s="609"/>
      <c r="I16" s="596"/>
      <c r="J16" s="596"/>
      <c r="K16" s="596"/>
      <c r="L16" s="596"/>
      <c r="M16" s="596"/>
      <c r="N16" s="596"/>
    </row>
    <row r="17" spans="1:16" s="612" customFormat="1" ht="14.25" outlineLevel="1" x14ac:dyDescent="0.2">
      <c r="A17" s="610"/>
      <c r="B17" s="595" t="s">
        <v>1159</v>
      </c>
      <c r="C17" s="611"/>
      <c r="D17" s="2632" t="s">
        <v>1160</v>
      </c>
      <c r="E17" s="2633"/>
      <c r="F17" s="608" t="s">
        <v>672</v>
      </c>
      <c r="G17" s="608"/>
      <c r="H17" s="609"/>
      <c r="I17" s="596"/>
      <c r="J17" s="596"/>
      <c r="K17" s="596"/>
      <c r="L17" s="596"/>
      <c r="M17" s="596"/>
      <c r="N17" s="596"/>
    </row>
    <row r="18" spans="1:16" s="612" customFormat="1" ht="14.25" outlineLevel="1" x14ac:dyDescent="0.2">
      <c r="A18" s="610"/>
      <c r="B18" s="595" t="s">
        <v>1161</v>
      </c>
      <c r="C18" s="611"/>
      <c r="D18" s="2632" t="s">
        <v>1162</v>
      </c>
      <c r="E18" s="2633"/>
      <c r="F18" s="608" t="s">
        <v>672</v>
      </c>
      <c r="G18" s="608"/>
      <c r="H18" s="609"/>
      <c r="I18" s="596"/>
      <c r="J18" s="596"/>
      <c r="K18" s="596"/>
      <c r="L18" s="596"/>
      <c r="M18" s="596"/>
      <c r="N18" s="596"/>
    </row>
    <row r="19" spans="1:16" s="612" customFormat="1" ht="14.25" x14ac:dyDescent="0.2">
      <c r="A19" s="610"/>
      <c r="B19" s="595" t="s">
        <v>1163</v>
      </c>
      <c r="C19" s="611"/>
      <c r="D19" s="2632" t="s">
        <v>1164</v>
      </c>
      <c r="E19" s="2633"/>
      <c r="F19" s="608" t="s">
        <v>672</v>
      </c>
      <c r="G19" s="608"/>
      <c r="H19" s="609"/>
      <c r="I19" s="596"/>
      <c r="J19" s="596"/>
      <c r="K19" s="596"/>
      <c r="L19" s="596"/>
      <c r="M19" s="596"/>
      <c r="N19" s="596"/>
    </row>
    <row r="20" spans="1:16" s="612" customFormat="1" ht="14.25" outlineLevel="1" x14ac:dyDescent="0.2">
      <c r="A20" s="610"/>
      <c r="B20" s="595" t="s">
        <v>1165</v>
      </c>
      <c r="C20" s="611"/>
      <c r="D20" s="2632" t="s">
        <v>1166</v>
      </c>
      <c r="E20" s="2633"/>
      <c r="F20" s="608" t="s">
        <v>1167</v>
      </c>
      <c r="G20" s="608"/>
      <c r="H20" s="609"/>
      <c r="I20" s="596"/>
      <c r="J20" s="596"/>
      <c r="K20" s="596"/>
      <c r="L20" s="596"/>
      <c r="M20" s="596"/>
      <c r="N20" s="596"/>
    </row>
    <row r="21" spans="1:16" ht="14.25" x14ac:dyDescent="0.2">
      <c r="B21" s="613" t="s">
        <v>1168</v>
      </c>
      <c r="D21" s="576"/>
      <c r="E21" s="576"/>
      <c r="O21" s="578"/>
      <c r="P21" s="578"/>
    </row>
    <row r="22" spans="1:16" x14ac:dyDescent="0.2">
      <c r="B22" s="614"/>
      <c r="C22" s="574"/>
      <c r="D22" s="593"/>
      <c r="E22" s="576"/>
      <c r="P22" s="578"/>
    </row>
    <row r="23" spans="1:16" x14ac:dyDescent="0.2">
      <c r="B23" s="572"/>
      <c r="E23" s="576"/>
    </row>
    <row r="24" spans="1:16" s="616" customFormat="1" ht="48" customHeight="1" x14ac:dyDescent="0.2">
      <c r="A24" s="2635" t="s">
        <v>512</v>
      </c>
      <c r="B24" s="2636" t="s">
        <v>1169</v>
      </c>
      <c r="C24" s="2637" t="s">
        <v>1170</v>
      </c>
      <c r="D24" s="2637" t="s">
        <v>790</v>
      </c>
      <c r="E24" s="2637" t="s">
        <v>1171</v>
      </c>
      <c r="F24" s="2637"/>
      <c r="G24" s="2637" t="s">
        <v>1172</v>
      </c>
      <c r="H24" s="2637"/>
      <c r="I24" s="2637"/>
      <c r="J24" s="2637" t="s">
        <v>1173</v>
      </c>
      <c r="K24" s="2637"/>
      <c r="L24" s="615"/>
      <c r="M24" s="615"/>
      <c r="N24" s="615"/>
      <c r="O24" s="615"/>
      <c r="P24" s="615"/>
    </row>
    <row r="25" spans="1:16" s="616" customFormat="1" ht="24" x14ac:dyDescent="0.2">
      <c r="A25" s="2635"/>
      <c r="B25" s="2636"/>
      <c r="C25" s="2637"/>
      <c r="D25" s="2637"/>
      <c r="E25" s="617" t="s">
        <v>683</v>
      </c>
      <c r="F25" s="617" t="s">
        <v>1174</v>
      </c>
      <c r="G25" s="2637" t="s">
        <v>631</v>
      </c>
      <c r="H25" s="2637" t="s">
        <v>1175</v>
      </c>
      <c r="I25" s="617" t="s">
        <v>1176</v>
      </c>
      <c r="J25" s="2637"/>
      <c r="K25" s="2637"/>
      <c r="L25" s="615"/>
      <c r="M25" s="615"/>
      <c r="N25" s="615"/>
      <c r="O25" s="615"/>
      <c r="P25" s="615"/>
    </row>
    <row r="26" spans="1:16" s="616" customFormat="1" ht="36" x14ac:dyDescent="0.2">
      <c r="A26" s="2635"/>
      <c r="B26" s="2636"/>
      <c r="C26" s="2637"/>
      <c r="D26" s="2637"/>
      <c r="E26" s="617" t="s">
        <v>1175</v>
      </c>
      <c r="F26" s="617" t="s">
        <v>1177</v>
      </c>
      <c r="G26" s="2637"/>
      <c r="H26" s="2637"/>
      <c r="I26" s="617" t="s">
        <v>1177</v>
      </c>
      <c r="J26" s="617" t="s">
        <v>1178</v>
      </c>
      <c r="K26" s="617" t="s">
        <v>683</v>
      </c>
      <c r="L26" s="615"/>
      <c r="M26" s="615"/>
      <c r="N26" s="615"/>
      <c r="O26" s="615"/>
      <c r="P26" s="615"/>
    </row>
    <row r="27" spans="1:16" x14ac:dyDescent="0.2">
      <c r="A27" s="618">
        <v>1</v>
      </c>
      <c r="B27" s="619">
        <v>2</v>
      </c>
      <c r="C27" s="617">
        <v>3</v>
      </c>
      <c r="D27" s="617">
        <v>4</v>
      </c>
      <c r="E27" s="617">
        <v>5</v>
      </c>
      <c r="F27" s="620">
        <v>6</v>
      </c>
      <c r="G27" s="620">
        <v>7</v>
      </c>
      <c r="H27" s="620">
        <v>8</v>
      </c>
      <c r="I27" s="620">
        <v>9</v>
      </c>
      <c r="J27" s="620">
        <v>10</v>
      </c>
      <c r="K27" s="620">
        <v>11</v>
      </c>
      <c r="L27" s="578"/>
      <c r="M27" s="578"/>
      <c r="N27" s="578"/>
      <c r="O27" s="578"/>
      <c r="P27" s="578"/>
    </row>
    <row r="28" spans="1:16" ht="19.149999999999999" customHeight="1" thickBot="1" x14ac:dyDescent="0.25">
      <c r="A28" s="2638" t="s">
        <v>1179</v>
      </c>
      <c r="B28" s="2639"/>
      <c r="C28" s="2639"/>
      <c r="D28" s="2639"/>
      <c r="E28" s="2639"/>
      <c r="F28" s="2639"/>
      <c r="G28" s="2639"/>
      <c r="H28" s="2639"/>
      <c r="I28" s="2639"/>
      <c r="J28" s="2639"/>
      <c r="K28" s="2639"/>
    </row>
    <row r="29" spans="1:16" ht="19.149999999999999" customHeight="1" x14ac:dyDescent="0.2">
      <c r="A29" s="2640" t="s">
        <v>1180</v>
      </c>
      <c r="B29" s="2641"/>
      <c r="C29" s="2641"/>
      <c r="D29" s="2641"/>
      <c r="E29" s="2641"/>
      <c r="F29" s="2641"/>
      <c r="G29" s="2641"/>
      <c r="H29" s="2641"/>
      <c r="I29" s="2641"/>
      <c r="J29" s="2641"/>
      <c r="K29" s="2642"/>
    </row>
    <row r="30" spans="1:16" ht="19.149999999999999" customHeight="1" x14ac:dyDescent="0.2">
      <c r="A30" s="810"/>
      <c r="B30" s="2628" t="s">
        <v>1181</v>
      </c>
      <c r="C30" s="2629"/>
      <c r="D30" s="2629"/>
      <c r="E30" s="2629"/>
      <c r="F30" s="2629"/>
      <c r="G30" s="2629"/>
      <c r="H30" s="2629"/>
      <c r="I30" s="2629"/>
      <c r="J30" s="2629"/>
      <c r="K30" s="2630"/>
    </row>
    <row r="31" spans="1:16" ht="87" x14ac:dyDescent="0.2">
      <c r="A31" s="811" t="s">
        <v>190</v>
      </c>
      <c r="B31" s="623" t="s">
        <v>1182</v>
      </c>
      <c r="C31" s="624" t="s">
        <v>1183</v>
      </c>
      <c r="D31" s="625" t="s">
        <v>1184</v>
      </c>
      <c r="E31" s="626" t="s">
        <v>1185</v>
      </c>
      <c r="F31" s="626" t="s">
        <v>1186</v>
      </c>
      <c r="G31" s="627">
        <v>1525</v>
      </c>
      <c r="H31" s="627">
        <v>505</v>
      </c>
      <c r="I31" s="626" t="s">
        <v>1187</v>
      </c>
      <c r="J31" s="627">
        <v>1038.78</v>
      </c>
      <c r="K31" s="812">
        <v>61.81</v>
      </c>
    </row>
    <row r="32" spans="1:16" ht="99" x14ac:dyDescent="0.2">
      <c r="A32" s="811" t="s">
        <v>639</v>
      </c>
      <c r="B32" s="623" t="s">
        <v>1188</v>
      </c>
      <c r="C32" s="624" t="s">
        <v>1189</v>
      </c>
      <c r="D32" s="625" t="s">
        <v>1190</v>
      </c>
      <c r="E32" s="626" t="s">
        <v>1191</v>
      </c>
      <c r="F32" s="626" t="s">
        <v>1192</v>
      </c>
      <c r="G32" s="627">
        <v>809</v>
      </c>
      <c r="H32" s="627">
        <v>440</v>
      </c>
      <c r="I32" s="626" t="s">
        <v>1193</v>
      </c>
      <c r="J32" s="627">
        <v>1178.82</v>
      </c>
      <c r="K32" s="812">
        <v>51.57</v>
      </c>
    </row>
    <row r="33" spans="1:12" ht="31.5" x14ac:dyDescent="0.2">
      <c r="A33" s="811" t="s">
        <v>640</v>
      </c>
      <c r="B33" s="623" t="s">
        <v>1194</v>
      </c>
      <c r="C33" s="624" t="s">
        <v>1195</v>
      </c>
      <c r="D33" s="625" t="s">
        <v>1196</v>
      </c>
      <c r="E33" s="626">
        <v>725.69</v>
      </c>
      <c r="F33" s="626"/>
      <c r="G33" s="627">
        <v>3223</v>
      </c>
      <c r="H33" s="626"/>
      <c r="I33" s="626"/>
      <c r="J33" s="626"/>
      <c r="K33" s="813"/>
    </row>
    <row r="34" spans="1:12" ht="36" x14ac:dyDescent="0.2">
      <c r="A34" s="811" t="s">
        <v>232</v>
      </c>
      <c r="B34" s="623" t="s">
        <v>1197</v>
      </c>
      <c r="C34" s="624" t="s">
        <v>1198</v>
      </c>
      <c r="D34" s="628">
        <v>4.375</v>
      </c>
      <c r="E34" s="626" t="s">
        <v>1199</v>
      </c>
      <c r="F34" s="626"/>
      <c r="G34" s="627">
        <v>141</v>
      </c>
      <c r="H34" s="626"/>
      <c r="I34" s="626"/>
      <c r="J34" s="626"/>
      <c r="K34" s="813"/>
    </row>
    <row r="35" spans="1:12" ht="36" x14ac:dyDescent="0.2">
      <c r="A35" s="811" t="s">
        <v>233</v>
      </c>
      <c r="B35" s="623" t="s">
        <v>1200</v>
      </c>
      <c r="C35" s="624" t="s">
        <v>1201</v>
      </c>
      <c r="D35" s="628">
        <v>0.875</v>
      </c>
      <c r="E35" s="626">
        <v>5584.58</v>
      </c>
      <c r="F35" s="626"/>
      <c r="G35" s="627">
        <v>4887</v>
      </c>
      <c r="H35" s="626"/>
      <c r="I35" s="626"/>
      <c r="J35" s="626"/>
      <c r="K35" s="813"/>
    </row>
    <row r="36" spans="1:12" ht="19.149999999999999" customHeight="1" x14ac:dyDescent="0.2">
      <c r="A36" s="810"/>
      <c r="B36" s="2628" t="s">
        <v>1202</v>
      </c>
      <c r="C36" s="2629"/>
      <c r="D36" s="2629"/>
      <c r="E36" s="2629"/>
      <c r="F36" s="2629"/>
      <c r="G36" s="2629"/>
      <c r="H36" s="2629"/>
      <c r="I36" s="2629"/>
      <c r="J36" s="2629"/>
      <c r="K36" s="2630"/>
    </row>
    <row r="37" spans="1:12" ht="94.5" x14ac:dyDescent="0.2">
      <c r="A37" s="811" t="s">
        <v>238</v>
      </c>
      <c r="B37" s="623" t="s">
        <v>1203</v>
      </c>
      <c r="C37" s="624" t="s">
        <v>1204</v>
      </c>
      <c r="D37" s="625" t="s">
        <v>1205</v>
      </c>
      <c r="E37" s="626" t="s">
        <v>1206</v>
      </c>
      <c r="F37" s="626" t="s">
        <v>1207</v>
      </c>
      <c r="G37" s="627">
        <v>1132</v>
      </c>
      <c r="H37" s="627">
        <v>443</v>
      </c>
      <c r="I37" s="626" t="s">
        <v>1208</v>
      </c>
      <c r="J37" s="627">
        <v>31.1355</v>
      </c>
      <c r="K37" s="812">
        <v>42.84</v>
      </c>
    </row>
    <row r="38" spans="1:12" ht="94.5" x14ac:dyDescent="0.2">
      <c r="A38" s="811" t="s">
        <v>641</v>
      </c>
      <c r="B38" s="623" t="s">
        <v>1203</v>
      </c>
      <c r="C38" s="624" t="s">
        <v>1209</v>
      </c>
      <c r="D38" s="625" t="s">
        <v>1210</v>
      </c>
      <c r="E38" s="626" t="s">
        <v>1206</v>
      </c>
      <c r="F38" s="626" t="s">
        <v>1207</v>
      </c>
      <c r="G38" s="627">
        <v>2666</v>
      </c>
      <c r="H38" s="627">
        <v>1044</v>
      </c>
      <c r="I38" s="626" t="s">
        <v>1211</v>
      </c>
      <c r="J38" s="627">
        <v>31.1355</v>
      </c>
      <c r="K38" s="812">
        <v>100.88</v>
      </c>
    </row>
    <row r="39" spans="1:12" ht="94.5" x14ac:dyDescent="0.2">
      <c r="A39" s="811" t="s">
        <v>650</v>
      </c>
      <c r="B39" s="623" t="s">
        <v>1212</v>
      </c>
      <c r="C39" s="624" t="s">
        <v>1213</v>
      </c>
      <c r="D39" s="625" t="s">
        <v>1214</v>
      </c>
      <c r="E39" s="626" t="s">
        <v>1215</v>
      </c>
      <c r="F39" s="626" t="s">
        <v>1216</v>
      </c>
      <c r="G39" s="627">
        <v>1051</v>
      </c>
      <c r="H39" s="627">
        <v>172</v>
      </c>
      <c r="I39" s="626" t="s">
        <v>1217</v>
      </c>
      <c r="J39" s="627">
        <v>37.884</v>
      </c>
      <c r="K39" s="812">
        <v>17.899999999999999</v>
      </c>
    </row>
    <row r="40" spans="1:12" ht="99" x14ac:dyDescent="0.2">
      <c r="A40" s="811" t="s">
        <v>651</v>
      </c>
      <c r="B40" s="623" t="s">
        <v>1218</v>
      </c>
      <c r="C40" s="624" t="s">
        <v>1219</v>
      </c>
      <c r="D40" s="625" t="s">
        <v>1220</v>
      </c>
      <c r="E40" s="626" t="s">
        <v>1221</v>
      </c>
      <c r="F40" s="626" t="s">
        <v>1222</v>
      </c>
      <c r="G40" s="627">
        <v>969</v>
      </c>
      <c r="H40" s="627">
        <v>214</v>
      </c>
      <c r="I40" s="626" t="s">
        <v>1223</v>
      </c>
      <c r="J40" s="627">
        <v>1.635</v>
      </c>
      <c r="K40" s="812">
        <v>26.16</v>
      </c>
    </row>
    <row r="41" spans="1:12" ht="99" x14ac:dyDescent="0.2">
      <c r="A41" s="811" t="s">
        <v>652</v>
      </c>
      <c r="B41" s="623" t="s">
        <v>1224</v>
      </c>
      <c r="C41" s="624" t="s">
        <v>1225</v>
      </c>
      <c r="D41" s="625" t="s">
        <v>1226</v>
      </c>
      <c r="E41" s="626" t="s">
        <v>1227</v>
      </c>
      <c r="F41" s="626"/>
      <c r="G41" s="627">
        <v>624</v>
      </c>
      <c r="H41" s="627">
        <v>616</v>
      </c>
      <c r="I41" s="626"/>
      <c r="J41" s="627">
        <v>1.395</v>
      </c>
      <c r="K41" s="812">
        <v>75.33</v>
      </c>
    </row>
    <row r="42" spans="1:12" ht="99" x14ac:dyDescent="0.2">
      <c r="A42" s="811" t="s">
        <v>653</v>
      </c>
      <c r="B42" s="623" t="s">
        <v>1218</v>
      </c>
      <c r="C42" s="624" t="s">
        <v>1228</v>
      </c>
      <c r="D42" s="628">
        <v>8</v>
      </c>
      <c r="E42" s="626" t="s">
        <v>1221</v>
      </c>
      <c r="F42" s="626" t="s">
        <v>1222</v>
      </c>
      <c r="G42" s="627">
        <v>485</v>
      </c>
      <c r="H42" s="627">
        <v>107</v>
      </c>
      <c r="I42" s="626" t="s">
        <v>1229</v>
      </c>
      <c r="J42" s="627">
        <v>1.635</v>
      </c>
      <c r="K42" s="812">
        <v>13.08</v>
      </c>
    </row>
    <row r="43" spans="1:12" ht="99" x14ac:dyDescent="0.2">
      <c r="A43" s="811" t="s">
        <v>654</v>
      </c>
      <c r="B43" s="623" t="s">
        <v>1218</v>
      </c>
      <c r="C43" s="624" t="s">
        <v>1230</v>
      </c>
      <c r="D43" s="628">
        <v>27</v>
      </c>
      <c r="E43" s="626" t="s">
        <v>1221</v>
      </c>
      <c r="F43" s="626" t="s">
        <v>1222</v>
      </c>
      <c r="G43" s="627">
        <v>1636</v>
      </c>
      <c r="H43" s="627">
        <v>361</v>
      </c>
      <c r="I43" s="626" t="s">
        <v>1231</v>
      </c>
      <c r="J43" s="627">
        <v>1.635</v>
      </c>
      <c r="K43" s="812">
        <v>44.15</v>
      </c>
    </row>
    <row r="44" spans="1:12" ht="84.75" x14ac:dyDescent="0.2">
      <c r="A44" s="811" t="s">
        <v>655</v>
      </c>
      <c r="B44" s="623" t="s">
        <v>1232</v>
      </c>
      <c r="C44" s="624" t="s">
        <v>1233</v>
      </c>
      <c r="D44" s="625" t="s">
        <v>1234</v>
      </c>
      <c r="E44" s="626" t="s">
        <v>1235</v>
      </c>
      <c r="F44" s="626"/>
      <c r="G44" s="627">
        <v>12461</v>
      </c>
      <c r="H44" s="627">
        <v>11902</v>
      </c>
      <c r="I44" s="626"/>
      <c r="J44" s="627">
        <v>2.61</v>
      </c>
      <c r="K44" s="812">
        <v>1237.1400000000001</v>
      </c>
    </row>
    <row r="45" spans="1:12" ht="33.75" x14ac:dyDescent="0.2">
      <c r="A45" s="814" t="s">
        <v>656</v>
      </c>
      <c r="B45" s="630" t="s">
        <v>1236</v>
      </c>
      <c r="C45" s="631" t="s">
        <v>1237</v>
      </c>
      <c r="D45" s="632">
        <v>128.5</v>
      </c>
      <c r="E45" s="633" t="s">
        <v>1238</v>
      </c>
      <c r="F45" s="633"/>
      <c r="G45" s="634">
        <v>2748594</v>
      </c>
      <c r="H45" s="633"/>
      <c r="I45" s="633"/>
      <c r="J45" s="633"/>
      <c r="K45" s="815"/>
      <c r="L45" s="635" t="s">
        <v>1239</v>
      </c>
    </row>
    <row r="46" spans="1:12" ht="19.149999999999999" customHeight="1" x14ac:dyDescent="0.2">
      <c r="A46" s="2631" t="s">
        <v>1240</v>
      </c>
      <c r="B46" s="2629"/>
      <c r="C46" s="2629"/>
      <c r="D46" s="2629"/>
      <c r="E46" s="2629"/>
      <c r="F46" s="2629"/>
      <c r="G46" s="2629"/>
      <c r="H46" s="2629"/>
      <c r="I46" s="2629"/>
      <c r="J46" s="2629"/>
      <c r="K46" s="2630"/>
    </row>
    <row r="47" spans="1:12" ht="196.5" x14ac:dyDescent="0.2">
      <c r="A47" s="811" t="s">
        <v>657</v>
      </c>
      <c r="B47" s="623" t="s">
        <v>1241</v>
      </c>
      <c r="C47" s="624" t="s">
        <v>1242</v>
      </c>
      <c r="D47" s="625" t="s">
        <v>1243</v>
      </c>
      <c r="E47" s="626" t="s">
        <v>1244</v>
      </c>
      <c r="F47" s="626" t="s">
        <v>1245</v>
      </c>
      <c r="G47" s="627">
        <v>674421</v>
      </c>
      <c r="H47" s="627">
        <v>52743</v>
      </c>
      <c r="I47" s="626" t="s">
        <v>1246</v>
      </c>
      <c r="J47" s="627">
        <v>1039.7328</v>
      </c>
      <c r="K47" s="812">
        <v>5482.62</v>
      </c>
    </row>
    <row r="48" spans="1:12" ht="196.5" x14ac:dyDescent="0.2">
      <c r="A48" s="811" t="s">
        <v>658</v>
      </c>
      <c r="B48" s="623" t="s">
        <v>1247</v>
      </c>
      <c r="C48" s="624" t="s">
        <v>1248</v>
      </c>
      <c r="D48" s="625" t="s">
        <v>1249</v>
      </c>
      <c r="E48" s="626" t="s">
        <v>1250</v>
      </c>
      <c r="F48" s="626" t="s">
        <v>1251</v>
      </c>
      <c r="G48" s="627">
        <v>154069</v>
      </c>
      <c r="H48" s="627">
        <v>11765</v>
      </c>
      <c r="I48" s="626" t="s">
        <v>1252</v>
      </c>
      <c r="J48" s="627">
        <v>3081.2808</v>
      </c>
      <c r="K48" s="812">
        <v>1222.96</v>
      </c>
    </row>
    <row r="49" spans="1:12" ht="36" x14ac:dyDescent="0.2">
      <c r="A49" s="811" t="s">
        <v>659</v>
      </c>
      <c r="B49" s="623" t="s">
        <v>1253</v>
      </c>
      <c r="C49" s="624" t="s">
        <v>1254</v>
      </c>
      <c r="D49" s="625" t="s">
        <v>1255</v>
      </c>
      <c r="E49" s="626">
        <v>480</v>
      </c>
      <c r="F49" s="626"/>
      <c r="G49" s="627">
        <v>8165</v>
      </c>
      <c r="H49" s="626"/>
      <c r="I49" s="626"/>
      <c r="J49" s="626"/>
      <c r="K49" s="813"/>
    </row>
    <row r="50" spans="1:12" ht="31.5" x14ac:dyDescent="0.2">
      <c r="A50" s="811" t="s">
        <v>660</v>
      </c>
      <c r="B50" s="623" t="s">
        <v>1256</v>
      </c>
      <c r="C50" s="624" t="s">
        <v>1257</v>
      </c>
      <c r="D50" s="625" t="s">
        <v>1258</v>
      </c>
      <c r="E50" s="626">
        <v>2.44</v>
      </c>
      <c r="F50" s="626"/>
      <c r="G50" s="627">
        <v>29</v>
      </c>
      <c r="H50" s="626"/>
      <c r="I50" s="626"/>
      <c r="J50" s="626"/>
      <c r="K50" s="813"/>
    </row>
    <row r="51" spans="1:12" ht="96.75" x14ac:dyDescent="0.2">
      <c r="A51" s="811" t="s">
        <v>915</v>
      </c>
      <c r="B51" s="623" t="s">
        <v>1259</v>
      </c>
      <c r="C51" s="624" t="s">
        <v>1260</v>
      </c>
      <c r="D51" s="625" t="s">
        <v>1261</v>
      </c>
      <c r="E51" s="626" t="s">
        <v>1262</v>
      </c>
      <c r="F51" s="626" t="s">
        <v>1263</v>
      </c>
      <c r="G51" s="627">
        <v>63467</v>
      </c>
      <c r="H51" s="627">
        <v>8512</v>
      </c>
      <c r="I51" s="626" t="s">
        <v>1264</v>
      </c>
      <c r="J51" s="627">
        <v>156.04499999999999</v>
      </c>
      <c r="K51" s="812">
        <v>884.78</v>
      </c>
    </row>
    <row r="52" spans="1:12" ht="36" x14ac:dyDescent="0.2">
      <c r="A52" s="811" t="s">
        <v>916</v>
      </c>
      <c r="B52" s="623" t="s">
        <v>1253</v>
      </c>
      <c r="C52" s="624" t="s">
        <v>1254</v>
      </c>
      <c r="D52" s="625" t="s">
        <v>1265</v>
      </c>
      <c r="E52" s="626">
        <v>480</v>
      </c>
      <c r="F52" s="626"/>
      <c r="G52" s="627">
        <v>13608</v>
      </c>
      <c r="H52" s="626"/>
      <c r="I52" s="626"/>
      <c r="J52" s="626"/>
      <c r="K52" s="813"/>
    </row>
    <row r="53" spans="1:12" ht="31.5" x14ac:dyDescent="0.2">
      <c r="A53" s="811" t="s">
        <v>917</v>
      </c>
      <c r="B53" s="623" t="s">
        <v>1256</v>
      </c>
      <c r="C53" s="624" t="s">
        <v>1257</v>
      </c>
      <c r="D53" s="625" t="s">
        <v>1266</v>
      </c>
      <c r="E53" s="626">
        <v>2.44</v>
      </c>
      <c r="F53" s="626"/>
      <c r="G53" s="627">
        <v>28</v>
      </c>
      <c r="H53" s="626"/>
      <c r="I53" s="626"/>
      <c r="J53" s="626"/>
      <c r="K53" s="813"/>
    </row>
    <row r="54" spans="1:12" ht="36" x14ac:dyDescent="0.2">
      <c r="A54" s="814" t="s">
        <v>918</v>
      </c>
      <c r="B54" s="630" t="s">
        <v>1267</v>
      </c>
      <c r="C54" s="631" t="s">
        <v>1268</v>
      </c>
      <c r="D54" s="636" t="s">
        <v>1269</v>
      </c>
      <c r="E54" s="633" t="s">
        <v>1270</v>
      </c>
      <c r="F54" s="633"/>
      <c r="G54" s="634">
        <v>64608</v>
      </c>
      <c r="H54" s="633"/>
      <c r="I54" s="633"/>
      <c r="J54" s="633"/>
      <c r="K54" s="815"/>
      <c r="L54" s="637" t="s">
        <v>1271</v>
      </c>
    </row>
    <row r="55" spans="1:12" ht="36" x14ac:dyDescent="0.2">
      <c r="A55" s="814" t="s">
        <v>919</v>
      </c>
      <c r="B55" s="630" t="s">
        <v>1272</v>
      </c>
      <c r="C55" s="631" t="s">
        <v>1273</v>
      </c>
      <c r="D55" s="636" t="s">
        <v>1274</v>
      </c>
      <c r="E55" s="633" t="s">
        <v>1275</v>
      </c>
      <c r="F55" s="633"/>
      <c r="G55" s="634">
        <v>278925</v>
      </c>
      <c r="H55" s="633"/>
      <c r="I55" s="633"/>
      <c r="J55" s="633"/>
      <c r="K55" s="815"/>
    </row>
    <row r="56" spans="1:12" ht="36" x14ac:dyDescent="0.2">
      <c r="A56" s="814" t="s">
        <v>920</v>
      </c>
      <c r="B56" s="630" t="s">
        <v>1276</v>
      </c>
      <c r="C56" s="631" t="s">
        <v>1277</v>
      </c>
      <c r="D56" s="636" t="s">
        <v>1278</v>
      </c>
      <c r="E56" s="633" t="s">
        <v>1279</v>
      </c>
      <c r="F56" s="633"/>
      <c r="G56" s="634">
        <v>161793</v>
      </c>
      <c r="H56" s="633"/>
      <c r="I56" s="633"/>
      <c r="J56" s="633"/>
      <c r="K56" s="815"/>
    </row>
    <row r="57" spans="1:12" ht="24" x14ac:dyDescent="0.2">
      <c r="A57" s="814" t="s">
        <v>1048</v>
      </c>
      <c r="B57" s="630" t="s">
        <v>1280</v>
      </c>
      <c r="C57" s="631" t="s">
        <v>1281</v>
      </c>
      <c r="D57" s="636" t="s">
        <v>1274</v>
      </c>
      <c r="E57" s="633" t="s">
        <v>1282</v>
      </c>
      <c r="F57" s="633"/>
      <c r="G57" s="634">
        <v>22989</v>
      </c>
      <c r="H57" s="633"/>
      <c r="I57" s="633"/>
      <c r="J57" s="633"/>
      <c r="K57" s="815"/>
    </row>
    <row r="58" spans="1:12" ht="36" x14ac:dyDescent="0.2">
      <c r="A58" s="814" t="s">
        <v>1053</v>
      </c>
      <c r="B58" s="630" t="s">
        <v>1283</v>
      </c>
      <c r="C58" s="631" t="s">
        <v>1284</v>
      </c>
      <c r="D58" s="636" t="s">
        <v>1269</v>
      </c>
      <c r="E58" s="633" t="s">
        <v>1285</v>
      </c>
      <c r="F58" s="633"/>
      <c r="G58" s="634">
        <v>46959</v>
      </c>
      <c r="H58" s="633"/>
      <c r="I58" s="633"/>
      <c r="J58" s="633"/>
      <c r="K58" s="815"/>
    </row>
    <row r="59" spans="1:12" ht="87" x14ac:dyDescent="0.2">
      <c r="A59" s="811" t="s">
        <v>1058</v>
      </c>
      <c r="B59" s="623" t="s">
        <v>1286</v>
      </c>
      <c r="C59" s="624" t="s">
        <v>1287</v>
      </c>
      <c r="D59" s="628">
        <v>189</v>
      </c>
      <c r="E59" s="626" t="s">
        <v>1288</v>
      </c>
      <c r="F59" s="626" t="s">
        <v>1289</v>
      </c>
      <c r="G59" s="627">
        <v>1070</v>
      </c>
      <c r="H59" s="627">
        <v>437</v>
      </c>
      <c r="I59" s="626" t="s">
        <v>1290</v>
      </c>
      <c r="J59" s="627">
        <v>0.255</v>
      </c>
      <c r="K59" s="812">
        <v>48.2</v>
      </c>
    </row>
    <row r="60" spans="1:12" ht="19.149999999999999" customHeight="1" x14ac:dyDescent="0.2">
      <c r="A60" s="2631" t="s">
        <v>1291</v>
      </c>
      <c r="B60" s="2629"/>
      <c r="C60" s="2629"/>
      <c r="D60" s="2629"/>
      <c r="E60" s="2629"/>
      <c r="F60" s="2629"/>
      <c r="G60" s="2629"/>
      <c r="H60" s="2629"/>
      <c r="I60" s="2629"/>
      <c r="J60" s="2629"/>
      <c r="K60" s="2630"/>
    </row>
    <row r="61" spans="1:12" ht="196.5" x14ac:dyDescent="0.2">
      <c r="A61" s="811" t="s">
        <v>1063</v>
      </c>
      <c r="B61" s="623" t="s">
        <v>1241</v>
      </c>
      <c r="C61" s="624" t="s">
        <v>1242</v>
      </c>
      <c r="D61" s="625" t="s">
        <v>1292</v>
      </c>
      <c r="E61" s="626" t="s">
        <v>1244</v>
      </c>
      <c r="F61" s="626" t="s">
        <v>1245</v>
      </c>
      <c r="G61" s="627">
        <v>17190</v>
      </c>
      <c r="H61" s="627">
        <v>1344</v>
      </c>
      <c r="I61" s="626" t="s">
        <v>1293</v>
      </c>
      <c r="J61" s="627">
        <v>1039.7328</v>
      </c>
      <c r="K61" s="812">
        <v>139.74</v>
      </c>
    </row>
    <row r="62" spans="1:12" ht="196.5" x14ac:dyDescent="0.2">
      <c r="A62" s="811" t="s">
        <v>1068</v>
      </c>
      <c r="B62" s="623" t="s">
        <v>1247</v>
      </c>
      <c r="C62" s="624" t="s">
        <v>1248</v>
      </c>
      <c r="D62" s="625" t="s">
        <v>1294</v>
      </c>
      <c r="E62" s="626" t="s">
        <v>1250</v>
      </c>
      <c r="F62" s="626" t="s">
        <v>1251</v>
      </c>
      <c r="G62" s="627">
        <v>693136</v>
      </c>
      <c r="H62" s="627">
        <v>52929</v>
      </c>
      <c r="I62" s="626" t="s">
        <v>1295</v>
      </c>
      <c r="J62" s="627">
        <v>3081.2808</v>
      </c>
      <c r="K62" s="812">
        <v>5501.94</v>
      </c>
    </row>
    <row r="63" spans="1:12" ht="36" x14ac:dyDescent="0.2">
      <c r="A63" s="811" t="s">
        <v>1073</v>
      </c>
      <c r="B63" s="623" t="s">
        <v>1253</v>
      </c>
      <c r="C63" s="624" t="s">
        <v>1254</v>
      </c>
      <c r="D63" s="625" t="s">
        <v>1296</v>
      </c>
      <c r="E63" s="626">
        <v>480</v>
      </c>
      <c r="F63" s="626"/>
      <c r="G63" s="627">
        <v>2765</v>
      </c>
      <c r="H63" s="626"/>
      <c r="I63" s="626"/>
      <c r="J63" s="626"/>
      <c r="K63" s="813"/>
    </row>
    <row r="64" spans="1:12" ht="31.5" x14ac:dyDescent="0.2">
      <c r="A64" s="811" t="s">
        <v>1078</v>
      </c>
      <c r="B64" s="623" t="s">
        <v>1256</v>
      </c>
      <c r="C64" s="624" t="s">
        <v>1257</v>
      </c>
      <c r="D64" s="625" t="s">
        <v>1297</v>
      </c>
      <c r="E64" s="626">
        <v>2.44</v>
      </c>
      <c r="F64" s="626"/>
      <c r="G64" s="627">
        <v>10</v>
      </c>
      <c r="H64" s="626"/>
      <c r="I64" s="626"/>
      <c r="J64" s="626"/>
      <c r="K64" s="813"/>
    </row>
    <row r="65" spans="1:12" ht="96.75" x14ac:dyDescent="0.2">
      <c r="A65" s="811" t="s">
        <v>1088</v>
      </c>
      <c r="B65" s="623" t="s">
        <v>1259</v>
      </c>
      <c r="C65" s="624" t="s">
        <v>1260</v>
      </c>
      <c r="D65" s="625" t="s">
        <v>1298</v>
      </c>
      <c r="E65" s="626" t="s">
        <v>1262</v>
      </c>
      <c r="F65" s="626" t="s">
        <v>1263</v>
      </c>
      <c r="G65" s="627">
        <v>21492</v>
      </c>
      <c r="H65" s="627">
        <v>2882</v>
      </c>
      <c r="I65" s="626" t="s">
        <v>1299</v>
      </c>
      <c r="J65" s="627">
        <v>156.04499999999999</v>
      </c>
      <c r="K65" s="812">
        <v>299.61</v>
      </c>
    </row>
    <row r="66" spans="1:12" ht="36" x14ac:dyDescent="0.2">
      <c r="A66" s="811" t="s">
        <v>1093</v>
      </c>
      <c r="B66" s="623" t="s">
        <v>1253</v>
      </c>
      <c r="C66" s="624" t="s">
        <v>1254</v>
      </c>
      <c r="D66" s="625" t="s">
        <v>1300</v>
      </c>
      <c r="E66" s="626">
        <v>480</v>
      </c>
      <c r="F66" s="626"/>
      <c r="G66" s="627">
        <v>4608</v>
      </c>
      <c r="H66" s="626"/>
      <c r="I66" s="626"/>
      <c r="J66" s="626"/>
      <c r="K66" s="813"/>
    </row>
    <row r="67" spans="1:12" ht="31.5" x14ac:dyDescent="0.2">
      <c r="A67" s="811" t="s">
        <v>1098</v>
      </c>
      <c r="B67" s="623" t="s">
        <v>1256</v>
      </c>
      <c r="C67" s="624" t="s">
        <v>1257</v>
      </c>
      <c r="D67" s="625" t="s">
        <v>1301</v>
      </c>
      <c r="E67" s="626">
        <v>2.44</v>
      </c>
      <c r="F67" s="626"/>
      <c r="G67" s="627">
        <v>9</v>
      </c>
      <c r="H67" s="626"/>
      <c r="I67" s="626"/>
      <c r="J67" s="626"/>
      <c r="K67" s="813"/>
    </row>
    <row r="68" spans="1:12" ht="36" x14ac:dyDescent="0.2">
      <c r="A68" s="814" t="s">
        <v>1302</v>
      </c>
      <c r="B68" s="630" t="s">
        <v>1303</v>
      </c>
      <c r="C68" s="631" t="s">
        <v>1268</v>
      </c>
      <c r="D68" s="636" t="s">
        <v>1304</v>
      </c>
      <c r="E68" s="633" t="s">
        <v>1270</v>
      </c>
      <c r="F68" s="633"/>
      <c r="G68" s="634">
        <v>19143</v>
      </c>
      <c r="H68" s="633"/>
      <c r="I68" s="633"/>
      <c r="J68" s="633"/>
      <c r="K68" s="815"/>
      <c r="L68" s="638" t="s">
        <v>1305</v>
      </c>
    </row>
    <row r="69" spans="1:12" ht="36" x14ac:dyDescent="0.2">
      <c r="A69" s="814" t="s">
        <v>1306</v>
      </c>
      <c r="B69" s="630" t="s">
        <v>1307</v>
      </c>
      <c r="C69" s="631" t="s">
        <v>1273</v>
      </c>
      <c r="D69" s="636" t="s">
        <v>1308</v>
      </c>
      <c r="E69" s="633" t="s">
        <v>1275</v>
      </c>
      <c r="F69" s="633"/>
      <c r="G69" s="634">
        <v>96419</v>
      </c>
      <c r="H69" s="633"/>
      <c r="I69" s="633"/>
      <c r="J69" s="633"/>
      <c r="K69" s="815"/>
    </row>
    <row r="70" spans="1:12" ht="36" x14ac:dyDescent="0.2">
      <c r="A70" s="814" t="s">
        <v>1309</v>
      </c>
      <c r="B70" s="630" t="s">
        <v>1310</v>
      </c>
      <c r="C70" s="631" t="s">
        <v>1277</v>
      </c>
      <c r="D70" s="636" t="s">
        <v>1311</v>
      </c>
      <c r="E70" s="633" t="s">
        <v>1279</v>
      </c>
      <c r="F70" s="633"/>
      <c r="G70" s="634">
        <v>55314</v>
      </c>
      <c r="H70" s="633"/>
      <c r="I70" s="633"/>
      <c r="J70" s="633"/>
      <c r="K70" s="815"/>
    </row>
    <row r="71" spans="1:12" ht="24" x14ac:dyDescent="0.2">
      <c r="A71" s="814" t="s">
        <v>1312</v>
      </c>
      <c r="B71" s="630" t="s">
        <v>1313</v>
      </c>
      <c r="C71" s="631" t="s">
        <v>1281</v>
      </c>
      <c r="D71" s="636" t="s">
        <v>1308</v>
      </c>
      <c r="E71" s="633" t="s">
        <v>1282</v>
      </c>
      <c r="F71" s="633"/>
      <c r="G71" s="634">
        <v>7947</v>
      </c>
      <c r="H71" s="633"/>
      <c r="I71" s="633"/>
      <c r="J71" s="633"/>
      <c r="K71" s="815"/>
    </row>
    <row r="72" spans="1:12" ht="36" x14ac:dyDescent="0.2">
      <c r="A72" s="814" t="s">
        <v>1314</v>
      </c>
      <c r="B72" s="630" t="s">
        <v>1315</v>
      </c>
      <c r="C72" s="631" t="s">
        <v>1284</v>
      </c>
      <c r="D72" s="636" t="s">
        <v>1304</v>
      </c>
      <c r="E72" s="633" t="s">
        <v>1285</v>
      </c>
      <c r="F72" s="633"/>
      <c r="G72" s="634">
        <v>13914</v>
      </c>
      <c r="H72" s="633"/>
      <c r="I72" s="633"/>
      <c r="J72" s="633"/>
      <c r="K72" s="815"/>
    </row>
    <row r="73" spans="1:12" ht="87" x14ac:dyDescent="0.2">
      <c r="A73" s="811" t="s">
        <v>1316</v>
      </c>
      <c r="B73" s="623" t="s">
        <v>1286</v>
      </c>
      <c r="C73" s="624" t="s">
        <v>1287</v>
      </c>
      <c r="D73" s="628">
        <v>64</v>
      </c>
      <c r="E73" s="626" t="s">
        <v>1288</v>
      </c>
      <c r="F73" s="626" t="s">
        <v>1289</v>
      </c>
      <c r="G73" s="627">
        <v>362</v>
      </c>
      <c r="H73" s="627">
        <v>148</v>
      </c>
      <c r="I73" s="626" t="s">
        <v>1317</v>
      </c>
      <c r="J73" s="627">
        <v>0.255</v>
      </c>
      <c r="K73" s="812">
        <v>16.32</v>
      </c>
    </row>
    <row r="74" spans="1:12" ht="19.149999999999999" customHeight="1" x14ac:dyDescent="0.2">
      <c r="A74" s="2631" t="s">
        <v>1318</v>
      </c>
      <c r="B74" s="2629"/>
      <c r="C74" s="2629"/>
      <c r="D74" s="2629"/>
      <c r="E74" s="2629"/>
      <c r="F74" s="2629"/>
      <c r="G74" s="2629"/>
      <c r="H74" s="2629"/>
      <c r="I74" s="2629"/>
      <c r="J74" s="2629"/>
      <c r="K74" s="2630"/>
    </row>
    <row r="75" spans="1:12" ht="196.5" x14ac:dyDescent="0.2">
      <c r="A75" s="811" t="s">
        <v>1319</v>
      </c>
      <c r="B75" s="623" t="s">
        <v>1241</v>
      </c>
      <c r="C75" s="624" t="s">
        <v>1242</v>
      </c>
      <c r="D75" s="625" t="s">
        <v>1320</v>
      </c>
      <c r="E75" s="626" t="s">
        <v>1244</v>
      </c>
      <c r="F75" s="626" t="s">
        <v>1245</v>
      </c>
      <c r="G75" s="627">
        <v>74936</v>
      </c>
      <c r="H75" s="627">
        <v>5860</v>
      </c>
      <c r="I75" s="626" t="s">
        <v>1321</v>
      </c>
      <c r="J75" s="627">
        <v>1039.7328</v>
      </c>
      <c r="K75" s="812">
        <v>609.17999999999995</v>
      </c>
    </row>
    <row r="76" spans="1:12" ht="196.5" x14ac:dyDescent="0.2">
      <c r="A76" s="811" t="s">
        <v>1322</v>
      </c>
      <c r="B76" s="623" t="s">
        <v>1247</v>
      </c>
      <c r="C76" s="624" t="s">
        <v>1248</v>
      </c>
      <c r="D76" s="625" t="s">
        <v>1323</v>
      </c>
      <c r="E76" s="626" t="s">
        <v>1250</v>
      </c>
      <c r="F76" s="626" t="s">
        <v>1251</v>
      </c>
      <c r="G76" s="627">
        <v>3021642</v>
      </c>
      <c r="H76" s="627">
        <v>230736</v>
      </c>
      <c r="I76" s="626" t="s">
        <v>1324</v>
      </c>
      <c r="J76" s="627">
        <v>3081.2808</v>
      </c>
      <c r="K76" s="812">
        <v>23985</v>
      </c>
    </row>
    <row r="77" spans="1:12" ht="36" x14ac:dyDescent="0.2">
      <c r="A77" s="811" t="s">
        <v>1325</v>
      </c>
      <c r="B77" s="623" t="s">
        <v>1253</v>
      </c>
      <c r="C77" s="624" t="s">
        <v>1254</v>
      </c>
      <c r="D77" s="625" t="s">
        <v>1326</v>
      </c>
      <c r="E77" s="626">
        <v>480</v>
      </c>
      <c r="F77" s="626"/>
      <c r="G77" s="627">
        <v>12053</v>
      </c>
      <c r="H77" s="626"/>
      <c r="I77" s="626"/>
      <c r="J77" s="626"/>
      <c r="K77" s="813"/>
    </row>
    <row r="78" spans="1:12" ht="31.5" x14ac:dyDescent="0.2">
      <c r="A78" s="811" t="s">
        <v>1327</v>
      </c>
      <c r="B78" s="623" t="s">
        <v>1256</v>
      </c>
      <c r="C78" s="624" t="s">
        <v>1257</v>
      </c>
      <c r="D78" s="625" t="s">
        <v>1328</v>
      </c>
      <c r="E78" s="626">
        <v>2.44</v>
      </c>
      <c r="F78" s="626"/>
      <c r="G78" s="627">
        <v>43</v>
      </c>
      <c r="H78" s="626"/>
      <c r="I78" s="626"/>
      <c r="J78" s="626"/>
      <c r="K78" s="813"/>
    </row>
    <row r="79" spans="1:12" ht="96.75" x14ac:dyDescent="0.2">
      <c r="A79" s="811" t="s">
        <v>1329</v>
      </c>
      <c r="B79" s="623" t="s">
        <v>1259</v>
      </c>
      <c r="C79" s="624" t="s">
        <v>1260</v>
      </c>
      <c r="D79" s="625" t="s">
        <v>1330</v>
      </c>
      <c r="E79" s="626" t="s">
        <v>1262</v>
      </c>
      <c r="F79" s="626" t="s">
        <v>1263</v>
      </c>
      <c r="G79" s="627">
        <v>93690</v>
      </c>
      <c r="H79" s="627">
        <v>12565</v>
      </c>
      <c r="I79" s="626" t="s">
        <v>1331</v>
      </c>
      <c r="J79" s="627">
        <v>156.04499999999999</v>
      </c>
      <c r="K79" s="812">
        <v>1306.0999999999999</v>
      </c>
    </row>
    <row r="80" spans="1:12" ht="36" x14ac:dyDescent="0.2">
      <c r="A80" s="811" t="s">
        <v>1332</v>
      </c>
      <c r="B80" s="623" t="s">
        <v>1253</v>
      </c>
      <c r="C80" s="624" t="s">
        <v>1254</v>
      </c>
      <c r="D80" s="625" t="s">
        <v>1333</v>
      </c>
      <c r="E80" s="626">
        <v>480</v>
      </c>
      <c r="F80" s="626"/>
      <c r="G80" s="627">
        <v>20088</v>
      </c>
      <c r="H80" s="626"/>
      <c r="I80" s="626"/>
      <c r="J80" s="626"/>
      <c r="K80" s="813"/>
    </row>
    <row r="81" spans="1:12" ht="31.5" x14ac:dyDescent="0.2">
      <c r="A81" s="811" t="s">
        <v>1334</v>
      </c>
      <c r="B81" s="623" t="s">
        <v>1256</v>
      </c>
      <c r="C81" s="624" t="s">
        <v>1257</v>
      </c>
      <c r="D81" s="625" t="s">
        <v>1335</v>
      </c>
      <c r="E81" s="626">
        <v>2.44</v>
      </c>
      <c r="F81" s="626"/>
      <c r="G81" s="627">
        <v>41</v>
      </c>
      <c r="H81" s="626"/>
      <c r="I81" s="626"/>
      <c r="J81" s="626"/>
      <c r="K81" s="813"/>
    </row>
    <row r="82" spans="1:12" ht="36" x14ac:dyDescent="0.2">
      <c r="A82" s="814" t="s">
        <v>1336</v>
      </c>
      <c r="B82" s="630" t="s">
        <v>1337</v>
      </c>
      <c r="C82" s="631" t="s">
        <v>1268</v>
      </c>
      <c r="D82" s="636" t="s">
        <v>1338</v>
      </c>
      <c r="E82" s="633" t="s">
        <v>1270</v>
      </c>
      <c r="F82" s="633"/>
      <c r="G82" s="634">
        <v>74180</v>
      </c>
      <c r="H82" s="633"/>
      <c r="I82" s="633"/>
      <c r="J82" s="633"/>
      <c r="K82" s="815"/>
      <c r="L82" s="638" t="s">
        <v>1305</v>
      </c>
    </row>
    <row r="83" spans="1:12" ht="36" x14ac:dyDescent="0.2">
      <c r="A83" s="814" t="s">
        <v>1339</v>
      </c>
      <c r="B83" s="630" t="s">
        <v>1340</v>
      </c>
      <c r="C83" s="631" t="s">
        <v>1273</v>
      </c>
      <c r="D83" s="636" t="s">
        <v>1341</v>
      </c>
      <c r="E83" s="633" t="s">
        <v>1275</v>
      </c>
      <c r="F83" s="633"/>
      <c r="G83" s="634">
        <v>426996</v>
      </c>
      <c r="H83" s="633"/>
      <c r="I83" s="633"/>
      <c r="J83" s="633"/>
      <c r="K83" s="815"/>
    </row>
    <row r="84" spans="1:12" ht="36" x14ac:dyDescent="0.2">
      <c r="A84" s="814" t="s">
        <v>1342</v>
      </c>
      <c r="B84" s="630" t="s">
        <v>1343</v>
      </c>
      <c r="C84" s="631" t="s">
        <v>1277</v>
      </c>
      <c r="D84" s="636" t="s">
        <v>1344</v>
      </c>
      <c r="E84" s="633" t="s">
        <v>1279</v>
      </c>
      <c r="F84" s="633"/>
      <c r="G84" s="634">
        <v>242921</v>
      </c>
      <c r="H84" s="633"/>
      <c r="I84" s="633"/>
      <c r="J84" s="633"/>
      <c r="K84" s="815"/>
    </row>
    <row r="85" spans="1:12" ht="24" x14ac:dyDescent="0.2">
      <c r="A85" s="814" t="s">
        <v>1345</v>
      </c>
      <c r="B85" s="630" t="s">
        <v>1346</v>
      </c>
      <c r="C85" s="631" t="s">
        <v>1281</v>
      </c>
      <c r="D85" s="636" t="s">
        <v>1341</v>
      </c>
      <c r="E85" s="633" t="s">
        <v>1282</v>
      </c>
      <c r="F85" s="633"/>
      <c r="G85" s="634">
        <v>35194</v>
      </c>
      <c r="H85" s="633"/>
      <c r="I85" s="633"/>
      <c r="J85" s="633"/>
      <c r="K85" s="815"/>
    </row>
    <row r="86" spans="1:12" ht="36" x14ac:dyDescent="0.2">
      <c r="A86" s="814" t="s">
        <v>1347</v>
      </c>
      <c r="B86" s="630" t="s">
        <v>1348</v>
      </c>
      <c r="C86" s="631" t="s">
        <v>1284</v>
      </c>
      <c r="D86" s="636" t="s">
        <v>1338</v>
      </c>
      <c r="E86" s="633" t="s">
        <v>1285</v>
      </c>
      <c r="F86" s="633"/>
      <c r="G86" s="634">
        <v>53916</v>
      </c>
      <c r="H86" s="633"/>
      <c r="I86" s="633"/>
      <c r="J86" s="633"/>
      <c r="K86" s="815"/>
    </row>
    <row r="87" spans="1:12" ht="87" x14ac:dyDescent="0.2">
      <c r="A87" s="811" t="s">
        <v>1349</v>
      </c>
      <c r="B87" s="623" t="s">
        <v>1286</v>
      </c>
      <c r="C87" s="624" t="s">
        <v>1287</v>
      </c>
      <c r="D87" s="628">
        <v>279</v>
      </c>
      <c r="E87" s="626" t="s">
        <v>1288</v>
      </c>
      <c r="F87" s="626" t="s">
        <v>1289</v>
      </c>
      <c r="G87" s="627">
        <v>1579</v>
      </c>
      <c r="H87" s="627">
        <v>644</v>
      </c>
      <c r="I87" s="626" t="s">
        <v>1350</v>
      </c>
      <c r="J87" s="627">
        <v>0.255</v>
      </c>
      <c r="K87" s="812">
        <v>71.150000000000006</v>
      </c>
    </row>
    <row r="88" spans="1:12" ht="19.149999999999999" customHeight="1" x14ac:dyDescent="0.2">
      <c r="A88" s="2631" t="s">
        <v>1351</v>
      </c>
      <c r="B88" s="2629"/>
      <c r="C88" s="2629"/>
      <c r="D88" s="2629"/>
      <c r="E88" s="2629"/>
      <c r="F88" s="2629"/>
      <c r="G88" s="2629"/>
      <c r="H88" s="2629"/>
      <c r="I88" s="2629"/>
      <c r="J88" s="2629"/>
      <c r="K88" s="2630"/>
    </row>
    <row r="89" spans="1:12" ht="196.5" x14ac:dyDescent="0.2">
      <c r="A89" s="811" t="s">
        <v>1352</v>
      </c>
      <c r="B89" s="623" t="s">
        <v>1241</v>
      </c>
      <c r="C89" s="624" t="s">
        <v>1242</v>
      </c>
      <c r="D89" s="625" t="s">
        <v>1353</v>
      </c>
      <c r="E89" s="626" t="s">
        <v>1244</v>
      </c>
      <c r="F89" s="626" t="s">
        <v>1245</v>
      </c>
      <c r="G89" s="627">
        <v>21487</v>
      </c>
      <c r="H89" s="627">
        <v>1680</v>
      </c>
      <c r="I89" s="626" t="s">
        <v>1354</v>
      </c>
      <c r="J89" s="627">
        <v>1039.7328</v>
      </c>
      <c r="K89" s="812">
        <v>174.68</v>
      </c>
    </row>
    <row r="90" spans="1:12" ht="196.5" x14ac:dyDescent="0.2">
      <c r="A90" s="811" t="s">
        <v>1355</v>
      </c>
      <c r="B90" s="623" t="s">
        <v>1247</v>
      </c>
      <c r="C90" s="624" t="s">
        <v>1248</v>
      </c>
      <c r="D90" s="625" t="s">
        <v>1356</v>
      </c>
      <c r="E90" s="626" t="s">
        <v>1250</v>
      </c>
      <c r="F90" s="626" t="s">
        <v>1251</v>
      </c>
      <c r="G90" s="627">
        <v>866421</v>
      </c>
      <c r="H90" s="627">
        <v>66161</v>
      </c>
      <c r="I90" s="626" t="s">
        <v>1357</v>
      </c>
      <c r="J90" s="627">
        <v>3081.2808</v>
      </c>
      <c r="K90" s="812">
        <v>6877.42</v>
      </c>
    </row>
    <row r="91" spans="1:12" ht="36" x14ac:dyDescent="0.2">
      <c r="A91" s="811" t="s">
        <v>1358</v>
      </c>
      <c r="B91" s="623" t="s">
        <v>1253</v>
      </c>
      <c r="C91" s="624" t="s">
        <v>1254</v>
      </c>
      <c r="D91" s="625" t="s">
        <v>1359</v>
      </c>
      <c r="E91" s="626">
        <v>480</v>
      </c>
      <c r="F91" s="626"/>
      <c r="G91" s="627">
        <v>3456</v>
      </c>
      <c r="H91" s="626"/>
      <c r="I91" s="626"/>
      <c r="J91" s="626"/>
      <c r="K91" s="813"/>
    </row>
    <row r="92" spans="1:12" ht="31.5" x14ac:dyDescent="0.2">
      <c r="A92" s="811" t="s">
        <v>1360</v>
      </c>
      <c r="B92" s="623" t="s">
        <v>1256</v>
      </c>
      <c r="C92" s="624" t="s">
        <v>1257</v>
      </c>
      <c r="D92" s="625" t="s">
        <v>1361</v>
      </c>
      <c r="E92" s="626">
        <v>2.44</v>
      </c>
      <c r="F92" s="626"/>
      <c r="G92" s="627">
        <v>12</v>
      </c>
      <c r="H92" s="626"/>
      <c r="I92" s="626"/>
      <c r="J92" s="626"/>
      <c r="K92" s="813"/>
    </row>
    <row r="93" spans="1:12" ht="96.75" x14ac:dyDescent="0.2">
      <c r="A93" s="811" t="s">
        <v>1362</v>
      </c>
      <c r="B93" s="623" t="s">
        <v>1259</v>
      </c>
      <c r="C93" s="624" t="s">
        <v>1260</v>
      </c>
      <c r="D93" s="625" t="s">
        <v>1363</v>
      </c>
      <c r="E93" s="626" t="s">
        <v>1262</v>
      </c>
      <c r="F93" s="626" t="s">
        <v>1263</v>
      </c>
      <c r="G93" s="627">
        <v>26864</v>
      </c>
      <c r="H93" s="627">
        <v>3603</v>
      </c>
      <c r="I93" s="626" t="s">
        <v>1364</v>
      </c>
      <c r="J93" s="627">
        <v>156.04499999999999</v>
      </c>
      <c r="K93" s="812">
        <v>374.51</v>
      </c>
    </row>
    <row r="94" spans="1:12" ht="36" x14ac:dyDescent="0.2">
      <c r="A94" s="811" t="s">
        <v>1365</v>
      </c>
      <c r="B94" s="623" t="s">
        <v>1253</v>
      </c>
      <c r="C94" s="624" t="s">
        <v>1254</v>
      </c>
      <c r="D94" s="625" t="s">
        <v>1366</v>
      </c>
      <c r="E94" s="626">
        <v>480</v>
      </c>
      <c r="F94" s="626"/>
      <c r="G94" s="627">
        <v>5760</v>
      </c>
      <c r="H94" s="626"/>
      <c r="I94" s="626"/>
      <c r="J94" s="626"/>
      <c r="K94" s="813"/>
    </row>
    <row r="95" spans="1:12" ht="31.5" x14ac:dyDescent="0.2">
      <c r="A95" s="811" t="s">
        <v>1367</v>
      </c>
      <c r="B95" s="623" t="s">
        <v>1256</v>
      </c>
      <c r="C95" s="624" t="s">
        <v>1257</v>
      </c>
      <c r="D95" s="625" t="s">
        <v>1368</v>
      </c>
      <c r="E95" s="626">
        <v>2.44</v>
      </c>
      <c r="F95" s="626"/>
      <c r="G95" s="627">
        <v>12</v>
      </c>
      <c r="H95" s="626"/>
      <c r="I95" s="626"/>
      <c r="J95" s="626"/>
      <c r="K95" s="813"/>
    </row>
    <row r="96" spans="1:12" ht="36" x14ac:dyDescent="0.2">
      <c r="A96" s="814" t="s">
        <v>1369</v>
      </c>
      <c r="B96" s="630" t="s">
        <v>1370</v>
      </c>
      <c r="C96" s="631" t="s">
        <v>1268</v>
      </c>
      <c r="D96" s="636" t="s">
        <v>1304</v>
      </c>
      <c r="E96" s="633" t="s">
        <v>1270</v>
      </c>
      <c r="F96" s="633"/>
      <c r="G96" s="634">
        <v>19143</v>
      </c>
      <c r="H96" s="633"/>
      <c r="I96" s="633"/>
      <c r="J96" s="633"/>
      <c r="K96" s="815"/>
      <c r="L96" s="638" t="s">
        <v>1305</v>
      </c>
    </row>
    <row r="97" spans="1:11" ht="36" x14ac:dyDescent="0.2">
      <c r="A97" s="814" t="s">
        <v>1371</v>
      </c>
      <c r="B97" s="630" t="s">
        <v>1372</v>
      </c>
      <c r="C97" s="631" t="s">
        <v>1273</v>
      </c>
      <c r="D97" s="636" t="s">
        <v>1373</v>
      </c>
      <c r="E97" s="633" t="s">
        <v>1275</v>
      </c>
      <c r="F97" s="633"/>
      <c r="G97" s="634">
        <v>123967</v>
      </c>
      <c r="H97" s="633"/>
      <c r="I97" s="633"/>
      <c r="J97" s="633"/>
      <c r="K97" s="815"/>
    </row>
    <row r="98" spans="1:11" ht="36" x14ac:dyDescent="0.2">
      <c r="A98" s="814" t="s">
        <v>1374</v>
      </c>
      <c r="B98" s="630" t="s">
        <v>1375</v>
      </c>
      <c r="C98" s="631" t="s">
        <v>1277</v>
      </c>
      <c r="D98" s="636" t="s">
        <v>1376</v>
      </c>
      <c r="E98" s="633" t="s">
        <v>1279</v>
      </c>
      <c r="F98" s="633"/>
      <c r="G98" s="634">
        <v>70064</v>
      </c>
      <c r="H98" s="633"/>
      <c r="I98" s="633"/>
      <c r="J98" s="633"/>
      <c r="K98" s="815"/>
    </row>
    <row r="99" spans="1:11" ht="24" x14ac:dyDescent="0.2">
      <c r="A99" s="814" t="s">
        <v>1377</v>
      </c>
      <c r="B99" s="630" t="s">
        <v>1378</v>
      </c>
      <c r="C99" s="631" t="s">
        <v>1281</v>
      </c>
      <c r="D99" s="636" t="s">
        <v>1373</v>
      </c>
      <c r="E99" s="633" t="s">
        <v>1282</v>
      </c>
      <c r="F99" s="633"/>
      <c r="G99" s="634">
        <v>10218</v>
      </c>
      <c r="H99" s="633"/>
      <c r="I99" s="633"/>
      <c r="J99" s="633"/>
      <c r="K99" s="815"/>
    </row>
    <row r="100" spans="1:11" ht="36" x14ac:dyDescent="0.2">
      <c r="A100" s="814" t="s">
        <v>1379</v>
      </c>
      <c r="B100" s="630" t="s">
        <v>1380</v>
      </c>
      <c r="C100" s="631" t="s">
        <v>1284</v>
      </c>
      <c r="D100" s="636" t="s">
        <v>1304</v>
      </c>
      <c r="E100" s="633" t="s">
        <v>1285</v>
      </c>
      <c r="F100" s="633"/>
      <c r="G100" s="634">
        <v>13914</v>
      </c>
      <c r="H100" s="633"/>
      <c r="I100" s="633"/>
      <c r="J100" s="633"/>
      <c r="K100" s="815"/>
    </row>
    <row r="101" spans="1:11" ht="87.75" thickBot="1" x14ac:dyDescent="0.25">
      <c r="A101" s="816" t="s">
        <v>1381</v>
      </c>
      <c r="B101" s="817" t="s">
        <v>1286</v>
      </c>
      <c r="C101" s="818" t="s">
        <v>1287</v>
      </c>
      <c r="D101" s="819">
        <v>80</v>
      </c>
      <c r="E101" s="820" t="s">
        <v>1288</v>
      </c>
      <c r="F101" s="820" t="s">
        <v>1289</v>
      </c>
      <c r="G101" s="821">
        <v>453</v>
      </c>
      <c r="H101" s="821">
        <v>185</v>
      </c>
      <c r="I101" s="820" t="s">
        <v>1382</v>
      </c>
      <c r="J101" s="821">
        <v>0.255</v>
      </c>
      <c r="K101" s="822">
        <v>20.399999999999999</v>
      </c>
    </row>
    <row r="102" spans="1:11" ht="19.149999999999999" customHeight="1" x14ac:dyDescent="0.2">
      <c r="A102" s="2646" t="s">
        <v>1383</v>
      </c>
      <c r="B102" s="2647"/>
      <c r="C102" s="2647"/>
      <c r="D102" s="2647"/>
      <c r="E102" s="2647"/>
      <c r="F102" s="2647"/>
      <c r="G102" s="2647"/>
      <c r="H102" s="2647"/>
      <c r="I102" s="2647"/>
      <c r="J102" s="2647"/>
      <c r="K102" s="2647"/>
    </row>
    <row r="103" spans="1:11" ht="75" x14ac:dyDescent="0.2">
      <c r="A103" s="622" t="s">
        <v>1384</v>
      </c>
      <c r="B103" s="623" t="s">
        <v>1385</v>
      </c>
      <c r="C103" s="624" t="s">
        <v>1386</v>
      </c>
      <c r="D103" s="625" t="s">
        <v>1387</v>
      </c>
      <c r="E103" s="626" t="s">
        <v>1388</v>
      </c>
      <c r="F103" s="626" t="s">
        <v>1389</v>
      </c>
      <c r="G103" s="627">
        <v>34341</v>
      </c>
      <c r="H103" s="627">
        <v>19586</v>
      </c>
      <c r="I103" s="626" t="s">
        <v>1390</v>
      </c>
      <c r="J103" s="627">
        <v>112.05</v>
      </c>
      <c r="K103" s="627">
        <v>2241</v>
      </c>
    </row>
    <row r="104" spans="1:11" ht="36" x14ac:dyDescent="0.2">
      <c r="A104" s="622" t="s">
        <v>1391</v>
      </c>
      <c r="B104" s="623" t="s">
        <v>1392</v>
      </c>
      <c r="C104" s="624" t="s">
        <v>1393</v>
      </c>
      <c r="D104" s="628">
        <v>25</v>
      </c>
      <c r="E104" s="626" t="s">
        <v>1394</v>
      </c>
      <c r="F104" s="626"/>
      <c r="G104" s="627">
        <v>34215</v>
      </c>
      <c r="H104" s="626"/>
      <c r="I104" s="626"/>
      <c r="J104" s="626"/>
      <c r="K104" s="626"/>
    </row>
    <row r="105" spans="1:11" ht="75" x14ac:dyDescent="0.2">
      <c r="A105" s="622" t="s">
        <v>1395</v>
      </c>
      <c r="B105" s="623" t="s">
        <v>1396</v>
      </c>
      <c r="C105" s="624" t="s">
        <v>1397</v>
      </c>
      <c r="D105" s="625" t="s">
        <v>1398</v>
      </c>
      <c r="E105" s="626" t="s">
        <v>1399</v>
      </c>
      <c r="F105" s="626" t="s">
        <v>1400</v>
      </c>
      <c r="G105" s="627">
        <v>7604</v>
      </c>
      <c r="H105" s="627">
        <v>5283</v>
      </c>
      <c r="I105" s="626" t="s">
        <v>1401</v>
      </c>
      <c r="J105" s="627">
        <v>274.05</v>
      </c>
      <c r="K105" s="627">
        <v>575.51</v>
      </c>
    </row>
    <row r="106" spans="1:11" ht="36" x14ac:dyDescent="0.2">
      <c r="A106" s="622" t="s">
        <v>1402</v>
      </c>
      <c r="B106" s="623" t="s">
        <v>1403</v>
      </c>
      <c r="C106" s="624" t="s">
        <v>1404</v>
      </c>
      <c r="D106" s="628">
        <v>21</v>
      </c>
      <c r="E106" s="626" t="s">
        <v>1405</v>
      </c>
      <c r="F106" s="626"/>
      <c r="G106" s="627">
        <v>10613</v>
      </c>
      <c r="H106" s="626"/>
      <c r="I106" s="626"/>
      <c r="J106" s="626"/>
      <c r="K106" s="626"/>
    </row>
    <row r="107" spans="1:11" ht="36" x14ac:dyDescent="0.2">
      <c r="A107" s="622" t="s">
        <v>1406</v>
      </c>
      <c r="B107" s="623" t="s">
        <v>1407</v>
      </c>
      <c r="C107" s="624" t="s">
        <v>1408</v>
      </c>
      <c r="D107" s="625" t="s">
        <v>1409</v>
      </c>
      <c r="E107" s="626">
        <v>196.49</v>
      </c>
      <c r="F107" s="626"/>
      <c r="G107" s="627">
        <v>16711</v>
      </c>
      <c r="H107" s="626"/>
      <c r="I107" s="626"/>
      <c r="J107" s="626"/>
      <c r="K107" s="626"/>
    </row>
    <row r="108" spans="1:11" ht="75" x14ac:dyDescent="0.2">
      <c r="A108" s="622" t="s">
        <v>1410</v>
      </c>
      <c r="B108" s="623" t="s">
        <v>1411</v>
      </c>
      <c r="C108" s="624" t="s">
        <v>1412</v>
      </c>
      <c r="D108" s="628">
        <v>5740</v>
      </c>
      <c r="E108" s="626" t="s">
        <v>1413</v>
      </c>
      <c r="F108" s="626"/>
      <c r="G108" s="627">
        <v>116407</v>
      </c>
      <c r="H108" s="627">
        <v>116407</v>
      </c>
      <c r="I108" s="626"/>
      <c r="J108" s="627">
        <v>1.8</v>
      </c>
      <c r="K108" s="627">
        <v>10332</v>
      </c>
    </row>
    <row r="109" spans="1:11" ht="22.5" x14ac:dyDescent="0.2">
      <c r="A109" s="2643" t="s">
        <v>1414</v>
      </c>
      <c r="B109" s="2629"/>
      <c r="C109" s="2629"/>
      <c r="D109" s="2629"/>
      <c r="E109" s="2629"/>
      <c r="F109" s="2629"/>
      <c r="G109" s="626">
        <v>10641584</v>
      </c>
      <c r="H109" s="626">
        <v>609274</v>
      </c>
      <c r="I109" s="626" t="s">
        <v>1415</v>
      </c>
      <c r="J109" s="626"/>
      <c r="K109" s="626">
        <v>61833.98</v>
      </c>
    </row>
    <row r="110" spans="1:11" x14ac:dyDescent="0.2">
      <c r="A110" s="2643" t="s">
        <v>1416</v>
      </c>
      <c r="B110" s="2629"/>
      <c r="C110" s="2629"/>
      <c r="D110" s="2629"/>
      <c r="E110" s="2629"/>
      <c r="F110" s="2629"/>
      <c r="G110" s="626">
        <v>894759</v>
      </c>
      <c r="H110" s="626"/>
      <c r="I110" s="626"/>
      <c r="J110" s="626"/>
      <c r="K110" s="626"/>
    </row>
    <row r="111" spans="1:11" x14ac:dyDescent="0.2">
      <c r="A111" s="2643" t="s">
        <v>1417</v>
      </c>
      <c r="B111" s="2629"/>
      <c r="C111" s="2629"/>
      <c r="D111" s="2629"/>
      <c r="E111" s="2629"/>
      <c r="F111" s="2629"/>
      <c r="G111" s="626">
        <v>436465</v>
      </c>
      <c r="H111" s="626"/>
      <c r="I111" s="626"/>
      <c r="J111" s="626"/>
      <c r="K111" s="626"/>
    </row>
    <row r="112" spans="1:11" x14ac:dyDescent="0.2">
      <c r="A112" s="2644" t="s">
        <v>1418</v>
      </c>
      <c r="B112" s="2629"/>
      <c r="C112" s="2629"/>
      <c r="D112" s="2629"/>
      <c r="E112" s="2629"/>
      <c r="F112" s="2629"/>
      <c r="G112" s="639">
        <v>11972808</v>
      </c>
      <c r="H112" s="626"/>
      <c r="I112" s="626"/>
      <c r="J112" s="626"/>
      <c r="K112" s="639">
        <v>61833.98</v>
      </c>
    </row>
    <row r="113" spans="1:11" ht="19.149999999999999" customHeight="1" x14ac:dyDescent="0.2">
      <c r="A113" s="2645" t="s">
        <v>1419</v>
      </c>
      <c r="B113" s="2629"/>
      <c r="C113" s="2629"/>
      <c r="D113" s="2629"/>
      <c r="E113" s="2629"/>
      <c r="F113" s="2629"/>
      <c r="G113" s="2629"/>
      <c r="H113" s="2629"/>
      <c r="I113" s="2629"/>
      <c r="J113" s="2629"/>
      <c r="K113" s="2629"/>
    </row>
    <row r="114" spans="1:11" ht="19.149999999999999" customHeight="1" x14ac:dyDescent="0.2">
      <c r="A114" s="2643" t="s">
        <v>1420</v>
      </c>
      <c r="B114" s="2629"/>
      <c r="C114" s="2629"/>
      <c r="D114" s="2629"/>
      <c r="E114" s="2629"/>
      <c r="F114" s="2629"/>
      <c r="G114" s="2629"/>
      <c r="H114" s="2629"/>
      <c r="I114" s="2629"/>
      <c r="J114" s="2629"/>
      <c r="K114" s="2629"/>
    </row>
    <row r="115" spans="1:11" ht="19.149999999999999" customHeight="1" x14ac:dyDescent="0.2">
      <c r="A115" s="621"/>
      <c r="B115" s="2628" t="s">
        <v>1181</v>
      </c>
      <c r="C115" s="2629"/>
      <c r="D115" s="2629"/>
      <c r="E115" s="2629"/>
      <c r="F115" s="2629"/>
      <c r="G115" s="2629"/>
      <c r="H115" s="2629"/>
      <c r="I115" s="2629"/>
      <c r="J115" s="2629"/>
      <c r="K115" s="2629"/>
    </row>
    <row r="116" spans="1:11" ht="87" x14ac:dyDescent="0.2">
      <c r="A116" s="622" t="s">
        <v>1421</v>
      </c>
      <c r="B116" s="623" t="s">
        <v>1182</v>
      </c>
      <c r="C116" s="624" t="s">
        <v>1183</v>
      </c>
      <c r="D116" s="625" t="s">
        <v>1422</v>
      </c>
      <c r="E116" s="626" t="s">
        <v>1185</v>
      </c>
      <c r="F116" s="626" t="s">
        <v>1186</v>
      </c>
      <c r="G116" s="627">
        <v>523</v>
      </c>
      <c r="H116" s="627">
        <v>173</v>
      </c>
      <c r="I116" s="626" t="s">
        <v>1423</v>
      </c>
      <c r="J116" s="627">
        <v>1038.78</v>
      </c>
      <c r="K116" s="627">
        <v>21.19</v>
      </c>
    </row>
    <row r="117" spans="1:11" ht="99" x14ac:dyDescent="0.2">
      <c r="A117" s="622" t="s">
        <v>1424</v>
      </c>
      <c r="B117" s="623" t="s">
        <v>1188</v>
      </c>
      <c r="C117" s="624" t="s">
        <v>1189</v>
      </c>
      <c r="D117" s="625" t="s">
        <v>1425</v>
      </c>
      <c r="E117" s="626" t="s">
        <v>1191</v>
      </c>
      <c r="F117" s="626" t="s">
        <v>1192</v>
      </c>
      <c r="G117" s="627">
        <v>388</v>
      </c>
      <c r="H117" s="627">
        <v>211</v>
      </c>
      <c r="I117" s="626" t="s">
        <v>1426</v>
      </c>
      <c r="J117" s="627">
        <v>1178.82</v>
      </c>
      <c r="K117" s="627">
        <v>24.76</v>
      </c>
    </row>
    <row r="118" spans="1:11" ht="31.5" x14ac:dyDescent="0.2">
      <c r="A118" s="622" t="s">
        <v>1427</v>
      </c>
      <c r="B118" s="623" t="s">
        <v>1194</v>
      </c>
      <c r="C118" s="624" t="s">
        <v>1195</v>
      </c>
      <c r="D118" s="625" t="s">
        <v>1428</v>
      </c>
      <c r="E118" s="626">
        <v>725.69</v>
      </c>
      <c r="F118" s="626"/>
      <c r="G118" s="627">
        <v>1547</v>
      </c>
      <c r="H118" s="626"/>
      <c r="I118" s="626"/>
      <c r="J118" s="626"/>
      <c r="K118" s="626"/>
    </row>
    <row r="119" spans="1:11" ht="36" x14ac:dyDescent="0.2">
      <c r="A119" s="622" t="s">
        <v>1429</v>
      </c>
      <c r="B119" s="623" t="s">
        <v>1197</v>
      </c>
      <c r="C119" s="624" t="s">
        <v>1198</v>
      </c>
      <c r="D119" s="628">
        <v>2.1</v>
      </c>
      <c r="E119" s="626" t="s">
        <v>1199</v>
      </c>
      <c r="F119" s="626"/>
      <c r="G119" s="627">
        <v>68</v>
      </c>
      <c r="H119" s="626"/>
      <c r="I119" s="626"/>
      <c r="J119" s="626"/>
      <c r="K119" s="626"/>
    </row>
    <row r="120" spans="1:11" ht="36" x14ac:dyDescent="0.2">
      <c r="A120" s="622" t="s">
        <v>1430</v>
      </c>
      <c r="B120" s="623" t="s">
        <v>1200</v>
      </c>
      <c r="C120" s="624" t="s">
        <v>1201</v>
      </c>
      <c r="D120" s="628">
        <v>0.3</v>
      </c>
      <c r="E120" s="626">
        <v>5584.58</v>
      </c>
      <c r="F120" s="626"/>
      <c r="G120" s="627">
        <v>1675</v>
      </c>
      <c r="H120" s="626"/>
      <c r="I120" s="626"/>
      <c r="J120" s="626"/>
      <c r="K120" s="626"/>
    </row>
    <row r="121" spans="1:11" ht="19.149999999999999" customHeight="1" x14ac:dyDescent="0.2">
      <c r="A121" s="621"/>
      <c r="B121" s="2628" t="s">
        <v>1202</v>
      </c>
      <c r="C121" s="2629"/>
      <c r="D121" s="2629"/>
      <c r="E121" s="2629"/>
      <c r="F121" s="2629"/>
      <c r="G121" s="2629"/>
      <c r="H121" s="2629"/>
      <c r="I121" s="2629"/>
      <c r="J121" s="2629"/>
      <c r="K121" s="2629"/>
    </row>
    <row r="122" spans="1:11" ht="94.5" x14ac:dyDescent="0.2">
      <c r="A122" s="622" t="s">
        <v>1431</v>
      </c>
      <c r="B122" s="623" t="s">
        <v>1203</v>
      </c>
      <c r="C122" s="624" t="s">
        <v>1204</v>
      </c>
      <c r="D122" s="625" t="s">
        <v>1432</v>
      </c>
      <c r="E122" s="626" t="s">
        <v>1206</v>
      </c>
      <c r="F122" s="626" t="s">
        <v>1207</v>
      </c>
      <c r="G122" s="627">
        <v>566</v>
      </c>
      <c r="H122" s="627">
        <v>222</v>
      </c>
      <c r="I122" s="626" t="s">
        <v>1433</v>
      </c>
      <c r="J122" s="627">
        <v>31.1355</v>
      </c>
      <c r="K122" s="627">
        <v>21.42</v>
      </c>
    </row>
    <row r="123" spans="1:11" ht="94.5" x14ac:dyDescent="0.2">
      <c r="A123" s="622" t="s">
        <v>1434</v>
      </c>
      <c r="B123" s="623" t="s">
        <v>1203</v>
      </c>
      <c r="C123" s="624" t="s">
        <v>1209</v>
      </c>
      <c r="D123" s="625" t="s">
        <v>1435</v>
      </c>
      <c r="E123" s="626" t="s">
        <v>1206</v>
      </c>
      <c r="F123" s="626" t="s">
        <v>1207</v>
      </c>
      <c r="G123" s="627">
        <v>790</v>
      </c>
      <c r="H123" s="627">
        <v>309</v>
      </c>
      <c r="I123" s="626" t="s">
        <v>1436</v>
      </c>
      <c r="J123" s="627">
        <v>31.1355</v>
      </c>
      <c r="K123" s="627">
        <v>29.89</v>
      </c>
    </row>
    <row r="124" spans="1:11" ht="94.5" x14ac:dyDescent="0.2">
      <c r="A124" s="622" t="s">
        <v>1437</v>
      </c>
      <c r="B124" s="623" t="s">
        <v>1212</v>
      </c>
      <c r="C124" s="624" t="s">
        <v>1213</v>
      </c>
      <c r="D124" s="625" t="s">
        <v>1438</v>
      </c>
      <c r="E124" s="626" t="s">
        <v>1215</v>
      </c>
      <c r="F124" s="626" t="s">
        <v>1216</v>
      </c>
      <c r="G124" s="627">
        <v>360</v>
      </c>
      <c r="H124" s="627">
        <v>59</v>
      </c>
      <c r="I124" s="626" t="s">
        <v>1439</v>
      </c>
      <c r="J124" s="627">
        <v>37.884</v>
      </c>
      <c r="K124" s="627">
        <v>6.14</v>
      </c>
    </row>
    <row r="125" spans="1:11" ht="99" x14ac:dyDescent="0.2">
      <c r="A125" s="622" t="s">
        <v>1440</v>
      </c>
      <c r="B125" s="623" t="s">
        <v>1218</v>
      </c>
      <c r="C125" s="624" t="s">
        <v>1219</v>
      </c>
      <c r="D125" s="625" t="s">
        <v>1441</v>
      </c>
      <c r="E125" s="626" t="s">
        <v>1221</v>
      </c>
      <c r="F125" s="626" t="s">
        <v>1222</v>
      </c>
      <c r="G125" s="627">
        <v>485</v>
      </c>
      <c r="H125" s="627">
        <v>107</v>
      </c>
      <c r="I125" s="626" t="s">
        <v>1229</v>
      </c>
      <c r="J125" s="627">
        <v>1.635</v>
      </c>
      <c r="K125" s="627">
        <v>13.08</v>
      </c>
    </row>
    <row r="126" spans="1:11" ht="99" x14ac:dyDescent="0.2">
      <c r="A126" s="622" t="s">
        <v>1442</v>
      </c>
      <c r="B126" s="623" t="s">
        <v>1224</v>
      </c>
      <c r="C126" s="624" t="s">
        <v>1225</v>
      </c>
      <c r="D126" s="625" t="s">
        <v>1220</v>
      </c>
      <c r="E126" s="626" t="s">
        <v>1227</v>
      </c>
      <c r="F126" s="626"/>
      <c r="G126" s="627">
        <v>185</v>
      </c>
      <c r="H126" s="627">
        <v>182</v>
      </c>
      <c r="I126" s="626"/>
      <c r="J126" s="627">
        <v>1.395</v>
      </c>
      <c r="K126" s="627">
        <v>22.32</v>
      </c>
    </row>
    <row r="127" spans="1:11" ht="99" x14ac:dyDescent="0.2">
      <c r="A127" s="622" t="s">
        <v>1443</v>
      </c>
      <c r="B127" s="623" t="s">
        <v>1218</v>
      </c>
      <c r="C127" s="624" t="s">
        <v>1228</v>
      </c>
      <c r="D127" s="628">
        <v>4</v>
      </c>
      <c r="E127" s="626" t="s">
        <v>1221</v>
      </c>
      <c r="F127" s="626" t="s">
        <v>1222</v>
      </c>
      <c r="G127" s="627">
        <v>242</v>
      </c>
      <c r="H127" s="627">
        <v>53</v>
      </c>
      <c r="I127" s="626" t="s">
        <v>1444</v>
      </c>
      <c r="J127" s="627">
        <v>1.635</v>
      </c>
      <c r="K127" s="627">
        <v>6.54</v>
      </c>
    </row>
    <row r="128" spans="1:11" ht="99" x14ac:dyDescent="0.2">
      <c r="A128" s="622" t="s">
        <v>1445</v>
      </c>
      <c r="B128" s="623" t="s">
        <v>1218</v>
      </c>
      <c r="C128" s="624" t="s">
        <v>1230</v>
      </c>
      <c r="D128" s="628">
        <v>8</v>
      </c>
      <c r="E128" s="626" t="s">
        <v>1221</v>
      </c>
      <c r="F128" s="626" t="s">
        <v>1222</v>
      </c>
      <c r="G128" s="627">
        <v>485</v>
      </c>
      <c r="H128" s="627">
        <v>107</v>
      </c>
      <c r="I128" s="626" t="s">
        <v>1229</v>
      </c>
      <c r="J128" s="627">
        <v>1.635</v>
      </c>
      <c r="K128" s="627">
        <v>13.08</v>
      </c>
    </row>
    <row r="129" spans="1:12" ht="84.75" x14ac:dyDescent="0.2">
      <c r="A129" s="622" t="s">
        <v>1446</v>
      </c>
      <c r="B129" s="623" t="s">
        <v>1232</v>
      </c>
      <c r="C129" s="624" t="s">
        <v>1233</v>
      </c>
      <c r="D129" s="625" t="s">
        <v>1447</v>
      </c>
      <c r="E129" s="626" t="s">
        <v>1235</v>
      </c>
      <c r="F129" s="626"/>
      <c r="G129" s="627">
        <v>4206</v>
      </c>
      <c r="H129" s="627">
        <v>4018</v>
      </c>
      <c r="I129" s="626"/>
      <c r="J129" s="627">
        <v>2.61</v>
      </c>
      <c r="K129" s="627">
        <v>417.6</v>
      </c>
    </row>
    <row r="130" spans="1:12" ht="33.75" x14ac:dyDescent="0.2">
      <c r="A130" s="629" t="s">
        <v>1448</v>
      </c>
      <c r="B130" s="630" t="s">
        <v>1449</v>
      </c>
      <c r="C130" s="631" t="s">
        <v>1237</v>
      </c>
      <c r="D130" s="632">
        <v>41.5</v>
      </c>
      <c r="E130" s="633" t="s">
        <v>1238</v>
      </c>
      <c r="F130" s="633"/>
      <c r="G130" s="634">
        <v>887678</v>
      </c>
      <c r="H130" s="633"/>
      <c r="I130" s="633"/>
      <c r="J130" s="633"/>
      <c r="K130" s="633"/>
      <c r="L130" s="635" t="s">
        <v>1239</v>
      </c>
    </row>
    <row r="131" spans="1:12" ht="19.149999999999999" customHeight="1" x14ac:dyDescent="0.2">
      <c r="A131" s="2643" t="s">
        <v>1450</v>
      </c>
      <c r="B131" s="2629"/>
      <c r="C131" s="2629"/>
      <c r="D131" s="2629"/>
      <c r="E131" s="2629"/>
      <c r="F131" s="2629"/>
      <c r="G131" s="2629"/>
      <c r="H131" s="2629"/>
      <c r="I131" s="2629"/>
      <c r="J131" s="2629"/>
      <c r="K131" s="2629"/>
    </row>
    <row r="132" spans="1:12" ht="196.5" x14ac:dyDescent="0.2">
      <c r="A132" s="622" t="s">
        <v>1451</v>
      </c>
      <c r="B132" s="623" t="s">
        <v>1241</v>
      </c>
      <c r="C132" s="624" t="s">
        <v>1242</v>
      </c>
      <c r="D132" s="625" t="s">
        <v>1452</v>
      </c>
      <c r="E132" s="626" t="s">
        <v>1244</v>
      </c>
      <c r="F132" s="626" t="s">
        <v>1245</v>
      </c>
      <c r="G132" s="627">
        <v>182639</v>
      </c>
      <c r="H132" s="627">
        <v>14283</v>
      </c>
      <c r="I132" s="626" t="s">
        <v>1453</v>
      </c>
      <c r="J132" s="627">
        <v>1039.7328</v>
      </c>
      <c r="K132" s="627">
        <v>1484.74</v>
      </c>
    </row>
    <row r="133" spans="1:12" ht="196.5" x14ac:dyDescent="0.2">
      <c r="A133" s="622" t="s">
        <v>1454</v>
      </c>
      <c r="B133" s="623" t="s">
        <v>1247</v>
      </c>
      <c r="C133" s="624" t="s">
        <v>1248</v>
      </c>
      <c r="D133" s="625" t="s">
        <v>1455</v>
      </c>
      <c r="E133" s="626" t="s">
        <v>1250</v>
      </c>
      <c r="F133" s="626" t="s">
        <v>1251</v>
      </c>
      <c r="G133" s="627">
        <v>97822</v>
      </c>
      <c r="H133" s="627">
        <v>7470</v>
      </c>
      <c r="I133" s="626" t="s">
        <v>1456</v>
      </c>
      <c r="J133" s="627">
        <v>3081.2808</v>
      </c>
      <c r="K133" s="627">
        <v>776.48</v>
      </c>
    </row>
    <row r="134" spans="1:12" ht="36" x14ac:dyDescent="0.2">
      <c r="A134" s="622" t="s">
        <v>1457</v>
      </c>
      <c r="B134" s="623" t="s">
        <v>1253</v>
      </c>
      <c r="C134" s="624" t="s">
        <v>1254</v>
      </c>
      <c r="D134" s="625" t="s">
        <v>1458</v>
      </c>
      <c r="E134" s="626">
        <v>480</v>
      </c>
      <c r="F134" s="626"/>
      <c r="G134" s="627">
        <v>2419</v>
      </c>
      <c r="H134" s="626"/>
      <c r="I134" s="626"/>
      <c r="J134" s="626"/>
      <c r="K134" s="626"/>
    </row>
    <row r="135" spans="1:12" ht="31.5" x14ac:dyDescent="0.2">
      <c r="A135" s="622" t="s">
        <v>1459</v>
      </c>
      <c r="B135" s="623" t="s">
        <v>1256</v>
      </c>
      <c r="C135" s="624" t="s">
        <v>1257</v>
      </c>
      <c r="D135" s="625" t="s">
        <v>1460</v>
      </c>
      <c r="E135" s="626">
        <v>2.44</v>
      </c>
      <c r="F135" s="626"/>
      <c r="G135" s="627">
        <v>9</v>
      </c>
      <c r="H135" s="626"/>
      <c r="I135" s="626"/>
      <c r="J135" s="626"/>
      <c r="K135" s="626"/>
    </row>
    <row r="136" spans="1:12" ht="96.75" x14ac:dyDescent="0.2">
      <c r="A136" s="622" t="s">
        <v>1461</v>
      </c>
      <c r="B136" s="623" t="s">
        <v>1259</v>
      </c>
      <c r="C136" s="624" t="s">
        <v>1260</v>
      </c>
      <c r="D136" s="625" t="s">
        <v>1462</v>
      </c>
      <c r="E136" s="626" t="s">
        <v>1262</v>
      </c>
      <c r="F136" s="626" t="s">
        <v>1263</v>
      </c>
      <c r="G136" s="627">
        <v>18805</v>
      </c>
      <c r="H136" s="627">
        <v>2522</v>
      </c>
      <c r="I136" s="626" t="s">
        <v>1463</v>
      </c>
      <c r="J136" s="627">
        <v>156.04499999999999</v>
      </c>
      <c r="K136" s="627">
        <v>262.16000000000003</v>
      </c>
    </row>
    <row r="137" spans="1:12" ht="36" x14ac:dyDescent="0.2">
      <c r="A137" s="622" t="s">
        <v>1464</v>
      </c>
      <c r="B137" s="623" t="s">
        <v>1253</v>
      </c>
      <c r="C137" s="624" t="s">
        <v>1254</v>
      </c>
      <c r="D137" s="625" t="s">
        <v>1465</v>
      </c>
      <c r="E137" s="626">
        <v>480</v>
      </c>
      <c r="F137" s="626"/>
      <c r="G137" s="627">
        <v>4032</v>
      </c>
      <c r="H137" s="626"/>
      <c r="I137" s="626"/>
      <c r="J137" s="626"/>
      <c r="K137" s="626"/>
    </row>
    <row r="138" spans="1:12" ht="31.5" x14ac:dyDescent="0.2">
      <c r="A138" s="622" t="s">
        <v>1466</v>
      </c>
      <c r="B138" s="623" t="s">
        <v>1256</v>
      </c>
      <c r="C138" s="624" t="s">
        <v>1257</v>
      </c>
      <c r="D138" s="625" t="s">
        <v>1467</v>
      </c>
      <c r="E138" s="626">
        <v>2.44</v>
      </c>
      <c r="F138" s="626"/>
      <c r="G138" s="627">
        <v>8</v>
      </c>
      <c r="H138" s="626"/>
      <c r="I138" s="626"/>
      <c r="J138" s="626"/>
      <c r="K138" s="626"/>
    </row>
    <row r="139" spans="1:12" ht="36" x14ac:dyDescent="0.2">
      <c r="A139" s="629" t="s">
        <v>1468</v>
      </c>
      <c r="B139" s="630" t="s">
        <v>1267</v>
      </c>
      <c r="C139" s="631" t="s">
        <v>1268</v>
      </c>
      <c r="D139" s="636" t="s">
        <v>1304</v>
      </c>
      <c r="E139" s="633" t="s">
        <v>1270</v>
      </c>
      <c r="F139" s="633"/>
      <c r="G139" s="634">
        <v>19143</v>
      </c>
      <c r="H139" s="633"/>
      <c r="I139" s="633"/>
      <c r="J139" s="633"/>
      <c r="K139" s="633"/>
      <c r="L139" s="638" t="s">
        <v>1271</v>
      </c>
    </row>
    <row r="140" spans="1:12" ht="36" x14ac:dyDescent="0.2">
      <c r="A140" s="629" t="s">
        <v>1469</v>
      </c>
      <c r="B140" s="630" t="s">
        <v>1272</v>
      </c>
      <c r="C140" s="631" t="s">
        <v>1273</v>
      </c>
      <c r="D140" s="636" t="s">
        <v>1470</v>
      </c>
      <c r="E140" s="633" t="s">
        <v>1275</v>
      </c>
      <c r="F140" s="633"/>
      <c r="G140" s="634">
        <v>82644</v>
      </c>
      <c r="H140" s="633"/>
      <c r="I140" s="633"/>
      <c r="J140" s="633"/>
      <c r="K140" s="633"/>
    </row>
    <row r="141" spans="1:12" ht="36" x14ac:dyDescent="0.2">
      <c r="A141" s="629" t="s">
        <v>1471</v>
      </c>
      <c r="B141" s="630" t="s">
        <v>1276</v>
      </c>
      <c r="C141" s="631" t="s">
        <v>1277</v>
      </c>
      <c r="D141" s="636" t="s">
        <v>1472</v>
      </c>
      <c r="E141" s="633" t="s">
        <v>1279</v>
      </c>
      <c r="F141" s="633"/>
      <c r="G141" s="634">
        <v>47939</v>
      </c>
      <c r="H141" s="633"/>
      <c r="I141" s="633"/>
      <c r="J141" s="633"/>
      <c r="K141" s="633"/>
    </row>
    <row r="142" spans="1:12" ht="24" x14ac:dyDescent="0.2">
      <c r="A142" s="629" t="s">
        <v>1473</v>
      </c>
      <c r="B142" s="630" t="s">
        <v>1280</v>
      </c>
      <c r="C142" s="631" t="s">
        <v>1281</v>
      </c>
      <c r="D142" s="636" t="s">
        <v>1470</v>
      </c>
      <c r="E142" s="633" t="s">
        <v>1282</v>
      </c>
      <c r="F142" s="633"/>
      <c r="G142" s="634">
        <v>6812</v>
      </c>
      <c r="H142" s="633"/>
      <c r="I142" s="633"/>
      <c r="J142" s="633"/>
      <c r="K142" s="633"/>
    </row>
    <row r="143" spans="1:12" ht="36" x14ac:dyDescent="0.2">
      <c r="A143" s="629" t="s">
        <v>1474</v>
      </c>
      <c r="B143" s="630" t="s">
        <v>1283</v>
      </c>
      <c r="C143" s="631" t="s">
        <v>1284</v>
      </c>
      <c r="D143" s="636" t="s">
        <v>1304</v>
      </c>
      <c r="E143" s="633" t="s">
        <v>1285</v>
      </c>
      <c r="F143" s="633"/>
      <c r="G143" s="634">
        <v>13914</v>
      </c>
      <c r="H143" s="633"/>
      <c r="I143" s="633"/>
      <c r="J143" s="633"/>
      <c r="K143" s="633"/>
    </row>
    <row r="144" spans="1:12" ht="87" x14ac:dyDescent="0.2">
      <c r="A144" s="622" t="s">
        <v>1475</v>
      </c>
      <c r="B144" s="623" t="s">
        <v>1286</v>
      </c>
      <c r="C144" s="624" t="s">
        <v>1287</v>
      </c>
      <c r="D144" s="628">
        <v>56</v>
      </c>
      <c r="E144" s="626" t="s">
        <v>1288</v>
      </c>
      <c r="F144" s="626" t="s">
        <v>1289</v>
      </c>
      <c r="G144" s="627">
        <v>317</v>
      </c>
      <c r="H144" s="627">
        <v>129</v>
      </c>
      <c r="I144" s="626" t="s">
        <v>1476</v>
      </c>
      <c r="J144" s="627">
        <v>0.255</v>
      </c>
      <c r="K144" s="627">
        <v>14.28</v>
      </c>
    </row>
    <row r="145" spans="1:12" ht="19.149999999999999" customHeight="1" x14ac:dyDescent="0.2">
      <c r="A145" s="2643" t="s">
        <v>1477</v>
      </c>
      <c r="B145" s="2629"/>
      <c r="C145" s="2629"/>
      <c r="D145" s="2629"/>
      <c r="E145" s="2629"/>
      <c r="F145" s="2629"/>
      <c r="G145" s="2629"/>
      <c r="H145" s="2629"/>
      <c r="I145" s="2629"/>
      <c r="J145" s="2629"/>
      <c r="K145" s="2629"/>
    </row>
    <row r="146" spans="1:12" ht="196.5" x14ac:dyDescent="0.2">
      <c r="A146" s="622" t="s">
        <v>1478</v>
      </c>
      <c r="B146" s="623" t="s">
        <v>1241</v>
      </c>
      <c r="C146" s="624" t="s">
        <v>1242</v>
      </c>
      <c r="D146" s="625" t="s">
        <v>1479</v>
      </c>
      <c r="E146" s="626" t="s">
        <v>1244</v>
      </c>
      <c r="F146" s="626" t="s">
        <v>1245</v>
      </c>
      <c r="G146" s="627">
        <v>104365</v>
      </c>
      <c r="H146" s="627">
        <v>8162</v>
      </c>
      <c r="I146" s="626" t="s">
        <v>1480</v>
      </c>
      <c r="J146" s="627">
        <v>1039.7328</v>
      </c>
      <c r="K146" s="627">
        <v>848.42</v>
      </c>
    </row>
    <row r="147" spans="1:12" ht="196.5" x14ac:dyDescent="0.2">
      <c r="A147" s="622" t="s">
        <v>1481</v>
      </c>
      <c r="B147" s="623" t="s">
        <v>1247</v>
      </c>
      <c r="C147" s="624" t="s">
        <v>1248</v>
      </c>
      <c r="D147" s="625" t="s">
        <v>1482</v>
      </c>
      <c r="E147" s="626" t="s">
        <v>1250</v>
      </c>
      <c r="F147" s="626" t="s">
        <v>1251</v>
      </c>
      <c r="G147" s="627">
        <v>55898</v>
      </c>
      <c r="H147" s="627">
        <v>4268</v>
      </c>
      <c r="I147" s="626" t="s">
        <v>1483</v>
      </c>
      <c r="J147" s="627">
        <v>3081.2808</v>
      </c>
      <c r="K147" s="627">
        <v>443.7</v>
      </c>
    </row>
    <row r="148" spans="1:12" ht="36" x14ac:dyDescent="0.2">
      <c r="A148" s="622" t="s">
        <v>1484</v>
      </c>
      <c r="B148" s="623" t="s">
        <v>1253</v>
      </c>
      <c r="C148" s="624" t="s">
        <v>1254</v>
      </c>
      <c r="D148" s="625" t="s">
        <v>1485</v>
      </c>
      <c r="E148" s="626">
        <v>480</v>
      </c>
      <c r="F148" s="626"/>
      <c r="G148" s="627">
        <v>1382</v>
      </c>
      <c r="H148" s="626"/>
      <c r="I148" s="626"/>
      <c r="J148" s="626"/>
      <c r="K148" s="626"/>
    </row>
    <row r="149" spans="1:12" ht="31.5" x14ac:dyDescent="0.2">
      <c r="A149" s="622" t="s">
        <v>1486</v>
      </c>
      <c r="B149" s="623" t="s">
        <v>1256</v>
      </c>
      <c r="C149" s="624" t="s">
        <v>1257</v>
      </c>
      <c r="D149" s="625" t="s">
        <v>1487</v>
      </c>
      <c r="E149" s="626">
        <v>2.44</v>
      </c>
      <c r="F149" s="626"/>
      <c r="G149" s="627">
        <v>5</v>
      </c>
      <c r="H149" s="626"/>
      <c r="I149" s="626"/>
      <c r="J149" s="626"/>
      <c r="K149" s="626"/>
    </row>
    <row r="150" spans="1:12" ht="96.75" x14ac:dyDescent="0.2">
      <c r="A150" s="622" t="s">
        <v>1488</v>
      </c>
      <c r="B150" s="623" t="s">
        <v>1259</v>
      </c>
      <c r="C150" s="624" t="s">
        <v>1260</v>
      </c>
      <c r="D150" s="625" t="s">
        <v>1489</v>
      </c>
      <c r="E150" s="626" t="s">
        <v>1262</v>
      </c>
      <c r="F150" s="626" t="s">
        <v>1263</v>
      </c>
      <c r="G150" s="627">
        <v>10746</v>
      </c>
      <c r="H150" s="627">
        <v>1441</v>
      </c>
      <c r="I150" s="626" t="s">
        <v>1490</v>
      </c>
      <c r="J150" s="627">
        <v>156.04499999999999</v>
      </c>
      <c r="K150" s="627">
        <v>149.80000000000001</v>
      </c>
    </row>
    <row r="151" spans="1:12" ht="36" x14ac:dyDescent="0.2">
      <c r="A151" s="622" t="s">
        <v>1491</v>
      </c>
      <c r="B151" s="623" t="s">
        <v>1253</v>
      </c>
      <c r="C151" s="624" t="s">
        <v>1254</v>
      </c>
      <c r="D151" s="625" t="s">
        <v>1492</v>
      </c>
      <c r="E151" s="626">
        <v>480</v>
      </c>
      <c r="F151" s="626"/>
      <c r="G151" s="627">
        <v>2304</v>
      </c>
      <c r="H151" s="626"/>
      <c r="I151" s="626"/>
      <c r="J151" s="626"/>
      <c r="K151" s="626"/>
    </row>
    <row r="152" spans="1:12" ht="31.5" x14ac:dyDescent="0.2">
      <c r="A152" s="622" t="s">
        <v>1493</v>
      </c>
      <c r="B152" s="623" t="s">
        <v>1256</v>
      </c>
      <c r="C152" s="624" t="s">
        <v>1257</v>
      </c>
      <c r="D152" s="625" t="s">
        <v>1494</v>
      </c>
      <c r="E152" s="626">
        <v>2.44</v>
      </c>
      <c r="F152" s="626"/>
      <c r="G152" s="627">
        <v>5</v>
      </c>
      <c r="H152" s="626"/>
      <c r="I152" s="626"/>
      <c r="J152" s="626"/>
      <c r="K152" s="626"/>
    </row>
    <row r="153" spans="1:12" ht="36" x14ac:dyDescent="0.2">
      <c r="A153" s="629" t="s">
        <v>1495</v>
      </c>
      <c r="B153" s="630" t="s">
        <v>1303</v>
      </c>
      <c r="C153" s="631" t="s">
        <v>1268</v>
      </c>
      <c r="D153" s="636" t="s">
        <v>1496</v>
      </c>
      <c r="E153" s="633" t="s">
        <v>1270</v>
      </c>
      <c r="F153" s="633"/>
      <c r="G153" s="634">
        <v>9572</v>
      </c>
      <c r="H153" s="633"/>
      <c r="I153" s="633"/>
      <c r="J153" s="633"/>
      <c r="K153" s="633"/>
      <c r="L153" s="638" t="s">
        <v>1271</v>
      </c>
    </row>
    <row r="154" spans="1:12" ht="36" x14ac:dyDescent="0.2">
      <c r="A154" s="629" t="s">
        <v>1497</v>
      </c>
      <c r="B154" s="630" t="s">
        <v>1307</v>
      </c>
      <c r="C154" s="631" t="s">
        <v>1273</v>
      </c>
      <c r="D154" s="636" t="s">
        <v>1498</v>
      </c>
      <c r="E154" s="633" t="s">
        <v>1275</v>
      </c>
      <c r="F154" s="633"/>
      <c r="G154" s="634">
        <v>48209</v>
      </c>
      <c r="H154" s="633"/>
      <c r="I154" s="633"/>
      <c r="J154" s="633"/>
      <c r="K154" s="633"/>
    </row>
    <row r="155" spans="1:12" ht="36" x14ac:dyDescent="0.2">
      <c r="A155" s="629" t="s">
        <v>1499</v>
      </c>
      <c r="B155" s="630" t="s">
        <v>1310</v>
      </c>
      <c r="C155" s="631" t="s">
        <v>1277</v>
      </c>
      <c r="D155" s="636" t="s">
        <v>1500</v>
      </c>
      <c r="E155" s="633" t="s">
        <v>1279</v>
      </c>
      <c r="F155" s="633"/>
      <c r="G155" s="634">
        <v>27657</v>
      </c>
      <c r="H155" s="633"/>
      <c r="I155" s="633"/>
      <c r="J155" s="633"/>
      <c r="K155" s="633"/>
    </row>
    <row r="156" spans="1:12" ht="24" x14ac:dyDescent="0.2">
      <c r="A156" s="629" t="s">
        <v>1501</v>
      </c>
      <c r="B156" s="630" t="s">
        <v>1313</v>
      </c>
      <c r="C156" s="631" t="s">
        <v>1281</v>
      </c>
      <c r="D156" s="636" t="s">
        <v>1498</v>
      </c>
      <c r="E156" s="633" t="s">
        <v>1282</v>
      </c>
      <c r="F156" s="633"/>
      <c r="G156" s="634">
        <v>3973</v>
      </c>
      <c r="H156" s="633"/>
      <c r="I156" s="633"/>
      <c r="J156" s="633"/>
      <c r="K156" s="633"/>
    </row>
    <row r="157" spans="1:12" ht="36" x14ac:dyDescent="0.2">
      <c r="A157" s="629" t="s">
        <v>1502</v>
      </c>
      <c r="B157" s="630" t="s">
        <v>1315</v>
      </c>
      <c r="C157" s="631" t="s">
        <v>1284</v>
      </c>
      <c r="D157" s="636" t="s">
        <v>1496</v>
      </c>
      <c r="E157" s="633" t="s">
        <v>1285</v>
      </c>
      <c r="F157" s="633"/>
      <c r="G157" s="634">
        <v>6957</v>
      </c>
      <c r="H157" s="633"/>
      <c r="I157" s="633"/>
      <c r="J157" s="633"/>
      <c r="K157" s="633"/>
    </row>
    <row r="158" spans="1:12" ht="87" x14ac:dyDescent="0.2">
      <c r="A158" s="622" t="s">
        <v>1503</v>
      </c>
      <c r="B158" s="623" t="s">
        <v>1286</v>
      </c>
      <c r="C158" s="624" t="s">
        <v>1287</v>
      </c>
      <c r="D158" s="628">
        <v>32</v>
      </c>
      <c r="E158" s="626" t="s">
        <v>1288</v>
      </c>
      <c r="F158" s="626" t="s">
        <v>1289</v>
      </c>
      <c r="G158" s="627">
        <v>181</v>
      </c>
      <c r="H158" s="627">
        <v>74</v>
      </c>
      <c r="I158" s="626" t="s">
        <v>1504</v>
      </c>
      <c r="J158" s="627">
        <v>0.255</v>
      </c>
      <c r="K158" s="627">
        <v>8.16</v>
      </c>
    </row>
    <row r="159" spans="1:12" ht="19.149999999999999" customHeight="1" x14ac:dyDescent="0.2">
      <c r="A159" s="2643" t="s">
        <v>1505</v>
      </c>
      <c r="B159" s="2629"/>
      <c r="C159" s="2629"/>
      <c r="D159" s="2629"/>
      <c r="E159" s="2629"/>
      <c r="F159" s="2629"/>
      <c r="G159" s="2629"/>
      <c r="H159" s="2629"/>
      <c r="I159" s="2629"/>
      <c r="J159" s="2629"/>
      <c r="K159" s="2629"/>
    </row>
    <row r="160" spans="1:12" ht="196.5" x14ac:dyDescent="0.2">
      <c r="A160" s="622" t="s">
        <v>1506</v>
      </c>
      <c r="B160" s="623" t="s">
        <v>1241</v>
      </c>
      <c r="C160" s="624" t="s">
        <v>1242</v>
      </c>
      <c r="D160" s="625" t="s">
        <v>1507</v>
      </c>
      <c r="E160" s="626" t="s">
        <v>1244</v>
      </c>
      <c r="F160" s="626" t="s">
        <v>1245</v>
      </c>
      <c r="G160" s="627">
        <v>293527</v>
      </c>
      <c r="H160" s="627">
        <v>22955</v>
      </c>
      <c r="I160" s="626" t="s">
        <v>1508</v>
      </c>
      <c r="J160" s="627">
        <v>1039.7328</v>
      </c>
      <c r="K160" s="627">
        <v>2386.19</v>
      </c>
    </row>
    <row r="161" spans="1:12" ht="196.5" x14ac:dyDescent="0.2">
      <c r="A161" s="622" t="s">
        <v>1509</v>
      </c>
      <c r="B161" s="623" t="s">
        <v>1247</v>
      </c>
      <c r="C161" s="624" t="s">
        <v>1248</v>
      </c>
      <c r="D161" s="625" t="s">
        <v>1510</v>
      </c>
      <c r="E161" s="626" t="s">
        <v>1250</v>
      </c>
      <c r="F161" s="626" t="s">
        <v>1251</v>
      </c>
      <c r="G161" s="627">
        <v>157213</v>
      </c>
      <c r="H161" s="627">
        <v>12005</v>
      </c>
      <c r="I161" s="626" t="s">
        <v>1511</v>
      </c>
      <c r="J161" s="627">
        <v>3081.2808</v>
      </c>
      <c r="K161" s="627">
        <v>1247.92</v>
      </c>
    </row>
    <row r="162" spans="1:12" ht="36" x14ac:dyDescent="0.2">
      <c r="A162" s="622" t="s">
        <v>1512</v>
      </c>
      <c r="B162" s="623" t="s">
        <v>1253</v>
      </c>
      <c r="C162" s="624" t="s">
        <v>1254</v>
      </c>
      <c r="D162" s="625" t="s">
        <v>1513</v>
      </c>
      <c r="E162" s="626">
        <v>480</v>
      </c>
      <c r="F162" s="626"/>
      <c r="G162" s="627">
        <v>3888</v>
      </c>
      <c r="H162" s="626"/>
      <c r="I162" s="626"/>
      <c r="J162" s="626"/>
      <c r="K162" s="626"/>
    </row>
    <row r="163" spans="1:12" ht="31.5" x14ac:dyDescent="0.2">
      <c r="A163" s="622" t="s">
        <v>1514</v>
      </c>
      <c r="B163" s="623" t="s">
        <v>1256</v>
      </c>
      <c r="C163" s="624" t="s">
        <v>1257</v>
      </c>
      <c r="D163" s="625" t="s">
        <v>1515</v>
      </c>
      <c r="E163" s="626">
        <v>2.44</v>
      </c>
      <c r="F163" s="626"/>
      <c r="G163" s="627">
        <v>14</v>
      </c>
      <c r="H163" s="626"/>
      <c r="I163" s="626"/>
      <c r="J163" s="626"/>
      <c r="K163" s="626"/>
    </row>
    <row r="164" spans="1:12" ht="96.75" x14ac:dyDescent="0.2">
      <c r="A164" s="622" t="s">
        <v>1516</v>
      </c>
      <c r="B164" s="623" t="s">
        <v>1259</v>
      </c>
      <c r="C164" s="624" t="s">
        <v>1260</v>
      </c>
      <c r="D164" s="625" t="s">
        <v>1517</v>
      </c>
      <c r="E164" s="626" t="s">
        <v>1262</v>
      </c>
      <c r="F164" s="626" t="s">
        <v>1263</v>
      </c>
      <c r="G164" s="627">
        <v>30223</v>
      </c>
      <c r="H164" s="627">
        <v>4053</v>
      </c>
      <c r="I164" s="626" t="s">
        <v>1518</v>
      </c>
      <c r="J164" s="627">
        <v>156.04499999999999</v>
      </c>
      <c r="K164" s="627">
        <v>421.32</v>
      </c>
    </row>
    <row r="165" spans="1:12" ht="36" x14ac:dyDescent="0.2">
      <c r="A165" s="622" t="s">
        <v>1519</v>
      </c>
      <c r="B165" s="623" t="s">
        <v>1253</v>
      </c>
      <c r="C165" s="624" t="s">
        <v>1254</v>
      </c>
      <c r="D165" s="625" t="s">
        <v>1520</v>
      </c>
      <c r="E165" s="626">
        <v>480</v>
      </c>
      <c r="F165" s="626"/>
      <c r="G165" s="627">
        <v>6480</v>
      </c>
      <c r="H165" s="626"/>
      <c r="I165" s="626"/>
      <c r="J165" s="626"/>
      <c r="K165" s="626"/>
    </row>
    <row r="166" spans="1:12" ht="31.5" x14ac:dyDescent="0.2">
      <c r="A166" s="622" t="s">
        <v>1521</v>
      </c>
      <c r="B166" s="623" t="s">
        <v>1256</v>
      </c>
      <c r="C166" s="624" t="s">
        <v>1257</v>
      </c>
      <c r="D166" s="625" t="s">
        <v>1522</v>
      </c>
      <c r="E166" s="626">
        <v>2.44</v>
      </c>
      <c r="F166" s="626"/>
      <c r="G166" s="627">
        <v>13</v>
      </c>
      <c r="H166" s="626"/>
      <c r="I166" s="626"/>
      <c r="J166" s="626"/>
      <c r="K166" s="626"/>
    </row>
    <row r="167" spans="1:12" ht="36" x14ac:dyDescent="0.2">
      <c r="A167" s="629" t="s">
        <v>1523</v>
      </c>
      <c r="B167" s="630" t="s">
        <v>1337</v>
      </c>
      <c r="C167" s="631" t="s">
        <v>1268</v>
      </c>
      <c r="D167" s="636" t="s">
        <v>1524</v>
      </c>
      <c r="E167" s="633" t="s">
        <v>1270</v>
      </c>
      <c r="F167" s="633"/>
      <c r="G167" s="634">
        <v>23929</v>
      </c>
      <c r="H167" s="633"/>
      <c r="I167" s="633"/>
      <c r="J167" s="633"/>
      <c r="K167" s="633"/>
      <c r="L167" s="638" t="s">
        <v>1271</v>
      </c>
    </row>
    <row r="168" spans="1:12" ht="36" x14ac:dyDescent="0.2">
      <c r="A168" s="629" t="s">
        <v>1525</v>
      </c>
      <c r="B168" s="630" t="s">
        <v>1340</v>
      </c>
      <c r="C168" s="631" t="s">
        <v>1273</v>
      </c>
      <c r="D168" s="636" t="s">
        <v>1526</v>
      </c>
      <c r="E168" s="633" t="s">
        <v>1275</v>
      </c>
      <c r="F168" s="633"/>
      <c r="G168" s="634">
        <v>137741</v>
      </c>
      <c r="H168" s="633"/>
      <c r="I168" s="633"/>
      <c r="J168" s="633"/>
      <c r="K168" s="633"/>
    </row>
    <row r="169" spans="1:12" ht="36" x14ac:dyDescent="0.2">
      <c r="A169" s="629" t="s">
        <v>1527</v>
      </c>
      <c r="B169" s="630" t="s">
        <v>1343</v>
      </c>
      <c r="C169" s="631" t="s">
        <v>1277</v>
      </c>
      <c r="D169" s="636" t="s">
        <v>1528</v>
      </c>
      <c r="E169" s="633" t="s">
        <v>1279</v>
      </c>
      <c r="F169" s="633"/>
      <c r="G169" s="634">
        <v>78362</v>
      </c>
      <c r="H169" s="633"/>
      <c r="I169" s="633"/>
      <c r="J169" s="633"/>
      <c r="K169" s="633"/>
    </row>
    <row r="170" spans="1:12" ht="24" x14ac:dyDescent="0.2">
      <c r="A170" s="629" t="s">
        <v>1529</v>
      </c>
      <c r="B170" s="630" t="s">
        <v>1346</v>
      </c>
      <c r="C170" s="631" t="s">
        <v>1281</v>
      </c>
      <c r="D170" s="636" t="s">
        <v>1526</v>
      </c>
      <c r="E170" s="633" t="s">
        <v>1282</v>
      </c>
      <c r="F170" s="633"/>
      <c r="G170" s="634">
        <v>11353</v>
      </c>
      <c r="H170" s="633"/>
      <c r="I170" s="633"/>
      <c r="J170" s="633"/>
      <c r="K170" s="633"/>
    </row>
    <row r="171" spans="1:12" ht="36" x14ac:dyDescent="0.2">
      <c r="A171" s="629" t="s">
        <v>1530</v>
      </c>
      <c r="B171" s="630" t="s">
        <v>1348</v>
      </c>
      <c r="C171" s="631" t="s">
        <v>1284</v>
      </c>
      <c r="D171" s="636" t="s">
        <v>1524</v>
      </c>
      <c r="E171" s="633" t="s">
        <v>1285</v>
      </c>
      <c r="F171" s="633"/>
      <c r="G171" s="634">
        <v>17392</v>
      </c>
      <c r="H171" s="633"/>
      <c r="I171" s="633"/>
      <c r="J171" s="633"/>
      <c r="K171" s="633"/>
    </row>
    <row r="172" spans="1:12" ht="87" x14ac:dyDescent="0.2">
      <c r="A172" s="622" t="s">
        <v>1531</v>
      </c>
      <c r="B172" s="623" t="s">
        <v>1286</v>
      </c>
      <c r="C172" s="624" t="s">
        <v>1287</v>
      </c>
      <c r="D172" s="628">
        <v>90</v>
      </c>
      <c r="E172" s="626" t="s">
        <v>1288</v>
      </c>
      <c r="F172" s="626" t="s">
        <v>1289</v>
      </c>
      <c r="G172" s="627">
        <v>509</v>
      </c>
      <c r="H172" s="627">
        <v>208</v>
      </c>
      <c r="I172" s="626" t="s">
        <v>1532</v>
      </c>
      <c r="J172" s="627">
        <v>0.255</v>
      </c>
      <c r="K172" s="627">
        <v>22.95</v>
      </c>
    </row>
    <row r="173" spans="1:12" ht="19.149999999999999" customHeight="1" x14ac:dyDescent="0.2">
      <c r="A173" s="2643" t="s">
        <v>1533</v>
      </c>
      <c r="B173" s="2629"/>
      <c r="C173" s="2629"/>
      <c r="D173" s="2629"/>
      <c r="E173" s="2629"/>
      <c r="F173" s="2629"/>
      <c r="G173" s="2629"/>
      <c r="H173" s="2629"/>
      <c r="I173" s="2629"/>
      <c r="J173" s="2629"/>
      <c r="K173" s="2629"/>
    </row>
    <row r="174" spans="1:12" ht="196.5" x14ac:dyDescent="0.2">
      <c r="A174" s="622" t="s">
        <v>1534</v>
      </c>
      <c r="B174" s="623" t="s">
        <v>1241</v>
      </c>
      <c r="C174" s="624" t="s">
        <v>1242</v>
      </c>
      <c r="D174" s="625" t="s">
        <v>1535</v>
      </c>
      <c r="E174" s="626" t="s">
        <v>1244</v>
      </c>
      <c r="F174" s="626" t="s">
        <v>1245</v>
      </c>
      <c r="G174" s="627">
        <v>130456</v>
      </c>
      <c r="H174" s="627">
        <v>10202</v>
      </c>
      <c r="I174" s="626" t="s">
        <v>1536</v>
      </c>
      <c r="J174" s="627">
        <v>1039.7328</v>
      </c>
      <c r="K174" s="627">
        <v>1060.53</v>
      </c>
    </row>
    <row r="175" spans="1:12" ht="196.5" x14ac:dyDescent="0.2">
      <c r="A175" s="622" t="s">
        <v>1537</v>
      </c>
      <c r="B175" s="623" t="s">
        <v>1247</v>
      </c>
      <c r="C175" s="624" t="s">
        <v>1248</v>
      </c>
      <c r="D175" s="625" t="s">
        <v>1538</v>
      </c>
      <c r="E175" s="626" t="s">
        <v>1250</v>
      </c>
      <c r="F175" s="626" t="s">
        <v>1251</v>
      </c>
      <c r="G175" s="627">
        <v>69873</v>
      </c>
      <c r="H175" s="627">
        <v>5336</v>
      </c>
      <c r="I175" s="626" t="s">
        <v>1539</v>
      </c>
      <c r="J175" s="627">
        <v>3081.2808</v>
      </c>
      <c r="K175" s="627">
        <v>554.63</v>
      </c>
    </row>
    <row r="176" spans="1:12" ht="36" x14ac:dyDescent="0.2">
      <c r="A176" s="622" t="s">
        <v>1540</v>
      </c>
      <c r="B176" s="623" t="s">
        <v>1253</v>
      </c>
      <c r="C176" s="624" t="s">
        <v>1254</v>
      </c>
      <c r="D176" s="625" t="s">
        <v>1541</v>
      </c>
      <c r="E176" s="626">
        <v>480</v>
      </c>
      <c r="F176" s="626"/>
      <c r="G176" s="627">
        <v>1728</v>
      </c>
      <c r="H176" s="626"/>
      <c r="I176" s="626"/>
      <c r="J176" s="626"/>
      <c r="K176" s="626"/>
    </row>
    <row r="177" spans="1:12" ht="31.5" x14ac:dyDescent="0.2">
      <c r="A177" s="622" t="s">
        <v>1542</v>
      </c>
      <c r="B177" s="623" t="s">
        <v>1256</v>
      </c>
      <c r="C177" s="624" t="s">
        <v>1257</v>
      </c>
      <c r="D177" s="625" t="s">
        <v>1543</v>
      </c>
      <c r="E177" s="626">
        <v>2.44</v>
      </c>
      <c r="F177" s="626"/>
      <c r="G177" s="627">
        <v>6</v>
      </c>
      <c r="H177" s="626"/>
      <c r="I177" s="626"/>
      <c r="J177" s="626"/>
      <c r="K177" s="626"/>
    </row>
    <row r="178" spans="1:12" ht="96.75" x14ac:dyDescent="0.2">
      <c r="A178" s="622" t="s">
        <v>1544</v>
      </c>
      <c r="B178" s="623" t="s">
        <v>1259</v>
      </c>
      <c r="C178" s="624" t="s">
        <v>1260</v>
      </c>
      <c r="D178" s="625" t="s">
        <v>1545</v>
      </c>
      <c r="E178" s="626" t="s">
        <v>1262</v>
      </c>
      <c r="F178" s="626" t="s">
        <v>1263</v>
      </c>
      <c r="G178" s="627">
        <v>13432</v>
      </c>
      <c r="H178" s="627">
        <v>1801</v>
      </c>
      <c r="I178" s="626" t="s">
        <v>1546</v>
      </c>
      <c r="J178" s="627">
        <v>156.04499999999999</v>
      </c>
      <c r="K178" s="627">
        <v>187.25</v>
      </c>
    </row>
    <row r="179" spans="1:12" ht="36" x14ac:dyDescent="0.2">
      <c r="A179" s="622" t="s">
        <v>1547</v>
      </c>
      <c r="B179" s="623" t="s">
        <v>1253</v>
      </c>
      <c r="C179" s="624" t="s">
        <v>1254</v>
      </c>
      <c r="D179" s="625" t="s">
        <v>1548</v>
      </c>
      <c r="E179" s="626">
        <v>480</v>
      </c>
      <c r="F179" s="626"/>
      <c r="G179" s="627">
        <v>2880</v>
      </c>
      <c r="H179" s="626"/>
      <c r="I179" s="626"/>
      <c r="J179" s="626"/>
      <c r="K179" s="626"/>
    </row>
    <row r="180" spans="1:12" ht="31.5" x14ac:dyDescent="0.2">
      <c r="A180" s="622" t="s">
        <v>1549</v>
      </c>
      <c r="B180" s="623" t="s">
        <v>1256</v>
      </c>
      <c r="C180" s="624" t="s">
        <v>1257</v>
      </c>
      <c r="D180" s="625" t="s">
        <v>1550</v>
      </c>
      <c r="E180" s="626">
        <v>2.44</v>
      </c>
      <c r="F180" s="626"/>
      <c r="G180" s="627">
        <v>6</v>
      </c>
      <c r="H180" s="626"/>
      <c r="I180" s="626"/>
      <c r="J180" s="626"/>
      <c r="K180" s="626"/>
    </row>
    <row r="181" spans="1:12" ht="36" x14ac:dyDescent="0.2">
      <c r="A181" s="629" t="s">
        <v>1551</v>
      </c>
      <c r="B181" s="630" t="s">
        <v>1370</v>
      </c>
      <c r="C181" s="631" t="s">
        <v>1268</v>
      </c>
      <c r="D181" s="636" t="s">
        <v>1496</v>
      </c>
      <c r="E181" s="633" t="s">
        <v>1270</v>
      </c>
      <c r="F181" s="633"/>
      <c r="G181" s="634">
        <v>9572</v>
      </c>
      <c r="H181" s="633"/>
      <c r="I181" s="633"/>
      <c r="J181" s="633"/>
      <c r="K181" s="633"/>
      <c r="L181" s="638" t="s">
        <v>1271</v>
      </c>
    </row>
    <row r="182" spans="1:12" ht="36" x14ac:dyDescent="0.2">
      <c r="A182" s="629" t="s">
        <v>1552</v>
      </c>
      <c r="B182" s="630" t="s">
        <v>1372</v>
      </c>
      <c r="C182" s="631" t="s">
        <v>1273</v>
      </c>
      <c r="D182" s="636" t="s">
        <v>1553</v>
      </c>
      <c r="E182" s="633" t="s">
        <v>1275</v>
      </c>
      <c r="F182" s="633"/>
      <c r="G182" s="634">
        <v>61983</v>
      </c>
      <c r="H182" s="633"/>
      <c r="I182" s="633"/>
      <c r="J182" s="633"/>
      <c r="K182" s="633"/>
    </row>
    <row r="183" spans="1:12" ht="36" x14ac:dyDescent="0.2">
      <c r="A183" s="629" t="s">
        <v>1554</v>
      </c>
      <c r="B183" s="630" t="s">
        <v>1375</v>
      </c>
      <c r="C183" s="631" t="s">
        <v>1277</v>
      </c>
      <c r="D183" s="636" t="s">
        <v>1555</v>
      </c>
      <c r="E183" s="633" t="s">
        <v>1279</v>
      </c>
      <c r="F183" s="633"/>
      <c r="G183" s="634">
        <v>35032</v>
      </c>
      <c r="H183" s="633"/>
      <c r="I183" s="633"/>
      <c r="J183" s="633"/>
      <c r="K183" s="633"/>
    </row>
    <row r="184" spans="1:12" ht="24" x14ac:dyDescent="0.2">
      <c r="A184" s="629" t="s">
        <v>1556</v>
      </c>
      <c r="B184" s="630" t="s">
        <v>1378</v>
      </c>
      <c r="C184" s="631" t="s">
        <v>1281</v>
      </c>
      <c r="D184" s="636" t="s">
        <v>1553</v>
      </c>
      <c r="E184" s="633" t="s">
        <v>1282</v>
      </c>
      <c r="F184" s="633"/>
      <c r="G184" s="634">
        <v>5109</v>
      </c>
      <c r="H184" s="633"/>
      <c r="I184" s="633"/>
      <c r="J184" s="633"/>
      <c r="K184" s="633"/>
    </row>
    <row r="185" spans="1:12" ht="36" x14ac:dyDescent="0.2">
      <c r="A185" s="629" t="s">
        <v>1557</v>
      </c>
      <c r="B185" s="630" t="s">
        <v>1380</v>
      </c>
      <c r="C185" s="631" t="s">
        <v>1284</v>
      </c>
      <c r="D185" s="636" t="s">
        <v>1496</v>
      </c>
      <c r="E185" s="633" t="s">
        <v>1285</v>
      </c>
      <c r="F185" s="633"/>
      <c r="G185" s="634">
        <v>6957</v>
      </c>
      <c r="H185" s="633"/>
      <c r="I185" s="633"/>
      <c r="J185" s="633"/>
      <c r="K185" s="633"/>
    </row>
    <row r="186" spans="1:12" ht="87" x14ac:dyDescent="0.2">
      <c r="A186" s="622" t="s">
        <v>1558</v>
      </c>
      <c r="B186" s="623" t="s">
        <v>1286</v>
      </c>
      <c r="C186" s="624" t="s">
        <v>1287</v>
      </c>
      <c r="D186" s="628">
        <v>40</v>
      </c>
      <c r="E186" s="626" t="s">
        <v>1288</v>
      </c>
      <c r="F186" s="626" t="s">
        <v>1289</v>
      </c>
      <c r="G186" s="627">
        <v>226</v>
      </c>
      <c r="H186" s="627">
        <v>92</v>
      </c>
      <c r="I186" s="626" t="s">
        <v>1426</v>
      </c>
      <c r="J186" s="627">
        <v>0.255</v>
      </c>
      <c r="K186" s="627">
        <v>10.199999999999999</v>
      </c>
    </row>
    <row r="187" spans="1:12" ht="75" x14ac:dyDescent="0.2">
      <c r="A187" s="622" t="s">
        <v>1559</v>
      </c>
      <c r="B187" s="623" t="s">
        <v>1411</v>
      </c>
      <c r="C187" s="624" t="s">
        <v>1412</v>
      </c>
      <c r="D187" s="628">
        <v>3760</v>
      </c>
      <c r="E187" s="626" t="s">
        <v>1413</v>
      </c>
      <c r="F187" s="626"/>
      <c r="G187" s="627">
        <v>76253</v>
      </c>
      <c r="H187" s="627">
        <v>76253</v>
      </c>
      <c r="I187" s="626"/>
      <c r="J187" s="627">
        <v>1.8</v>
      </c>
      <c r="K187" s="627">
        <v>6768</v>
      </c>
    </row>
    <row r="188" spans="1:12" ht="22.5" x14ac:dyDescent="0.2">
      <c r="A188" s="2643" t="s">
        <v>1414</v>
      </c>
      <c r="B188" s="2629"/>
      <c r="C188" s="2629"/>
      <c r="D188" s="2629"/>
      <c r="E188" s="2629"/>
      <c r="F188" s="2629"/>
      <c r="G188" s="626">
        <v>2821112</v>
      </c>
      <c r="H188" s="626">
        <v>176695</v>
      </c>
      <c r="I188" s="626" t="s">
        <v>1560</v>
      </c>
      <c r="J188" s="626"/>
      <c r="K188" s="626">
        <v>17222.75</v>
      </c>
    </row>
    <row r="189" spans="1:12" x14ac:dyDescent="0.2">
      <c r="A189" s="2643" t="s">
        <v>1416</v>
      </c>
      <c r="B189" s="2629"/>
      <c r="C189" s="2629"/>
      <c r="D189" s="2629"/>
      <c r="E189" s="2629"/>
      <c r="F189" s="2629"/>
      <c r="G189" s="626">
        <v>226452</v>
      </c>
      <c r="H189" s="626"/>
      <c r="I189" s="626"/>
      <c r="J189" s="626"/>
      <c r="K189" s="626"/>
    </row>
    <row r="190" spans="1:12" x14ac:dyDescent="0.2">
      <c r="A190" s="2643" t="s">
        <v>1417</v>
      </c>
      <c r="B190" s="2629"/>
      <c r="C190" s="2629"/>
      <c r="D190" s="2629"/>
      <c r="E190" s="2629"/>
      <c r="F190" s="2629"/>
      <c r="G190" s="626">
        <v>113701</v>
      </c>
      <c r="H190" s="626"/>
      <c r="I190" s="626"/>
      <c r="J190" s="626"/>
      <c r="K190" s="626"/>
    </row>
    <row r="191" spans="1:12" x14ac:dyDescent="0.2">
      <c r="A191" s="2644" t="s">
        <v>1561</v>
      </c>
      <c r="B191" s="2629"/>
      <c r="C191" s="2629"/>
      <c r="D191" s="2629"/>
      <c r="E191" s="2629"/>
      <c r="F191" s="2629"/>
      <c r="G191" s="639">
        <v>3161265</v>
      </c>
      <c r="H191" s="626"/>
      <c r="I191" s="626"/>
      <c r="J191" s="626"/>
      <c r="K191" s="639">
        <v>17222.75</v>
      </c>
    </row>
    <row r="192" spans="1:12" ht="19.149999999999999" customHeight="1" x14ac:dyDescent="0.2">
      <c r="A192" s="2645" t="s">
        <v>1562</v>
      </c>
      <c r="B192" s="2629"/>
      <c r="C192" s="2629"/>
      <c r="D192" s="2629"/>
      <c r="E192" s="2629"/>
      <c r="F192" s="2629"/>
      <c r="G192" s="2629"/>
      <c r="H192" s="2629"/>
      <c r="I192" s="2629"/>
      <c r="J192" s="2629"/>
      <c r="K192" s="2629"/>
    </row>
    <row r="193" spans="1:11" ht="19.149999999999999" customHeight="1" x14ac:dyDescent="0.2">
      <c r="A193" s="2643" t="s">
        <v>1563</v>
      </c>
      <c r="B193" s="2629"/>
      <c r="C193" s="2629"/>
      <c r="D193" s="2629"/>
      <c r="E193" s="2629"/>
      <c r="F193" s="2629"/>
      <c r="G193" s="2629"/>
      <c r="H193" s="2629"/>
      <c r="I193" s="2629"/>
      <c r="J193" s="2629"/>
      <c r="K193" s="2629"/>
    </row>
    <row r="194" spans="1:11" ht="111" x14ac:dyDescent="0.2">
      <c r="A194" s="622" t="s">
        <v>1564</v>
      </c>
      <c r="B194" s="623" t="s">
        <v>1565</v>
      </c>
      <c r="C194" s="624" t="s">
        <v>1566</v>
      </c>
      <c r="D194" s="625" t="s">
        <v>1567</v>
      </c>
      <c r="E194" s="626" t="s">
        <v>1568</v>
      </c>
      <c r="F194" s="626"/>
      <c r="G194" s="627">
        <v>22285</v>
      </c>
      <c r="H194" s="627">
        <v>22285</v>
      </c>
      <c r="I194" s="626"/>
      <c r="J194" s="627">
        <v>238.5</v>
      </c>
      <c r="K194" s="627">
        <v>2659.28</v>
      </c>
    </row>
    <row r="195" spans="1:11" ht="75" x14ac:dyDescent="0.2">
      <c r="A195" s="622" t="s">
        <v>1569</v>
      </c>
      <c r="B195" s="623" t="s">
        <v>1570</v>
      </c>
      <c r="C195" s="624" t="s">
        <v>1571</v>
      </c>
      <c r="D195" s="625" t="s">
        <v>1567</v>
      </c>
      <c r="E195" s="626" t="s">
        <v>1572</v>
      </c>
      <c r="F195" s="626" t="s">
        <v>1573</v>
      </c>
      <c r="G195" s="627">
        <v>39204</v>
      </c>
      <c r="H195" s="627">
        <v>39055</v>
      </c>
      <c r="I195" s="626" t="s">
        <v>1574</v>
      </c>
      <c r="J195" s="627">
        <v>421.5</v>
      </c>
      <c r="K195" s="627">
        <v>4699.7299999999996</v>
      </c>
    </row>
    <row r="196" spans="1:11" ht="19.149999999999999" customHeight="1" x14ac:dyDescent="0.2">
      <c r="A196" s="2643" t="s">
        <v>1575</v>
      </c>
      <c r="B196" s="2629"/>
      <c r="C196" s="2629"/>
      <c r="D196" s="2629"/>
      <c r="E196" s="2629"/>
      <c r="F196" s="2629"/>
      <c r="G196" s="2629"/>
      <c r="H196" s="2629"/>
      <c r="I196" s="2629"/>
      <c r="J196" s="2629"/>
      <c r="K196" s="2629"/>
    </row>
    <row r="197" spans="1:11" ht="87" x14ac:dyDescent="0.2">
      <c r="A197" s="622" t="s">
        <v>1576</v>
      </c>
      <c r="B197" s="623" t="s">
        <v>1577</v>
      </c>
      <c r="C197" s="624" t="s">
        <v>1578</v>
      </c>
      <c r="D197" s="625" t="s">
        <v>1579</v>
      </c>
      <c r="E197" s="626" t="s">
        <v>1580</v>
      </c>
      <c r="F197" s="626" t="s">
        <v>1581</v>
      </c>
      <c r="G197" s="627">
        <v>9840</v>
      </c>
      <c r="H197" s="627">
        <v>543</v>
      </c>
      <c r="I197" s="626" t="s">
        <v>1582</v>
      </c>
      <c r="J197" s="627">
        <v>36.284999999999997</v>
      </c>
      <c r="K197" s="627">
        <v>67.13</v>
      </c>
    </row>
    <row r="198" spans="1:11" ht="48" x14ac:dyDescent="0.2">
      <c r="A198" s="622" t="s">
        <v>1583</v>
      </c>
      <c r="B198" s="623" t="s">
        <v>1584</v>
      </c>
      <c r="C198" s="624" t="s">
        <v>1585</v>
      </c>
      <c r="D198" s="625" t="s">
        <v>1586</v>
      </c>
      <c r="E198" s="626">
        <v>90.94</v>
      </c>
      <c r="F198" s="626"/>
      <c r="G198" s="627">
        <v>21871</v>
      </c>
      <c r="H198" s="626"/>
      <c r="I198" s="626"/>
      <c r="J198" s="626"/>
      <c r="K198" s="626"/>
    </row>
    <row r="199" spans="1:11" ht="19.149999999999999" customHeight="1" x14ac:dyDescent="0.2">
      <c r="A199" s="2643" t="s">
        <v>1587</v>
      </c>
      <c r="B199" s="2629"/>
      <c r="C199" s="2629"/>
      <c r="D199" s="2629"/>
      <c r="E199" s="2629"/>
      <c r="F199" s="2629"/>
      <c r="G199" s="2629"/>
      <c r="H199" s="2629"/>
      <c r="I199" s="2629"/>
      <c r="J199" s="2629"/>
      <c r="K199" s="2629"/>
    </row>
    <row r="200" spans="1:11" ht="111" x14ac:dyDescent="0.2">
      <c r="A200" s="622" t="s">
        <v>1588</v>
      </c>
      <c r="B200" s="623" t="s">
        <v>1589</v>
      </c>
      <c r="C200" s="624" t="s">
        <v>1590</v>
      </c>
      <c r="D200" s="625" t="s">
        <v>1591</v>
      </c>
      <c r="E200" s="626">
        <v>6106.5</v>
      </c>
      <c r="F200" s="626" t="s">
        <v>1592</v>
      </c>
      <c r="G200" s="627">
        <v>5301</v>
      </c>
      <c r="H200" s="626"/>
      <c r="I200" s="626" t="s">
        <v>1593</v>
      </c>
      <c r="J200" s="626"/>
      <c r="K200" s="626"/>
    </row>
    <row r="201" spans="1:11" ht="126" x14ac:dyDescent="0.2">
      <c r="A201" s="622" t="s">
        <v>1594</v>
      </c>
      <c r="B201" s="623" t="s">
        <v>1595</v>
      </c>
      <c r="C201" s="624" t="s">
        <v>1596</v>
      </c>
      <c r="D201" s="625" t="s">
        <v>1597</v>
      </c>
      <c r="E201" s="626" t="s">
        <v>1598</v>
      </c>
      <c r="F201" s="626"/>
      <c r="G201" s="627">
        <v>581</v>
      </c>
      <c r="H201" s="627">
        <v>581</v>
      </c>
      <c r="I201" s="626"/>
      <c r="J201" s="627">
        <v>277.2</v>
      </c>
      <c r="K201" s="627">
        <v>74.430000000000007</v>
      </c>
    </row>
    <row r="202" spans="1:11" ht="123" x14ac:dyDescent="0.2">
      <c r="A202" s="622" t="s">
        <v>1599</v>
      </c>
      <c r="B202" s="623" t="s">
        <v>1600</v>
      </c>
      <c r="C202" s="624" t="s">
        <v>1601</v>
      </c>
      <c r="D202" s="625" t="s">
        <v>1602</v>
      </c>
      <c r="E202" s="626">
        <v>5044.5</v>
      </c>
      <c r="F202" s="626" t="s">
        <v>1603</v>
      </c>
      <c r="G202" s="627">
        <v>135</v>
      </c>
      <c r="H202" s="626"/>
      <c r="I202" s="626" t="s">
        <v>1604</v>
      </c>
      <c r="J202" s="626"/>
      <c r="K202" s="626"/>
    </row>
    <row r="203" spans="1:11" ht="99" x14ac:dyDescent="0.2">
      <c r="A203" s="622" t="s">
        <v>1605</v>
      </c>
      <c r="B203" s="623" t="s">
        <v>1606</v>
      </c>
      <c r="C203" s="624" t="s">
        <v>1607</v>
      </c>
      <c r="D203" s="625" t="s">
        <v>1608</v>
      </c>
      <c r="E203" s="626">
        <v>11.46</v>
      </c>
      <c r="F203" s="626">
        <v>11.46</v>
      </c>
      <c r="G203" s="627">
        <v>1328</v>
      </c>
      <c r="H203" s="626"/>
      <c r="I203" s="627">
        <v>1328</v>
      </c>
      <c r="J203" s="626"/>
      <c r="K203" s="626"/>
    </row>
    <row r="204" spans="1:11" ht="63" x14ac:dyDescent="0.2">
      <c r="A204" s="622" t="s">
        <v>1609</v>
      </c>
      <c r="B204" s="623" t="s">
        <v>1610</v>
      </c>
      <c r="C204" s="624" t="s">
        <v>1611</v>
      </c>
      <c r="D204" s="625" t="s">
        <v>1612</v>
      </c>
      <c r="E204" s="626" t="s">
        <v>1613</v>
      </c>
      <c r="F204" s="626" t="s">
        <v>1614</v>
      </c>
      <c r="G204" s="627">
        <v>473</v>
      </c>
      <c r="H204" s="627">
        <v>38</v>
      </c>
      <c r="I204" s="626" t="s">
        <v>1615</v>
      </c>
      <c r="J204" s="627">
        <v>5.4749999999999996</v>
      </c>
      <c r="K204" s="627">
        <v>4.9000000000000004</v>
      </c>
    </row>
    <row r="205" spans="1:11" ht="22.5" x14ac:dyDescent="0.2">
      <c r="A205" s="2643" t="s">
        <v>1414</v>
      </c>
      <c r="B205" s="2629"/>
      <c r="C205" s="2629"/>
      <c r="D205" s="2629"/>
      <c r="E205" s="2629"/>
      <c r="F205" s="2629"/>
      <c r="G205" s="626">
        <v>101018</v>
      </c>
      <c r="H205" s="626">
        <v>62502</v>
      </c>
      <c r="I205" s="626" t="s">
        <v>1616</v>
      </c>
      <c r="J205" s="626"/>
      <c r="K205" s="626">
        <v>7505.47</v>
      </c>
    </row>
    <row r="206" spans="1:11" x14ac:dyDescent="0.2">
      <c r="A206" s="2643" t="s">
        <v>1416</v>
      </c>
      <c r="B206" s="2629"/>
      <c r="C206" s="2629"/>
      <c r="D206" s="2629"/>
      <c r="E206" s="2629"/>
      <c r="F206" s="2629"/>
      <c r="G206" s="626">
        <v>49104</v>
      </c>
      <c r="H206" s="626"/>
      <c r="I206" s="626"/>
      <c r="J206" s="626"/>
      <c r="K206" s="626"/>
    </row>
    <row r="207" spans="1:11" x14ac:dyDescent="0.2">
      <c r="A207" s="2643" t="s">
        <v>1417</v>
      </c>
      <c r="B207" s="2629"/>
      <c r="C207" s="2629"/>
      <c r="D207" s="2629"/>
      <c r="E207" s="2629"/>
      <c r="F207" s="2629"/>
      <c r="G207" s="626">
        <v>28431</v>
      </c>
      <c r="H207" s="626"/>
      <c r="I207" s="626"/>
      <c r="J207" s="626"/>
      <c r="K207" s="626"/>
    </row>
    <row r="208" spans="1:11" x14ac:dyDescent="0.2">
      <c r="A208" s="2644" t="s">
        <v>1617</v>
      </c>
      <c r="B208" s="2629"/>
      <c r="C208" s="2629"/>
      <c r="D208" s="2629"/>
      <c r="E208" s="2629"/>
      <c r="F208" s="2629"/>
      <c r="G208" s="639">
        <v>178553</v>
      </c>
      <c r="H208" s="626"/>
      <c r="I208" s="626"/>
      <c r="J208" s="626"/>
      <c r="K208" s="639">
        <v>7505.47</v>
      </c>
    </row>
    <row r="209" spans="1:11" x14ac:dyDescent="0.2">
      <c r="A209" s="2648" t="s">
        <v>1618</v>
      </c>
      <c r="B209" s="2649"/>
      <c r="C209" s="2649"/>
      <c r="D209" s="2649"/>
      <c r="E209" s="2649"/>
      <c r="F209" s="2649"/>
      <c r="G209" s="2649"/>
      <c r="H209" s="2649"/>
      <c r="I209" s="2649"/>
      <c r="J209" s="2649"/>
      <c r="K209" s="2649"/>
    </row>
    <row r="210" spans="1:11" ht="22.5" x14ac:dyDescent="0.2">
      <c r="A210" s="2643" t="s">
        <v>1619</v>
      </c>
      <c r="B210" s="2629"/>
      <c r="C210" s="2629"/>
      <c r="D210" s="2629"/>
      <c r="E210" s="2629"/>
      <c r="F210" s="2629"/>
      <c r="G210" s="626">
        <v>13563714</v>
      </c>
      <c r="H210" s="626">
        <v>848471</v>
      </c>
      <c r="I210" s="626" t="s">
        <v>1620</v>
      </c>
      <c r="J210" s="626"/>
      <c r="K210" s="626">
        <v>86562.2</v>
      </c>
    </row>
    <row r="211" spans="1:11" x14ac:dyDescent="0.2">
      <c r="A211" s="2643" t="s">
        <v>1416</v>
      </c>
      <c r="B211" s="2629"/>
      <c r="C211" s="2629"/>
      <c r="D211" s="2629"/>
      <c r="E211" s="2629"/>
      <c r="F211" s="2629"/>
      <c r="G211" s="626">
        <v>1170315</v>
      </c>
      <c r="H211" s="626"/>
      <c r="I211" s="626"/>
      <c r="J211" s="626"/>
      <c r="K211" s="626"/>
    </row>
    <row r="212" spans="1:11" x14ac:dyDescent="0.2">
      <c r="A212" s="2643" t="s">
        <v>1417</v>
      </c>
      <c r="B212" s="2629"/>
      <c r="C212" s="2629"/>
      <c r="D212" s="2629"/>
      <c r="E212" s="2629"/>
      <c r="F212" s="2629"/>
      <c r="G212" s="626">
        <v>578598</v>
      </c>
      <c r="H212" s="626"/>
      <c r="I212" s="626"/>
      <c r="J212" s="626"/>
      <c r="K212" s="626"/>
    </row>
    <row r="213" spans="1:11" x14ac:dyDescent="0.2">
      <c r="A213" s="2644" t="s">
        <v>921</v>
      </c>
      <c r="B213" s="2629"/>
      <c r="C213" s="2629"/>
      <c r="D213" s="2629"/>
      <c r="E213" s="2629"/>
      <c r="F213" s="2629"/>
      <c r="G213" s="626"/>
      <c r="H213" s="626"/>
      <c r="I213" s="626"/>
      <c r="J213" s="626"/>
      <c r="K213" s="626"/>
    </row>
    <row r="214" spans="1:11" x14ac:dyDescent="0.2">
      <c r="A214" s="2643" t="s">
        <v>1621</v>
      </c>
      <c r="B214" s="2629"/>
      <c r="C214" s="2629"/>
      <c r="D214" s="2629"/>
      <c r="E214" s="2629"/>
      <c r="F214" s="2629"/>
      <c r="G214" s="626">
        <v>15304508</v>
      </c>
      <c r="H214" s="626"/>
      <c r="I214" s="626"/>
      <c r="J214" s="626"/>
      <c r="K214" s="626">
        <v>86348.46</v>
      </c>
    </row>
    <row r="215" spans="1:11" x14ac:dyDescent="0.2">
      <c r="A215" s="2643" t="s">
        <v>1622</v>
      </c>
      <c r="B215" s="2629"/>
      <c r="C215" s="2629"/>
      <c r="D215" s="2629"/>
      <c r="E215" s="2629"/>
      <c r="F215" s="2629"/>
      <c r="G215" s="626">
        <v>8119</v>
      </c>
      <c r="H215" s="626"/>
      <c r="I215" s="626"/>
      <c r="J215" s="626"/>
      <c r="K215" s="626">
        <v>213.74</v>
      </c>
    </row>
    <row r="216" spans="1:11" x14ac:dyDescent="0.2">
      <c r="A216" s="2643" t="s">
        <v>1623</v>
      </c>
      <c r="B216" s="2629"/>
      <c r="C216" s="2629"/>
      <c r="D216" s="2629"/>
      <c r="E216" s="2629"/>
      <c r="F216" s="2629"/>
      <c r="G216" s="626">
        <v>15312627</v>
      </c>
      <c r="H216" s="626"/>
      <c r="I216" s="626"/>
      <c r="J216" s="626"/>
      <c r="K216" s="626">
        <v>86562.2</v>
      </c>
    </row>
    <row r="217" spans="1:11" x14ac:dyDescent="0.2">
      <c r="A217" s="2643" t="s">
        <v>1624</v>
      </c>
      <c r="B217" s="2629"/>
      <c r="C217" s="2629"/>
      <c r="D217" s="2629"/>
      <c r="E217" s="2629"/>
      <c r="F217" s="2629"/>
      <c r="G217" s="626"/>
      <c r="H217" s="626"/>
      <c r="I217" s="626"/>
      <c r="J217" s="626"/>
      <c r="K217" s="626"/>
    </row>
    <row r="218" spans="1:11" x14ac:dyDescent="0.2">
      <c r="A218" s="2643" t="s">
        <v>1625</v>
      </c>
      <c r="B218" s="2629"/>
      <c r="C218" s="2629"/>
      <c r="D218" s="2629"/>
      <c r="E218" s="2629"/>
      <c r="F218" s="2629"/>
      <c r="G218" s="626">
        <v>6432699</v>
      </c>
      <c r="H218" s="626"/>
      <c r="I218" s="626"/>
      <c r="J218" s="626"/>
      <c r="K218" s="626"/>
    </row>
    <row r="219" spans="1:11" x14ac:dyDescent="0.2">
      <c r="A219" s="2643" t="s">
        <v>1626</v>
      </c>
      <c r="B219" s="2629"/>
      <c r="C219" s="2629"/>
      <c r="D219" s="2629"/>
      <c r="E219" s="2629"/>
      <c r="F219" s="2629"/>
      <c r="G219" s="626">
        <v>6282544</v>
      </c>
      <c r="H219" s="626"/>
      <c r="I219" s="626"/>
      <c r="J219" s="626"/>
      <c r="K219" s="626"/>
    </row>
    <row r="220" spans="1:11" x14ac:dyDescent="0.2">
      <c r="A220" s="2643" t="s">
        <v>1627</v>
      </c>
      <c r="B220" s="2629"/>
      <c r="C220" s="2629"/>
      <c r="D220" s="2629"/>
      <c r="E220" s="2629"/>
      <c r="F220" s="2629"/>
      <c r="G220" s="626">
        <v>1140034</v>
      </c>
      <c r="H220" s="626"/>
      <c r="I220" s="626"/>
      <c r="J220" s="626"/>
      <c r="K220" s="626"/>
    </row>
    <row r="221" spans="1:11" x14ac:dyDescent="0.2">
      <c r="A221" s="2643" t="s">
        <v>1628</v>
      </c>
      <c r="B221" s="2629"/>
      <c r="C221" s="2629"/>
      <c r="D221" s="2629"/>
      <c r="E221" s="2629"/>
      <c r="F221" s="2629"/>
      <c r="G221" s="626">
        <v>1170315</v>
      </c>
      <c r="H221" s="626"/>
      <c r="I221" s="626"/>
      <c r="J221" s="626"/>
      <c r="K221" s="626"/>
    </row>
    <row r="222" spans="1:11" x14ac:dyDescent="0.2">
      <c r="A222" s="2643" t="s">
        <v>1629</v>
      </c>
      <c r="B222" s="2629"/>
      <c r="C222" s="2629"/>
      <c r="D222" s="2629"/>
      <c r="E222" s="2629"/>
      <c r="F222" s="2629"/>
      <c r="G222" s="626">
        <v>578598</v>
      </c>
      <c r="H222" s="626"/>
      <c r="I222" s="626"/>
      <c r="J222" s="626"/>
      <c r="K222" s="626"/>
    </row>
    <row r="223" spans="1:11" x14ac:dyDescent="0.2">
      <c r="A223" s="2644" t="s">
        <v>1630</v>
      </c>
      <c r="B223" s="2629"/>
      <c r="C223" s="2629"/>
      <c r="D223" s="2629"/>
      <c r="E223" s="2629"/>
      <c r="F223" s="2629"/>
      <c r="G223" s="639">
        <v>15312627</v>
      </c>
      <c r="H223" s="626"/>
      <c r="I223" s="626"/>
      <c r="J223" s="626"/>
      <c r="K223" s="639">
        <v>86562.2</v>
      </c>
    </row>
    <row r="224" spans="1:11" x14ac:dyDescent="0.2">
      <c r="A224" s="583"/>
      <c r="B224" s="640"/>
      <c r="F224" s="575"/>
      <c r="G224" s="575"/>
      <c r="H224" s="575"/>
      <c r="I224" s="575"/>
      <c r="J224" s="575"/>
      <c r="K224" s="575"/>
    </row>
    <row r="225" spans="1:11" x14ac:dyDescent="0.2">
      <c r="A225" s="583"/>
      <c r="B225" s="640"/>
      <c r="F225" s="575"/>
      <c r="G225" s="575"/>
      <c r="H225" s="575"/>
      <c r="I225" s="575"/>
      <c r="J225" s="575"/>
      <c r="K225" s="575"/>
    </row>
    <row r="226" spans="1:11" x14ac:dyDescent="0.2">
      <c r="A226" s="583"/>
      <c r="B226" s="640"/>
      <c r="F226" s="575"/>
      <c r="G226" s="575"/>
      <c r="H226" s="575"/>
      <c r="I226" s="575"/>
      <c r="J226" s="575"/>
      <c r="K226" s="575"/>
    </row>
    <row r="227" spans="1:11" x14ac:dyDescent="0.2">
      <c r="A227" s="2650" t="s">
        <v>1631</v>
      </c>
      <c r="B227" s="2651"/>
      <c r="C227" s="2651"/>
      <c r="D227" s="2651"/>
      <c r="E227" s="2651"/>
      <c r="F227" s="2651"/>
      <c r="G227" s="2651"/>
      <c r="H227" s="2651"/>
      <c r="I227" s="2651"/>
      <c r="J227" s="2651"/>
      <c r="K227" s="2651"/>
    </row>
    <row r="228" spans="1:11" x14ac:dyDescent="0.2">
      <c r="A228" s="2652" t="s">
        <v>1632</v>
      </c>
      <c r="B228" s="2651"/>
      <c r="C228" s="2651"/>
      <c r="D228" s="2651"/>
      <c r="E228" s="2651"/>
      <c r="F228" s="2651"/>
      <c r="G228" s="2651"/>
      <c r="H228" s="2651"/>
      <c r="I228" s="2651"/>
      <c r="J228" s="2651"/>
      <c r="K228" s="2651"/>
    </row>
    <row r="229" spans="1:11" x14ac:dyDescent="0.2">
      <c r="A229" s="583"/>
      <c r="B229" s="640"/>
      <c r="F229" s="575"/>
      <c r="G229" s="575"/>
      <c r="H229" s="575"/>
      <c r="I229" s="575"/>
      <c r="J229" s="575"/>
      <c r="K229" s="575"/>
    </row>
    <row r="230" spans="1:11" x14ac:dyDescent="0.2">
      <c r="A230" s="583"/>
      <c r="B230" s="640"/>
      <c r="F230" s="575"/>
      <c r="G230" s="575"/>
      <c r="H230" s="575"/>
      <c r="I230" s="575"/>
      <c r="J230" s="575"/>
      <c r="K230" s="575"/>
    </row>
    <row r="231" spans="1:11" x14ac:dyDescent="0.2">
      <c r="A231" s="583"/>
      <c r="B231" s="640"/>
      <c r="F231" s="575"/>
      <c r="G231" s="575"/>
      <c r="H231" s="575"/>
      <c r="I231" s="575"/>
      <c r="J231" s="575"/>
      <c r="K231" s="575"/>
    </row>
    <row r="232" spans="1:11" x14ac:dyDescent="0.2">
      <c r="A232" s="583"/>
      <c r="B232" s="640"/>
      <c r="F232" s="575"/>
      <c r="G232" s="575"/>
      <c r="H232" s="575"/>
      <c r="I232" s="575"/>
      <c r="J232" s="575"/>
      <c r="K232" s="575"/>
    </row>
    <row r="233" spans="1:11" x14ac:dyDescent="0.2">
      <c r="A233" s="583"/>
      <c r="B233" s="640"/>
      <c r="F233" s="575"/>
      <c r="G233" s="575"/>
      <c r="H233" s="575"/>
      <c r="I233" s="575"/>
      <c r="J233" s="575"/>
      <c r="K233" s="575"/>
    </row>
    <row r="234" spans="1:11" x14ac:dyDescent="0.2">
      <c r="A234" s="583"/>
      <c r="B234" s="640"/>
      <c r="F234" s="575"/>
      <c r="G234" s="575"/>
      <c r="H234" s="575"/>
      <c r="I234" s="575"/>
      <c r="J234" s="575"/>
      <c r="K234" s="575"/>
    </row>
    <row r="235" spans="1:11" x14ac:dyDescent="0.2">
      <c r="A235" s="583"/>
      <c r="B235" s="640"/>
      <c r="F235" s="575"/>
      <c r="G235" s="575"/>
      <c r="H235" s="575"/>
      <c r="I235" s="575"/>
      <c r="J235" s="575"/>
      <c r="K235" s="575"/>
    </row>
    <row r="236" spans="1:11" x14ac:dyDescent="0.2">
      <c r="A236" s="583"/>
      <c r="B236" s="640"/>
      <c r="F236" s="575"/>
      <c r="G236" s="575"/>
      <c r="H236" s="575"/>
      <c r="I236" s="575"/>
      <c r="J236" s="575"/>
      <c r="K236" s="575"/>
    </row>
    <row r="237" spans="1:11" x14ac:dyDescent="0.2">
      <c r="A237" s="583"/>
      <c r="B237" s="640"/>
      <c r="F237" s="575"/>
      <c r="G237" s="575"/>
      <c r="H237" s="575"/>
      <c r="I237" s="575"/>
      <c r="J237" s="575"/>
      <c r="K237" s="575"/>
    </row>
    <row r="238" spans="1:11" x14ac:dyDescent="0.2">
      <c r="A238" s="583"/>
      <c r="B238" s="640"/>
      <c r="F238" s="575"/>
      <c r="G238" s="575"/>
      <c r="H238" s="575"/>
      <c r="I238" s="575"/>
      <c r="J238" s="575"/>
      <c r="K238" s="575"/>
    </row>
    <row r="239" spans="1:11" x14ac:dyDescent="0.2">
      <c r="A239" s="583"/>
      <c r="B239" s="640"/>
      <c r="F239" s="575"/>
      <c r="G239" s="575"/>
      <c r="H239" s="575"/>
      <c r="I239" s="575"/>
      <c r="J239" s="575"/>
      <c r="K239" s="575"/>
    </row>
    <row r="240" spans="1:11" x14ac:dyDescent="0.2">
      <c r="A240" s="583"/>
      <c r="B240" s="640"/>
      <c r="F240" s="575"/>
      <c r="G240" s="575"/>
      <c r="H240" s="575"/>
      <c r="I240" s="575"/>
      <c r="J240" s="575"/>
      <c r="K240" s="575"/>
    </row>
    <row r="241" spans="1:11" x14ac:dyDescent="0.2">
      <c r="A241" s="583"/>
      <c r="B241" s="640"/>
      <c r="F241" s="575"/>
      <c r="G241" s="575"/>
      <c r="H241" s="575"/>
      <c r="I241" s="575"/>
      <c r="J241" s="575"/>
      <c r="K241" s="575"/>
    </row>
    <row r="242" spans="1:11" x14ac:dyDescent="0.2">
      <c r="A242" s="583"/>
      <c r="B242" s="640"/>
      <c r="F242" s="575"/>
      <c r="G242" s="575"/>
      <c r="H242" s="575"/>
      <c r="I242" s="575"/>
      <c r="J242" s="575"/>
      <c r="K242" s="575"/>
    </row>
    <row r="243" spans="1:11" x14ac:dyDescent="0.2">
      <c r="A243" s="583"/>
      <c r="B243" s="640"/>
      <c r="F243" s="575"/>
      <c r="G243" s="575"/>
      <c r="H243" s="575"/>
      <c r="I243" s="575"/>
      <c r="J243" s="575"/>
      <c r="K243" s="575"/>
    </row>
    <row r="244" spans="1:11" x14ac:dyDescent="0.2">
      <c r="A244" s="583"/>
      <c r="B244" s="640"/>
      <c r="F244" s="575"/>
      <c r="G244" s="575"/>
      <c r="H244" s="575"/>
      <c r="I244" s="575"/>
      <c r="J244" s="575"/>
      <c r="K244" s="575"/>
    </row>
    <row r="245" spans="1:11" x14ac:dyDescent="0.2">
      <c r="A245" s="583"/>
      <c r="B245" s="640"/>
      <c r="F245" s="575"/>
      <c r="G245" s="575"/>
      <c r="H245" s="575"/>
      <c r="I245" s="575"/>
      <c r="J245" s="575"/>
      <c r="K245" s="575"/>
    </row>
    <row r="246" spans="1:11" x14ac:dyDescent="0.2">
      <c r="A246" s="583"/>
      <c r="B246" s="640"/>
      <c r="F246" s="575"/>
      <c r="G246" s="575"/>
      <c r="H246" s="575"/>
      <c r="I246" s="575"/>
      <c r="J246" s="575"/>
      <c r="K246" s="575"/>
    </row>
    <row r="247" spans="1:11" x14ac:dyDescent="0.2">
      <c r="A247" s="583"/>
      <c r="B247" s="640"/>
      <c r="F247" s="575"/>
      <c r="G247" s="575"/>
      <c r="H247" s="575"/>
      <c r="I247" s="575"/>
      <c r="J247" s="575"/>
      <c r="K247" s="575"/>
    </row>
    <row r="248" spans="1:11" x14ac:dyDescent="0.2">
      <c r="A248" s="583"/>
      <c r="B248" s="640"/>
      <c r="F248" s="575"/>
      <c r="G248" s="575"/>
      <c r="H248" s="575"/>
      <c r="I248" s="575"/>
      <c r="J248" s="575"/>
      <c r="K248" s="575"/>
    </row>
    <row r="249" spans="1:11" x14ac:dyDescent="0.2">
      <c r="A249" s="583"/>
      <c r="B249" s="640"/>
      <c r="F249" s="575"/>
      <c r="G249" s="575"/>
      <c r="H249" s="575"/>
      <c r="I249" s="575"/>
      <c r="J249" s="575"/>
      <c r="K249" s="575"/>
    </row>
    <row r="250" spans="1:11" x14ac:dyDescent="0.2">
      <c r="A250" s="583"/>
      <c r="B250" s="640"/>
      <c r="F250" s="575"/>
      <c r="G250" s="575"/>
      <c r="H250" s="575"/>
      <c r="I250" s="575"/>
      <c r="J250" s="575"/>
      <c r="K250" s="575"/>
    </row>
    <row r="251" spans="1:11" x14ac:dyDescent="0.2">
      <c r="A251" s="583"/>
      <c r="B251" s="640"/>
      <c r="F251" s="575"/>
      <c r="G251" s="575"/>
      <c r="H251" s="575"/>
      <c r="I251" s="575"/>
      <c r="J251" s="575"/>
      <c r="K251" s="575"/>
    </row>
    <row r="252" spans="1:11" x14ac:dyDescent="0.2">
      <c r="A252" s="583"/>
      <c r="B252" s="640"/>
      <c r="F252" s="575"/>
      <c r="G252" s="575"/>
      <c r="H252" s="575"/>
      <c r="I252" s="575"/>
      <c r="J252" s="575"/>
      <c r="K252" s="575"/>
    </row>
    <row r="253" spans="1:11" x14ac:dyDescent="0.2">
      <c r="A253" s="583"/>
      <c r="B253" s="640"/>
      <c r="F253" s="575"/>
      <c r="G253" s="575"/>
      <c r="H253" s="575"/>
      <c r="I253" s="575"/>
      <c r="J253" s="575"/>
      <c r="K253" s="575"/>
    </row>
    <row r="254" spans="1:11" x14ac:dyDescent="0.2">
      <c r="A254" s="583"/>
      <c r="B254" s="640"/>
      <c r="F254" s="575"/>
      <c r="G254" s="575"/>
      <c r="H254" s="575"/>
      <c r="I254" s="575"/>
      <c r="J254" s="575"/>
      <c r="K254" s="575"/>
    </row>
    <row r="255" spans="1:11" x14ac:dyDescent="0.2">
      <c r="A255" s="583"/>
      <c r="B255" s="640"/>
      <c r="F255" s="575"/>
      <c r="G255" s="575"/>
      <c r="H255" s="575"/>
      <c r="I255" s="575"/>
      <c r="J255" s="575"/>
      <c r="K255" s="575"/>
    </row>
    <row r="256" spans="1:11" x14ac:dyDescent="0.2">
      <c r="A256" s="583"/>
      <c r="B256" s="640"/>
      <c r="F256" s="575"/>
      <c r="G256" s="575"/>
      <c r="H256" s="575"/>
      <c r="I256" s="575"/>
      <c r="J256" s="575"/>
      <c r="K256" s="575"/>
    </row>
    <row r="257" spans="1:11" x14ac:dyDescent="0.2">
      <c r="A257" s="583"/>
      <c r="B257" s="640"/>
      <c r="F257" s="575"/>
      <c r="G257" s="575"/>
      <c r="H257" s="575"/>
      <c r="I257" s="575"/>
      <c r="J257" s="575"/>
      <c r="K257" s="575"/>
    </row>
    <row r="258" spans="1:11" x14ac:dyDescent="0.2">
      <c r="A258" s="583"/>
      <c r="B258" s="640"/>
      <c r="F258" s="575"/>
      <c r="G258" s="575"/>
      <c r="H258" s="575"/>
      <c r="I258" s="575"/>
      <c r="J258" s="575"/>
      <c r="K258" s="575"/>
    </row>
    <row r="259" spans="1:11" x14ac:dyDescent="0.2">
      <c r="A259" s="583"/>
      <c r="B259" s="640"/>
      <c r="F259" s="575"/>
      <c r="G259" s="575"/>
      <c r="H259" s="575"/>
      <c r="I259" s="575"/>
      <c r="J259" s="575"/>
      <c r="K259" s="575"/>
    </row>
    <row r="260" spans="1:11" x14ac:dyDescent="0.2">
      <c r="A260" s="583"/>
      <c r="B260" s="640"/>
      <c r="F260" s="575"/>
      <c r="G260" s="575"/>
      <c r="H260" s="575"/>
      <c r="I260" s="575"/>
      <c r="J260" s="575"/>
      <c r="K260" s="575"/>
    </row>
    <row r="261" spans="1:11" x14ac:dyDescent="0.2">
      <c r="A261" s="583"/>
      <c r="B261" s="640"/>
      <c r="F261" s="575"/>
      <c r="G261" s="575"/>
      <c r="H261" s="575"/>
      <c r="I261" s="575"/>
      <c r="J261" s="575"/>
      <c r="K261" s="575"/>
    </row>
    <row r="262" spans="1:11" x14ac:dyDescent="0.2">
      <c r="A262" s="583"/>
      <c r="B262" s="640"/>
      <c r="F262" s="575"/>
      <c r="G262" s="575"/>
      <c r="H262" s="575"/>
      <c r="I262" s="575"/>
      <c r="J262" s="575"/>
      <c r="K262" s="575"/>
    </row>
    <row r="263" spans="1:11" x14ac:dyDescent="0.2">
      <c r="A263" s="583"/>
      <c r="B263" s="640"/>
      <c r="F263" s="575"/>
      <c r="G263" s="575"/>
      <c r="H263" s="575"/>
      <c r="I263" s="575"/>
      <c r="J263" s="575"/>
      <c r="K263" s="575"/>
    </row>
    <row r="264" spans="1:11" x14ac:dyDescent="0.2">
      <c r="A264" s="583"/>
      <c r="B264" s="640"/>
      <c r="F264" s="575"/>
      <c r="G264" s="575"/>
      <c r="H264" s="575"/>
      <c r="I264" s="575"/>
      <c r="J264" s="575"/>
      <c r="K264" s="575"/>
    </row>
    <row r="265" spans="1:11" x14ac:dyDescent="0.2">
      <c r="A265" s="583"/>
      <c r="B265" s="640"/>
      <c r="F265" s="575"/>
      <c r="G265" s="575"/>
      <c r="H265" s="575"/>
      <c r="I265" s="575"/>
      <c r="J265" s="575"/>
      <c r="K265" s="575"/>
    </row>
    <row r="266" spans="1:11" x14ac:dyDescent="0.2">
      <c r="A266" s="583"/>
      <c r="B266" s="640"/>
      <c r="F266" s="575"/>
      <c r="G266" s="575"/>
      <c r="H266" s="575"/>
      <c r="I266" s="575"/>
      <c r="J266" s="575"/>
      <c r="K266" s="575"/>
    </row>
    <row r="267" spans="1:11" x14ac:dyDescent="0.2">
      <c r="A267" s="583"/>
      <c r="B267" s="640"/>
      <c r="F267" s="575"/>
      <c r="G267" s="575"/>
      <c r="H267" s="575"/>
      <c r="I267" s="575"/>
      <c r="J267" s="575"/>
      <c r="K267" s="575"/>
    </row>
    <row r="268" spans="1:11" x14ac:dyDescent="0.2">
      <c r="A268" s="583"/>
      <c r="B268" s="640"/>
      <c r="F268" s="575"/>
      <c r="G268" s="575"/>
      <c r="H268" s="575"/>
      <c r="I268" s="575"/>
      <c r="J268" s="575"/>
      <c r="K268" s="575"/>
    </row>
    <row r="269" spans="1:11" x14ac:dyDescent="0.2">
      <c r="A269" s="583"/>
      <c r="B269" s="640"/>
      <c r="F269" s="575"/>
      <c r="G269" s="575"/>
      <c r="H269" s="575"/>
      <c r="I269" s="575"/>
      <c r="J269" s="575"/>
      <c r="K269" s="575"/>
    </row>
    <row r="270" spans="1:11" x14ac:dyDescent="0.2">
      <c r="A270" s="583"/>
      <c r="B270" s="640"/>
      <c r="F270" s="575"/>
      <c r="G270" s="575"/>
      <c r="H270" s="575"/>
      <c r="I270" s="575"/>
      <c r="J270" s="575"/>
      <c r="K270" s="575"/>
    </row>
    <row r="271" spans="1:11" x14ac:dyDescent="0.2">
      <c r="A271" s="583"/>
      <c r="B271" s="640"/>
      <c r="F271" s="575"/>
      <c r="G271" s="575"/>
      <c r="H271" s="575"/>
      <c r="I271" s="575"/>
      <c r="J271" s="575"/>
      <c r="K271" s="575"/>
    </row>
    <row r="272" spans="1:11" x14ac:dyDescent="0.2">
      <c r="A272" s="583"/>
      <c r="B272" s="640"/>
      <c r="F272" s="575"/>
      <c r="G272" s="575"/>
      <c r="H272" s="575"/>
      <c r="I272" s="575"/>
      <c r="J272" s="575"/>
      <c r="K272" s="575"/>
    </row>
    <row r="273" spans="1:11" x14ac:dyDescent="0.2">
      <c r="A273" s="583"/>
      <c r="B273" s="640"/>
      <c r="F273" s="575"/>
      <c r="G273" s="575"/>
      <c r="H273" s="575"/>
      <c r="I273" s="575"/>
      <c r="J273" s="575"/>
      <c r="K273" s="575"/>
    </row>
    <row r="274" spans="1:11" x14ac:dyDescent="0.2">
      <c r="A274" s="583"/>
      <c r="B274" s="640"/>
      <c r="F274" s="575"/>
      <c r="G274" s="575"/>
      <c r="H274" s="575"/>
      <c r="I274" s="575"/>
      <c r="J274" s="575"/>
      <c r="K274" s="575"/>
    </row>
    <row r="275" spans="1:11" x14ac:dyDescent="0.2">
      <c r="A275" s="583"/>
      <c r="B275" s="640"/>
      <c r="F275" s="575"/>
      <c r="G275" s="575"/>
      <c r="H275" s="575"/>
      <c r="I275" s="575"/>
      <c r="J275" s="575"/>
      <c r="K275" s="575"/>
    </row>
    <row r="276" spans="1:11" x14ac:dyDescent="0.2">
      <c r="A276" s="583"/>
      <c r="B276" s="640"/>
      <c r="F276" s="575"/>
      <c r="G276" s="575"/>
      <c r="H276" s="575"/>
      <c r="I276" s="575"/>
      <c r="J276" s="575"/>
      <c r="K276" s="575"/>
    </row>
    <row r="277" spans="1:11" x14ac:dyDescent="0.2">
      <c r="A277" s="583"/>
      <c r="B277" s="640"/>
      <c r="F277" s="575"/>
      <c r="G277" s="575"/>
      <c r="H277" s="575"/>
      <c r="I277" s="575"/>
      <c r="J277" s="575"/>
      <c r="K277" s="575"/>
    </row>
    <row r="278" spans="1:11" x14ac:dyDescent="0.2">
      <c r="A278" s="583"/>
      <c r="B278" s="640"/>
      <c r="F278" s="575"/>
      <c r="G278" s="575"/>
      <c r="H278" s="575"/>
      <c r="I278" s="575"/>
      <c r="J278" s="575"/>
      <c r="K278" s="575"/>
    </row>
    <row r="279" spans="1:11" x14ac:dyDescent="0.2">
      <c r="A279" s="583"/>
      <c r="B279" s="640"/>
      <c r="F279" s="575"/>
      <c r="G279" s="575"/>
      <c r="H279" s="575"/>
      <c r="I279" s="575"/>
      <c r="J279" s="575"/>
      <c r="K279" s="575"/>
    </row>
    <row r="280" spans="1:11" x14ac:dyDescent="0.2">
      <c r="A280" s="583"/>
      <c r="B280" s="640"/>
      <c r="F280" s="575"/>
      <c r="G280" s="575"/>
      <c r="H280" s="575"/>
      <c r="I280" s="575"/>
      <c r="J280" s="575"/>
      <c r="K280" s="575"/>
    </row>
    <row r="281" spans="1:11" x14ac:dyDescent="0.2">
      <c r="A281" s="583"/>
      <c r="B281" s="640"/>
      <c r="F281" s="575"/>
      <c r="G281" s="575"/>
      <c r="H281" s="575"/>
      <c r="I281" s="575"/>
      <c r="J281" s="575"/>
      <c r="K281" s="575"/>
    </row>
    <row r="282" spans="1:11" x14ac:dyDescent="0.2">
      <c r="A282" s="583"/>
      <c r="B282" s="640"/>
      <c r="F282" s="575"/>
      <c r="G282" s="575"/>
      <c r="H282" s="575"/>
      <c r="I282" s="575"/>
      <c r="J282" s="575"/>
      <c r="K282" s="575"/>
    </row>
    <row r="283" spans="1:11" x14ac:dyDescent="0.2">
      <c r="A283" s="583"/>
      <c r="B283" s="640"/>
      <c r="F283" s="575"/>
      <c r="G283" s="575"/>
      <c r="H283" s="575"/>
      <c r="I283" s="575"/>
      <c r="J283" s="575"/>
      <c r="K283" s="575"/>
    </row>
    <row r="284" spans="1:11" x14ac:dyDescent="0.2">
      <c r="A284" s="583"/>
      <c r="B284" s="640"/>
      <c r="F284" s="575"/>
      <c r="G284" s="575"/>
      <c r="H284" s="575"/>
      <c r="I284" s="575"/>
      <c r="J284" s="575"/>
      <c r="K284" s="575"/>
    </row>
    <row r="285" spans="1:11" x14ac:dyDescent="0.2">
      <c r="A285" s="583"/>
      <c r="B285" s="640"/>
      <c r="F285" s="575"/>
      <c r="G285" s="575"/>
      <c r="H285" s="575"/>
      <c r="I285" s="575"/>
      <c r="J285" s="575"/>
      <c r="K285" s="575"/>
    </row>
    <row r="286" spans="1:11" x14ac:dyDescent="0.2">
      <c r="A286" s="583"/>
      <c r="B286" s="640"/>
      <c r="F286" s="575"/>
      <c r="G286" s="575"/>
      <c r="H286" s="575"/>
      <c r="I286" s="575"/>
      <c r="J286" s="575"/>
      <c r="K286" s="575"/>
    </row>
    <row r="287" spans="1:11" x14ac:dyDescent="0.2">
      <c r="A287" s="583"/>
      <c r="B287" s="640"/>
      <c r="F287" s="575"/>
      <c r="G287" s="575"/>
      <c r="H287" s="575"/>
      <c r="I287" s="575"/>
      <c r="J287" s="575"/>
      <c r="K287" s="575"/>
    </row>
    <row r="288" spans="1:11" x14ac:dyDescent="0.2">
      <c r="A288" s="583"/>
      <c r="B288" s="640"/>
      <c r="F288" s="575"/>
      <c r="G288" s="575"/>
      <c r="H288" s="575"/>
      <c r="I288" s="575"/>
      <c r="J288" s="575"/>
      <c r="K288" s="575"/>
    </row>
    <row r="289" spans="1:11" x14ac:dyDescent="0.2">
      <c r="A289" s="583"/>
      <c r="B289" s="640"/>
      <c r="F289" s="575"/>
      <c r="G289" s="575"/>
      <c r="H289" s="575"/>
      <c r="I289" s="575"/>
      <c r="J289" s="575"/>
      <c r="K289" s="575"/>
    </row>
    <row r="290" spans="1:11" x14ac:dyDescent="0.2">
      <c r="A290" s="583"/>
      <c r="B290" s="640"/>
      <c r="F290" s="575"/>
      <c r="G290" s="575"/>
      <c r="H290" s="575"/>
      <c r="I290" s="575"/>
      <c r="J290" s="575"/>
      <c r="K290" s="575"/>
    </row>
    <row r="291" spans="1:11" x14ac:dyDescent="0.2">
      <c r="A291" s="583"/>
      <c r="B291" s="640"/>
      <c r="F291" s="575"/>
      <c r="G291" s="575"/>
      <c r="H291" s="575"/>
      <c r="I291" s="575"/>
      <c r="J291" s="575"/>
      <c r="K291" s="575"/>
    </row>
    <row r="292" spans="1:11" x14ac:dyDescent="0.2">
      <c r="A292" s="583"/>
      <c r="B292" s="640"/>
      <c r="F292" s="575"/>
      <c r="G292" s="575"/>
      <c r="H292" s="575"/>
      <c r="I292" s="575"/>
      <c r="J292" s="575"/>
      <c r="K292" s="575"/>
    </row>
    <row r="293" spans="1:11" x14ac:dyDescent="0.2">
      <c r="A293" s="583"/>
      <c r="B293" s="640"/>
      <c r="F293" s="575"/>
      <c r="G293" s="575"/>
      <c r="H293" s="575"/>
      <c r="I293" s="575"/>
      <c r="J293" s="575"/>
      <c r="K293" s="575"/>
    </row>
    <row r="294" spans="1:11" x14ac:dyDescent="0.2">
      <c r="A294" s="583"/>
      <c r="B294" s="640"/>
      <c r="F294" s="575"/>
      <c r="G294" s="575"/>
      <c r="H294" s="575"/>
      <c r="I294" s="575"/>
      <c r="J294" s="575"/>
      <c r="K294" s="575"/>
    </row>
    <row r="295" spans="1:11" x14ac:dyDescent="0.2">
      <c r="A295" s="583"/>
      <c r="B295" s="640"/>
      <c r="F295" s="575"/>
      <c r="G295" s="575"/>
      <c r="H295" s="575"/>
      <c r="I295" s="575"/>
      <c r="J295" s="575"/>
      <c r="K295" s="575"/>
    </row>
    <row r="296" spans="1:11" x14ac:dyDescent="0.2">
      <c r="A296" s="583"/>
      <c r="B296" s="640"/>
      <c r="F296" s="575"/>
      <c r="G296" s="575"/>
      <c r="H296" s="575"/>
      <c r="I296" s="575"/>
      <c r="J296" s="575"/>
      <c r="K296" s="575"/>
    </row>
    <row r="297" spans="1:11" x14ac:dyDescent="0.2">
      <c r="A297" s="583"/>
      <c r="B297" s="640"/>
      <c r="F297" s="575"/>
      <c r="G297" s="575"/>
      <c r="H297" s="575"/>
      <c r="I297" s="575"/>
      <c r="J297" s="575"/>
      <c r="K297" s="575"/>
    </row>
    <row r="298" spans="1:11" x14ac:dyDescent="0.2">
      <c r="A298" s="583"/>
      <c r="B298" s="640"/>
      <c r="F298" s="575"/>
      <c r="G298" s="575"/>
      <c r="H298" s="575"/>
      <c r="I298" s="575"/>
      <c r="J298" s="575"/>
      <c r="K298" s="575"/>
    </row>
    <row r="299" spans="1:11" x14ac:dyDescent="0.2">
      <c r="A299" s="583"/>
      <c r="B299" s="640"/>
      <c r="F299" s="575"/>
      <c r="G299" s="575"/>
      <c r="H299" s="575"/>
      <c r="I299" s="575"/>
      <c r="J299" s="575"/>
      <c r="K299" s="575"/>
    </row>
    <row r="300" spans="1:11" x14ac:dyDescent="0.2">
      <c r="A300" s="583"/>
      <c r="B300" s="640"/>
      <c r="F300" s="575"/>
      <c r="G300" s="575"/>
      <c r="H300" s="575"/>
      <c r="I300" s="575"/>
      <c r="J300" s="575"/>
      <c r="K300" s="575"/>
    </row>
    <row r="301" spans="1:11" x14ac:dyDescent="0.2">
      <c r="A301" s="583"/>
      <c r="B301" s="640"/>
      <c r="F301" s="575"/>
      <c r="G301" s="575"/>
      <c r="H301" s="575"/>
      <c r="I301" s="575"/>
      <c r="J301" s="575"/>
      <c r="K301" s="575"/>
    </row>
    <row r="302" spans="1:11" x14ac:dyDescent="0.2">
      <c r="A302" s="583"/>
      <c r="B302" s="640"/>
      <c r="F302" s="575"/>
      <c r="G302" s="575"/>
      <c r="H302" s="575"/>
      <c r="I302" s="575"/>
      <c r="J302" s="575"/>
      <c r="K302" s="575"/>
    </row>
    <row r="303" spans="1:11" x14ac:dyDescent="0.2">
      <c r="A303" s="583"/>
      <c r="B303" s="640"/>
      <c r="F303" s="575"/>
      <c r="G303" s="575"/>
      <c r="H303" s="575"/>
      <c r="I303" s="575"/>
      <c r="J303" s="575"/>
      <c r="K303" s="575"/>
    </row>
    <row r="304" spans="1:11" x14ac:dyDescent="0.2">
      <c r="A304" s="583"/>
      <c r="B304" s="640"/>
      <c r="F304" s="575"/>
      <c r="G304" s="575"/>
      <c r="H304" s="575"/>
      <c r="I304" s="575"/>
      <c r="J304" s="575"/>
      <c r="K304" s="575"/>
    </row>
    <row r="305" spans="1:11" x14ac:dyDescent="0.2">
      <c r="A305" s="583"/>
      <c r="B305" s="640"/>
      <c r="F305" s="575"/>
      <c r="G305" s="575"/>
      <c r="H305" s="575"/>
      <c r="I305" s="575"/>
      <c r="J305" s="575"/>
      <c r="K305" s="575"/>
    </row>
    <row r="306" spans="1:11" x14ac:dyDescent="0.2">
      <c r="A306" s="583"/>
      <c r="B306" s="640"/>
      <c r="F306" s="575"/>
      <c r="G306" s="575"/>
      <c r="H306" s="575"/>
      <c r="I306" s="575"/>
      <c r="J306" s="575"/>
      <c r="K306" s="575"/>
    </row>
    <row r="307" spans="1:11" x14ac:dyDescent="0.2">
      <c r="A307" s="583"/>
      <c r="B307" s="640"/>
      <c r="F307" s="575"/>
      <c r="G307" s="575"/>
      <c r="H307" s="575"/>
      <c r="I307" s="575"/>
      <c r="J307" s="575"/>
      <c r="K307" s="575"/>
    </row>
    <row r="308" spans="1:11" x14ac:dyDescent="0.2">
      <c r="A308" s="583"/>
      <c r="B308" s="640"/>
      <c r="F308" s="575"/>
      <c r="G308" s="575"/>
      <c r="H308" s="575"/>
      <c r="I308" s="575"/>
      <c r="J308" s="575"/>
      <c r="K308" s="575"/>
    </row>
    <row r="309" spans="1:11" x14ac:dyDescent="0.2">
      <c r="A309" s="583"/>
      <c r="B309" s="640"/>
      <c r="F309" s="575"/>
      <c r="G309" s="575"/>
      <c r="H309" s="575"/>
      <c r="I309" s="575"/>
      <c r="J309" s="575"/>
      <c r="K309" s="575"/>
    </row>
    <row r="310" spans="1:11" x14ac:dyDescent="0.2">
      <c r="A310" s="583"/>
      <c r="B310" s="640"/>
      <c r="F310" s="575"/>
      <c r="G310" s="575"/>
      <c r="H310" s="575"/>
      <c r="I310" s="575"/>
      <c r="J310" s="575"/>
      <c r="K310" s="575"/>
    </row>
    <row r="311" spans="1:11" x14ac:dyDescent="0.2">
      <c r="A311" s="583"/>
      <c r="B311" s="640"/>
      <c r="F311" s="575"/>
      <c r="G311" s="575"/>
      <c r="H311" s="575"/>
      <c r="I311" s="575"/>
      <c r="J311" s="575"/>
      <c r="K311" s="575"/>
    </row>
    <row r="312" spans="1:11" x14ac:dyDescent="0.2">
      <c r="A312" s="583"/>
      <c r="B312" s="640"/>
      <c r="F312" s="575"/>
      <c r="G312" s="575"/>
      <c r="H312" s="575"/>
      <c r="I312" s="575"/>
      <c r="J312" s="575"/>
      <c r="K312" s="575"/>
    </row>
    <row r="313" spans="1:11" x14ac:dyDescent="0.2">
      <c r="A313" s="583"/>
      <c r="B313" s="640"/>
      <c r="F313" s="575"/>
      <c r="G313" s="575"/>
      <c r="H313" s="575"/>
      <c r="I313" s="575"/>
      <c r="J313" s="575"/>
      <c r="K313" s="575"/>
    </row>
    <row r="314" spans="1:11" x14ac:dyDescent="0.2">
      <c r="A314" s="583"/>
      <c r="B314" s="640"/>
      <c r="F314" s="575"/>
      <c r="G314" s="575"/>
      <c r="H314" s="575"/>
      <c r="I314" s="575"/>
      <c r="J314" s="575"/>
      <c r="K314" s="575"/>
    </row>
    <row r="315" spans="1:11" x14ac:dyDescent="0.2">
      <c r="A315" s="583"/>
      <c r="B315" s="640"/>
      <c r="F315" s="575"/>
      <c r="G315" s="575"/>
      <c r="H315" s="575"/>
      <c r="I315" s="575"/>
      <c r="J315" s="575"/>
      <c r="K315" s="575"/>
    </row>
    <row r="316" spans="1:11" x14ac:dyDescent="0.2">
      <c r="A316" s="583"/>
      <c r="B316" s="640"/>
      <c r="F316" s="575"/>
      <c r="G316" s="575"/>
      <c r="H316" s="575"/>
      <c r="I316" s="575"/>
      <c r="J316" s="575"/>
      <c r="K316" s="575"/>
    </row>
    <row r="317" spans="1:11" x14ac:dyDescent="0.2">
      <c r="A317" s="583"/>
      <c r="B317" s="640"/>
      <c r="F317" s="575"/>
      <c r="G317" s="575"/>
      <c r="H317" s="575"/>
      <c r="I317" s="575"/>
      <c r="J317" s="575"/>
      <c r="K317" s="575"/>
    </row>
    <row r="318" spans="1:11" x14ac:dyDescent="0.2">
      <c r="A318" s="583"/>
      <c r="B318" s="640"/>
      <c r="F318" s="575"/>
      <c r="G318" s="575"/>
      <c r="H318" s="575"/>
      <c r="I318" s="575"/>
      <c r="J318" s="575"/>
      <c r="K318" s="575"/>
    </row>
    <row r="319" spans="1:11" x14ac:dyDescent="0.2">
      <c r="A319" s="583"/>
      <c r="B319" s="640"/>
      <c r="F319" s="575"/>
      <c r="G319" s="575"/>
      <c r="H319" s="575"/>
      <c r="I319" s="575"/>
      <c r="J319" s="575"/>
      <c r="K319" s="575"/>
    </row>
    <row r="320" spans="1:11" x14ac:dyDescent="0.2">
      <c r="A320" s="583"/>
      <c r="B320" s="640"/>
      <c r="F320" s="575"/>
      <c r="G320" s="575"/>
      <c r="H320" s="575"/>
      <c r="I320" s="575"/>
      <c r="J320" s="575"/>
      <c r="K320" s="575"/>
    </row>
    <row r="321" spans="1:11" x14ac:dyDescent="0.2">
      <c r="A321" s="583"/>
      <c r="B321" s="640"/>
      <c r="F321" s="575"/>
      <c r="G321" s="575"/>
      <c r="H321" s="575"/>
      <c r="I321" s="575"/>
      <c r="J321" s="575"/>
      <c r="K321" s="575"/>
    </row>
    <row r="322" spans="1:11" x14ac:dyDescent="0.2">
      <c r="A322" s="583"/>
      <c r="B322" s="640"/>
      <c r="F322" s="575"/>
      <c r="G322" s="575"/>
      <c r="H322" s="575"/>
      <c r="I322" s="575"/>
      <c r="J322" s="575"/>
      <c r="K322" s="575"/>
    </row>
    <row r="323" spans="1:11" x14ac:dyDescent="0.2">
      <c r="A323" s="583"/>
      <c r="B323" s="640"/>
      <c r="F323" s="575"/>
      <c r="G323" s="575"/>
      <c r="H323" s="575"/>
      <c r="I323" s="575"/>
      <c r="J323" s="575"/>
      <c r="K323" s="575"/>
    </row>
    <row r="324" spans="1:11" x14ac:dyDescent="0.2">
      <c r="A324" s="583"/>
      <c r="B324" s="640"/>
      <c r="F324" s="575"/>
      <c r="G324" s="575"/>
      <c r="H324" s="575"/>
      <c r="I324" s="575"/>
      <c r="J324" s="575"/>
      <c r="K324" s="575"/>
    </row>
    <row r="325" spans="1:11" x14ac:dyDescent="0.2">
      <c r="A325" s="583"/>
      <c r="B325" s="640"/>
      <c r="F325" s="575"/>
      <c r="G325" s="575"/>
      <c r="H325" s="575"/>
      <c r="I325" s="575"/>
      <c r="J325" s="575"/>
      <c r="K325" s="575"/>
    </row>
    <row r="326" spans="1:11" x14ac:dyDescent="0.2">
      <c r="A326" s="583"/>
      <c r="B326" s="640"/>
      <c r="F326" s="575"/>
      <c r="G326" s="575"/>
      <c r="H326" s="575"/>
      <c r="I326" s="575"/>
      <c r="J326" s="575"/>
      <c r="K326" s="575"/>
    </row>
    <row r="327" spans="1:11" x14ac:dyDescent="0.2">
      <c r="A327" s="583"/>
      <c r="B327" s="640"/>
      <c r="F327" s="575"/>
      <c r="G327" s="575"/>
      <c r="H327" s="575"/>
      <c r="I327" s="575"/>
      <c r="J327" s="575"/>
      <c r="K327" s="575"/>
    </row>
    <row r="328" spans="1:11" x14ac:dyDescent="0.2">
      <c r="A328" s="583"/>
      <c r="B328" s="640"/>
      <c r="F328" s="575"/>
      <c r="G328" s="575"/>
      <c r="H328" s="575"/>
      <c r="I328" s="575"/>
      <c r="J328" s="575"/>
      <c r="K328" s="575"/>
    </row>
    <row r="329" spans="1:11" x14ac:dyDescent="0.2">
      <c r="A329" s="583"/>
      <c r="B329" s="640"/>
      <c r="F329" s="575"/>
      <c r="G329" s="575"/>
      <c r="H329" s="575"/>
      <c r="I329" s="575"/>
      <c r="J329" s="575"/>
      <c r="K329" s="575"/>
    </row>
    <row r="330" spans="1:11" x14ac:dyDescent="0.2">
      <c r="A330" s="583"/>
      <c r="B330" s="640"/>
      <c r="F330" s="575"/>
      <c r="G330" s="575"/>
      <c r="H330" s="575"/>
      <c r="I330" s="575"/>
      <c r="J330" s="575"/>
      <c r="K330" s="575"/>
    </row>
    <row r="331" spans="1:11" x14ac:dyDescent="0.2">
      <c r="A331" s="583"/>
      <c r="B331" s="640"/>
      <c r="F331" s="575"/>
      <c r="G331" s="575"/>
      <c r="H331" s="575"/>
      <c r="I331" s="575"/>
      <c r="J331" s="575"/>
      <c r="K331" s="575"/>
    </row>
    <row r="332" spans="1:11" x14ac:dyDescent="0.2">
      <c r="A332" s="583"/>
      <c r="B332" s="640"/>
      <c r="F332" s="575"/>
      <c r="G332" s="575"/>
      <c r="H332" s="575"/>
      <c r="I332" s="575"/>
      <c r="J332" s="575"/>
      <c r="K332" s="575"/>
    </row>
    <row r="333" spans="1:11" x14ac:dyDescent="0.2">
      <c r="A333" s="583"/>
      <c r="B333" s="640"/>
      <c r="F333" s="575"/>
      <c r="G333" s="575"/>
      <c r="H333" s="575"/>
      <c r="I333" s="575"/>
      <c r="J333" s="575"/>
      <c r="K333" s="575"/>
    </row>
    <row r="334" spans="1:11" x14ac:dyDescent="0.2">
      <c r="A334" s="583"/>
      <c r="B334" s="640"/>
      <c r="F334" s="575"/>
      <c r="G334" s="575"/>
      <c r="H334" s="575"/>
      <c r="I334" s="575"/>
      <c r="J334" s="575"/>
      <c r="K334" s="575"/>
    </row>
    <row r="335" spans="1:11" x14ac:dyDescent="0.2">
      <c r="A335" s="583"/>
      <c r="B335" s="640"/>
      <c r="F335" s="575"/>
      <c r="G335" s="575"/>
      <c r="H335" s="575"/>
      <c r="I335" s="575"/>
      <c r="J335" s="575"/>
      <c r="K335" s="575"/>
    </row>
    <row r="336" spans="1:11" x14ac:dyDescent="0.2">
      <c r="A336" s="583"/>
      <c r="B336" s="640"/>
      <c r="F336" s="575"/>
      <c r="G336" s="575"/>
      <c r="H336" s="575"/>
      <c r="I336" s="575"/>
      <c r="J336" s="575"/>
      <c r="K336" s="575"/>
    </row>
    <row r="337" spans="1:11" x14ac:dyDescent="0.2">
      <c r="A337" s="583"/>
      <c r="B337" s="640"/>
      <c r="F337" s="575"/>
      <c r="G337" s="575"/>
      <c r="H337" s="575"/>
      <c r="I337" s="575"/>
      <c r="J337" s="575"/>
      <c r="K337" s="575"/>
    </row>
    <row r="338" spans="1:11" x14ac:dyDescent="0.2">
      <c r="A338" s="583"/>
      <c r="B338" s="640"/>
      <c r="F338" s="575"/>
      <c r="G338" s="575"/>
      <c r="H338" s="575"/>
      <c r="I338" s="575"/>
      <c r="J338" s="575"/>
      <c r="K338" s="575"/>
    </row>
    <row r="339" spans="1:11" x14ac:dyDescent="0.2">
      <c r="A339" s="583"/>
      <c r="B339" s="640"/>
      <c r="F339" s="575"/>
      <c r="G339" s="575"/>
      <c r="H339" s="575"/>
      <c r="I339" s="575"/>
      <c r="J339" s="575"/>
      <c r="K339" s="575"/>
    </row>
    <row r="340" spans="1:11" x14ac:dyDescent="0.2">
      <c r="A340" s="583"/>
      <c r="B340" s="640"/>
      <c r="F340" s="575"/>
      <c r="G340" s="575"/>
      <c r="H340" s="575"/>
      <c r="I340" s="575"/>
      <c r="J340" s="575"/>
      <c r="K340" s="575"/>
    </row>
    <row r="341" spans="1:11" x14ac:dyDescent="0.2">
      <c r="A341" s="583"/>
      <c r="B341" s="640"/>
      <c r="F341" s="575"/>
      <c r="G341" s="575"/>
      <c r="H341" s="575"/>
      <c r="I341" s="575"/>
      <c r="J341" s="575"/>
      <c r="K341" s="575"/>
    </row>
    <row r="342" spans="1:11" x14ac:dyDescent="0.2">
      <c r="A342" s="583"/>
      <c r="B342" s="640"/>
      <c r="F342" s="575"/>
      <c r="G342" s="575"/>
      <c r="H342" s="575"/>
      <c r="I342" s="575"/>
      <c r="J342" s="575"/>
      <c r="K342" s="575"/>
    </row>
    <row r="343" spans="1:11" x14ac:dyDescent="0.2">
      <c r="A343" s="583"/>
      <c r="B343" s="640"/>
      <c r="F343" s="575"/>
      <c r="G343" s="575"/>
      <c r="H343" s="575"/>
      <c r="I343" s="575"/>
      <c r="J343" s="575"/>
      <c r="K343" s="575"/>
    </row>
    <row r="344" spans="1:11" x14ac:dyDescent="0.2">
      <c r="A344" s="583"/>
      <c r="B344" s="640"/>
      <c r="F344" s="575"/>
      <c r="G344" s="575"/>
      <c r="H344" s="575"/>
      <c r="I344" s="575"/>
      <c r="J344" s="575"/>
      <c r="K344" s="575"/>
    </row>
    <row r="345" spans="1:11" x14ac:dyDescent="0.2">
      <c r="A345" s="583"/>
      <c r="B345" s="640"/>
      <c r="F345" s="575"/>
      <c r="G345" s="575"/>
      <c r="H345" s="575"/>
      <c r="I345" s="575"/>
      <c r="J345" s="575"/>
      <c r="K345" s="575"/>
    </row>
    <row r="346" spans="1:11" x14ac:dyDescent="0.2">
      <c r="A346" s="583"/>
      <c r="B346" s="640"/>
      <c r="F346" s="575"/>
      <c r="G346" s="575"/>
      <c r="H346" s="575"/>
      <c r="I346" s="575"/>
      <c r="J346" s="575"/>
      <c r="K346" s="575"/>
    </row>
    <row r="347" spans="1:11" x14ac:dyDescent="0.2">
      <c r="A347" s="583"/>
      <c r="B347" s="640"/>
      <c r="F347" s="575"/>
      <c r="G347" s="575"/>
      <c r="H347" s="575"/>
      <c r="I347" s="575"/>
      <c r="J347" s="575"/>
      <c r="K347" s="575"/>
    </row>
    <row r="348" spans="1:11" x14ac:dyDescent="0.2">
      <c r="A348" s="583"/>
      <c r="B348" s="640"/>
      <c r="F348" s="575"/>
      <c r="G348" s="575"/>
      <c r="H348" s="575"/>
      <c r="I348" s="575"/>
      <c r="J348" s="575"/>
      <c r="K348" s="575"/>
    </row>
    <row r="349" spans="1:11" x14ac:dyDescent="0.2">
      <c r="A349" s="583"/>
      <c r="B349" s="640"/>
      <c r="F349" s="575"/>
      <c r="G349" s="575"/>
      <c r="H349" s="575"/>
      <c r="I349" s="575"/>
      <c r="J349" s="575"/>
      <c r="K349" s="575"/>
    </row>
    <row r="350" spans="1:11" x14ac:dyDescent="0.2">
      <c r="A350" s="583"/>
      <c r="B350" s="640"/>
      <c r="F350" s="575"/>
      <c r="G350" s="575"/>
      <c r="H350" s="575"/>
      <c r="I350" s="575"/>
      <c r="J350" s="575"/>
      <c r="K350" s="575"/>
    </row>
    <row r="351" spans="1:11" x14ac:dyDescent="0.2">
      <c r="A351" s="583"/>
      <c r="B351" s="640"/>
      <c r="F351" s="575"/>
      <c r="G351" s="575"/>
      <c r="H351" s="575"/>
      <c r="I351" s="575"/>
      <c r="J351" s="575"/>
      <c r="K351" s="575"/>
    </row>
    <row r="352" spans="1:11" x14ac:dyDescent="0.2">
      <c r="A352" s="583"/>
      <c r="B352" s="640"/>
      <c r="F352" s="575"/>
      <c r="G352" s="575"/>
      <c r="H352" s="575"/>
      <c r="I352" s="575"/>
      <c r="J352" s="575"/>
      <c r="K352" s="575"/>
    </row>
    <row r="353" spans="1:11" x14ac:dyDescent="0.2">
      <c r="A353" s="583"/>
      <c r="B353" s="640"/>
      <c r="F353" s="575"/>
      <c r="G353" s="575"/>
      <c r="H353" s="575"/>
      <c r="I353" s="575"/>
      <c r="J353" s="575"/>
      <c r="K353" s="575"/>
    </row>
    <row r="354" spans="1:11" x14ac:dyDescent="0.2">
      <c r="A354" s="583"/>
      <c r="B354" s="640"/>
      <c r="F354" s="575"/>
      <c r="G354" s="575"/>
      <c r="H354" s="575"/>
      <c r="I354" s="575"/>
      <c r="J354" s="575"/>
      <c r="K354" s="575"/>
    </row>
    <row r="355" spans="1:11" x14ac:dyDescent="0.2">
      <c r="A355" s="583"/>
      <c r="B355" s="640"/>
      <c r="F355" s="575"/>
      <c r="G355" s="575"/>
      <c r="H355" s="575"/>
      <c r="I355" s="575"/>
      <c r="J355" s="575"/>
      <c r="K355" s="575"/>
    </row>
    <row r="356" spans="1:11" x14ac:dyDescent="0.2">
      <c r="A356" s="583"/>
      <c r="B356" s="640"/>
      <c r="F356" s="575"/>
      <c r="G356" s="575"/>
      <c r="H356" s="575"/>
      <c r="I356" s="575"/>
      <c r="J356" s="575"/>
      <c r="K356" s="575"/>
    </row>
    <row r="357" spans="1:11" x14ac:dyDescent="0.2">
      <c r="A357" s="583"/>
      <c r="B357" s="640"/>
      <c r="F357" s="575"/>
      <c r="G357" s="575"/>
      <c r="H357" s="575"/>
      <c r="I357" s="575"/>
      <c r="J357" s="575"/>
      <c r="K357" s="575"/>
    </row>
    <row r="358" spans="1:11" x14ac:dyDescent="0.2">
      <c r="A358" s="583"/>
      <c r="B358" s="640"/>
      <c r="F358" s="575"/>
      <c r="G358" s="575"/>
      <c r="H358" s="575"/>
      <c r="I358" s="575"/>
      <c r="J358" s="575"/>
      <c r="K358" s="575"/>
    </row>
    <row r="359" spans="1:11" x14ac:dyDescent="0.2">
      <c r="A359" s="583"/>
      <c r="B359" s="640"/>
      <c r="F359" s="575"/>
      <c r="G359" s="575"/>
      <c r="H359" s="575"/>
      <c r="I359" s="575"/>
      <c r="J359" s="575"/>
      <c r="K359" s="575"/>
    </row>
    <row r="360" spans="1:11" x14ac:dyDescent="0.2">
      <c r="A360" s="583"/>
      <c r="B360" s="640"/>
      <c r="F360" s="575"/>
      <c r="G360" s="575"/>
      <c r="H360" s="575"/>
      <c r="I360" s="575"/>
      <c r="J360" s="575"/>
      <c r="K360" s="575"/>
    </row>
    <row r="361" spans="1:11" x14ac:dyDescent="0.2">
      <c r="A361" s="583"/>
      <c r="B361" s="640"/>
      <c r="F361" s="575"/>
      <c r="G361" s="575"/>
      <c r="H361" s="575"/>
      <c r="I361" s="575"/>
      <c r="J361" s="575"/>
      <c r="K361" s="575"/>
    </row>
    <row r="362" spans="1:11" x14ac:dyDescent="0.2">
      <c r="A362" s="583"/>
      <c r="B362" s="640"/>
      <c r="F362" s="575"/>
      <c r="G362" s="575"/>
      <c r="H362" s="575"/>
      <c r="I362" s="575"/>
      <c r="J362" s="575"/>
      <c r="K362" s="575"/>
    </row>
    <row r="363" spans="1:11" x14ac:dyDescent="0.2">
      <c r="A363" s="583"/>
      <c r="B363" s="640"/>
      <c r="F363" s="575"/>
      <c r="G363" s="575"/>
      <c r="H363" s="575"/>
      <c r="I363" s="575"/>
      <c r="J363" s="575"/>
      <c r="K363" s="575"/>
    </row>
    <row r="364" spans="1:11" x14ac:dyDescent="0.2">
      <c r="A364" s="583"/>
      <c r="B364" s="640"/>
      <c r="F364" s="575"/>
      <c r="G364" s="575"/>
      <c r="H364" s="575"/>
      <c r="I364" s="575"/>
      <c r="J364" s="575"/>
      <c r="K364" s="575"/>
    </row>
    <row r="365" spans="1:11" x14ac:dyDescent="0.2">
      <c r="A365" s="583"/>
      <c r="B365" s="640"/>
      <c r="F365" s="575"/>
      <c r="G365" s="575"/>
      <c r="H365" s="575"/>
      <c r="I365" s="575"/>
      <c r="J365" s="575"/>
      <c r="K365" s="575"/>
    </row>
    <row r="366" spans="1:11" x14ac:dyDescent="0.2">
      <c r="A366" s="583"/>
      <c r="B366" s="640"/>
      <c r="F366" s="575"/>
      <c r="G366" s="575"/>
      <c r="H366" s="575"/>
      <c r="I366" s="575"/>
      <c r="J366" s="575"/>
      <c r="K366" s="575"/>
    </row>
    <row r="367" spans="1:11" x14ac:dyDescent="0.2">
      <c r="A367" s="583"/>
      <c r="B367" s="640"/>
      <c r="F367" s="575"/>
      <c r="G367" s="575"/>
      <c r="H367" s="575"/>
      <c r="I367" s="575"/>
      <c r="J367" s="575"/>
      <c r="K367" s="575"/>
    </row>
    <row r="368" spans="1:11" x14ac:dyDescent="0.2">
      <c r="A368" s="583"/>
      <c r="B368" s="640"/>
      <c r="F368" s="575"/>
      <c r="G368" s="575"/>
      <c r="H368" s="575"/>
      <c r="I368" s="575"/>
      <c r="J368" s="575"/>
      <c r="K368" s="575"/>
    </row>
    <row r="369" spans="1:11" x14ac:dyDescent="0.2">
      <c r="A369" s="583"/>
      <c r="B369" s="640"/>
      <c r="F369" s="575"/>
      <c r="G369" s="575"/>
      <c r="H369" s="575"/>
      <c r="I369" s="575"/>
      <c r="J369" s="575"/>
      <c r="K369" s="575"/>
    </row>
    <row r="370" spans="1:11" x14ac:dyDescent="0.2">
      <c r="A370" s="583"/>
      <c r="B370" s="640"/>
      <c r="F370" s="575"/>
      <c r="G370" s="575"/>
      <c r="H370" s="575"/>
      <c r="I370" s="575"/>
      <c r="J370" s="575"/>
      <c r="K370" s="575"/>
    </row>
    <row r="371" spans="1:11" x14ac:dyDescent="0.2">
      <c r="A371" s="583"/>
      <c r="B371" s="640"/>
      <c r="F371" s="575"/>
      <c r="G371" s="575"/>
      <c r="H371" s="575"/>
      <c r="I371" s="575"/>
      <c r="J371" s="575"/>
      <c r="K371" s="575"/>
    </row>
    <row r="372" spans="1:11" x14ac:dyDescent="0.2">
      <c r="A372" s="583"/>
      <c r="B372" s="640"/>
      <c r="F372" s="575"/>
      <c r="G372" s="575"/>
      <c r="H372" s="575"/>
      <c r="I372" s="575"/>
      <c r="J372" s="575"/>
      <c r="K372" s="575"/>
    </row>
    <row r="373" spans="1:11" x14ac:dyDescent="0.2">
      <c r="A373" s="583"/>
      <c r="B373" s="640"/>
      <c r="F373" s="575"/>
      <c r="G373" s="575"/>
      <c r="H373" s="575"/>
      <c r="I373" s="575"/>
      <c r="J373" s="575"/>
      <c r="K373" s="575"/>
    </row>
    <row r="374" spans="1:11" x14ac:dyDescent="0.2">
      <c r="A374" s="583"/>
      <c r="B374" s="640"/>
      <c r="F374" s="575"/>
      <c r="G374" s="575"/>
      <c r="H374" s="575"/>
      <c r="I374" s="575"/>
      <c r="J374" s="575"/>
      <c r="K374" s="575"/>
    </row>
    <row r="375" spans="1:11" x14ac:dyDescent="0.2">
      <c r="A375" s="583"/>
      <c r="B375" s="640"/>
      <c r="F375" s="575"/>
      <c r="G375" s="575"/>
      <c r="H375" s="575"/>
      <c r="I375" s="575"/>
      <c r="J375" s="575"/>
      <c r="K375" s="575"/>
    </row>
    <row r="376" spans="1:11" x14ac:dyDescent="0.2">
      <c r="A376" s="583"/>
      <c r="B376" s="640"/>
      <c r="F376" s="575"/>
      <c r="G376" s="575"/>
      <c r="H376" s="575"/>
      <c r="I376" s="575"/>
      <c r="J376" s="575"/>
      <c r="K376" s="575"/>
    </row>
    <row r="377" spans="1:11" x14ac:dyDescent="0.2">
      <c r="A377" s="583"/>
      <c r="B377" s="640"/>
      <c r="F377" s="575"/>
      <c r="G377" s="575"/>
      <c r="H377" s="575"/>
      <c r="I377" s="575"/>
      <c r="J377" s="575"/>
      <c r="K377" s="575"/>
    </row>
    <row r="378" spans="1:11" x14ac:dyDescent="0.2">
      <c r="A378" s="583"/>
      <c r="B378" s="640"/>
      <c r="F378" s="575"/>
      <c r="G378" s="575"/>
      <c r="H378" s="575"/>
      <c r="I378" s="575"/>
      <c r="J378" s="575"/>
      <c r="K378" s="575"/>
    </row>
    <row r="379" spans="1:11" x14ac:dyDescent="0.2">
      <c r="A379" s="583"/>
      <c r="B379" s="640"/>
      <c r="F379" s="575"/>
      <c r="G379" s="575"/>
      <c r="H379" s="575"/>
      <c r="I379" s="575"/>
      <c r="J379" s="575"/>
      <c r="K379" s="575"/>
    </row>
    <row r="380" spans="1:11" x14ac:dyDescent="0.2">
      <c r="A380" s="583"/>
      <c r="B380" s="640"/>
      <c r="F380" s="575"/>
      <c r="G380" s="575"/>
      <c r="H380" s="575"/>
      <c r="I380" s="575"/>
      <c r="J380" s="575"/>
      <c r="K380" s="575"/>
    </row>
    <row r="381" spans="1:11" x14ac:dyDescent="0.2">
      <c r="A381" s="583"/>
      <c r="B381" s="640"/>
      <c r="F381" s="575"/>
      <c r="G381" s="575"/>
      <c r="H381" s="575"/>
      <c r="I381" s="575"/>
      <c r="J381" s="575"/>
      <c r="K381" s="575"/>
    </row>
    <row r="382" spans="1:11" x14ac:dyDescent="0.2">
      <c r="A382" s="583"/>
      <c r="B382" s="640"/>
      <c r="F382" s="575"/>
      <c r="G382" s="575"/>
      <c r="H382" s="575"/>
      <c r="I382" s="575"/>
      <c r="J382" s="575"/>
      <c r="K382" s="575"/>
    </row>
    <row r="383" spans="1:11" x14ac:dyDescent="0.2">
      <c r="A383" s="583"/>
      <c r="B383" s="640"/>
      <c r="F383" s="575"/>
      <c r="G383" s="575"/>
      <c r="H383" s="575"/>
      <c r="I383" s="575"/>
      <c r="J383" s="575"/>
      <c r="K383" s="575"/>
    </row>
    <row r="384" spans="1:11" x14ac:dyDescent="0.2">
      <c r="A384" s="583"/>
      <c r="B384" s="640"/>
      <c r="F384" s="575"/>
      <c r="G384" s="575"/>
      <c r="H384" s="575"/>
      <c r="I384" s="575"/>
      <c r="J384" s="575"/>
      <c r="K384" s="575"/>
    </row>
    <row r="385" spans="1:11" x14ac:dyDescent="0.2">
      <c r="A385" s="583"/>
      <c r="B385" s="640"/>
      <c r="F385" s="575"/>
      <c r="G385" s="575"/>
      <c r="H385" s="575"/>
      <c r="I385" s="575"/>
      <c r="J385" s="575"/>
      <c r="K385" s="575"/>
    </row>
    <row r="386" spans="1:11" x14ac:dyDescent="0.2">
      <c r="A386" s="583"/>
      <c r="B386" s="640"/>
      <c r="F386" s="575"/>
      <c r="G386" s="575"/>
      <c r="H386" s="575"/>
      <c r="I386" s="575"/>
      <c r="J386" s="575"/>
      <c r="K386" s="575"/>
    </row>
    <row r="387" spans="1:11" x14ac:dyDescent="0.2">
      <c r="A387" s="583"/>
      <c r="B387" s="640"/>
      <c r="F387" s="575"/>
      <c r="G387" s="575"/>
      <c r="H387" s="575"/>
      <c r="I387" s="575"/>
      <c r="J387" s="575"/>
      <c r="K387" s="575"/>
    </row>
    <row r="388" spans="1:11" x14ac:dyDescent="0.2">
      <c r="A388" s="583"/>
      <c r="B388" s="640"/>
      <c r="F388" s="575"/>
      <c r="G388" s="575"/>
      <c r="H388" s="575"/>
      <c r="I388" s="575"/>
      <c r="J388" s="575"/>
      <c r="K388" s="575"/>
    </row>
    <row r="389" spans="1:11" x14ac:dyDescent="0.2">
      <c r="A389" s="583"/>
      <c r="B389" s="640"/>
      <c r="F389" s="575"/>
      <c r="G389" s="575"/>
      <c r="H389" s="575"/>
      <c r="I389" s="575"/>
      <c r="J389" s="575"/>
      <c r="K389" s="575"/>
    </row>
    <row r="390" spans="1:11" x14ac:dyDescent="0.2">
      <c r="A390" s="583"/>
      <c r="B390" s="640"/>
      <c r="F390" s="575"/>
      <c r="G390" s="575"/>
      <c r="H390" s="575"/>
      <c r="I390" s="575"/>
      <c r="J390" s="575"/>
      <c r="K390" s="575"/>
    </row>
    <row r="391" spans="1:11" x14ac:dyDescent="0.2">
      <c r="A391" s="583"/>
      <c r="B391" s="640"/>
      <c r="F391" s="575"/>
      <c r="G391" s="575"/>
      <c r="H391" s="575"/>
      <c r="I391" s="575"/>
      <c r="J391" s="575"/>
      <c r="K391" s="575"/>
    </row>
    <row r="392" spans="1:11" x14ac:dyDescent="0.2">
      <c r="A392" s="583"/>
      <c r="B392" s="640"/>
      <c r="F392" s="575"/>
      <c r="G392" s="575"/>
      <c r="H392" s="575"/>
      <c r="I392" s="575"/>
      <c r="J392" s="575"/>
      <c r="K392" s="575"/>
    </row>
    <row r="393" spans="1:11" x14ac:dyDescent="0.2">
      <c r="A393" s="583"/>
      <c r="B393" s="640"/>
      <c r="F393" s="575"/>
      <c r="G393" s="575"/>
      <c r="H393" s="575"/>
      <c r="I393" s="575"/>
      <c r="J393" s="575"/>
      <c r="K393" s="575"/>
    </row>
    <row r="394" spans="1:11" x14ac:dyDescent="0.2">
      <c r="A394" s="583"/>
      <c r="B394" s="640"/>
      <c r="F394" s="575"/>
      <c r="G394" s="575"/>
      <c r="H394" s="575"/>
      <c r="I394" s="575"/>
      <c r="J394" s="575"/>
      <c r="K394" s="575"/>
    </row>
    <row r="395" spans="1:11" x14ac:dyDescent="0.2">
      <c r="A395" s="583"/>
      <c r="B395" s="640"/>
      <c r="F395" s="575"/>
      <c r="G395" s="575"/>
      <c r="H395" s="575"/>
      <c r="I395" s="575"/>
      <c r="J395" s="575"/>
      <c r="K395" s="575"/>
    </row>
    <row r="396" spans="1:11" x14ac:dyDescent="0.2">
      <c r="A396" s="583"/>
      <c r="B396" s="640"/>
      <c r="F396" s="575"/>
      <c r="G396" s="575"/>
      <c r="H396" s="575"/>
      <c r="I396" s="575"/>
      <c r="J396" s="575"/>
      <c r="K396" s="575"/>
    </row>
    <row r="397" spans="1:11" x14ac:dyDescent="0.2">
      <c r="A397" s="583"/>
      <c r="B397" s="640"/>
      <c r="F397" s="575"/>
      <c r="G397" s="575"/>
      <c r="H397" s="575"/>
      <c r="I397" s="575"/>
      <c r="J397" s="575"/>
      <c r="K397" s="575"/>
    </row>
    <row r="398" spans="1:11" x14ac:dyDescent="0.2">
      <c r="A398" s="583"/>
      <c r="B398" s="640"/>
      <c r="F398" s="575"/>
      <c r="G398" s="575"/>
      <c r="H398" s="575"/>
      <c r="I398" s="575"/>
      <c r="J398" s="575"/>
      <c r="K398" s="575"/>
    </row>
    <row r="399" spans="1:11" x14ac:dyDescent="0.2">
      <c r="A399" s="583"/>
      <c r="B399" s="640"/>
      <c r="F399" s="575"/>
      <c r="G399" s="575"/>
      <c r="H399" s="575"/>
      <c r="I399" s="575"/>
      <c r="J399" s="575"/>
      <c r="K399" s="575"/>
    </row>
    <row r="400" spans="1:11" x14ac:dyDescent="0.2">
      <c r="A400" s="583"/>
      <c r="B400" s="640"/>
      <c r="F400" s="575"/>
      <c r="G400" s="575"/>
      <c r="H400" s="575"/>
      <c r="I400" s="575"/>
      <c r="J400" s="575"/>
      <c r="K400" s="575"/>
    </row>
    <row r="401" spans="1:11" x14ac:dyDescent="0.2">
      <c r="A401" s="583"/>
      <c r="B401" s="640"/>
      <c r="F401" s="575"/>
      <c r="G401" s="575"/>
      <c r="H401" s="575"/>
      <c r="I401" s="575"/>
      <c r="J401" s="575"/>
      <c r="K401" s="575"/>
    </row>
    <row r="402" spans="1:11" x14ac:dyDescent="0.2">
      <c r="A402" s="583"/>
      <c r="B402" s="640"/>
      <c r="F402" s="575"/>
      <c r="G402" s="575"/>
      <c r="H402" s="575"/>
      <c r="I402" s="575"/>
      <c r="J402" s="575"/>
      <c r="K402" s="575"/>
    </row>
    <row r="403" spans="1:11" x14ac:dyDescent="0.2">
      <c r="A403" s="583"/>
      <c r="B403" s="640"/>
      <c r="F403" s="575"/>
      <c r="G403" s="575"/>
      <c r="H403" s="575"/>
      <c r="I403" s="575"/>
      <c r="J403" s="575"/>
      <c r="K403" s="575"/>
    </row>
    <row r="404" spans="1:11" x14ac:dyDescent="0.2">
      <c r="A404" s="583"/>
      <c r="B404" s="640"/>
      <c r="F404" s="575"/>
      <c r="G404" s="575"/>
      <c r="H404" s="575"/>
      <c r="I404" s="575"/>
      <c r="J404" s="575"/>
      <c r="K404" s="575"/>
    </row>
    <row r="405" spans="1:11" x14ac:dyDescent="0.2">
      <c r="A405" s="583"/>
      <c r="B405" s="640"/>
      <c r="F405" s="575"/>
      <c r="G405" s="575"/>
      <c r="H405" s="575"/>
      <c r="I405" s="575"/>
      <c r="J405" s="575"/>
      <c r="K405" s="575"/>
    </row>
    <row r="406" spans="1:11" x14ac:dyDescent="0.2">
      <c r="A406" s="583"/>
      <c r="B406" s="640"/>
      <c r="F406" s="575"/>
      <c r="G406" s="575"/>
      <c r="H406" s="575"/>
      <c r="I406" s="575"/>
      <c r="J406" s="575"/>
      <c r="K406" s="575"/>
    </row>
    <row r="407" spans="1:11" x14ac:dyDescent="0.2">
      <c r="A407" s="583"/>
      <c r="B407" s="640"/>
      <c r="F407" s="575"/>
      <c r="G407" s="575"/>
      <c r="H407" s="575"/>
      <c r="I407" s="575"/>
      <c r="J407" s="575"/>
      <c r="K407" s="575"/>
    </row>
    <row r="408" spans="1:11" x14ac:dyDescent="0.2">
      <c r="A408" s="583"/>
      <c r="B408" s="640"/>
      <c r="F408" s="575"/>
      <c r="G408" s="575"/>
      <c r="H408" s="575"/>
      <c r="I408" s="575"/>
      <c r="J408" s="575"/>
      <c r="K408" s="575"/>
    </row>
    <row r="409" spans="1:11" x14ac:dyDescent="0.2">
      <c r="A409" s="583"/>
      <c r="B409" s="640"/>
      <c r="F409" s="575"/>
      <c r="G409" s="575"/>
      <c r="H409" s="575"/>
      <c r="I409" s="575"/>
      <c r="J409" s="575"/>
      <c r="K409" s="575"/>
    </row>
    <row r="410" spans="1:11" x14ac:dyDescent="0.2">
      <c r="A410" s="583"/>
      <c r="B410" s="640"/>
      <c r="F410" s="575"/>
      <c r="G410" s="575"/>
      <c r="H410" s="575"/>
      <c r="I410" s="575"/>
      <c r="J410" s="575"/>
      <c r="K410" s="575"/>
    </row>
    <row r="411" spans="1:11" x14ac:dyDescent="0.2">
      <c r="A411" s="583"/>
      <c r="B411" s="640"/>
      <c r="F411" s="575"/>
      <c r="G411" s="575"/>
      <c r="H411" s="575"/>
      <c r="I411" s="575"/>
      <c r="J411" s="575"/>
      <c r="K411" s="575"/>
    </row>
    <row r="412" spans="1:11" x14ac:dyDescent="0.2">
      <c r="A412" s="583"/>
      <c r="B412" s="640"/>
      <c r="F412" s="575"/>
      <c r="G412" s="575"/>
      <c r="H412" s="575"/>
      <c r="I412" s="575"/>
      <c r="J412" s="575"/>
      <c r="K412" s="575"/>
    </row>
    <row r="413" spans="1:11" x14ac:dyDescent="0.2">
      <c r="A413" s="583"/>
      <c r="B413" s="640"/>
      <c r="F413" s="575"/>
      <c r="G413" s="575"/>
      <c r="H413" s="575"/>
      <c r="I413" s="575"/>
      <c r="J413" s="575"/>
      <c r="K413" s="575"/>
    </row>
    <row r="414" spans="1:11" x14ac:dyDescent="0.2">
      <c r="A414" s="583"/>
      <c r="B414" s="640"/>
      <c r="F414" s="575"/>
      <c r="G414" s="575"/>
      <c r="H414" s="575"/>
      <c r="I414" s="575"/>
      <c r="J414" s="575"/>
      <c r="K414" s="575"/>
    </row>
    <row r="415" spans="1:11" x14ac:dyDescent="0.2">
      <c r="A415" s="583"/>
      <c r="B415" s="640"/>
      <c r="F415" s="575"/>
      <c r="G415" s="575"/>
      <c r="H415" s="575"/>
      <c r="I415" s="575"/>
      <c r="J415" s="575"/>
      <c r="K415" s="575"/>
    </row>
    <row r="416" spans="1:11" x14ac:dyDescent="0.2">
      <c r="A416" s="583"/>
      <c r="B416" s="640"/>
      <c r="F416" s="575"/>
      <c r="G416" s="575"/>
      <c r="H416" s="575"/>
      <c r="I416" s="575"/>
      <c r="J416" s="575"/>
      <c r="K416" s="575"/>
    </row>
    <row r="417" spans="1:11" x14ac:dyDescent="0.2">
      <c r="A417" s="583"/>
      <c r="B417" s="640"/>
      <c r="F417" s="575"/>
      <c r="G417" s="575"/>
      <c r="H417" s="575"/>
      <c r="I417" s="575"/>
      <c r="J417" s="575"/>
      <c r="K417" s="575"/>
    </row>
    <row r="418" spans="1:11" x14ac:dyDescent="0.2">
      <c r="A418" s="583"/>
      <c r="B418" s="640"/>
      <c r="F418" s="575"/>
      <c r="G418" s="575"/>
      <c r="H418" s="575"/>
      <c r="I418" s="575"/>
      <c r="J418" s="575"/>
      <c r="K418" s="575"/>
    </row>
    <row r="419" spans="1:11" x14ac:dyDescent="0.2">
      <c r="A419" s="583"/>
      <c r="B419" s="640"/>
      <c r="F419" s="575"/>
      <c r="G419" s="575"/>
      <c r="H419" s="575"/>
      <c r="I419" s="575"/>
      <c r="J419" s="575"/>
      <c r="K419" s="575"/>
    </row>
    <row r="420" spans="1:11" x14ac:dyDescent="0.2">
      <c r="A420" s="583"/>
      <c r="B420" s="640"/>
      <c r="F420" s="575"/>
      <c r="G420" s="575"/>
      <c r="H420" s="575"/>
      <c r="I420" s="575"/>
      <c r="J420" s="575"/>
      <c r="K420" s="575"/>
    </row>
    <row r="421" spans="1:11" x14ac:dyDescent="0.2">
      <c r="A421" s="583"/>
      <c r="B421" s="640"/>
      <c r="F421" s="575"/>
      <c r="G421" s="575"/>
      <c r="H421" s="575"/>
      <c r="I421" s="575"/>
      <c r="J421" s="575"/>
      <c r="K421" s="575"/>
    </row>
    <row r="422" spans="1:11" x14ac:dyDescent="0.2">
      <c r="A422" s="583"/>
      <c r="B422" s="640"/>
      <c r="F422" s="575"/>
      <c r="G422" s="575"/>
      <c r="H422" s="575"/>
      <c r="I422" s="575"/>
      <c r="J422" s="575"/>
      <c r="K422" s="575"/>
    </row>
    <row r="423" spans="1:11" x14ac:dyDescent="0.2">
      <c r="A423" s="583"/>
      <c r="B423" s="640"/>
      <c r="F423" s="575"/>
      <c r="G423" s="575"/>
      <c r="H423" s="575"/>
      <c r="I423" s="575"/>
      <c r="J423" s="575"/>
      <c r="K423" s="575"/>
    </row>
    <row r="424" spans="1:11" x14ac:dyDescent="0.2">
      <c r="A424" s="583"/>
      <c r="B424" s="640"/>
      <c r="F424" s="575"/>
      <c r="G424" s="575"/>
      <c r="H424" s="575"/>
      <c r="I424" s="575"/>
      <c r="J424" s="575"/>
      <c r="K424" s="575"/>
    </row>
    <row r="425" spans="1:11" x14ac:dyDescent="0.2">
      <c r="A425" s="583"/>
      <c r="B425" s="640"/>
      <c r="F425" s="575"/>
      <c r="G425" s="575"/>
      <c r="H425" s="575"/>
      <c r="I425" s="575"/>
      <c r="J425" s="575"/>
      <c r="K425" s="575"/>
    </row>
    <row r="426" spans="1:11" x14ac:dyDescent="0.2">
      <c r="A426" s="583"/>
      <c r="B426" s="640"/>
      <c r="F426" s="575"/>
      <c r="G426" s="575"/>
      <c r="H426" s="575"/>
      <c r="I426" s="575"/>
      <c r="J426" s="575"/>
      <c r="K426" s="575"/>
    </row>
    <row r="427" spans="1:11" x14ac:dyDescent="0.2">
      <c r="A427" s="583"/>
      <c r="B427" s="640"/>
      <c r="F427" s="575"/>
      <c r="G427" s="575"/>
      <c r="H427" s="575"/>
      <c r="I427" s="575"/>
      <c r="J427" s="575"/>
      <c r="K427" s="575"/>
    </row>
    <row r="428" spans="1:11" x14ac:dyDescent="0.2">
      <c r="A428" s="583"/>
      <c r="B428" s="640"/>
      <c r="F428" s="575"/>
      <c r="G428" s="575"/>
      <c r="H428" s="575"/>
      <c r="I428" s="575"/>
      <c r="J428" s="575"/>
      <c r="K428" s="575"/>
    </row>
    <row r="429" spans="1:11" x14ac:dyDescent="0.2">
      <c r="A429" s="583"/>
      <c r="B429" s="640"/>
      <c r="F429" s="575"/>
      <c r="G429" s="575"/>
      <c r="H429" s="575"/>
      <c r="I429" s="575"/>
      <c r="J429" s="575"/>
      <c r="K429" s="575"/>
    </row>
    <row r="430" spans="1:11" x14ac:dyDescent="0.2">
      <c r="A430" s="583"/>
      <c r="B430" s="640"/>
      <c r="F430" s="575"/>
      <c r="G430" s="575"/>
      <c r="H430" s="575"/>
      <c r="I430" s="575"/>
      <c r="J430" s="575"/>
      <c r="K430" s="575"/>
    </row>
    <row r="431" spans="1:11" x14ac:dyDescent="0.2">
      <c r="A431" s="583"/>
      <c r="B431" s="640"/>
      <c r="F431" s="575"/>
      <c r="G431" s="575"/>
      <c r="H431" s="575"/>
      <c r="I431" s="575"/>
      <c r="J431" s="575"/>
      <c r="K431" s="575"/>
    </row>
    <row r="432" spans="1:11" x14ac:dyDescent="0.2">
      <c r="A432" s="583"/>
      <c r="B432" s="640"/>
      <c r="F432" s="575"/>
      <c r="G432" s="575"/>
      <c r="H432" s="575"/>
      <c r="I432" s="575"/>
      <c r="J432" s="575"/>
      <c r="K432" s="575"/>
    </row>
    <row r="433" spans="1:11" x14ac:dyDescent="0.2">
      <c r="A433" s="583"/>
      <c r="B433" s="640"/>
      <c r="F433" s="575"/>
      <c r="G433" s="575"/>
      <c r="H433" s="575"/>
      <c r="I433" s="575"/>
      <c r="J433" s="575"/>
      <c r="K433" s="575"/>
    </row>
    <row r="434" spans="1:11" x14ac:dyDescent="0.2">
      <c r="A434" s="583"/>
      <c r="B434" s="640"/>
      <c r="F434" s="575"/>
      <c r="G434" s="575"/>
      <c r="H434" s="575"/>
      <c r="I434" s="575"/>
      <c r="J434" s="575"/>
      <c r="K434" s="575"/>
    </row>
    <row r="435" spans="1:11" x14ac:dyDescent="0.2">
      <c r="A435" s="583"/>
      <c r="B435" s="640"/>
      <c r="F435" s="575"/>
      <c r="G435" s="575"/>
      <c r="H435" s="575"/>
      <c r="I435" s="575"/>
      <c r="J435" s="575"/>
      <c r="K435" s="575"/>
    </row>
    <row r="436" spans="1:11" x14ac:dyDescent="0.2">
      <c r="A436" s="583"/>
      <c r="B436" s="640"/>
      <c r="F436" s="575"/>
      <c r="G436" s="575"/>
      <c r="H436" s="575"/>
      <c r="I436" s="575"/>
      <c r="J436" s="575"/>
      <c r="K436" s="575"/>
    </row>
    <row r="437" spans="1:11" x14ac:dyDescent="0.2">
      <c r="A437" s="583"/>
      <c r="B437" s="640"/>
      <c r="F437" s="575"/>
      <c r="G437" s="575"/>
      <c r="H437" s="575"/>
      <c r="I437" s="575"/>
      <c r="J437" s="575"/>
      <c r="K437" s="575"/>
    </row>
    <row r="438" spans="1:11" x14ac:dyDescent="0.2">
      <c r="A438" s="583"/>
      <c r="B438" s="640"/>
      <c r="F438" s="575"/>
      <c r="G438" s="575"/>
      <c r="H438" s="575"/>
      <c r="I438" s="575"/>
      <c r="J438" s="575"/>
      <c r="K438" s="575"/>
    </row>
    <row r="439" spans="1:11" x14ac:dyDescent="0.2">
      <c r="A439" s="583"/>
      <c r="B439" s="640"/>
      <c r="F439" s="575"/>
      <c r="G439" s="575"/>
      <c r="H439" s="575"/>
      <c r="I439" s="575"/>
      <c r="J439" s="575"/>
      <c r="K439" s="575"/>
    </row>
    <row r="440" spans="1:11" x14ac:dyDescent="0.2">
      <c r="A440" s="583"/>
      <c r="B440" s="640"/>
      <c r="F440" s="575"/>
      <c r="G440" s="575"/>
      <c r="H440" s="575"/>
      <c r="I440" s="575"/>
      <c r="J440" s="575"/>
      <c r="K440" s="575"/>
    </row>
    <row r="441" spans="1:11" x14ac:dyDescent="0.2">
      <c r="A441" s="583"/>
      <c r="B441" s="640"/>
      <c r="F441" s="575"/>
      <c r="G441" s="575"/>
      <c r="H441" s="575"/>
      <c r="I441" s="575"/>
      <c r="J441" s="575"/>
      <c r="K441" s="575"/>
    </row>
    <row r="442" spans="1:11" x14ac:dyDescent="0.2">
      <c r="A442" s="583"/>
      <c r="B442" s="640"/>
      <c r="F442" s="575"/>
      <c r="G442" s="575"/>
      <c r="H442" s="575"/>
      <c r="I442" s="575"/>
      <c r="J442" s="575"/>
      <c r="K442" s="575"/>
    </row>
    <row r="443" spans="1:11" x14ac:dyDescent="0.2">
      <c r="A443" s="583"/>
      <c r="B443" s="640"/>
      <c r="F443" s="575"/>
      <c r="G443" s="575"/>
      <c r="H443" s="575"/>
      <c r="I443" s="575"/>
      <c r="J443" s="575"/>
      <c r="K443" s="575"/>
    </row>
    <row r="444" spans="1:11" x14ac:dyDescent="0.2">
      <c r="A444" s="583"/>
      <c r="B444" s="640"/>
      <c r="F444" s="575"/>
      <c r="G444" s="575"/>
      <c r="H444" s="575"/>
      <c r="I444" s="575"/>
      <c r="J444" s="575"/>
      <c r="K444" s="575"/>
    </row>
    <row r="445" spans="1:11" x14ac:dyDescent="0.2">
      <c r="A445" s="583"/>
      <c r="B445" s="640"/>
      <c r="F445" s="575"/>
      <c r="G445" s="575"/>
      <c r="H445" s="575"/>
      <c r="I445" s="575"/>
      <c r="J445" s="575"/>
      <c r="K445" s="575"/>
    </row>
    <row r="446" spans="1:11" x14ac:dyDescent="0.2">
      <c r="A446" s="583"/>
      <c r="B446" s="640"/>
      <c r="F446" s="575"/>
      <c r="G446" s="575"/>
      <c r="H446" s="575"/>
      <c r="I446" s="575"/>
      <c r="J446" s="575"/>
      <c r="K446" s="575"/>
    </row>
    <row r="447" spans="1:11" x14ac:dyDescent="0.2">
      <c r="A447" s="583"/>
      <c r="B447" s="640"/>
      <c r="F447" s="575"/>
      <c r="G447" s="575"/>
      <c r="H447" s="575"/>
      <c r="I447" s="575"/>
      <c r="J447" s="575"/>
      <c r="K447" s="575"/>
    </row>
    <row r="448" spans="1:11" x14ac:dyDescent="0.2">
      <c r="A448" s="583"/>
      <c r="B448" s="640"/>
      <c r="F448" s="575"/>
      <c r="G448" s="575"/>
      <c r="H448" s="575"/>
      <c r="I448" s="575"/>
      <c r="J448" s="575"/>
      <c r="K448" s="575"/>
    </row>
    <row r="449" spans="1:11" x14ac:dyDescent="0.2">
      <c r="A449" s="583"/>
      <c r="B449" s="640"/>
      <c r="F449" s="575"/>
      <c r="G449" s="575"/>
      <c r="H449" s="575"/>
      <c r="I449" s="575"/>
      <c r="J449" s="575"/>
      <c r="K449" s="575"/>
    </row>
    <row r="450" spans="1:11" x14ac:dyDescent="0.2">
      <c r="A450" s="583"/>
      <c r="B450" s="640"/>
      <c r="F450" s="575"/>
      <c r="G450" s="575"/>
      <c r="H450" s="575"/>
      <c r="I450" s="575"/>
      <c r="J450" s="575"/>
      <c r="K450" s="575"/>
    </row>
    <row r="451" spans="1:11" x14ac:dyDescent="0.2">
      <c r="A451" s="583"/>
      <c r="B451" s="640"/>
      <c r="F451" s="575"/>
      <c r="G451" s="575"/>
      <c r="H451" s="575"/>
      <c r="I451" s="575"/>
      <c r="J451" s="575"/>
      <c r="K451" s="575"/>
    </row>
    <row r="452" spans="1:11" x14ac:dyDescent="0.2">
      <c r="A452" s="583"/>
      <c r="B452" s="640"/>
      <c r="F452" s="575"/>
      <c r="G452" s="575"/>
      <c r="H452" s="575"/>
      <c r="I452" s="575"/>
      <c r="J452" s="575"/>
      <c r="K452" s="575"/>
    </row>
    <row r="453" spans="1:11" x14ac:dyDescent="0.2">
      <c r="A453" s="583"/>
      <c r="B453" s="640"/>
      <c r="F453" s="575"/>
      <c r="G453" s="575"/>
      <c r="H453" s="575"/>
      <c r="I453" s="575"/>
      <c r="J453" s="575"/>
      <c r="K453" s="575"/>
    </row>
    <row r="454" spans="1:11" x14ac:dyDescent="0.2">
      <c r="A454" s="583"/>
      <c r="B454" s="640"/>
      <c r="F454" s="575"/>
      <c r="G454" s="575"/>
      <c r="H454" s="575"/>
      <c r="I454" s="575"/>
      <c r="J454" s="575"/>
      <c r="K454" s="575"/>
    </row>
    <row r="455" spans="1:11" x14ac:dyDescent="0.2">
      <c r="A455" s="583"/>
      <c r="B455" s="640"/>
      <c r="F455" s="575"/>
      <c r="G455" s="575"/>
      <c r="H455" s="575"/>
      <c r="I455" s="575"/>
      <c r="J455" s="575"/>
      <c r="K455" s="575"/>
    </row>
    <row r="456" spans="1:11" x14ac:dyDescent="0.2">
      <c r="A456" s="583"/>
      <c r="B456" s="640"/>
      <c r="F456" s="575"/>
      <c r="G456" s="575"/>
      <c r="H456" s="575"/>
      <c r="I456" s="575"/>
      <c r="J456" s="575"/>
      <c r="K456" s="575"/>
    </row>
    <row r="457" spans="1:11" x14ac:dyDescent="0.2">
      <c r="A457" s="583"/>
      <c r="B457" s="640"/>
      <c r="F457" s="575"/>
      <c r="G457" s="575"/>
      <c r="H457" s="575"/>
      <c r="I457" s="575"/>
      <c r="J457" s="575"/>
      <c r="K457" s="575"/>
    </row>
    <row r="458" spans="1:11" x14ac:dyDescent="0.2">
      <c r="A458" s="583"/>
      <c r="B458" s="640"/>
      <c r="F458" s="575"/>
      <c r="G458" s="575"/>
      <c r="H458" s="575"/>
      <c r="I458" s="575"/>
      <c r="J458" s="575"/>
      <c r="K458" s="575"/>
    </row>
    <row r="459" spans="1:11" x14ac:dyDescent="0.2">
      <c r="A459" s="583"/>
      <c r="B459" s="640"/>
      <c r="F459" s="575"/>
      <c r="G459" s="575"/>
      <c r="H459" s="575"/>
      <c r="I459" s="575"/>
      <c r="J459" s="575"/>
      <c r="K459" s="575"/>
    </row>
    <row r="460" spans="1:11" x14ac:dyDescent="0.2">
      <c r="A460" s="583"/>
      <c r="B460" s="640"/>
      <c r="F460" s="575"/>
      <c r="G460" s="575"/>
      <c r="H460" s="575"/>
      <c r="I460" s="575"/>
      <c r="J460" s="575"/>
      <c r="K460" s="575"/>
    </row>
    <row r="461" spans="1:11" x14ac:dyDescent="0.2">
      <c r="A461" s="583"/>
      <c r="B461" s="640"/>
      <c r="F461" s="575"/>
      <c r="G461" s="575"/>
      <c r="H461" s="575"/>
      <c r="I461" s="575"/>
      <c r="J461" s="575"/>
      <c r="K461" s="575"/>
    </row>
    <row r="462" spans="1:11" x14ac:dyDescent="0.2">
      <c r="A462" s="583"/>
      <c r="B462" s="640"/>
      <c r="F462" s="575"/>
      <c r="G462" s="575"/>
      <c r="H462" s="575"/>
      <c r="I462" s="575"/>
      <c r="J462" s="575"/>
      <c r="K462" s="575"/>
    </row>
    <row r="463" spans="1:11" x14ac:dyDescent="0.2">
      <c r="A463" s="583"/>
      <c r="B463" s="640"/>
      <c r="F463" s="575"/>
      <c r="G463" s="575"/>
      <c r="H463" s="575"/>
      <c r="I463" s="575"/>
      <c r="J463" s="575"/>
      <c r="K463" s="575"/>
    </row>
    <row r="464" spans="1:11" x14ac:dyDescent="0.2">
      <c r="A464" s="583"/>
      <c r="B464" s="640"/>
      <c r="F464" s="575"/>
      <c r="G464" s="575"/>
      <c r="H464" s="575"/>
      <c r="I464" s="575"/>
      <c r="J464" s="575"/>
      <c r="K464" s="575"/>
    </row>
    <row r="465" spans="1:11" x14ac:dyDescent="0.2">
      <c r="A465" s="583"/>
      <c r="B465" s="640"/>
      <c r="F465" s="575"/>
      <c r="G465" s="575"/>
      <c r="H465" s="575"/>
      <c r="I465" s="575"/>
      <c r="J465" s="575"/>
      <c r="K465" s="575"/>
    </row>
    <row r="466" spans="1:11" x14ac:dyDescent="0.2">
      <c r="A466" s="583"/>
      <c r="B466" s="640"/>
      <c r="F466" s="575"/>
      <c r="G466" s="575"/>
      <c r="H466" s="575"/>
      <c r="I466" s="575"/>
      <c r="J466" s="575"/>
      <c r="K466" s="575"/>
    </row>
    <row r="467" spans="1:11" x14ac:dyDescent="0.2">
      <c r="A467" s="583"/>
      <c r="B467" s="640"/>
      <c r="F467" s="575"/>
      <c r="G467" s="575"/>
      <c r="H467" s="575"/>
      <c r="I467" s="575"/>
      <c r="J467" s="575"/>
      <c r="K467" s="575"/>
    </row>
    <row r="468" spans="1:11" x14ac:dyDescent="0.2">
      <c r="A468" s="583"/>
      <c r="B468" s="640"/>
      <c r="F468" s="575"/>
      <c r="G468" s="575"/>
      <c r="H468" s="575"/>
      <c r="I468" s="575"/>
      <c r="J468" s="575"/>
      <c r="K468" s="575"/>
    </row>
    <row r="469" spans="1:11" x14ac:dyDescent="0.2">
      <c r="A469" s="583"/>
      <c r="B469" s="640"/>
      <c r="F469" s="575"/>
      <c r="G469" s="575"/>
      <c r="H469" s="575"/>
      <c r="I469" s="575"/>
      <c r="J469" s="575"/>
      <c r="K469" s="575"/>
    </row>
    <row r="470" spans="1:11" x14ac:dyDescent="0.2">
      <c r="A470" s="583"/>
      <c r="B470" s="640"/>
      <c r="F470" s="575"/>
      <c r="G470" s="575"/>
      <c r="H470" s="575"/>
      <c r="I470" s="575"/>
      <c r="J470" s="575"/>
      <c r="K470" s="575"/>
    </row>
    <row r="471" spans="1:11" x14ac:dyDescent="0.2">
      <c r="A471" s="583"/>
      <c r="B471" s="640"/>
      <c r="F471" s="575"/>
      <c r="G471" s="575"/>
      <c r="H471" s="575"/>
      <c r="I471" s="575"/>
      <c r="J471" s="575"/>
      <c r="K471" s="575"/>
    </row>
    <row r="472" spans="1:11" x14ac:dyDescent="0.2">
      <c r="A472" s="583"/>
      <c r="B472" s="640"/>
      <c r="F472" s="575"/>
      <c r="G472" s="575"/>
      <c r="H472" s="575"/>
      <c r="I472" s="575"/>
      <c r="J472" s="575"/>
      <c r="K472" s="575"/>
    </row>
    <row r="473" spans="1:11" x14ac:dyDescent="0.2">
      <c r="A473" s="583"/>
      <c r="B473" s="640"/>
      <c r="F473" s="575"/>
      <c r="G473" s="575"/>
      <c r="H473" s="575"/>
      <c r="I473" s="575"/>
      <c r="J473" s="575"/>
      <c r="K473" s="575"/>
    </row>
    <row r="474" spans="1:11" x14ac:dyDescent="0.2">
      <c r="A474" s="583"/>
      <c r="B474" s="640"/>
      <c r="F474" s="575"/>
      <c r="G474" s="575"/>
      <c r="H474" s="575"/>
      <c r="I474" s="575"/>
      <c r="J474" s="575"/>
      <c r="K474" s="575"/>
    </row>
    <row r="475" spans="1:11" x14ac:dyDescent="0.2">
      <c r="A475" s="583"/>
      <c r="B475" s="640"/>
      <c r="F475" s="575"/>
      <c r="G475" s="575"/>
      <c r="H475" s="575"/>
      <c r="I475" s="575"/>
      <c r="J475" s="575"/>
      <c r="K475" s="575"/>
    </row>
    <row r="476" spans="1:11" x14ac:dyDescent="0.2">
      <c r="A476" s="583"/>
      <c r="B476" s="640"/>
      <c r="F476" s="575"/>
      <c r="G476" s="575"/>
      <c r="H476" s="575"/>
      <c r="I476" s="575"/>
      <c r="J476" s="575"/>
      <c r="K476" s="575"/>
    </row>
    <row r="477" spans="1:11" x14ac:dyDescent="0.2">
      <c r="A477" s="583"/>
      <c r="B477" s="640"/>
      <c r="F477" s="575"/>
      <c r="G477" s="575"/>
      <c r="H477" s="575"/>
      <c r="I477" s="575"/>
      <c r="J477" s="575"/>
      <c r="K477" s="575"/>
    </row>
    <row r="478" spans="1:11" x14ac:dyDescent="0.2">
      <c r="A478" s="583"/>
      <c r="B478" s="640"/>
      <c r="F478" s="575"/>
      <c r="G478" s="575"/>
      <c r="H478" s="575"/>
      <c r="I478" s="575"/>
      <c r="J478" s="575"/>
      <c r="K478" s="575"/>
    </row>
    <row r="479" spans="1:11" x14ac:dyDescent="0.2">
      <c r="A479" s="583"/>
      <c r="B479" s="640"/>
      <c r="F479" s="575"/>
      <c r="G479" s="575"/>
      <c r="H479" s="575"/>
      <c r="I479" s="575"/>
      <c r="J479" s="575"/>
      <c r="K479" s="575"/>
    </row>
    <row r="480" spans="1:11" x14ac:dyDescent="0.2">
      <c r="A480" s="583"/>
      <c r="B480" s="640"/>
      <c r="F480" s="575"/>
      <c r="G480" s="575"/>
      <c r="H480" s="575"/>
      <c r="I480" s="575"/>
      <c r="J480" s="575"/>
      <c r="K480" s="575"/>
    </row>
    <row r="481" spans="1:11" x14ac:dyDescent="0.2">
      <c r="A481" s="583"/>
      <c r="B481" s="640"/>
      <c r="F481" s="575"/>
      <c r="G481" s="575"/>
      <c r="H481" s="575"/>
      <c r="I481" s="575"/>
      <c r="J481" s="575"/>
      <c r="K481" s="575"/>
    </row>
    <row r="482" spans="1:11" x14ac:dyDescent="0.2">
      <c r="A482" s="583"/>
      <c r="B482" s="640"/>
      <c r="F482" s="575"/>
      <c r="G482" s="575"/>
      <c r="H482" s="575"/>
      <c r="I482" s="575"/>
      <c r="J482" s="575"/>
      <c r="K482" s="575"/>
    </row>
    <row r="483" spans="1:11" x14ac:dyDescent="0.2">
      <c r="A483" s="583"/>
      <c r="B483" s="640"/>
      <c r="F483" s="575"/>
      <c r="G483" s="575"/>
      <c r="H483" s="575"/>
      <c r="I483" s="575"/>
      <c r="J483" s="575"/>
      <c r="K483" s="575"/>
    </row>
    <row r="484" spans="1:11" x14ac:dyDescent="0.2">
      <c r="A484" s="583"/>
      <c r="B484" s="640"/>
      <c r="F484" s="575"/>
      <c r="G484" s="575"/>
      <c r="H484" s="575"/>
      <c r="I484" s="575"/>
      <c r="J484" s="575"/>
      <c r="K484" s="575"/>
    </row>
    <row r="485" spans="1:11" x14ac:dyDescent="0.2">
      <c r="A485" s="583"/>
      <c r="B485" s="640"/>
      <c r="F485" s="575"/>
      <c r="G485" s="575"/>
      <c r="H485" s="575"/>
      <c r="I485" s="575"/>
      <c r="J485" s="575"/>
      <c r="K485" s="575"/>
    </row>
    <row r="486" spans="1:11" x14ac:dyDescent="0.2">
      <c r="A486" s="583"/>
      <c r="B486" s="640"/>
      <c r="F486" s="575"/>
      <c r="G486" s="575"/>
      <c r="H486" s="575"/>
      <c r="I486" s="575"/>
      <c r="J486" s="575"/>
      <c r="K486" s="575"/>
    </row>
    <row r="487" spans="1:11" x14ac:dyDescent="0.2">
      <c r="A487" s="583"/>
      <c r="B487" s="640"/>
      <c r="F487" s="575"/>
      <c r="G487" s="575"/>
      <c r="H487" s="575"/>
      <c r="I487" s="575"/>
      <c r="J487" s="575"/>
      <c r="K487" s="575"/>
    </row>
    <row r="488" spans="1:11" x14ac:dyDescent="0.2">
      <c r="A488" s="583"/>
      <c r="B488" s="640"/>
      <c r="F488" s="575"/>
      <c r="G488" s="575"/>
      <c r="H488" s="575"/>
      <c r="I488" s="575"/>
      <c r="J488" s="575"/>
      <c r="K488" s="575"/>
    </row>
    <row r="489" spans="1:11" x14ac:dyDescent="0.2">
      <c r="A489" s="583"/>
      <c r="B489" s="640"/>
      <c r="F489" s="575"/>
      <c r="G489" s="575"/>
      <c r="H489" s="575"/>
      <c r="I489" s="575"/>
      <c r="J489" s="575"/>
      <c r="K489" s="575"/>
    </row>
    <row r="490" spans="1:11" x14ac:dyDescent="0.2">
      <c r="A490" s="583"/>
      <c r="B490" s="640"/>
      <c r="F490" s="575"/>
      <c r="G490" s="575"/>
      <c r="H490" s="575"/>
      <c r="I490" s="575"/>
      <c r="J490" s="575"/>
      <c r="K490" s="575"/>
    </row>
    <row r="491" spans="1:11" x14ac:dyDescent="0.2">
      <c r="A491" s="583"/>
      <c r="B491" s="640"/>
      <c r="F491" s="575"/>
      <c r="G491" s="575"/>
      <c r="H491" s="575"/>
      <c r="I491" s="575"/>
      <c r="J491" s="575"/>
      <c r="K491" s="575"/>
    </row>
    <row r="492" spans="1:11" x14ac:dyDescent="0.2">
      <c r="A492" s="583"/>
      <c r="B492" s="640"/>
      <c r="F492" s="575"/>
      <c r="G492" s="575"/>
      <c r="H492" s="575"/>
      <c r="I492" s="575"/>
      <c r="J492" s="575"/>
      <c r="K492" s="575"/>
    </row>
    <row r="493" spans="1:11" x14ac:dyDescent="0.2">
      <c r="A493" s="583"/>
      <c r="B493" s="640"/>
      <c r="F493" s="575"/>
      <c r="G493" s="575"/>
      <c r="H493" s="575"/>
      <c r="I493" s="575"/>
      <c r="J493" s="575"/>
      <c r="K493" s="575"/>
    </row>
    <row r="494" spans="1:11" x14ac:dyDescent="0.2">
      <c r="A494" s="583"/>
      <c r="B494" s="640"/>
      <c r="F494" s="575"/>
      <c r="G494" s="575"/>
      <c r="H494" s="575"/>
      <c r="I494" s="575"/>
      <c r="J494" s="575"/>
      <c r="K494" s="575"/>
    </row>
    <row r="495" spans="1:11" x14ac:dyDescent="0.2">
      <c r="A495" s="583"/>
      <c r="B495" s="640"/>
      <c r="F495" s="575"/>
      <c r="G495" s="575"/>
      <c r="H495" s="575"/>
      <c r="I495" s="575"/>
      <c r="J495" s="575"/>
      <c r="K495" s="575"/>
    </row>
    <row r="496" spans="1:11" x14ac:dyDescent="0.2">
      <c r="A496" s="583"/>
      <c r="B496" s="640"/>
      <c r="F496" s="575"/>
      <c r="G496" s="575"/>
      <c r="H496" s="575"/>
      <c r="I496" s="575"/>
      <c r="J496" s="575"/>
      <c r="K496" s="575"/>
    </row>
    <row r="497" spans="1:11" x14ac:dyDescent="0.2">
      <c r="A497" s="583"/>
      <c r="B497" s="640"/>
      <c r="F497" s="575"/>
      <c r="G497" s="575"/>
      <c r="H497" s="575"/>
      <c r="I497" s="575"/>
      <c r="J497" s="575"/>
      <c r="K497" s="575"/>
    </row>
    <row r="498" spans="1:11" x14ac:dyDescent="0.2">
      <c r="A498" s="583"/>
      <c r="B498" s="640"/>
      <c r="F498" s="575"/>
      <c r="G498" s="575"/>
      <c r="H498" s="575"/>
      <c r="I498" s="575"/>
      <c r="J498" s="575"/>
      <c r="K498" s="575"/>
    </row>
    <row r="499" spans="1:11" x14ac:dyDescent="0.2">
      <c r="A499" s="583"/>
      <c r="B499" s="640"/>
      <c r="F499" s="575"/>
      <c r="G499" s="575"/>
      <c r="H499" s="575"/>
      <c r="I499" s="575"/>
      <c r="J499" s="575"/>
      <c r="K499" s="575"/>
    </row>
    <row r="500" spans="1:11" x14ac:dyDescent="0.2">
      <c r="A500" s="583"/>
      <c r="B500" s="640"/>
      <c r="F500" s="575"/>
      <c r="G500" s="575"/>
      <c r="H500" s="575"/>
      <c r="I500" s="575"/>
      <c r="J500" s="575"/>
      <c r="K500" s="575"/>
    </row>
    <row r="501" spans="1:11" x14ac:dyDescent="0.2">
      <c r="A501" s="583"/>
      <c r="B501" s="640"/>
      <c r="F501" s="575"/>
      <c r="G501" s="575"/>
      <c r="H501" s="575"/>
      <c r="I501" s="575"/>
      <c r="J501" s="575"/>
      <c r="K501" s="575"/>
    </row>
    <row r="502" spans="1:11" x14ac:dyDescent="0.2">
      <c r="A502" s="583"/>
      <c r="B502" s="640"/>
      <c r="F502" s="575"/>
      <c r="G502" s="575"/>
      <c r="H502" s="575"/>
      <c r="I502" s="575"/>
      <c r="J502" s="575"/>
      <c r="K502" s="575"/>
    </row>
    <row r="503" spans="1:11" x14ac:dyDescent="0.2">
      <c r="A503" s="583"/>
      <c r="B503" s="640"/>
      <c r="F503" s="575"/>
      <c r="G503" s="575"/>
      <c r="H503" s="575"/>
      <c r="I503" s="575"/>
      <c r="J503" s="575"/>
      <c r="K503" s="575"/>
    </row>
    <row r="504" spans="1:11" x14ac:dyDescent="0.2">
      <c r="A504" s="583"/>
      <c r="B504" s="640"/>
      <c r="F504" s="575"/>
      <c r="G504" s="575"/>
      <c r="H504" s="575"/>
      <c r="I504" s="575"/>
      <c r="J504" s="575"/>
      <c r="K504" s="575"/>
    </row>
    <row r="505" spans="1:11" x14ac:dyDescent="0.2">
      <c r="A505" s="583"/>
      <c r="B505" s="640"/>
      <c r="F505" s="575"/>
      <c r="G505" s="575"/>
      <c r="H505" s="575"/>
      <c r="I505" s="575"/>
      <c r="J505" s="575"/>
      <c r="K505" s="575"/>
    </row>
    <row r="506" spans="1:11" x14ac:dyDescent="0.2">
      <c r="A506" s="583"/>
      <c r="B506" s="640"/>
      <c r="F506" s="575"/>
      <c r="G506" s="575"/>
      <c r="H506" s="575"/>
      <c r="I506" s="575"/>
      <c r="J506" s="575"/>
      <c r="K506" s="575"/>
    </row>
    <row r="507" spans="1:11" x14ac:dyDescent="0.2">
      <c r="A507" s="583"/>
      <c r="B507" s="640"/>
      <c r="F507" s="575"/>
      <c r="G507" s="575"/>
      <c r="H507" s="575"/>
      <c r="I507" s="575"/>
      <c r="J507" s="575"/>
      <c r="K507" s="575"/>
    </row>
    <row r="508" spans="1:11" x14ac:dyDescent="0.2">
      <c r="A508" s="583"/>
      <c r="B508" s="640"/>
      <c r="F508" s="575"/>
      <c r="G508" s="575"/>
      <c r="H508" s="575"/>
      <c r="I508" s="575"/>
      <c r="J508" s="575"/>
      <c r="K508" s="575"/>
    </row>
    <row r="509" spans="1:11" x14ac:dyDescent="0.2">
      <c r="A509" s="583"/>
      <c r="B509" s="640"/>
      <c r="F509" s="575"/>
      <c r="G509" s="575"/>
      <c r="H509" s="575"/>
      <c r="I509" s="575"/>
      <c r="J509" s="575"/>
      <c r="K509" s="575"/>
    </row>
    <row r="510" spans="1:11" x14ac:dyDescent="0.2">
      <c r="A510" s="583"/>
      <c r="B510" s="640"/>
      <c r="F510" s="575"/>
      <c r="G510" s="575"/>
      <c r="H510" s="575"/>
      <c r="I510" s="575"/>
      <c r="J510" s="575"/>
      <c r="K510" s="575"/>
    </row>
    <row r="511" spans="1:11" x14ac:dyDescent="0.2">
      <c r="A511" s="583"/>
      <c r="B511" s="640"/>
      <c r="F511" s="575"/>
      <c r="G511" s="575"/>
      <c r="H511" s="575"/>
      <c r="I511" s="575"/>
      <c r="J511" s="575"/>
      <c r="K511" s="575"/>
    </row>
    <row r="512" spans="1:11" x14ac:dyDescent="0.2">
      <c r="A512" s="583"/>
      <c r="B512" s="640"/>
      <c r="F512" s="575"/>
      <c r="G512" s="575"/>
      <c r="H512" s="575"/>
      <c r="I512" s="575"/>
      <c r="J512" s="575"/>
      <c r="K512" s="575"/>
    </row>
    <row r="513" spans="1:11" x14ac:dyDescent="0.2">
      <c r="A513" s="583"/>
      <c r="B513" s="640"/>
      <c r="F513" s="575"/>
      <c r="G513" s="575"/>
      <c r="H513" s="575"/>
      <c r="I513" s="575"/>
      <c r="J513" s="575"/>
      <c r="K513" s="575"/>
    </row>
    <row r="514" spans="1:11" x14ac:dyDescent="0.2">
      <c r="A514" s="583"/>
      <c r="B514" s="640"/>
      <c r="F514" s="575"/>
      <c r="G514" s="575"/>
      <c r="H514" s="575"/>
      <c r="I514" s="575"/>
      <c r="J514" s="575"/>
      <c r="K514" s="575"/>
    </row>
    <row r="515" spans="1:11" x14ac:dyDescent="0.2">
      <c r="A515" s="583"/>
      <c r="B515" s="640"/>
      <c r="F515" s="575"/>
      <c r="G515" s="575"/>
      <c r="H515" s="575"/>
      <c r="I515" s="575"/>
      <c r="J515" s="575"/>
      <c r="K515" s="575"/>
    </row>
    <row r="516" spans="1:11" x14ac:dyDescent="0.2">
      <c r="A516" s="583"/>
      <c r="B516" s="640"/>
      <c r="F516" s="575"/>
      <c r="G516" s="575"/>
      <c r="H516" s="575"/>
      <c r="I516" s="575"/>
      <c r="J516" s="575"/>
      <c r="K516" s="575"/>
    </row>
    <row r="517" spans="1:11" x14ac:dyDescent="0.2">
      <c r="A517" s="583"/>
      <c r="B517" s="640"/>
      <c r="F517" s="575"/>
      <c r="G517" s="575"/>
      <c r="H517" s="575"/>
      <c r="I517" s="575"/>
      <c r="J517" s="575"/>
      <c r="K517" s="575"/>
    </row>
    <row r="518" spans="1:11" x14ac:dyDescent="0.2">
      <c r="A518" s="583"/>
      <c r="B518" s="640"/>
      <c r="F518" s="575"/>
      <c r="G518" s="575"/>
      <c r="H518" s="575"/>
      <c r="I518" s="575"/>
      <c r="J518" s="575"/>
      <c r="K518" s="575"/>
    </row>
    <row r="519" spans="1:11" x14ac:dyDescent="0.2">
      <c r="A519" s="583"/>
      <c r="B519" s="640"/>
      <c r="F519" s="575"/>
      <c r="G519" s="575"/>
      <c r="H519" s="575"/>
      <c r="I519" s="575"/>
      <c r="J519" s="575"/>
      <c r="K519" s="575"/>
    </row>
    <row r="520" spans="1:11" x14ac:dyDescent="0.2">
      <c r="A520" s="583"/>
      <c r="B520" s="640"/>
      <c r="F520" s="575"/>
      <c r="G520" s="575"/>
      <c r="H520" s="575"/>
      <c r="I520" s="575"/>
      <c r="J520" s="575"/>
      <c r="K520" s="575"/>
    </row>
    <row r="521" spans="1:11" x14ac:dyDescent="0.2">
      <c r="A521" s="583"/>
      <c r="B521" s="640"/>
      <c r="F521" s="575"/>
      <c r="G521" s="575"/>
      <c r="H521" s="575"/>
      <c r="I521" s="575"/>
      <c r="J521" s="575"/>
      <c r="K521" s="575"/>
    </row>
    <row r="522" spans="1:11" x14ac:dyDescent="0.2">
      <c r="A522" s="583"/>
      <c r="B522" s="640"/>
      <c r="F522" s="575"/>
      <c r="G522" s="575"/>
      <c r="H522" s="575"/>
      <c r="I522" s="575"/>
      <c r="J522" s="575"/>
      <c r="K522" s="575"/>
    </row>
    <row r="523" spans="1:11" x14ac:dyDescent="0.2">
      <c r="A523" s="583"/>
      <c r="B523" s="640"/>
      <c r="F523" s="575"/>
      <c r="G523" s="575"/>
      <c r="H523" s="575"/>
      <c r="I523" s="575"/>
      <c r="J523" s="575"/>
      <c r="K523" s="575"/>
    </row>
    <row r="524" spans="1:11" x14ac:dyDescent="0.2">
      <c r="A524" s="583"/>
      <c r="B524" s="640"/>
      <c r="F524" s="575"/>
      <c r="G524" s="575"/>
      <c r="H524" s="575"/>
      <c r="I524" s="575"/>
      <c r="J524" s="575"/>
      <c r="K524" s="575"/>
    </row>
    <row r="525" spans="1:11" x14ac:dyDescent="0.2">
      <c r="A525" s="583"/>
      <c r="B525" s="640"/>
      <c r="F525" s="575"/>
      <c r="G525" s="575"/>
      <c r="H525" s="575"/>
      <c r="I525" s="575"/>
      <c r="J525" s="575"/>
      <c r="K525" s="575"/>
    </row>
    <row r="526" spans="1:11" x14ac:dyDescent="0.2">
      <c r="A526" s="583"/>
      <c r="B526" s="640"/>
      <c r="F526" s="575"/>
      <c r="G526" s="575"/>
      <c r="H526" s="575"/>
      <c r="I526" s="575"/>
      <c r="J526" s="575"/>
      <c r="K526" s="575"/>
    </row>
    <row r="527" spans="1:11" x14ac:dyDescent="0.2">
      <c r="A527" s="583"/>
      <c r="B527" s="640"/>
      <c r="F527" s="575"/>
      <c r="G527" s="575"/>
      <c r="H527" s="575"/>
      <c r="I527" s="575"/>
      <c r="J527" s="575"/>
      <c r="K527" s="575"/>
    </row>
    <row r="528" spans="1:11" x14ac:dyDescent="0.2">
      <c r="A528" s="583"/>
      <c r="B528" s="640"/>
      <c r="F528" s="575"/>
      <c r="G528" s="575"/>
      <c r="H528" s="575"/>
      <c r="I528" s="575"/>
      <c r="J528" s="575"/>
      <c r="K528" s="575"/>
    </row>
    <row r="529" spans="1:11" x14ac:dyDescent="0.2">
      <c r="A529" s="583"/>
      <c r="B529" s="640"/>
      <c r="F529" s="575"/>
      <c r="G529" s="575"/>
      <c r="H529" s="575"/>
      <c r="I529" s="575"/>
      <c r="J529" s="575"/>
      <c r="K529" s="575"/>
    </row>
    <row r="530" spans="1:11" x14ac:dyDescent="0.2">
      <c r="A530" s="583"/>
      <c r="B530" s="640"/>
      <c r="F530" s="575"/>
      <c r="G530" s="575"/>
      <c r="H530" s="575"/>
      <c r="I530" s="575"/>
      <c r="J530" s="575"/>
      <c r="K530" s="575"/>
    </row>
    <row r="531" spans="1:11" x14ac:dyDescent="0.2">
      <c r="A531" s="583"/>
      <c r="B531" s="640"/>
      <c r="F531" s="575"/>
      <c r="G531" s="575"/>
      <c r="H531" s="575"/>
      <c r="I531" s="575"/>
      <c r="J531" s="575"/>
      <c r="K531" s="575"/>
    </row>
    <row r="532" spans="1:11" x14ac:dyDescent="0.2">
      <c r="A532" s="583"/>
      <c r="B532" s="640"/>
      <c r="F532" s="575"/>
      <c r="G532" s="575"/>
      <c r="H532" s="575"/>
      <c r="I532" s="575"/>
      <c r="J532" s="575"/>
      <c r="K532" s="575"/>
    </row>
    <row r="533" spans="1:11" x14ac:dyDescent="0.2">
      <c r="A533" s="583"/>
      <c r="B533" s="640"/>
      <c r="F533" s="575"/>
      <c r="G533" s="575"/>
      <c r="H533" s="575"/>
      <c r="I533" s="575"/>
      <c r="J533" s="575"/>
      <c r="K533" s="575"/>
    </row>
    <row r="534" spans="1:11" x14ac:dyDescent="0.2">
      <c r="A534" s="583"/>
      <c r="B534" s="640"/>
      <c r="F534" s="575"/>
      <c r="G534" s="575"/>
      <c r="H534" s="575"/>
      <c r="I534" s="575"/>
      <c r="J534" s="575"/>
      <c r="K534" s="575"/>
    </row>
    <row r="535" spans="1:11" x14ac:dyDescent="0.2">
      <c r="A535" s="583"/>
      <c r="B535" s="640"/>
      <c r="F535" s="575"/>
      <c r="G535" s="575"/>
      <c r="H535" s="575"/>
      <c r="I535" s="575"/>
      <c r="J535" s="575"/>
      <c r="K535" s="575"/>
    </row>
    <row r="536" spans="1:11" x14ac:dyDescent="0.2">
      <c r="A536" s="583"/>
      <c r="B536" s="640"/>
      <c r="F536" s="575"/>
      <c r="G536" s="575"/>
      <c r="H536" s="575"/>
      <c r="I536" s="575"/>
      <c r="J536" s="575"/>
      <c r="K536" s="575"/>
    </row>
    <row r="537" spans="1:11" x14ac:dyDescent="0.2">
      <c r="A537" s="583"/>
      <c r="B537" s="640"/>
      <c r="F537" s="575"/>
      <c r="G537" s="575"/>
      <c r="H537" s="575"/>
      <c r="I537" s="575"/>
      <c r="J537" s="575"/>
      <c r="K537" s="575"/>
    </row>
    <row r="538" spans="1:11" x14ac:dyDescent="0.2">
      <c r="A538" s="583"/>
      <c r="B538" s="640"/>
      <c r="F538" s="575"/>
      <c r="G538" s="575"/>
      <c r="H538" s="575"/>
      <c r="I538" s="575"/>
      <c r="J538" s="575"/>
      <c r="K538" s="575"/>
    </row>
    <row r="539" spans="1:11" x14ac:dyDescent="0.2">
      <c r="A539" s="583"/>
      <c r="B539" s="640"/>
      <c r="F539" s="575"/>
      <c r="G539" s="575"/>
      <c r="H539" s="575"/>
      <c r="I539" s="575"/>
      <c r="J539" s="575"/>
      <c r="K539" s="575"/>
    </row>
    <row r="540" spans="1:11" x14ac:dyDescent="0.2">
      <c r="A540" s="583"/>
      <c r="B540" s="640"/>
      <c r="F540" s="575"/>
      <c r="G540" s="575"/>
      <c r="H540" s="575"/>
      <c r="I540" s="575"/>
      <c r="J540" s="575"/>
      <c r="K540" s="575"/>
    </row>
    <row r="541" spans="1:11" x14ac:dyDescent="0.2">
      <c r="A541" s="583"/>
      <c r="B541" s="640"/>
      <c r="F541" s="575"/>
      <c r="G541" s="575"/>
      <c r="H541" s="575"/>
      <c r="I541" s="575"/>
      <c r="J541" s="575"/>
      <c r="K541" s="575"/>
    </row>
    <row r="542" spans="1:11" x14ac:dyDescent="0.2">
      <c r="A542" s="583"/>
      <c r="B542" s="640"/>
      <c r="F542" s="575"/>
      <c r="G542" s="575"/>
      <c r="H542" s="575"/>
      <c r="I542" s="575"/>
      <c r="J542" s="575"/>
      <c r="K542" s="575"/>
    </row>
    <row r="543" spans="1:11" x14ac:dyDescent="0.2">
      <c r="A543" s="583"/>
      <c r="B543" s="640"/>
      <c r="F543" s="575"/>
      <c r="G543" s="575"/>
      <c r="H543" s="575"/>
      <c r="I543" s="575"/>
      <c r="J543" s="575"/>
      <c r="K543" s="575"/>
    </row>
    <row r="544" spans="1:11" x14ac:dyDescent="0.2">
      <c r="A544" s="583"/>
      <c r="B544" s="640"/>
      <c r="F544" s="575"/>
      <c r="G544" s="575"/>
      <c r="H544" s="575"/>
      <c r="I544" s="575"/>
      <c r="J544" s="575"/>
      <c r="K544" s="575"/>
    </row>
    <row r="545" spans="1:11" x14ac:dyDescent="0.2">
      <c r="A545" s="583"/>
      <c r="B545" s="640"/>
      <c r="F545" s="575"/>
      <c r="G545" s="575"/>
      <c r="H545" s="575"/>
      <c r="I545" s="575"/>
      <c r="J545" s="575"/>
      <c r="K545" s="575"/>
    </row>
    <row r="546" spans="1:11" x14ac:dyDescent="0.2">
      <c r="A546" s="583"/>
      <c r="B546" s="640"/>
      <c r="F546" s="575"/>
      <c r="G546" s="575"/>
      <c r="H546" s="575"/>
      <c r="I546" s="575"/>
      <c r="J546" s="575"/>
      <c r="K546" s="575"/>
    </row>
    <row r="547" spans="1:11" x14ac:dyDescent="0.2">
      <c r="A547" s="583"/>
      <c r="B547" s="640"/>
      <c r="F547" s="575"/>
      <c r="G547" s="575"/>
      <c r="H547" s="575"/>
      <c r="I547" s="575"/>
      <c r="J547" s="575"/>
      <c r="K547" s="575"/>
    </row>
    <row r="548" spans="1:11" x14ac:dyDescent="0.2">
      <c r="A548" s="583"/>
      <c r="B548" s="640"/>
      <c r="F548" s="575"/>
      <c r="G548" s="575"/>
      <c r="H548" s="575"/>
      <c r="I548" s="575"/>
      <c r="J548" s="575"/>
      <c r="K548" s="575"/>
    </row>
    <row r="549" spans="1:11" x14ac:dyDescent="0.2">
      <c r="A549" s="583"/>
      <c r="B549" s="640"/>
      <c r="F549" s="575"/>
      <c r="G549" s="575"/>
      <c r="H549" s="575"/>
      <c r="I549" s="575"/>
      <c r="J549" s="575"/>
      <c r="K549" s="575"/>
    </row>
    <row r="550" spans="1:11" x14ac:dyDescent="0.2">
      <c r="A550" s="583"/>
      <c r="B550" s="640"/>
      <c r="F550" s="575"/>
      <c r="G550" s="575"/>
      <c r="H550" s="575"/>
      <c r="I550" s="575"/>
      <c r="J550" s="575"/>
      <c r="K550" s="575"/>
    </row>
    <row r="551" spans="1:11" x14ac:dyDescent="0.2">
      <c r="A551" s="583"/>
      <c r="B551" s="640"/>
      <c r="F551" s="575"/>
      <c r="G551" s="575"/>
      <c r="H551" s="575"/>
      <c r="I551" s="575"/>
      <c r="J551" s="575"/>
      <c r="K551" s="575"/>
    </row>
    <row r="552" spans="1:11" x14ac:dyDescent="0.2">
      <c r="A552" s="583"/>
      <c r="B552" s="640"/>
      <c r="F552" s="575"/>
      <c r="G552" s="575"/>
      <c r="H552" s="575"/>
      <c r="I552" s="575"/>
      <c r="J552" s="575"/>
      <c r="K552" s="575"/>
    </row>
    <row r="553" spans="1:11" x14ac:dyDescent="0.2">
      <c r="A553" s="583"/>
      <c r="B553" s="640"/>
      <c r="F553" s="575"/>
      <c r="G553" s="575"/>
      <c r="H553" s="575"/>
      <c r="I553" s="575"/>
      <c r="J553" s="575"/>
      <c r="K553" s="575"/>
    </row>
    <row r="554" spans="1:11" x14ac:dyDescent="0.2">
      <c r="A554" s="583"/>
      <c r="B554" s="640"/>
      <c r="F554" s="575"/>
      <c r="G554" s="575"/>
      <c r="H554" s="575"/>
      <c r="I554" s="575"/>
      <c r="J554" s="575"/>
      <c r="K554" s="575"/>
    </row>
    <row r="555" spans="1:11" x14ac:dyDescent="0.2">
      <c r="A555" s="583"/>
      <c r="B555" s="640"/>
      <c r="F555" s="575"/>
      <c r="G555" s="575"/>
      <c r="H555" s="575"/>
      <c r="I555" s="575"/>
      <c r="J555" s="575"/>
      <c r="K555" s="575"/>
    </row>
    <row r="556" spans="1:11" x14ac:dyDescent="0.2">
      <c r="A556" s="583"/>
      <c r="B556" s="640"/>
      <c r="F556" s="575"/>
      <c r="G556" s="575"/>
      <c r="H556" s="575"/>
      <c r="I556" s="575"/>
      <c r="J556" s="575"/>
      <c r="K556" s="575"/>
    </row>
    <row r="557" spans="1:11" x14ac:dyDescent="0.2">
      <c r="A557" s="583"/>
      <c r="B557" s="640"/>
      <c r="F557" s="575"/>
      <c r="G557" s="575"/>
      <c r="H557" s="575"/>
      <c r="I557" s="575"/>
      <c r="J557" s="575"/>
      <c r="K557" s="575"/>
    </row>
    <row r="558" spans="1:11" x14ac:dyDescent="0.2">
      <c r="A558" s="583"/>
      <c r="B558" s="640"/>
      <c r="F558" s="575"/>
      <c r="G558" s="575"/>
      <c r="H558" s="575"/>
      <c r="I558" s="575"/>
      <c r="J558" s="575"/>
      <c r="K558" s="575"/>
    </row>
    <row r="559" spans="1:11" x14ac:dyDescent="0.2">
      <c r="A559" s="583"/>
      <c r="B559" s="640"/>
      <c r="F559" s="575"/>
      <c r="G559" s="575"/>
      <c r="H559" s="575"/>
      <c r="I559" s="575"/>
      <c r="J559" s="575"/>
      <c r="K559" s="575"/>
    </row>
    <row r="560" spans="1:11" x14ac:dyDescent="0.2">
      <c r="A560" s="583"/>
      <c r="B560" s="640"/>
      <c r="F560" s="575"/>
      <c r="G560" s="575"/>
      <c r="H560" s="575"/>
      <c r="I560" s="575"/>
      <c r="J560" s="575"/>
      <c r="K560" s="575"/>
    </row>
    <row r="561" spans="1:11" x14ac:dyDescent="0.2">
      <c r="A561" s="583"/>
      <c r="B561" s="640"/>
      <c r="F561" s="575"/>
      <c r="G561" s="575"/>
      <c r="H561" s="575"/>
      <c r="I561" s="575"/>
      <c r="J561" s="575"/>
      <c r="K561" s="575"/>
    </row>
    <row r="562" spans="1:11" x14ac:dyDescent="0.2">
      <c r="A562" s="583"/>
      <c r="B562" s="640"/>
      <c r="F562" s="575"/>
      <c r="G562" s="575"/>
      <c r="H562" s="575"/>
      <c r="I562" s="575"/>
      <c r="J562" s="575"/>
      <c r="K562" s="575"/>
    </row>
    <row r="563" spans="1:11" x14ac:dyDescent="0.2">
      <c r="A563" s="583"/>
      <c r="B563" s="640"/>
      <c r="F563" s="575"/>
      <c r="G563" s="575"/>
      <c r="H563" s="575"/>
      <c r="I563" s="575"/>
      <c r="J563" s="575"/>
      <c r="K563" s="575"/>
    </row>
    <row r="564" spans="1:11" x14ac:dyDescent="0.2">
      <c r="A564" s="583"/>
      <c r="B564" s="640"/>
      <c r="F564" s="575"/>
      <c r="G564" s="575"/>
      <c r="H564" s="575"/>
      <c r="I564" s="575"/>
      <c r="J564" s="575"/>
      <c r="K564" s="575"/>
    </row>
    <row r="565" spans="1:11" x14ac:dyDescent="0.2">
      <c r="A565" s="583"/>
      <c r="B565" s="640"/>
      <c r="F565" s="575"/>
      <c r="G565" s="575"/>
      <c r="H565" s="575"/>
      <c r="I565" s="575"/>
      <c r="J565" s="575"/>
      <c r="K565" s="575"/>
    </row>
    <row r="566" spans="1:11" x14ac:dyDescent="0.2">
      <c r="A566" s="583"/>
      <c r="B566" s="640"/>
      <c r="F566" s="575"/>
      <c r="G566" s="575"/>
      <c r="H566" s="575"/>
      <c r="I566" s="575"/>
      <c r="J566" s="575"/>
      <c r="K566" s="575"/>
    </row>
    <row r="567" spans="1:11" x14ac:dyDescent="0.2">
      <c r="A567" s="583"/>
      <c r="B567" s="640"/>
      <c r="F567" s="575"/>
      <c r="G567" s="575"/>
      <c r="H567" s="575"/>
      <c r="I567" s="575"/>
      <c r="J567" s="575"/>
      <c r="K567" s="575"/>
    </row>
    <row r="568" spans="1:11" x14ac:dyDescent="0.2">
      <c r="A568" s="583"/>
      <c r="B568" s="640"/>
      <c r="F568" s="575"/>
      <c r="G568" s="575"/>
      <c r="H568" s="575"/>
      <c r="I568" s="575"/>
      <c r="J568" s="575"/>
      <c r="K568" s="575"/>
    </row>
    <row r="569" spans="1:11" x14ac:dyDescent="0.2">
      <c r="A569" s="583"/>
      <c r="B569" s="640"/>
      <c r="F569" s="575"/>
      <c r="G569" s="575"/>
      <c r="H569" s="575"/>
      <c r="I569" s="575"/>
      <c r="J569" s="575"/>
      <c r="K569" s="575"/>
    </row>
    <row r="570" spans="1:11" x14ac:dyDescent="0.2">
      <c r="A570" s="583"/>
      <c r="B570" s="640"/>
      <c r="F570" s="575"/>
      <c r="G570" s="575"/>
      <c r="H570" s="575"/>
      <c r="I570" s="575"/>
      <c r="J570" s="575"/>
      <c r="K570" s="575"/>
    </row>
    <row r="571" spans="1:11" x14ac:dyDescent="0.2">
      <c r="A571" s="583"/>
      <c r="B571" s="640"/>
      <c r="F571" s="575"/>
      <c r="G571" s="575"/>
      <c r="H571" s="575"/>
      <c r="I571" s="575"/>
      <c r="J571" s="575"/>
      <c r="K571" s="575"/>
    </row>
    <row r="572" spans="1:11" x14ac:dyDescent="0.2">
      <c r="A572" s="583"/>
      <c r="B572" s="640"/>
      <c r="F572" s="575"/>
      <c r="G572" s="575"/>
      <c r="H572" s="575"/>
      <c r="I572" s="575"/>
      <c r="J572" s="575"/>
      <c r="K572" s="575"/>
    </row>
    <row r="573" spans="1:11" x14ac:dyDescent="0.2">
      <c r="A573" s="583"/>
      <c r="B573" s="640"/>
      <c r="F573" s="575"/>
      <c r="G573" s="575"/>
      <c r="H573" s="575"/>
      <c r="I573" s="575"/>
      <c r="J573" s="575"/>
      <c r="K573" s="575"/>
    </row>
    <row r="574" spans="1:11" x14ac:dyDescent="0.2">
      <c r="A574" s="583"/>
      <c r="B574" s="640"/>
      <c r="F574" s="575"/>
      <c r="G574" s="575"/>
      <c r="H574" s="575"/>
      <c r="I574" s="575"/>
      <c r="J574" s="575"/>
      <c r="K574" s="575"/>
    </row>
    <row r="575" spans="1:11" x14ac:dyDescent="0.2">
      <c r="A575" s="583"/>
      <c r="B575" s="640"/>
      <c r="F575" s="575"/>
      <c r="G575" s="575"/>
      <c r="H575" s="575"/>
      <c r="I575" s="575"/>
      <c r="J575" s="575"/>
      <c r="K575" s="575"/>
    </row>
    <row r="576" spans="1:11" x14ac:dyDescent="0.2">
      <c r="A576" s="583"/>
      <c r="B576" s="640"/>
      <c r="F576" s="575"/>
      <c r="G576" s="575"/>
      <c r="H576" s="575"/>
      <c r="I576" s="575"/>
      <c r="J576" s="575"/>
      <c r="K576" s="575"/>
    </row>
    <row r="577" spans="1:11" x14ac:dyDescent="0.2">
      <c r="A577" s="583"/>
      <c r="B577" s="640"/>
      <c r="F577" s="575"/>
      <c r="G577" s="575"/>
      <c r="H577" s="575"/>
      <c r="I577" s="575"/>
      <c r="J577" s="575"/>
      <c r="K577" s="575"/>
    </row>
    <row r="578" spans="1:11" x14ac:dyDescent="0.2">
      <c r="A578" s="583"/>
      <c r="B578" s="640"/>
      <c r="F578" s="575"/>
      <c r="G578" s="575"/>
      <c r="H578" s="575"/>
      <c r="I578" s="575"/>
      <c r="J578" s="575"/>
      <c r="K578" s="575"/>
    </row>
    <row r="579" spans="1:11" x14ac:dyDescent="0.2">
      <c r="A579" s="583"/>
      <c r="B579" s="640"/>
      <c r="F579" s="575"/>
      <c r="G579" s="575"/>
      <c r="H579" s="575"/>
      <c r="I579" s="575"/>
      <c r="J579" s="575"/>
      <c r="K579" s="575"/>
    </row>
    <row r="580" spans="1:11" x14ac:dyDescent="0.2">
      <c r="A580" s="583"/>
      <c r="B580" s="640"/>
      <c r="F580" s="575"/>
      <c r="G580" s="575"/>
      <c r="H580" s="575"/>
      <c r="I580" s="575"/>
      <c r="J580" s="575"/>
      <c r="K580" s="575"/>
    </row>
    <row r="581" spans="1:11" x14ac:dyDescent="0.2">
      <c r="A581" s="583"/>
      <c r="B581" s="640"/>
      <c r="F581" s="575"/>
      <c r="G581" s="575"/>
      <c r="H581" s="575"/>
      <c r="I581" s="575"/>
      <c r="J581" s="575"/>
      <c r="K581" s="575"/>
    </row>
    <row r="582" spans="1:11" x14ac:dyDescent="0.2">
      <c r="A582" s="583"/>
      <c r="B582" s="640"/>
      <c r="F582" s="575"/>
      <c r="G582" s="575"/>
      <c r="H582" s="575"/>
      <c r="I582" s="575"/>
      <c r="J582" s="575"/>
      <c r="K582" s="575"/>
    </row>
    <row r="583" spans="1:11" x14ac:dyDescent="0.2">
      <c r="A583" s="583"/>
      <c r="B583" s="640"/>
      <c r="F583" s="575"/>
      <c r="G583" s="575"/>
      <c r="H583" s="575"/>
      <c r="I583" s="575"/>
      <c r="J583" s="575"/>
      <c r="K583" s="575"/>
    </row>
    <row r="584" spans="1:11" x14ac:dyDescent="0.2">
      <c r="A584" s="583"/>
      <c r="B584" s="640"/>
      <c r="F584" s="575"/>
      <c r="G584" s="575"/>
      <c r="H584" s="575"/>
      <c r="I584" s="575"/>
      <c r="J584" s="575"/>
      <c r="K584" s="575"/>
    </row>
    <row r="585" spans="1:11" x14ac:dyDescent="0.2">
      <c r="A585" s="583"/>
      <c r="B585" s="640"/>
      <c r="F585" s="575"/>
      <c r="G585" s="575"/>
      <c r="H585" s="575"/>
      <c r="I585" s="575"/>
      <c r="J585" s="575"/>
      <c r="K585" s="575"/>
    </row>
    <row r="586" spans="1:11" x14ac:dyDescent="0.2">
      <c r="A586" s="583"/>
      <c r="B586" s="640"/>
      <c r="F586" s="575"/>
      <c r="G586" s="575"/>
      <c r="H586" s="575"/>
      <c r="I586" s="575"/>
      <c r="J586" s="575"/>
      <c r="K586" s="575"/>
    </row>
    <row r="587" spans="1:11" x14ac:dyDescent="0.2">
      <c r="A587" s="583"/>
      <c r="B587" s="640"/>
      <c r="F587" s="575"/>
      <c r="G587" s="575"/>
      <c r="H587" s="575"/>
      <c r="I587" s="575"/>
      <c r="J587" s="575"/>
      <c r="K587" s="575"/>
    </row>
    <row r="588" spans="1:11" x14ac:dyDescent="0.2">
      <c r="A588" s="583"/>
      <c r="B588" s="640"/>
      <c r="F588" s="575"/>
      <c r="G588" s="575"/>
      <c r="H588" s="575"/>
      <c r="I588" s="575"/>
      <c r="J588" s="575"/>
      <c r="K588" s="575"/>
    </row>
    <row r="589" spans="1:11" x14ac:dyDescent="0.2">
      <c r="A589" s="583"/>
      <c r="B589" s="640"/>
      <c r="F589" s="575"/>
      <c r="G589" s="575"/>
      <c r="H589" s="575"/>
      <c r="I589" s="575"/>
      <c r="J589" s="575"/>
      <c r="K589" s="575"/>
    </row>
    <row r="590" spans="1:11" x14ac:dyDescent="0.2">
      <c r="A590" s="583"/>
      <c r="B590" s="640"/>
      <c r="F590" s="575"/>
      <c r="G590" s="575"/>
      <c r="H590" s="575"/>
      <c r="I590" s="575"/>
      <c r="J590" s="575"/>
      <c r="K590" s="575"/>
    </row>
    <row r="591" spans="1:11" x14ac:dyDescent="0.2">
      <c r="A591" s="583"/>
      <c r="B591" s="640"/>
      <c r="F591" s="575"/>
      <c r="G591" s="575"/>
      <c r="H591" s="575"/>
      <c r="I591" s="575"/>
      <c r="J591" s="575"/>
      <c r="K591" s="575"/>
    </row>
    <row r="592" spans="1:11" x14ac:dyDescent="0.2">
      <c r="A592" s="583"/>
      <c r="B592" s="640"/>
      <c r="F592" s="575"/>
      <c r="G592" s="575"/>
      <c r="H592" s="575"/>
      <c r="I592" s="575"/>
      <c r="J592" s="575"/>
      <c r="K592" s="575"/>
    </row>
    <row r="593" spans="1:11" x14ac:dyDescent="0.2">
      <c r="A593" s="583"/>
      <c r="B593" s="640"/>
      <c r="F593" s="575"/>
      <c r="G593" s="575"/>
      <c r="H593" s="575"/>
      <c r="I593" s="575"/>
      <c r="J593" s="575"/>
      <c r="K593" s="575"/>
    </row>
    <row r="594" spans="1:11" x14ac:dyDescent="0.2">
      <c r="A594" s="583"/>
      <c r="B594" s="640"/>
      <c r="F594" s="575"/>
      <c r="G594" s="575"/>
      <c r="H594" s="575"/>
      <c r="I594" s="575"/>
      <c r="J594" s="575"/>
      <c r="K594" s="575"/>
    </row>
    <row r="595" spans="1:11" x14ac:dyDescent="0.2">
      <c r="A595" s="583"/>
      <c r="B595" s="640"/>
      <c r="F595" s="575"/>
      <c r="G595" s="575"/>
      <c r="H595" s="575"/>
      <c r="I595" s="575"/>
      <c r="J595" s="575"/>
      <c r="K595" s="575"/>
    </row>
    <row r="596" spans="1:11" x14ac:dyDescent="0.2">
      <c r="A596" s="583"/>
      <c r="B596" s="640"/>
      <c r="F596" s="575"/>
      <c r="G596" s="575"/>
      <c r="H596" s="575"/>
      <c r="I596" s="575"/>
      <c r="J596" s="575"/>
      <c r="K596" s="575"/>
    </row>
    <row r="597" spans="1:11" x14ac:dyDescent="0.2">
      <c r="A597" s="583"/>
      <c r="B597" s="640"/>
      <c r="F597" s="575"/>
      <c r="G597" s="575"/>
      <c r="H597" s="575"/>
      <c r="I597" s="575"/>
      <c r="J597" s="575"/>
      <c r="K597" s="575"/>
    </row>
    <row r="598" spans="1:11" x14ac:dyDescent="0.2">
      <c r="A598" s="583"/>
      <c r="B598" s="640"/>
      <c r="F598" s="575"/>
      <c r="G598" s="575"/>
      <c r="H598" s="575"/>
      <c r="I598" s="575"/>
      <c r="J598" s="575"/>
      <c r="K598" s="575"/>
    </row>
    <row r="599" spans="1:11" x14ac:dyDescent="0.2">
      <c r="A599" s="583"/>
      <c r="B599" s="640"/>
      <c r="F599" s="575"/>
      <c r="G599" s="575"/>
      <c r="H599" s="575"/>
      <c r="I599" s="575"/>
      <c r="J599" s="575"/>
      <c r="K599" s="575"/>
    </row>
    <row r="600" spans="1:11" x14ac:dyDescent="0.2">
      <c r="A600" s="583"/>
      <c r="B600" s="640"/>
      <c r="F600" s="575"/>
      <c r="G600" s="575"/>
      <c r="H600" s="575"/>
      <c r="I600" s="575"/>
      <c r="J600" s="575"/>
      <c r="K600" s="575"/>
    </row>
    <row r="601" spans="1:11" x14ac:dyDescent="0.2">
      <c r="A601" s="583"/>
      <c r="B601" s="640"/>
      <c r="F601" s="575"/>
      <c r="G601" s="575"/>
      <c r="H601" s="575"/>
      <c r="I601" s="575"/>
      <c r="J601" s="575"/>
      <c r="K601" s="575"/>
    </row>
    <row r="602" spans="1:11" x14ac:dyDescent="0.2">
      <c r="A602" s="583"/>
      <c r="B602" s="640"/>
      <c r="F602" s="575"/>
      <c r="G602" s="575"/>
      <c r="H602" s="575"/>
      <c r="I602" s="575"/>
      <c r="J602" s="575"/>
      <c r="K602" s="575"/>
    </row>
    <row r="603" spans="1:11" x14ac:dyDescent="0.2">
      <c r="A603" s="583"/>
      <c r="B603" s="640"/>
      <c r="F603" s="575"/>
      <c r="G603" s="575"/>
      <c r="H603" s="575"/>
      <c r="I603" s="575"/>
      <c r="J603" s="575"/>
      <c r="K603" s="575"/>
    </row>
    <row r="604" spans="1:11" x14ac:dyDescent="0.2">
      <c r="A604" s="583"/>
      <c r="B604" s="640"/>
      <c r="F604" s="575"/>
      <c r="G604" s="575"/>
      <c r="H604" s="575"/>
      <c r="I604" s="575"/>
      <c r="J604" s="575"/>
      <c r="K604" s="575"/>
    </row>
    <row r="605" spans="1:11" x14ac:dyDescent="0.2">
      <c r="A605" s="583"/>
      <c r="B605" s="640"/>
      <c r="F605" s="575"/>
      <c r="G605" s="575"/>
      <c r="H605" s="575"/>
      <c r="I605" s="575"/>
      <c r="J605" s="575"/>
      <c r="K605" s="575"/>
    </row>
    <row r="606" spans="1:11" x14ac:dyDescent="0.2">
      <c r="A606" s="583"/>
      <c r="B606" s="640"/>
      <c r="F606" s="575"/>
      <c r="G606" s="575"/>
      <c r="H606" s="575"/>
      <c r="I606" s="575"/>
      <c r="J606" s="575"/>
      <c r="K606" s="575"/>
    </row>
    <row r="607" spans="1:11" x14ac:dyDescent="0.2">
      <c r="A607" s="583"/>
      <c r="B607" s="640"/>
      <c r="F607" s="575"/>
      <c r="G607" s="575"/>
      <c r="H607" s="575"/>
      <c r="I607" s="575"/>
      <c r="J607" s="575"/>
      <c r="K607" s="575"/>
    </row>
    <row r="608" spans="1:11" x14ac:dyDescent="0.2">
      <c r="A608" s="583"/>
      <c r="B608" s="640"/>
      <c r="F608" s="575"/>
      <c r="G608" s="575"/>
      <c r="H608" s="575"/>
      <c r="I608" s="575"/>
      <c r="J608" s="575"/>
      <c r="K608" s="575"/>
    </row>
    <row r="609" spans="1:11" x14ac:dyDescent="0.2">
      <c r="A609" s="583"/>
      <c r="B609" s="640"/>
      <c r="F609" s="575"/>
      <c r="G609" s="575"/>
      <c r="H609" s="575"/>
      <c r="I609" s="575"/>
      <c r="J609" s="575"/>
      <c r="K609" s="575"/>
    </row>
    <row r="610" spans="1:11" x14ac:dyDescent="0.2">
      <c r="A610" s="583"/>
      <c r="B610" s="640"/>
      <c r="F610" s="575"/>
      <c r="G610" s="575"/>
      <c r="H610" s="575"/>
      <c r="I610" s="575"/>
      <c r="J610" s="575"/>
      <c r="K610" s="575"/>
    </row>
    <row r="611" spans="1:11" x14ac:dyDescent="0.2">
      <c r="A611" s="583"/>
      <c r="B611" s="640"/>
      <c r="F611" s="575"/>
      <c r="G611" s="575"/>
      <c r="H611" s="575"/>
      <c r="I611" s="575"/>
      <c r="J611" s="575"/>
      <c r="K611" s="575"/>
    </row>
    <row r="612" spans="1:11" x14ac:dyDescent="0.2">
      <c r="A612" s="583"/>
      <c r="B612" s="640"/>
      <c r="F612" s="575"/>
      <c r="G612" s="575"/>
      <c r="H612" s="575"/>
      <c r="I612" s="575"/>
      <c r="J612" s="575"/>
      <c r="K612" s="575"/>
    </row>
    <row r="613" spans="1:11" x14ac:dyDescent="0.2">
      <c r="A613" s="583"/>
      <c r="B613" s="640"/>
      <c r="F613" s="575"/>
      <c r="G613" s="575"/>
      <c r="H613" s="575"/>
      <c r="I613" s="575"/>
      <c r="J613" s="575"/>
      <c r="K613" s="575"/>
    </row>
    <row r="614" spans="1:11" x14ac:dyDescent="0.2">
      <c r="A614" s="583"/>
      <c r="B614" s="640"/>
      <c r="F614" s="575"/>
      <c r="G614" s="575"/>
      <c r="H614" s="575"/>
      <c r="I614" s="575"/>
      <c r="J614" s="575"/>
      <c r="K614" s="575"/>
    </row>
    <row r="615" spans="1:11" x14ac:dyDescent="0.2">
      <c r="A615" s="583"/>
      <c r="B615" s="640"/>
      <c r="F615" s="575"/>
      <c r="G615" s="575"/>
      <c r="H615" s="575"/>
      <c r="I615" s="575"/>
      <c r="J615" s="575"/>
      <c r="K615" s="575"/>
    </row>
    <row r="616" spans="1:11" x14ac:dyDescent="0.2">
      <c r="A616" s="583"/>
      <c r="B616" s="640"/>
      <c r="F616" s="575"/>
      <c r="G616" s="575"/>
      <c r="H616" s="575"/>
      <c r="I616" s="575"/>
      <c r="J616" s="575"/>
      <c r="K616" s="575"/>
    </row>
    <row r="617" spans="1:11" x14ac:dyDescent="0.2">
      <c r="A617" s="583"/>
      <c r="B617" s="640"/>
      <c r="F617" s="575"/>
      <c r="G617" s="575"/>
      <c r="H617" s="575"/>
      <c r="I617" s="575"/>
      <c r="J617" s="575"/>
      <c r="K617" s="575"/>
    </row>
    <row r="618" spans="1:11" x14ac:dyDescent="0.2">
      <c r="A618" s="583"/>
      <c r="B618" s="640"/>
      <c r="F618" s="575"/>
      <c r="G618" s="575"/>
      <c r="H618" s="575"/>
      <c r="I618" s="575"/>
      <c r="J618" s="575"/>
      <c r="K618" s="575"/>
    </row>
    <row r="619" spans="1:11" x14ac:dyDescent="0.2">
      <c r="A619" s="583"/>
      <c r="B619" s="640"/>
      <c r="F619" s="575"/>
      <c r="G619" s="575"/>
      <c r="H619" s="575"/>
      <c r="I619" s="575"/>
      <c r="J619" s="575"/>
      <c r="K619" s="575"/>
    </row>
    <row r="620" spans="1:11" x14ac:dyDescent="0.2">
      <c r="A620" s="583"/>
      <c r="B620" s="640"/>
      <c r="F620" s="575"/>
      <c r="G620" s="575"/>
      <c r="H620" s="575"/>
      <c r="I620" s="575"/>
      <c r="J620" s="575"/>
      <c r="K620" s="575"/>
    </row>
    <row r="621" spans="1:11" x14ac:dyDescent="0.2">
      <c r="A621" s="583"/>
      <c r="B621" s="640"/>
      <c r="F621" s="575"/>
      <c r="G621" s="575"/>
      <c r="H621" s="575"/>
      <c r="I621" s="575"/>
      <c r="J621" s="575"/>
      <c r="K621" s="575"/>
    </row>
    <row r="622" spans="1:11" x14ac:dyDescent="0.2">
      <c r="A622" s="583"/>
      <c r="B622" s="640"/>
      <c r="F622" s="575"/>
      <c r="G622" s="575"/>
      <c r="H622" s="575"/>
      <c r="I622" s="575"/>
      <c r="J622" s="575"/>
      <c r="K622" s="575"/>
    </row>
    <row r="623" spans="1:11" x14ac:dyDescent="0.2">
      <c r="A623" s="583"/>
      <c r="B623" s="640"/>
      <c r="F623" s="575"/>
      <c r="G623" s="575"/>
      <c r="H623" s="575"/>
      <c r="I623" s="575"/>
      <c r="J623" s="575"/>
      <c r="K623" s="575"/>
    </row>
    <row r="624" spans="1:11" x14ac:dyDescent="0.2">
      <c r="A624" s="583"/>
      <c r="B624" s="640"/>
      <c r="F624" s="575"/>
      <c r="G624" s="575"/>
      <c r="H624" s="575"/>
      <c r="I624" s="575"/>
      <c r="J624" s="575"/>
      <c r="K624" s="575"/>
    </row>
    <row r="625" spans="1:11" x14ac:dyDescent="0.2">
      <c r="A625" s="583"/>
      <c r="B625" s="640"/>
      <c r="F625" s="575"/>
      <c r="G625" s="575"/>
      <c r="H625" s="575"/>
      <c r="I625" s="575"/>
      <c r="J625" s="575"/>
      <c r="K625" s="575"/>
    </row>
    <row r="626" spans="1:11" x14ac:dyDescent="0.2">
      <c r="A626" s="583"/>
      <c r="B626" s="640"/>
      <c r="F626" s="575"/>
      <c r="G626" s="575"/>
      <c r="H626" s="575"/>
      <c r="I626" s="575"/>
      <c r="J626" s="575"/>
      <c r="K626" s="575"/>
    </row>
    <row r="627" spans="1:11" x14ac:dyDescent="0.2">
      <c r="A627" s="583"/>
      <c r="B627" s="640"/>
      <c r="F627" s="575"/>
      <c r="G627" s="575"/>
      <c r="H627" s="575"/>
      <c r="I627" s="575"/>
      <c r="J627" s="575"/>
      <c r="K627" s="575"/>
    </row>
    <row r="628" spans="1:11" x14ac:dyDescent="0.2">
      <c r="A628" s="583"/>
      <c r="B628" s="640"/>
      <c r="F628" s="575"/>
      <c r="G628" s="575"/>
      <c r="H628" s="575"/>
      <c r="I628" s="575"/>
      <c r="J628" s="575"/>
      <c r="K628" s="575"/>
    </row>
    <row r="629" spans="1:11" x14ac:dyDescent="0.2">
      <c r="A629" s="583"/>
      <c r="B629" s="640"/>
      <c r="F629" s="575"/>
      <c r="G629" s="575"/>
      <c r="H629" s="575"/>
      <c r="I629" s="575"/>
      <c r="J629" s="575"/>
      <c r="K629" s="575"/>
    </row>
    <row r="630" spans="1:11" x14ac:dyDescent="0.2">
      <c r="A630" s="583"/>
      <c r="B630" s="640"/>
      <c r="F630" s="575"/>
      <c r="G630" s="575"/>
      <c r="H630" s="575"/>
      <c r="I630" s="575"/>
      <c r="J630" s="575"/>
      <c r="K630" s="575"/>
    </row>
    <row r="631" spans="1:11" x14ac:dyDescent="0.2">
      <c r="A631" s="583"/>
      <c r="B631" s="640"/>
      <c r="F631" s="575"/>
      <c r="G631" s="575"/>
      <c r="H631" s="575"/>
      <c r="I631" s="575"/>
      <c r="J631" s="575"/>
      <c r="K631" s="575"/>
    </row>
    <row r="632" spans="1:11" x14ac:dyDescent="0.2">
      <c r="A632" s="583"/>
      <c r="B632" s="640"/>
      <c r="F632" s="575"/>
      <c r="G632" s="575"/>
      <c r="H632" s="575"/>
      <c r="I632" s="575"/>
      <c r="J632" s="575"/>
      <c r="K632" s="575"/>
    </row>
    <row r="633" spans="1:11" x14ac:dyDescent="0.2">
      <c r="A633" s="583"/>
      <c r="B633" s="640"/>
      <c r="F633" s="575"/>
      <c r="G633" s="575"/>
      <c r="H633" s="575"/>
      <c r="I633" s="575"/>
      <c r="J633" s="575"/>
      <c r="K633" s="575"/>
    </row>
    <row r="634" spans="1:11" x14ac:dyDescent="0.2">
      <c r="A634" s="583"/>
      <c r="B634" s="640"/>
      <c r="F634" s="575"/>
      <c r="G634" s="575"/>
      <c r="H634" s="575"/>
      <c r="I634" s="575"/>
      <c r="J634" s="575"/>
      <c r="K634" s="575"/>
    </row>
    <row r="635" spans="1:11" x14ac:dyDescent="0.2">
      <c r="A635" s="583"/>
      <c r="B635" s="640"/>
      <c r="F635" s="575"/>
      <c r="G635" s="575"/>
      <c r="H635" s="575"/>
      <c r="I635" s="575"/>
      <c r="J635" s="575"/>
      <c r="K635" s="575"/>
    </row>
    <row r="636" spans="1:11" x14ac:dyDescent="0.2">
      <c r="A636" s="583"/>
      <c r="B636" s="640"/>
      <c r="F636" s="575"/>
      <c r="G636" s="575"/>
      <c r="H636" s="575"/>
      <c r="I636" s="575"/>
      <c r="J636" s="575"/>
      <c r="K636" s="575"/>
    </row>
    <row r="637" spans="1:11" x14ac:dyDescent="0.2">
      <c r="A637" s="583"/>
      <c r="B637" s="640"/>
      <c r="F637" s="575"/>
      <c r="G637" s="575"/>
      <c r="H637" s="575"/>
      <c r="I637" s="575"/>
      <c r="J637" s="575"/>
      <c r="K637" s="575"/>
    </row>
    <row r="638" spans="1:11" x14ac:dyDescent="0.2">
      <c r="A638" s="583"/>
      <c r="B638" s="640"/>
      <c r="F638" s="575"/>
      <c r="G638" s="575"/>
      <c r="H638" s="575"/>
      <c r="I638" s="575"/>
      <c r="J638" s="575"/>
      <c r="K638" s="575"/>
    </row>
    <row r="639" spans="1:11" x14ac:dyDescent="0.2">
      <c r="A639" s="583"/>
      <c r="B639" s="640"/>
      <c r="F639" s="575"/>
      <c r="G639" s="575"/>
      <c r="H639" s="575"/>
      <c r="I639" s="575"/>
      <c r="J639" s="575"/>
      <c r="K639" s="575"/>
    </row>
    <row r="640" spans="1:11" x14ac:dyDescent="0.2">
      <c r="A640" s="583"/>
      <c r="B640" s="640"/>
      <c r="F640" s="575"/>
      <c r="G640" s="575"/>
      <c r="H640" s="575"/>
      <c r="I640" s="575"/>
      <c r="J640" s="575"/>
      <c r="K640" s="575"/>
    </row>
    <row r="641" spans="1:11" x14ac:dyDescent="0.2">
      <c r="A641" s="583"/>
      <c r="B641" s="640"/>
      <c r="F641" s="575"/>
      <c r="G641" s="575"/>
      <c r="H641" s="575"/>
      <c r="I641" s="575"/>
      <c r="J641" s="575"/>
      <c r="K641" s="575"/>
    </row>
    <row r="642" spans="1:11" x14ac:dyDescent="0.2">
      <c r="A642" s="583"/>
      <c r="B642" s="640"/>
      <c r="F642" s="575"/>
      <c r="G642" s="575"/>
      <c r="H642" s="575"/>
      <c r="I642" s="575"/>
      <c r="J642" s="575"/>
      <c r="K642" s="575"/>
    </row>
    <row r="643" spans="1:11" x14ac:dyDescent="0.2">
      <c r="A643" s="583"/>
      <c r="B643" s="640"/>
      <c r="F643" s="575"/>
      <c r="G643" s="575"/>
      <c r="H643" s="575"/>
      <c r="I643" s="575"/>
      <c r="J643" s="575"/>
      <c r="K643" s="575"/>
    </row>
    <row r="644" spans="1:11" x14ac:dyDescent="0.2">
      <c r="A644" s="583"/>
      <c r="B644" s="640"/>
      <c r="F644" s="575"/>
      <c r="G644" s="575"/>
      <c r="H644" s="575"/>
      <c r="I644" s="575"/>
      <c r="J644" s="575"/>
      <c r="K644" s="575"/>
    </row>
    <row r="645" spans="1:11" x14ac:dyDescent="0.2">
      <c r="A645" s="583"/>
      <c r="B645" s="640"/>
      <c r="F645" s="575"/>
      <c r="G645" s="575"/>
      <c r="H645" s="575"/>
      <c r="I645" s="575"/>
      <c r="J645" s="575"/>
      <c r="K645" s="575"/>
    </row>
    <row r="646" spans="1:11" x14ac:dyDescent="0.2">
      <c r="A646" s="583"/>
      <c r="B646" s="640"/>
      <c r="F646" s="575"/>
      <c r="G646" s="575"/>
      <c r="H646" s="575"/>
      <c r="I646" s="575"/>
      <c r="J646" s="575"/>
      <c r="K646" s="575"/>
    </row>
    <row r="647" spans="1:11" x14ac:dyDescent="0.2">
      <c r="A647" s="583"/>
      <c r="B647" s="640"/>
      <c r="F647" s="575"/>
      <c r="G647" s="575"/>
      <c r="H647" s="575"/>
      <c r="I647" s="575"/>
      <c r="J647" s="575"/>
      <c r="K647" s="575"/>
    </row>
    <row r="648" spans="1:11" x14ac:dyDescent="0.2">
      <c r="A648" s="583"/>
      <c r="B648" s="640"/>
      <c r="F648" s="575"/>
      <c r="G648" s="575"/>
      <c r="H648" s="575"/>
      <c r="I648" s="575"/>
      <c r="J648" s="575"/>
      <c r="K648" s="575"/>
    </row>
    <row r="649" spans="1:11" x14ac:dyDescent="0.2">
      <c r="A649" s="583"/>
      <c r="B649" s="640"/>
      <c r="F649" s="575"/>
      <c r="G649" s="575"/>
      <c r="H649" s="575"/>
      <c r="I649" s="575"/>
      <c r="J649" s="575"/>
      <c r="K649" s="575"/>
    </row>
    <row r="650" spans="1:11" x14ac:dyDescent="0.2">
      <c r="A650" s="583"/>
      <c r="B650" s="640"/>
      <c r="F650" s="575"/>
      <c r="G650" s="575"/>
      <c r="H650" s="575"/>
      <c r="I650" s="575"/>
      <c r="J650" s="575"/>
      <c r="K650" s="575"/>
    </row>
    <row r="651" spans="1:11" x14ac:dyDescent="0.2">
      <c r="A651" s="583"/>
      <c r="B651" s="640"/>
      <c r="F651" s="575"/>
      <c r="G651" s="575"/>
      <c r="H651" s="575"/>
      <c r="I651" s="575"/>
      <c r="J651" s="575"/>
      <c r="K651" s="575"/>
    </row>
    <row r="652" spans="1:11" x14ac:dyDescent="0.2">
      <c r="A652" s="583"/>
      <c r="B652" s="640"/>
      <c r="F652" s="575"/>
      <c r="G652" s="575"/>
      <c r="H652" s="575"/>
      <c r="I652" s="575"/>
      <c r="J652" s="575"/>
      <c r="K652" s="575"/>
    </row>
    <row r="653" spans="1:11" x14ac:dyDescent="0.2">
      <c r="A653" s="583"/>
      <c r="B653" s="640"/>
      <c r="F653" s="575"/>
      <c r="G653" s="575"/>
      <c r="H653" s="575"/>
      <c r="I653" s="575"/>
      <c r="J653" s="575"/>
      <c r="K653" s="575"/>
    </row>
    <row r="654" spans="1:11" x14ac:dyDescent="0.2">
      <c r="A654" s="583"/>
      <c r="B654" s="640"/>
      <c r="F654" s="575"/>
      <c r="G654" s="575"/>
      <c r="H654" s="575"/>
      <c r="I654" s="575"/>
      <c r="J654" s="575"/>
      <c r="K654" s="575"/>
    </row>
    <row r="655" spans="1:11" x14ac:dyDescent="0.2">
      <c r="A655" s="583"/>
      <c r="B655" s="640"/>
      <c r="F655" s="575"/>
      <c r="G655" s="575"/>
      <c r="H655" s="575"/>
      <c r="I655" s="575"/>
      <c r="J655" s="575"/>
      <c r="K655" s="575"/>
    </row>
    <row r="656" spans="1:11" x14ac:dyDescent="0.2">
      <c r="A656" s="583"/>
      <c r="B656" s="640"/>
      <c r="F656" s="575"/>
      <c r="G656" s="575"/>
      <c r="H656" s="575"/>
      <c r="I656" s="575"/>
      <c r="J656" s="575"/>
      <c r="K656" s="575"/>
    </row>
    <row r="657" spans="1:11" x14ac:dyDescent="0.2">
      <c r="A657" s="583"/>
      <c r="B657" s="640"/>
      <c r="F657" s="575"/>
      <c r="G657" s="575"/>
      <c r="H657" s="575"/>
      <c r="I657" s="575"/>
      <c r="J657" s="575"/>
      <c r="K657" s="575"/>
    </row>
    <row r="658" spans="1:11" x14ac:dyDescent="0.2">
      <c r="A658" s="583"/>
      <c r="B658" s="640"/>
      <c r="F658" s="575"/>
      <c r="G658" s="575"/>
      <c r="H658" s="575"/>
      <c r="I658" s="575"/>
      <c r="J658" s="575"/>
      <c r="K658" s="575"/>
    </row>
    <row r="659" spans="1:11" x14ac:dyDescent="0.2">
      <c r="A659" s="583"/>
      <c r="B659" s="640"/>
      <c r="F659" s="575"/>
      <c r="G659" s="575"/>
      <c r="H659" s="575"/>
      <c r="I659" s="575"/>
      <c r="J659" s="575"/>
      <c r="K659" s="575"/>
    </row>
    <row r="660" spans="1:11" x14ac:dyDescent="0.2">
      <c r="A660" s="583"/>
      <c r="B660" s="640"/>
      <c r="F660" s="575"/>
      <c r="G660" s="575"/>
      <c r="H660" s="575"/>
      <c r="I660" s="575"/>
      <c r="J660" s="575"/>
      <c r="K660" s="575"/>
    </row>
    <row r="661" spans="1:11" x14ac:dyDescent="0.2">
      <c r="A661" s="583"/>
      <c r="B661" s="640"/>
      <c r="F661" s="575"/>
      <c r="G661" s="575"/>
      <c r="H661" s="575"/>
      <c r="I661" s="575"/>
      <c r="J661" s="575"/>
      <c r="K661" s="575"/>
    </row>
    <row r="662" spans="1:11" x14ac:dyDescent="0.2">
      <c r="A662" s="583"/>
      <c r="B662" s="640"/>
      <c r="F662" s="575"/>
      <c r="G662" s="575"/>
      <c r="H662" s="575"/>
      <c r="I662" s="575"/>
      <c r="J662" s="575"/>
      <c r="K662" s="575"/>
    </row>
    <row r="663" spans="1:11" x14ac:dyDescent="0.2">
      <c r="A663" s="583"/>
      <c r="B663" s="640"/>
      <c r="F663" s="575"/>
      <c r="G663" s="575"/>
      <c r="H663" s="575"/>
      <c r="I663" s="575"/>
      <c r="J663" s="575"/>
      <c r="K663" s="575"/>
    </row>
    <row r="664" spans="1:11" x14ac:dyDescent="0.2">
      <c r="A664" s="583"/>
      <c r="B664" s="640"/>
      <c r="F664" s="575"/>
      <c r="G664" s="575"/>
      <c r="H664" s="575"/>
      <c r="I664" s="575"/>
      <c r="J664" s="575"/>
      <c r="K664" s="575"/>
    </row>
    <row r="665" spans="1:11" x14ac:dyDescent="0.2">
      <c r="A665" s="583"/>
      <c r="B665" s="640"/>
      <c r="F665" s="575"/>
      <c r="G665" s="575"/>
      <c r="H665" s="575"/>
      <c r="I665" s="575"/>
      <c r="J665" s="575"/>
      <c r="K665" s="575"/>
    </row>
    <row r="666" spans="1:11" x14ac:dyDescent="0.2">
      <c r="A666" s="583"/>
      <c r="B666" s="640"/>
      <c r="F666" s="575"/>
      <c r="G666" s="575"/>
      <c r="H666" s="575"/>
      <c r="I666" s="575"/>
      <c r="J666" s="575"/>
      <c r="K666" s="575"/>
    </row>
    <row r="667" spans="1:11" x14ac:dyDescent="0.2">
      <c r="A667" s="583"/>
      <c r="B667" s="640"/>
      <c r="F667" s="575"/>
      <c r="G667" s="575"/>
      <c r="H667" s="575"/>
      <c r="I667" s="575"/>
      <c r="J667" s="575"/>
      <c r="K667" s="575"/>
    </row>
    <row r="668" spans="1:11" x14ac:dyDescent="0.2">
      <c r="A668" s="583"/>
      <c r="B668" s="640"/>
      <c r="F668" s="575"/>
      <c r="G668" s="575"/>
      <c r="H668" s="575"/>
      <c r="I668" s="575"/>
      <c r="J668" s="575"/>
      <c r="K668" s="575"/>
    </row>
    <row r="669" spans="1:11" x14ac:dyDescent="0.2">
      <c r="A669" s="583"/>
      <c r="B669" s="640"/>
      <c r="F669" s="575"/>
      <c r="G669" s="575"/>
      <c r="H669" s="575"/>
      <c r="I669" s="575"/>
      <c r="J669" s="575"/>
      <c r="K669" s="575"/>
    </row>
    <row r="670" spans="1:11" x14ac:dyDescent="0.2">
      <c r="A670" s="583"/>
      <c r="B670" s="640"/>
      <c r="F670" s="575"/>
      <c r="G670" s="575"/>
      <c r="H670" s="575"/>
      <c r="I670" s="575"/>
      <c r="J670" s="575"/>
      <c r="K670" s="575"/>
    </row>
    <row r="671" spans="1:11" x14ac:dyDescent="0.2">
      <c r="A671" s="583"/>
      <c r="B671" s="640"/>
      <c r="F671" s="575"/>
      <c r="G671" s="575"/>
      <c r="H671" s="575"/>
      <c r="I671" s="575"/>
      <c r="J671" s="575"/>
      <c r="K671" s="575"/>
    </row>
    <row r="672" spans="1:11" x14ac:dyDescent="0.2">
      <c r="A672" s="583"/>
      <c r="B672" s="640"/>
      <c r="F672" s="575"/>
      <c r="G672" s="575"/>
      <c r="H672" s="575"/>
      <c r="I672" s="575"/>
      <c r="J672" s="575"/>
      <c r="K672" s="575"/>
    </row>
    <row r="673" spans="1:11" x14ac:dyDescent="0.2">
      <c r="A673" s="583"/>
      <c r="B673" s="640"/>
      <c r="F673" s="575"/>
      <c r="G673" s="575"/>
      <c r="H673" s="575"/>
      <c r="I673" s="575"/>
      <c r="J673" s="575"/>
      <c r="K673" s="575"/>
    </row>
    <row r="674" spans="1:11" x14ac:dyDescent="0.2">
      <c r="A674" s="583"/>
      <c r="B674" s="640"/>
      <c r="F674" s="575"/>
      <c r="G674" s="575"/>
      <c r="H674" s="575"/>
      <c r="I674" s="575"/>
      <c r="J674" s="575"/>
      <c r="K674" s="575"/>
    </row>
    <row r="675" spans="1:11" x14ac:dyDescent="0.2">
      <c r="A675" s="583"/>
      <c r="B675" s="640"/>
      <c r="F675" s="575"/>
      <c r="G675" s="575"/>
      <c r="H675" s="575"/>
      <c r="I675" s="575"/>
      <c r="J675" s="575"/>
      <c r="K675" s="575"/>
    </row>
    <row r="676" spans="1:11" x14ac:dyDescent="0.2">
      <c r="A676" s="583"/>
      <c r="B676" s="640"/>
      <c r="F676" s="575"/>
      <c r="G676" s="575"/>
      <c r="H676" s="575"/>
      <c r="I676" s="575"/>
      <c r="J676" s="575"/>
      <c r="K676" s="575"/>
    </row>
    <row r="677" spans="1:11" x14ac:dyDescent="0.2">
      <c r="A677" s="583"/>
      <c r="B677" s="640"/>
      <c r="F677" s="575"/>
      <c r="G677" s="575"/>
      <c r="H677" s="575"/>
      <c r="I677" s="575"/>
      <c r="J677" s="575"/>
      <c r="K677" s="575"/>
    </row>
    <row r="678" spans="1:11" x14ac:dyDescent="0.2">
      <c r="A678" s="583"/>
      <c r="B678" s="640"/>
      <c r="F678" s="575"/>
      <c r="G678" s="575"/>
      <c r="H678" s="575"/>
      <c r="I678" s="575"/>
      <c r="J678" s="575"/>
      <c r="K678" s="575"/>
    </row>
    <row r="679" spans="1:11" x14ac:dyDescent="0.2">
      <c r="A679" s="583"/>
      <c r="B679" s="640"/>
      <c r="F679" s="575"/>
      <c r="G679" s="575"/>
      <c r="H679" s="575"/>
      <c r="I679" s="575"/>
      <c r="J679" s="575"/>
      <c r="K679" s="575"/>
    </row>
    <row r="680" spans="1:11" x14ac:dyDescent="0.2">
      <c r="A680" s="583"/>
      <c r="B680" s="640"/>
      <c r="F680" s="575"/>
      <c r="G680" s="575"/>
      <c r="H680" s="575"/>
      <c r="I680" s="575"/>
      <c r="J680" s="575"/>
      <c r="K680" s="575"/>
    </row>
    <row r="681" spans="1:11" x14ac:dyDescent="0.2">
      <c r="A681" s="583"/>
      <c r="B681" s="640"/>
      <c r="F681" s="575"/>
      <c r="G681" s="575"/>
      <c r="H681" s="575"/>
      <c r="I681" s="575"/>
      <c r="J681" s="575"/>
      <c r="K681" s="575"/>
    </row>
    <row r="682" spans="1:11" x14ac:dyDescent="0.2">
      <c r="A682" s="583"/>
      <c r="B682" s="640"/>
      <c r="F682" s="575"/>
      <c r="G682" s="575"/>
      <c r="H682" s="575"/>
      <c r="I682" s="575"/>
      <c r="J682" s="575"/>
      <c r="K682" s="575"/>
    </row>
    <row r="683" spans="1:11" x14ac:dyDescent="0.2">
      <c r="A683" s="583"/>
      <c r="B683" s="640"/>
      <c r="F683" s="575"/>
      <c r="G683" s="575"/>
      <c r="H683" s="575"/>
      <c r="I683" s="575"/>
      <c r="J683" s="575"/>
      <c r="K683" s="575"/>
    </row>
    <row r="684" spans="1:11" x14ac:dyDescent="0.2">
      <c r="A684" s="583"/>
      <c r="B684" s="640"/>
      <c r="F684" s="575"/>
      <c r="G684" s="575"/>
      <c r="H684" s="575"/>
      <c r="I684" s="575"/>
      <c r="J684" s="575"/>
      <c r="K684" s="575"/>
    </row>
    <row r="685" spans="1:11" x14ac:dyDescent="0.2">
      <c r="A685" s="583"/>
      <c r="B685" s="640"/>
      <c r="F685" s="575"/>
      <c r="G685" s="575"/>
      <c r="H685" s="575"/>
      <c r="I685" s="575"/>
      <c r="J685" s="575"/>
      <c r="K685" s="575"/>
    </row>
    <row r="686" spans="1:11" x14ac:dyDescent="0.2">
      <c r="A686" s="583"/>
      <c r="B686" s="640"/>
      <c r="F686" s="575"/>
      <c r="G686" s="575"/>
      <c r="H686" s="575"/>
      <c r="I686" s="575"/>
      <c r="J686" s="575"/>
      <c r="K686" s="575"/>
    </row>
    <row r="687" spans="1:11" x14ac:dyDescent="0.2">
      <c r="A687" s="583"/>
      <c r="B687" s="640"/>
      <c r="F687" s="575"/>
      <c r="G687" s="575"/>
      <c r="H687" s="575"/>
      <c r="I687" s="575"/>
      <c r="J687" s="575"/>
      <c r="K687" s="575"/>
    </row>
    <row r="688" spans="1:11" x14ac:dyDescent="0.2">
      <c r="A688" s="583"/>
      <c r="B688" s="640"/>
      <c r="F688" s="575"/>
      <c r="G688" s="575"/>
      <c r="H688" s="575"/>
      <c r="I688" s="575"/>
      <c r="J688" s="575"/>
      <c r="K688" s="575"/>
    </row>
    <row r="689" spans="1:11" x14ac:dyDescent="0.2">
      <c r="A689" s="583"/>
      <c r="B689" s="640"/>
      <c r="F689" s="575"/>
      <c r="G689" s="575"/>
      <c r="H689" s="575"/>
      <c r="I689" s="575"/>
      <c r="J689" s="575"/>
      <c r="K689" s="575"/>
    </row>
    <row r="690" spans="1:11" x14ac:dyDescent="0.2">
      <c r="A690" s="583"/>
      <c r="B690" s="640"/>
      <c r="F690" s="575"/>
      <c r="G690" s="575"/>
      <c r="H690" s="575"/>
      <c r="I690" s="575"/>
      <c r="J690" s="575"/>
      <c r="K690" s="575"/>
    </row>
    <row r="691" spans="1:11" x14ac:dyDescent="0.2">
      <c r="A691" s="583"/>
      <c r="B691" s="640"/>
      <c r="F691" s="575"/>
      <c r="G691" s="575"/>
      <c r="H691" s="575"/>
      <c r="I691" s="575"/>
      <c r="J691" s="575"/>
      <c r="K691" s="575"/>
    </row>
    <row r="692" spans="1:11" x14ac:dyDescent="0.2">
      <c r="A692" s="583"/>
      <c r="B692" s="640"/>
      <c r="F692" s="575"/>
      <c r="G692" s="575"/>
      <c r="H692" s="575"/>
      <c r="I692" s="575"/>
      <c r="J692" s="575"/>
      <c r="K692" s="575"/>
    </row>
    <row r="693" spans="1:11" x14ac:dyDescent="0.2">
      <c r="A693" s="583"/>
      <c r="B693" s="640"/>
      <c r="F693" s="575"/>
      <c r="G693" s="575"/>
      <c r="H693" s="575"/>
      <c r="I693" s="575"/>
      <c r="J693" s="575"/>
      <c r="K693" s="575"/>
    </row>
    <row r="694" spans="1:11" x14ac:dyDescent="0.2">
      <c r="A694" s="583"/>
      <c r="B694" s="640"/>
      <c r="F694" s="575"/>
      <c r="G694" s="575"/>
      <c r="H694" s="575"/>
      <c r="I694" s="575"/>
      <c r="J694" s="575"/>
      <c r="K694" s="575"/>
    </row>
    <row r="695" spans="1:11" x14ac:dyDescent="0.2">
      <c r="A695" s="583"/>
      <c r="B695" s="640"/>
      <c r="F695" s="575"/>
      <c r="G695" s="575"/>
      <c r="H695" s="575"/>
      <c r="I695" s="575"/>
      <c r="J695" s="575"/>
      <c r="K695" s="575"/>
    </row>
    <row r="696" spans="1:11" x14ac:dyDescent="0.2">
      <c r="A696" s="583"/>
      <c r="B696" s="640"/>
      <c r="F696" s="575"/>
      <c r="G696" s="575"/>
      <c r="H696" s="575"/>
      <c r="I696" s="575"/>
      <c r="J696" s="575"/>
      <c r="K696" s="575"/>
    </row>
    <row r="697" spans="1:11" x14ac:dyDescent="0.2">
      <c r="A697" s="583"/>
      <c r="B697" s="640"/>
      <c r="F697" s="575"/>
      <c r="G697" s="575"/>
      <c r="H697" s="575"/>
      <c r="I697" s="575"/>
      <c r="J697" s="575"/>
      <c r="K697" s="575"/>
    </row>
    <row r="698" spans="1:11" x14ac:dyDescent="0.2">
      <c r="A698" s="583"/>
      <c r="B698" s="640"/>
      <c r="F698" s="575"/>
      <c r="G698" s="575"/>
      <c r="H698" s="575"/>
      <c r="I698" s="575"/>
      <c r="J698" s="575"/>
      <c r="K698" s="575"/>
    </row>
    <row r="699" spans="1:11" x14ac:dyDescent="0.2">
      <c r="A699" s="583"/>
      <c r="B699" s="640"/>
      <c r="F699" s="575"/>
      <c r="G699" s="575"/>
      <c r="H699" s="575"/>
      <c r="I699" s="575"/>
      <c r="J699" s="575"/>
      <c r="K699" s="575"/>
    </row>
    <row r="700" spans="1:11" x14ac:dyDescent="0.2">
      <c r="A700" s="583"/>
      <c r="B700" s="640"/>
      <c r="F700" s="575"/>
      <c r="G700" s="575"/>
      <c r="H700" s="575"/>
      <c r="I700" s="575"/>
      <c r="J700" s="575"/>
      <c r="K700" s="575"/>
    </row>
    <row r="701" spans="1:11" x14ac:dyDescent="0.2">
      <c r="A701" s="583"/>
      <c r="B701" s="640"/>
      <c r="F701" s="575"/>
      <c r="G701" s="575"/>
      <c r="H701" s="575"/>
      <c r="I701" s="575"/>
      <c r="J701" s="575"/>
      <c r="K701" s="575"/>
    </row>
    <row r="702" spans="1:11" x14ac:dyDescent="0.2">
      <c r="A702" s="583"/>
      <c r="B702" s="640"/>
      <c r="F702" s="575"/>
      <c r="G702" s="575"/>
      <c r="H702" s="575"/>
      <c r="I702" s="575"/>
      <c r="J702" s="575"/>
      <c r="K702" s="575"/>
    </row>
    <row r="703" spans="1:11" x14ac:dyDescent="0.2">
      <c r="A703" s="583"/>
      <c r="B703" s="640"/>
      <c r="F703" s="575"/>
      <c r="G703" s="575"/>
      <c r="H703" s="575"/>
      <c r="I703" s="575"/>
      <c r="J703" s="575"/>
      <c r="K703" s="575"/>
    </row>
    <row r="704" spans="1:11" x14ac:dyDescent="0.2">
      <c r="A704" s="583"/>
      <c r="B704" s="640"/>
      <c r="F704" s="575"/>
      <c r="G704" s="575"/>
      <c r="H704" s="575"/>
      <c r="I704" s="575"/>
      <c r="J704" s="575"/>
      <c r="K704" s="575"/>
    </row>
    <row r="705" spans="1:11" x14ac:dyDescent="0.2">
      <c r="A705" s="583"/>
      <c r="B705" s="640"/>
      <c r="F705" s="575"/>
      <c r="G705" s="575"/>
      <c r="H705" s="575"/>
      <c r="I705" s="575"/>
      <c r="J705" s="575"/>
      <c r="K705" s="575"/>
    </row>
    <row r="706" spans="1:11" x14ac:dyDescent="0.2">
      <c r="A706" s="583"/>
      <c r="B706" s="640"/>
      <c r="F706" s="575"/>
      <c r="G706" s="575"/>
      <c r="H706" s="575"/>
      <c r="I706" s="575"/>
      <c r="J706" s="575"/>
      <c r="K706" s="575"/>
    </row>
    <row r="707" spans="1:11" x14ac:dyDescent="0.2">
      <c r="A707" s="583"/>
      <c r="B707" s="640"/>
      <c r="F707" s="575"/>
      <c r="G707" s="575"/>
      <c r="H707" s="575"/>
      <c r="I707" s="575"/>
      <c r="J707" s="575"/>
      <c r="K707" s="575"/>
    </row>
    <row r="708" spans="1:11" x14ac:dyDescent="0.2">
      <c r="A708" s="583"/>
      <c r="B708" s="640"/>
      <c r="F708" s="575"/>
      <c r="G708" s="575"/>
      <c r="H708" s="575"/>
      <c r="I708" s="575"/>
      <c r="J708" s="575"/>
      <c r="K708" s="575"/>
    </row>
    <row r="709" spans="1:11" x14ac:dyDescent="0.2">
      <c r="A709" s="583"/>
      <c r="B709" s="640"/>
      <c r="F709" s="575"/>
      <c r="G709" s="575"/>
      <c r="H709" s="575"/>
      <c r="I709" s="575"/>
      <c r="J709" s="575"/>
      <c r="K709" s="575"/>
    </row>
    <row r="710" spans="1:11" x14ac:dyDescent="0.2">
      <c r="A710" s="583"/>
      <c r="B710" s="640"/>
      <c r="F710" s="575"/>
      <c r="G710" s="575"/>
      <c r="H710" s="575"/>
      <c r="I710" s="575"/>
      <c r="J710" s="575"/>
      <c r="K710" s="575"/>
    </row>
    <row r="711" spans="1:11" x14ac:dyDescent="0.2">
      <c r="A711" s="583"/>
      <c r="B711" s="640"/>
      <c r="F711" s="575"/>
      <c r="G711" s="575"/>
      <c r="H711" s="575"/>
      <c r="I711" s="575"/>
      <c r="J711" s="575"/>
      <c r="K711" s="575"/>
    </row>
    <row r="712" spans="1:11" x14ac:dyDescent="0.2">
      <c r="A712" s="583"/>
      <c r="B712" s="640"/>
      <c r="F712" s="575"/>
      <c r="G712" s="575"/>
      <c r="H712" s="575"/>
      <c r="I712" s="575"/>
      <c r="J712" s="575"/>
      <c r="K712" s="575"/>
    </row>
    <row r="713" spans="1:11" x14ac:dyDescent="0.2">
      <c r="A713" s="583"/>
      <c r="B713" s="640"/>
      <c r="F713" s="575"/>
      <c r="G713" s="575"/>
      <c r="H713" s="575"/>
      <c r="I713" s="575"/>
      <c r="J713" s="575"/>
      <c r="K713" s="575"/>
    </row>
    <row r="714" spans="1:11" x14ac:dyDescent="0.2">
      <c r="A714" s="583"/>
      <c r="B714" s="640"/>
      <c r="F714" s="575"/>
      <c r="G714" s="575"/>
      <c r="H714" s="575"/>
      <c r="I714" s="575"/>
      <c r="J714" s="575"/>
      <c r="K714" s="575"/>
    </row>
    <row r="715" spans="1:11" x14ac:dyDescent="0.2">
      <c r="A715" s="583"/>
      <c r="B715" s="640"/>
      <c r="F715" s="575"/>
      <c r="G715" s="575"/>
      <c r="H715" s="575"/>
      <c r="I715" s="575"/>
      <c r="J715" s="575"/>
      <c r="K715" s="575"/>
    </row>
    <row r="716" spans="1:11" x14ac:dyDescent="0.2">
      <c r="A716" s="583"/>
      <c r="B716" s="640"/>
      <c r="F716" s="575"/>
      <c r="G716" s="575"/>
      <c r="H716" s="575"/>
      <c r="I716" s="575"/>
      <c r="J716" s="575"/>
      <c r="K716" s="575"/>
    </row>
    <row r="717" spans="1:11" x14ac:dyDescent="0.2">
      <c r="A717" s="583"/>
      <c r="B717" s="640"/>
      <c r="F717" s="575"/>
      <c r="G717" s="575"/>
      <c r="H717" s="575"/>
      <c r="I717" s="575"/>
      <c r="J717" s="575"/>
      <c r="K717" s="575"/>
    </row>
    <row r="718" spans="1:11" x14ac:dyDescent="0.2">
      <c r="A718" s="583"/>
      <c r="B718" s="640"/>
      <c r="F718" s="575"/>
      <c r="G718" s="575"/>
      <c r="H718" s="575"/>
      <c r="I718" s="575"/>
      <c r="J718" s="575"/>
      <c r="K718" s="575"/>
    </row>
    <row r="719" spans="1:11" x14ac:dyDescent="0.2">
      <c r="A719" s="583"/>
      <c r="B719" s="640"/>
      <c r="F719" s="575"/>
      <c r="G719" s="575"/>
      <c r="H719" s="575"/>
      <c r="I719" s="575"/>
      <c r="J719" s="575"/>
      <c r="K719" s="575"/>
    </row>
    <row r="720" spans="1:11" x14ac:dyDescent="0.2">
      <c r="A720" s="583"/>
      <c r="B720" s="640"/>
      <c r="F720" s="575"/>
      <c r="G720" s="575"/>
      <c r="H720" s="575"/>
      <c r="I720" s="575"/>
      <c r="J720" s="575"/>
      <c r="K720" s="575"/>
    </row>
    <row r="721" spans="1:11" x14ac:dyDescent="0.2">
      <c r="A721" s="583"/>
      <c r="B721" s="640"/>
      <c r="F721" s="575"/>
      <c r="G721" s="575"/>
      <c r="H721" s="575"/>
      <c r="I721" s="575"/>
      <c r="J721" s="575"/>
      <c r="K721" s="575"/>
    </row>
    <row r="722" spans="1:11" x14ac:dyDescent="0.2">
      <c r="A722" s="583"/>
      <c r="B722" s="640"/>
      <c r="F722" s="575"/>
      <c r="G722" s="575"/>
      <c r="H722" s="575"/>
      <c r="I722" s="575"/>
      <c r="J722" s="575"/>
      <c r="K722" s="575"/>
    </row>
    <row r="723" spans="1:11" x14ac:dyDescent="0.2">
      <c r="A723" s="583"/>
      <c r="B723" s="640"/>
      <c r="F723" s="575"/>
      <c r="G723" s="575"/>
      <c r="H723" s="575"/>
      <c r="I723" s="575"/>
      <c r="J723" s="575"/>
      <c r="K723" s="575"/>
    </row>
    <row r="724" spans="1:11" x14ac:dyDescent="0.2">
      <c r="A724" s="583"/>
      <c r="B724" s="640"/>
      <c r="F724" s="575"/>
      <c r="G724" s="575"/>
      <c r="H724" s="575"/>
      <c r="I724" s="575"/>
      <c r="J724" s="575"/>
      <c r="K724" s="575"/>
    </row>
    <row r="725" spans="1:11" x14ac:dyDescent="0.2">
      <c r="A725" s="583"/>
      <c r="B725" s="640"/>
      <c r="F725" s="575"/>
      <c r="G725" s="575"/>
      <c r="H725" s="575"/>
      <c r="I725" s="575"/>
      <c r="J725" s="575"/>
      <c r="K725" s="575"/>
    </row>
    <row r="726" spans="1:11" x14ac:dyDescent="0.2">
      <c r="A726" s="583"/>
      <c r="B726" s="640"/>
      <c r="F726" s="575"/>
      <c r="G726" s="575"/>
      <c r="H726" s="575"/>
      <c r="I726" s="575"/>
      <c r="J726" s="575"/>
      <c r="K726" s="575"/>
    </row>
    <row r="727" spans="1:11" x14ac:dyDescent="0.2">
      <c r="A727" s="583"/>
      <c r="B727" s="640"/>
      <c r="F727" s="575"/>
      <c r="G727" s="575"/>
      <c r="H727" s="575"/>
      <c r="I727" s="575"/>
      <c r="J727" s="575"/>
      <c r="K727" s="575"/>
    </row>
    <row r="728" spans="1:11" x14ac:dyDescent="0.2">
      <c r="A728" s="583"/>
      <c r="B728" s="640"/>
      <c r="F728" s="575"/>
      <c r="G728" s="575"/>
      <c r="H728" s="575"/>
      <c r="I728" s="575"/>
      <c r="J728" s="575"/>
      <c r="K728" s="575"/>
    </row>
    <row r="729" spans="1:11" x14ac:dyDescent="0.2">
      <c r="A729" s="583"/>
      <c r="B729" s="640"/>
      <c r="F729" s="575"/>
      <c r="G729" s="575"/>
      <c r="H729" s="575"/>
      <c r="I729" s="575"/>
      <c r="J729" s="575"/>
      <c r="K729" s="575"/>
    </row>
    <row r="730" spans="1:11" x14ac:dyDescent="0.2">
      <c r="A730" s="583"/>
      <c r="B730" s="640"/>
      <c r="F730" s="575"/>
      <c r="G730" s="575"/>
      <c r="H730" s="575"/>
      <c r="I730" s="575"/>
      <c r="J730" s="575"/>
      <c r="K730" s="575"/>
    </row>
    <row r="731" spans="1:11" x14ac:dyDescent="0.2">
      <c r="A731" s="583"/>
      <c r="B731" s="640"/>
      <c r="F731" s="575"/>
      <c r="G731" s="575"/>
      <c r="H731" s="575"/>
      <c r="I731" s="575"/>
      <c r="J731" s="575"/>
      <c r="K731" s="575"/>
    </row>
    <row r="732" spans="1:11" x14ac:dyDescent="0.2">
      <c r="A732" s="583"/>
      <c r="B732" s="640"/>
      <c r="F732" s="575"/>
      <c r="G732" s="575"/>
      <c r="H732" s="575"/>
      <c r="I732" s="575"/>
      <c r="J732" s="575"/>
      <c r="K732" s="575"/>
    </row>
    <row r="733" spans="1:11" x14ac:dyDescent="0.2">
      <c r="A733" s="583"/>
      <c r="B733" s="640"/>
      <c r="F733" s="575"/>
      <c r="G733" s="575"/>
      <c r="H733" s="575"/>
      <c r="I733" s="575"/>
      <c r="J733" s="575"/>
      <c r="K733" s="575"/>
    </row>
    <row r="734" spans="1:11" x14ac:dyDescent="0.2">
      <c r="A734" s="583"/>
      <c r="B734" s="640"/>
      <c r="F734" s="575"/>
      <c r="G734" s="575"/>
      <c r="H734" s="575"/>
      <c r="I734" s="575"/>
      <c r="J734" s="575"/>
      <c r="K734" s="575"/>
    </row>
    <row r="735" spans="1:11" x14ac:dyDescent="0.2">
      <c r="A735" s="583"/>
      <c r="B735" s="640"/>
      <c r="F735" s="575"/>
      <c r="G735" s="575"/>
      <c r="H735" s="575"/>
      <c r="I735" s="575"/>
      <c r="J735" s="575"/>
      <c r="K735" s="575"/>
    </row>
    <row r="736" spans="1:11" x14ac:dyDescent="0.2">
      <c r="A736" s="583"/>
      <c r="B736" s="640"/>
      <c r="F736" s="575"/>
      <c r="G736" s="575"/>
      <c r="H736" s="575"/>
      <c r="I736" s="575"/>
      <c r="J736" s="575"/>
      <c r="K736" s="575"/>
    </row>
    <row r="737" spans="1:11" x14ac:dyDescent="0.2">
      <c r="A737" s="583"/>
      <c r="B737" s="640"/>
      <c r="F737" s="575"/>
      <c r="G737" s="575"/>
      <c r="H737" s="575"/>
      <c r="I737" s="575"/>
      <c r="J737" s="575"/>
      <c r="K737" s="575"/>
    </row>
    <row r="738" spans="1:11" x14ac:dyDescent="0.2">
      <c r="A738" s="583"/>
      <c r="B738" s="640"/>
      <c r="F738" s="575"/>
      <c r="G738" s="575"/>
      <c r="H738" s="575"/>
      <c r="I738" s="575"/>
      <c r="J738" s="575"/>
      <c r="K738" s="575"/>
    </row>
    <row r="739" spans="1:11" x14ac:dyDescent="0.2">
      <c r="A739" s="583"/>
      <c r="B739" s="640"/>
      <c r="F739" s="575"/>
      <c r="G739" s="575"/>
      <c r="H739" s="575"/>
      <c r="I739" s="575"/>
      <c r="J739" s="575"/>
      <c r="K739" s="575"/>
    </row>
    <row r="740" spans="1:11" x14ac:dyDescent="0.2">
      <c r="A740" s="583"/>
      <c r="B740" s="640"/>
      <c r="F740" s="575"/>
      <c r="G740" s="575"/>
      <c r="H740" s="575"/>
      <c r="I740" s="575"/>
      <c r="J740" s="575"/>
      <c r="K740" s="575"/>
    </row>
    <row r="741" spans="1:11" x14ac:dyDescent="0.2">
      <c r="A741" s="583"/>
      <c r="B741" s="640"/>
      <c r="F741" s="575"/>
      <c r="G741" s="575"/>
      <c r="H741" s="575"/>
      <c r="I741" s="575"/>
      <c r="J741" s="575"/>
      <c r="K741" s="575"/>
    </row>
    <row r="742" spans="1:11" x14ac:dyDescent="0.2">
      <c r="A742" s="583"/>
      <c r="B742" s="640"/>
      <c r="F742" s="575"/>
      <c r="G742" s="575"/>
      <c r="H742" s="575"/>
      <c r="I742" s="575"/>
      <c r="J742" s="575"/>
      <c r="K742" s="575"/>
    </row>
    <row r="743" spans="1:11" x14ac:dyDescent="0.2">
      <c r="A743" s="583"/>
      <c r="B743" s="640"/>
      <c r="F743" s="575"/>
      <c r="G743" s="575"/>
      <c r="H743" s="575"/>
      <c r="I743" s="575"/>
      <c r="J743" s="575"/>
      <c r="K743" s="575"/>
    </row>
    <row r="744" spans="1:11" x14ac:dyDescent="0.2">
      <c r="A744" s="583"/>
      <c r="B744" s="640"/>
      <c r="F744" s="575"/>
      <c r="G744" s="575"/>
      <c r="H744" s="575"/>
      <c r="I744" s="575"/>
      <c r="J744" s="575"/>
      <c r="K744" s="575"/>
    </row>
    <row r="745" spans="1:11" x14ac:dyDescent="0.2">
      <c r="A745" s="583"/>
      <c r="B745" s="640"/>
      <c r="F745" s="575"/>
      <c r="G745" s="575"/>
      <c r="H745" s="575"/>
      <c r="I745" s="575"/>
      <c r="J745" s="575"/>
      <c r="K745" s="575"/>
    </row>
    <row r="746" spans="1:11" x14ac:dyDescent="0.2">
      <c r="A746" s="583"/>
      <c r="B746" s="640"/>
      <c r="F746" s="575"/>
      <c r="G746" s="575"/>
      <c r="H746" s="575"/>
      <c r="I746" s="575"/>
      <c r="J746" s="575"/>
      <c r="K746" s="575"/>
    </row>
    <row r="747" spans="1:11" x14ac:dyDescent="0.2">
      <c r="A747" s="583"/>
      <c r="B747" s="640"/>
      <c r="F747" s="575"/>
      <c r="G747" s="575"/>
      <c r="H747" s="575"/>
      <c r="I747" s="575"/>
      <c r="J747" s="575"/>
      <c r="K747" s="575"/>
    </row>
    <row r="748" spans="1:11" x14ac:dyDescent="0.2">
      <c r="A748" s="583"/>
      <c r="B748" s="640"/>
      <c r="F748" s="575"/>
      <c r="G748" s="575"/>
      <c r="H748" s="575"/>
      <c r="I748" s="575"/>
      <c r="J748" s="575"/>
      <c r="K748" s="575"/>
    </row>
    <row r="749" spans="1:11" x14ac:dyDescent="0.2">
      <c r="A749" s="583"/>
      <c r="B749" s="640"/>
      <c r="F749" s="575"/>
      <c r="G749" s="575"/>
      <c r="H749" s="575"/>
      <c r="I749" s="575"/>
      <c r="J749" s="575"/>
      <c r="K749" s="575"/>
    </row>
    <row r="750" spans="1:11" x14ac:dyDescent="0.2">
      <c r="A750" s="583"/>
      <c r="B750" s="640"/>
      <c r="F750" s="575"/>
      <c r="G750" s="575"/>
      <c r="H750" s="575"/>
      <c r="I750" s="575"/>
      <c r="J750" s="575"/>
      <c r="K750" s="575"/>
    </row>
    <row r="751" spans="1:11" x14ac:dyDescent="0.2">
      <c r="A751" s="583"/>
      <c r="B751" s="640"/>
      <c r="F751" s="575"/>
      <c r="G751" s="575"/>
      <c r="H751" s="575"/>
      <c r="I751" s="575"/>
      <c r="J751" s="575"/>
      <c r="K751" s="575"/>
    </row>
    <row r="752" spans="1:11" x14ac:dyDescent="0.2">
      <c r="A752" s="583"/>
      <c r="B752" s="640"/>
      <c r="F752" s="575"/>
      <c r="G752" s="575"/>
      <c r="H752" s="575"/>
      <c r="I752" s="575"/>
      <c r="J752" s="575"/>
      <c r="K752" s="575"/>
    </row>
    <row r="753" spans="1:11" x14ac:dyDescent="0.2">
      <c r="A753" s="583"/>
      <c r="B753" s="640"/>
      <c r="F753" s="575"/>
      <c r="G753" s="575"/>
      <c r="H753" s="575"/>
      <c r="I753" s="575"/>
      <c r="J753" s="575"/>
      <c r="K753" s="575"/>
    </row>
    <row r="754" spans="1:11" x14ac:dyDescent="0.2">
      <c r="A754" s="583"/>
      <c r="B754" s="640"/>
      <c r="F754" s="575"/>
      <c r="G754" s="575"/>
      <c r="H754" s="575"/>
      <c r="I754" s="575"/>
      <c r="J754" s="575"/>
      <c r="K754" s="575"/>
    </row>
    <row r="755" spans="1:11" x14ac:dyDescent="0.2">
      <c r="A755" s="583"/>
      <c r="B755" s="640"/>
      <c r="F755" s="575"/>
      <c r="G755" s="575"/>
      <c r="H755" s="575"/>
      <c r="I755" s="575"/>
      <c r="J755" s="575"/>
      <c r="K755" s="575"/>
    </row>
    <row r="756" spans="1:11" x14ac:dyDescent="0.2">
      <c r="A756" s="583"/>
      <c r="B756" s="640"/>
      <c r="F756" s="575"/>
      <c r="G756" s="575"/>
      <c r="H756" s="575"/>
      <c r="I756" s="575"/>
      <c r="J756" s="575"/>
      <c r="K756" s="575"/>
    </row>
    <row r="757" spans="1:11" x14ac:dyDescent="0.2">
      <c r="A757" s="583"/>
      <c r="B757" s="640"/>
      <c r="F757" s="575"/>
      <c r="G757" s="575"/>
      <c r="H757" s="575"/>
      <c r="I757" s="575"/>
      <c r="J757" s="575"/>
      <c r="K757" s="575"/>
    </row>
    <row r="758" spans="1:11" x14ac:dyDescent="0.2">
      <c r="A758" s="583"/>
      <c r="B758" s="640"/>
      <c r="F758" s="575"/>
      <c r="G758" s="575"/>
      <c r="H758" s="575"/>
      <c r="I758" s="575"/>
      <c r="J758" s="575"/>
      <c r="K758" s="575"/>
    </row>
    <row r="759" spans="1:11" x14ac:dyDescent="0.2">
      <c r="A759" s="583"/>
      <c r="B759" s="640"/>
      <c r="F759" s="575"/>
      <c r="G759" s="575"/>
      <c r="H759" s="575"/>
      <c r="I759" s="575"/>
      <c r="J759" s="575"/>
      <c r="K759" s="575"/>
    </row>
    <row r="760" spans="1:11" x14ac:dyDescent="0.2">
      <c r="A760" s="583"/>
      <c r="B760" s="640"/>
      <c r="F760" s="575"/>
      <c r="G760" s="575"/>
      <c r="H760" s="575"/>
      <c r="I760" s="575"/>
      <c r="J760" s="575"/>
      <c r="K760" s="575"/>
    </row>
    <row r="761" spans="1:11" x14ac:dyDescent="0.2">
      <c r="A761" s="583"/>
      <c r="B761" s="640"/>
      <c r="F761" s="575"/>
      <c r="G761" s="575"/>
      <c r="H761" s="575"/>
      <c r="I761" s="575"/>
      <c r="J761" s="575"/>
      <c r="K761" s="575"/>
    </row>
    <row r="762" spans="1:11" x14ac:dyDescent="0.2">
      <c r="A762" s="583"/>
      <c r="B762" s="640"/>
      <c r="F762" s="575"/>
      <c r="G762" s="575"/>
      <c r="H762" s="575"/>
      <c r="I762" s="575"/>
      <c r="J762" s="575"/>
      <c r="K762" s="575"/>
    </row>
    <row r="763" spans="1:11" x14ac:dyDescent="0.2">
      <c r="A763" s="583"/>
      <c r="B763" s="640"/>
      <c r="F763" s="575"/>
      <c r="G763" s="575"/>
      <c r="H763" s="575"/>
      <c r="I763" s="575"/>
      <c r="J763" s="575"/>
      <c r="K763" s="575"/>
    </row>
    <row r="764" spans="1:11" x14ac:dyDescent="0.2">
      <c r="A764" s="583"/>
      <c r="B764" s="640"/>
      <c r="F764" s="575"/>
      <c r="G764" s="575"/>
      <c r="H764" s="575"/>
      <c r="I764" s="575"/>
      <c r="J764" s="575"/>
      <c r="K764" s="575"/>
    </row>
    <row r="765" spans="1:11" x14ac:dyDescent="0.2">
      <c r="A765" s="583"/>
      <c r="B765" s="640"/>
      <c r="F765" s="575"/>
      <c r="G765" s="575"/>
      <c r="H765" s="575"/>
      <c r="I765" s="575"/>
      <c r="J765" s="575"/>
      <c r="K765" s="575"/>
    </row>
    <row r="766" spans="1:11" x14ac:dyDescent="0.2">
      <c r="A766" s="583"/>
      <c r="B766" s="640"/>
      <c r="F766" s="575"/>
      <c r="G766" s="575"/>
      <c r="H766" s="575"/>
      <c r="I766" s="575"/>
      <c r="J766" s="575"/>
      <c r="K766" s="575"/>
    </row>
    <row r="767" spans="1:11" x14ac:dyDescent="0.2">
      <c r="A767" s="583"/>
      <c r="B767" s="640"/>
      <c r="F767" s="575"/>
      <c r="G767" s="575"/>
      <c r="H767" s="575"/>
      <c r="I767" s="575"/>
      <c r="J767" s="575"/>
      <c r="K767" s="575"/>
    </row>
    <row r="768" spans="1:11" x14ac:dyDescent="0.2">
      <c r="A768" s="583"/>
      <c r="B768" s="640"/>
      <c r="F768" s="575"/>
      <c r="G768" s="575"/>
      <c r="H768" s="575"/>
      <c r="I768" s="575"/>
      <c r="J768" s="575"/>
      <c r="K768" s="575"/>
    </row>
    <row r="769" spans="1:11" x14ac:dyDescent="0.2">
      <c r="A769" s="583"/>
      <c r="B769" s="640"/>
      <c r="F769" s="575"/>
      <c r="G769" s="575"/>
      <c r="H769" s="575"/>
      <c r="I769" s="575"/>
      <c r="J769" s="575"/>
      <c r="K769" s="575"/>
    </row>
    <row r="770" spans="1:11" x14ac:dyDescent="0.2">
      <c r="A770" s="583"/>
      <c r="B770" s="640"/>
      <c r="F770" s="575"/>
      <c r="G770" s="575"/>
      <c r="H770" s="575"/>
      <c r="I770" s="575"/>
      <c r="J770" s="575"/>
      <c r="K770" s="575"/>
    </row>
    <row r="771" spans="1:11" x14ac:dyDescent="0.2">
      <c r="A771" s="583"/>
      <c r="B771" s="640"/>
      <c r="F771" s="575"/>
      <c r="G771" s="575"/>
      <c r="H771" s="575"/>
      <c r="I771" s="575"/>
      <c r="J771" s="575"/>
      <c r="K771" s="575"/>
    </row>
    <row r="772" spans="1:11" x14ac:dyDescent="0.2">
      <c r="A772" s="583"/>
      <c r="B772" s="640"/>
      <c r="F772" s="575"/>
      <c r="G772" s="575"/>
      <c r="H772" s="575"/>
      <c r="I772" s="575"/>
      <c r="J772" s="575"/>
      <c r="K772" s="575"/>
    </row>
    <row r="773" spans="1:11" x14ac:dyDescent="0.2">
      <c r="A773" s="583"/>
      <c r="B773" s="640"/>
      <c r="F773" s="575"/>
      <c r="G773" s="575"/>
      <c r="H773" s="575"/>
      <c r="I773" s="575"/>
      <c r="J773" s="575"/>
      <c r="K773" s="575"/>
    </row>
    <row r="774" spans="1:11" x14ac:dyDescent="0.2">
      <c r="A774" s="583"/>
      <c r="B774" s="640"/>
      <c r="F774" s="575"/>
      <c r="G774" s="575"/>
      <c r="H774" s="575"/>
      <c r="I774" s="575"/>
      <c r="J774" s="575"/>
      <c r="K774" s="575"/>
    </row>
    <row r="775" spans="1:11" x14ac:dyDescent="0.2">
      <c r="A775" s="583"/>
      <c r="B775" s="640"/>
      <c r="F775" s="575"/>
      <c r="G775" s="575"/>
      <c r="H775" s="575"/>
      <c r="I775" s="575"/>
      <c r="J775" s="575"/>
      <c r="K775" s="575"/>
    </row>
    <row r="776" spans="1:11" x14ac:dyDescent="0.2">
      <c r="A776" s="583"/>
      <c r="B776" s="640"/>
      <c r="F776" s="575"/>
      <c r="G776" s="575"/>
      <c r="H776" s="575"/>
      <c r="I776" s="575"/>
      <c r="J776" s="575"/>
      <c r="K776" s="575"/>
    </row>
    <row r="777" spans="1:11" x14ac:dyDescent="0.2">
      <c r="A777" s="583"/>
      <c r="B777" s="640"/>
      <c r="F777" s="575"/>
      <c r="G777" s="575"/>
      <c r="H777" s="575"/>
      <c r="I777" s="575"/>
      <c r="J777" s="575"/>
      <c r="K777" s="575"/>
    </row>
    <row r="778" spans="1:11" x14ac:dyDescent="0.2">
      <c r="A778" s="583"/>
      <c r="B778" s="640"/>
      <c r="F778" s="575"/>
      <c r="G778" s="575"/>
      <c r="H778" s="575"/>
      <c r="I778" s="575"/>
      <c r="J778" s="575"/>
      <c r="K778" s="575"/>
    </row>
    <row r="779" spans="1:11" x14ac:dyDescent="0.2">
      <c r="A779" s="583"/>
      <c r="B779" s="640"/>
      <c r="F779" s="575"/>
      <c r="G779" s="575"/>
      <c r="H779" s="575"/>
      <c r="I779" s="575"/>
      <c r="J779" s="575"/>
      <c r="K779" s="575"/>
    </row>
    <row r="780" spans="1:11" x14ac:dyDescent="0.2">
      <c r="A780" s="583"/>
      <c r="B780" s="640"/>
      <c r="F780" s="575"/>
      <c r="G780" s="575"/>
      <c r="H780" s="575"/>
      <c r="I780" s="575"/>
      <c r="J780" s="575"/>
      <c r="K780" s="575"/>
    </row>
    <row r="781" spans="1:11" x14ac:dyDescent="0.2">
      <c r="A781" s="583"/>
      <c r="B781" s="640"/>
      <c r="F781" s="575"/>
      <c r="G781" s="575"/>
      <c r="H781" s="575"/>
      <c r="I781" s="575"/>
      <c r="J781" s="575"/>
      <c r="K781" s="575"/>
    </row>
    <row r="782" spans="1:11" x14ac:dyDescent="0.2">
      <c r="A782" s="583"/>
      <c r="B782" s="640"/>
      <c r="F782" s="575"/>
      <c r="G782" s="575"/>
      <c r="H782" s="575"/>
      <c r="I782" s="575"/>
      <c r="J782" s="575"/>
      <c r="K782" s="575"/>
    </row>
    <row r="783" spans="1:11" x14ac:dyDescent="0.2">
      <c r="A783" s="583"/>
      <c r="B783" s="640"/>
      <c r="F783" s="575"/>
      <c r="G783" s="575"/>
      <c r="H783" s="575"/>
      <c r="I783" s="575"/>
      <c r="J783" s="575"/>
      <c r="K783" s="575"/>
    </row>
    <row r="784" spans="1:11" x14ac:dyDescent="0.2">
      <c r="A784" s="583"/>
      <c r="B784" s="640"/>
      <c r="F784" s="575"/>
      <c r="G784" s="575"/>
      <c r="H784" s="575"/>
      <c r="I784" s="575"/>
      <c r="J784" s="575"/>
      <c r="K784" s="575"/>
    </row>
    <row r="785" spans="1:11" x14ac:dyDescent="0.2">
      <c r="A785" s="583"/>
      <c r="B785" s="640"/>
      <c r="F785" s="575"/>
      <c r="G785" s="575"/>
      <c r="H785" s="575"/>
      <c r="I785" s="575"/>
      <c r="J785" s="575"/>
      <c r="K785" s="575"/>
    </row>
    <row r="786" spans="1:11" x14ac:dyDescent="0.2">
      <c r="A786" s="583"/>
      <c r="B786" s="640"/>
      <c r="F786" s="575"/>
      <c r="G786" s="575"/>
      <c r="H786" s="575"/>
      <c r="I786" s="575"/>
      <c r="J786" s="575"/>
      <c r="K786" s="575"/>
    </row>
    <row r="787" spans="1:11" x14ac:dyDescent="0.2">
      <c r="A787" s="583"/>
      <c r="B787" s="640"/>
      <c r="F787" s="575"/>
      <c r="G787" s="575"/>
      <c r="H787" s="575"/>
      <c r="I787" s="575"/>
      <c r="J787" s="575"/>
      <c r="K787" s="575"/>
    </row>
    <row r="788" spans="1:11" x14ac:dyDescent="0.2">
      <c r="A788" s="583"/>
      <c r="B788" s="640"/>
      <c r="F788" s="575"/>
      <c r="G788" s="575"/>
      <c r="H788" s="575"/>
      <c r="I788" s="575"/>
      <c r="J788" s="575"/>
      <c r="K788" s="575"/>
    </row>
    <row r="789" spans="1:11" x14ac:dyDescent="0.2">
      <c r="A789" s="583"/>
      <c r="B789" s="640"/>
      <c r="F789" s="575"/>
      <c r="G789" s="575"/>
      <c r="H789" s="575"/>
      <c r="I789" s="575"/>
      <c r="J789" s="575"/>
      <c r="K789" s="575"/>
    </row>
    <row r="790" spans="1:11" x14ac:dyDescent="0.2">
      <c r="A790" s="583"/>
      <c r="B790" s="640"/>
      <c r="F790" s="575"/>
      <c r="G790" s="575"/>
      <c r="H790" s="575"/>
      <c r="I790" s="575"/>
      <c r="J790" s="575"/>
      <c r="K790" s="575"/>
    </row>
    <row r="791" spans="1:11" x14ac:dyDescent="0.2">
      <c r="A791" s="583"/>
      <c r="B791" s="640"/>
      <c r="F791" s="575"/>
      <c r="G791" s="575"/>
      <c r="H791" s="575"/>
      <c r="I791" s="575"/>
      <c r="J791" s="575"/>
      <c r="K791" s="575"/>
    </row>
    <row r="792" spans="1:11" x14ac:dyDescent="0.2">
      <c r="A792" s="583"/>
      <c r="B792" s="640"/>
      <c r="F792" s="575"/>
      <c r="G792" s="575"/>
      <c r="H792" s="575"/>
      <c r="I792" s="575"/>
      <c r="J792" s="575"/>
      <c r="K792" s="575"/>
    </row>
    <row r="793" spans="1:11" x14ac:dyDescent="0.2">
      <c r="A793" s="583"/>
      <c r="B793" s="640"/>
      <c r="F793" s="575"/>
      <c r="G793" s="575"/>
      <c r="H793" s="575"/>
      <c r="I793" s="575"/>
      <c r="J793" s="575"/>
      <c r="K793" s="575"/>
    </row>
    <row r="794" spans="1:11" x14ac:dyDescent="0.2">
      <c r="A794" s="583"/>
      <c r="B794" s="640"/>
      <c r="F794" s="575"/>
      <c r="G794" s="575"/>
      <c r="H794" s="575"/>
      <c r="I794" s="575"/>
      <c r="J794" s="575"/>
      <c r="K794" s="575"/>
    </row>
    <row r="795" spans="1:11" x14ac:dyDescent="0.2">
      <c r="A795" s="583"/>
      <c r="B795" s="640"/>
      <c r="F795" s="575"/>
      <c r="G795" s="575"/>
      <c r="H795" s="575"/>
      <c r="I795" s="575"/>
      <c r="J795" s="575"/>
      <c r="K795" s="575"/>
    </row>
    <row r="796" spans="1:11" x14ac:dyDescent="0.2">
      <c r="A796" s="583"/>
      <c r="B796" s="640"/>
      <c r="F796" s="575"/>
      <c r="G796" s="575"/>
      <c r="H796" s="575"/>
      <c r="I796" s="575"/>
      <c r="J796" s="575"/>
      <c r="K796" s="575"/>
    </row>
    <row r="797" spans="1:11" x14ac:dyDescent="0.2">
      <c r="A797" s="583"/>
      <c r="B797" s="640"/>
      <c r="F797" s="575"/>
      <c r="G797" s="575"/>
      <c r="H797" s="575"/>
      <c r="I797" s="575"/>
      <c r="J797" s="575"/>
      <c r="K797" s="575"/>
    </row>
    <row r="798" spans="1:11" x14ac:dyDescent="0.2">
      <c r="A798" s="583"/>
      <c r="B798" s="640"/>
      <c r="F798" s="575"/>
      <c r="G798" s="575"/>
      <c r="H798" s="575"/>
      <c r="I798" s="575"/>
      <c r="J798" s="575"/>
      <c r="K798" s="575"/>
    </row>
    <row r="799" spans="1:11" x14ac:dyDescent="0.2">
      <c r="A799" s="583"/>
      <c r="B799" s="640"/>
      <c r="F799" s="575"/>
      <c r="G799" s="575"/>
      <c r="H799" s="575"/>
      <c r="I799" s="575"/>
      <c r="J799" s="575"/>
      <c r="K799" s="575"/>
    </row>
    <row r="800" spans="1:11" x14ac:dyDescent="0.2">
      <c r="A800" s="583"/>
      <c r="B800" s="640"/>
      <c r="F800" s="575"/>
      <c r="G800" s="575"/>
      <c r="H800" s="575"/>
      <c r="I800" s="575"/>
      <c r="J800" s="575"/>
      <c r="K800" s="575"/>
    </row>
    <row r="801" spans="1:11" x14ac:dyDescent="0.2">
      <c r="A801" s="583"/>
      <c r="B801" s="640"/>
      <c r="F801" s="575"/>
      <c r="G801" s="575"/>
      <c r="H801" s="575"/>
      <c r="I801" s="575"/>
      <c r="J801" s="575"/>
      <c r="K801" s="575"/>
    </row>
    <row r="802" spans="1:11" x14ac:dyDescent="0.2">
      <c r="A802" s="583"/>
      <c r="B802" s="640"/>
      <c r="F802" s="575"/>
      <c r="G802" s="575"/>
      <c r="H802" s="575"/>
      <c r="I802" s="575"/>
      <c r="J802" s="575"/>
      <c r="K802" s="575"/>
    </row>
    <row r="803" spans="1:11" x14ac:dyDescent="0.2">
      <c r="A803" s="583"/>
      <c r="B803" s="640"/>
      <c r="F803" s="575"/>
      <c r="G803" s="575"/>
      <c r="H803" s="575"/>
      <c r="I803" s="575"/>
      <c r="J803" s="575"/>
      <c r="K803" s="575"/>
    </row>
    <row r="804" spans="1:11" x14ac:dyDescent="0.2">
      <c r="A804" s="583"/>
      <c r="B804" s="640"/>
      <c r="F804" s="575"/>
      <c r="G804" s="575"/>
      <c r="H804" s="575"/>
      <c r="I804" s="575"/>
      <c r="J804" s="575"/>
      <c r="K804" s="575"/>
    </row>
    <row r="805" spans="1:11" x14ac:dyDescent="0.2">
      <c r="A805" s="583"/>
      <c r="B805" s="640"/>
      <c r="F805" s="575"/>
      <c r="G805" s="575"/>
      <c r="H805" s="575"/>
      <c r="I805" s="575"/>
      <c r="J805" s="575"/>
      <c r="K805" s="575"/>
    </row>
    <row r="806" spans="1:11" x14ac:dyDescent="0.2">
      <c r="A806" s="583"/>
      <c r="B806" s="640"/>
      <c r="F806" s="575"/>
      <c r="G806" s="575"/>
      <c r="H806" s="575"/>
      <c r="I806" s="575"/>
      <c r="J806" s="575"/>
      <c r="K806" s="575"/>
    </row>
    <row r="807" spans="1:11" x14ac:dyDescent="0.2">
      <c r="A807" s="583"/>
      <c r="B807" s="640"/>
      <c r="F807" s="575"/>
      <c r="G807" s="575"/>
      <c r="H807" s="575"/>
      <c r="I807" s="575"/>
      <c r="J807" s="575"/>
      <c r="K807" s="575"/>
    </row>
    <row r="808" spans="1:11" x14ac:dyDescent="0.2">
      <c r="A808" s="583"/>
      <c r="B808" s="640"/>
      <c r="F808" s="575"/>
      <c r="G808" s="575"/>
      <c r="H808" s="575"/>
      <c r="I808" s="575"/>
      <c r="J808" s="575"/>
      <c r="K808" s="575"/>
    </row>
    <row r="809" spans="1:11" x14ac:dyDescent="0.2">
      <c r="A809" s="583"/>
      <c r="B809" s="640"/>
      <c r="F809" s="575"/>
      <c r="G809" s="575"/>
      <c r="H809" s="575"/>
      <c r="I809" s="575"/>
      <c r="J809" s="575"/>
      <c r="K809" s="575"/>
    </row>
    <row r="810" spans="1:11" x14ac:dyDescent="0.2">
      <c r="A810" s="583"/>
      <c r="B810" s="640"/>
      <c r="F810" s="575"/>
      <c r="G810" s="575"/>
      <c r="H810" s="575"/>
      <c r="I810" s="575"/>
      <c r="J810" s="575"/>
      <c r="K810" s="575"/>
    </row>
    <row r="811" spans="1:11" x14ac:dyDescent="0.2">
      <c r="A811" s="583"/>
      <c r="B811" s="640"/>
      <c r="F811" s="575"/>
      <c r="G811" s="575"/>
      <c r="H811" s="575"/>
      <c r="I811" s="575"/>
      <c r="J811" s="575"/>
      <c r="K811" s="575"/>
    </row>
    <row r="812" spans="1:11" x14ac:dyDescent="0.2">
      <c r="A812" s="583"/>
      <c r="B812" s="640"/>
      <c r="F812" s="575"/>
      <c r="G812" s="575"/>
      <c r="H812" s="575"/>
      <c r="I812" s="575"/>
      <c r="J812" s="575"/>
      <c r="K812" s="575"/>
    </row>
    <row r="813" spans="1:11" x14ac:dyDescent="0.2">
      <c r="A813" s="583"/>
      <c r="B813" s="640"/>
      <c r="F813" s="575"/>
      <c r="G813" s="575"/>
      <c r="H813" s="575"/>
      <c r="I813" s="575"/>
      <c r="J813" s="575"/>
      <c r="K813" s="575"/>
    </row>
    <row r="814" spans="1:11" x14ac:dyDescent="0.2">
      <c r="A814" s="583"/>
      <c r="B814" s="640"/>
      <c r="F814" s="575"/>
      <c r="G814" s="575"/>
      <c r="H814" s="575"/>
      <c r="I814" s="575"/>
      <c r="J814" s="575"/>
      <c r="K814" s="575"/>
    </row>
    <row r="815" spans="1:11" x14ac:dyDescent="0.2">
      <c r="A815" s="583"/>
      <c r="B815" s="640"/>
      <c r="F815" s="575"/>
      <c r="G815" s="575"/>
      <c r="H815" s="575"/>
      <c r="I815" s="575"/>
      <c r="J815" s="575"/>
      <c r="K815" s="575"/>
    </row>
    <row r="816" spans="1:11" x14ac:dyDescent="0.2">
      <c r="A816" s="583"/>
      <c r="B816" s="640"/>
      <c r="F816" s="575"/>
      <c r="G816" s="575"/>
      <c r="H816" s="575"/>
      <c r="I816" s="575"/>
      <c r="J816" s="575"/>
      <c r="K816" s="575"/>
    </row>
    <row r="817" spans="1:11" x14ac:dyDescent="0.2">
      <c r="A817" s="583"/>
      <c r="B817" s="640"/>
      <c r="F817" s="575"/>
      <c r="G817" s="575"/>
      <c r="H817" s="575"/>
      <c r="I817" s="575"/>
      <c r="J817" s="575"/>
      <c r="K817" s="575"/>
    </row>
    <row r="818" spans="1:11" x14ac:dyDescent="0.2">
      <c r="A818" s="583"/>
      <c r="B818" s="640"/>
      <c r="F818" s="575"/>
      <c r="G818" s="575"/>
      <c r="H818" s="575"/>
      <c r="I818" s="575"/>
      <c r="J818" s="575"/>
      <c r="K818" s="575"/>
    </row>
    <row r="819" spans="1:11" x14ac:dyDescent="0.2">
      <c r="A819" s="583"/>
      <c r="B819" s="640"/>
      <c r="F819" s="575"/>
      <c r="G819" s="575"/>
      <c r="H819" s="575"/>
      <c r="I819" s="575"/>
      <c r="J819" s="575"/>
      <c r="K819" s="575"/>
    </row>
    <row r="820" spans="1:11" x14ac:dyDescent="0.2">
      <c r="A820" s="583"/>
      <c r="B820" s="640"/>
      <c r="F820" s="575"/>
      <c r="G820" s="575"/>
      <c r="H820" s="575"/>
      <c r="I820" s="575"/>
      <c r="J820" s="575"/>
      <c r="K820" s="575"/>
    </row>
    <row r="821" spans="1:11" x14ac:dyDescent="0.2">
      <c r="A821" s="583"/>
      <c r="B821" s="640"/>
      <c r="F821" s="575"/>
      <c r="G821" s="575"/>
      <c r="H821" s="575"/>
      <c r="I821" s="575"/>
      <c r="J821" s="575"/>
      <c r="K821" s="575"/>
    </row>
    <row r="822" spans="1:11" x14ac:dyDescent="0.2">
      <c r="A822" s="583"/>
      <c r="B822" s="640"/>
      <c r="F822" s="575"/>
      <c r="G822" s="575"/>
      <c r="H822" s="575"/>
      <c r="I822" s="575"/>
      <c r="J822" s="575"/>
      <c r="K822" s="575"/>
    </row>
    <row r="823" spans="1:11" x14ac:dyDescent="0.2">
      <c r="A823" s="583"/>
      <c r="B823" s="640"/>
      <c r="F823" s="575"/>
      <c r="G823" s="575"/>
      <c r="H823" s="575"/>
      <c r="I823" s="575"/>
      <c r="J823" s="575"/>
      <c r="K823" s="575"/>
    </row>
    <row r="824" spans="1:11" x14ac:dyDescent="0.2">
      <c r="A824" s="583"/>
      <c r="B824" s="640"/>
      <c r="F824" s="575"/>
      <c r="G824" s="575"/>
      <c r="H824" s="575"/>
      <c r="I824" s="575"/>
      <c r="J824" s="575"/>
      <c r="K824" s="575"/>
    </row>
    <row r="825" spans="1:11" x14ac:dyDescent="0.2">
      <c r="A825" s="583"/>
      <c r="B825" s="640"/>
      <c r="F825" s="575"/>
      <c r="G825" s="575"/>
      <c r="H825" s="575"/>
      <c r="I825" s="575"/>
      <c r="J825" s="575"/>
      <c r="K825" s="575"/>
    </row>
    <row r="826" spans="1:11" x14ac:dyDescent="0.2">
      <c r="A826" s="583"/>
      <c r="B826" s="640"/>
      <c r="F826" s="575"/>
      <c r="G826" s="575"/>
      <c r="H826" s="575"/>
      <c r="I826" s="575"/>
      <c r="J826" s="575"/>
      <c r="K826" s="575"/>
    </row>
    <row r="827" spans="1:11" x14ac:dyDescent="0.2">
      <c r="A827" s="583"/>
      <c r="B827" s="640"/>
      <c r="F827" s="575"/>
      <c r="G827" s="575"/>
      <c r="H827" s="575"/>
      <c r="I827" s="575"/>
      <c r="J827" s="575"/>
      <c r="K827" s="575"/>
    </row>
    <row r="828" spans="1:11" x14ac:dyDescent="0.2">
      <c r="A828" s="583"/>
      <c r="B828" s="640"/>
      <c r="F828" s="575"/>
      <c r="G828" s="575"/>
      <c r="H828" s="575"/>
      <c r="I828" s="575"/>
      <c r="J828" s="575"/>
      <c r="K828" s="575"/>
    </row>
    <row r="829" spans="1:11" x14ac:dyDescent="0.2">
      <c r="A829" s="583"/>
      <c r="B829" s="640"/>
      <c r="F829" s="575"/>
      <c r="G829" s="575"/>
      <c r="H829" s="575"/>
      <c r="I829" s="575"/>
      <c r="J829" s="575"/>
      <c r="K829" s="575"/>
    </row>
    <row r="830" spans="1:11" x14ac:dyDescent="0.2">
      <c r="A830" s="583"/>
      <c r="B830" s="640"/>
      <c r="F830" s="575"/>
      <c r="G830" s="575"/>
      <c r="H830" s="575"/>
      <c r="I830" s="575"/>
      <c r="J830" s="575"/>
      <c r="K830" s="575"/>
    </row>
    <row r="831" spans="1:11" x14ac:dyDescent="0.2">
      <c r="A831" s="583"/>
      <c r="B831" s="640"/>
      <c r="F831" s="575"/>
      <c r="G831" s="575"/>
      <c r="H831" s="575"/>
      <c r="I831" s="575"/>
      <c r="J831" s="575"/>
      <c r="K831" s="575"/>
    </row>
    <row r="832" spans="1:11" x14ac:dyDescent="0.2">
      <c r="A832" s="583"/>
      <c r="B832" s="640"/>
      <c r="F832" s="575"/>
      <c r="G832" s="575"/>
      <c r="H832" s="575"/>
      <c r="I832" s="575"/>
      <c r="J832" s="575"/>
      <c r="K832" s="575"/>
    </row>
    <row r="833" spans="1:11" x14ac:dyDescent="0.2">
      <c r="A833" s="583"/>
      <c r="B833" s="640"/>
      <c r="F833" s="575"/>
      <c r="G833" s="575"/>
      <c r="H833" s="575"/>
      <c r="I833" s="575"/>
      <c r="J833" s="575"/>
      <c r="K833" s="575"/>
    </row>
    <row r="834" spans="1:11" x14ac:dyDescent="0.2">
      <c r="A834" s="583"/>
      <c r="B834" s="640"/>
      <c r="F834" s="575"/>
      <c r="G834" s="575"/>
      <c r="H834" s="575"/>
      <c r="I834" s="575"/>
      <c r="J834" s="575"/>
      <c r="K834" s="575"/>
    </row>
    <row r="835" spans="1:11" x14ac:dyDescent="0.2">
      <c r="A835" s="583"/>
      <c r="B835" s="640"/>
      <c r="F835" s="575"/>
      <c r="G835" s="575"/>
      <c r="H835" s="575"/>
      <c r="I835" s="575"/>
      <c r="J835" s="575"/>
      <c r="K835" s="575"/>
    </row>
    <row r="836" spans="1:11" x14ac:dyDescent="0.2">
      <c r="A836" s="583"/>
      <c r="B836" s="640"/>
      <c r="F836" s="575"/>
      <c r="G836" s="575"/>
      <c r="H836" s="575"/>
      <c r="I836" s="575"/>
      <c r="J836" s="575"/>
      <c r="K836" s="575"/>
    </row>
    <row r="837" spans="1:11" x14ac:dyDescent="0.2">
      <c r="A837" s="583"/>
      <c r="B837" s="640"/>
      <c r="F837" s="575"/>
      <c r="G837" s="575"/>
      <c r="H837" s="575"/>
      <c r="I837" s="575"/>
      <c r="J837" s="575"/>
      <c r="K837" s="575"/>
    </row>
    <row r="838" spans="1:11" x14ac:dyDescent="0.2">
      <c r="A838" s="583"/>
      <c r="B838" s="640"/>
      <c r="F838" s="575"/>
      <c r="G838" s="575"/>
      <c r="H838" s="575"/>
      <c r="I838" s="575"/>
      <c r="J838" s="575"/>
      <c r="K838" s="575"/>
    </row>
    <row r="839" spans="1:11" x14ac:dyDescent="0.2">
      <c r="A839" s="583"/>
      <c r="B839" s="640"/>
      <c r="F839" s="575"/>
      <c r="G839" s="575"/>
      <c r="H839" s="575"/>
      <c r="I839" s="575"/>
      <c r="J839" s="575"/>
      <c r="K839" s="575"/>
    </row>
    <row r="840" spans="1:11" x14ac:dyDescent="0.2">
      <c r="A840" s="583"/>
      <c r="B840" s="640"/>
      <c r="F840" s="575"/>
      <c r="G840" s="575"/>
      <c r="H840" s="575"/>
      <c r="I840" s="575"/>
      <c r="J840" s="575"/>
      <c r="K840" s="575"/>
    </row>
    <row r="841" spans="1:11" x14ac:dyDescent="0.2">
      <c r="A841" s="583"/>
      <c r="B841" s="640"/>
      <c r="F841" s="575"/>
      <c r="G841" s="575"/>
      <c r="H841" s="575"/>
      <c r="I841" s="575"/>
      <c r="J841" s="575"/>
      <c r="K841" s="575"/>
    </row>
    <row r="842" spans="1:11" x14ac:dyDescent="0.2">
      <c r="A842" s="583"/>
      <c r="B842" s="640"/>
      <c r="F842" s="575"/>
      <c r="G842" s="575"/>
      <c r="H842" s="575"/>
      <c r="I842" s="575"/>
      <c r="J842" s="575"/>
      <c r="K842" s="575"/>
    </row>
    <row r="843" spans="1:11" x14ac:dyDescent="0.2">
      <c r="A843" s="583"/>
      <c r="B843" s="640"/>
      <c r="F843" s="575"/>
      <c r="G843" s="575"/>
      <c r="H843" s="575"/>
      <c r="I843" s="575"/>
      <c r="J843" s="575"/>
      <c r="K843" s="575"/>
    </row>
    <row r="844" spans="1:11" x14ac:dyDescent="0.2">
      <c r="A844" s="583"/>
      <c r="B844" s="640"/>
      <c r="F844" s="575"/>
      <c r="G844" s="575"/>
      <c r="H844" s="575"/>
      <c r="I844" s="575"/>
      <c r="J844" s="575"/>
      <c r="K844" s="575"/>
    </row>
    <row r="845" spans="1:11" x14ac:dyDescent="0.2">
      <c r="A845" s="583"/>
      <c r="B845" s="640"/>
      <c r="F845" s="575"/>
      <c r="G845" s="575"/>
      <c r="H845" s="575"/>
      <c r="I845" s="575"/>
      <c r="J845" s="575"/>
      <c r="K845" s="575"/>
    </row>
    <row r="846" spans="1:11" x14ac:dyDescent="0.2">
      <c r="A846" s="583"/>
      <c r="B846" s="640"/>
      <c r="F846" s="575"/>
      <c r="G846" s="575"/>
      <c r="H846" s="575"/>
      <c r="I846" s="575"/>
      <c r="J846" s="575"/>
      <c r="K846" s="575"/>
    </row>
    <row r="847" spans="1:11" x14ac:dyDescent="0.2">
      <c r="A847" s="583"/>
      <c r="B847" s="640"/>
      <c r="F847" s="575"/>
      <c r="G847" s="575"/>
      <c r="H847" s="575"/>
      <c r="I847" s="575"/>
      <c r="J847" s="575"/>
      <c r="K847" s="575"/>
    </row>
    <row r="848" spans="1:11" x14ac:dyDescent="0.2">
      <c r="A848" s="583"/>
      <c r="B848" s="640"/>
      <c r="F848" s="575"/>
      <c r="G848" s="575"/>
      <c r="H848" s="575"/>
      <c r="I848" s="575"/>
      <c r="J848" s="575"/>
      <c r="K848" s="575"/>
    </row>
    <row r="849" spans="1:11" x14ac:dyDescent="0.2">
      <c r="A849" s="583"/>
      <c r="B849" s="640"/>
      <c r="F849" s="575"/>
      <c r="G849" s="575"/>
      <c r="H849" s="575"/>
      <c r="I849" s="575"/>
      <c r="J849" s="575"/>
      <c r="K849" s="575"/>
    </row>
    <row r="850" spans="1:11" x14ac:dyDescent="0.2">
      <c r="A850" s="583"/>
      <c r="B850" s="640"/>
      <c r="F850" s="575"/>
      <c r="G850" s="575"/>
      <c r="H850" s="575"/>
      <c r="I850" s="575"/>
      <c r="J850" s="575"/>
      <c r="K850" s="575"/>
    </row>
    <row r="851" spans="1:11" x14ac:dyDescent="0.2">
      <c r="A851" s="583"/>
      <c r="B851" s="640"/>
      <c r="F851" s="575"/>
      <c r="G851" s="575"/>
      <c r="H851" s="575"/>
      <c r="I851" s="575"/>
      <c r="J851" s="575"/>
      <c r="K851" s="575"/>
    </row>
    <row r="852" spans="1:11" x14ac:dyDescent="0.2">
      <c r="A852" s="583"/>
      <c r="B852" s="640"/>
      <c r="F852" s="575"/>
      <c r="G852" s="575"/>
      <c r="H852" s="575"/>
      <c r="I852" s="575"/>
      <c r="J852" s="575"/>
      <c r="K852" s="575"/>
    </row>
    <row r="853" spans="1:11" x14ac:dyDescent="0.2">
      <c r="A853" s="583"/>
      <c r="B853" s="640"/>
      <c r="F853" s="575"/>
      <c r="G853" s="575"/>
      <c r="H853" s="575"/>
      <c r="I853" s="575"/>
      <c r="J853" s="575"/>
      <c r="K853" s="575"/>
    </row>
    <row r="854" spans="1:11" x14ac:dyDescent="0.2">
      <c r="A854" s="583"/>
      <c r="B854" s="640"/>
      <c r="F854" s="575"/>
      <c r="G854" s="575"/>
      <c r="H854" s="575"/>
      <c r="I854" s="575"/>
      <c r="J854" s="575"/>
      <c r="K854" s="575"/>
    </row>
    <row r="855" spans="1:11" x14ac:dyDescent="0.2">
      <c r="A855" s="583"/>
      <c r="B855" s="640"/>
      <c r="F855" s="575"/>
      <c r="G855" s="575"/>
      <c r="H855" s="575"/>
      <c r="I855" s="575"/>
      <c r="J855" s="575"/>
      <c r="K855" s="575"/>
    </row>
    <row r="856" spans="1:11" x14ac:dyDescent="0.2">
      <c r="A856" s="583"/>
      <c r="B856" s="640"/>
      <c r="F856" s="575"/>
      <c r="G856" s="575"/>
      <c r="H856" s="575"/>
      <c r="I856" s="575"/>
      <c r="J856" s="575"/>
      <c r="K856" s="575"/>
    </row>
    <row r="857" spans="1:11" x14ac:dyDescent="0.2">
      <c r="A857" s="583"/>
      <c r="B857" s="640"/>
      <c r="F857" s="575"/>
      <c r="G857" s="575"/>
      <c r="H857" s="575"/>
      <c r="I857" s="575"/>
      <c r="J857" s="575"/>
      <c r="K857" s="575"/>
    </row>
    <row r="858" spans="1:11" x14ac:dyDescent="0.2">
      <c r="A858" s="583"/>
      <c r="B858" s="640"/>
      <c r="F858" s="575"/>
      <c r="G858" s="575"/>
      <c r="H858" s="575"/>
      <c r="I858" s="575"/>
      <c r="J858" s="575"/>
      <c r="K858" s="575"/>
    </row>
    <row r="859" spans="1:11" x14ac:dyDescent="0.2">
      <c r="A859" s="583"/>
      <c r="B859" s="640"/>
      <c r="F859" s="575"/>
      <c r="G859" s="575"/>
      <c r="H859" s="575"/>
      <c r="I859" s="575"/>
      <c r="J859" s="575"/>
      <c r="K859" s="575"/>
    </row>
    <row r="860" spans="1:11" x14ac:dyDescent="0.2">
      <c r="A860" s="583"/>
      <c r="B860" s="640"/>
      <c r="F860" s="575"/>
      <c r="G860" s="575"/>
      <c r="H860" s="575"/>
      <c r="I860" s="575"/>
      <c r="J860" s="575"/>
      <c r="K860" s="575"/>
    </row>
    <row r="861" spans="1:11" x14ac:dyDescent="0.2">
      <c r="A861" s="583"/>
      <c r="B861" s="640"/>
      <c r="F861" s="575"/>
      <c r="G861" s="575"/>
      <c r="H861" s="575"/>
      <c r="I861" s="575"/>
      <c r="J861" s="575"/>
      <c r="K861" s="575"/>
    </row>
    <row r="862" spans="1:11" x14ac:dyDescent="0.2">
      <c r="A862" s="583"/>
      <c r="B862" s="640"/>
      <c r="F862" s="575"/>
      <c r="G862" s="575"/>
      <c r="H862" s="575"/>
      <c r="I862" s="575"/>
      <c r="J862" s="575"/>
      <c r="K862" s="575"/>
    </row>
    <row r="863" spans="1:11" x14ac:dyDescent="0.2">
      <c r="A863" s="583"/>
      <c r="B863" s="640"/>
      <c r="F863" s="575"/>
      <c r="G863" s="575"/>
      <c r="H863" s="575"/>
      <c r="I863" s="575"/>
      <c r="J863" s="575"/>
      <c r="K863" s="575"/>
    </row>
    <row r="864" spans="1:11" x14ac:dyDescent="0.2">
      <c r="A864" s="583"/>
      <c r="B864" s="640"/>
      <c r="F864" s="575"/>
      <c r="G864" s="575"/>
      <c r="H864" s="575"/>
      <c r="I864" s="575"/>
      <c r="J864" s="575"/>
      <c r="K864" s="575"/>
    </row>
    <row r="865" spans="1:11" x14ac:dyDescent="0.2">
      <c r="A865" s="583"/>
      <c r="B865" s="640"/>
      <c r="F865" s="575"/>
      <c r="G865" s="575"/>
      <c r="H865" s="575"/>
      <c r="I865" s="575"/>
      <c r="J865" s="575"/>
      <c r="K865" s="575"/>
    </row>
    <row r="866" spans="1:11" x14ac:dyDescent="0.2">
      <c r="A866" s="583"/>
      <c r="B866" s="640"/>
      <c r="F866" s="575"/>
      <c r="G866" s="575"/>
      <c r="H866" s="575"/>
      <c r="I866" s="575"/>
      <c r="J866" s="575"/>
      <c r="K866" s="575"/>
    </row>
    <row r="867" spans="1:11" x14ac:dyDescent="0.2">
      <c r="A867" s="583"/>
      <c r="B867" s="640"/>
      <c r="F867" s="575"/>
      <c r="G867" s="575"/>
      <c r="H867" s="575"/>
      <c r="I867" s="575"/>
      <c r="J867" s="575"/>
      <c r="K867" s="575"/>
    </row>
    <row r="868" spans="1:11" x14ac:dyDescent="0.2">
      <c r="A868" s="583"/>
      <c r="B868" s="640"/>
      <c r="F868" s="575"/>
      <c r="G868" s="575"/>
      <c r="H868" s="575"/>
      <c r="I868" s="575"/>
      <c r="J868" s="575"/>
      <c r="K868" s="575"/>
    </row>
    <row r="869" spans="1:11" x14ac:dyDescent="0.2">
      <c r="A869" s="583"/>
      <c r="B869" s="640"/>
      <c r="F869" s="575"/>
      <c r="G869" s="575"/>
      <c r="H869" s="575"/>
      <c r="I869" s="575"/>
      <c r="J869" s="575"/>
      <c r="K869" s="575"/>
    </row>
    <row r="870" spans="1:11" x14ac:dyDescent="0.2">
      <c r="A870" s="583"/>
      <c r="B870" s="640"/>
      <c r="F870" s="575"/>
      <c r="G870" s="575"/>
      <c r="H870" s="575"/>
      <c r="I870" s="575"/>
      <c r="J870" s="575"/>
      <c r="K870" s="575"/>
    </row>
    <row r="871" spans="1:11" x14ac:dyDescent="0.2">
      <c r="A871" s="583"/>
      <c r="B871" s="640"/>
      <c r="F871" s="575"/>
      <c r="G871" s="575"/>
      <c r="H871" s="575"/>
      <c r="I871" s="575"/>
      <c r="J871" s="575"/>
      <c r="K871" s="575"/>
    </row>
    <row r="872" spans="1:11" x14ac:dyDescent="0.2">
      <c r="A872" s="583"/>
      <c r="B872" s="640"/>
      <c r="F872" s="575"/>
      <c r="G872" s="575"/>
      <c r="H872" s="575"/>
      <c r="I872" s="575"/>
      <c r="J872" s="575"/>
      <c r="K872" s="575"/>
    </row>
    <row r="873" spans="1:11" x14ac:dyDescent="0.2">
      <c r="A873" s="583"/>
      <c r="B873" s="640"/>
      <c r="F873" s="575"/>
      <c r="G873" s="575"/>
      <c r="H873" s="575"/>
      <c r="I873" s="575"/>
      <c r="J873" s="575"/>
      <c r="K873" s="575"/>
    </row>
    <row r="874" spans="1:11" x14ac:dyDescent="0.2">
      <c r="A874" s="583"/>
      <c r="B874" s="640"/>
      <c r="F874" s="575"/>
      <c r="G874" s="575"/>
      <c r="H874" s="575"/>
      <c r="I874" s="575"/>
      <c r="J874" s="575"/>
      <c r="K874" s="575"/>
    </row>
    <row r="875" spans="1:11" x14ac:dyDescent="0.2">
      <c r="A875" s="583"/>
      <c r="B875" s="640"/>
      <c r="F875" s="575"/>
      <c r="G875" s="575"/>
      <c r="H875" s="575"/>
      <c r="I875" s="575"/>
      <c r="J875" s="575"/>
      <c r="K875" s="575"/>
    </row>
    <row r="876" spans="1:11" x14ac:dyDescent="0.2">
      <c r="A876" s="583"/>
      <c r="B876" s="640"/>
      <c r="F876" s="575"/>
      <c r="G876" s="575"/>
      <c r="H876" s="575"/>
      <c r="I876" s="575"/>
      <c r="J876" s="575"/>
      <c r="K876" s="575"/>
    </row>
    <row r="877" spans="1:11" x14ac:dyDescent="0.2">
      <c r="A877" s="583"/>
      <c r="B877" s="640"/>
      <c r="F877" s="575"/>
      <c r="G877" s="575"/>
      <c r="H877" s="575"/>
      <c r="I877" s="575"/>
      <c r="J877" s="575"/>
      <c r="K877" s="575"/>
    </row>
    <row r="878" spans="1:11" x14ac:dyDescent="0.2">
      <c r="A878" s="583"/>
      <c r="B878" s="640"/>
      <c r="F878" s="575"/>
      <c r="G878" s="575"/>
      <c r="H878" s="575"/>
      <c r="I878" s="575"/>
      <c r="J878" s="575"/>
      <c r="K878" s="575"/>
    </row>
    <row r="879" spans="1:11" x14ac:dyDescent="0.2">
      <c r="A879" s="583"/>
      <c r="B879" s="640"/>
      <c r="F879" s="575"/>
      <c r="G879" s="575"/>
      <c r="H879" s="575"/>
      <c r="I879" s="575"/>
      <c r="J879" s="575"/>
      <c r="K879" s="575"/>
    </row>
    <row r="880" spans="1:11" x14ac:dyDescent="0.2">
      <c r="A880" s="583"/>
      <c r="B880" s="640"/>
      <c r="F880" s="575"/>
      <c r="G880" s="575"/>
      <c r="H880" s="575"/>
      <c r="I880" s="575"/>
      <c r="J880" s="575"/>
      <c r="K880" s="575"/>
    </row>
    <row r="881" spans="1:11" x14ac:dyDescent="0.2">
      <c r="A881" s="583"/>
      <c r="B881" s="640"/>
      <c r="F881" s="575"/>
      <c r="G881" s="575"/>
      <c r="H881" s="575"/>
      <c r="I881" s="575"/>
      <c r="J881" s="575"/>
      <c r="K881" s="575"/>
    </row>
    <row r="882" spans="1:11" x14ac:dyDescent="0.2">
      <c r="A882" s="583"/>
      <c r="B882" s="640"/>
      <c r="F882" s="575"/>
      <c r="G882" s="575"/>
      <c r="H882" s="575"/>
      <c r="I882" s="575"/>
      <c r="J882" s="575"/>
      <c r="K882" s="575"/>
    </row>
    <row r="883" spans="1:11" x14ac:dyDescent="0.2">
      <c r="A883" s="583"/>
      <c r="B883" s="640"/>
      <c r="F883" s="575"/>
      <c r="G883" s="575"/>
      <c r="H883" s="575"/>
      <c r="I883" s="575"/>
      <c r="J883" s="575"/>
      <c r="K883" s="575"/>
    </row>
    <row r="884" spans="1:11" x14ac:dyDescent="0.2">
      <c r="A884" s="583"/>
      <c r="B884" s="640"/>
      <c r="F884" s="575"/>
      <c r="G884" s="575"/>
      <c r="H884" s="575"/>
      <c r="I884" s="575"/>
      <c r="J884" s="575"/>
      <c r="K884" s="575"/>
    </row>
    <row r="885" spans="1:11" x14ac:dyDescent="0.2">
      <c r="A885" s="583"/>
      <c r="B885" s="640"/>
      <c r="F885" s="575"/>
      <c r="G885" s="575"/>
      <c r="H885" s="575"/>
      <c r="I885" s="575"/>
      <c r="J885" s="575"/>
      <c r="K885" s="575"/>
    </row>
    <row r="886" spans="1:11" x14ac:dyDescent="0.2">
      <c r="A886" s="583"/>
      <c r="B886" s="640"/>
      <c r="F886" s="575"/>
      <c r="G886" s="575"/>
      <c r="H886" s="575"/>
      <c r="I886" s="575"/>
      <c r="J886" s="575"/>
      <c r="K886" s="575"/>
    </row>
    <row r="887" spans="1:11" x14ac:dyDescent="0.2">
      <c r="A887" s="583"/>
      <c r="B887" s="640"/>
      <c r="F887" s="575"/>
      <c r="G887" s="575"/>
      <c r="H887" s="575"/>
      <c r="I887" s="575"/>
      <c r="J887" s="575"/>
      <c r="K887" s="575"/>
    </row>
    <row r="888" spans="1:11" x14ac:dyDescent="0.2">
      <c r="A888" s="583"/>
      <c r="B888" s="640"/>
      <c r="F888" s="575"/>
      <c r="G888" s="575"/>
      <c r="H888" s="575"/>
      <c r="I888" s="575"/>
      <c r="J888" s="575"/>
      <c r="K888" s="575"/>
    </row>
    <row r="889" spans="1:11" x14ac:dyDescent="0.2">
      <c r="A889" s="583"/>
      <c r="B889" s="640"/>
      <c r="F889" s="575"/>
      <c r="G889" s="575"/>
      <c r="H889" s="575"/>
      <c r="I889" s="575"/>
      <c r="J889" s="575"/>
      <c r="K889" s="575"/>
    </row>
    <row r="890" spans="1:11" x14ac:dyDescent="0.2">
      <c r="A890" s="583"/>
      <c r="B890" s="640"/>
      <c r="F890" s="575"/>
      <c r="G890" s="575"/>
      <c r="H890" s="575"/>
      <c r="I890" s="575"/>
      <c r="J890" s="575"/>
      <c r="K890" s="575"/>
    </row>
    <row r="891" spans="1:11" x14ac:dyDescent="0.2">
      <c r="A891" s="583"/>
      <c r="B891" s="640"/>
      <c r="F891" s="575"/>
      <c r="G891" s="575"/>
      <c r="H891" s="575"/>
      <c r="I891" s="575"/>
      <c r="J891" s="575"/>
      <c r="K891" s="575"/>
    </row>
    <row r="892" spans="1:11" x14ac:dyDescent="0.2">
      <c r="A892" s="583"/>
      <c r="B892" s="640"/>
      <c r="F892" s="575"/>
      <c r="G892" s="575"/>
      <c r="H892" s="575"/>
      <c r="I892" s="575"/>
      <c r="J892" s="575"/>
      <c r="K892" s="575"/>
    </row>
    <row r="893" spans="1:11" x14ac:dyDescent="0.2">
      <c r="A893" s="583"/>
      <c r="B893" s="640"/>
      <c r="F893" s="575"/>
      <c r="G893" s="575"/>
      <c r="H893" s="575"/>
      <c r="I893" s="575"/>
      <c r="J893" s="575"/>
      <c r="K893" s="575"/>
    </row>
    <row r="894" spans="1:11" x14ac:dyDescent="0.2">
      <c r="A894" s="583"/>
      <c r="B894" s="640"/>
      <c r="F894" s="575"/>
      <c r="G894" s="575"/>
      <c r="H894" s="575"/>
      <c r="I894" s="575"/>
      <c r="J894" s="575"/>
      <c r="K894" s="575"/>
    </row>
    <row r="895" spans="1:11" x14ac:dyDescent="0.2">
      <c r="A895" s="583"/>
      <c r="B895" s="640"/>
      <c r="F895" s="575"/>
      <c r="G895" s="575"/>
      <c r="H895" s="575"/>
      <c r="I895" s="575"/>
      <c r="J895" s="575"/>
      <c r="K895" s="575"/>
    </row>
    <row r="896" spans="1:11" x14ac:dyDescent="0.2">
      <c r="A896" s="583"/>
      <c r="B896" s="640"/>
      <c r="F896" s="575"/>
      <c r="G896" s="575"/>
      <c r="H896" s="575"/>
      <c r="I896" s="575"/>
      <c r="J896" s="575"/>
      <c r="K896" s="575"/>
    </row>
    <row r="897" spans="1:11" x14ac:dyDescent="0.2">
      <c r="A897" s="583"/>
      <c r="B897" s="640"/>
      <c r="F897" s="575"/>
      <c r="G897" s="575"/>
      <c r="H897" s="575"/>
      <c r="I897" s="575"/>
      <c r="J897" s="575"/>
      <c r="K897" s="575"/>
    </row>
    <row r="898" spans="1:11" x14ac:dyDescent="0.2">
      <c r="A898" s="583"/>
      <c r="B898" s="640"/>
      <c r="F898" s="575"/>
      <c r="G898" s="575"/>
      <c r="H898" s="575"/>
      <c r="I898" s="575"/>
      <c r="J898" s="575"/>
      <c r="K898" s="575"/>
    </row>
    <row r="899" spans="1:11" x14ac:dyDescent="0.2">
      <c r="A899" s="583"/>
      <c r="B899" s="640"/>
      <c r="F899" s="575"/>
      <c r="G899" s="575"/>
      <c r="H899" s="575"/>
      <c r="I899" s="575"/>
      <c r="J899" s="575"/>
      <c r="K899" s="575"/>
    </row>
    <row r="900" spans="1:11" x14ac:dyDescent="0.2">
      <c r="A900" s="583"/>
      <c r="B900" s="640"/>
      <c r="F900" s="575"/>
      <c r="G900" s="575"/>
      <c r="H900" s="575"/>
      <c r="I900" s="575"/>
      <c r="J900" s="575"/>
      <c r="K900" s="575"/>
    </row>
    <row r="901" spans="1:11" x14ac:dyDescent="0.2">
      <c r="A901" s="583"/>
      <c r="B901" s="640"/>
      <c r="F901" s="575"/>
      <c r="G901" s="575"/>
      <c r="H901" s="575"/>
      <c r="I901" s="575"/>
      <c r="J901" s="575"/>
      <c r="K901" s="575"/>
    </row>
    <row r="902" spans="1:11" x14ac:dyDescent="0.2">
      <c r="A902" s="583"/>
      <c r="B902" s="640"/>
      <c r="F902" s="575"/>
      <c r="G902" s="575"/>
      <c r="H902" s="575"/>
      <c r="I902" s="575"/>
      <c r="J902" s="575"/>
      <c r="K902" s="575"/>
    </row>
    <row r="903" spans="1:11" x14ac:dyDescent="0.2">
      <c r="A903" s="583"/>
      <c r="B903" s="640"/>
      <c r="F903" s="575"/>
      <c r="G903" s="575"/>
      <c r="H903" s="575"/>
      <c r="I903" s="575"/>
      <c r="J903" s="575"/>
      <c r="K903" s="575"/>
    </row>
    <row r="904" spans="1:11" x14ac:dyDescent="0.2">
      <c r="A904" s="583"/>
      <c r="B904" s="640"/>
      <c r="F904" s="575"/>
      <c r="G904" s="575"/>
      <c r="H904" s="575"/>
      <c r="I904" s="575"/>
      <c r="J904" s="575"/>
      <c r="K904" s="575"/>
    </row>
    <row r="905" spans="1:11" x14ac:dyDescent="0.2">
      <c r="A905" s="583"/>
      <c r="B905" s="640"/>
      <c r="F905" s="575"/>
      <c r="G905" s="575"/>
      <c r="H905" s="575"/>
      <c r="I905" s="575"/>
      <c r="J905" s="575"/>
      <c r="K905" s="575"/>
    </row>
    <row r="906" spans="1:11" x14ac:dyDescent="0.2">
      <c r="A906" s="583"/>
      <c r="B906" s="640"/>
      <c r="F906" s="575"/>
      <c r="G906" s="575"/>
      <c r="H906" s="575"/>
      <c r="I906" s="575"/>
      <c r="J906" s="575"/>
      <c r="K906" s="575"/>
    </row>
    <row r="907" spans="1:11" x14ac:dyDescent="0.2">
      <c r="A907" s="583"/>
      <c r="B907" s="640"/>
      <c r="F907" s="575"/>
      <c r="G907" s="575"/>
      <c r="H907" s="575"/>
      <c r="I907" s="575"/>
      <c r="J907" s="575"/>
      <c r="K907" s="575"/>
    </row>
    <row r="908" spans="1:11" x14ac:dyDescent="0.2">
      <c r="A908" s="583"/>
      <c r="B908" s="640"/>
      <c r="F908" s="575"/>
      <c r="G908" s="575"/>
      <c r="H908" s="575"/>
      <c r="I908" s="575"/>
      <c r="J908" s="575"/>
      <c r="K908" s="575"/>
    </row>
    <row r="909" spans="1:11" x14ac:dyDescent="0.2">
      <c r="A909" s="583"/>
      <c r="B909" s="640"/>
      <c r="F909" s="575"/>
      <c r="G909" s="575"/>
      <c r="H909" s="575"/>
      <c r="I909" s="575"/>
      <c r="J909" s="575"/>
      <c r="K909" s="575"/>
    </row>
    <row r="910" spans="1:11" x14ac:dyDescent="0.2">
      <c r="A910" s="583"/>
      <c r="B910" s="640"/>
      <c r="F910" s="575"/>
      <c r="G910" s="575"/>
      <c r="H910" s="575"/>
      <c r="I910" s="575"/>
      <c r="J910" s="575"/>
      <c r="K910" s="575"/>
    </row>
    <row r="911" spans="1:11" x14ac:dyDescent="0.2">
      <c r="A911" s="583"/>
      <c r="B911" s="640"/>
      <c r="F911" s="575"/>
      <c r="G911" s="575"/>
      <c r="H911" s="575"/>
      <c r="I911" s="575"/>
      <c r="J911" s="575"/>
      <c r="K911" s="575"/>
    </row>
    <row r="912" spans="1:11" x14ac:dyDescent="0.2">
      <c r="A912" s="583"/>
      <c r="B912" s="640"/>
      <c r="F912" s="575"/>
      <c r="G912" s="575"/>
      <c r="H912" s="575"/>
      <c r="I912" s="575"/>
      <c r="J912" s="575"/>
      <c r="K912" s="575"/>
    </row>
    <row r="913" spans="1:11" x14ac:dyDescent="0.2">
      <c r="A913" s="583"/>
      <c r="B913" s="640"/>
      <c r="F913" s="575"/>
      <c r="G913" s="575"/>
      <c r="H913" s="575"/>
      <c r="I913" s="575"/>
      <c r="J913" s="575"/>
      <c r="K913" s="575"/>
    </row>
    <row r="914" spans="1:11" x14ac:dyDescent="0.2">
      <c r="A914" s="583"/>
      <c r="B914" s="640"/>
      <c r="F914" s="575"/>
      <c r="G914" s="575"/>
      <c r="H914" s="575"/>
      <c r="I914" s="575"/>
      <c r="J914" s="575"/>
      <c r="K914" s="575"/>
    </row>
    <row r="915" spans="1:11" x14ac:dyDescent="0.2">
      <c r="A915" s="583"/>
      <c r="B915" s="640"/>
      <c r="F915" s="575"/>
      <c r="G915" s="575"/>
      <c r="H915" s="575"/>
      <c r="I915" s="575"/>
      <c r="J915" s="575"/>
      <c r="K915" s="575"/>
    </row>
    <row r="916" spans="1:11" x14ac:dyDescent="0.2">
      <c r="A916" s="583"/>
      <c r="B916" s="640"/>
      <c r="F916" s="575"/>
      <c r="G916" s="575"/>
      <c r="H916" s="575"/>
      <c r="I916" s="575"/>
      <c r="J916" s="575"/>
      <c r="K916" s="575"/>
    </row>
    <row r="917" spans="1:11" x14ac:dyDescent="0.2">
      <c r="A917" s="583"/>
      <c r="B917" s="640"/>
      <c r="F917" s="575"/>
      <c r="G917" s="575"/>
      <c r="H917" s="575"/>
      <c r="I917" s="575"/>
      <c r="J917" s="575"/>
      <c r="K917" s="575"/>
    </row>
    <row r="918" spans="1:11" x14ac:dyDescent="0.2">
      <c r="A918" s="583"/>
      <c r="B918" s="640"/>
      <c r="F918" s="575"/>
      <c r="G918" s="575"/>
      <c r="H918" s="575"/>
      <c r="I918" s="575"/>
      <c r="J918" s="575"/>
      <c r="K918" s="575"/>
    </row>
    <row r="919" spans="1:11" x14ac:dyDescent="0.2">
      <c r="A919" s="583"/>
      <c r="B919" s="640"/>
      <c r="F919" s="575"/>
      <c r="G919" s="575"/>
      <c r="H919" s="575"/>
      <c r="I919" s="575"/>
      <c r="J919" s="575"/>
      <c r="K919" s="575"/>
    </row>
    <row r="920" spans="1:11" x14ac:dyDescent="0.2">
      <c r="A920" s="583"/>
      <c r="B920" s="640"/>
      <c r="F920" s="575"/>
      <c r="G920" s="575"/>
      <c r="H920" s="575"/>
      <c r="I920" s="575"/>
      <c r="J920" s="575"/>
      <c r="K920" s="575"/>
    </row>
    <row r="921" spans="1:11" x14ac:dyDescent="0.2">
      <c r="A921" s="583"/>
      <c r="B921" s="640"/>
      <c r="F921" s="575"/>
      <c r="G921" s="575"/>
      <c r="H921" s="575"/>
      <c r="I921" s="575"/>
      <c r="J921" s="575"/>
      <c r="K921" s="575"/>
    </row>
    <row r="922" spans="1:11" x14ac:dyDescent="0.2">
      <c r="A922" s="583"/>
      <c r="B922" s="640"/>
      <c r="F922" s="575"/>
      <c r="G922" s="575"/>
      <c r="H922" s="575"/>
      <c r="I922" s="575"/>
      <c r="J922" s="575"/>
      <c r="K922" s="575"/>
    </row>
    <row r="923" spans="1:11" x14ac:dyDescent="0.2">
      <c r="A923" s="583"/>
      <c r="B923" s="640"/>
      <c r="F923" s="575"/>
      <c r="G923" s="575"/>
      <c r="H923" s="575"/>
      <c r="I923" s="575"/>
      <c r="J923" s="575"/>
      <c r="K923" s="575"/>
    </row>
    <row r="924" spans="1:11" x14ac:dyDescent="0.2">
      <c r="A924" s="583"/>
      <c r="B924" s="640"/>
      <c r="F924" s="575"/>
      <c r="G924" s="575"/>
      <c r="H924" s="575"/>
      <c r="I924" s="575"/>
      <c r="J924" s="575"/>
      <c r="K924" s="575"/>
    </row>
    <row r="925" spans="1:11" x14ac:dyDescent="0.2">
      <c r="A925" s="583"/>
      <c r="B925" s="640"/>
      <c r="F925" s="575"/>
      <c r="G925" s="575"/>
      <c r="H925" s="575"/>
      <c r="I925" s="575"/>
      <c r="J925" s="575"/>
      <c r="K925" s="575"/>
    </row>
    <row r="926" spans="1:11" x14ac:dyDescent="0.2">
      <c r="A926" s="583"/>
      <c r="B926" s="640"/>
      <c r="F926" s="575"/>
      <c r="G926" s="575"/>
      <c r="H926" s="575"/>
      <c r="I926" s="575"/>
      <c r="J926" s="575"/>
      <c r="K926" s="575"/>
    </row>
    <row r="927" spans="1:11" x14ac:dyDescent="0.2">
      <c r="A927" s="583"/>
      <c r="B927" s="640"/>
      <c r="F927" s="575"/>
      <c r="G927" s="575"/>
      <c r="H927" s="575"/>
      <c r="I927" s="575"/>
      <c r="J927" s="575"/>
      <c r="K927" s="575"/>
    </row>
    <row r="928" spans="1:11" x14ac:dyDescent="0.2">
      <c r="A928" s="583"/>
      <c r="B928" s="640"/>
      <c r="F928" s="575"/>
      <c r="G928" s="575"/>
      <c r="H928" s="575"/>
      <c r="I928" s="575"/>
      <c r="J928" s="575"/>
      <c r="K928" s="575"/>
    </row>
    <row r="929" spans="1:11" x14ac:dyDescent="0.2">
      <c r="A929" s="583"/>
      <c r="B929" s="640"/>
      <c r="F929" s="575"/>
      <c r="G929" s="575"/>
      <c r="H929" s="575"/>
      <c r="I929" s="575"/>
      <c r="J929" s="575"/>
      <c r="K929" s="575"/>
    </row>
    <row r="930" spans="1:11" x14ac:dyDescent="0.2">
      <c r="A930" s="583"/>
      <c r="B930" s="640"/>
      <c r="F930" s="575"/>
      <c r="G930" s="575"/>
      <c r="H930" s="575"/>
      <c r="I930" s="575"/>
      <c r="J930" s="575"/>
      <c r="K930" s="575"/>
    </row>
    <row r="931" spans="1:11" x14ac:dyDescent="0.2">
      <c r="A931" s="583"/>
      <c r="B931" s="640"/>
      <c r="F931" s="575"/>
      <c r="G931" s="575"/>
      <c r="H931" s="575"/>
      <c r="I931" s="575"/>
      <c r="J931" s="575"/>
      <c r="K931" s="575"/>
    </row>
    <row r="932" spans="1:11" x14ac:dyDescent="0.2">
      <c r="A932" s="583"/>
      <c r="B932" s="640"/>
      <c r="F932" s="575"/>
      <c r="G932" s="575"/>
      <c r="H932" s="575"/>
      <c r="I932" s="575"/>
      <c r="J932" s="575"/>
      <c r="K932" s="575"/>
    </row>
    <row r="933" spans="1:11" x14ac:dyDescent="0.2">
      <c r="A933" s="583"/>
      <c r="B933" s="640"/>
      <c r="F933" s="575"/>
      <c r="G933" s="575"/>
      <c r="H933" s="575"/>
      <c r="I933" s="575"/>
      <c r="J933" s="575"/>
      <c r="K933" s="575"/>
    </row>
    <row r="934" spans="1:11" x14ac:dyDescent="0.2">
      <c r="A934" s="583"/>
      <c r="B934" s="640"/>
      <c r="F934" s="575"/>
      <c r="G934" s="575"/>
      <c r="H934" s="575"/>
      <c r="I934" s="575"/>
      <c r="J934" s="575"/>
      <c r="K934" s="575"/>
    </row>
    <row r="935" spans="1:11" x14ac:dyDescent="0.2">
      <c r="A935" s="583"/>
      <c r="B935" s="640"/>
      <c r="F935" s="575"/>
      <c r="G935" s="575"/>
      <c r="H935" s="575"/>
      <c r="I935" s="575"/>
      <c r="J935" s="575"/>
      <c r="K935" s="575"/>
    </row>
    <row r="936" spans="1:11" x14ac:dyDescent="0.2">
      <c r="A936" s="583"/>
      <c r="B936" s="640"/>
      <c r="F936" s="575"/>
      <c r="G936" s="575"/>
      <c r="H936" s="575"/>
      <c r="I936" s="575"/>
      <c r="J936" s="575"/>
      <c r="K936" s="575"/>
    </row>
    <row r="937" spans="1:11" x14ac:dyDescent="0.2">
      <c r="A937" s="583"/>
      <c r="B937" s="640"/>
      <c r="F937" s="575"/>
      <c r="G937" s="575"/>
      <c r="H937" s="575"/>
      <c r="I937" s="575"/>
      <c r="J937" s="575"/>
      <c r="K937" s="575"/>
    </row>
    <row r="938" spans="1:11" x14ac:dyDescent="0.2">
      <c r="A938" s="583"/>
      <c r="B938" s="640"/>
      <c r="F938" s="575"/>
      <c r="G938" s="575"/>
      <c r="H938" s="575"/>
      <c r="I938" s="575"/>
      <c r="J938" s="575"/>
      <c r="K938" s="575"/>
    </row>
    <row r="939" spans="1:11" x14ac:dyDescent="0.2">
      <c r="A939" s="583"/>
      <c r="B939" s="640"/>
      <c r="F939" s="575"/>
      <c r="G939" s="575"/>
      <c r="H939" s="575"/>
      <c r="I939" s="575"/>
      <c r="J939" s="575"/>
      <c r="K939" s="575"/>
    </row>
    <row r="940" spans="1:11" x14ac:dyDescent="0.2">
      <c r="A940" s="583"/>
      <c r="B940" s="640"/>
      <c r="F940" s="575"/>
      <c r="G940" s="575"/>
      <c r="H940" s="575"/>
      <c r="I940" s="575"/>
      <c r="J940" s="575"/>
      <c r="K940" s="575"/>
    </row>
    <row r="941" spans="1:11" x14ac:dyDescent="0.2">
      <c r="A941" s="583"/>
      <c r="B941" s="640"/>
      <c r="F941" s="575"/>
      <c r="G941" s="575"/>
      <c r="H941" s="575"/>
      <c r="I941" s="575"/>
      <c r="J941" s="575"/>
      <c r="K941" s="575"/>
    </row>
    <row r="942" spans="1:11" x14ac:dyDescent="0.2">
      <c r="A942" s="583"/>
      <c r="B942" s="640"/>
      <c r="F942" s="575"/>
      <c r="G942" s="575"/>
      <c r="H942" s="575"/>
      <c r="I942" s="575"/>
      <c r="J942" s="575"/>
      <c r="K942" s="575"/>
    </row>
    <row r="943" spans="1:11" x14ac:dyDescent="0.2">
      <c r="A943" s="583"/>
      <c r="B943" s="640"/>
      <c r="F943" s="575"/>
      <c r="G943" s="575"/>
      <c r="H943" s="575"/>
      <c r="I943" s="575"/>
      <c r="J943" s="575"/>
      <c r="K943" s="575"/>
    </row>
    <row r="944" spans="1:11" x14ac:dyDescent="0.2">
      <c r="A944" s="583"/>
      <c r="B944" s="640"/>
      <c r="F944" s="575"/>
      <c r="G944" s="575"/>
      <c r="H944" s="575"/>
      <c r="I944" s="575"/>
      <c r="J944" s="575"/>
      <c r="K944" s="575"/>
    </row>
    <row r="945" spans="1:11" x14ac:dyDescent="0.2">
      <c r="A945" s="583"/>
      <c r="B945" s="640"/>
      <c r="F945" s="575"/>
      <c r="G945" s="575"/>
      <c r="H945" s="575"/>
      <c r="I945" s="575"/>
      <c r="J945" s="575"/>
      <c r="K945" s="575"/>
    </row>
    <row r="946" spans="1:11" x14ac:dyDescent="0.2">
      <c r="A946" s="583"/>
      <c r="B946" s="640"/>
      <c r="F946" s="575"/>
      <c r="G946" s="575"/>
      <c r="H946" s="575"/>
      <c r="I946" s="575"/>
      <c r="J946" s="575"/>
      <c r="K946" s="575"/>
    </row>
    <row r="947" spans="1:11" x14ac:dyDescent="0.2">
      <c r="A947" s="583"/>
      <c r="B947" s="640"/>
      <c r="F947" s="575"/>
      <c r="G947" s="575"/>
      <c r="H947" s="575"/>
      <c r="I947" s="575"/>
      <c r="J947" s="575"/>
      <c r="K947" s="575"/>
    </row>
    <row r="948" spans="1:11" x14ac:dyDescent="0.2">
      <c r="A948" s="583"/>
      <c r="B948" s="640"/>
      <c r="F948" s="575"/>
      <c r="G948" s="575"/>
      <c r="H948" s="575"/>
      <c r="I948" s="575"/>
      <c r="J948" s="575"/>
      <c r="K948" s="575"/>
    </row>
    <row r="949" spans="1:11" x14ac:dyDescent="0.2">
      <c r="A949" s="583"/>
      <c r="B949" s="640"/>
      <c r="F949" s="575"/>
      <c r="G949" s="575"/>
      <c r="H949" s="575"/>
      <c r="I949" s="575"/>
      <c r="J949" s="575"/>
      <c r="K949" s="575"/>
    </row>
    <row r="950" spans="1:11" x14ac:dyDescent="0.2">
      <c r="A950" s="583"/>
      <c r="B950" s="640"/>
      <c r="F950" s="575"/>
      <c r="G950" s="575"/>
      <c r="H950" s="575"/>
      <c r="I950" s="575"/>
      <c r="J950" s="575"/>
      <c r="K950" s="575"/>
    </row>
    <row r="951" spans="1:11" x14ac:dyDescent="0.2">
      <c r="A951" s="583"/>
      <c r="B951" s="640"/>
      <c r="F951" s="575"/>
      <c r="G951" s="575"/>
      <c r="H951" s="575"/>
      <c r="I951" s="575"/>
      <c r="J951" s="575"/>
      <c r="K951" s="575"/>
    </row>
    <row r="952" spans="1:11" x14ac:dyDescent="0.2">
      <c r="A952" s="583"/>
      <c r="B952" s="640"/>
      <c r="F952" s="575"/>
      <c r="G952" s="575"/>
      <c r="H952" s="575"/>
      <c r="I952" s="575"/>
      <c r="J952" s="575"/>
      <c r="K952" s="575"/>
    </row>
    <row r="953" spans="1:11" x14ac:dyDescent="0.2">
      <c r="A953" s="583"/>
      <c r="B953" s="640"/>
      <c r="F953" s="575"/>
      <c r="G953" s="575"/>
      <c r="H953" s="575"/>
      <c r="I953" s="575"/>
      <c r="J953" s="575"/>
      <c r="K953" s="575"/>
    </row>
    <row r="954" spans="1:11" x14ac:dyDescent="0.2">
      <c r="A954" s="583"/>
      <c r="B954" s="640"/>
      <c r="F954" s="575"/>
      <c r="G954" s="575"/>
      <c r="H954" s="575"/>
      <c r="I954" s="575"/>
      <c r="J954" s="575"/>
      <c r="K954" s="575"/>
    </row>
    <row r="955" spans="1:11" x14ac:dyDescent="0.2">
      <c r="A955" s="583"/>
      <c r="B955" s="640"/>
      <c r="F955" s="575"/>
      <c r="G955" s="575"/>
      <c r="H955" s="575"/>
      <c r="I955" s="575"/>
      <c r="J955" s="575"/>
      <c r="K955" s="575"/>
    </row>
    <row r="956" spans="1:11" x14ac:dyDescent="0.2">
      <c r="A956" s="583"/>
      <c r="B956" s="640"/>
      <c r="F956" s="575"/>
      <c r="G956" s="575"/>
      <c r="H956" s="575"/>
      <c r="I956" s="575"/>
      <c r="J956" s="575"/>
      <c r="K956" s="575"/>
    </row>
    <row r="957" spans="1:11" x14ac:dyDescent="0.2">
      <c r="A957" s="583"/>
      <c r="B957" s="640"/>
      <c r="F957" s="575"/>
      <c r="G957" s="575"/>
      <c r="H957" s="575"/>
      <c r="I957" s="575"/>
      <c r="J957" s="575"/>
      <c r="K957" s="575"/>
    </row>
    <row r="958" spans="1:11" x14ac:dyDescent="0.2">
      <c r="A958" s="583"/>
      <c r="B958" s="640"/>
      <c r="F958" s="575"/>
      <c r="G958" s="575"/>
      <c r="H958" s="575"/>
      <c r="I958" s="575"/>
      <c r="J958" s="575"/>
      <c r="K958" s="575"/>
    </row>
    <row r="959" spans="1:11" x14ac:dyDescent="0.2">
      <c r="A959" s="583"/>
      <c r="B959" s="640"/>
      <c r="F959" s="575"/>
      <c r="G959" s="575"/>
      <c r="H959" s="575"/>
      <c r="I959" s="575"/>
      <c r="J959" s="575"/>
      <c r="K959" s="575"/>
    </row>
    <row r="960" spans="1:11" x14ac:dyDescent="0.2">
      <c r="A960" s="583"/>
      <c r="B960" s="640"/>
      <c r="F960" s="575"/>
      <c r="G960" s="575"/>
      <c r="H960" s="575"/>
      <c r="I960" s="575"/>
      <c r="J960" s="575"/>
      <c r="K960" s="575"/>
    </row>
    <row r="961" spans="1:11" x14ac:dyDescent="0.2">
      <c r="A961" s="583"/>
      <c r="B961" s="640"/>
      <c r="F961" s="575"/>
      <c r="G961" s="575"/>
      <c r="H961" s="575"/>
      <c r="I961" s="575"/>
      <c r="J961" s="575"/>
      <c r="K961" s="575"/>
    </row>
    <row r="962" spans="1:11" x14ac:dyDescent="0.2">
      <c r="A962" s="583"/>
      <c r="B962" s="640"/>
      <c r="F962" s="575"/>
      <c r="G962" s="575"/>
      <c r="H962" s="575"/>
      <c r="I962" s="575"/>
      <c r="J962" s="575"/>
      <c r="K962" s="575"/>
    </row>
    <row r="963" spans="1:11" x14ac:dyDescent="0.2">
      <c r="A963" s="583"/>
      <c r="B963" s="640"/>
      <c r="F963" s="575"/>
      <c r="G963" s="575"/>
      <c r="H963" s="575"/>
      <c r="I963" s="575"/>
      <c r="J963" s="575"/>
      <c r="K963" s="575"/>
    </row>
    <row r="964" spans="1:11" x14ac:dyDescent="0.2">
      <c r="A964" s="583"/>
      <c r="B964" s="640"/>
      <c r="F964" s="575"/>
      <c r="G964" s="575"/>
      <c r="H964" s="575"/>
      <c r="I964" s="575"/>
      <c r="J964" s="575"/>
      <c r="K964" s="575"/>
    </row>
    <row r="965" spans="1:11" x14ac:dyDescent="0.2">
      <c r="A965" s="583"/>
      <c r="B965" s="640"/>
      <c r="F965" s="575"/>
      <c r="G965" s="575"/>
      <c r="H965" s="575"/>
      <c r="I965" s="575"/>
      <c r="J965" s="575"/>
      <c r="K965" s="575"/>
    </row>
    <row r="966" spans="1:11" x14ac:dyDescent="0.2">
      <c r="A966" s="583"/>
      <c r="B966" s="640"/>
      <c r="F966" s="575"/>
      <c r="G966" s="575"/>
      <c r="H966" s="575"/>
      <c r="I966" s="575"/>
      <c r="J966" s="575"/>
      <c r="K966" s="575"/>
    </row>
    <row r="967" spans="1:11" x14ac:dyDescent="0.2">
      <c r="A967" s="583"/>
      <c r="B967" s="640"/>
      <c r="F967" s="575"/>
      <c r="G967" s="575"/>
      <c r="H967" s="575"/>
      <c r="I967" s="575"/>
      <c r="J967" s="575"/>
      <c r="K967" s="575"/>
    </row>
    <row r="968" spans="1:11" x14ac:dyDescent="0.2">
      <c r="A968" s="583"/>
      <c r="B968" s="640"/>
      <c r="F968" s="575"/>
      <c r="G968" s="575"/>
      <c r="H968" s="575"/>
      <c r="I968" s="575"/>
      <c r="J968" s="575"/>
      <c r="K968" s="575"/>
    </row>
    <row r="969" spans="1:11" x14ac:dyDescent="0.2">
      <c r="A969" s="583"/>
      <c r="B969" s="640"/>
      <c r="F969" s="575"/>
      <c r="G969" s="575"/>
      <c r="H969" s="575"/>
      <c r="I969" s="575"/>
      <c r="J969" s="575"/>
      <c r="K969" s="575"/>
    </row>
    <row r="970" spans="1:11" x14ac:dyDescent="0.2">
      <c r="A970" s="583"/>
      <c r="B970" s="640"/>
      <c r="F970" s="575"/>
      <c r="G970" s="575"/>
      <c r="H970" s="575"/>
      <c r="I970" s="575"/>
      <c r="J970" s="575"/>
      <c r="K970" s="575"/>
    </row>
    <row r="971" spans="1:11" x14ac:dyDescent="0.2">
      <c r="A971" s="583"/>
      <c r="B971" s="640"/>
      <c r="F971" s="575"/>
      <c r="G971" s="575"/>
      <c r="H971" s="575"/>
      <c r="I971" s="575"/>
      <c r="J971" s="575"/>
      <c r="K971" s="575"/>
    </row>
    <row r="972" spans="1:11" x14ac:dyDescent="0.2">
      <c r="A972" s="583"/>
      <c r="B972" s="640"/>
      <c r="F972" s="575"/>
      <c r="G972" s="575"/>
      <c r="H972" s="575"/>
      <c r="I972" s="575"/>
      <c r="J972" s="575"/>
      <c r="K972" s="575"/>
    </row>
    <row r="973" spans="1:11" x14ac:dyDescent="0.2">
      <c r="A973" s="583"/>
      <c r="B973" s="640"/>
      <c r="F973" s="575"/>
      <c r="G973" s="575"/>
      <c r="H973" s="575"/>
      <c r="I973" s="575"/>
      <c r="J973" s="575"/>
      <c r="K973" s="575"/>
    </row>
    <row r="974" spans="1:11" x14ac:dyDescent="0.2">
      <c r="A974" s="583"/>
      <c r="B974" s="640"/>
      <c r="F974" s="575"/>
      <c r="G974" s="575"/>
      <c r="H974" s="575"/>
      <c r="I974" s="575"/>
      <c r="J974" s="575"/>
      <c r="K974" s="575"/>
    </row>
    <row r="975" spans="1:11" x14ac:dyDescent="0.2">
      <c r="A975" s="583"/>
      <c r="B975" s="640"/>
      <c r="F975" s="575"/>
      <c r="G975" s="575"/>
      <c r="H975" s="575"/>
      <c r="I975" s="575"/>
      <c r="J975" s="575"/>
      <c r="K975" s="575"/>
    </row>
    <row r="976" spans="1:11" x14ac:dyDescent="0.2">
      <c r="A976" s="583"/>
      <c r="B976" s="640"/>
      <c r="F976" s="575"/>
      <c r="G976" s="575"/>
      <c r="H976" s="575"/>
      <c r="I976" s="575"/>
      <c r="J976" s="575"/>
      <c r="K976" s="575"/>
    </row>
    <row r="977" spans="1:11" x14ac:dyDescent="0.2">
      <c r="A977" s="583"/>
      <c r="B977" s="640"/>
      <c r="F977" s="575"/>
      <c r="G977" s="575"/>
      <c r="H977" s="575"/>
      <c r="I977" s="575"/>
      <c r="J977" s="575"/>
      <c r="K977" s="575"/>
    </row>
    <row r="978" spans="1:11" x14ac:dyDescent="0.2">
      <c r="A978" s="583"/>
      <c r="B978" s="640"/>
      <c r="F978" s="575"/>
      <c r="G978" s="575"/>
      <c r="H978" s="575"/>
      <c r="I978" s="575"/>
      <c r="J978" s="575"/>
      <c r="K978" s="575"/>
    </row>
    <row r="979" spans="1:11" x14ac:dyDescent="0.2">
      <c r="A979" s="583"/>
      <c r="B979" s="640"/>
      <c r="F979" s="575"/>
      <c r="G979" s="575"/>
      <c r="H979" s="575"/>
      <c r="I979" s="575"/>
      <c r="J979" s="575"/>
      <c r="K979" s="575"/>
    </row>
    <row r="980" spans="1:11" x14ac:dyDescent="0.2">
      <c r="A980" s="583"/>
      <c r="B980" s="640"/>
      <c r="F980" s="575"/>
      <c r="G980" s="575"/>
      <c r="H980" s="575"/>
      <c r="I980" s="575"/>
      <c r="J980" s="575"/>
      <c r="K980" s="575"/>
    </row>
    <row r="981" spans="1:11" x14ac:dyDescent="0.2">
      <c r="A981" s="583"/>
      <c r="B981" s="640"/>
      <c r="F981" s="575"/>
      <c r="G981" s="575"/>
      <c r="H981" s="575"/>
      <c r="I981" s="575"/>
      <c r="J981" s="575"/>
      <c r="K981" s="575"/>
    </row>
    <row r="982" spans="1:11" x14ac:dyDescent="0.2">
      <c r="A982" s="583"/>
      <c r="B982" s="640"/>
      <c r="F982" s="575"/>
      <c r="G982" s="575"/>
      <c r="H982" s="575"/>
      <c r="I982" s="575"/>
      <c r="J982" s="575"/>
      <c r="K982" s="575"/>
    </row>
    <row r="983" spans="1:11" x14ac:dyDescent="0.2">
      <c r="A983" s="583"/>
      <c r="B983" s="640"/>
      <c r="F983" s="575"/>
      <c r="G983" s="575"/>
      <c r="H983" s="575"/>
      <c r="I983" s="575"/>
      <c r="J983" s="575"/>
      <c r="K983" s="575"/>
    </row>
    <row r="984" spans="1:11" x14ac:dyDescent="0.2">
      <c r="A984" s="583"/>
      <c r="B984" s="640"/>
      <c r="F984" s="575"/>
      <c r="G984" s="575"/>
      <c r="H984" s="575"/>
      <c r="I984" s="575"/>
      <c r="J984" s="575"/>
      <c r="K984" s="575"/>
    </row>
    <row r="985" spans="1:11" x14ac:dyDescent="0.2">
      <c r="A985" s="583"/>
      <c r="B985" s="640"/>
      <c r="F985" s="575"/>
      <c r="G985" s="575"/>
      <c r="H985" s="575"/>
      <c r="I985" s="575"/>
      <c r="J985" s="575"/>
      <c r="K985" s="575"/>
    </row>
    <row r="986" spans="1:11" x14ac:dyDescent="0.2">
      <c r="A986" s="583"/>
      <c r="B986" s="640"/>
      <c r="F986" s="575"/>
      <c r="G986" s="575"/>
      <c r="H986" s="575"/>
      <c r="I986" s="575"/>
      <c r="J986" s="575"/>
      <c r="K986" s="575"/>
    </row>
    <row r="987" spans="1:11" x14ac:dyDescent="0.2">
      <c r="A987" s="583"/>
      <c r="B987" s="640"/>
      <c r="F987" s="575"/>
      <c r="G987" s="575"/>
      <c r="H987" s="575"/>
      <c r="I987" s="575"/>
      <c r="J987" s="575"/>
      <c r="K987" s="575"/>
    </row>
    <row r="988" spans="1:11" x14ac:dyDescent="0.2">
      <c r="A988" s="583"/>
      <c r="B988" s="640"/>
      <c r="F988" s="575"/>
      <c r="G988" s="575"/>
      <c r="H988" s="575"/>
      <c r="I988" s="575"/>
      <c r="J988" s="575"/>
      <c r="K988" s="575"/>
    </row>
    <row r="989" spans="1:11" x14ac:dyDescent="0.2">
      <c r="A989" s="583"/>
      <c r="B989" s="640"/>
      <c r="F989" s="575"/>
      <c r="G989" s="575"/>
      <c r="H989" s="575"/>
      <c r="I989" s="575"/>
      <c r="J989" s="575"/>
      <c r="K989" s="575"/>
    </row>
    <row r="990" spans="1:11" x14ac:dyDescent="0.2">
      <c r="A990" s="583"/>
      <c r="B990" s="640"/>
      <c r="F990" s="575"/>
      <c r="G990" s="575"/>
      <c r="H990" s="575"/>
      <c r="I990" s="575"/>
      <c r="J990" s="575"/>
      <c r="K990" s="575"/>
    </row>
    <row r="991" spans="1:11" x14ac:dyDescent="0.2">
      <c r="A991" s="583"/>
      <c r="B991" s="640"/>
      <c r="F991" s="575"/>
      <c r="G991" s="575"/>
      <c r="H991" s="575"/>
      <c r="I991" s="575"/>
      <c r="J991" s="575"/>
      <c r="K991" s="575"/>
    </row>
    <row r="992" spans="1:11" x14ac:dyDescent="0.2">
      <c r="A992" s="583"/>
      <c r="B992" s="640"/>
      <c r="F992" s="575"/>
      <c r="G992" s="575"/>
      <c r="H992" s="575"/>
      <c r="I992" s="575"/>
      <c r="J992" s="575"/>
      <c r="K992" s="575"/>
    </row>
    <row r="993" spans="1:11" x14ac:dyDescent="0.2">
      <c r="A993" s="583"/>
      <c r="B993" s="640"/>
      <c r="F993" s="575"/>
      <c r="G993" s="575"/>
      <c r="H993" s="575"/>
      <c r="I993" s="575"/>
      <c r="J993" s="575"/>
      <c r="K993" s="575"/>
    </row>
    <row r="994" spans="1:11" x14ac:dyDescent="0.2">
      <c r="A994" s="583"/>
      <c r="B994" s="640"/>
      <c r="F994" s="575"/>
      <c r="G994" s="575"/>
      <c r="H994" s="575"/>
      <c r="I994" s="575"/>
      <c r="J994" s="575"/>
      <c r="K994" s="575"/>
    </row>
    <row r="995" spans="1:11" x14ac:dyDescent="0.2">
      <c r="A995" s="583"/>
      <c r="B995" s="640"/>
      <c r="F995" s="575"/>
      <c r="G995" s="575"/>
      <c r="H995" s="575"/>
      <c r="I995" s="575"/>
      <c r="J995" s="575"/>
      <c r="K995" s="575"/>
    </row>
    <row r="996" spans="1:11" x14ac:dyDescent="0.2">
      <c r="A996" s="583"/>
      <c r="B996" s="640"/>
      <c r="F996" s="575"/>
      <c r="G996" s="575"/>
      <c r="H996" s="575"/>
      <c r="I996" s="575"/>
      <c r="J996" s="575"/>
      <c r="K996" s="575"/>
    </row>
    <row r="997" spans="1:11" x14ac:dyDescent="0.2">
      <c r="A997" s="583"/>
      <c r="B997" s="640"/>
      <c r="F997" s="575"/>
      <c r="G997" s="575"/>
      <c r="H997" s="575"/>
      <c r="I997" s="575"/>
      <c r="J997" s="575"/>
      <c r="K997" s="575"/>
    </row>
    <row r="998" spans="1:11" x14ac:dyDescent="0.2">
      <c r="A998" s="583"/>
      <c r="B998" s="640"/>
      <c r="F998" s="575"/>
      <c r="G998" s="575"/>
      <c r="H998" s="575"/>
      <c r="I998" s="575"/>
      <c r="J998" s="575"/>
      <c r="K998" s="575"/>
    </row>
    <row r="999" spans="1:11" x14ac:dyDescent="0.2">
      <c r="A999" s="583"/>
      <c r="B999" s="640"/>
      <c r="F999" s="575"/>
      <c r="G999" s="575"/>
      <c r="H999" s="575"/>
      <c r="I999" s="575"/>
      <c r="J999" s="575"/>
      <c r="K999" s="575"/>
    </row>
    <row r="1000" spans="1:11" x14ac:dyDescent="0.2">
      <c r="A1000" s="583"/>
      <c r="B1000" s="640"/>
      <c r="F1000" s="575"/>
      <c r="G1000" s="575"/>
      <c r="H1000" s="575"/>
      <c r="I1000" s="575"/>
      <c r="J1000" s="575"/>
      <c r="K1000" s="575"/>
    </row>
    <row r="1001" spans="1:11" x14ac:dyDescent="0.2">
      <c r="A1001" s="583"/>
      <c r="B1001" s="640"/>
      <c r="F1001" s="575"/>
      <c r="G1001" s="575"/>
      <c r="H1001" s="575"/>
      <c r="I1001" s="575"/>
      <c r="J1001" s="575"/>
      <c r="K1001" s="575"/>
    </row>
    <row r="1002" spans="1:11" x14ac:dyDescent="0.2">
      <c r="A1002" s="583"/>
      <c r="B1002" s="640"/>
      <c r="F1002" s="575"/>
      <c r="G1002" s="575"/>
      <c r="H1002" s="575"/>
      <c r="I1002" s="575"/>
      <c r="J1002" s="575"/>
      <c r="K1002" s="575"/>
    </row>
    <row r="1003" spans="1:11" x14ac:dyDescent="0.2">
      <c r="A1003" s="583"/>
      <c r="B1003" s="640"/>
      <c r="F1003" s="575"/>
      <c r="G1003" s="575"/>
      <c r="H1003" s="575"/>
      <c r="I1003" s="575"/>
      <c r="J1003" s="575"/>
      <c r="K1003" s="575"/>
    </row>
    <row r="1004" spans="1:11" x14ac:dyDescent="0.2">
      <c r="A1004" s="583"/>
      <c r="B1004" s="640"/>
      <c r="F1004" s="575"/>
      <c r="G1004" s="575"/>
      <c r="H1004" s="575"/>
      <c r="I1004" s="575"/>
      <c r="J1004" s="575"/>
      <c r="K1004" s="575"/>
    </row>
    <row r="1005" spans="1:11" x14ac:dyDescent="0.2">
      <c r="A1005" s="583"/>
      <c r="B1005" s="640"/>
      <c r="F1005" s="575"/>
      <c r="G1005" s="575"/>
      <c r="H1005" s="575"/>
      <c r="I1005" s="575"/>
      <c r="J1005" s="575"/>
      <c r="K1005" s="575"/>
    </row>
    <row r="1006" spans="1:11" x14ac:dyDescent="0.2">
      <c r="A1006" s="583"/>
      <c r="B1006" s="640"/>
      <c r="F1006" s="575"/>
      <c r="G1006" s="575"/>
      <c r="H1006" s="575"/>
      <c r="I1006" s="575"/>
      <c r="J1006" s="575"/>
      <c r="K1006" s="575"/>
    </row>
    <row r="1007" spans="1:11" x14ac:dyDescent="0.2">
      <c r="A1007" s="583"/>
      <c r="B1007" s="640"/>
      <c r="F1007" s="575"/>
      <c r="G1007" s="575"/>
      <c r="H1007" s="575"/>
      <c r="I1007" s="575"/>
      <c r="J1007" s="575"/>
      <c r="K1007" s="575"/>
    </row>
    <row r="1008" spans="1:11" x14ac:dyDescent="0.2">
      <c r="A1008" s="583"/>
      <c r="B1008" s="640"/>
      <c r="F1008" s="575"/>
      <c r="G1008" s="575"/>
      <c r="H1008" s="575"/>
      <c r="I1008" s="575"/>
      <c r="J1008" s="575"/>
      <c r="K1008" s="575"/>
    </row>
    <row r="1009" spans="1:11" x14ac:dyDescent="0.2">
      <c r="A1009" s="583"/>
      <c r="B1009" s="640"/>
      <c r="F1009" s="575"/>
      <c r="G1009" s="575"/>
      <c r="H1009" s="575"/>
      <c r="I1009" s="575"/>
      <c r="J1009" s="575"/>
      <c r="K1009" s="575"/>
    </row>
    <row r="1010" spans="1:11" x14ac:dyDescent="0.2">
      <c r="A1010" s="583"/>
      <c r="B1010" s="640"/>
      <c r="F1010" s="575"/>
      <c r="G1010" s="575"/>
      <c r="H1010" s="575"/>
      <c r="I1010" s="575"/>
      <c r="J1010" s="575"/>
      <c r="K1010" s="575"/>
    </row>
    <row r="1011" spans="1:11" x14ac:dyDescent="0.2">
      <c r="A1011" s="583"/>
      <c r="B1011" s="640"/>
      <c r="F1011" s="575"/>
      <c r="G1011" s="575"/>
      <c r="H1011" s="575"/>
      <c r="I1011" s="575"/>
      <c r="J1011" s="575"/>
      <c r="K1011" s="575"/>
    </row>
    <row r="1012" spans="1:11" x14ac:dyDescent="0.2">
      <c r="A1012" s="583"/>
      <c r="B1012" s="640"/>
      <c r="F1012" s="575"/>
      <c r="G1012" s="575"/>
      <c r="H1012" s="575"/>
      <c r="I1012" s="575"/>
      <c r="J1012" s="575"/>
      <c r="K1012" s="575"/>
    </row>
    <row r="1013" spans="1:11" x14ac:dyDescent="0.2">
      <c r="A1013" s="583"/>
      <c r="B1013" s="640"/>
      <c r="F1013" s="575"/>
      <c r="G1013" s="575"/>
      <c r="H1013" s="575"/>
      <c r="I1013" s="575"/>
      <c r="J1013" s="575"/>
      <c r="K1013" s="575"/>
    </row>
    <row r="1014" spans="1:11" x14ac:dyDescent="0.2">
      <c r="A1014" s="583"/>
      <c r="B1014" s="640"/>
      <c r="F1014" s="575"/>
      <c r="G1014" s="575"/>
      <c r="H1014" s="575"/>
      <c r="I1014" s="575"/>
      <c r="J1014" s="575"/>
      <c r="K1014" s="575"/>
    </row>
    <row r="1015" spans="1:11" x14ac:dyDescent="0.2">
      <c r="A1015" s="583"/>
      <c r="B1015" s="640"/>
      <c r="F1015" s="575"/>
      <c r="G1015" s="575"/>
      <c r="H1015" s="575"/>
      <c r="I1015" s="575"/>
      <c r="J1015" s="575"/>
      <c r="K1015" s="575"/>
    </row>
    <row r="1016" spans="1:11" x14ac:dyDescent="0.2">
      <c r="A1016" s="583"/>
      <c r="B1016" s="640"/>
      <c r="F1016" s="575"/>
      <c r="G1016" s="575"/>
      <c r="H1016" s="575"/>
      <c r="I1016" s="575"/>
      <c r="J1016" s="575"/>
      <c r="K1016" s="575"/>
    </row>
    <row r="1017" spans="1:11" x14ac:dyDescent="0.2">
      <c r="A1017" s="583"/>
      <c r="B1017" s="640"/>
      <c r="F1017" s="575"/>
      <c r="G1017" s="575"/>
      <c r="H1017" s="575"/>
      <c r="I1017" s="575"/>
      <c r="J1017" s="575"/>
      <c r="K1017" s="575"/>
    </row>
    <row r="1018" spans="1:11" x14ac:dyDescent="0.2">
      <c r="A1018" s="583"/>
      <c r="B1018" s="640"/>
      <c r="F1018" s="575"/>
      <c r="G1018" s="575"/>
      <c r="H1018" s="575"/>
      <c r="I1018" s="575"/>
      <c r="J1018" s="575"/>
      <c r="K1018" s="575"/>
    </row>
    <row r="1019" spans="1:11" x14ac:dyDescent="0.2">
      <c r="A1019" s="583"/>
      <c r="B1019" s="640"/>
      <c r="F1019" s="575"/>
      <c r="G1019" s="575"/>
      <c r="H1019" s="575"/>
      <c r="I1019" s="575"/>
      <c r="J1019" s="575"/>
      <c r="K1019" s="575"/>
    </row>
    <row r="1020" spans="1:11" x14ac:dyDescent="0.2">
      <c r="A1020" s="583"/>
      <c r="B1020" s="640"/>
      <c r="F1020" s="575"/>
      <c r="G1020" s="575"/>
      <c r="H1020" s="575"/>
      <c r="I1020" s="575"/>
      <c r="J1020" s="575"/>
      <c r="K1020" s="575"/>
    </row>
    <row r="1021" spans="1:11" x14ac:dyDescent="0.2">
      <c r="A1021" s="583"/>
      <c r="B1021" s="640"/>
      <c r="F1021" s="575"/>
      <c r="G1021" s="575"/>
      <c r="H1021" s="575"/>
      <c r="I1021" s="575"/>
      <c r="J1021" s="575"/>
      <c r="K1021" s="575"/>
    </row>
    <row r="1022" spans="1:11" x14ac:dyDescent="0.2">
      <c r="A1022" s="583"/>
      <c r="B1022" s="640"/>
      <c r="F1022" s="575"/>
      <c r="G1022" s="575"/>
      <c r="H1022" s="575"/>
      <c r="I1022" s="575"/>
      <c r="J1022" s="575"/>
      <c r="K1022" s="575"/>
    </row>
    <row r="1023" spans="1:11" x14ac:dyDescent="0.2">
      <c r="A1023" s="583"/>
      <c r="B1023" s="640"/>
      <c r="F1023" s="575"/>
      <c r="G1023" s="575"/>
      <c r="H1023" s="575"/>
      <c r="I1023" s="575"/>
      <c r="J1023" s="575"/>
      <c r="K1023" s="575"/>
    </row>
    <row r="1024" spans="1:11" x14ac:dyDescent="0.2">
      <c r="A1024" s="583"/>
      <c r="B1024" s="640"/>
      <c r="F1024" s="575"/>
      <c r="G1024" s="575"/>
      <c r="H1024" s="575"/>
      <c r="I1024" s="575"/>
      <c r="J1024" s="575"/>
      <c r="K1024" s="575"/>
    </row>
    <row r="1025" spans="1:11" x14ac:dyDescent="0.2">
      <c r="A1025" s="583"/>
      <c r="B1025" s="640"/>
      <c r="F1025" s="575"/>
      <c r="G1025" s="575"/>
      <c r="H1025" s="575"/>
      <c r="I1025" s="575"/>
      <c r="J1025" s="575"/>
      <c r="K1025" s="575"/>
    </row>
    <row r="1026" spans="1:11" x14ac:dyDescent="0.2">
      <c r="A1026" s="583"/>
      <c r="B1026" s="640"/>
      <c r="F1026" s="575"/>
      <c r="G1026" s="575"/>
      <c r="H1026" s="575"/>
      <c r="I1026" s="575"/>
      <c r="J1026" s="575"/>
      <c r="K1026" s="575"/>
    </row>
    <row r="1027" spans="1:11" x14ac:dyDescent="0.2">
      <c r="A1027" s="583"/>
      <c r="B1027" s="640"/>
      <c r="F1027" s="575"/>
      <c r="G1027" s="575"/>
      <c r="H1027" s="575"/>
      <c r="I1027" s="575"/>
      <c r="J1027" s="575"/>
      <c r="K1027" s="575"/>
    </row>
    <row r="1028" spans="1:11" x14ac:dyDescent="0.2">
      <c r="A1028" s="583"/>
      <c r="B1028" s="640"/>
      <c r="F1028" s="575"/>
      <c r="G1028" s="575"/>
      <c r="H1028" s="575"/>
      <c r="I1028" s="575"/>
      <c r="J1028" s="575"/>
      <c r="K1028" s="575"/>
    </row>
    <row r="1029" spans="1:11" x14ac:dyDescent="0.2">
      <c r="A1029" s="583"/>
      <c r="B1029" s="640"/>
      <c r="F1029" s="575"/>
      <c r="G1029" s="575"/>
      <c r="H1029" s="575"/>
      <c r="I1029" s="575"/>
      <c r="J1029" s="575"/>
      <c r="K1029" s="575"/>
    </row>
    <row r="1030" spans="1:11" x14ac:dyDescent="0.2">
      <c r="A1030" s="583"/>
      <c r="B1030" s="640"/>
      <c r="F1030" s="575"/>
      <c r="G1030" s="575"/>
      <c r="H1030" s="575"/>
      <c r="I1030" s="575"/>
      <c r="J1030" s="575"/>
      <c r="K1030" s="575"/>
    </row>
    <row r="1031" spans="1:11" x14ac:dyDescent="0.2">
      <c r="A1031" s="583"/>
      <c r="B1031" s="640"/>
      <c r="F1031" s="575"/>
      <c r="G1031" s="575"/>
      <c r="H1031" s="575"/>
      <c r="I1031" s="575"/>
      <c r="J1031" s="575"/>
      <c r="K1031" s="575"/>
    </row>
    <row r="1032" spans="1:11" x14ac:dyDescent="0.2">
      <c r="A1032" s="583"/>
      <c r="B1032" s="640"/>
      <c r="F1032" s="575"/>
      <c r="G1032" s="575"/>
      <c r="H1032" s="575"/>
      <c r="I1032" s="575"/>
      <c r="J1032" s="575"/>
      <c r="K1032" s="575"/>
    </row>
    <row r="1033" spans="1:11" x14ac:dyDescent="0.2">
      <c r="A1033" s="583"/>
      <c r="B1033" s="640"/>
      <c r="F1033" s="575"/>
      <c r="G1033" s="575"/>
      <c r="H1033" s="575"/>
      <c r="I1033" s="575"/>
      <c r="J1033" s="575"/>
      <c r="K1033" s="575"/>
    </row>
    <row r="1034" spans="1:11" x14ac:dyDescent="0.2">
      <c r="A1034" s="583"/>
      <c r="B1034" s="640"/>
      <c r="F1034" s="575"/>
      <c r="G1034" s="575"/>
      <c r="H1034" s="575"/>
      <c r="I1034" s="575"/>
      <c r="J1034" s="575"/>
      <c r="K1034" s="575"/>
    </row>
    <row r="1035" spans="1:11" x14ac:dyDescent="0.2">
      <c r="A1035" s="583"/>
      <c r="B1035" s="640"/>
      <c r="F1035" s="575"/>
      <c r="G1035" s="575"/>
      <c r="H1035" s="575"/>
      <c r="I1035" s="575"/>
      <c r="J1035" s="575"/>
      <c r="K1035" s="575"/>
    </row>
    <row r="1036" spans="1:11" x14ac:dyDescent="0.2">
      <c r="A1036" s="583"/>
      <c r="B1036" s="640"/>
      <c r="F1036" s="575"/>
      <c r="G1036" s="575"/>
      <c r="H1036" s="575"/>
      <c r="I1036" s="575"/>
      <c r="J1036" s="575"/>
      <c r="K1036" s="575"/>
    </row>
    <row r="1037" spans="1:11" x14ac:dyDescent="0.2">
      <c r="A1037" s="583"/>
      <c r="B1037" s="640"/>
      <c r="F1037" s="575"/>
      <c r="G1037" s="575"/>
      <c r="H1037" s="575"/>
      <c r="I1037" s="575"/>
      <c r="J1037" s="575"/>
      <c r="K1037" s="575"/>
    </row>
    <row r="1038" spans="1:11" x14ac:dyDescent="0.2">
      <c r="A1038" s="583"/>
      <c r="B1038" s="640"/>
      <c r="F1038" s="575"/>
      <c r="G1038" s="575"/>
      <c r="H1038" s="575"/>
      <c r="I1038" s="575"/>
      <c r="J1038" s="575"/>
      <c r="K1038" s="575"/>
    </row>
    <row r="1039" spans="1:11" x14ac:dyDescent="0.2">
      <c r="A1039" s="583"/>
      <c r="B1039" s="640"/>
      <c r="F1039" s="575"/>
      <c r="G1039" s="575"/>
      <c r="H1039" s="575"/>
      <c r="I1039" s="575"/>
      <c r="J1039" s="575"/>
      <c r="K1039" s="575"/>
    </row>
    <row r="1040" spans="1:11" x14ac:dyDescent="0.2">
      <c r="A1040" s="583"/>
      <c r="B1040" s="640"/>
      <c r="F1040" s="575"/>
      <c r="G1040" s="575"/>
      <c r="H1040" s="575"/>
      <c r="I1040" s="575"/>
      <c r="J1040" s="575"/>
      <c r="K1040" s="575"/>
    </row>
    <row r="1041" spans="1:11" x14ac:dyDescent="0.2">
      <c r="A1041" s="583"/>
      <c r="B1041" s="640"/>
      <c r="F1041" s="575"/>
      <c r="G1041" s="575"/>
      <c r="H1041" s="575"/>
      <c r="I1041" s="575"/>
      <c r="J1041" s="575"/>
      <c r="K1041" s="575"/>
    </row>
    <row r="1042" spans="1:11" x14ac:dyDescent="0.2">
      <c r="A1042" s="583"/>
      <c r="B1042" s="640"/>
      <c r="F1042" s="575"/>
      <c r="G1042" s="575"/>
      <c r="H1042" s="575"/>
      <c r="I1042" s="575"/>
      <c r="J1042" s="575"/>
      <c r="K1042" s="575"/>
    </row>
    <row r="1043" spans="1:11" x14ac:dyDescent="0.2">
      <c r="A1043" s="583"/>
      <c r="B1043" s="640"/>
      <c r="F1043" s="575"/>
      <c r="G1043" s="575"/>
      <c r="H1043" s="575"/>
      <c r="I1043" s="575"/>
      <c r="J1043" s="575"/>
      <c r="K1043" s="575"/>
    </row>
    <row r="1044" spans="1:11" x14ac:dyDescent="0.2">
      <c r="A1044" s="583"/>
      <c r="B1044" s="640"/>
      <c r="F1044" s="575"/>
      <c r="G1044" s="575"/>
      <c r="H1044" s="575"/>
      <c r="I1044" s="575"/>
      <c r="J1044" s="575"/>
      <c r="K1044" s="575"/>
    </row>
    <row r="1045" spans="1:11" x14ac:dyDescent="0.2">
      <c r="A1045" s="583"/>
      <c r="B1045" s="640"/>
      <c r="F1045" s="575"/>
      <c r="G1045" s="575"/>
      <c r="H1045" s="575"/>
      <c r="I1045" s="575"/>
      <c r="J1045" s="575"/>
      <c r="K1045" s="575"/>
    </row>
    <row r="1046" spans="1:11" x14ac:dyDescent="0.2">
      <c r="A1046" s="583"/>
      <c r="B1046" s="640"/>
      <c r="F1046" s="575"/>
      <c r="G1046" s="575"/>
      <c r="H1046" s="575"/>
      <c r="I1046" s="575"/>
      <c r="J1046" s="575"/>
      <c r="K1046" s="575"/>
    </row>
    <row r="1047" spans="1:11" x14ac:dyDescent="0.2">
      <c r="A1047" s="583"/>
      <c r="B1047" s="640"/>
      <c r="F1047" s="575"/>
      <c r="G1047" s="575"/>
      <c r="H1047" s="575"/>
      <c r="I1047" s="575"/>
      <c r="J1047" s="575"/>
      <c r="K1047" s="575"/>
    </row>
    <row r="1048" spans="1:11" x14ac:dyDescent="0.2">
      <c r="A1048" s="583"/>
      <c r="B1048" s="640"/>
      <c r="F1048" s="575"/>
      <c r="G1048" s="575"/>
      <c r="H1048" s="575"/>
      <c r="I1048" s="575"/>
      <c r="J1048" s="575"/>
      <c r="K1048" s="575"/>
    </row>
    <row r="1049" spans="1:11" x14ac:dyDescent="0.2">
      <c r="A1049" s="583"/>
      <c r="B1049" s="640"/>
      <c r="F1049" s="575"/>
      <c r="G1049" s="575"/>
      <c r="H1049" s="575"/>
      <c r="I1049" s="575"/>
      <c r="J1049" s="575"/>
      <c r="K1049" s="575"/>
    </row>
    <row r="1050" spans="1:11" x14ac:dyDescent="0.2">
      <c r="A1050" s="583"/>
      <c r="B1050" s="640"/>
      <c r="F1050" s="575"/>
      <c r="G1050" s="575"/>
      <c r="H1050" s="575"/>
      <c r="I1050" s="575"/>
      <c r="J1050" s="575"/>
      <c r="K1050" s="575"/>
    </row>
    <row r="1051" spans="1:11" x14ac:dyDescent="0.2">
      <c r="A1051" s="583"/>
      <c r="B1051" s="640"/>
      <c r="F1051" s="575"/>
      <c r="G1051" s="575"/>
      <c r="H1051" s="575"/>
      <c r="I1051" s="575"/>
      <c r="J1051" s="575"/>
      <c r="K1051" s="575"/>
    </row>
    <row r="1052" spans="1:11" x14ac:dyDescent="0.2">
      <c r="A1052" s="583"/>
      <c r="B1052" s="640"/>
      <c r="F1052" s="575"/>
      <c r="G1052" s="575"/>
      <c r="H1052" s="575"/>
      <c r="I1052" s="575"/>
      <c r="J1052" s="575"/>
      <c r="K1052" s="575"/>
    </row>
    <row r="1053" spans="1:11" x14ac:dyDescent="0.2">
      <c r="A1053" s="583"/>
      <c r="B1053" s="640"/>
      <c r="F1053" s="575"/>
      <c r="G1053" s="575"/>
      <c r="H1053" s="575"/>
      <c r="I1053" s="575"/>
      <c r="J1053" s="575"/>
      <c r="K1053" s="575"/>
    </row>
    <row r="1054" spans="1:11" x14ac:dyDescent="0.2">
      <c r="A1054" s="583"/>
      <c r="B1054" s="640"/>
      <c r="F1054" s="575"/>
      <c r="G1054" s="575"/>
      <c r="H1054" s="575"/>
      <c r="I1054" s="575"/>
      <c r="J1054" s="575"/>
      <c r="K1054" s="575"/>
    </row>
    <row r="1055" spans="1:11" x14ac:dyDescent="0.2">
      <c r="A1055" s="583"/>
      <c r="B1055" s="640"/>
      <c r="F1055" s="575"/>
      <c r="G1055" s="575"/>
      <c r="H1055" s="575"/>
      <c r="I1055" s="575"/>
      <c r="J1055" s="575"/>
      <c r="K1055" s="575"/>
    </row>
    <row r="1056" spans="1:11" x14ac:dyDescent="0.2">
      <c r="A1056" s="583"/>
      <c r="B1056" s="640"/>
      <c r="F1056" s="575"/>
      <c r="G1056" s="575"/>
      <c r="H1056" s="575"/>
      <c r="I1056" s="575"/>
      <c r="J1056" s="575"/>
      <c r="K1056" s="575"/>
    </row>
    <row r="1057" spans="1:11" x14ac:dyDescent="0.2">
      <c r="A1057" s="583"/>
      <c r="B1057" s="640"/>
      <c r="F1057" s="575"/>
      <c r="G1057" s="575"/>
      <c r="H1057" s="575"/>
      <c r="I1057" s="575"/>
      <c r="J1057" s="575"/>
      <c r="K1057" s="575"/>
    </row>
    <row r="1058" spans="1:11" x14ac:dyDescent="0.2">
      <c r="A1058" s="583"/>
      <c r="B1058" s="640"/>
      <c r="F1058" s="575"/>
      <c r="G1058" s="575"/>
      <c r="H1058" s="575"/>
      <c r="I1058" s="575"/>
      <c r="J1058" s="575"/>
      <c r="K1058" s="575"/>
    </row>
    <row r="1059" spans="1:11" x14ac:dyDescent="0.2">
      <c r="A1059" s="583"/>
      <c r="B1059" s="640"/>
      <c r="F1059" s="575"/>
      <c r="G1059" s="575"/>
      <c r="H1059" s="575"/>
      <c r="I1059" s="575"/>
      <c r="J1059" s="575"/>
      <c r="K1059" s="575"/>
    </row>
    <row r="1060" spans="1:11" x14ac:dyDescent="0.2">
      <c r="A1060" s="583"/>
      <c r="B1060" s="640"/>
      <c r="F1060" s="575"/>
      <c r="G1060" s="575"/>
      <c r="H1060" s="575"/>
      <c r="I1060" s="575"/>
      <c r="J1060" s="575"/>
      <c r="K1060" s="575"/>
    </row>
    <row r="1061" spans="1:11" x14ac:dyDescent="0.2">
      <c r="A1061" s="583"/>
      <c r="B1061" s="640"/>
      <c r="F1061" s="575"/>
      <c r="G1061" s="575"/>
      <c r="H1061" s="575"/>
      <c r="I1061" s="575"/>
      <c r="J1061" s="575"/>
      <c r="K1061" s="575"/>
    </row>
    <row r="1062" spans="1:11" x14ac:dyDescent="0.2">
      <c r="A1062" s="583"/>
      <c r="B1062" s="640"/>
      <c r="F1062" s="575"/>
      <c r="G1062" s="575"/>
      <c r="H1062" s="575"/>
      <c r="I1062" s="575"/>
      <c r="J1062" s="575"/>
      <c r="K1062" s="575"/>
    </row>
    <row r="1063" spans="1:11" x14ac:dyDescent="0.2">
      <c r="A1063" s="583"/>
      <c r="B1063" s="640"/>
      <c r="F1063" s="575"/>
      <c r="G1063" s="575"/>
      <c r="H1063" s="575"/>
      <c r="I1063" s="575"/>
      <c r="J1063" s="575"/>
      <c r="K1063" s="575"/>
    </row>
    <row r="1064" spans="1:11" x14ac:dyDescent="0.2">
      <c r="A1064" s="583"/>
      <c r="B1064" s="640"/>
      <c r="F1064" s="575"/>
      <c r="G1064" s="575"/>
      <c r="H1064" s="575"/>
      <c r="I1064" s="575"/>
      <c r="J1064" s="575"/>
      <c r="K1064" s="575"/>
    </row>
    <row r="1065" spans="1:11" x14ac:dyDescent="0.2">
      <c r="A1065" s="583"/>
      <c r="B1065" s="640"/>
      <c r="F1065" s="575"/>
      <c r="G1065" s="575"/>
      <c r="H1065" s="575"/>
      <c r="I1065" s="575"/>
      <c r="J1065" s="575"/>
      <c r="K1065" s="575"/>
    </row>
    <row r="1066" spans="1:11" x14ac:dyDescent="0.2">
      <c r="A1066" s="583"/>
      <c r="B1066" s="640"/>
      <c r="F1066" s="575"/>
      <c r="G1066" s="575"/>
      <c r="H1066" s="575"/>
      <c r="I1066" s="575"/>
      <c r="J1066" s="575"/>
      <c r="K1066" s="575"/>
    </row>
    <row r="1067" spans="1:11" x14ac:dyDescent="0.2">
      <c r="A1067" s="583"/>
      <c r="B1067" s="640"/>
      <c r="F1067" s="575"/>
      <c r="G1067" s="575"/>
      <c r="H1067" s="575"/>
      <c r="I1067" s="575"/>
      <c r="J1067" s="575"/>
      <c r="K1067" s="575"/>
    </row>
    <row r="1068" spans="1:11" x14ac:dyDescent="0.2">
      <c r="A1068" s="583"/>
      <c r="B1068" s="640"/>
      <c r="F1068" s="575"/>
      <c r="G1068" s="575"/>
      <c r="H1068" s="575"/>
      <c r="I1068" s="575"/>
      <c r="J1068" s="575"/>
      <c r="K1068" s="575"/>
    </row>
    <row r="1069" spans="1:11" x14ac:dyDescent="0.2">
      <c r="A1069" s="583"/>
      <c r="B1069" s="640"/>
      <c r="F1069" s="575"/>
      <c r="G1069" s="575"/>
      <c r="H1069" s="575"/>
      <c r="I1069" s="575"/>
      <c r="J1069" s="575"/>
      <c r="K1069" s="575"/>
    </row>
    <row r="1070" spans="1:11" x14ac:dyDescent="0.2">
      <c r="A1070" s="583"/>
      <c r="B1070" s="640"/>
      <c r="F1070" s="575"/>
      <c r="G1070" s="575"/>
      <c r="H1070" s="575"/>
      <c r="I1070" s="575"/>
      <c r="J1070" s="575"/>
      <c r="K1070" s="575"/>
    </row>
    <row r="1071" spans="1:11" x14ac:dyDescent="0.2">
      <c r="A1071" s="583"/>
      <c r="B1071" s="640"/>
      <c r="F1071" s="575"/>
      <c r="G1071" s="575"/>
      <c r="H1071" s="575"/>
      <c r="I1071" s="575"/>
      <c r="J1071" s="575"/>
      <c r="K1071" s="575"/>
    </row>
    <row r="1072" spans="1:11" x14ac:dyDescent="0.2">
      <c r="A1072" s="583"/>
      <c r="B1072" s="640"/>
      <c r="F1072" s="575"/>
      <c r="G1072" s="575"/>
      <c r="H1072" s="575"/>
      <c r="I1072" s="575"/>
      <c r="J1072" s="575"/>
      <c r="K1072" s="575"/>
    </row>
    <row r="1073" spans="1:11" x14ac:dyDescent="0.2">
      <c r="A1073" s="583"/>
      <c r="B1073" s="640"/>
      <c r="F1073" s="575"/>
      <c r="G1073" s="575"/>
      <c r="H1073" s="575"/>
      <c r="I1073" s="575"/>
      <c r="J1073" s="575"/>
      <c r="K1073" s="575"/>
    </row>
    <row r="1074" spans="1:11" x14ac:dyDescent="0.2">
      <c r="A1074" s="583"/>
      <c r="B1074" s="640"/>
      <c r="F1074" s="575"/>
      <c r="G1074" s="575"/>
      <c r="H1074" s="575"/>
      <c r="I1074" s="575"/>
      <c r="J1074" s="575"/>
      <c r="K1074" s="575"/>
    </row>
    <row r="1075" spans="1:11" x14ac:dyDescent="0.2">
      <c r="A1075" s="583"/>
      <c r="B1075" s="640"/>
      <c r="F1075" s="575"/>
      <c r="G1075" s="575"/>
      <c r="H1075" s="575"/>
      <c r="I1075" s="575"/>
      <c r="J1075" s="575"/>
      <c r="K1075" s="575"/>
    </row>
    <row r="1076" spans="1:11" x14ac:dyDescent="0.2">
      <c r="A1076" s="583"/>
      <c r="B1076" s="640"/>
      <c r="F1076" s="575"/>
      <c r="G1076" s="575"/>
      <c r="H1076" s="575"/>
      <c r="I1076" s="575"/>
      <c r="J1076" s="575"/>
      <c r="K1076" s="575"/>
    </row>
    <row r="1077" spans="1:11" x14ac:dyDescent="0.2">
      <c r="A1077" s="583"/>
      <c r="B1077" s="640"/>
      <c r="F1077" s="575"/>
      <c r="G1077" s="575"/>
      <c r="H1077" s="575"/>
      <c r="I1077" s="575"/>
      <c r="J1077" s="575"/>
      <c r="K1077" s="575"/>
    </row>
    <row r="1078" spans="1:11" x14ac:dyDescent="0.2">
      <c r="A1078" s="583"/>
      <c r="B1078" s="640"/>
      <c r="F1078" s="575"/>
      <c r="G1078" s="575"/>
      <c r="H1078" s="575"/>
      <c r="I1078" s="575"/>
      <c r="J1078" s="575"/>
      <c r="K1078" s="575"/>
    </row>
    <row r="1079" spans="1:11" x14ac:dyDescent="0.2">
      <c r="A1079" s="583"/>
      <c r="B1079" s="640"/>
      <c r="F1079" s="575"/>
      <c r="G1079" s="575"/>
      <c r="H1079" s="575"/>
      <c r="I1079" s="575"/>
      <c r="J1079" s="575"/>
      <c r="K1079" s="575"/>
    </row>
    <row r="1080" spans="1:11" x14ac:dyDescent="0.2">
      <c r="A1080" s="583"/>
      <c r="B1080" s="640"/>
      <c r="F1080" s="575"/>
      <c r="G1080" s="575"/>
      <c r="H1080" s="575"/>
      <c r="I1080" s="575"/>
      <c r="J1080" s="575"/>
      <c r="K1080" s="575"/>
    </row>
    <row r="1081" spans="1:11" x14ac:dyDescent="0.2">
      <c r="A1081" s="583"/>
      <c r="B1081" s="640"/>
      <c r="F1081" s="575"/>
      <c r="G1081" s="575"/>
      <c r="H1081" s="575"/>
      <c r="I1081" s="575"/>
      <c r="J1081" s="575"/>
      <c r="K1081" s="575"/>
    </row>
    <row r="1082" spans="1:11" x14ac:dyDescent="0.2">
      <c r="A1082" s="583"/>
      <c r="B1082" s="640"/>
      <c r="F1082" s="575"/>
      <c r="G1082" s="575"/>
      <c r="H1082" s="575"/>
      <c r="I1082" s="575"/>
      <c r="J1082" s="575"/>
      <c r="K1082" s="575"/>
    </row>
    <row r="1083" spans="1:11" x14ac:dyDescent="0.2">
      <c r="A1083" s="583"/>
      <c r="B1083" s="640"/>
      <c r="F1083" s="575"/>
      <c r="G1083" s="575"/>
      <c r="H1083" s="575"/>
      <c r="I1083" s="575"/>
      <c r="J1083" s="575"/>
      <c r="K1083" s="575"/>
    </row>
    <row r="1084" spans="1:11" x14ac:dyDescent="0.2">
      <c r="A1084" s="583"/>
      <c r="B1084" s="640"/>
      <c r="F1084" s="575"/>
      <c r="G1084" s="575"/>
      <c r="H1084" s="575"/>
      <c r="I1084" s="575"/>
      <c r="J1084" s="575"/>
      <c r="K1084" s="575"/>
    </row>
    <row r="1085" spans="1:11" x14ac:dyDescent="0.2">
      <c r="A1085" s="583"/>
      <c r="B1085" s="640"/>
      <c r="F1085" s="575"/>
      <c r="G1085" s="575"/>
      <c r="H1085" s="575"/>
      <c r="I1085" s="575"/>
      <c r="J1085" s="575"/>
      <c r="K1085" s="575"/>
    </row>
    <row r="1086" spans="1:11" x14ac:dyDescent="0.2">
      <c r="A1086" s="583"/>
      <c r="B1086" s="640"/>
      <c r="F1086" s="575"/>
      <c r="G1086" s="575"/>
      <c r="H1086" s="575"/>
      <c r="I1086" s="575"/>
      <c r="J1086" s="575"/>
      <c r="K1086" s="575"/>
    </row>
    <row r="1087" spans="1:11" x14ac:dyDescent="0.2">
      <c r="A1087" s="583"/>
      <c r="B1087" s="640"/>
      <c r="F1087" s="575"/>
      <c r="G1087" s="575"/>
      <c r="H1087" s="575"/>
      <c r="I1087" s="575"/>
      <c r="J1087" s="575"/>
      <c r="K1087" s="575"/>
    </row>
    <row r="1088" spans="1:11" x14ac:dyDescent="0.2">
      <c r="A1088" s="583"/>
      <c r="B1088" s="640"/>
      <c r="F1088" s="575"/>
      <c r="G1088" s="575"/>
      <c r="H1088" s="575"/>
      <c r="I1088" s="575"/>
      <c r="J1088" s="575"/>
      <c r="K1088" s="575"/>
    </row>
    <row r="1089" spans="1:11" x14ac:dyDescent="0.2">
      <c r="A1089" s="583"/>
      <c r="B1089" s="640"/>
      <c r="F1089" s="575"/>
      <c r="G1089" s="575"/>
      <c r="H1089" s="575"/>
      <c r="I1089" s="575"/>
      <c r="J1089" s="575"/>
      <c r="K1089" s="575"/>
    </row>
    <row r="1090" spans="1:11" x14ac:dyDescent="0.2">
      <c r="A1090" s="583"/>
      <c r="B1090" s="640"/>
      <c r="F1090" s="575"/>
      <c r="G1090" s="575"/>
      <c r="H1090" s="575"/>
      <c r="I1090" s="575"/>
      <c r="J1090" s="575"/>
      <c r="K1090" s="575"/>
    </row>
    <row r="1091" spans="1:11" x14ac:dyDescent="0.2">
      <c r="A1091" s="583"/>
      <c r="B1091" s="640"/>
      <c r="F1091" s="575"/>
      <c r="G1091" s="575"/>
      <c r="H1091" s="575"/>
      <c r="I1091" s="575"/>
      <c r="J1091" s="575"/>
      <c r="K1091" s="575"/>
    </row>
    <row r="1092" spans="1:11" x14ac:dyDescent="0.2">
      <c r="A1092" s="583"/>
      <c r="B1092" s="640"/>
      <c r="F1092" s="575"/>
      <c r="G1092" s="575"/>
      <c r="H1092" s="575"/>
      <c r="I1092" s="575"/>
      <c r="J1092" s="575"/>
      <c r="K1092" s="575"/>
    </row>
    <row r="1093" spans="1:11" x14ac:dyDescent="0.2">
      <c r="A1093" s="583"/>
      <c r="B1093" s="640"/>
      <c r="F1093" s="575"/>
      <c r="G1093" s="575"/>
      <c r="H1093" s="575"/>
      <c r="I1093" s="575"/>
      <c r="J1093" s="575"/>
      <c r="K1093" s="575"/>
    </row>
    <row r="1094" spans="1:11" x14ac:dyDescent="0.2">
      <c r="A1094" s="583"/>
      <c r="B1094" s="640"/>
      <c r="F1094" s="575"/>
      <c r="G1094" s="575"/>
      <c r="H1094" s="575"/>
      <c r="I1094" s="575"/>
      <c r="J1094" s="575"/>
      <c r="K1094" s="575"/>
    </row>
    <row r="1095" spans="1:11" x14ac:dyDescent="0.2">
      <c r="A1095" s="583"/>
      <c r="B1095" s="640"/>
      <c r="F1095" s="575"/>
      <c r="G1095" s="575"/>
      <c r="H1095" s="575"/>
      <c r="I1095" s="575"/>
      <c r="J1095" s="575"/>
      <c r="K1095" s="575"/>
    </row>
    <row r="1096" spans="1:11" x14ac:dyDescent="0.2">
      <c r="A1096" s="583"/>
      <c r="B1096" s="640"/>
      <c r="F1096" s="575"/>
      <c r="G1096" s="575"/>
      <c r="H1096" s="575"/>
      <c r="I1096" s="575"/>
      <c r="J1096" s="575"/>
      <c r="K1096" s="575"/>
    </row>
    <row r="1097" spans="1:11" x14ac:dyDescent="0.2">
      <c r="A1097" s="583"/>
      <c r="B1097" s="640"/>
      <c r="F1097" s="575"/>
      <c r="G1097" s="575"/>
      <c r="H1097" s="575"/>
      <c r="I1097" s="575"/>
      <c r="J1097" s="575"/>
      <c r="K1097" s="575"/>
    </row>
    <row r="1098" spans="1:11" x14ac:dyDescent="0.2">
      <c r="A1098" s="583"/>
      <c r="B1098" s="640"/>
      <c r="F1098" s="575"/>
      <c r="G1098" s="575"/>
      <c r="H1098" s="575"/>
      <c r="I1098" s="575"/>
      <c r="J1098" s="575"/>
      <c r="K1098" s="575"/>
    </row>
    <row r="1099" spans="1:11" x14ac:dyDescent="0.2">
      <c r="A1099" s="583"/>
      <c r="B1099" s="640"/>
      <c r="F1099" s="575"/>
      <c r="G1099" s="575"/>
      <c r="H1099" s="575"/>
      <c r="I1099" s="575"/>
      <c r="J1099" s="575"/>
      <c r="K1099" s="575"/>
    </row>
    <row r="1100" spans="1:11" x14ac:dyDescent="0.2">
      <c r="A1100" s="583"/>
      <c r="B1100" s="640"/>
      <c r="F1100" s="575"/>
      <c r="G1100" s="575"/>
      <c r="H1100" s="575"/>
      <c r="I1100" s="575"/>
      <c r="J1100" s="575"/>
      <c r="K1100" s="575"/>
    </row>
    <row r="1101" spans="1:11" x14ac:dyDescent="0.2">
      <c r="A1101" s="583"/>
      <c r="B1101" s="640"/>
      <c r="F1101" s="575"/>
      <c r="G1101" s="575"/>
      <c r="H1101" s="575"/>
      <c r="I1101" s="575"/>
      <c r="J1101" s="575"/>
      <c r="K1101" s="575"/>
    </row>
    <row r="1102" spans="1:11" x14ac:dyDescent="0.2">
      <c r="A1102" s="583"/>
      <c r="B1102" s="640"/>
      <c r="F1102" s="575"/>
      <c r="G1102" s="575"/>
      <c r="H1102" s="575"/>
      <c r="I1102" s="575"/>
      <c r="J1102" s="575"/>
      <c r="K1102" s="575"/>
    </row>
    <row r="1103" spans="1:11" x14ac:dyDescent="0.2">
      <c r="A1103" s="583"/>
      <c r="B1103" s="640"/>
      <c r="F1103" s="575"/>
      <c r="G1103" s="575"/>
      <c r="H1103" s="575"/>
      <c r="I1103" s="575"/>
      <c r="J1103" s="575"/>
      <c r="K1103" s="575"/>
    </row>
    <row r="1104" spans="1:11" x14ac:dyDescent="0.2">
      <c r="A1104" s="583"/>
      <c r="B1104" s="640"/>
      <c r="F1104" s="575"/>
      <c r="G1104" s="575"/>
      <c r="H1104" s="575"/>
      <c r="I1104" s="575"/>
      <c r="J1104" s="575"/>
      <c r="K1104" s="575"/>
    </row>
    <row r="1105" spans="1:11" x14ac:dyDescent="0.2">
      <c r="A1105" s="583"/>
      <c r="B1105" s="640"/>
      <c r="F1105" s="575"/>
      <c r="G1105" s="575"/>
      <c r="H1105" s="575"/>
      <c r="I1105" s="575"/>
      <c r="J1105" s="575"/>
      <c r="K1105" s="575"/>
    </row>
    <row r="1106" spans="1:11" x14ac:dyDescent="0.2">
      <c r="A1106" s="583"/>
      <c r="B1106" s="640"/>
      <c r="F1106" s="575"/>
      <c r="G1106" s="575"/>
      <c r="H1106" s="575"/>
      <c r="I1106" s="575"/>
      <c r="J1106" s="575"/>
      <c r="K1106" s="575"/>
    </row>
    <row r="1107" spans="1:11" x14ac:dyDescent="0.2">
      <c r="A1107" s="583"/>
      <c r="B1107" s="640"/>
      <c r="F1107" s="575"/>
      <c r="G1107" s="575"/>
      <c r="H1107" s="575"/>
      <c r="I1107" s="575"/>
      <c r="J1107" s="575"/>
      <c r="K1107" s="575"/>
    </row>
    <row r="1108" spans="1:11" x14ac:dyDescent="0.2">
      <c r="A1108" s="583"/>
      <c r="B1108" s="640"/>
      <c r="F1108" s="575"/>
      <c r="G1108" s="575"/>
      <c r="H1108" s="575"/>
      <c r="I1108" s="575"/>
      <c r="J1108" s="575"/>
      <c r="K1108" s="575"/>
    </row>
    <row r="1109" spans="1:11" x14ac:dyDescent="0.2">
      <c r="A1109" s="583"/>
      <c r="B1109" s="640"/>
      <c r="F1109" s="575"/>
      <c r="G1109" s="575"/>
      <c r="H1109" s="575"/>
      <c r="I1109" s="575"/>
      <c r="J1109" s="575"/>
      <c r="K1109" s="575"/>
    </row>
    <row r="1110" spans="1:11" x14ac:dyDescent="0.2">
      <c r="A1110" s="583"/>
      <c r="B1110" s="640"/>
      <c r="F1110" s="575"/>
      <c r="G1110" s="575"/>
      <c r="H1110" s="575"/>
      <c r="I1110" s="575"/>
      <c r="J1110" s="575"/>
      <c r="K1110" s="575"/>
    </row>
    <row r="1111" spans="1:11" x14ac:dyDescent="0.2">
      <c r="A1111" s="583"/>
      <c r="B1111" s="640"/>
      <c r="F1111" s="575"/>
      <c r="G1111" s="575"/>
      <c r="H1111" s="575"/>
      <c r="I1111" s="575"/>
      <c r="J1111" s="575"/>
      <c r="K1111" s="575"/>
    </row>
    <row r="1112" spans="1:11" x14ac:dyDescent="0.2">
      <c r="A1112" s="583"/>
      <c r="B1112" s="640"/>
      <c r="F1112" s="575"/>
      <c r="G1112" s="575"/>
      <c r="H1112" s="575"/>
      <c r="I1112" s="575"/>
      <c r="J1112" s="575"/>
      <c r="K1112" s="575"/>
    </row>
    <row r="1113" spans="1:11" x14ac:dyDescent="0.2">
      <c r="A1113" s="583"/>
      <c r="B1113" s="640"/>
      <c r="F1113" s="575"/>
      <c r="G1113" s="575"/>
      <c r="H1113" s="575"/>
      <c r="I1113" s="575"/>
      <c r="J1113" s="575"/>
      <c r="K1113" s="575"/>
    </row>
    <row r="1114" spans="1:11" x14ac:dyDescent="0.2">
      <c r="A1114" s="583"/>
      <c r="B1114" s="640"/>
      <c r="F1114" s="575"/>
      <c r="G1114" s="575"/>
      <c r="H1114" s="575"/>
      <c r="I1114" s="575"/>
      <c r="J1114" s="575"/>
      <c r="K1114" s="575"/>
    </row>
    <row r="1115" spans="1:11" x14ac:dyDescent="0.2">
      <c r="A1115" s="583"/>
      <c r="B1115" s="640"/>
      <c r="F1115" s="575"/>
      <c r="G1115" s="575"/>
      <c r="H1115" s="575"/>
      <c r="I1115" s="575"/>
      <c r="J1115" s="575"/>
      <c r="K1115" s="575"/>
    </row>
    <row r="1116" spans="1:11" x14ac:dyDescent="0.2">
      <c r="A1116" s="583"/>
      <c r="B1116" s="640"/>
      <c r="F1116" s="575"/>
      <c r="G1116" s="575"/>
      <c r="H1116" s="575"/>
      <c r="I1116" s="575"/>
      <c r="J1116" s="575"/>
      <c r="K1116" s="575"/>
    </row>
    <row r="1117" spans="1:11" x14ac:dyDescent="0.2">
      <c r="A1117" s="583"/>
      <c r="B1117" s="640"/>
      <c r="F1117" s="575"/>
      <c r="G1117" s="575"/>
      <c r="H1117" s="575"/>
      <c r="I1117" s="575"/>
      <c r="J1117" s="575"/>
      <c r="K1117" s="575"/>
    </row>
    <row r="1118" spans="1:11" x14ac:dyDescent="0.2">
      <c r="A1118" s="583"/>
      <c r="B1118" s="640"/>
      <c r="F1118" s="575"/>
      <c r="G1118" s="575"/>
      <c r="H1118" s="575"/>
      <c r="I1118" s="575"/>
      <c r="J1118" s="575"/>
      <c r="K1118" s="575"/>
    </row>
    <row r="1119" spans="1:11" x14ac:dyDescent="0.2">
      <c r="A1119" s="583"/>
      <c r="B1119" s="640"/>
      <c r="F1119" s="575"/>
      <c r="G1119" s="575"/>
      <c r="H1119" s="575"/>
      <c r="I1119" s="575"/>
      <c r="J1119" s="575"/>
      <c r="K1119" s="575"/>
    </row>
    <row r="1120" spans="1:11" x14ac:dyDescent="0.2">
      <c r="A1120" s="583"/>
      <c r="B1120" s="640"/>
      <c r="F1120" s="575"/>
      <c r="G1120" s="575"/>
      <c r="H1120" s="575"/>
      <c r="I1120" s="575"/>
      <c r="J1120" s="575"/>
      <c r="K1120" s="575"/>
    </row>
    <row r="1121" spans="1:11" x14ac:dyDescent="0.2">
      <c r="A1121" s="583"/>
      <c r="B1121" s="640"/>
      <c r="F1121" s="575"/>
      <c r="G1121" s="575"/>
      <c r="H1121" s="575"/>
      <c r="I1121" s="575"/>
      <c r="J1121" s="575"/>
      <c r="K1121" s="575"/>
    </row>
    <row r="1122" spans="1:11" x14ac:dyDescent="0.2">
      <c r="A1122" s="583"/>
      <c r="B1122" s="640"/>
      <c r="F1122" s="575"/>
      <c r="G1122" s="575"/>
      <c r="H1122" s="575"/>
      <c r="I1122" s="575"/>
      <c r="J1122" s="575"/>
      <c r="K1122" s="575"/>
    </row>
    <row r="1123" spans="1:11" x14ac:dyDescent="0.2">
      <c r="A1123" s="583"/>
      <c r="B1123" s="640"/>
      <c r="F1123" s="575"/>
      <c r="G1123" s="575"/>
      <c r="H1123" s="575"/>
      <c r="I1123" s="575"/>
      <c r="J1123" s="575"/>
      <c r="K1123" s="575"/>
    </row>
    <row r="1124" spans="1:11" x14ac:dyDescent="0.2">
      <c r="A1124" s="583"/>
      <c r="B1124" s="640"/>
      <c r="F1124" s="575"/>
      <c r="G1124" s="575"/>
      <c r="H1124" s="575"/>
      <c r="I1124" s="575"/>
      <c r="J1124" s="575"/>
      <c r="K1124" s="575"/>
    </row>
    <row r="1125" spans="1:11" x14ac:dyDescent="0.2">
      <c r="A1125" s="583"/>
      <c r="B1125" s="640"/>
      <c r="F1125" s="575"/>
      <c r="G1125" s="575"/>
      <c r="H1125" s="575"/>
      <c r="I1125" s="575"/>
      <c r="J1125" s="575"/>
      <c r="K1125" s="575"/>
    </row>
    <row r="1126" spans="1:11" x14ac:dyDescent="0.2">
      <c r="A1126" s="583"/>
      <c r="B1126" s="640"/>
      <c r="F1126" s="575"/>
      <c r="G1126" s="575"/>
      <c r="H1126" s="575"/>
      <c r="I1126" s="575"/>
      <c r="J1126" s="575"/>
      <c r="K1126" s="575"/>
    </row>
    <row r="1127" spans="1:11" x14ac:dyDescent="0.2">
      <c r="A1127" s="583"/>
      <c r="B1127" s="640"/>
      <c r="F1127" s="575"/>
      <c r="G1127" s="575"/>
      <c r="H1127" s="575"/>
      <c r="I1127" s="575"/>
      <c r="J1127" s="575"/>
      <c r="K1127" s="575"/>
    </row>
    <row r="1128" spans="1:11" x14ac:dyDescent="0.2">
      <c r="A1128" s="583"/>
      <c r="B1128" s="640"/>
      <c r="F1128" s="575"/>
      <c r="G1128" s="575"/>
      <c r="H1128" s="575"/>
      <c r="I1128" s="575"/>
      <c r="J1128" s="575"/>
      <c r="K1128" s="575"/>
    </row>
    <row r="1129" spans="1:11" x14ac:dyDescent="0.2">
      <c r="A1129" s="583"/>
      <c r="B1129" s="640"/>
      <c r="F1129" s="575"/>
      <c r="G1129" s="575"/>
      <c r="H1129" s="575"/>
      <c r="I1129" s="575"/>
      <c r="J1129" s="575"/>
      <c r="K1129" s="575"/>
    </row>
    <row r="1130" spans="1:11" x14ac:dyDescent="0.2">
      <c r="A1130" s="583"/>
      <c r="B1130" s="640"/>
      <c r="F1130" s="575"/>
      <c r="G1130" s="575"/>
      <c r="H1130" s="575"/>
      <c r="I1130" s="575"/>
      <c r="J1130" s="575"/>
      <c r="K1130" s="575"/>
    </row>
    <row r="1131" spans="1:11" x14ac:dyDescent="0.2">
      <c r="A1131" s="583"/>
      <c r="B1131" s="640"/>
      <c r="F1131" s="575"/>
      <c r="G1131" s="575"/>
      <c r="H1131" s="575"/>
      <c r="I1131" s="575"/>
      <c r="J1131" s="575"/>
      <c r="K1131" s="575"/>
    </row>
    <row r="1132" spans="1:11" x14ac:dyDescent="0.2">
      <c r="A1132" s="583"/>
      <c r="B1132" s="640"/>
      <c r="F1132" s="575"/>
      <c r="G1132" s="575"/>
      <c r="H1132" s="575"/>
      <c r="I1132" s="575"/>
      <c r="J1132" s="575"/>
      <c r="K1132" s="575"/>
    </row>
    <row r="1133" spans="1:11" x14ac:dyDescent="0.2">
      <c r="A1133" s="583"/>
      <c r="B1133" s="640"/>
      <c r="F1133" s="575"/>
      <c r="G1133" s="575"/>
      <c r="H1133" s="575"/>
      <c r="I1133" s="575"/>
      <c r="J1133" s="575"/>
      <c r="K1133" s="575"/>
    </row>
    <row r="1134" spans="1:11" x14ac:dyDescent="0.2">
      <c r="A1134" s="583"/>
      <c r="B1134" s="640"/>
      <c r="F1134" s="575"/>
      <c r="G1134" s="575"/>
      <c r="H1134" s="575"/>
      <c r="I1134" s="575"/>
      <c r="J1134" s="575"/>
      <c r="K1134" s="575"/>
    </row>
    <row r="1135" spans="1:11" x14ac:dyDescent="0.2">
      <c r="A1135" s="583"/>
      <c r="B1135" s="640"/>
      <c r="F1135" s="575"/>
      <c r="G1135" s="575"/>
      <c r="H1135" s="575"/>
      <c r="I1135" s="575"/>
      <c r="J1135" s="575"/>
      <c r="K1135" s="575"/>
    </row>
    <row r="1136" spans="1:11" x14ac:dyDescent="0.2">
      <c r="A1136" s="583"/>
      <c r="B1136" s="640"/>
      <c r="F1136" s="575"/>
      <c r="G1136" s="575"/>
      <c r="H1136" s="575"/>
      <c r="I1136" s="575"/>
      <c r="J1136" s="575"/>
      <c r="K1136" s="575"/>
    </row>
    <row r="1137" spans="1:11" x14ac:dyDescent="0.2">
      <c r="A1137" s="583"/>
      <c r="B1137" s="640"/>
      <c r="F1137" s="575"/>
      <c r="G1137" s="575"/>
      <c r="H1137" s="575"/>
      <c r="I1137" s="575"/>
      <c r="J1137" s="575"/>
      <c r="K1137" s="575"/>
    </row>
    <row r="1138" spans="1:11" x14ac:dyDescent="0.2">
      <c r="A1138" s="583"/>
      <c r="B1138" s="640"/>
      <c r="F1138" s="575"/>
      <c r="G1138" s="575"/>
      <c r="H1138" s="575"/>
      <c r="I1138" s="575"/>
      <c r="J1138" s="575"/>
      <c r="K1138" s="575"/>
    </row>
    <row r="1139" spans="1:11" x14ac:dyDescent="0.2">
      <c r="A1139" s="583"/>
      <c r="B1139" s="640"/>
      <c r="F1139" s="575"/>
      <c r="G1139" s="575"/>
      <c r="H1139" s="575"/>
      <c r="I1139" s="575"/>
      <c r="J1139" s="575"/>
      <c r="K1139" s="575"/>
    </row>
    <row r="1140" spans="1:11" x14ac:dyDescent="0.2">
      <c r="A1140" s="583"/>
      <c r="B1140" s="640"/>
      <c r="F1140" s="575"/>
      <c r="G1140" s="575"/>
      <c r="H1140" s="575"/>
      <c r="I1140" s="575"/>
      <c r="J1140" s="575"/>
      <c r="K1140" s="575"/>
    </row>
    <row r="1141" spans="1:11" x14ac:dyDescent="0.2">
      <c r="A1141" s="583"/>
      <c r="B1141" s="640"/>
      <c r="F1141" s="575"/>
      <c r="G1141" s="575"/>
      <c r="H1141" s="575"/>
      <c r="I1141" s="575"/>
      <c r="J1141" s="575"/>
      <c r="K1141" s="575"/>
    </row>
    <row r="1142" spans="1:11" x14ac:dyDescent="0.2">
      <c r="A1142" s="583"/>
      <c r="B1142" s="640"/>
      <c r="F1142" s="575"/>
      <c r="G1142" s="575"/>
      <c r="H1142" s="575"/>
      <c r="I1142" s="575"/>
      <c r="J1142" s="575"/>
      <c r="K1142" s="575"/>
    </row>
    <row r="1143" spans="1:11" x14ac:dyDescent="0.2">
      <c r="A1143" s="583"/>
      <c r="B1143" s="640"/>
      <c r="F1143" s="575"/>
      <c r="G1143" s="575"/>
      <c r="H1143" s="575"/>
      <c r="I1143" s="575"/>
      <c r="J1143" s="575"/>
      <c r="K1143" s="575"/>
    </row>
    <row r="1144" spans="1:11" x14ac:dyDescent="0.2">
      <c r="A1144" s="583"/>
      <c r="B1144" s="640"/>
      <c r="F1144" s="575"/>
      <c r="G1144" s="575"/>
      <c r="H1144" s="575"/>
      <c r="I1144" s="575"/>
      <c r="J1144" s="575"/>
      <c r="K1144" s="575"/>
    </row>
    <row r="1145" spans="1:11" x14ac:dyDescent="0.2">
      <c r="A1145" s="583"/>
      <c r="B1145" s="640"/>
      <c r="F1145" s="575"/>
      <c r="G1145" s="575"/>
      <c r="H1145" s="575"/>
      <c r="I1145" s="575"/>
      <c r="J1145" s="575"/>
      <c r="K1145" s="575"/>
    </row>
    <row r="1146" spans="1:11" x14ac:dyDescent="0.2">
      <c r="A1146" s="583"/>
      <c r="B1146" s="640"/>
      <c r="F1146" s="575"/>
      <c r="G1146" s="575"/>
      <c r="H1146" s="575"/>
      <c r="I1146" s="575"/>
      <c r="J1146" s="575"/>
      <c r="K1146" s="575"/>
    </row>
    <row r="1147" spans="1:11" x14ac:dyDescent="0.2">
      <c r="A1147" s="583"/>
      <c r="B1147" s="640"/>
      <c r="F1147" s="575"/>
      <c r="G1147" s="575"/>
      <c r="H1147" s="575"/>
      <c r="I1147" s="575"/>
      <c r="J1147" s="575"/>
      <c r="K1147" s="575"/>
    </row>
    <row r="1148" spans="1:11" x14ac:dyDescent="0.2">
      <c r="A1148" s="583"/>
      <c r="B1148" s="640"/>
      <c r="F1148" s="575"/>
      <c r="G1148" s="575"/>
      <c r="H1148" s="575"/>
      <c r="I1148" s="575"/>
      <c r="J1148" s="575"/>
      <c r="K1148" s="575"/>
    </row>
    <row r="1149" spans="1:11" x14ac:dyDescent="0.2">
      <c r="A1149" s="583"/>
      <c r="B1149" s="640"/>
      <c r="F1149" s="575"/>
      <c r="G1149" s="575"/>
      <c r="H1149" s="575"/>
      <c r="I1149" s="575"/>
      <c r="J1149" s="575"/>
      <c r="K1149" s="575"/>
    </row>
    <row r="1150" spans="1:11" x14ac:dyDescent="0.2">
      <c r="A1150" s="583"/>
      <c r="B1150" s="640"/>
      <c r="F1150" s="575"/>
      <c r="G1150" s="575"/>
      <c r="H1150" s="575"/>
      <c r="I1150" s="575"/>
      <c r="J1150" s="575"/>
      <c r="K1150" s="575"/>
    </row>
    <row r="1151" spans="1:11" x14ac:dyDescent="0.2">
      <c r="A1151" s="583"/>
      <c r="B1151" s="640"/>
      <c r="F1151" s="575"/>
      <c r="G1151" s="575"/>
      <c r="H1151" s="575"/>
      <c r="I1151" s="575"/>
      <c r="J1151" s="575"/>
      <c r="K1151" s="575"/>
    </row>
    <row r="1152" spans="1:11" x14ac:dyDescent="0.2">
      <c r="A1152" s="583"/>
      <c r="B1152" s="640"/>
      <c r="F1152" s="575"/>
      <c r="G1152" s="575"/>
      <c r="H1152" s="575"/>
      <c r="I1152" s="575"/>
      <c r="J1152" s="575"/>
      <c r="K1152" s="575"/>
    </row>
    <row r="1153" spans="1:11" x14ac:dyDescent="0.2">
      <c r="A1153" s="583"/>
      <c r="B1153" s="640"/>
      <c r="F1153" s="575"/>
      <c r="G1153" s="575"/>
      <c r="H1153" s="575"/>
      <c r="I1153" s="575"/>
      <c r="J1153" s="575"/>
      <c r="K1153" s="575"/>
    </row>
    <row r="1154" spans="1:11" x14ac:dyDescent="0.2">
      <c r="A1154" s="583"/>
      <c r="B1154" s="640"/>
      <c r="F1154" s="575"/>
      <c r="G1154" s="575"/>
      <c r="H1154" s="575"/>
      <c r="I1154" s="575"/>
      <c r="J1154" s="575"/>
      <c r="K1154" s="575"/>
    </row>
    <row r="1155" spans="1:11" x14ac:dyDescent="0.2">
      <c r="A1155" s="583"/>
      <c r="B1155" s="640"/>
      <c r="F1155" s="575"/>
      <c r="G1155" s="575"/>
      <c r="H1155" s="575"/>
      <c r="I1155" s="575"/>
      <c r="J1155" s="575"/>
      <c r="K1155" s="575"/>
    </row>
    <row r="1156" spans="1:11" x14ac:dyDescent="0.2">
      <c r="A1156" s="583"/>
      <c r="B1156" s="640"/>
      <c r="F1156" s="575"/>
      <c r="G1156" s="575"/>
      <c r="H1156" s="575"/>
      <c r="I1156" s="575"/>
      <c r="J1156" s="575"/>
      <c r="K1156" s="575"/>
    </row>
    <row r="1157" spans="1:11" x14ac:dyDescent="0.2">
      <c r="A1157" s="583"/>
      <c r="B1157" s="640"/>
      <c r="F1157" s="575"/>
      <c r="G1157" s="575"/>
      <c r="H1157" s="575"/>
      <c r="I1157" s="575"/>
      <c r="J1157" s="575"/>
      <c r="K1157" s="575"/>
    </row>
    <row r="1158" spans="1:11" x14ac:dyDescent="0.2">
      <c r="A1158" s="583"/>
      <c r="B1158" s="640"/>
      <c r="F1158" s="575"/>
      <c r="G1158" s="575"/>
      <c r="H1158" s="575"/>
      <c r="I1158" s="575"/>
      <c r="J1158" s="575"/>
      <c r="K1158" s="575"/>
    </row>
    <row r="1159" spans="1:11" x14ac:dyDescent="0.2">
      <c r="A1159" s="583"/>
      <c r="B1159" s="640"/>
      <c r="F1159" s="575"/>
      <c r="G1159" s="575"/>
      <c r="H1159" s="575"/>
      <c r="I1159" s="575"/>
      <c r="J1159" s="575"/>
      <c r="K1159" s="575"/>
    </row>
    <row r="1160" spans="1:11" x14ac:dyDescent="0.2">
      <c r="A1160" s="583"/>
      <c r="B1160" s="640"/>
      <c r="F1160" s="575"/>
      <c r="G1160" s="575"/>
      <c r="H1160" s="575"/>
      <c r="I1160" s="575"/>
      <c r="J1160" s="575"/>
      <c r="K1160" s="575"/>
    </row>
    <row r="1161" spans="1:11" x14ac:dyDescent="0.2">
      <c r="A1161" s="583"/>
      <c r="B1161" s="640"/>
      <c r="F1161" s="575"/>
      <c r="G1161" s="575"/>
      <c r="H1161" s="575"/>
      <c r="I1161" s="575"/>
      <c r="J1161" s="575"/>
      <c r="K1161" s="575"/>
    </row>
    <row r="1162" spans="1:11" x14ac:dyDescent="0.2">
      <c r="A1162" s="583"/>
      <c r="B1162" s="640"/>
      <c r="F1162" s="575"/>
      <c r="G1162" s="575"/>
      <c r="H1162" s="575"/>
      <c r="I1162" s="575"/>
      <c r="J1162" s="575"/>
      <c r="K1162" s="575"/>
    </row>
    <row r="1163" spans="1:11" x14ac:dyDescent="0.2">
      <c r="A1163" s="583"/>
      <c r="B1163" s="640"/>
      <c r="F1163" s="575"/>
      <c r="G1163" s="575"/>
      <c r="H1163" s="575"/>
      <c r="I1163" s="575"/>
      <c r="J1163" s="575"/>
      <c r="K1163" s="575"/>
    </row>
    <row r="1164" spans="1:11" x14ac:dyDescent="0.2">
      <c r="A1164" s="583"/>
      <c r="B1164" s="640"/>
      <c r="F1164" s="575"/>
      <c r="G1164" s="575"/>
      <c r="H1164" s="575"/>
      <c r="I1164" s="575"/>
      <c r="J1164" s="575"/>
      <c r="K1164" s="575"/>
    </row>
    <row r="1165" spans="1:11" x14ac:dyDescent="0.2">
      <c r="A1165" s="583"/>
      <c r="B1165" s="640"/>
      <c r="F1165" s="575"/>
      <c r="G1165" s="575"/>
      <c r="H1165" s="575"/>
      <c r="I1165" s="575"/>
      <c r="J1165" s="575"/>
      <c r="K1165" s="575"/>
    </row>
    <row r="1166" spans="1:11" x14ac:dyDescent="0.2">
      <c r="A1166" s="583"/>
      <c r="B1166" s="640"/>
      <c r="F1166" s="575"/>
      <c r="G1166" s="575"/>
      <c r="H1166" s="575"/>
      <c r="I1166" s="575"/>
      <c r="J1166" s="575"/>
      <c r="K1166" s="575"/>
    </row>
    <row r="1167" spans="1:11" x14ac:dyDescent="0.2">
      <c r="A1167" s="583"/>
      <c r="B1167" s="640"/>
      <c r="F1167" s="575"/>
      <c r="G1167" s="575"/>
      <c r="H1167" s="575"/>
      <c r="I1167" s="575"/>
      <c r="J1167" s="575"/>
      <c r="K1167" s="575"/>
    </row>
    <row r="1168" spans="1:11" x14ac:dyDescent="0.2">
      <c r="A1168" s="583"/>
      <c r="B1168" s="640"/>
      <c r="F1168" s="575"/>
      <c r="G1168" s="575"/>
      <c r="H1168" s="575"/>
      <c r="I1168" s="575"/>
      <c r="J1168" s="575"/>
      <c r="K1168" s="575"/>
    </row>
    <row r="1169" spans="1:11" x14ac:dyDescent="0.2">
      <c r="A1169" s="583"/>
      <c r="B1169" s="640"/>
      <c r="F1169" s="575"/>
      <c r="G1169" s="575"/>
      <c r="H1169" s="575"/>
      <c r="I1169" s="575"/>
      <c r="J1169" s="575"/>
      <c r="K1169" s="575"/>
    </row>
    <row r="1170" spans="1:11" x14ac:dyDescent="0.2">
      <c r="A1170" s="583"/>
      <c r="B1170" s="640"/>
      <c r="F1170" s="575"/>
      <c r="G1170" s="575"/>
      <c r="H1170" s="575"/>
      <c r="I1170" s="575"/>
      <c r="J1170" s="575"/>
      <c r="K1170" s="575"/>
    </row>
    <row r="1171" spans="1:11" x14ac:dyDescent="0.2">
      <c r="A1171" s="583"/>
      <c r="B1171" s="640"/>
      <c r="F1171" s="575"/>
      <c r="G1171" s="575"/>
      <c r="H1171" s="575"/>
      <c r="I1171" s="575"/>
      <c r="J1171" s="575"/>
      <c r="K1171" s="575"/>
    </row>
    <row r="1172" spans="1:11" x14ac:dyDescent="0.2">
      <c r="A1172" s="583"/>
      <c r="B1172" s="640"/>
      <c r="F1172" s="575"/>
      <c r="G1172" s="575"/>
      <c r="H1172" s="575"/>
      <c r="I1172" s="575"/>
      <c r="J1172" s="575"/>
      <c r="K1172" s="575"/>
    </row>
    <row r="1173" spans="1:11" x14ac:dyDescent="0.2">
      <c r="A1173" s="583"/>
      <c r="B1173" s="640"/>
      <c r="F1173" s="575"/>
      <c r="G1173" s="575"/>
      <c r="H1173" s="575"/>
      <c r="I1173" s="575"/>
      <c r="J1173" s="575"/>
      <c r="K1173" s="575"/>
    </row>
    <row r="1174" spans="1:11" x14ac:dyDescent="0.2">
      <c r="A1174" s="583"/>
      <c r="B1174" s="640"/>
      <c r="F1174" s="575"/>
      <c r="G1174" s="575"/>
      <c r="H1174" s="575"/>
      <c r="I1174" s="575"/>
      <c r="J1174" s="575"/>
      <c r="K1174" s="575"/>
    </row>
    <row r="1175" spans="1:11" x14ac:dyDescent="0.2">
      <c r="A1175" s="583"/>
      <c r="B1175" s="640"/>
      <c r="F1175" s="575"/>
      <c r="G1175" s="575"/>
      <c r="H1175" s="575"/>
      <c r="I1175" s="575"/>
      <c r="J1175" s="575"/>
      <c r="K1175" s="575"/>
    </row>
    <row r="1176" spans="1:11" x14ac:dyDescent="0.2">
      <c r="A1176" s="583"/>
      <c r="B1176" s="640"/>
      <c r="F1176" s="575"/>
      <c r="G1176" s="575"/>
      <c r="H1176" s="575"/>
      <c r="I1176" s="575"/>
      <c r="J1176" s="575"/>
      <c r="K1176" s="575"/>
    </row>
    <row r="1177" spans="1:11" x14ac:dyDescent="0.2">
      <c r="A1177" s="583"/>
      <c r="B1177" s="640"/>
      <c r="F1177" s="575"/>
      <c r="G1177" s="575"/>
      <c r="H1177" s="575"/>
      <c r="I1177" s="575"/>
      <c r="J1177" s="575"/>
      <c r="K1177" s="575"/>
    </row>
    <row r="1178" spans="1:11" x14ac:dyDescent="0.2">
      <c r="A1178" s="583"/>
      <c r="B1178" s="640"/>
      <c r="F1178" s="575"/>
      <c r="G1178" s="575"/>
      <c r="H1178" s="575"/>
      <c r="I1178" s="575"/>
      <c r="J1178" s="575"/>
      <c r="K1178" s="575"/>
    </row>
    <row r="1179" spans="1:11" x14ac:dyDescent="0.2">
      <c r="A1179" s="583"/>
      <c r="B1179" s="640"/>
      <c r="F1179" s="575"/>
      <c r="G1179" s="575"/>
      <c r="H1179" s="575"/>
      <c r="I1179" s="575"/>
      <c r="J1179" s="575"/>
      <c r="K1179" s="575"/>
    </row>
    <row r="1180" spans="1:11" x14ac:dyDescent="0.2">
      <c r="A1180" s="583"/>
      <c r="B1180" s="640"/>
      <c r="F1180" s="575"/>
      <c r="G1180" s="575"/>
      <c r="H1180" s="575"/>
      <c r="I1180" s="575"/>
      <c r="J1180" s="575"/>
      <c r="K1180" s="575"/>
    </row>
    <row r="1181" spans="1:11" x14ac:dyDescent="0.2">
      <c r="A1181" s="583"/>
      <c r="B1181" s="640"/>
      <c r="F1181" s="575"/>
      <c r="G1181" s="575"/>
      <c r="H1181" s="575"/>
      <c r="I1181" s="575"/>
      <c r="J1181" s="575"/>
      <c r="K1181" s="575"/>
    </row>
    <row r="1182" spans="1:11" x14ac:dyDescent="0.2">
      <c r="A1182" s="583"/>
      <c r="B1182" s="640"/>
      <c r="F1182" s="575"/>
      <c r="G1182" s="575"/>
      <c r="H1182" s="575"/>
      <c r="I1182" s="575"/>
      <c r="J1182" s="575"/>
      <c r="K1182" s="575"/>
    </row>
    <row r="1183" spans="1:11" x14ac:dyDescent="0.2">
      <c r="A1183" s="583"/>
      <c r="B1183" s="640"/>
      <c r="F1183" s="575"/>
      <c r="G1183" s="575"/>
      <c r="H1183" s="575"/>
      <c r="I1183" s="575"/>
      <c r="J1183" s="575"/>
      <c r="K1183" s="575"/>
    </row>
    <row r="1184" spans="1:11" x14ac:dyDescent="0.2">
      <c r="A1184" s="583"/>
      <c r="B1184" s="640"/>
      <c r="F1184" s="575"/>
      <c r="G1184" s="575"/>
      <c r="H1184" s="575"/>
      <c r="I1184" s="575"/>
      <c r="J1184" s="575"/>
      <c r="K1184" s="575"/>
    </row>
    <row r="1185" spans="1:11" x14ac:dyDescent="0.2">
      <c r="A1185" s="583"/>
      <c r="B1185" s="640"/>
      <c r="F1185" s="575"/>
      <c r="G1185" s="575"/>
      <c r="H1185" s="575"/>
      <c r="I1185" s="575"/>
      <c r="J1185" s="575"/>
      <c r="K1185" s="575"/>
    </row>
    <row r="1186" spans="1:11" x14ac:dyDescent="0.2">
      <c r="A1186" s="583"/>
      <c r="B1186" s="640"/>
      <c r="F1186" s="575"/>
      <c r="G1186" s="575"/>
      <c r="H1186" s="575"/>
      <c r="I1186" s="575"/>
      <c r="J1186" s="575"/>
      <c r="K1186" s="575"/>
    </row>
    <row r="1187" spans="1:11" x14ac:dyDescent="0.2">
      <c r="A1187" s="583"/>
      <c r="B1187" s="640"/>
      <c r="F1187" s="575"/>
      <c r="G1187" s="575"/>
      <c r="H1187" s="575"/>
      <c r="I1187" s="575"/>
      <c r="J1187" s="575"/>
      <c r="K1187" s="575"/>
    </row>
    <row r="1188" spans="1:11" x14ac:dyDescent="0.2">
      <c r="A1188" s="583"/>
      <c r="B1188" s="640"/>
      <c r="F1188" s="575"/>
      <c r="G1188" s="575"/>
      <c r="H1188" s="575"/>
      <c r="I1188" s="575"/>
      <c r="J1188" s="575"/>
      <c r="K1188" s="575"/>
    </row>
    <row r="1189" spans="1:11" x14ac:dyDescent="0.2">
      <c r="A1189" s="583"/>
      <c r="B1189" s="640"/>
      <c r="F1189" s="575"/>
      <c r="G1189" s="575"/>
      <c r="H1189" s="575"/>
      <c r="I1189" s="575"/>
      <c r="J1189" s="575"/>
      <c r="K1189" s="575"/>
    </row>
    <row r="1190" spans="1:11" x14ac:dyDescent="0.2">
      <c r="A1190" s="583"/>
      <c r="B1190" s="640"/>
      <c r="F1190" s="575"/>
      <c r="G1190" s="575"/>
      <c r="H1190" s="575"/>
      <c r="I1190" s="575"/>
      <c r="J1190" s="575"/>
      <c r="K1190" s="575"/>
    </row>
    <row r="1191" spans="1:11" x14ac:dyDescent="0.2">
      <c r="A1191" s="583"/>
      <c r="B1191" s="640"/>
      <c r="F1191" s="575"/>
      <c r="G1191" s="575"/>
      <c r="H1191" s="575"/>
      <c r="I1191" s="575"/>
      <c r="J1191" s="575"/>
      <c r="K1191" s="575"/>
    </row>
    <row r="1192" spans="1:11" x14ac:dyDescent="0.2">
      <c r="A1192" s="583"/>
      <c r="B1192" s="640"/>
      <c r="F1192" s="575"/>
      <c r="G1192" s="575"/>
      <c r="H1192" s="575"/>
      <c r="I1192" s="575"/>
      <c r="J1192" s="575"/>
      <c r="K1192" s="575"/>
    </row>
    <row r="1193" spans="1:11" x14ac:dyDescent="0.2">
      <c r="A1193" s="583"/>
      <c r="B1193" s="640"/>
      <c r="F1193" s="575"/>
      <c r="G1193" s="575"/>
      <c r="H1193" s="575"/>
      <c r="I1193" s="575"/>
      <c r="J1193" s="575"/>
      <c r="K1193" s="575"/>
    </row>
    <row r="1194" spans="1:11" x14ac:dyDescent="0.2">
      <c r="A1194" s="583"/>
      <c r="B1194" s="640"/>
      <c r="F1194" s="575"/>
      <c r="G1194" s="575"/>
      <c r="H1194" s="575"/>
      <c r="I1194" s="575"/>
      <c r="J1194" s="575"/>
      <c r="K1194" s="575"/>
    </row>
    <row r="1195" spans="1:11" x14ac:dyDescent="0.2">
      <c r="A1195" s="583"/>
      <c r="B1195" s="640"/>
      <c r="F1195" s="575"/>
      <c r="G1195" s="575"/>
      <c r="H1195" s="575"/>
      <c r="I1195" s="575"/>
      <c r="J1195" s="575"/>
      <c r="K1195" s="575"/>
    </row>
    <row r="1196" spans="1:11" x14ac:dyDescent="0.2">
      <c r="A1196" s="583"/>
      <c r="B1196" s="640"/>
      <c r="F1196" s="575"/>
      <c r="G1196" s="575"/>
      <c r="H1196" s="575"/>
      <c r="I1196" s="575"/>
      <c r="J1196" s="575"/>
      <c r="K1196" s="575"/>
    </row>
    <row r="1197" spans="1:11" x14ac:dyDescent="0.2">
      <c r="A1197" s="583"/>
      <c r="B1197" s="640"/>
      <c r="F1197" s="575"/>
      <c r="G1197" s="575"/>
      <c r="H1197" s="575"/>
      <c r="I1197" s="575"/>
      <c r="J1197" s="575"/>
      <c r="K1197" s="575"/>
    </row>
    <row r="1198" spans="1:11" x14ac:dyDescent="0.2">
      <c r="A1198" s="583"/>
      <c r="B1198" s="640"/>
      <c r="F1198" s="575"/>
      <c r="G1198" s="575"/>
      <c r="H1198" s="575"/>
      <c r="I1198" s="575"/>
      <c r="J1198" s="575"/>
      <c r="K1198" s="575"/>
    </row>
    <row r="1199" spans="1:11" x14ac:dyDescent="0.2">
      <c r="A1199" s="583"/>
      <c r="B1199" s="640"/>
      <c r="F1199" s="575"/>
      <c r="G1199" s="575"/>
      <c r="H1199" s="575"/>
      <c r="I1199" s="575"/>
      <c r="J1199" s="575"/>
      <c r="K1199" s="575"/>
    </row>
    <row r="1200" spans="1:11" x14ac:dyDescent="0.2">
      <c r="A1200" s="583"/>
      <c r="B1200" s="640"/>
      <c r="F1200" s="575"/>
      <c r="G1200" s="575"/>
      <c r="H1200" s="575"/>
      <c r="I1200" s="575"/>
      <c r="J1200" s="575"/>
      <c r="K1200" s="575"/>
    </row>
    <row r="1201" spans="1:11" x14ac:dyDescent="0.2">
      <c r="A1201" s="583"/>
      <c r="B1201" s="640"/>
      <c r="F1201" s="575"/>
      <c r="G1201" s="575"/>
      <c r="H1201" s="575"/>
      <c r="I1201" s="575"/>
      <c r="J1201" s="575"/>
      <c r="K1201" s="575"/>
    </row>
    <row r="1202" spans="1:11" x14ac:dyDescent="0.2">
      <c r="A1202" s="583"/>
      <c r="B1202" s="640"/>
      <c r="F1202" s="575"/>
      <c r="G1202" s="575"/>
      <c r="H1202" s="575"/>
      <c r="I1202" s="575"/>
      <c r="J1202" s="575"/>
      <c r="K1202" s="575"/>
    </row>
    <row r="1203" spans="1:11" x14ac:dyDescent="0.2">
      <c r="A1203" s="583"/>
      <c r="B1203" s="640"/>
      <c r="F1203" s="575"/>
      <c r="G1203" s="575"/>
      <c r="H1203" s="575"/>
      <c r="I1203" s="575"/>
      <c r="J1203" s="575"/>
      <c r="K1203" s="575"/>
    </row>
    <row r="1204" spans="1:11" x14ac:dyDescent="0.2">
      <c r="A1204" s="583"/>
      <c r="B1204" s="640"/>
      <c r="F1204" s="575"/>
      <c r="G1204" s="575"/>
      <c r="H1204" s="575"/>
      <c r="I1204" s="575"/>
      <c r="J1204" s="575"/>
      <c r="K1204" s="575"/>
    </row>
    <row r="1205" spans="1:11" x14ac:dyDescent="0.2">
      <c r="A1205" s="583"/>
      <c r="B1205" s="640"/>
      <c r="F1205" s="575"/>
      <c r="G1205" s="575"/>
      <c r="H1205" s="575"/>
      <c r="I1205" s="575"/>
      <c r="J1205" s="575"/>
      <c r="K1205" s="575"/>
    </row>
    <row r="1206" spans="1:11" x14ac:dyDescent="0.2">
      <c r="A1206" s="583"/>
      <c r="B1206" s="640"/>
      <c r="F1206" s="575"/>
      <c r="G1206" s="575"/>
      <c r="H1206" s="575"/>
      <c r="I1206" s="575"/>
      <c r="J1206" s="575"/>
      <c r="K1206" s="575"/>
    </row>
    <row r="1207" spans="1:11" x14ac:dyDescent="0.2">
      <c r="A1207" s="583"/>
      <c r="B1207" s="640"/>
      <c r="F1207" s="575"/>
      <c r="G1207" s="575"/>
      <c r="H1207" s="575"/>
      <c r="I1207" s="575"/>
      <c r="J1207" s="575"/>
      <c r="K1207" s="575"/>
    </row>
    <row r="1208" spans="1:11" x14ac:dyDescent="0.2">
      <c r="A1208" s="583"/>
      <c r="B1208" s="640"/>
      <c r="F1208" s="575"/>
      <c r="G1208" s="575"/>
      <c r="H1208" s="575"/>
      <c r="I1208" s="575"/>
      <c r="J1208" s="575"/>
      <c r="K1208" s="575"/>
    </row>
    <row r="1209" spans="1:11" x14ac:dyDescent="0.2">
      <c r="A1209" s="583"/>
      <c r="B1209" s="640"/>
      <c r="F1209" s="575"/>
      <c r="G1209" s="575"/>
      <c r="H1209" s="575"/>
      <c r="I1209" s="575"/>
      <c r="J1209" s="575"/>
      <c r="K1209" s="575"/>
    </row>
    <row r="1210" spans="1:11" x14ac:dyDescent="0.2">
      <c r="A1210" s="583"/>
      <c r="B1210" s="640"/>
      <c r="F1210" s="575"/>
      <c r="G1210" s="575"/>
      <c r="H1210" s="575"/>
      <c r="I1210" s="575"/>
      <c r="J1210" s="575"/>
      <c r="K1210" s="575"/>
    </row>
    <row r="1211" spans="1:11" x14ac:dyDescent="0.2">
      <c r="A1211" s="583"/>
      <c r="B1211" s="640"/>
      <c r="F1211" s="575"/>
      <c r="G1211" s="575"/>
      <c r="H1211" s="575"/>
      <c r="I1211" s="575"/>
      <c r="J1211" s="575"/>
      <c r="K1211" s="575"/>
    </row>
    <row r="1212" spans="1:11" x14ac:dyDescent="0.2">
      <c r="A1212" s="583"/>
      <c r="B1212" s="640"/>
      <c r="F1212" s="575"/>
      <c r="G1212" s="575"/>
      <c r="H1212" s="575"/>
      <c r="I1212" s="575"/>
      <c r="J1212" s="575"/>
      <c r="K1212" s="575"/>
    </row>
    <row r="1213" spans="1:11" x14ac:dyDescent="0.2">
      <c r="A1213" s="583"/>
      <c r="B1213" s="640"/>
      <c r="F1213" s="575"/>
      <c r="G1213" s="575"/>
      <c r="H1213" s="575"/>
      <c r="I1213" s="575"/>
      <c r="J1213" s="575"/>
      <c r="K1213" s="575"/>
    </row>
    <row r="1214" spans="1:11" x14ac:dyDescent="0.2">
      <c r="A1214" s="583"/>
      <c r="B1214" s="640"/>
      <c r="F1214" s="575"/>
      <c r="G1214" s="575"/>
      <c r="H1214" s="575"/>
      <c r="I1214" s="575"/>
      <c r="J1214" s="575"/>
      <c r="K1214" s="575"/>
    </row>
    <row r="1215" spans="1:11" x14ac:dyDescent="0.2">
      <c r="A1215" s="583"/>
      <c r="B1215" s="640"/>
      <c r="F1215" s="575"/>
      <c r="G1215" s="575"/>
      <c r="H1215" s="575"/>
      <c r="I1215" s="575"/>
      <c r="J1215" s="575"/>
      <c r="K1215" s="575"/>
    </row>
    <row r="1216" spans="1:11" x14ac:dyDescent="0.2">
      <c r="A1216" s="583"/>
      <c r="B1216" s="640"/>
      <c r="F1216" s="575"/>
      <c r="G1216" s="575"/>
      <c r="H1216" s="575"/>
      <c r="I1216" s="575"/>
      <c r="J1216" s="575"/>
      <c r="K1216" s="575"/>
    </row>
    <row r="1217" spans="1:11" x14ac:dyDescent="0.2">
      <c r="A1217" s="583"/>
      <c r="B1217" s="640"/>
      <c r="F1217" s="575"/>
      <c r="G1217" s="575"/>
      <c r="H1217" s="575"/>
      <c r="I1217" s="575"/>
      <c r="J1217" s="575"/>
      <c r="K1217" s="575"/>
    </row>
    <row r="1218" spans="1:11" x14ac:dyDescent="0.2">
      <c r="A1218" s="583"/>
      <c r="B1218" s="640"/>
      <c r="F1218" s="575"/>
      <c r="G1218" s="575"/>
      <c r="H1218" s="575"/>
      <c r="I1218" s="575"/>
      <c r="J1218" s="575"/>
      <c r="K1218" s="575"/>
    </row>
    <row r="1219" spans="1:11" x14ac:dyDescent="0.2">
      <c r="A1219" s="583"/>
      <c r="B1219" s="640"/>
      <c r="F1219" s="575"/>
      <c r="G1219" s="575"/>
      <c r="H1219" s="575"/>
      <c r="I1219" s="575"/>
      <c r="J1219" s="575"/>
      <c r="K1219" s="575"/>
    </row>
    <row r="1220" spans="1:11" x14ac:dyDescent="0.2">
      <c r="A1220" s="583"/>
      <c r="B1220" s="640"/>
      <c r="F1220" s="575"/>
      <c r="G1220" s="575"/>
      <c r="H1220" s="575"/>
      <c r="I1220" s="575"/>
      <c r="J1220" s="575"/>
      <c r="K1220" s="575"/>
    </row>
    <row r="1221" spans="1:11" x14ac:dyDescent="0.2">
      <c r="A1221" s="583"/>
      <c r="B1221" s="640"/>
      <c r="F1221" s="575"/>
      <c r="G1221" s="575"/>
      <c r="H1221" s="575"/>
      <c r="I1221" s="575"/>
      <c r="J1221" s="575"/>
      <c r="K1221" s="575"/>
    </row>
    <row r="1222" spans="1:11" x14ac:dyDescent="0.2">
      <c r="A1222" s="583"/>
      <c r="B1222" s="640"/>
      <c r="F1222" s="575"/>
      <c r="G1222" s="575"/>
      <c r="H1222" s="575"/>
      <c r="I1222" s="575"/>
      <c r="J1222" s="575"/>
      <c r="K1222" s="575"/>
    </row>
    <row r="1223" spans="1:11" x14ac:dyDescent="0.2">
      <c r="A1223" s="583"/>
      <c r="B1223" s="640"/>
      <c r="F1223" s="575"/>
      <c r="G1223" s="575"/>
      <c r="H1223" s="575"/>
      <c r="I1223" s="575"/>
      <c r="J1223" s="575"/>
      <c r="K1223" s="575"/>
    </row>
    <row r="1224" spans="1:11" x14ac:dyDescent="0.2">
      <c r="A1224" s="583"/>
      <c r="B1224" s="640"/>
      <c r="F1224" s="575"/>
      <c r="G1224" s="575"/>
      <c r="H1224" s="575"/>
      <c r="I1224" s="575"/>
      <c r="J1224" s="575"/>
      <c r="K1224" s="575"/>
    </row>
    <row r="1225" spans="1:11" x14ac:dyDescent="0.2">
      <c r="A1225" s="583"/>
      <c r="B1225" s="640"/>
      <c r="F1225" s="575"/>
      <c r="G1225" s="575"/>
      <c r="H1225" s="575"/>
      <c r="I1225" s="575"/>
      <c r="J1225" s="575"/>
      <c r="K1225" s="575"/>
    </row>
    <row r="1226" spans="1:11" x14ac:dyDescent="0.2">
      <c r="A1226" s="583"/>
      <c r="B1226" s="640"/>
      <c r="F1226" s="575"/>
      <c r="G1226" s="575"/>
      <c r="H1226" s="575"/>
      <c r="I1226" s="575"/>
      <c r="J1226" s="575"/>
      <c r="K1226" s="575"/>
    </row>
    <row r="1227" spans="1:11" x14ac:dyDescent="0.2">
      <c r="A1227" s="583"/>
      <c r="B1227" s="640"/>
      <c r="F1227" s="575"/>
      <c r="G1227" s="575"/>
      <c r="H1227" s="575"/>
      <c r="I1227" s="575"/>
      <c r="J1227" s="575"/>
      <c r="K1227" s="575"/>
    </row>
    <row r="1228" spans="1:11" x14ac:dyDescent="0.2">
      <c r="A1228" s="583"/>
      <c r="B1228" s="640"/>
      <c r="F1228" s="575"/>
      <c r="G1228" s="575"/>
      <c r="H1228" s="575"/>
      <c r="I1228" s="575"/>
      <c r="J1228" s="575"/>
      <c r="K1228" s="575"/>
    </row>
    <row r="1229" spans="1:11" x14ac:dyDescent="0.2">
      <c r="A1229" s="583"/>
      <c r="B1229" s="640"/>
      <c r="F1229" s="575"/>
      <c r="G1229" s="575"/>
      <c r="H1229" s="575"/>
      <c r="I1229" s="575"/>
      <c r="J1229" s="575"/>
      <c r="K1229" s="575"/>
    </row>
    <row r="1230" spans="1:11" x14ac:dyDescent="0.2">
      <c r="A1230" s="583"/>
      <c r="B1230" s="640"/>
      <c r="F1230" s="575"/>
      <c r="G1230" s="575"/>
      <c r="H1230" s="575"/>
      <c r="I1230" s="575"/>
      <c r="J1230" s="575"/>
      <c r="K1230" s="575"/>
    </row>
    <row r="1231" spans="1:11" x14ac:dyDescent="0.2">
      <c r="A1231" s="583"/>
      <c r="B1231" s="640"/>
      <c r="F1231" s="575"/>
      <c r="G1231" s="575"/>
      <c r="H1231" s="575"/>
      <c r="I1231" s="575"/>
      <c r="J1231" s="575"/>
      <c r="K1231" s="575"/>
    </row>
    <row r="1232" spans="1:11" x14ac:dyDescent="0.2">
      <c r="A1232" s="583"/>
      <c r="B1232" s="640"/>
      <c r="F1232" s="575"/>
      <c r="G1232" s="575"/>
      <c r="H1232" s="575"/>
      <c r="I1232" s="575"/>
      <c r="J1232" s="575"/>
      <c r="K1232" s="575"/>
    </row>
    <row r="1233" spans="1:11" x14ac:dyDescent="0.2">
      <c r="A1233" s="583"/>
      <c r="B1233" s="640"/>
      <c r="F1233" s="575"/>
      <c r="G1233" s="575"/>
      <c r="H1233" s="575"/>
      <c r="I1233" s="575"/>
      <c r="J1233" s="575"/>
      <c r="K1233" s="575"/>
    </row>
    <row r="1234" spans="1:11" x14ac:dyDescent="0.2">
      <c r="A1234" s="583"/>
      <c r="B1234" s="640"/>
      <c r="F1234" s="575"/>
      <c r="G1234" s="575"/>
      <c r="H1234" s="575"/>
      <c r="I1234" s="575"/>
      <c r="J1234" s="575"/>
      <c r="K1234" s="575"/>
    </row>
    <row r="1235" spans="1:11" x14ac:dyDescent="0.2">
      <c r="A1235" s="583"/>
      <c r="B1235" s="640"/>
      <c r="F1235" s="575"/>
      <c r="G1235" s="575"/>
      <c r="H1235" s="575"/>
      <c r="I1235" s="575"/>
      <c r="J1235" s="575"/>
      <c r="K1235" s="575"/>
    </row>
    <row r="1236" spans="1:11" x14ac:dyDescent="0.2">
      <c r="A1236" s="583"/>
      <c r="B1236" s="640"/>
      <c r="F1236" s="575"/>
      <c r="G1236" s="575"/>
      <c r="H1236" s="575"/>
      <c r="I1236" s="575"/>
      <c r="J1236" s="575"/>
      <c r="K1236" s="575"/>
    </row>
    <row r="1237" spans="1:11" x14ac:dyDescent="0.2">
      <c r="A1237" s="583"/>
      <c r="B1237" s="640"/>
      <c r="F1237" s="575"/>
      <c r="G1237" s="575"/>
      <c r="H1237" s="575"/>
      <c r="I1237" s="575"/>
      <c r="J1237" s="575"/>
      <c r="K1237" s="575"/>
    </row>
    <row r="1238" spans="1:11" x14ac:dyDescent="0.2">
      <c r="A1238" s="583"/>
      <c r="B1238" s="640"/>
      <c r="F1238" s="575"/>
      <c r="G1238" s="575"/>
      <c r="H1238" s="575"/>
      <c r="I1238" s="575"/>
      <c r="J1238" s="575"/>
      <c r="K1238" s="575"/>
    </row>
    <row r="1239" spans="1:11" x14ac:dyDescent="0.2">
      <c r="A1239" s="583"/>
      <c r="B1239" s="640"/>
      <c r="F1239" s="575"/>
      <c r="G1239" s="575"/>
      <c r="H1239" s="575"/>
      <c r="I1239" s="575"/>
      <c r="J1239" s="575"/>
      <c r="K1239" s="575"/>
    </row>
    <row r="1240" spans="1:11" x14ac:dyDescent="0.2">
      <c r="A1240" s="583"/>
      <c r="B1240" s="640"/>
      <c r="F1240" s="575"/>
      <c r="G1240" s="575"/>
      <c r="H1240" s="575"/>
      <c r="I1240" s="575"/>
      <c r="J1240" s="575"/>
      <c r="K1240" s="575"/>
    </row>
    <row r="1241" spans="1:11" x14ac:dyDescent="0.2">
      <c r="A1241" s="583"/>
      <c r="B1241" s="640"/>
      <c r="F1241" s="575"/>
      <c r="G1241" s="575"/>
      <c r="H1241" s="575"/>
      <c r="I1241" s="575"/>
      <c r="J1241" s="575"/>
      <c r="K1241" s="575"/>
    </row>
    <row r="1242" spans="1:11" x14ac:dyDescent="0.2">
      <c r="A1242" s="583"/>
      <c r="B1242" s="640"/>
      <c r="F1242" s="575"/>
      <c r="G1242" s="575"/>
      <c r="H1242" s="575"/>
      <c r="I1242" s="575"/>
      <c r="J1242" s="575"/>
      <c r="K1242" s="575"/>
    </row>
    <row r="1243" spans="1:11" x14ac:dyDescent="0.2">
      <c r="A1243" s="583"/>
      <c r="B1243" s="640"/>
      <c r="F1243" s="575"/>
      <c r="G1243" s="575"/>
      <c r="H1243" s="575"/>
      <c r="I1243" s="575"/>
      <c r="J1243" s="575"/>
      <c r="K1243" s="575"/>
    </row>
    <row r="1244" spans="1:11" x14ac:dyDescent="0.2">
      <c r="A1244" s="583"/>
      <c r="B1244" s="640"/>
      <c r="F1244" s="575"/>
      <c r="G1244" s="575"/>
      <c r="H1244" s="575"/>
      <c r="I1244" s="575"/>
      <c r="J1244" s="575"/>
      <c r="K1244" s="575"/>
    </row>
    <row r="1245" spans="1:11" x14ac:dyDescent="0.2">
      <c r="A1245" s="583"/>
      <c r="B1245" s="640"/>
      <c r="F1245" s="575"/>
      <c r="G1245" s="575"/>
      <c r="H1245" s="575"/>
      <c r="I1245" s="575"/>
      <c r="J1245" s="575"/>
      <c r="K1245" s="575"/>
    </row>
    <row r="1246" spans="1:11" x14ac:dyDescent="0.2">
      <c r="A1246" s="583"/>
      <c r="B1246" s="640"/>
      <c r="F1246" s="575"/>
      <c r="G1246" s="575"/>
      <c r="H1246" s="575"/>
      <c r="I1246" s="575"/>
      <c r="J1246" s="575"/>
      <c r="K1246" s="575"/>
    </row>
    <row r="1247" spans="1:11" x14ac:dyDescent="0.2">
      <c r="A1247" s="583"/>
      <c r="B1247" s="640"/>
      <c r="F1247" s="575"/>
      <c r="G1247" s="575"/>
      <c r="H1247" s="575"/>
      <c r="I1247" s="575"/>
      <c r="J1247" s="575"/>
      <c r="K1247" s="575"/>
    </row>
    <row r="1248" spans="1:11" x14ac:dyDescent="0.2">
      <c r="A1248" s="583"/>
      <c r="B1248" s="640"/>
      <c r="F1248" s="575"/>
      <c r="G1248" s="575"/>
      <c r="H1248" s="575"/>
      <c r="I1248" s="575"/>
      <c r="J1248" s="575"/>
      <c r="K1248" s="575"/>
    </row>
    <row r="1249" spans="1:11" x14ac:dyDescent="0.2">
      <c r="A1249" s="583"/>
      <c r="B1249" s="640"/>
      <c r="F1249" s="575"/>
      <c r="G1249" s="575"/>
      <c r="H1249" s="575"/>
      <c r="I1249" s="575"/>
      <c r="J1249" s="575"/>
      <c r="K1249" s="575"/>
    </row>
    <row r="1250" spans="1:11" x14ac:dyDescent="0.2">
      <c r="A1250" s="583"/>
      <c r="B1250" s="640"/>
      <c r="F1250" s="575"/>
      <c r="G1250" s="575"/>
      <c r="H1250" s="575"/>
      <c r="I1250" s="575"/>
      <c r="J1250" s="575"/>
      <c r="K1250" s="575"/>
    </row>
    <row r="1251" spans="1:11" x14ac:dyDescent="0.2">
      <c r="A1251" s="583"/>
      <c r="B1251" s="640"/>
      <c r="F1251" s="575"/>
      <c r="G1251" s="575"/>
      <c r="H1251" s="575"/>
      <c r="I1251" s="575"/>
      <c r="J1251" s="575"/>
      <c r="K1251" s="575"/>
    </row>
    <row r="1252" spans="1:11" x14ac:dyDescent="0.2">
      <c r="A1252" s="583"/>
      <c r="B1252" s="640"/>
      <c r="F1252" s="575"/>
      <c r="G1252" s="575"/>
      <c r="H1252" s="575"/>
      <c r="I1252" s="575"/>
      <c r="J1252" s="575"/>
      <c r="K1252" s="575"/>
    </row>
    <row r="1253" spans="1:11" x14ac:dyDescent="0.2">
      <c r="A1253" s="583"/>
      <c r="B1253" s="640"/>
      <c r="F1253" s="575"/>
      <c r="G1253" s="575"/>
      <c r="H1253" s="575"/>
      <c r="I1253" s="575"/>
      <c r="J1253" s="575"/>
      <c r="K1253" s="575"/>
    </row>
    <row r="1254" spans="1:11" x14ac:dyDescent="0.2">
      <c r="A1254" s="583"/>
      <c r="B1254" s="640"/>
      <c r="F1254" s="575"/>
      <c r="G1254" s="575"/>
      <c r="H1254" s="575"/>
      <c r="I1254" s="575"/>
      <c r="J1254" s="575"/>
      <c r="K1254" s="575"/>
    </row>
    <row r="1255" spans="1:11" x14ac:dyDescent="0.2">
      <c r="A1255" s="583"/>
      <c r="B1255" s="640"/>
      <c r="F1255" s="575"/>
      <c r="G1255" s="575"/>
      <c r="H1255" s="575"/>
      <c r="I1255" s="575"/>
      <c r="J1255" s="575"/>
      <c r="K1255" s="575"/>
    </row>
    <row r="1256" spans="1:11" x14ac:dyDescent="0.2">
      <c r="A1256" s="583"/>
      <c r="B1256" s="640"/>
      <c r="F1256" s="575"/>
      <c r="G1256" s="575"/>
      <c r="H1256" s="575"/>
      <c r="I1256" s="575"/>
      <c r="J1256" s="575"/>
      <c r="K1256" s="575"/>
    </row>
    <row r="1257" spans="1:11" x14ac:dyDescent="0.2">
      <c r="A1257" s="583"/>
      <c r="B1257" s="640"/>
      <c r="F1257" s="575"/>
      <c r="G1257" s="575"/>
      <c r="H1257" s="575"/>
      <c r="I1257" s="575"/>
      <c r="J1257" s="575"/>
      <c r="K1257" s="575"/>
    </row>
    <row r="1258" spans="1:11" x14ac:dyDescent="0.2">
      <c r="A1258" s="583"/>
      <c r="B1258" s="640"/>
      <c r="F1258" s="575"/>
      <c r="G1258" s="575"/>
      <c r="H1258" s="575"/>
      <c r="I1258" s="575"/>
      <c r="J1258" s="575"/>
      <c r="K1258" s="575"/>
    </row>
    <row r="1259" spans="1:11" x14ac:dyDescent="0.2">
      <c r="A1259" s="583"/>
      <c r="B1259" s="640"/>
      <c r="F1259" s="575"/>
      <c r="G1259" s="575"/>
      <c r="H1259" s="575"/>
      <c r="I1259" s="575"/>
      <c r="J1259" s="575"/>
      <c r="K1259" s="575"/>
    </row>
    <row r="1260" spans="1:11" x14ac:dyDescent="0.2">
      <c r="A1260" s="583"/>
      <c r="B1260" s="640"/>
      <c r="F1260" s="575"/>
      <c r="G1260" s="575"/>
      <c r="H1260" s="575"/>
      <c r="I1260" s="575"/>
      <c r="J1260" s="575"/>
      <c r="K1260" s="575"/>
    </row>
    <row r="1261" spans="1:11" x14ac:dyDescent="0.2">
      <c r="A1261" s="583"/>
      <c r="B1261" s="640"/>
      <c r="F1261" s="575"/>
      <c r="G1261" s="575"/>
      <c r="H1261" s="575"/>
      <c r="I1261" s="575"/>
      <c r="J1261" s="575"/>
      <c r="K1261" s="575"/>
    </row>
    <row r="1262" spans="1:11" x14ac:dyDescent="0.2">
      <c r="A1262" s="583"/>
      <c r="B1262" s="640"/>
      <c r="F1262" s="575"/>
      <c r="G1262" s="575"/>
      <c r="H1262" s="575"/>
      <c r="I1262" s="575"/>
      <c r="J1262" s="575"/>
      <c r="K1262" s="575"/>
    </row>
    <row r="1263" spans="1:11" x14ac:dyDescent="0.2">
      <c r="A1263" s="583"/>
      <c r="B1263" s="640"/>
      <c r="F1263" s="575"/>
      <c r="G1263" s="575"/>
      <c r="H1263" s="575"/>
      <c r="I1263" s="575"/>
      <c r="J1263" s="575"/>
      <c r="K1263" s="575"/>
    </row>
    <row r="1264" spans="1:11" x14ac:dyDescent="0.2">
      <c r="A1264" s="583"/>
      <c r="B1264" s="640"/>
      <c r="F1264" s="575"/>
      <c r="G1264" s="575"/>
      <c r="H1264" s="575"/>
      <c r="I1264" s="575"/>
      <c r="J1264" s="575"/>
      <c r="K1264" s="575"/>
    </row>
    <row r="1265" spans="1:11" x14ac:dyDescent="0.2">
      <c r="A1265" s="583"/>
      <c r="B1265" s="640"/>
      <c r="F1265" s="575"/>
      <c r="G1265" s="575"/>
      <c r="H1265" s="575"/>
      <c r="I1265" s="575"/>
      <c r="J1265" s="575"/>
      <c r="K1265" s="575"/>
    </row>
    <row r="1266" spans="1:11" x14ac:dyDescent="0.2">
      <c r="A1266" s="583"/>
      <c r="B1266" s="640"/>
      <c r="F1266" s="575"/>
      <c r="G1266" s="575"/>
      <c r="H1266" s="575"/>
      <c r="I1266" s="575"/>
      <c r="J1266" s="575"/>
      <c r="K1266" s="575"/>
    </row>
    <row r="1267" spans="1:11" x14ac:dyDescent="0.2">
      <c r="A1267" s="583"/>
      <c r="B1267" s="640"/>
      <c r="F1267" s="575"/>
      <c r="G1267" s="575"/>
      <c r="H1267" s="575"/>
      <c r="I1267" s="575"/>
      <c r="J1267" s="575"/>
      <c r="K1267" s="575"/>
    </row>
    <row r="1268" spans="1:11" x14ac:dyDescent="0.2">
      <c r="A1268" s="583"/>
      <c r="B1268" s="640"/>
      <c r="F1268" s="575"/>
      <c r="G1268" s="575"/>
      <c r="H1268" s="575"/>
      <c r="I1268" s="575"/>
      <c r="J1268" s="575"/>
      <c r="K1268" s="575"/>
    </row>
    <row r="1269" spans="1:11" x14ac:dyDescent="0.2">
      <c r="A1269" s="583"/>
      <c r="B1269" s="640"/>
      <c r="F1269" s="575"/>
      <c r="G1269" s="575"/>
      <c r="H1269" s="575"/>
      <c r="I1269" s="575"/>
      <c r="J1269" s="575"/>
      <c r="K1269" s="575"/>
    </row>
    <row r="1270" spans="1:11" x14ac:dyDescent="0.2">
      <c r="A1270" s="583"/>
      <c r="B1270" s="640"/>
      <c r="F1270" s="575"/>
      <c r="G1270" s="575"/>
      <c r="H1270" s="575"/>
      <c r="I1270" s="575"/>
      <c r="J1270" s="575"/>
      <c r="K1270" s="575"/>
    </row>
    <row r="1271" spans="1:11" x14ac:dyDescent="0.2">
      <c r="A1271" s="583"/>
      <c r="B1271" s="640"/>
      <c r="F1271" s="575"/>
      <c r="G1271" s="575"/>
      <c r="H1271" s="575"/>
      <c r="I1271" s="575"/>
      <c r="J1271" s="575"/>
      <c r="K1271" s="575"/>
    </row>
    <row r="1272" spans="1:11" x14ac:dyDescent="0.2">
      <c r="A1272" s="583"/>
      <c r="B1272" s="640"/>
      <c r="F1272" s="575"/>
      <c r="G1272" s="575"/>
      <c r="H1272" s="575"/>
      <c r="I1272" s="575"/>
      <c r="J1272" s="575"/>
      <c r="K1272" s="575"/>
    </row>
    <row r="1273" spans="1:11" x14ac:dyDescent="0.2">
      <c r="A1273" s="583"/>
      <c r="B1273" s="640"/>
      <c r="F1273" s="575"/>
      <c r="G1273" s="575"/>
      <c r="H1273" s="575"/>
      <c r="I1273" s="575"/>
      <c r="J1273" s="575"/>
      <c r="K1273" s="575"/>
    </row>
    <row r="1274" spans="1:11" x14ac:dyDescent="0.2">
      <c r="A1274" s="583"/>
      <c r="B1274" s="640"/>
      <c r="F1274" s="575"/>
      <c r="G1274" s="575"/>
      <c r="H1274" s="575"/>
      <c r="I1274" s="575"/>
      <c r="J1274" s="575"/>
      <c r="K1274" s="575"/>
    </row>
    <row r="1275" spans="1:11" x14ac:dyDescent="0.2">
      <c r="A1275" s="583"/>
      <c r="B1275" s="640"/>
      <c r="F1275" s="575"/>
      <c r="G1275" s="575"/>
      <c r="H1275" s="575"/>
      <c r="I1275" s="575"/>
      <c r="J1275" s="575"/>
      <c r="K1275" s="575"/>
    </row>
    <row r="1276" spans="1:11" x14ac:dyDescent="0.2">
      <c r="A1276" s="583"/>
      <c r="B1276" s="640"/>
      <c r="F1276" s="575"/>
      <c r="G1276" s="575"/>
      <c r="H1276" s="575"/>
      <c r="I1276" s="575"/>
      <c r="J1276" s="575"/>
      <c r="K1276" s="575"/>
    </row>
    <row r="1277" spans="1:11" x14ac:dyDescent="0.2">
      <c r="A1277" s="583"/>
      <c r="B1277" s="640"/>
      <c r="F1277" s="575"/>
      <c r="G1277" s="575"/>
      <c r="H1277" s="575"/>
      <c r="I1277" s="575"/>
      <c r="J1277" s="575"/>
      <c r="K1277" s="575"/>
    </row>
    <row r="1278" spans="1:11" x14ac:dyDescent="0.2">
      <c r="A1278" s="583"/>
      <c r="B1278" s="640"/>
      <c r="F1278" s="575"/>
      <c r="G1278" s="575"/>
      <c r="H1278" s="575"/>
      <c r="I1278" s="575"/>
      <c r="J1278" s="575"/>
      <c r="K1278" s="575"/>
    </row>
    <row r="1279" spans="1:11" x14ac:dyDescent="0.2">
      <c r="A1279" s="583"/>
      <c r="B1279" s="640"/>
      <c r="F1279" s="575"/>
      <c r="G1279" s="575"/>
      <c r="H1279" s="575"/>
      <c r="I1279" s="575"/>
      <c r="J1279" s="575"/>
      <c r="K1279" s="575"/>
    </row>
    <row r="1280" spans="1:11" x14ac:dyDescent="0.2">
      <c r="A1280" s="583"/>
      <c r="B1280" s="640"/>
      <c r="F1280" s="575"/>
      <c r="G1280" s="575"/>
      <c r="H1280" s="575"/>
      <c r="I1280" s="575"/>
      <c r="J1280" s="575"/>
      <c r="K1280" s="575"/>
    </row>
    <row r="1281" spans="1:11" x14ac:dyDescent="0.2">
      <c r="A1281" s="583"/>
      <c r="B1281" s="640"/>
      <c r="F1281" s="575"/>
      <c r="G1281" s="575"/>
      <c r="H1281" s="575"/>
      <c r="I1281" s="575"/>
      <c r="J1281" s="575"/>
      <c r="K1281" s="575"/>
    </row>
    <row r="1282" spans="1:11" x14ac:dyDescent="0.2">
      <c r="A1282" s="583"/>
      <c r="B1282" s="640"/>
      <c r="F1282" s="575"/>
      <c r="G1282" s="575"/>
      <c r="H1282" s="575"/>
      <c r="I1282" s="575"/>
      <c r="J1282" s="575"/>
      <c r="K1282" s="575"/>
    </row>
    <row r="1283" spans="1:11" x14ac:dyDescent="0.2">
      <c r="A1283" s="583"/>
      <c r="B1283" s="640"/>
      <c r="F1283" s="575"/>
      <c r="G1283" s="575"/>
      <c r="H1283" s="575"/>
      <c r="I1283" s="575"/>
      <c r="J1283" s="575"/>
      <c r="K1283" s="575"/>
    </row>
    <row r="1284" spans="1:11" x14ac:dyDescent="0.2">
      <c r="A1284" s="583"/>
      <c r="B1284" s="640"/>
      <c r="F1284" s="575"/>
      <c r="G1284" s="575"/>
      <c r="H1284" s="575"/>
      <c r="I1284" s="575"/>
      <c r="J1284" s="575"/>
      <c r="K1284" s="575"/>
    </row>
    <row r="1285" spans="1:11" x14ac:dyDescent="0.2">
      <c r="A1285" s="583"/>
      <c r="B1285" s="640"/>
      <c r="F1285" s="575"/>
      <c r="G1285" s="575"/>
      <c r="H1285" s="575"/>
      <c r="I1285" s="575"/>
      <c r="J1285" s="575"/>
      <c r="K1285" s="575"/>
    </row>
    <row r="1286" spans="1:11" x14ac:dyDescent="0.2">
      <c r="A1286" s="583"/>
      <c r="B1286" s="640"/>
      <c r="F1286" s="575"/>
      <c r="G1286" s="575"/>
      <c r="H1286" s="575"/>
      <c r="I1286" s="575"/>
      <c r="J1286" s="575"/>
      <c r="K1286" s="575"/>
    </row>
    <row r="1287" spans="1:11" x14ac:dyDescent="0.2">
      <c r="A1287" s="583"/>
      <c r="B1287" s="640"/>
      <c r="F1287" s="575"/>
      <c r="G1287" s="575"/>
      <c r="H1287" s="575"/>
      <c r="I1287" s="575"/>
      <c r="J1287" s="575"/>
      <c r="K1287" s="575"/>
    </row>
    <row r="1288" spans="1:11" x14ac:dyDescent="0.2">
      <c r="A1288" s="583"/>
      <c r="B1288" s="640"/>
      <c r="F1288" s="575"/>
      <c r="G1288" s="575"/>
      <c r="H1288" s="575"/>
      <c r="I1288" s="575"/>
      <c r="J1288" s="575"/>
      <c r="K1288" s="575"/>
    </row>
    <row r="1289" spans="1:11" x14ac:dyDescent="0.2">
      <c r="A1289" s="583"/>
      <c r="B1289" s="640"/>
      <c r="F1289" s="575"/>
      <c r="G1289" s="575"/>
      <c r="H1289" s="575"/>
      <c r="I1289" s="575"/>
      <c r="J1289" s="575"/>
      <c r="K1289" s="575"/>
    </row>
    <row r="1290" spans="1:11" x14ac:dyDescent="0.2">
      <c r="A1290" s="583"/>
      <c r="B1290" s="640"/>
      <c r="F1290" s="575"/>
      <c r="G1290" s="575"/>
      <c r="H1290" s="575"/>
      <c r="I1290" s="575"/>
      <c r="J1290" s="575"/>
      <c r="K1290" s="575"/>
    </row>
    <row r="1291" spans="1:11" x14ac:dyDescent="0.2">
      <c r="A1291" s="583"/>
      <c r="B1291" s="640"/>
      <c r="F1291" s="575"/>
      <c r="G1291" s="575"/>
      <c r="H1291" s="575"/>
      <c r="I1291" s="575"/>
      <c r="J1291" s="575"/>
      <c r="K1291" s="575"/>
    </row>
    <row r="1292" spans="1:11" x14ac:dyDescent="0.2">
      <c r="A1292" s="583"/>
      <c r="B1292" s="640"/>
      <c r="F1292" s="575"/>
      <c r="G1292" s="575"/>
      <c r="H1292" s="575"/>
      <c r="I1292" s="575"/>
      <c r="J1292" s="575"/>
      <c r="K1292" s="575"/>
    </row>
    <row r="1293" spans="1:11" x14ac:dyDescent="0.2">
      <c r="A1293" s="583"/>
      <c r="B1293" s="640"/>
      <c r="F1293" s="575"/>
      <c r="G1293" s="575"/>
      <c r="H1293" s="575"/>
      <c r="I1293" s="575"/>
      <c r="J1293" s="575"/>
      <c r="K1293" s="575"/>
    </row>
    <row r="1294" spans="1:11" x14ac:dyDescent="0.2">
      <c r="A1294" s="583"/>
      <c r="B1294" s="640"/>
      <c r="F1294" s="575"/>
      <c r="G1294" s="575"/>
      <c r="H1294" s="575"/>
      <c r="I1294" s="575"/>
      <c r="J1294" s="575"/>
      <c r="K1294" s="575"/>
    </row>
    <row r="1295" spans="1:11" x14ac:dyDescent="0.2">
      <c r="A1295" s="583"/>
      <c r="B1295" s="640"/>
      <c r="F1295" s="575"/>
      <c r="G1295" s="575"/>
      <c r="H1295" s="575"/>
      <c r="I1295" s="575"/>
      <c r="J1295" s="575"/>
      <c r="K1295" s="575"/>
    </row>
    <row r="1296" spans="1:11" x14ac:dyDescent="0.2">
      <c r="A1296" s="583"/>
      <c r="B1296" s="640"/>
      <c r="F1296" s="575"/>
      <c r="G1296" s="575"/>
      <c r="H1296" s="575"/>
      <c r="I1296" s="575"/>
      <c r="J1296" s="575"/>
      <c r="K1296" s="575"/>
    </row>
    <row r="1297" spans="1:11" x14ac:dyDescent="0.2">
      <c r="A1297" s="583"/>
      <c r="B1297" s="640"/>
      <c r="F1297" s="575"/>
      <c r="G1297" s="575"/>
      <c r="H1297" s="575"/>
      <c r="I1297" s="575"/>
      <c r="J1297" s="575"/>
      <c r="K1297" s="575"/>
    </row>
    <row r="1298" spans="1:11" x14ac:dyDescent="0.2">
      <c r="A1298" s="583"/>
      <c r="B1298" s="640"/>
      <c r="F1298" s="575"/>
      <c r="G1298" s="575"/>
      <c r="H1298" s="575"/>
      <c r="I1298" s="575"/>
      <c r="J1298" s="575"/>
      <c r="K1298" s="575"/>
    </row>
    <row r="1299" spans="1:11" x14ac:dyDescent="0.2">
      <c r="A1299" s="583"/>
      <c r="B1299" s="640"/>
      <c r="F1299" s="575"/>
      <c r="G1299" s="575"/>
      <c r="H1299" s="575"/>
      <c r="I1299" s="575"/>
      <c r="J1299" s="575"/>
      <c r="K1299" s="575"/>
    </row>
    <row r="1300" spans="1:11" x14ac:dyDescent="0.2">
      <c r="A1300" s="583"/>
      <c r="B1300" s="640"/>
      <c r="F1300" s="575"/>
      <c r="G1300" s="575"/>
      <c r="H1300" s="575"/>
      <c r="I1300" s="575"/>
      <c r="J1300" s="575"/>
      <c r="K1300" s="575"/>
    </row>
    <row r="1301" spans="1:11" x14ac:dyDescent="0.2">
      <c r="A1301" s="583"/>
      <c r="B1301" s="640"/>
      <c r="F1301" s="575"/>
      <c r="G1301" s="575"/>
      <c r="H1301" s="575"/>
      <c r="I1301" s="575"/>
      <c r="J1301" s="575"/>
      <c r="K1301" s="575"/>
    </row>
    <row r="1302" spans="1:11" x14ac:dyDescent="0.2">
      <c r="A1302" s="583"/>
      <c r="B1302" s="640"/>
      <c r="F1302" s="575"/>
      <c r="G1302" s="575"/>
      <c r="H1302" s="575"/>
      <c r="I1302" s="575"/>
      <c r="J1302" s="575"/>
      <c r="K1302" s="575"/>
    </row>
    <row r="1303" spans="1:11" x14ac:dyDescent="0.2">
      <c r="A1303" s="583"/>
      <c r="B1303" s="640"/>
      <c r="F1303" s="575"/>
      <c r="G1303" s="575"/>
      <c r="H1303" s="575"/>
      <c r="I1303" s="575"/>
      <c r="J1303" s="575"/>
      <c r="K1303" s="575"/>
    </row>
    <row r="1304" spans="1:11" x14ac:dyDescent="0.2">
      <c r="A1304" s="583"/>
      <c r="B1304" s="640"/>
      <c r="F1304" s="575"/>
      <c r="G1304" s="575"/>
      <c r="H1304" s="575"/>
      <c r="I1304" s="575"/>
      <c r="J1304" s="575"/>
      <c r="K1304" s="575"/>
    </row>
    <row r="1305" spans="1:11" x14ac:dyDescent="0.2">
      <c r="A1305" s="583"/>
      <c r="B1305" s="640"/>
      <c r="F1305" s="575"/>
      <c r="G1305" s="575"/>
      <c r="H1305" s="575"/>
      <c r="I1305" s="575"/>
      <c r="J1305" s="575"/>
      <c r="K1305" s="575"/>
    </row>
    <row r="1306" spans="1:11" x14ac:dyDescent="0.2">
      <c r="A1306" s="583"/>
      <c r="B1306" s="640"/>
      <c r="F1306" s="575"/>
      <c r="G1306" s="575"/>
      <c r="H1306" s="575"/>
      <c r="I1306" s="575"/>
      <c r="J1306" s="575"/>
      <c r="K1306" s="575"/>
    </row>
    <row r="1307" spans="1:11" x14ac:dyDescent="0.2">
      <c r="A1307" s="583"/>
      <c r="B1307" s="640"/>
      <c r="F1307" s="575"/>
      <c r="G1307" s="575"/>
      <c r="H1307" s="575"/>
      <c r="I1307" s="575"/>
      <c r="J1307" s="575"/>
      <c r="K1307" s="575"/>
    </row>
    <row r="1308" spans="1:11" x14ac:dyDescent="0.2">
      <c r="A1308" s="583"/>
      <c r="B1308" s="640"/>
      <c r="F1308" s="575"/>
      <c r="G1308" s="575"/>
      <c r="H1308" s="575"/>
      <c r="I1308" s="575"/>
      <c r="J1308" s="575"/>
      <c r="K1308" s="575"/>
    </row>
    <row r="1309" spans="1:11" x14ac:dyDescent="0.2">
      <c r="A1309" s="583"/>
      <c r="B1309" s="640"/>
      <c r="F1309" s="575"/>
      <c r="G1309" s="575"/>
      <c r="H1309" s="575"/>
      <c r="I1309" s="575"/>
      <c r="J1309" s="575"/>
      <c r="K1309" s="575"/>
    </row>
    <row r="1310" spans="1:11" x14ac:dyDescent="0.2">
      <c r="A1310" s="583"/>
      <c r="B1310" s="640"/>
      <c r="F1310" s="575"/>
      <c r="G1310" s="575"/>
      <c r="H1310" s="575"/>
      <c r="I1310" s="575"/>
      <c r="J1310" s="575"/>
      <c r="K1310" s="575"/>
    </row>
    <row r="1311" spans="1:11" x14ac:dyDescent="0.2">
      <c r="A1311" s="583"/>
      <c r="B1311" s="640"/>
      <c r="F1311" s="575"/>
      <c r="G1311" s="575"/>
      <c r="H1311" s="575"/>
      <c r="I1311" s="575"/>
      <c r="J1311" s="575"/>
      <c r="K1311" s="575"/>
    </row>
    <row r="1312" spans="1:11" x14ac:dyDescent="0.2">
      <c r="A1312" s="583"/>
      <c r="B1312" s="640"/>
      <c r="F1312" s="575"/>
      <c r="G1312" s="575"/>
      <c r="H1312" s="575"/>
      <c r="I1312" s="575"/>
      <c r="J1312" s="575"/>
      <c r="K1312" s="575"/>
    </row>
    <row r="1313" spans="1:11" x14ac:dyDescent="0.2">
      <c r="A1313" s="583"/>
      <c r="B1313" s="640"/>
      <c r="F1313" s="575"/>
      <c r="G1313" s="575"/>
      <c r="H1313" s="575"/>
      <c r="I1313" s="575"/>
      <c r="J1313" s="575"/>
      <c r="K1313" s="575"/>
    </row>
    <row r="1314" spans="1:11" x14ac:dyDescent="0.2">
      <c r="A1314" s="583"/>
      <c r="B1314" s="640"/>
      <c r="F1314" s="575"/>
      <c r="G1314" s="575"/>
      <c r="H1314" s="575"/>
      <c r="I1314" s="575"/>
      <c r="J1314" s="575"/>
      <c r="K1314" s="575"/>
    </row>
    <row r="1315" spans="1:11" x14ac:dyDescent="0.2">
      <c r="A1315" s="583"/>
      <c r="B1315" s="640"/>
      <c r="F1315" s="575"/>
      <c r="G1315" s="575"/>
      <c r="H1315" s="575"/>
      <c r="I1315" s="575"/>
      <c r="J1315" s="575"/>
      <c r="K1315" s="575"/>
    </row>
    <row r="1316" spans="1:11" x14ac:dyDescent="0.2">
      <c r="A1316" s="583"/>
      <c r="B1316" s="640"/>
      <c r="F1316" s="575"/>
      <c r="G1316" s="575"/>
      <c r="H1316" s="575"/>
      <c r="I1316" s="575"/>
      <c r="J1316" s="575"/>
      <c r="K1316" s="575"/>
    </row>
    <row r="1317" spans="1:11" x14ac:dyDescent="0.2">
      <c r="A1317" s="583"/>
      <c r="B1317" s="640"/>
      <c r="F1317" s="575"/>
      <c r="G1317" s="575"/>
      <c r="H1317" s="575"/>
      <c r="I1317" s="575"/>
      <c r="J1317" s="575"/>
      <c r="K1317" s="575"/>
    </row>
    <row r="1318" spans="1:11" x14ac:dyDescent="0.2">
      <c r="A1318" s="583"/>
      <c r="B1318" s="640"/>
      <c r="F1318" s="575"/>
      <c r="G1318" s="575"/>
      <c r="H1318" s="575"/>
      <c r="I1318" s="575"/>
      <c r="J1318" s="575"/>
      <c r="K1318" s="575"/>
    </row>
    <row r="1319" spans="1:11" x14ac:dyDescent="0.2">
      <c r="A1319" s="583"/>
      <c r="B1319" s="640"/>
      <c r="F1319" s="575"/>
      <c r="G1319" s="575"/>
      <c r="H1319" s="575"/>
      <c r="I1319" s="575"/>
      <c r="J1319" s="575"/>
      <c r="K1319" s="575"/>
    </row>
    <row r="1320" spans="1:11" x14ac:dyDescent="0.2">
      <c r="A1320" s="583"/>
      <c r="B1320" s="640"/>
      <c r="F1320" s="575"/>
      <c r="G1320" s="575"/>
      <c r="H1320" s="575"/>
      <c r="I1320" s="575"/>
      <c r="J1320" s="575"/>
      <c r="K1320" s="575"/>
    </row>
    <row r="1321" spans="1:11" x14ac:dyDescent="0.2">
      <c r="A1321" s="583"/>
      <c r="B1321" s="640"/>
      <c r="F1321" s="575"/>
      <c r="G1321" s="575"/>
      <c r="H1321" s="575"/>
      <c r="I1321" s="575"/>
      <c r="J1321" s="575"/>
      <c r="K1321" s="575"/>
    </row>
    <row r="1322" spans="1:11" x14ac:dyDescent="0.2">
      <c r="A1322" s="583"/>
      <c r="B1322" s="640"/>
      <c r="F1322" s="575"/>
      <c r="G1322" s="575"/>
      <c r="H1322" s="575"/>
      <c r="I1322" s="575"/>
      <c r="J1322" s="575"/>
      <c r="K1322" s="575"/>
    </row>
    <row r="1323" spans="1:11" x14ac:dyDescent="0.2">
      <c r="A1323" s="583"/>
      <c r="B1323" s="640"/>
      <c r="F1323" s="575"/>
      <c r="G1323" s="575"/>
      <c r="H1323" s="575"/>
      <c r="I1323" s="575"/>
      <c r="J1323" s="575"/>
      <c r="K1323" s="575"/>
    </row>
    <row r="1324" spans="1:11" x14ac:dyDescent="0.2">
      <c r="A1324" s="583"/>
      <c r="B1324" s="640"/>
      <c r="F1324" s="575"/>
      <c r="G1324" s="575"/>
      <c r="H1324" s="575"/>
      <c r="I1324" s="575"/>
      <c r="J1324" s="575"/>
      <c r="K1324" s="575"/>
    </row>
    <row r="1325" spans="1:11" x14ac:dyDescent="0.2">
      <c r="A1325" s="583"/>
      <c r="B1325" s="640"/>
      <c r="F1325" s="575"/>
      <c r="G1325" s="575"/>
      <c r="H1325" s="575"/>
      <c r="I1325" s="575"/>
      <c r="J1325" s="575"/>
      <c r="K1325" s="575"/>
    </row>
    <row r="1326" spans="1:11" x14ac:dyDescent="0.2">
      <c r="A1326" s="583"/>
      <c r="B1326" s="640"/>
      <c r="F1326" s="575"/>
      <c r="G1326" s="575"/>
      <c r="H1326" s="575"/>
      <c r="I1326" s="575"/>
      <c r="J1326" s="575"/>
      <c r="K1326" s="575"/>
    </row>
    <row r="1327" spans="1:11" x14ac:dyDescent="0.2">
      <c r="A1327" s="583"/>
      <c r="B1327" s="640"/>
      <c r="F1327" s="575"/>
      <c r="G1327" s="575"/>
      <c r="H1327" s="575"/>
      <c r="I1327" s="575"/>
      <c r="J1327" s="575"/>
      <c r="K1327" s="575"/>
    </row>
    <row r="1328" spans="1:11" x14ac:dyDescent="0.2">
      <c r="A1328" s="583"/>
      <c r="B1328" s="640"/>
      <c r="F1328" s="575"/>
      <c r="G1328" s="575"/>
      <c r="H1328" s="575"/>
      <c r="I1328" s="575"/>
      <c r="J1328" s="575"/>
      <c r="K1328" s="575"/>
    </row>
    <row r="1329" spans="1:11" x14ac:dyDescent="0.2">
      <c r="A1329" s="583"/>
      <c r="B1329" s="640"/>
      <c r="F1329" s="575"/>
      <c r="G1329" s="575"/>
      <c r="H1329" s="575"/>
      <c r="I1329" s="575"/>
      <c r="J1329" s="575"/>
      <c r="K1329" s="575"/>
    </row>
    <row r="1330" spans="1:11" x14ac:dyDescent="0.2">
      <c r="A1330" s="583"/>
      <c r="B1330" s="640"/>
      <c r="F1330" s="575"/>
      <c r="G1330" s="575"/>
      <c r="H1330" s="575"/>
      <c r="I1330" s="575"/>
      <c r="J1330" s="575"/>
      <c r="K1330" s="575"/>
    </row>
    <row r="1331" spans="1:11" x14ac:dyDescent="0.2">
      <c r="A1331" s="583"/>
      <c r="B1331" s="640"/>
      <c r="F1331" s="575"/>
      <c r="G1331" s="575"/>
      <c r="H1331" s="575"/>
      <c r="I1331" s="575"/>
      <c r="J1331" s="575"/>
      <c r="K1331" s="575"/>
    </row>
    <row r="1332" spans="1:11" x14ac:dyDescent="0.2">
      <c r="A1332" s="583"/>
      <c r="B1332" s="640"/>
      <c r="F1332" s="575"/>
      <c r="G1332" s="575"/>
      <c r="H1332" s="575"/>
      <c r="I1332" s="575"/>
      <c r="J1332" s="575"/>
      <c r="K1332" s="575"/>
    </row>
    <row r="1333" spans="1:11" x14ac:dyDescent="0.2">
      <c r="A1333" s="583"/>
      <c r="B1333" s="640"/>
      <c r="F1333" s="575"/>
      <c r="G1333" s="575"/>
      <c r="H1333" s="575"/>
      <c r="I1333" s="575"/>
      <c r="J1333" s="575"/>
      <c r="K1333" s="575"/>
    </row>
    <row r="1334" spans="1:11" x14ac:dyDescent="0.2">
      <c r="A1334" s="583"/>
      <c r="B1334" s="640"/>
      <c r="F1334" s="575"/>
      <c r="G1334" s="575"/>
      <c r="H1334" s="575"/>
      <c r="I1334" s="575"/>
      <c r="J1334" s="575"/>
      <c r="K1334" s="575"/>
    </row>
    <row r="1335" spans="1:11" x14ac:dyDescent="0.2">
      <c r="A1335" s="583"/>
      <c r="B1335" s="640"/>
      <c r="F1335" s="575"/>
      <c r="G1335" s="575"/>
      <c r="H1335" s="575"/>
      <c r="I1335" s="575"/>
      <c r="J1335" s="575"/>
      <c r="K1335" s="575"/>
    </row>
    <row r="1336" spans="1:11" x14ac:dyDescent="0.2">
      <c r="A1336" s="583"/>
      <c r="B1336" s="640"/>
      <c r="F1336" s="575"/>
      <c r="G1336" s="575"/>
      <c r="H1336" s="575"/>
      <c r="I1336" s="575"/>
      <c r="J1336" s="575"/>
      <c r="K1336" s="575"/>
    </row>
    <row r="1337" spans="1:11" x14ac:dyDescent="0.2">
      <c r="A1337" s="583"/>
      <c r="B1337" s="640"/>
      <c r="F1337" s="575"/>
      <c r="G1337" s="575"/>
      <c r="H1337" s="575"/>
      <c r="I1337" s="575"/>
      <c r="J1337" s="575"/>
      <c r="K1337" s="575"/>
    </row>
    <row r="1338" spans="1:11" x14ac:dyDescent="0.2">
      <c r="A1338" s="583"/>
      <c r="B1338" s="640"/>
      <c r="F1338" s="575"/>
      <c r="G1338" s="575"/>
      <c r="H1338" s="575"/>
      <c r="I1338" s="575"/>
      <c r="J1338" s="575"/>
      <c r="K1338" s="575"/>
    </row>
    <row r="1339" spans="1:11" x14ac:dyDescent="0.2">
      <c r="A1339" s="583"/>
      <c r="B1339" s="640"/>
      <c r="F1339" s="575"/>
      <c r="G1339" s="575"/>
      <c r="H1339" s="575"/>
      <c r="I1339" s="575"/>
      <c r="J1339" s="575"/>
      <c r="K1339" s="575"/>
    </row>
    <row r="1340" spans="1:11" x14ac:dyDescent="0.2">
      <c r="A1340" s="583"/>
      <c r="B1340" s="640"/>
      <c r="F1340" s="575"/>
      <c r="G1340" s="575"/>
      <c r="H1340" s="575"/>
      <c r="I1340" s="575"/>
      <c r="J1340" s="575"/>
      <c r="K1340" s="575"/>
    </row>
    <row r="1341" spans="1:11" x14ac:dyDescent="0.2">
      <c r="A1341" s="583"/>
      <c r="B1341" s="640"/>
      <c r="F1341" s="575"/>
      <c r="G1341" s="575"/>
      <c r="H1341" s="575"/>
      <c r="I1341" s="575"/>
      <c r="J1341" s="575"/>
      <c r="K1341" s="575"/>
    </row>
    <row r="1342" spans="1:11" x14ac:dyDescent="0.2">
      <c r="A1342" s="583"/>
      <c r="B1342" s="640"/>
      <c r="F1342" s="575"/>
      <c r="G1342" s="575"/>
      <c r="H1342" s="575"/>
      <c r="I1342" s="575"/>
      <c r="J1342" s="575"/>
      <c r="K1342" s="575"/>
    </row>
    <row r="1343" spans="1:11" x14ac:dyDescent="0.2">
      <c r="A1343" s="583"/>
      <c r="B1343" s="640"/>
      <c r="F1343" s="575"/>
      <c r="G1343" s="575"/>
      <c r="H1343" s="575"/>
      <c r="I1343" s="575"/>
      <c r="J1343" s="575"/>
      <c r="K1343" s="575"/>
    </row>
    <row r="1344" spans="1:11" x14ac:dyDescent="0.2">
      <c r="A1344" s="583"/>
      <c r="B1344" s="640"/>
      <c r="F1344" s="575"/>
      <c r="G1344" s="575"/>
      <c r="H1344" s="575"/>
      <c r="I1344" s="575"/>
      <c r="J1344" s="575"/>
      <c r="K1344" s="575"/>
    </row>
    <row r="1345" spans="1:11" x14ac:dyDescent="0.2">
      <c r="A1345" s="583"/>
      <c r="B1345" s="640"/>
      <c r="F1345" s="575"/>
      <c r="G1345" s="575"/>
      <c r="H1345" s="575"/>
      <c r="I1345" s="575"/>
      <c r="J1345" s="575"/>
      <c r="K1345" s="575"/>
    </row>
    <row r="1346" spans="1:11" x14ac:dyDescent="0.2">
      <c r="A1346" s="583"/>
      <c r="B1346" s="640"/>
      <c r="F1346" s="575"/>
      <c r="G1346" s="575"/>
      <c r="H1346" s="575"/>
      <c r="I1346" s="575"/>
      <c r="J1346" s="575"/>
      <c r="K1346" s="575"/>
    </row>
    <row r="1347" spans="1:11" x14ac:dyDescent="0.2">
      <c r="A1347" s="583"/>
      <c r="B1347" s="640"/>
      <c r="F1347" s="575"/>
      <c r="G1347" s="575"/>
      <c r="H1347" s="575"/>
      <c r="I1347" s="575"/>
      <c r="J1347" s="575"/>
      <c r="K1347" s="575"/>
    </row>
    <row r="1348" spans="1:11" x14ac:dyDescent="0.2">
      <c r="A1348" s="583"/>
      <c r="B1348" s="640"/>
      <c r="F1348" s="575"/>
      <c r="G1348" s="575"/>
      <c r="H1348" s="575"/>
      <c r="I1348" s="575"/>
      <c r="J1348" s="575"/>
      <c r="K1348" s="575"/>
    </row>
    <row r="1349" spans="1:11" x14ac:dyDescent="0.2">
      <c r="A1349" s="583"/>
      <c r="B1349" s="640"/>
      <c r="F1349" s="575"/>
      <c r="G1349" s="575"/>
      <c r="H1349" s="575"/>
      <c r="I1349" s="575"/>
      <c r="J1349" s="575"/>
      <c r="K1349" s="575"/>
    </row>
    <row r="1350" spans="1:11" x14ac:dyDescent="0.2">
      <c r="A1350" s="583"/>
      <c r="B1350" s="640"/>
      <c r="F1350" s="575"/>
      <c r="G1350" s="575"/>
      <c r="H1350" s="575"/>
      <c r="I1350" s="575"/>
      <c r="J1350" s="575"/>
      <c r="K1350" s="575"/>
    </row>
    <row r="1351" spans="1:11" x14ac:dyDescent="0.2">
      <c r="A1351" s="583"/>
      <c r="B1351" s="640"/>
      <c r="F1351" s="575"/>
      <c r="G1351" s="575"/>
      <c r="H1351" s="575"/>
      <c r="I1351" s="575"/>
      <c r="J1351" s="575"/>
      <c r="K1351" s="575"/>
    </row>
    <row r="1352" spans="1:11" x14ac:dyDescent="0.2">
      <c r="A1352" s="583"/>
      <c r="B1352" s="640"/>
      <c r="F1352" s="575"/>
      <c r="G1352" s="575"/>
      <c r="H1352" s="575"/>
      <c r="I1352" s="575"/>
      <c r="J1352" s="575"/>
      <c r="K1352" s="575"/>
    </row>
    <row r="1353" spans="1:11" x14ac:dyDescent="0.2">
      <c r="A1353" s="583"/>
      <c r="B1353" s="640"/>
      <c r="F1353" s="575"/>
      <c r="G1353" s="575"/>
      <c r="H1353" s="575"/>
      <c r="I1353" s="575"/>
      <c r="J1353" s="575"/>
      <c r="K1353" s="575"/>
    </row>
    <row r="1354" spans="1:11" x14ac:dyDescent="0.2">
      <c r="A1354" s="583"/>
      <c r="B1354" s="640"/>
      <c r="F1354" s="575"/>
      <c r="G1354" s="575"/>
      <c r="H1354" s="575"/>
      <c r="I1354" s="575"/>
      <c r="J1354" s="575"/>
      <c r="K1354" s="575"/>
    </row>
    <row r="1355" spans="1:11" x14ac:dyDescent="0.2">
      <c r="A1355" s="583"/>
      <c r="B1355" s="640"/>
      <c r="F1355" s="575"/>
      <c r="G1355" s="575"/>
      <c r="H1355" s="575"/>
      <c r="I1355" s="575"/>
      <c r="J1355" s="575"/>
      <c r="K1355" s="575"/>
    </row>
    <row r="1356" spans="1:11" x14ac:dyDescent="0.2">
      <c r="A1356" s="583"/>
      <c r="B1356" s="640"/>
      <c r="F1356" s="575"/>
      <c r="G1356" s="575"/>
      <c r="H1356" s="575"/>
      <c r="I1356" s="575"/>
      <c r="J1356" s="575"/>
      <c r="K1356" s="575"/>
    </row>
    <row r="1357" spans="1:11" x14ac:dyDescent="0.2">
      <c r="A1357" s="583"/>
      <c r="B1357" s="640"/>
      <c r="F1357" s="575"/>
      <c r="G1357" s="575"/>
      <c r="H1357" s="575"/>
      <c r="I1357" s="575"/>
      <c r="J1357" s="575"/>
      <c r="K1357" s="575"/>
    </row>
    <row r="1358" spans="1:11" x14ac:dyDescent="0.2">
      <c r="A1358" s="583"/>
      <c r="B1358" s="640"/>
      <c r="F1358" s="575"/>
      <c r="G1358" s="575"/>
      <c r="H1358" s="575"/>
      <c r="I1358" s="575"/>
      <c r="J1358" s="575"/>
      <c r="K1358" s="575"/>
    </row>
    <row r="1359" spans="1:11" x14ac:dyDescent="0.2">
      <c r="A1359" s="583"/>
      <c r="B1359" s="640"/>
      <c r="F1359" s="575"/>
      <c r="G1359" s="575"/>
      <c r="H1359" s="575"/>
      <c r="I1359" s="575"/>
      <c r="J1359" s="575"/>
      <c r="K1359" s="575"/>
    </row>
    <row r="1360" spans="1:11" x14ac:dyDescent="0.2">
      <c r="A1360" s="583"/>
      <c r="B1360" s="640"/>
      <c r="F1360" s="575"/>
      <c r="G1360" s="575"/>
      <c r="H1360" s="575"/>
      <c r="I1360" s="575"/>
      <c r="J1360" s="575"/>
      <c r="K1360" s="575"/>
    </row>
    <row r="1361" spans="1:11" x14ac:dyDescent="0.2">
      <c r="A1361" s="583"/>
      <c r="B1361" s="640"/>
      <c r="F1361" s="575"/>
      <c r="G1361" s="575"/>
      <c r="H1361" s="575"/>
      <c r="I1361" s="575"/>
      <c r="J1361" s="575"/>
      <c r="K1361" s="575"/>
    </row>
    <row r="1362" spans="1:11" x14ac:dyDescent="0.2">
      <c r="A1362" s="583"/>
      <c r="B1362" s="640"/>
      <c r="F1362" s="575"/>
      <c r="G1362" s="575"/>
      <c r="H1362" s="575"/>
      <c r="I1362" s="575"/>
      <c r="J1362" s="575"/>
      <c r="K1362" s="575"/>
    </row>
    <row r="1363" spans="1:11" x14ac:dyDescent="0.2">
      <c r="A1363" s="583"/>
      <c r="B1363" s="640"/>
      <c r="F1363" s="575"/>
      <c r="G1363" s="575"/>
      <c r="H1363" s="575"/>
      <c r="I1363" s="575"/>
      <c r="J1363" s="575"/>
      <c r="K1363" s="575"/>
    </row>
    <row r="1364" spans="1:11" x14ac:dyDescent="0.2">
      <c r="A1364" s="583"/>
      <c r="B1364" s="640"/>
      <c r="F1364" s="575"/>
      <c r="G1364" s="575"/>
      <c r="H1364" s="575"/>
      <c r="I1364" s="575"/>
      <c r="J1364" s="575"/>
      <c r="K1364" s="575"/>
    </row>
    <row r="1365" spans="1:11" x14ac:dyDescent="0.2">
      <c r="A1365" s="583"/>
      <c r="B1365" s="640"/>
      <c r="F1365" s="575"/>
      <c r="G1365" s="575"/>
      <c r="H1365" s="575"/>
      <c r="I1365" s="575"/>
      <c r="J1365" s="575"/>
      <c r="K1365" s="575"/>
    </row>
    <row r="1366" spans="1:11" x14ac:dyDescent="0.2">
      <c r="A1366" s="583"/>
      <c r="B1366" s="640"/>
      <c r="F1366" s="575"/>
      <c r="G1366" s="575"/>
      <c r="H1366" s="575"/>
      <c r="I1366" s="575"/>
      <c r="J1366" s="575"/>
      <c r="K1366" s="575"/>
    </row>
    <row r="1367" spans="1:11" x14ac:dyDescent="0.2">
      <c r="A1367" s="583"/>
      <c r="B1367" s="640"/>
      <c r="F1367" s="575"/>
      <c r="G1367" s="575"/>
      <c r="H1367" s="575"/>
      <c r="I1367" s="575"/>
      <c r="J1367" s="575"/>
      <c r="K1367" s="575"/>
    </row>
    <row r="1368" spans="1:11" x14ac:dyDescent="0.2">
      <c r="A1368" s="583"/>
      <c r="B1368" s="640"/>
      <c r="F1368" s="575"/>
      <c r="G1368" s="575"/>
      <c r="H1368" s="575"/>
      <c r="I1368" s="575"/>
      <c r="J1368" s="575"/>
      <c r="K1368" s="575"/>
    </row>
    <row r="1369" spans="1:11" x14ac:dyDescent="0.2">
      <c r="A1369" s="583"/>
      <c r="B1369" s="640"/>
      <c r="F1369" s="575"/>
      <c r="G1369" s="575"/>
      <c r="H1369" s="575"/>
      <c r="I1369" s="575"/>
      <c r="J1369" s="575"/>
      <c r="K1369" s="575"/>
    </row>
    <row r="1370" spans="1:11" x14ac:dyDescent="0.2">
      <c r="A1370" s="583"/>
      <c r="B1370" s="640"/>
      <c r="F1370" s="575"/>
      <c r="G1370" s="575"/>
      <c r="H1370" s="575"/>
      <c r="I1370" s="575"/>
      <c r="J1370" s="575"/>
      <c r="K1370" s="575"/>
    </row>
    <row r="1371" spans="1:11" x14ac:dyDescent="0.2">
      <c r="A1371" s="583"/>
      <c r="B1371" s="640"/>
      <c r="F1371" s="575"/>
      <c r="G1371" s="575"/>
      <c r="H1371" s="575"/>
      <c r="I1371" s="575"/>
      <c r="J1371" s="575"/>
      <c r="K1371" s="575"/>
    </row>
    <row r="1372" spans="1:11" x14ac:dyDescent="0.2">
      <c r="A1372" s="583"/>
      <c r="B1372" s="640"/>
      <c r="F1372" s="575"/>
      <c r="G1372" s="575"/>
      <c r="H1372" s="575"/>
      <c r="I1372" s="575"/>
      <c r="J1372" s="575"/>
      <c r="K1372" s="575"/>
    </row>
    <row r="1373" spans="1:11" x14ac:dyDescent="0.2">
      <c r="A1373" s="583"/>
      <c r="B1373" s="640"/>
      <c r="F1373" s="575"/>
      <c r="G1373" s="575"/>
      <c r="H1373" s="575"/>
      <c r="I1373" s="575"/>
      <c r="J1373" s="575"/>
      <c r="K1373" s="575"/>
    </row>
    <row r="1374" spans="1:11" x14ac:dyDescent="0.2">
      <c r="A1374" s="583"/>
      <c r="B1374" s="640"/>
      <c r="F1374" s="575"/>
      <c r="G1374" s="575"/>
      <c r="H1374" s="575"/>
      <c r="I1374" s="575"/>
      <c r="J1374" s="575"/>
      <c r="K1374" s="575"/>
    </row>
    <row r="1375" spans="1:11" x14ac:dyDescent="0.2">
      <c r="A1375" s="583"/>
      <c r="B1375" s="640"/>
      <c r="F1375" s="575"/>
      <c r="G1375" s="575"/>
      <c r="H1375" s="575"/>
      <c r="I1375" s="575"/>
      <c r="J1375" s="575"/>
      <c r="K1375" s="575"/>
    </row>
    <row r="1376" spans="1:11" x14ac:dyDescent="0.2">
      <c r="A1376" s="583"/>
      <c r="B1376" s="640"/>
      <c r="F1376" s="575"/>
      <c r="G1376" s="575"/>
      <c r="H1376" s="575"/>
      <c r="I1376" s="575"/>
      <c r="J1376" s="575"/>
      <c r="K1376" s="575"/>
    </row>
    <row r="1377" spans="1:11" x14ac:dyDescent="0.2">
      <c r="A1377" s="583"/>
      <c r="B1377" s="640"/>
      <c r="F1377" s="575"/>
      <c r="G1377" s="575"/>
      <c r="H1377" s="575"/>
      <c r="I1377" s="575"/>
      <c r="J1377" s="575"/>
      <c r="K1377" s="575"/>
    </row>
    <row r="1378" spans="1:11" x14ac:dyDescent="0.2">
      <c r="A1378" s="583"/>
      <c r="B1378" s="640"/>
      <c r="F1378" s="575"/>
      <c r="G1378" s="575"/>
      <c r="H1378" s="575"/>
      <c r="I1378" s="575"/>
      <c r="J1378" s="575"/>
      <c r="K1378" s="575"/>
    </row>
    <row r="1379" spans="1:11" x14ac:dyDescent="0.2">
      <c r="A1379" s="583"/>
      <c r="B1379" s="640"/>
      <c r="F1379" s="575"/>
      <c r="G1379" s="575"/>
      <c r="H1379" s="575"/>
      <c r="I1379" s="575"/>
      <c r="J1379" s="575"/>
      <c r="K1379" s="575"/>
    </row>
    <row r="1380" spans="1:11" x14ac:dyDescent="0.2">
      <c r="A1380" s="583"/>
      <c r="B1380" s="640"/>
      <c r="F1380" s="575"/>
      <c r="G1380" s="575"/>
      <c r="H1380" s="575"/>
      <c r="I1380" s="575"/>
      <c r="J1380" s="575"/>
      <c r="K1380" s="575"/>
    </row>
    <row r="1381" spans="1:11" x14ac:dyDescent="0.2">
      <c r="A1381" s="583"/>
      <c r="B1381" s="640"/>
      <c r="F1381" s="575"/>
      <c r="G1381" s="575"/>
      <c r="H1381" s="575"/>
      <c r="I1381" s="575"/>
      <c r="J1381" s="575"/>
      <c r="K1381" s="575"/>
    </row>
    <row r="1382" spans="1:11" x14ac:dyDescent="0.2">
      <c r="A1382" s="583"/>
      <c r="B1382" s="640"/>
      <c r="F1382" s="575"/>
      <c r="G1382" s="575"/>
      <c r="H1382" s="575"/>
      <c r="I1382" s="575"/>
      <c r="J1382" s="575"/>
      <c r="K1382" s="575"/>
    </row>
    <row r="1383" spans="1:11" x14ac:dyDescent="0.2">
      <c r="A1383" s="583"/>
      <c r="B1383" s="640"/>
      <c r="F1383" s="575"/>
      <c r="G1383" s="575"/>
      <c r="H1383" s="575"/>
      <c r="I1383" s="575"/>
      <c r="J1383" s="575"/>
      <c r="K1383" s="575"/>
    </row>
    <row r="1384" spans="1:11" x14ac:dyDescent="0.2">
      <c r="A1384" s="583"/>
      <c r="B1384" s="640"/>
      <c r="F1384" s="575"/>
      <c r="G1384" s="575"/>
      <c r="H1384" s="575"/>
      <c r="I1384" s="575"/>
      <c r="J1384" s="575"/>
      <c r="K1384" s="575"/>
    </row>
    <row r="1385" spans="1:11" x14ac:dyDescent="0.2">
      <c r="A1385" s="583"/>
      <c r="B1385" s="640"/>
      <c r="F1385" s="575"/>
      <c r="G1385" s="575"/>
      <c r="H1385" s="575"/>
      <c r="I1385" s="575"/>
      <c r="J1385" s="575"/>
      <c r="K1385" s="575"/>
    </row>
    <row r="1386" spans="1:11" x14ac:dyDescent="0.2">
      <c r="A1386" s="583"/>
      <c r="B1386" s="640"/>
      <c r="F1386" s="575"/>
      <c r="G1386" s="575"/>
      <c r="H1386" s="575"/>
      <c r="I1386" s="575"/>
      <c r="J1386" s="575"/>
      <c r="K1386" s="575"/>
    </row>
    <row r="1387" spans="1:11" x14ac:dyDescent="0.2">
      <c r="A1387" s="583"/>
      <c r="B1387" s="640"/>
      <c r="F1387" s="575"/>
      <c r="G1387" s="575"/>
      <c r="H1387" s="575"/>
      <c r="I1387" s="575"/>
      <c r="J1387" s="575"/>
      <c r="K1387" s="575"/>
    </row>
    <row r="1388" spans="1:11" x14ac:dyDescent="0.2">
      <c r="A1388" s="583"/>
      <c r="B1388" s="640"/>
      <c r="F1388" s="575"/>
      <c r="G1388" s="575"/>
      <c r="H1388" s="575"/>
      <c r="I1388" s="575"/>
      <c r="J1388" s="575"/>
      <c r="K1388" s="575"/>
    </row>
    <row r="1389" spans="1:11" x14ac:dyDescent="0.2">
      <c r="A1389" s="583"/>
      <c r="B1389" s="640"/>
      <c r="F1389" s="575"/>
      <c r="G1389" s="575"/>
      <c r="H1389" s="575"/>
      <c r="I1389" s="575"/>
      <c r="J1389" s="575"/>
      <c r="K1389" s="575"/>
    </row>
    <row r="1390" spans="1:11" x14ac:dyDescent="0.2">
      <c r="A1390" s="583"/>
      <c r="B1390" s="640"/>
      <c r="F1390" s="575"/>
      <c r="G1390" s="575"/>
      <c r="H1390" s="575"/>
      <c r="I1390" s="575"/>
      <c r="J1390" s="575"/>
      <c r="K1390" s="575"/>
    </row>
    <row r="1391" spans="1:11" x14ac:dyDescent="0.2">
      <c r="A1391" s="583"/>
      <c r="B1391" s="640"/>
      <c r="F1391" s="575"/>
      <c r="G1391" s="575"/>
      <c r="H1391" s="575"/>
      <c r="I1391" s="575"/>
      <c r="J1391" s="575"/>
      <c r="K1391" s="575"/>
    </row>
    <row r="1392" spans="1:11" x14ac:dyDescent="0.2">
      <c r="A1392" s="583"/>
      <c r="B1392" s="640"/>
      <c r="F1392" s="575"/>
      <c r="G1392" s="575"/>
      <c r="H1392" s="575"/>
      <c r="I1392" s="575"/>
      <c r="J1392" s="575"/>
      <c r="K1392" s="575"/>
    </row>
    <row r="1393" spans="1:11" x14ac:dyDescent="0.2">
      <c r="A1393" s="583"/>
      <c r="B1393" s="640"/>
      <c r="F1393" s="575"/>
      <c r="G1393" s="575"/>
      <c r="H1393" s="575"/>
      <c r="I1393" s="575"/>
      <c r="J1393" s="575"/>
      <c r="K1393" s="575"/>
    </row>
    <row r="1394" spans="1:11" x14ac:dyDescent="0.2">
      <c r="A1394" s="583"/>
      <c r="B1394" s="640"/>
      <c r="F1394" s="575"/>
      <c r="G1394" s="575"/>
      <c r="H1394" s="575"/>
      <c r="I1394" s="575"/>
      <c r="J1394" s="575"/>
      <c r="K1394" s="575"/>
    </row>
    <row r="1395" spans="1:11" x14ac:dyDescent="0.2">
      <c r="A1395" s="583"/>
      <c r="B1395" s="640"/>
      <c r="F1395" s="575"/>
      <c r="G1395" s="575"/>
      <c r="H1395" s="575"/>
      <c r="I1395" s="575"/>
      <c r="J1395" s="575"/>
      <c r="K1395" s="575"/>
    </row>
    <row r="1396" spans="1:11" x14ac:dyDescent="0.2">
      <c r="A1396" s="583"/>
      <c r="B1396" s="640"/>
      <c r="F1396" s="575"/>
      <c r="G1396" s="575"/>
      <c r="H1396" s="575"/>
      <c r="I1396" s="575"/>
      <c r="J1396" s="575"/>
      <c r="K1396" s="575"/>
    </row>
    <row r="1397" spans="1:11" x14ac:dyDescent="0.2">
      <c r="A1397" s="583"/>
      <c r="B1397" s="640"/>
      <c r="F1397" s="575"/>
      <c r="G1397" s="575"/>
      <c r="H1397" s="575"/>
      <c r="I1397" s="575"/>
      <c r="J1397" s="575"/>
      <c r="K1397" s="575"/>
    </row>
    <row r="1398" spans="1:11" x14ac:dyDescent="0.2">
      <c r="A1398" s="583"/>
      <c r="B1398" s="640"/>
      <c r="F1398" s="575"/>
      <c r="G1398" s="575"/>
      <c r="H1398" s="575"/>
      <c r="I1398" s="575"/>
      <c r="J1398" s="575"/>
      <c r="K1398" s="575"/>
    </row>
    <row r="1399" spans="1:11" x14ac:dyDescent="0.2">
      <c r="A1399" s="583"/>
      <c r="B1399" s="640"/>
      <c r="F1399" s="575"/>
      <c r="G1399" s="575"/>
      <c r="H1399" s="575"/>
      <c r="I1399" s="575"/>
      <c r="J1399" s="575"/>
      <c r="K1399" s="575"/>
    </row>
    <row r="1400" spans="1:11" x14ac:dyDescent="0.2">
      <c r="A1400" s="583"/>
      <c r="B1400" s="640"/>
      <c r="F1400" s="575"/>
      <c r="G1400" s="575"/>
      <c r="H1400" s="575"/>
      <c r="I1400" s="575"/>
      <c r="J1400" s="575"/>
      <c r="K1400" s="575"/>
    </row>
    <row r="1401" spans="1:11" x14ac:dyDescent="0.2">
      <c r="A1401" s="583"/>
      <c r="B1401" s="640"/>
      <c r="F1401" s="575"/>
      <c r="G1401" s="575"/>
      <c r="H1401" s="575"/>
      <c r="I1401" s="575"/>
      <c r="J1401" s="575"/>
      <c r="K1401" s="575"/>
    </row>
    <row r="1402" spans="1:11" x14ac:dyDescent="0.2">
      <c r="A1402" s="583"/>
      <c r="B1402" s="640"/>
      <c r="F1402" s="575"/>
      <c r="G1402" s="575"/>
      <c r="H1402" s="575"/>
      <c r="I1402" s="575"/>
      <c r="J1402" s="575"/>
      <c r="K1402" s="575"/>
    </row>
    <row r="1403" spans="1:11" x14ac:dyDescent="0.2">
      <c r="A1403" s="583"/>
      <c r="B1403" s="640"/>
      <c r="F1403" s="575"/>
      <c r="G1403" s="575"/>
      <c r="H1403" s="575"/>
      <c r="I1403" s="575"/>
      <c r="J1403" s="575"/>
      <c r="K1403" s="575"/>
    </row>
    <row r="1404" spans="1:11" x14ac:dyDescent="0.2">
      <c r="A1404" s="583"/>
      <c r="B1404" s="640"/>
      <c r="F1404" s="575"/>
      <c r="G1404" s="575"/>
      <c r="H1404" s="575"/>
      <c r="I1404" s="575"/>
      <c r="J1404" s="575"/>
      <c r="K1404" s="575"/>
    </row>
    <row r="1405" spans="1:11" x14ac:dyDescent="0.2">
      <c r="A1405" s="583"/>
      <c r="B1405" s="640"/>
      <c r="F1405" s="575"/>
      <c r="G1405" s="575"/>
      <c r="H1405" s="575"/>
      <c r="I1405" s="575"/>
      <c r="J1405" s="575"/>
      <c r="K1405" s="575"/>
    </row>
    <row r="1406" spans="1:11" x14ac:dyDescent="0.2">
      <c r="A1406" s="583"/>
      <c r="B1406" s="640"/>
      <c r="F1406" s="575"/>
      <c r="G1406" s="575"/>
      <c r="H1406" s="575"/>
      <c r="I1406" s="575"/>
      <c r="J1406" s="575"/>
      <c r="K1406" s="575"/>
    </row>
    <row r="1407" spans="1:11" x14ac:dyDescent="0.2">
      <c r="A1407" s="583"/>
      <c r="B1407" s="640"/>
      <c r="F1407" s="575"/>
      <c r="G1407" s="575"/>
      <c r="H1407" s="575"/>
      <c r="I1407" s="575"/>
      <c r="J1407" s="575"/>
      <c r="K1407" s="575"/>
    </row>
    <row r="1408" spans="1:11" x14ac:dyDescent="0.2">
      <c r="A1408" s="583"/>
      <c r="B1408" s="640"/>
      <c r="F1408" s="575"/>
      <c r="G1408" s="575"/>
      <c r="H1408" s="575"/>
      <c r="I1408" s="575"/>
      <c r="J1408" s="575"/>
      <c r="K1408" s="575"/>
    </row>
    <row r="1409" spans="1:11" x14ac:dyDescent="0.2">
      <c r="A1409" s="583"/>
      <c r="B1409" s="640"/>
      <c r="F1409" s="575"/>
      <c r="G1409" s="575"/>
      <c r="H1409" s="575"/>
      <c r="I1409" s="575"/>
      <c r="J1409" s="575"/>
      <c r="K1409" s="575"/>
    </row>
    <row r="1410" spans="1:11" x14ac:dyDescent="0.2">
      <c r="A1410" s="583"/>
      <c r="B1410" s="640"/>
      <c r="F1410" s="575"/>
      <c r="G1410" s="575"/>
      <c r="H1410" s="575"/>
      <c r="I1410" s="575"/>
      <c r="J1410" s="575"/>
      <c r="K1410" s="575"/>
    </row>
    <row r="1411" spans="1:11" x14ac:dyDescent="0.2">
      <c r="A1411" s="583"/>
      <c r="B1411" s="640"/>
      <c r="F1411" s="575"/>
      <c r="G1411" s="575"/>
      <c r="H1411" s="575"/>
      <c r="I1411" s="575"/>
      <c r="J1411" s="575"/>
      <c r="K1411" s="575"/>
    </row>
    <row r="1412" spans="1:11" x14ac:dyDescent="0.2">
      <c r="A1412" s="583"/>
      <c r="B1412" s="640"/>
      <c r="F1412" s="575"/>
      <c r="G1412" s="575"/>
      <c r="H1412" s="575"/>
      <c r="I1412" s="575"/>
      <c r="J1412" s="575"/>
      <c r="K1412" s="575"/>
    </row>
    <row r="1413" spans="1:11" x14ac:dyDescent="0.2">
      <c r="A1413" s="583"/>
      <c r="B1413" s="640"/>
      <c r="F1413" s="575"/>
      <c r="G1413" s="575"/>
      <c r="H1413" s="575"/>
      <c r="I1413" s="575"/>
      <c r="J1413" s="575"/>
      <c r="K1413" s="575"/>
    </row>
    <row r="1414" spans="1:11" x14ac:dyDescent="0.2">
      <c r="A1414" s="583"/>
      <c r="B1414" s="640"/>
      <c r="F1414" s="575"/>
      <c r="G1414" s="575"/>
      <c r="H1414" s="575"/>
      <c r="I1414" s="575"/>
      <c r="J1414" s="575"/>
      <c r="K1414" s="575"/>
    </row>
    <row r="1415" spans="1:11" x14ac:dyDescent="0.2">
      <c r="A1415" s="583"/>
      <c r="B1415" s="640"/>
      <c r="F1415" s="575"/>
      <c r="G1415" s="575"/>
      <c r="H1415" s="575"/>
      <c r="I1415" s="575"/>
      <c r="J1415" s="575"/>
      <c r="K1415" s="575"/>
    </row>
    <row r="1416" spans="1:11" x14ac:dyDescent="0.2">
      <c r="A1416" s="583"/>
      <c r="B1416" s="640"/>
      <c r="F1416" s="575"/>
      <c r="G1416" s="575"/>
      <c r="H1416" s="575"/>
      <c r="I1416" s="575"/>
      <c r="J1416" s="575"/>
      <c r="K1416" s="575"/>
    </row>
    <row r="1417" spans="1:11" x14ac:dyDescent="0.2">
      <c r="A1417" s="583"/>
      <c r="B1417" s="640"/>
      <c r="F1417" s="575"/>
      <c r="G1417" s="575"/>
      <c r="H1417" s="575"/>
      <c r="I1417" s="575"/>
      <c r="J1417" s="575"/>
      <c r="K1417" s="575"/>
    </row>
    <row r="1418" spans="1:11" x14ac:dyDescent="0.2">
      <c r="A1418" s="583"/>
      <c r="B1418" s="640"/>
      <c r="F1418" s="575"/>
      <c r="G1418" s="575"/>
      <c r="H1418" s="575"/>
      <c r="I1418" s="575"/>
      <c r="J1418" s="575"/>
      <c r="K1418" s="575"/>
    </row>
    <row r="1419" spans="1:11" x14ac:dyDescent="0.2">
      <c r="A1419" s="583"/>
      <c r="B1419" s="640"/>
      <c r="F1419" s="575"/>
      <c r="G1419" s="575"/>
      <c r="H1419" s="575"/>
      <c r="I1419" s="575"/>
      <c r="J1419" s="575"/>
      <c r="K1419" s="575"/>
    </row>
    <row r="1420" spans="1:11" x14ac:dyDescent="0.2">
      <c r="A1420" s="583"/>
      <c r="B1420" s="640"/>
      <c r="F1420" s="575"/>
      <c r="G1420" s="575"/>
      <c r="H1420" s="575"/>
      <c r="I1420" s="575"/>
      <c r="J1420" s="575"/>
      <c r="K1420" s="575"/>
    </row>
    <row r="1421" spans="1:11" x14ac:dyDescent="0.2">
      <c r="A1421" s="583"/>
      <c r="B1421" s="640"/>
      <c r="F1421" s="575"/>
      <c r="G1421" s="575"/>
      <c r="H1421" s="575"/>
      <c r="I1421" s="575"/>
      <c r="J1421" s="575"/>
      <c r="K1421" s="575"/>
    </row>
    <row r="1422" spans="1:11" x14ac:dyDescent="0.2">
      <c r="A1422" s="583"/>
      <c r="B1422" s="640"/>
      <c r="F1422" s="575"/>
      <c r="G1422" s="575"/>
      <c r="H1422" s="575"/>
      <c r="I1422" s="575"/>
      <c r="J1422" s="575"/>
      <c r="K1422" s="575"/>
    </row>
    <row r="1423" spans="1:11" x14ac:dyDescent="0.2">
      <c r="A1423" s="583"/>
      <c r="B1423" s="640"/>
      <c r="F1423" s="575"/>
      <c r="G1423" s="575"/>
      <c r="H1423" s="575"/>
      <c r="I1423" s="575"/>
      <c r="J1423" s="575"/>
      <c r="K1423" s="575"/>
    </row>
    <row r="1424" spans="1:11" x14ac:dyDescent="0.2">
      <c r="A1424" s="583"/>
      <c r="B1424" s="640"/>
      <c r="F1424" s="575"/>
      <c r="G1424" s="575"/>
      <c r="H1424" s="575"/>
      <c r="I1424" s="575"/>
      <c r="J1424" s="575"/>
      <c r="K1424" s="575"/>
    </row>
    <row r="1425" spans="1:11" x14ac:dyDescent="0.2">
      <c r="A1425" s="583"/>
      <c r="B1425" s="640"/>
      <c r="F1425" s="575"/>
      <c r="G1425" s="575"/>
      <c r="H1425" s="575"/>
      <c r="I1425" s="575"/>
      <c r="J1425" s="575"/>
      <c r="K1425" s="575"/>
    </row>
    <row r="1426" spans="1:11" x14ac:dyDescent="0.2">
      <c r="A1426" s="583"/>
      <c r="B1426" s="640"/>
      <c r="F1426" s="575"/>
      <c r="G1426" s="575"/>
      <c r="H1426" s="575"/>
      <c r="I1426" s="575"/>
      <c r="J1426" s="575"/>
      <c r="K1426" s="575"/>
    </row>
    <row r="1427" spans="1:11" x14ac:dyDescent="0.2">
      <c r="A1427" s="583"/>
      <c r="B1427" s="640"/>
      <c r="F1427" s="575"/>
      <c r="G1427" s="575"/>
      <c r="H1427" s="575"/>
      <c r="I1427" s="575"/>
      <c r="J1427" s="575"/>
      <c r="K1427" s="575"/>
    </row>
    <row r="1428" spans="1:11" x14ac:dyDescent="0.2">
      <c r="A1428" s="583"/>
      <c r="B1428" s="640"/>
      <c r="F1428" s="575"/>
      <c r="G1428" s="575"/>
      <c r="H1428" s="575"/>
      <c r="I1428" s="575"/>
      <c r="J1428" s="575"/>
      <c r="K1428" s="575"/>
    </row>
    <row r="1429" spans="1:11" x14ac:dyDescent="0.2">
      <c r="A1429" s="583"/>
      <c r="B1429" s="640"/>
      <c r="F1429" s="575"/>
      <c r="G1429" s="575"/>
      <c r="H1429" s="575"/>
      <c r="I1429" s="575"/>
      <c r="J1429" s="575"/>
      <c r="K1429" s="575"/>
    </row>
    <row r="1430" spans="1:11" x14ac:dyDescent="0.2">
      <c r="A1430" s="583"/>
      <c r="B1430" s="640"/>
      <c r="F1430" s="575"/>
      <c r="G1430" s="575"/>
      <c r="H1430" s="575"/>
      <c r="I1430" s="575"/>
      <c r="J1430" s="575"/>
      <c r="K1430" s="575"/>
    </row>
    <row r="1431" spans="1:11" x14ac:dyDescent="0.2">
      <c r="A1431" s="583"/>
      <c r="B1431" s="640"/>
      <c r="F1431" s="575"/>
      <c r="G1431" s="575"/>
      <c r="H1431" s="575"/>
      <c r="I1431" s="575"/>
      <c r="J1431" s="575"/>
      <c r="K1431" s="575"/>
    </row>
    <row r="1432" spans="1:11" x14ac:dyDescent="0.2">
      <c r="A1432" s="583"/>
      <c r="B1432" s="640"/>
      <c r="F1432" s="575"/>
      <c r="G1432" s="575"/>
      <c r="H1432" s="575"/>
      <c r="I1432" s="575"/>
      <c r="J1432" s="575"/>
      <c r="K1432" s="575"/>
    </row>
    <row r="1433" spans="1:11" x14ac:dyDescent="0.2">
      <c r="A1433" s="583"/>
      <c r="B1433" s="640"/>
      <c r="F1433" s="575"/>
      <c r="G1433" s="575"/>
      <c r="H1433" s="575"/>
      <c r="I1433" s="575"/>
      <c r="J1433" s="575"/>
      <c r="K1433" s="575"/>
    </row>
    <row r="1434" spans="1:11" x14ac:dyDescent="0.2">
      <c r="A1434" s="583"/>
      <c r="B1434" s="640"/>
      <c r="F1434" s="575"/>
      <c r="G1434" s="575"/>
      <c r="H1434" s="575"/>
      <c r="I1434" s="575"/>
      <c r="J1434" s="575"/>
      <c r="K1434" s="575"/>
    </row>
    <row r="1435" spans="1:11" x14ac:dyDescent="0.2">
      <c r="A1435" s="583"/>
      <c r="B1435" s="640"/>
      <c r="F1435" s="575"/>
      <c r="G1435" s="575"/>
      <c r="H1435" s="575"/>
      <c r="I1435" s="575"/>
      <c r="J1435" s="575"/>
      <c r="K1435" s="575"/>
    </row>
    <row r="1436" spans="1:11" x14ac:dyDescent="0.2">
      <c r="A1436" s="583"/>
      <c r="B1436" s="640"/>
      <c r="F1436" s="575"/>
      <c r="G1436" s="575"/>
      <c r="H1436" s="575"/>
      <c r="I1436" s="575"/>
      <c r="J1436" s="575"/>
      <c r="K1436" s="575"/>
    </row>
    <row r="1437" spans="1:11" x14ac:dyDescent="0.2">
      <c r="A1437" s="583"/>
      <c r="B1437" s="640"/>
      <c r="F1437" s="575"/>
      <c r="G1437" s="575"/>
      <c r="H1437" s="575"/>
      <c r="I1437" s="575"/>
      <c r="J1437" s="575"/>
      <c r="K1437" s="575"/>
    </row>
    <row r="1438" spans="1:11" x14ac:dyDescent="0.2">
      <c r="A1438" s="583"/>
      <c r="B1438" s="640"/>
      <c r="F1438" s="575"/>
      <c r="G1438" s="575"/>
      <c r="H1438" s="575"/>
      <c r="I1438" s="575"/>
      <c r="J1438" s="575"/>
      <c r="K1438" s="575"/>
    </row>
    <row r="1439" spans="1:11" x14ac:dyDescent="0.2">
      <c r="A1439" s="583"/>
      <c r="B1439" s="640"/>
      <c r="F1439" s="575"/>
      <c r="G1439" s="575"/>
      <c r="H1439" s="575"/>
      <c r="I1439" s="575"/>
      <c r="J1439" s="575"/>
      <c r="K1439" s="575"/>
    </row>
    <row r="1440" spans="1:11" x14ac:dyDescent="0.2">
      <c r="A1440" s="583"/>
      <c r="B1440" s="640"/>
      <c r="F1440" s="575"/>
      <c r="G1440" s="575"/>
      <c r="H1440" s="575"/>
      <c r="I1440" s="575"/>
      <c r="J1440" s="575"/>
      <c r="K1440" s="575"/>
    </row>
    <row r="1441" spans="1:11" x14ac:dyDescent="0.2">
      <c r="A1441" s="583"/>
      <c r="B1441" s="640"/>
      <c r="F1441" s="575"/>
      <c r="G1441" s="575"/>
      <c r="H1441" s="575"/>
      <c r="I1441" s="575"/>
      <c r="J1441" s="575"/>
      <c r="K1441" s="575"/>
    </row>
    <row r="1442" spans="1:11" x14ac:dyDescent="0.2">
      <c r="A1442" s="583"/>
      <c r="B1442" s="640"/>
      <c r="F1442" s="575"/>
      <c r="G1442" s="575"/>
      <c r="H1442" s="575"/>
      <c r="I1442" s="575"/>
      <c r="J1442" s="575"/>
      <c r="K1442" s="575"/>
    </row>
    <row r="1443" spans="1:11" x14ac:dyDescent="0.2">
      <c r="A1443" s="583"/>
      <c r="B1443" s="640"/>
      <c r="F1443" s="575"/>
      <c r="G1443" s="575"/>
      <c r="H1443" s="575"/>
      <c r="I1443" s="575"/>
      <c r="J1443" s="575"/>
      <c r="K1443" s="575"/>
    </row>
    <row r="1444" spans="1:11" x14ac:dyDescent="0.2">
      <c r="A1444" s="583"/>
      <c r="B1444" s="640"/>
      <c r="F1444" s="575"/>
      <c r="G1444" s="575"/>
      <c r="H1444" s="575"/>
      <c r="I1444" s="575"/>
      <c r="J1444" s="575"/>
      <c r="K1444" s="575"/>
    </row>
    <row r="1445" spans="1:11" x14ac:dyDescent="0.2">
      <c r="A1445" s="583"/>
      <c r="B1445" s="640"/>
      <c r="F1445" s="575"/>
      <c r="G1445" s="575"/>
      <c r="H1445" s="575"/>
      <c r="I1445" s="575"/>
      <c r="J1445" s="575"/>
      <c r="K1445" s="575"/>
    </row>
    <row r="1446" spans="1:11" x14ac:dyDescent="0.2">
      <c r="A1446" s="583"/>
      <c r="B1446" s="640"/>
      <c r="F1446" s="575"/>
      <c r="G1446" s="575"/>
      <c r="H1446" s="575"/>
      <c r="I1446" s="575"/>
      <c r="J1446" s="575"/>
      <c r="K1446" s="575"/>
    </row>
    <row r="1447" spans="1:11" x14ac:dyDescent="0.2">
      <c r="A1447" s="583"/>
      <c r="B1447" s="640"/>
      <c r="F1447" s="575"/>
      <c r="G1447" s="575"/>
      <c r="H1447" s="575"/>
      <c r="I1447" s="575"/>
      <c r="J1447" s="575"/>
      <c r="K1447" s="575"/>
    </row>
    <row r="1448" spans="1:11" x14ac:dyDescent="0.2">
      <c r="A1448" s="583"/>
      <c r="B1448" s="640"/>
      <c r="F1448" s="575"/>
      <c r="G1448" s="575"/>
      <c r="H1448" s="575"/>
      <c r="I1448" s="575"/>
      <c r="J1448" s="575"/>
      <c r="K1448" s="575"/>
    </row>
    <row r="1449" spans="1:11" x14ac:dyDescent="0.2">
      <c r="A1449" s="583"/>
      <c r="B1449" s="640"/>
      <c r="F1449" s="575"/>
      <c r="G1449" s="575"/>
      <c r="H1449" s="575"/>
      <c r="I1449" s="575"/>
      <c r="J1449" s="575"/>
      <c r="K1449" s="575"/>
    </row>
    <row r="1450" spans="1:11" x14ac:dyDescent="0.2">
      <c r="A1450" s="583"/>
      <c r="B1450" s="640"/>
      <c r="F1450" s="575"/>
      <c r="G1450" s="575"/>
      <c r="H1450" s="575"/>
      <c r="I1450" s="575"/>
      <c r="J1450" s="575"/>
      <c r="K1450" s="575"/>
    </row>
    <row r="1451" spans="1:11" x14ac:dyDescent="0.2">
      <c r="A1451" s="583"/>
      <c r="B1451" s="640"/>
      <c r="F1451" s="575"/>
      <c r="G1451" s="575"/>
      <c r="H1451" s="575"/>
      <c r="I1451" s="575"/>
      <c r="J1451" s="575"/>
      <c r="K1451" s="575"/>
    </row>
    <row r="1452" spans="1:11" x14ac:dyDescent="0.2">
      <c r="A1452" s="583"/>
      <c r="B1452" s="640"/>
      <c r="F1452" s="575"/>
      <c r="G1452" s="575"/>
      <c r="H1452" s="575"/>
      <c r="I1452" s="575"/>
      <c r="J1452" s="575"/>
      <c r="K1452" s="575"/>
    </row>
    <row r="1453" spans="1:11" x14ac:dyDescent="0.2">
      <c r="A1453" s="583"/>
      <c r="B1453" s="640"/>
      <c r="F1453" s="575"/>
      <c r="G1453" s="575"/>
      <c r="H1453" s="575"/>
      <c r="I1453" s="575"/>
      <c r="J1453" s="575"/>
      <c r="K1453" s="575"/>
    </row>
    <row r="1454" spans="1:11" x14ac:dyDescent="0.2">
      <c r="A1454" s="583"/>
      <c r="B1454" s="640"/>
      <c r="F1454" s="575"/>
      <c r="G1454" s="575"/>
      <c r="H1454" s="575"/>
      <c r="I1454" s="575"/>
      <c r="J1454" s="575"/>
      <c r="K1454" s="575"/>
    </row>
    <row r="1455" spans="1:11" x14ac:dyDescent="0.2">
      <c r="A1455" s="583"/>
      <c r="B1455" s="640"/>
      <c r="F1455" s="575"/>
      <c r="G1455" s="575"/>
      <c r="H1455" s="575"/>
      <c r="I1455" s="575"/>
      <c r="J1455" s="575"/>
      <c r="K1455" s="575"/>
    </row>
    <row r="1456" spans="1:11" x14ac:dyDescent="0.2">
      <c r="A1456" s="583"/>
      <c r="B1456" s="640"/>
      <c r="F1456" s="575"/>
      <c r="G1456" s="575"/>
      <c r="H1456" s="575"/>
      <c r="I1456" s="575"/>
      <c r="J1456" s="575"/>
      <c r="K1456" s="575"/>
    </row>
    <row r="1457" spans="1:11" x14ac:dyDescent="0.2">
      <c r="A1457" s="583"/>
      <c r="B1457" s="640"/>
      <c r="F1457" s="575"/>
      <c r="G1457" s="575"/>
      <c r="H1457" s="575"/>
      <c r="I1457" s="575"/>
      <c r="J1457" s="575"/>
      <c r="K1457" s="575"/>
    </row>
    <row r="1458" spans="1:11" x14ac:dyDescent="0.2">
      <c r="A1458" s="583"/>
      <c r="B1458" s="640"/>
      <c r="F1458" s="575"/>
      <c r="G1458" s="575"/>
      <c r="H1458" s="575"/>
      <c r="I1458" s="575"/>
      <c r="J1458" s="575"/>
      <c r="K1458" s="575"/>
    </row>
    <row r="1459" spans="1:11" x14ac:dyDescent="0.2">
      <c r="A1459" s="583"/>
      <c r="B1459" s="640"/>
      <c r="F1459" s="575"/>
      <c r="G1459" s="575"/>
      <c r="H1459" s="575"/>
      <c r="I1459" s="575"/>
      <c r="J1459" s="575"/>
      <c r="K1459" s="575"/>
    </row>
    <row r="1460" spans="1:11" x14ac:dyDescent="0.2">
      <c r="A1460" s="583"/>
      <c r="B1460" s="640"/>
      <c r="F1460" s="575"/>
      <c r="G1460" s="575"/>
      <c r="H1460" s="575"/>
      <c r="I1460" s="575"/>
      <c r="J1460" s="575"/>
      <c r="K1460" s="575"/>
    </row>
    <row r="1461" spans="1:11" x14ac:dyDescent="0.2">
      <c r="A1461" s="583"/>
      <c r="B1461" s="640"/>
      <c r="F1461" s="575"/>
      <c r="G1461" s="575"/>
      <c r="H1461" s="575"/>
      <c r="I1461" s="575"/>
      <c r="J1461" s="575"/>
      <c r="K1461" s="575"/>
    </row>
    <row r="1462" spans="1:11" x14ac:dyDescent="0.2">
      <c r="A1462" s="583"/>
      <c r="B1462" s="640"/>
      <c r="F1462" s="575"/>
      <c r="G1462" s="575"/>
      <c r="H1462" s="575"/>
      <c r="I1462" s="575"/>
      <c r="J1462" s="575"/>
      <c r="K1462" s="575"/>
    </row>
    <row r="1463" spans="1:11" x14ac:dyDescent="0.2">
      <c r="A1463" s="583"/>
      <c r="B1463" s="640"/>
      <c r="F1463" s="575"/>
      <c r="G1463" s="575"/>
      <c r="H1463" s="575"/>
      <c r="I1463" s="575"/>
      <c r="J1463" s="575"/>
      <c r="K1463" s="575"/>
    </row>
    <row r="1464" spans="1:11" x14ac:dyDescent="0.2">
      <c r="A1464" s="583"/>
      <c r="B1464" s="640"/>
      <c r="F1464" s="575"/>
      <c r="G1464" s="575"/>
      <c r="H1464" s="575"/>
      <c r="I1464" s="575"/>
      <c r="J1464" s="575"/>
      <c r="K1464" s="575"/>
    </row>
    <row r="1465" spans="1:11" x14ac:dyDescent="0.2">
      <c r="A1465" s="583"/>
      <c r="B1465" s="640"/>
      <c r="F1465" s="575"/>
      <c r="G1465" s="575"/>
      <c r="H1465" s="575"/>
      <c r="I1465" s="575"/>
      <c r="J1465" s="575"/>
      <c r="K1465" s="575"/>
    </row>
    <row r="1466" spans="1:11" x14ac:dyDescent="0.2">
      <c r="A1466" s="583"/>
      <c r="B1466" s="640"/>
      <c r="F1466" s="575"/>
      <c r="G1466" s="575"/>
      <c r="H1466" s="575"/>
      <c r="I1466" s="575"/>
      <c r="J1466" s="575"/>
      <c r="K1466" s="575"/>
    </row>
    <row r="1467" spans="1:11" x14ac:dyDescent="0.2">
      <c r="A1467" s="583"/>
      <c r="B1467" s="640"/>
      <c r="F1467" s="575"/>
      <c r="G1467" s="575"/>
      <c r="H1467" s="575"/>
      <c r="I1467" s="575"/>
      <c r="J1467" s="575"/>
      <c r="K1467" s="575"/>
    </row>
    <row r="1468" spans="1:11" x14ac:dyDescent="0.2">
      <c r="A1468" s="583"/>
      <c r="B1468" s="640"/>
      <c r="F1468" s="575"/>
      <c r="G1468" s="575"/>
      <c r="H1468" s="575"/>
      <c r="I1468" s="575"/>
      <c r="J1468" s="575"/>
      <c r="K1468" s="575"/>
    </row>
    <row r="1469" spans="1:11" x14ac:dyDescent="0.2">
      <c r="A1469" s="583"/>
      <c r="B1469" s="640"/>
      <c r="F1469" s="575"/>
      <c r="G1469" s="575"/>
      <c r="H1469" s="575"/>
      <c r="I1469" s="575"/>
      <c r="J1469" s="575"/>
      <c r="K1469" s="575"/>
    </row>
    <row r="1470" spans="1:11" x14ac:dyDescent="0.2">
      <c r="A1470" s="583"/>
      <c r="B1470" s="640"/>
      <c r="F1470" s="575"/>
      <c r="G1470" s="575"/>
      <c r="H1470" s="575"/>
      <c r="I1470" s="575"/>
      <c r="J1470" s="575"/>
      <c r="K1470" s="575"/>
    </row>
    <row r="1471" spans="1:11" x14ac:dyDescent="0.2">
      <c r="A1471" s="583"/>
      <c r="B1471" s="640"/>
      <c r="F1471" s="575"/>
      <c r="G1471" s="575"/>
      <c r="H1471" s="575"/>
      <c r="I1471" s="575"/>
      <c r="J1471" s="575"/>
      <c r="K1471" s="575"/>
    </row>
    <row r="1472" spans="1:11" x14ac:dyDescent="0.2">
      <c r="A1472" s="583"/>
      <c r="B1472" s="640"/>
      <c r="F1472" s="575"/>
      <c r="G1472" s="575"/>
      <c r="H1472" s="575"/>
      <c r="I1472" s="575"/>
      <c r="J1472" s="575"/>
      <c r="K1472" s="575"/>
    </row>
    <row r="1473" spans="1:11" x14ac:dyDescent="0.2">
      <c r="A1473" s="583"/>
      <c r="B1473" s="640"/>
      <c r="F1473" s="575"/>
      <c r="G1473" s="575"/>
      <c r="H1473" s="575"/>
      <c r="I1473" s="575"/>
      <c r="J1473" s="575"/>
      <c r="K1473" s="575"/>
    </row>
    <row r="1474" spans="1:11" x14ac:dyDescent="0.2">
      <c r="A1474" s="583"/>
      <c r="B1474" s="640"/>
      <c r="F1474" s="575"/>
      <c r="G1474" s="575"/>
      <c r="H1474" s="575"/>
      <c r="I1474" s="575"/>
      <c r="J1474" s="575"/>
      <c r="K1474" s="575"/>
    </row>
    <row r="1475" spans="1:11" x14ac:dyDescent="0.2">
      <c r="A1475" s="583"/>
      <c r="B1475" s="640"/>
      <c r="F1475" s="575"/>
      <c r="G1475" s="575"/>
      <c r="H1475" s="575"/>
      <c r="I1475" s="575"/>
      <c r="J1475" s="575"/>
      <c r="K1475" s="575"/>
    </row>
    <row r="1476" spans="1:11" x14ac:dyDescent="0.2">
      <c r="A1476" s="583"/>
      <c r="B1476" s="640"/>
      <c r="F1476" s="575"/>
      <c r="G1476" s="575"/>
      <c r="H1476" s="575"/>
      <c r="I1476" s="575"/>
      <c r="J1476" s="575"/>
      <c r="K1476" s="575"/>
    </row>
    <row r="1477" spans="1:11" x14ac:dyDescent="0.2">
      <c r="A1477" s="583"/>
      <c r="B1477" s="640"/>
      <c r="F1477" s="575"/>
      <c r="G1477" s="575"/>
      <c r="H1477" s="575"/>
      <c r="I1477" s="575"/>
      <c r="J1477" s="575"/>
      <c r="K1477" s="575"/>
    </row>
    <row r="1478" spans="1:11" x14ac:dyDescent="0.2">
      <c r="A1478" s="583"/>
      <c r="B1478" s="640"/>
      <c r="F1478" s="575"/>
      <c r="G1478" s="575"/>
      <c r="H1478" s="575"/>
      <c r="I1478" s="575"/>
      <c r="J1478" s="575"/>
      <c r="K1478" s="575"/>
    </row>
    <row r="1479" spans="1:11" x14ac:dyDescent="0.2">
      <c r="A1479" s="583"/>
      <c r="B1479" s="640"/>
      <c r="F1479" s="575"/>
      <c r="G1479" s="575"/>
      <c r="H1479" s="575"/>
      <c r="I1479" s="575"/>
      <c r="J1479" s="575"/>
      <c r="K1479" s="575"/>
    </row>
    <row r="1480" spans="1:11" x14ac:dyDescent="0.2">
      <c r="A1480" s="583"/>
      <c r="B1480" s="640"/>
      <c r="F1480" s="575"/>
      <c r="G1480" s="575"/>
      <c r="H1480" s="575"/>
      <c r="I1480" s="575"/>
      <c r="J1480" s="575"/>
      <c r="K1480" s="575"/>
    </row>
    <row r="1481" spans="1:11" x14ac:dyDescent="0.2">
      <c r="A1481" s="583"/>
      <c r="B1481" s="640"/>
      <c r="F1481" s="575"/>
      <c r="G1481" s="575"/>
      <c r="H1481" s="575"/>
      <c r="I1481" s="575"/>
      <c r="J1481" s="575"/>
      <c r="K1481" s="575"/>
    </row>
    <row r="1482" spans="1:11" x14ac:dyDescent="0.2">
      <c r="A1482" s="583"/>
      <c r="B1482" s="640"/>
      <c r="F1482" s="575"/>
      <c r="G1482" s="575"/>
      <c r="H1482" s="575"/>
      <c r="I1482" s="575"/>
      <c r="J1482" s="575"/>
      <c r="K1482" s="575"/>
    </row>
    <row r="1483" spans="1:11" x14ac:dyDescent="0.2">
      <c r="A1483" s="583"/>
      <c r="B1483" s="640"/>
      <c r="F1483" s="575"/>
      <c r="G1483" s="575"/>
      <c r="H1483" s="575"/>
      <c r="I1483" s="575"/>
      <c r="J1483" s="575"/>
      <c r="K1483" s="575"/>
    </row>
    <row r="1484" spans="1:11" x14ac:dyDescent="0.2">
      <c r="A1484" s="583"/>
      <c r="B1484" s="640"/>
      <c r="F1484" s="575"/>
      <c r="G1484" s="575"/>
      <c r="H1484" s="575"/>
      <c r="I1484" s="575"/>
      <c r="J1484" s="575"/>
      <c r="K1484" s="575"/>
    </row>
    <row r="1485" spans="1:11" x14ac:dyDescent="0.2">
      <c r="A1485" s="583"/>
      <c r="B1485" s="640"/>
      <c r="F1485" s="575"/>
      <c r="G1485" s="575"/>
      <c r="H1485" s="575"/>
      <c r="I1485" s="575"/>
      <c r="J1485" s="575"/>
      <c r="K1485" s="575"/>
    </row>
    <row r="1486" spans="1:11" x14ac:dyDescent="0.2">
      <c r="A1486" s="583"/>
      <c r="B1486" s="640"/>
      <c r="F1486" s="575"/>
      <c r="G1486" s="575"/>
      <c r="H1486" s="575"/>
      <c r="I1486" s="575"/>
      <c r="J1486" s="575"/>
      <c r="K1486" s="575"/>
    </row>
    <row r="1487" spans="1:11" x14ac:dyDescent="0.2">
      <c r="A1487" s="583"/>
      <c r="B1487" s="640"/>
      <c r="F1487" s="575"/>
      <c r="G1487" s="575"/>
      <c r="H1487" s="575"/>
      <c r="I1487" s="575"/>
      <c r="J1487" s="575"/>
      <c r="K1487" s="575"/>
    </row>
    <row r="1488" spans="1:11" x14ac:dyDescent="0.2">
      <c r="A1488" s="583"/>
      <c r="B1488" s="640"/>
      <c r="F1488" s="575"/>
      <c r="G1488" s="575"/>
      <c r="H1488" s="575"/>
      <c r="I1488" s="575"/>
      <c r="J1488" s="575"/>
      <c r="K1488" s="575"/>
    </row>
    <row r="1489" spans="1:11" x14ac:dyDescent="0.2">
      <c r="A1489" s="583"/>
      <c r="B1489" s="640"/>
      <c r="F1489" s="575"/>
      <c r="G1489" s="575"/>
      <c r="H1489" s="575"/>
      <c r="I1489" s="575"/>
      <c r="J1489" s="575"/>
      <c r="K1489" s="575"/>
    </row>
    <row r="1490" spans="1:11" x14ac:dyDescent="0.2">
      <c r="A1490" s="583"/>
      <c r="B1490" s="640"/>
      <c r="F1490" s="575"/>
      <c r="G1490" s="575"/>
      <c r="H1490" s="575"/>
      <c r="I1490" s="575"/>
      <c r="J1490" s="575"/>
      <c r="K1490" s="575"/>
    </row>
    <row r="1491" spans="1:11" x14ac:dyDescent="0.2">
      <c r="A1491" s="583"/>
      <c r="B1491" s="640"/>
      <c r="F1491" s="575"/>
      <c r="G1491" s="575"/>
      <c r="H1491" s="575"/>
      <c r="I1491" s="575"/>
      <c r="J1491" s="575"/>
      <c r="K1491" s="575"/>
    </row>
    <row r="1492" spans="1:11" x14ac:dyDescent="0.2">
      <c r="A1492" s="583"/>
      <c r="B1492" s="640"/>
      <c r="F1492" s="575"/>
      <c r="G1492" s="575"/>
      <c r="H1492" s="575"/>
      <c r="I1492" s="575"/>
      <c r="J1492" s="575"/>
      <c r="K1492" s="575"/>
    </row>
    <row r="1493" spans="1:11" x14ac:dyDescent="0.2">
      <c r="A1493" s="583"/>
      <c r="B1493" s="640"/>
      <c r="F1493" s="575"/>
      <c r="G1493" s="575"/>
      <c r="H1493" s="575"/>
      <c r="I1493" s="575"/>
      <c r="J1493" s="575"/>
      <c r="K1493" s="575"/>
    </row>
    <row r="1494" spans="1:11" x14ac:dyDescent="0.2">
      <c r="A1494" s="583"/>
      <c r="B1494" s="640"/>
      <c r="F1494" s="575"/>
      <c r="G1494" s="575"/>
      <c r="H1494" s="575"/>
      <c r="I1494" s="575"/>
      <c r="J1494" s="575"/>
      <c r="K1494" s="575"/>
    </row>
    <row r="1495" spans="1:11" x14ac:dyDescent="0.2">
      <c r="A1495" s="583"/>
      <c r="B1495" s="640"/>
      <c r="F1495" s="575"/>
      <c r="G1495" s="575"/>
      <c r="H1495" s="575"/>
      <c r="I1495" s="575"/>
      <c r="J1495" s="575"/>
      <c r="K1495" s="575"/>
    </row>
    <row r="1496" spans="1:11" x14ac:dyDescent="0.2">
      <c r="A1496" s="583"/>
      <c r="B1496" s="640"/>
      <c r="F1496" s="575"/>
      <c r="G1496" s="575"/>
      <c r="H1496" s="575"/>
      <c r="I1496" s="575"/>
      <c r="J1496" s="575"/>
      <c r="K1496" s="575"/>
    </row>
    <row r="1497" spans="1:11" x14ac:dyDescent="0.2">
      <c r="A1497" s="583"/>
      <c r="B1497" s="640"/>
      <c r="F1497" s="575"/>
      <c r="G1497" s="575"/>
      <c r="H1497" s="575"/>
      <c r="I1497" s="575"/>
      <c r="J1497" s="575"/>
      <c r="K1497" s="575"/>
    </row>
    <row r="1498" spans="1:11" x14ac:dyDescent="0.2">
      <c r="A1498" s="583"/>
      <c r="B1498" s="640"/>
      <c r="F1498" s="575"/>
      <c r="G1498" s="575"/>
      <c r="H1498" s="575"/>
      <c r="I1498" s="575"/>
      <c r="J1498" s="575"/>
      <c r="K1498" s="575"/>
    </row>
    <row r="1499" spans="1:11" x14ac:dyDescent="0.2">
      <c r="A1499" s="583"/>
      <c r="B1499" s="640"/>
      <c r="F1499" s="575"/>
      <c r="G1499" s="575"/>
      <c r="H1499" s="575"/>
      <c r="I1499" s="575"/>
      <c r="J1499" s="575"/>
      <c r="K1499" s="575"/>
    </row>
    <row r="1500" spans="1:11" x14ac:dyDescent="0.2">
      <c r="A1500" s="583"/>
      <c r="B1500" s="640"/>
      <c r="F1500" s="575"/>
      <c r="G1500" s="575"/>
      <c r="H1500" s="575"/>
      <c r="I1500" s="575"/>
      <c r="J1500" s="575"/>
      <c r="K1500" s="575"/>
    </row>
    <row r="1501" spans="1:11" x14ac:dyDescent="0.2">
      <c r="A1501" s="583"/>
      <c r="B1501" s="640"/>
      <c r="F1501" s="575"/>
      <c r="G1501" s="575"/>
      <c r="H1501" s="575"/>
      <c r="I1501" s="575"/>
      <c r="J1501" s="575"/>
      <c r="K1501" s="575"/>
    </row>
    <row r="1502" spans="1:11" x14ac:dyDescent="0.2">
      <c r="A1502" s="583"/>
      <c r="B1502" s="640"/>
      <c r="F1502" s="575"/>
      <c r="G1502" s="575"/>
      <c r="H1502" s="575"/>
      <c r="I1502" s="575"/>
      <c r="J1502" s="575"/>
      <c r="K1502" s="575"/>
    </row>
    <row r="1503" spans="1:11" x14ac:dyDescent="0.2">
      <c r="A1503" s="583"/>
      <c r="B1503" s="640"/>
      <c r="F1503" s="575"/>
      <c r="G1503" s="575"/>
      <c r="H1503" s="575"/>
      <c r="I1503" s="575"/>
      <c r="J1503" s="575"/>
      <c r="K1503" s="575"/>
    </row>
    <row r="1504" spans="1:11" x14ac:dyDescent="0.2">
      <c r="A1504" s="583"/>
      <c r="B1504" s="640"/>
      <c r="F1504" s="575"/>
      <c r="G1504" s="575"/>
      <c r="H1504" s="575"/>
      <c r="I1504" s="575"/>
      <c r="J1504" s="575"/>
      <c r="K1504" s="575"/>
    </row>
    <row r="1505" spans="1:11" x14ac:dyDescent="0.2">
      <c r="A1505" s="583"/>
      <c r="B1505" s="640"/>
      <c r="F1505" s="575"/>
      <c r="G1505" s="575"/>
      <c r="H1505" s="575"/>
      <c r="I1505" s="575"/>
      <c r="J1505" s="575"/>
      <c r="K1505" s="575"/>
    </row>
    <row r="1506" spans="1:11" x14ac:dyDescent="0.2">
      <c r="A1506" s="583"/>
      <c r="B1506" s="640"/>
      <c r="F1506" s="575"/>
      <c r="G1506" s="575"/>
      <c r="H1506" s="575"/>
      <c r="I1506" s="575"/>
      <c r="J1506" s="575"/>
      <c r="K1506" s="575"/>
    </row>
    <row r="1507" spans="1:11" x14ac:dyDescent="0.2">
      <c r="A1507" s="583"/>
      <c r="B1507" s="640"/>
      <c r="F1507" s="575"/>
      <c r="G1507" s="575"/>
      <c r="H1507" s="575"/>
      <c r="I1507" s="575"/>
      <c r="J1507" s="575"/>
      <c r="K1507" s="575"/>
    </row>
    <row r="1508" spans="1:11" x14ac:dyDescent="0.2">
      <c r="A1508" s="583"/>
      <c r="B1508" s="640"/>
      <c r="F1508" s="575"/>
      <c r="G1508" s="575"/>
      <c r="H1508" s="575"/>
      <c r="I1508" s="575"/>
      <c r="J1508" s="575"/>
      <c r="K1508" s="575"/>
    </row>
    <row r="1509" spans="1:11" x14ac:dyDescent="0.2">
      <c r="A1509" s="583"/>
      <c r="B1509" s="640"/>
      <c r="F1509" s="575"/>
      <c r="G1509" s="575"/>
      <c r="H1509" s="575"/>
      <c r="I1509" s="575"/>
      <c r="J1509" s="575"/>
      <c r="K1509" s="575"/>
    </row>
    <row r="1510" spans="1:11" x14ac:dyDescent="0.2">
      <c r="A1510" s="583"/>
      <c r="B1510" s="640"/>
      <c r="F1510" s="575"/>
      <c r="G1510" s="575"/>
      <c r="H1510" s="575"/>
      <c r="I1510" s="575"/>
      <c r="J1510" s="575"/>
      <c r="K1510" s="575"/>
    </row>
    <row r="1511" spans="1:11" x14ac:dyDescent="0.2">
      <c r="A1511" s="583"/>
      <c r="B1511" s="640"/>
      <c r="F1511" s="575"/>
      <c r="G1511" s="575"/>
      <c r="H1511" s="575"/>
      <c r="I1511" s="575"/>
      <c r="J1511" s="575"/>
      <c r="K1511" s="575"/>
    </row>
    <row r="1512" spans="1:11" x14ac:dyDescent="0.2">
      <c r="A1512" s="583"/>
      <c r="B1512" s="640"/>
      <c r="F1512" s="575"/>
      <c r="G1512" s="575"/>
      <c r="H1512" s="575"/>
      <c r="I1512" s="575"/>
      <c r="J1512" s="575"/>
      <c r="K1512" s="575"/>
    </row>
    <row r="1513" spans="1:11" x14ac:dyDescent="0.2">
      <c r="A1513" s="583"/>
      <c r="B1513" s="640"/>
      <c r="F1513" s="575"/>
      <c r="G1513" s="575"/>
      <c r="H1513" s="575"/>
      <c r="I1513" s="575"/>
      <c r="J1513" s="575"/>
      <c r="K1513" s="575"/>
    </row>
    <row r="1514" spans="1:11" x14ac:dyDescent="0.2">
      <c r="A1514" s="583"/>
      <c r="B1514" s="640"/>
      <c r="F1514" s="575"/>
      <c r="G1514" s="575"/>
      <c r="H1514" s="575"/>
      <c r="I1514" s="575"/>
      <c r="J1514" s="575"/>
      <c r="K1514" s="575"/>
    </row>
    <row r="1515" spans="1:11" x14ac:dyDescent="0.2">
      <c r="A1515" s="583"/>
      <c r="B1515" s="640"/>
      <c r="F1515" s="575"/>
      <c r="G1515" s="575"/>
      <c r="H1515" s="575"/>
      <c r="I1515" s="575"/>
      <c r="J1515" s="575"/>
      <c r="K1515" s="575"/>
    </row>
    <row r="1516" spans="1:11" x14ac:dyDescent="0.2">
      <c r="A1516" s="583"/>
      <c r="B1516" s="640"/>
      <c r="F1516" s="575"/>
      <c r="G1516" s="575"/>
      <c r="H1516" s="575"/>
      <c r="I1516" s="575"/>
      <c r="J1516" s="575"/>
      <c r="K1516" s="575"/>
    </row>
    <row r="1517" spans="1:11" x14ac:dyDescent="0.2">
      <c r="A1517" s="583"/>
      <c r="B1517" s="640"/>
      <c r="F1517" s="575"/>
      <c r="G1517" s="575"/>
      <c r="H1517" s="575"/>
      <c r="I1517" s="575"/>
      <c r="J1517" s="575"/>
      <c r="K1517" s="575"/>
    </row>
    <row r="1518" spans="1:11" x14ac:dyDescent="0.2">
      <c r="A1518" s="583"/>
      <c r="B1518" s="640"/>
      <c r="F1518" s="575"/>
      <c r="G1518" s="575"/>
      <c r="H1518" s="575"/>
      <c r="I1518" s="575"/>
      <c r="J1518" s="575"/>
      <c r="K1518" s="575"/>
    </row>
    <row r="1519" spans="1:11" x14ac:dyDescent="0.2">
      <c r="A1519" s="583"/>
      <c r="B1519" s="640"/>
      <c r="F1519" s="575"/>
      <c r="G1519" s="575"/>
      <c r="H1519" s="575"/>
      <c r="I1519" s="575"/>
      <c r="J1519" s="575"/>
      <c r="K1519" s="575"/>
    </row>
    <row r="1520" spans="1:11" x14ac:dyDescent="0.2">
      <c r="A1520" s="583"/>
      <c r="B1520" s="640"/>
      <c r="F1520" s="575"/>
      <c r="G1520" s="575"/>
      <c r="H1520" s="575"/>
      <c r="I1520" s="575"/>
      <c r="J1520" s="575"/>
      <c r="K1520" s="575"/>
    </row>
    <row r="1521" spans="1:11" x14ac:dyDescent="0.2">
      <c r="A1521" s="583"/>
      <c r="B1521" s="640"/>
      <c r="F1521" s="575"/>
      <c r="G1521" s="575"/>
      <c r="H1521" s="575"/>
      <c r="I1521" s="575"/>
      <c r="J1521" s="575"/>
      <c r="K1521" s="575"/>
    </row>
    <row r="1522" spans="1:11" x14ac:dyDescent="0.2">
      <c r="A1522" s="583"/>
      <c r="B1522" s="640"/>
      <c r="F1522" s="575"/>
      <c r="G1522" s="575"/>
      <c r="H1522" s="575"/>
      <c r="I1522" s="575"/>
      <c r="J1522" s="575"/>
      <c r="K1522" s="575"/>
    </row>
    <row r="1523" spans="1:11" x14ac:dyDescent="0.2">
      <c r="A1523" s="583"/>
      <c r="B1523" s="640"/>
      <c r="F1523" s="575"/>
      <c r="G1523" s="575"/>
      <c r="H1523" s="575"/>
      <c r="I1523" s="575"/>
      <c r="J1523" s="575"/>
      <c r="K1523" s="575"/>
    </row>
    <row r="1524" spans="1:11" x14ac:dyDescent="0.2">
      <c r="A1524" s="583"/>
      <c r="B1524" s="640"/>
      <c r="F1524" s="575"/>
      <c r="G1524" s="575"/>
      <c r="H1524" s="575"/>
      <c r="I1524" s="575"/>
      <c r="J1524" s="575"/>
      <c r="K1524" s="575"/>
    </row>
    <row r="1525" spans="1:11" x14ac:dyDescent="0.2">
      <c r="A1525" s="583"/>
      <c r="B1525" s="640"/>
      <c r="F1525" s="575"/>
      <c r="G1525" s="575"/>
      <c r="H1525" s="575"/>
      <c r="I1525" s="575"/>
      <c r="J1525" s="575"/>
      <c r="K1525" s="575"/>
    </row>
    <row r="1526" spans="1:11" x14ac:dyDescent="0.2">
      <c r="A1526" s="583"/>
      <c r="B1526" s="640"/>
      <c r="F1526" s="575"/>
      <c r="G1526" s="575"/>
      <c r="H1526" s="575"/>
      <c r="I1526" s="575"/>
      <c r="J1526" s="575"/>
      <c r="K1526" s="575"/>
    </row>
    <row r="1527" spans="1:11" x14ac:dyDescent="0.2">
      <c r="A1527" s="583"/>
      <c r="B1527" s="640"/>
      <c r="F1527" s="575"/>
      <c r="G1527" s="575"/>
      <c r="H1527" s="575"/>
      <c r="I1527" s="575"/>
      <c r="J1527" s="575"/>
      <c r="K1527" s="575"/>
    </row>
    <row r="1528" spans="1:11" x14ac:dyDescent="0.2">
      <c r="A1528" s="583"/>
      <c r="B1528" s="640"/>
      <c r="F1528" s="575"/>
      <c r="G1528" s="575"/>
      <c r="H1528" s="575"/>
      <c r="I1528" s="575"/>
      <c r="J1528" s="575"/>
      <c r="K1528" s="575"/>
    </row>
    <row r="1529" spans="1:11" x14ac:dyDescent="0.2">
      <c r="A1529" s="583"/>
      <c r="B1529" s="640"/>
      <c r="F1529" s="575"/>
      <c r="G1529" s="575"/>
      <c r="H1529" s="575"/>
      <c r="I1529" s="575"/>
      <c r="J1529" s="575"/>
      <c r="K1529" s="575"/>
    </row>
    <row r="1530" spans="1:11" x14ac:dyDescent="0.2">
      <c r="A1530" s="583"/>
      <c r="B1530" s="640"/>
      <c r="F1530" s="575"/>
      <c r="G1530" s="575"/>
      <c r="H1530" s="575"/>
      <c r="I1530" s="575"/>
      <c r="J1530" s="575"/>
      <c r="K1530" s="575"/>
    </row>
    <row r="1531" spans="1:11" x14ac:dyDescent="0.2">
      <c r="A1531" s="583"/>
      <c r="B1531" s="640"/>
      <c r="F1531" s="575"/>
      <c r="G1531" s="575"/>
      <c r="H1531" s="575"/>
      <c r="I1531" s="575"/>
      <c r="J1531" s="575"/>
      <c r="K1531" s="575"/>
    </row>
    <row r="1532" spans="1:11" x14ac:dyDescent="0.2">
      <c r="A1532" s="583"/>
      <c r="B1532" s="640"/>
      <c r="F1532" s="575"/>
      <c r="G1532" s="575"/>
      <c r="H1532" s="575"/>
      <c r="I1532" s="575"/>
      <c r="J1532" s="575"/>
      <c r="K1532" s="575"/>
    </row>
    <row r="1533" spans="1:11" x14ac:dyDescent="0.2">
      <c r="A1533" s="583"/>
      <c r="B1533" s="640"/>
      <c r="F1533" s="575"/>
      <c r="G1533" s="575"/>
      <c r="H1533" s="575"/>
      <c r="I1533" s="575"/>
      <c r="J1533" s="575"/>
      <c r="K1533" s="575"/>
    </row>
    <row r="1534" spans="1:11" x14ac:dyDescent="0.2">
      <c r="A1534" s="583"/>
      <c r="B1534" s="640"/>
      <c r="F1534" s="575"/>
      <c r="G1534" s="575"/>
      <c r="H1534" s="575"/>
      <c r="I1534" s="575"/>
      <c r="J1534" s="575"/>
      <c r="K1534" s="575"/>
    </row>
    <row r="1535" spans="1:11" x14ac:dyDescent="0.2">
      <c r="A1535" s="583"/>
      <c r="B1535" s="640"/>
      <c r="F1535" s="575"/>
      <c r="G1535" s="575"/>
      <c r="H1535" s="575"/>
      <c r="I1535" s="575"/>
      <c r="J1535" s="575"/>
      <c r="K1535" s="575"/>
    </row>
    <row r="1536" spans="1:11" x14ac:dyDescent="0.2">
      <c r="A1536" s="583"/>
      <c r="B1536" s="640"/>
      <c r="F1536" s="575"/>
      <c r="G1536" s="575"/>
      <c r="H1536" s="575"/>
      <c r="I1536" s="575"/>
      <c r="J1536" s="575"/>
      <c r="K1536" s="575"/>
    </row>
    <row r="1537" spans="1:11" x14ac:dyDescent="0.2">
      <c r="A1537" s="583"/>
      <c r="B1537" s="640"/>
      <c r="F1537" s="575"/>
      <c r="G1537" s="575"/>
      <c r="H1537" s="575"/>
      <c r="I1537" s="575"/>
      <c r="J1537" s="575"/>
      <c r="K1537" s="575"/>
    </row>
    <row r="1538" spans="1:11" x14ac:dyDescent="0.2">
      <c r="A1538" s="583"/>
      <c r="B1538" s="640"/>
      <c r="F1538" s="575"/>
      <c r="G1538" s="575"/>
      <c r="H1538" s="575"/>
      <c r="I1538" s="575"/>
      <c r="J1538" s="575"/>
      <c r="K1538" s="575"/>
    </row>
    <row r="1539" spans="1:11" x14ac:dyDescent="0.2">
      <c r="A1539" s="583"/>
      <c r="B1539" s="640"/>
      <c r="F1539" s="575"/>
      <c r="G1539" s="575"/>
      <c r="H1539" s="575"/>
      <c r="I1539" s="575"/>
      <c r="J1539" s="575"/>
      <c r="K1539" s="575"/>
    </row>
    <row r="1540" spans="1:11" x14ac:dyDescent="0.2">
      <c r="A1540" s="583"/>
      <c r="B1540" s="640"/>
      <c r="F1540" s="575"/>
      <c r="G1540" s="575"/>
      <c r="H1540" s="575"/>
      <c r="I1540" s="575"/>
      <c r="J1540" s="575"/>
      <c r="K1540" s="575"/>
    </row>
    <row r="1541" spans="1:11" x14ac:dyDescent="0.2">
      <c r="A1541" s="583"/>
      <c r="B1541" s="640"/>
      <c r="F1541" s="575"/>
      <c r="G1541" s="575"/>
      <c r="H1541" s="575"/>
      <c r="I1541" s="575"/>
      <c r="J1541" s="575"/>
      <c r="K1541" s="575"/>
    </row>
    <row r="1542" spans="1:11" x14ac:dyDescent="0.2">
      <c r="A1542" s="583"/>
      <c r="B1542" s="640"/>
      <c r="F1542" s="575"/>
      <c r="G1542" s="575"/>
      <c r="H1542" s="575"/>
      <c r="I1542" s="575"/>
      <c r="J1542" s="575"/>
      <c r="K1542" s="575"/>
    </row>
    <row r="1543" spans="1:11" x14ac:dyDescent="0.2">
      <c r="A1543" s="583"/>
      <c r="B1543" s="640"/>
      <c r="F1543" s="575"/>
      <c r="G1543" s="575"/>
      <c r="H1543" s="575"/>
      <c r="I1543" s="575"/>
      <c r="J1543" s="575"/>
      <c r="K1543" s="575"/>
    </row>
    <row r="1544" spans="1:11" x14ac:dyDescent="0.2">
      <c r="A1544" s="583"/>
      <c r="B1544" s="640"/>
      <c r="F1544" s="575"/>
      <c r="G1544" s="575"/>
      <c r="H1544" s="575"/>
      <c r="I1544" s="575"/>
      <c r="J1544" s="575"/>
      <c r="K1544" s="575"/>
    </row>
    <row r="1545" spans="1:11" x14ac:dyDescent="0.2">
      <c r="A1545" s="583"/>
      <c r="B1545" s="640"/>
      <c r="F1545" s="575"/>
      <c r="G1545" s="575"/>
      <c r="H1545" s="575"/>
      <c r="I1545" s="575"/>
      <c r="J1545" s="575"/>
      <c r="K1545" s="575"/>
    </row>
    <row r="1546" spans="1:11" x14ac:dyDescent="0.2">
      <c r="A1546" s="583"/>
      <c r="B1546" s="640"/>
      <c r="F1546" s="575"/>
      <c r="G1546" s="575"/>
      <c r="H1546" s="575"/>
      <c r="I1546" s="575"/>
      <c r="J1546" s="575"/>
      <c r="K1546" s="575"/>
    </row>
    <row r="1547" spans="1:11" x14ac:dyDescent="0.2">
      <c r="A1547" s="583"/>
      <c r="B1547" s="640"/>
      <c r="F1547" s="575"/>
      <c r="G1547" s="575"/>
      <c r="H1547" s="575"/>
      <c r="I1547" s="575"/>
      <c r="J1547" s="575"/>
      <c r="K1547" s="575"/>
    </row>
    <row r="1548" spans="1:11" x14ac:dyDescent="0.2">
      <c r="A1548" s="583"/>
      <c r="B1548" s="640"/>
      <c r="F1548" s="575"/>
      <c r="G1548" s="575"/>
      <c r="H1548" s="575"/>
      <c r="I1548" s="575"/>
      <c r="J1548" s="575"/>
      <c r="K1548" s="575"/>
    </row>
    <row r="1549" spans="1:11" x14ac:dyDescent="0.2">
      <c r="A1549" s="583"/>
      <c r="B1549" s="640"/>
      <c r="F1549" s="575"/>
      <c r="G1549" s="575"/>
      <c r="H1549" s="575"/>
      <c r="I1549" s="575"/>
      <c r="J1549" s="575"/>
      <c r="K1549" s="575"/>
    </row>
    <row r="1550" spans="1:11" x14ac:dyDescent="0.2">
      <c r="A1550" s="583"/>
      <c r="B1550" s="640"/>
      <c r="F1550" s="575"/>
      <c r="G1550" s="575"/>
      <c r="H1550" s="575"/>
      <c r="I1550" s="575"/>
      <c r="J1550" s="575"/>
      <c r="K1550" s="575"/>
    </row>
    <row r="1551" spans="1:11" x14ac:dyDescent="0.2">
      <c r="A1551" s="583"/>
      <c r="B1551" s="640"/>
      <c r="F1551" s="575"/>
      <c r="G1551" s="575"/>
      <c r="H1551" s="575"/>
      <c r="I1551" s="575"/>
      <c r="J1551" s="575"/>
      <c r="K1551" s="575"/>
    </row>
    <row r="1552" spans="1:11" x14ac:dyDescent="0.2">
      <c r="A1552" s="583"/>
      <c r="B1552" s="640"/>
      <c r="F1552" s="575"/>
      <c r="G1552" s="575"/>
      <c r="H1552" s="575"/>
      <c r="I1552" s="575"/>
      <c r="J1552" s="575"/>
      <c r="K1552" s="575"/>
    </row>
    <row r="1553" spans="1:11" x14ac:dyDescent="0.2">
      <c r="A1553" s="583"/>
      <c r="B1553" s="640"/>
      <c r="F1553" s="575"/>
      <c r="G1553" s="575"/>
      <c r="H1553" s="575"/>
      <c r="I1553" s="575"/>
      <c r="J1553" s="575"/>
      <c r="K1553" s="575"/>
    </row>
    <row r="1554" spans="1:11" x14ac:dyDescent="0.2">
      <c r="A1554" s="583"/>
      <c r="B1554" s="640"/>
      <c r="F1554" s="575"/>
      <c r="G1554" s="575"/>
      <c r="H1554" s="575"/>
      <c r="I1554" s="575"/>
      <c r="J1554" s="575"/>
      <c r="K1554" s="575"/>
    </row>
    <row r="1555" spans="1:11" x14ac:dyDescent="0.2">
      <c r="A1555" s="583"/>
      <c r="B1555" s="640"/>
      <c r="F1555" s="575"/>
      <c r="G1555" s="575"/>
      <c r="H1555" s="575"/>
      <c r="I1555" s="575"/>
      <c r="J1555" s="575"/>
      <c r="K1555" s="575"/>
    </row>
    <row r="1556" spans="1:11" x14ac:dyDescent="0.2">
      <c r="A1556" s="583"/>
      <c r="B1556" s="640"/>
      <c r="F1556" s="575"/>
      <c r="G1556" s="575"/>
      <c r="H1556" s="575"/>
      <c r="I1556" s="575"/>
      <c r="J1556" s="575"/>
      <c r="K1556" s="575"/>
    </row>
    <row r="1557" spans="1:11" x14ac:dyDescent="0.2">
      <c r="A1557" s="583"/>
      <c r="B1557" s="640"/>
      <c r="F1557" s="575"/>
      <c r="G1557" s="575"/>
      <c r="H1557" s="575"/>
      <c r="I1557" s="575"/>
      <c r="J1557" s="575"/>
      <c r="K1557" s="575"/>
    </row>
    <row r="1558" spans="1:11" x14ac:dyDescent="0.2">
      <c r="A1558" s="583"/>
      <c r="B1558" s="640"/>
      <c r="F1558" s="575"/>
      <c r="G1558" s="575"/>
      <c r="H1558" s="575"/>
      <c r="I1558" s="575"/>
      <c r="J1558" s="575"/>
      <c r="K1558" s="575"/>
    </row>
    <row r="1559" spans="1:11" x14ac:dyDescent="0.2">
      <c r="A1559" s="583"/>
      <c r="B1559" s="640"/>
      <c r="F1559" s="575"/>
      <c r="G1559" s="575"/>
      <c r="H1559" s="575"/>
      <c r="I1559" s="575"/>
      <c r="J1559" s="575"/>
      <c r="K1559" s="575"/>
    </row>
    <row r="1560" spans="1:11" x14ac:dyDescent="0.2">
      <c r="A1560" s="583"/>
      <c r="B1560" s="640"/>
      <c r="F1560" s="575"/>
      <c r="G1560" s="575"/>
      <c r="H1560" s="575"/>
      <c r="I1560" s="575"/>
      <c r="J1560" s="575"/>
      <c r="K1560" s="575"/>
    </row>
    <row r="1561" spans="1:11" x14ac:dyDescent="0.2">
      <c r="A1561" s="583"/>
      <c r="B1561" s="640"/>
      <c r="F1561" s="575"/>
      <c r="G1561" s="575"/>
      <c r="H1561" s="575"/>
      <c r="I1561" s="575"/>
      <c r="J1561" s="575"/>
      <c r="K1561" s="575"/>
    </row>
    <row r="1562" spans="1:11" x14ac:dyDescent="0.2">
      <c r="A1562" s="583"/>
      <c r="B1562" s="640"/>
      <c r="F1562" s="575"/>
      <c r="G1562" s="575"/>
      <c r="H1562" s="575"/>
      <c r="I1562" s="575"/>
      <c r="J1562" s="575"/>
      <c r="K1562" s="575"/>
    </row>
    <row r="1563" spans="1:11" x14ac:dyDescent="0.2">
      <c r="A1563" s="583"/>
      <c r="B1563" s="640"/>
      <c r="F1563" s="575"/>
      <c r="G1563" s="575"/>
      <c r="H1563" s="575"/>
      <c r="I1563" s="575"/>
      <c r="J1563" s="575"/>
      <c r="K1563" s="575"/>
    </row>
    <row r="1564" spans="1:11" x14ac:dyDescent="0.2">
      <c r="A1564" s="583"/>
      <c r="B1564" s="640"/>
      <c r="F1564" s="575"/>
      <c r="G1564" s="575"/>
      <c r="H1564" s="575"/>
      <c r="I1564" s="575"/>
      <c r="J1564" s="575"/>
      <c r="K1564" s="575"/>
    </row>
    <row r="1565" spans="1:11" x14ac:dyDescent="0.2">
      <c r="A1565" s="583"/>
      <c r="B1565" s="640"/>
      <c r="F1565" s="575"/>
      <c r="G1565" s="575"/>
      <c r="H1565" s="575"/>
      <c r="I1565" s="575"/>
      <c r="J1565" s="575"/>
      <c r="K1565" s="575"/>
    </row>
    <row r="1566" spans="1:11" x14ac:dyDescent="0.2">
      <c r="A1566" s="583"/>
      <c r="B1566" s="640"/>
      <c r="F1566" s="575"/>
      <c r="G1566" s="575"/>
      <c r="H1566" s="575"/>
      <c r="I1566" s="575"/>
      <c r="J1566" s="575"/>
      <c r="K1566" s="575"/>
    </row>
    <row r="1567" spans="1:11" x14ac:dyDescent="0.2">
      <c r="A1567" s="583"/>
      <c r="B1567" s="640"/>
      <c r="F1567" s="575"/>
      <c r="G1567" s="575"/>
      <c r="H1567" s="575"/>
      <c r="I1567" s="575"/>
      <c r="J1567" s="575"/>
      <c r="K1567" s="575"/>
    </row>
    <row r="1568" spans="1:11" x14ac:dyDescent="0.2">
      <c r="A1568" s="583"/>
      <c r="B1568" s="640"/>
      <c r="F1568" s="575"/>
      <c r="G1568" s="575"/>
      <c r="H1568" s="575"/>
      <c r="I1568" s="575"/>
      <c r="J1568" s="575"/>
      <c r="K1568" s="575"/>
    </row>
    <row r="1569" spans="1:11" x14ac:dyDescent="0.2">
      <c r="A1569" s="583"/>
      <c r="B1569" s="640"/>
      <c r="F1569" s="575"/>
      <c r="G1569" s="575"/>
      <c r="H1569" s="575"/>
      <c r="I1569" s="575"/>
      <c r="J1569" s="575"/>
      <c r="K1569" s="575"/>
    </row>
    <row r="1570" spans="1:11" x14ac:dyDescent="0.2">
      <c r="A1570" s="583"/>
      <c r="B1570" s="640"/>
      <c r="F1570" s="575"/>
      <c r="G1570" s="575"/>
      <c r="H1570" s="575"/>
      <c r="I1570" s="575"/>
      <c r="J1570" s="575"/>
      <c r="K1570" s="575"/>
    </row>
    <row r="1571" spans="1:11" x14ac:dyDescent="0.2">
      <c r="A1571" s="583"/>
      <c r="B1571" s="640"/>
      <c r="F1571" s="575"/>
      <c r="G1571" s="575"/>
      <c r="H1571" s="575"/>
      <c r="I1571" s="575"/>
      <c r="J1571" s="575"/>
      <c r="K1571" s="575"/>
    </row>
    <row r="1572" spans="1:11" x14ac:dyDescent="0.2">
      <c r="A1572" s="583"/>
      <c r="B1572" s="640"/>
      <c r="F1572" s="575"/>
      <c r="G1572" s="575"/>
      <c r="H1572" s="575"/>
      <c r="I1572" s="575"/>
      <c r="J1572" s="575"/>
      <c r="K1572" s="575"/>
    </row>
    <row r="1573" spans="1:11" x14ac:dyDescent="0.2">
      <c r="A1573" s="583"/>
      <c r="B1573" s="640"/>
      <c r="F1573" s="575"/>
      <c r="G1573" s="575"/>
      <c r="H1573" s="575"/>
      <c r="I1573" s="575"/>
      <c r="J1573" s="575"/>
      <c r="K1573" s="575"/>
    </row>
    <row r="1574" spans="1:11" x14ac:dyDescent="0.2">
      <c r="A1574" s="583"/>
      <c r="B1574" s="640"/>
      <c r="F1574" s="575"/>
      <c r="G1574" s="575"/>
      <c r="H1574" s="575"/>
      <c r="I1574" s="575"/>
      <c r="J1574" s="575"/>
      <c r="K1574" s="575"/>
    </row>
    <row r="1575" spans="1:11" x14ac:dyDescent="0.2">
      <c r="A1575" s="583"/>
      <c r="B1575" s="640"/>
      <c r="F1575" s="575"/>
      <c r="G1575" s="575"/>
      <c r="H1575" s="575"/>
      <c r="I1575" s="575"/>
      <c r="J1575" s="575"/>
      <c r="K1575" s="575"/>
    </row>
    <row r="1576" spans="1:11" x14ac:dyDescent="0.2">
      <c r="A1576" s="583"/>
      <c r="B1576" s="640"/>
      <c r="F1576" s="575"/>
      <c r="G1576" s="575"/>
      <c r="H1576" s="575"/>
      <c r="I1576" s="575"/>
      <c r="J1576" s="575"/>
      <c r="K1576" s="575"/>
    </row>
    <row r="1577" spans="1:11" x14ac:dyDescent="0.2">
      <c r="A1577" s="583"/>
      <c r="B1577" s="640"/>
      <c r="F1577" s="575"/>
      <c r="G1577" s="575"/>
      <c r="H1577" s="575"/>
      <c r="I1577" s="575"/>
      <c r="J1577" s="575"/>
      <c r="K1577" s="575"/>
    </row>
    <row r="1578" spans="1:11" x14ac:dyDescent="0.2">
      <c r="A1578" s="583"/>
      <c r="B1578" s="640"/>
      <c r="F1578" s="575"/>
      <c r="G1578" s="575"/>
      <c r="H1578" s="575"/>
      <c r="I1578" s="575"/>
      <c r="J1578" s="575"/>
      <c r="K1578" s="575"/>
    </row>
    <row r="1579" spans="1:11" x14ac:dyDescent="0.2">
      <c r="A1579" s="583"/>
      <c r="B1579" s="640"/>
      <c r="F1579" s="575"/>
      <c r="G1579" s="575"/>
      <c r="H1579" s="575"/>
      <c r="I1579" s="575"/>
      <c r="J1579" s="575"/>
      <c r="K1579" s="575"/>
    </row>
    <row r="1580" spans="1:11" x14ac:dyDescent="0.2">
      <c r="A1580" s="583"/>
      <c r="B1580" s="640"/>
      <c r="F1580" s="575"/>
      <c r="G1580" s="575"/>
      <c r="H1580" s="575"/>
      <c r="I1580" s="575"/>
      <c r="J1580" s="575"/>
      <c r="K1580" s="575"/>
    </row>
    <row r="1581" spans="1:11" x14ac:dyDescent="0.2">
      <c r="A1581" s="583"/>
      <c r="B1581" s="640"/>
      <c r="F1581" s="575"/>
      <c r="G1581" s="575"/>
      <c r="H1581" s="575"/>
      <c r="I1581" s="575"/>
      <c r="J1581" s="575"/>
      <c r="K1581" s="575"/>
    </row>
    <row r="1582" spans="1:11" x14ac:dyDescent="0.2">
      <c r="A1582" s="583"/>
      <c r="B1582" s="640"/>
      <c r="F1582" s="575"/>
      <c r="G1582" s="575"/>
      <c r="H1582" s="575"/>
      <c r="I1582" s="575"/>
      <c r="J1582" s="575"/>
      <c r="K1582" s="575"/>
    </row>
    <row r="1583" spans="1:11" x14ac:dyDescent="0.2">
      <c r="A1583" s="583"/>
      <c r="B1583" s="640"/>
      <c r="F1583" s="575"/>
      <c r="G1583" s="575"/>
      <c r="H1583" s="575"/>
      <c r="I1583" s="575"/>
      <c r="J1583" s="575"/>
      <c r="K1583" s="575"/>
    </row>
    <row r="1584" spans="1:11" x14ac:dyDescent="0.2">
      <c r="A1584" s="583"/>
      <c r="B1584" s="640"/>
      <c r="F1584" s="575"/>
      <c r="G1584" s="575"/>
      <c r="H1584" s="575"/>
      <c r="I1584" s="575"/>
      <c r="J1584" s="575"/>
      <c r="K1584" s="575"/>
    </row>
    <row r="1585" spans="1:11" x14ac:dyDescent="0.2">
      <c r="A1585" s="583"/>
      <c r="B1585" s="640"/>
      <c r="F1585" s="575"/>
      <c r="G1585" s="575"/>
      <c r="H1585" s="575"/>
      <c r="I1585" s="575"/>
      <c r="J1585" s="575"/>
      <c r="K1585" s="575"/>
    </row>
    <row r="1586" spans="1:11" x14ac:dyDescent="0.2">
      <c r="A1586" s="583"/>
      <c r="B1586" s="640"/>
      <c r="F1586" s="575"/>
      <c r="G1586" s="575"/>
      <c r="H1586" s="575"/>
      <c r="I1586" s="575"/>
      <c r="J1586" s="575"/>
      <c r="K1586" s="575"/>
    </row>
    <row r="1587" spans="1:11" x14ac:dyDescent="0.2">
      <c r="A1587" s="583"/>
      <c r="B1587" s="640"/>
      <c r="F1587" s="575"/>
      <c r="G1587" s="575"/>
      <c r="H1587" s="575"/>
      <c r="I1587" s="575"/>
      <c r="J1587" s="575"/>
      <c r="K1587" s="575"/>
    </row>
    <row r="1588" spans="1:11" x14ac:dyDescent="0.2">
      <c r="A1588" s="583"/>
      <c r="B1588" s="640"/>
      <c r="F1588" s="575"/>
      <c r="G1588" s="575"/>
      <c r="H1588" s="575"/>
      <c r="I1588" s="575"/>
      <c r="J1588" s="575"/>
      <c r="K1588" s="575"/>
    </row>
    <row r="1589" spans="1:11" x14ac:dyDescent="0.2">
      <c r="A1589" s="583"/>
      <c r="B1589" s="640"/>
      <c r="F1589" s="575"/>
      <c r="G1589" s="575"/>
      <c r="H1589" s="575"/>
      <c r="I1589" s="575"/>
      <c r="J1589" s="575"/>
      <c r="K1589" s="575"/>
    </row>
    <row r="1590" spans="1:11" x14ac:dyDescent="0.2">
      <c r="A1590" s="583"/>
      <c r="B1590" s="640"/>
      <c r="F1590" s="575"/>
      <c r="G1590" s="575"/>
      <c r="H1590" s="575"/>
      <c r="I1590" s="575"/>
      <c r="J1590" s="575"/>
      <c r="K1590" s="575"/>
    </row>
    <row r="1591" spans="1:11" x14ac:dyDescent="0.2">
      <c r="A1591" s="583"/>
      <c r="B1591" s="640"/>
      <c r="F1591" s="575"/>
      <c r="G1591" s="575"/>
      <c r="H1591" s="575"/>
      <c r="I1591" s="575"/>
      <c r="J1591" s="575"/>
      <c r="K1591" s="575"/>
    </row>
    <row r="1592" spans="1:11" x14ac:dyDescent="0.2">
      <c r="A1592" s="583"/>
      <c r="B1592" s="640"/>
      <c r="F1592" s="575"/>
      <c r="G1592" s="575"/>
      <c r="H1592" s="575"/>
      <c r="I1592" s="575"/>
      <c r="J1592" s="575"/>
      <c r="K1592" s="575"/>
    </row>
    <row r="1593" spans="1:11" x14ac:dyDescent="0.2">
      <c r="A1593" s="583"/>
      <c r="B1593" s="640"/>
      <c r="F1593" s="575"/>
      <c r="G1593" s="575"/>
      <c r="H1593" s="575"/>
      <c r="I1593" s="575"/>
      <c r="J1593" s="575"/>
      <c r="K1593" s="575"/>
    </row>
    <row r="1594" spans="1:11" x14ac:dyDescent="0.2">
      <c r="A1594" s="583"/>
      <c r="B1594" s="640"/>
      <c r="F1594" s="575"/>
      <c r="G1594" s="575"/>
      <c r="H1594" s="575"/>
      <c r="I1594" s="575"/>
      <c r="J1594" s="575"/>
      <c r="K1594" s="575"/>
    </row>
    <row r="1595" spans="1:11" x14ac:dyDescent="0.2">
      <c r="A1595" s="583"/>
      <c r="B1595" s="640"/>
      <c r="F1595" s="575"/>
      <c r="G1595" s="575"/>
      <c r="H1595" s="575"/>
      <c r="I1595" s="575"/>
      <c r="J1595" s="575"/>
      <c r="K1595" s="575"/>
    </row>
    <row r="1596" spans="1:11" x14ac:dyDescent="0.2">
      <c r="A1596" s="583"/>
      <c r="B1596" s="640"/>
      <c r="F1596" s="575"/>
      <c r="G1596" s="575"/>
      <c r="H1596" s="575"/>
      <c r="I1596" s="575"/>
      <c r="J1596" s="575"/>
      <c r="K1596" s="575"/>
    </row>
    <row r="1597" spans="1:11" x14ac:dyDescent="0.2">
      <c r="A1597" s="583"/>
      <c r="B1597" s="640"/>
      <c r="F1597" s="575"/>
      <c r="G1597" s="575"/>
      <c r="H1597" s="575"/>
      <c r="I1597" s="575"/>
      <c r="J1597" s="575"/>
      <c r="K1597" s="575"/>
    </row>
    <row r="1598" spans="1:11" x14ac:dyDescent="0.2">
      <c r="A1598" s="583"/>
      <c r="B1598" s="640"/>
      <c r="F1598" s="575"/>
      <c r="G1598" s="575"/>
      <c r="H1598" s="575"/>
      <c r="I1598" s="575"/>
      <c r="J1598" s="575"/>
      <c r="K1598" s="575"/>
    </row>
    <row r="1599" spans="1:11" x14ac:dyDescent="0.2">
      <c r="A1599" s="583"/>
      <c r="B1599" s="640"/>
      <c r="F1599" s="575"/>
      <c r="G1599" s="575"/>
      <c r="H1599" s="575"/>
      <c r="I1599" s="575"/>
      <c r="J1599" s="575"/>
      <c r="K1599" s="575"/>
    </row>
    <row r="1600" spans="1:11" x14ac:dyDescent="0.2">
      <c r="A1600" s="583"/>
      <c r="B1600" s="640"/>
      <c r="F1600" s="575"/>
      <c r="G1600" s="575"/>
      <c r="H1600" s="575"/>
      <c r="I1600" s="575"/>
      <c r="J1600" s="575"/>
      <c r="K1600" s="575"/>
    </row>
    <row r="1601" spans="1:11" x14ac:dyDescent="0.2">
      <c r="A1601" s="583"/>
      <c r="B1601" s="640"/>
      <c r="F1601" s="575"/>
      <c r="G1601" s="575"/>
      <c r="H1601" s="575"/>
      <c r="I1601" s="575"/>
      <c r="J1601" s="575"/>
      <c r="K1601" s="575"/>
    </row>
    <row r="1602" spans="1:11" x14ac:dyDescent="0.2">
      <c r="A1602" s="583"/>
      <c r="B1602" s="640"/>
      <c r="F1602" s="575"/>
      <c r="G1602" s="575"/>
      <c r="H1602" s="575"/>
      <c r="I1602" s="575"/>
      <c r="J1602" s="575"/>
      <c r="K1602" s="575"/>
    </row>
    <row r="1603" spans="1:11" x14ac:dyDescent="0.2">
      <c r="A1603" s="583"/>
      <c r="B1603" s="640"/>
      <c r="F1603" s="575"/>
      <c r="G1603" s="575"/>
      <c r="H1603" s="575"/>
      <c r="I1603" s="575"/>
      <c r="J1603" s="575"/>
      <c r="K1603" s="575"/>
    </row>
    <row r="1604" spans="1:11" x14ac:dyDescent="0.2">
      <c r="A1604" s="583"/>
      <c r="B1604" s="640"/>
      <c r="F1604" s="575"/>
      <c r="G1604" s="575"/>
      <c r="H1604" s="575"/>
      <c r="I1604" s="575"/>
      <c r="J1604" s="575"/>
      <c r="K1604" s="575"/>
    </row>
    <row r="1605" spans="1:11" x14ac:dyDescent="0.2">
      <c r="A1605" s="583"/>
      <c r="B1605" s="640"/>
      <c r="F1605" s="575"/>
      <c r="G1605" s="575"/>
      <c r="H1605" s="575"/>
      <c r="I1605" s="575"/>
      <c r="J1605" s="575"/>
      <c r="K1605" s="575"/>
    </row>
    <row r="1606" spans="1:11" x14ac:dyDescent="0.2">
      <c r="A1606" s="583"/>
      <c r="B1606" s="640"/>
      <c r="F1606" s="575"/>
      <c r="G1606" s="575"/>
      <c r="H1606" s="575"/>
      <c r="I1606" s="575"/>
      <c r="J1606" s="575"/>
      <c r="K1606" s="575"/>
    </row>
    <row r="1607" spans="1:11" x14ac:dyDescent="0.2">
      <c r="A1607" s="583"/>
      <c r="B1607" s="640"/>
      <c r="F1607" s="575"/>
      <c r="G1607" s="575"/>
      <c r="H1607" s="575"/>
      <c r="I1607" s="575"/>
      <c r="J1607" s="575"/>
      <c r="K1607" s="575"/>
    </row>
    <row r="1608" spans="1:11" x14ac:dyDescent="0.2">
      <c r="A1608" s="583"/>
      <c r="B1608" s="640"/>
      <c r="F1608" s="575"/>
      <c r="G1608" s="575"/>
      <c r="H1608" s="575"/>
      <c r="I1608" s="575"/>
      <c r="J1608" s="575"/>
      <c r="K1608" s="575"/>
    </row>
    <row r="1609" spans="1:11" x14ac:dyDescent="0.2">
      <c r="A1609" s="583"/>
      <c r="B1609" s="640"/>
      <c r="F1609" s="575"/>
      <c r="G1609" s="575"/>
      <c r="H1609" s="575"/>
      <c r="I1609" s="575"/>
      <c r="J1609" s="575"/>
      <c r="K1609" s="575"/>
    </row>
    <row r="1610" spans="1:11" x14ac:dyDescent="0.2">
      <c r="A1610" s="583"/>
      <c r="B1610" s="640"/>
      <c r="F1610" s="575"/>
      <c r="G1610" s="575"/>
      <c r="H1610" s="575"/>
      <c r="I1610" s="575"/>
      <c r="J1610" s="575"/>
      <c r="K1610" s="575"/>
    </row>
    <row r="1611" spans="1:11" x14ac:dyDescent="0.2">
      <c r="A1611" s="583"/>
      <c r="B1611" s="640"/>
      <c r="F1611" s="575"/>
      <c r="G1611" s="575"/>
      <c r="H1611" s="575"/>
      <c r="I1611" s="575"/>
      <c r="J1611" s="575"/>
      <c r="K1611" s="575"/>
    </row>
    <row r="1612" spans="1:11" x14ac:dyDescent="0.2">
      <c r="A1612" s="583"/>
      <c r="B1612" s="640"/>
      <c r="F1612" s="575"/>
      <c r="G1612" s="575"/>
      <c r="H1612" s="575"/>
      <c r="I1612" s="575"/>
      <c r="J1612" s="575"/>
      <c r="K1612" s="575"/>
    </row>
    <row r="1613" spans="1:11" x14ac:dyDescent="0.2">
      <c r="A1613" s="583"/>
      <c r="B1613" s="640"/>
      <c r="F1613" s="575"/>
      <c r="G1613" s="575"/>
      <c r="H1613" s="575"/>
      <c r="I1613" s="575"/>
      <c r="J1613" s="575"/>
      <c r="K1613" s="575"/>
    </row>
    <row r="1614" spans="1:11" x14ac:dyDescent="0.2">
      <c r="A1614" s="583"/>
      <c r="B1614" s="640"/>
      <c r="F1614" s="575"/>
      <c r="G1614" s="575"/>
      <c r="H1614" s="575"/>
      <c r="I1614" s="575"/>
      <c r="J1614" s="575"/>
      <c r="K1614" s="575"/>
    </row>
    <row r="1615" spans="1:11" x14ac:dyDescent="0.2">
      <c r="A1615" s="583"/>
      <c r="B1615" s="640"/>
      <c r="F1615" s="575"/>
      <c r="G1615" s="575"/>
      <c r="H1615" s="575"/>
      <c r="I1615" s="575"/>
      <c r="J1615" s="575"/>
      <c r="K1615" s="575"/>
    </row>
    <row r="1616" spans="1:11" x14ac:dyDescent="0.2">
      <c r="A1616" s="583"/>
      <c r="B1616" s="640"/>
      <c r="F1616" s="575"/>
      <c r="G1616" s="575"/>
      <c r="H1616" s="575"/>
      <c r="I1616" s="575"/>
      <c r="J1616" s="575"/>
      <c r="K1616" s="575"/>
    </row>
    <row r="1617" spans="1:11" x14ac:dyDescent="0.2">
      <c r="A1617" s="583"/>
      <c r="B1617" s="640"/>
      <c r="F1617" s="575"/>
      <c r="G1617" s="575"/>
      <c r="H1617" s="575"/>
      <c r="I1617" s="575"/>
      <c r="J1617" s="575"/>
      <c r="K1617" s="575"/>
    </row>
    <row r="1618" spans="1:11" x14ac:dyDescent="0.2">
      <c r="A1618" s="583"/>
      <c r="B1618" s="640"/>
      <c r="F1618" s="575"/>
      <c r="G1618" s="575"/>
      <c r="H1618" s="575"/>
      <c r="I1618" s="575"/>
      <c r="J1618" s="575"/>
      <c r="K1618" s="575"/>
    </row>
    <row r="1619" spans="1:11" x14ac:dyDescent="0.2">
      <c r="A1619" s="583"/>
      <c r="B1619" s="640"/>
      <c r="F1619" s="575"/>
      <c r="G1619" s="575"/>
      <c r="H1619" s="575"/>
      <c r="I1619" s="575"/>
      <c r="J1619" s="575"/>
      <c r="K1619" s="575"/>
    </row>
    <row r="1620" spans="1:11" x14ac:dyDescent="0.2">
      <c r="A1620" s="583"/>
      <c r="B1620" s="640"/>
      <c r="F1620" s="575"/>
      <c r="G1620" s="575"/>
      <c r="H1620" s="575"/>
      <c r="I1620" s="575"/>
      <c r="J1620" s="575"/>
      <c r="K1620" s="575"/>
    </row>
    <row r="1621" spans="1:11" x14ac:dyDescent="0.2">
      <c r="A1621" s="583"/>
      <c r="B1621" s="640"/>
      <c r="F1621" s="575"/>
      <c r="G1621" s="575"/>
      <c r="H1621" s="575"/>
      <c r="I1621" s="575"/>
      <c r="J1621" s="575"/>
      <c r="K1621" s="575"/>
    </row>
    <row r="1622" spans="1:11" x14ac:dyDescent="0.2">
      <c r="A1622" s="583"/>
      <c r="B1622" s="640"/>
      <c r="F1622" s="575"/>
      <c r="G1622" s="575"/>
      <c r="H1622" s="575"/>
      <c r="I1622" s="575"/>
      <c r="J1622" s="575"/>
      <c r="K1622" s="575"/>
    </row>
    <row r="1623" spans="1:11" x14ac:dyDescent="0.2">
      <c r="A1623" s="583"/>
      <c r="B1623" s="640"/>
      <c r="F1623" s="575"/>
      <c r="G1623" s="575"/>
      <c r="H1623" s="575"/>
      <c r="I1623" s="575"/>
      <c r="J1623" s="575"/>
      <c r="K1623" s="575"/>
    </row>
    <row r="1624" spans="1:11" x14ac:dyDescent="0.2">
      <c r="A1624" s="583"/>
      <c r="B1624" s="640"/>
      <c r="F1624" s="575"/>
      <c r="G1624" s="575"/>
      <c r="H1624" s="575"/>
      <c r="I1624" s="575"/>
      <c r="J1624" s="575"/>
      <c r="K1624" s="575"/>
    </row>
    <row r="1625" spans="1:11" x14ac:dyDescent="0.2">
      <c r="A1625" s="583"/>
      <c r="B1625" s="640"/>
      <c r="F1625" s="575"/>
      <c r="G1625" s="575"/>
      <c r="H1625" s="575"/>
      <c r="I1625" s="575"/>
      <c r="J1625" s="575"/>
      <c r="K1625" s="575"/>
    </row>
    <row r="1626" spans="1:11" x14ac:dyDescent="0.2">
      <c r="A1626" s="583"/>
      <c r="B1626" s="640"/>
      <c r="F1626" s="575"/>
      <c r="G1626" s="575"/>
      <c r="H1626" s="575"/>
      <c r="I1626" s="575"/>
      <c r="J1626" s="575"/>
      <c r="K1626" s="575"/>
    </row>
    <row r="1627" spans="1:11" x14ac:dyDescent="0.2">
      <c r="A1627" s="583"/>
      <c r="B1627" s="640"/>
      <c r="F1627" s="575"/>
      <c r="G1627" s="575"/>
      <c r="H1627" s="575"/>
      <c r="I1627" s="575"/>
      <c r="J1627" s="575"/>
      <c r="K1627" s="575"/>
    </row>
    <row r="1628" spans="1:11" x14ac:dyDescent="0.2">
      <c r="A1628" s="583"/>
      <c r="B1628" s="640"/>
      <c r="F1628" s="575"/>
      <c r="G1628" s="575"/>
      <c r="H1628" s="575"/>
      <c r="I1628" s="575"/>
      <c r="J1628" s="575"/>
      <c r="K1628" s="575"/>
    </row>
    <row r="1629" spans="1:11" x14ac:dyDescent="0.2">
      <c r="A1629" s="583"/>
      <c r="B1629" s="640"/>
      <c r="F1629" s="575"/>
      <c r="G1629" s="575"/>
      <c r="H1629" s="575"/>
      <c r="I1629" s="575"/>
      <c r="J1629" s="575"/>
      <c r="K1629" s="575"/>
    </row>
    <row r="1630" spans="1:11" x14ac:dyDescent="0.2">
      <c r="A1630" s="583"/>
      <c r="B1630" s="640"/>
      <c r="F1630" s="575"/>
      <c r="G1630" s="575"/>
      <c r="H1630" s="575"/>
      <c r="I1630" s="575"/>
      <c r="J1630" s="575"/>
      <c r="K1630" s="575"/>
    </row>
    <row r="1631" spans="1:11" x14ac:dyDescent="0.2">
      <c r="A1631" s="583"/>
      <c r="B1631" s="640"/>
      <c r="F1631" s="575"/>
      <c r="G1631" s="575"/>
      <c r="H1631" s="575"/>
      <c r="I1631" s="575"/>
      <c r="J1631" s="575"/>
      <c r="K1631" s="575"/>
    </row>
    <row r="1632" spans="1:11" x14ac:dyDescent="0.2">
      <c r="A1632" s="583"/>
      <c r="B1632" s="640"/>
      <c r="F1632" s="575"/>
      <c r="G1632" s="575"/>
      <c r="H1632" s="575"/>
      <c r="I1632" s="575"/>
      <c r="J1632" s="575"/>
      <c r="K1632" s="575"/>
    </row>
    <row r="1633" spans="1:11" x14ac:dyDescent="0.2">
      <c r="A1633" s="583"/>
      <c r="B1633" s="640"/>
      <c r="F1633" s="575"/>
      <c r="G1633" s="575"/>
      <c r="H1633" s="575"/>
      <c r="I1633" s="575"/>
      <c r="J1633" s="575"/>
      <c r="K1633" s="575"/>
    </row>
    <row r="1634" spans="1:11" x14ac:dyDescent="0.2">
      <c r="A1634" s="583"/>
      <c r="B1634" s="640"/>
      <c r="F1634" s="575"/>
      <c r="G1634" s="575"/>
      <c r="H1634" s="575"/>
      <c r="I1634" s="575"/>
      <c r="J1634" s="575"/>
      <c r="K1634" s="575"/>
    </row>
    <row r="1635" spans="1:11" x14ac:dyDescent="0.2">
      <c r="A1635" s="583"/>
      <c r="B1635" s="640"/>
      <c r="F1635" s="575"/>
      <c r="G1635" s="575"/>
      <c r="H1635" s="575"/>
      <c r="I1635" s="575"/>
      <c r="J1635" s="575"/>
      <c r="K1635" s="575"/>
    </row>
    <row r="1636" spans="1:11" x14ac:dyDescent="0.2">
      <c r="A1636" s="583"/>
      <c r="B1636" s="640"/>
      <c r="F1636" s="575"/>
      <c r="G1636" s="575"/>
      <c r="H1636" s="575"/>
      <c r="I1636" s="575"/>
      <c r="J1636" s="575"/>
      <c r="K1636" s="575"/>
    </row>
    <row r="1637" spans="1:11" x14ac:dyDescent="0.2">
      <c r="A1637" s="583"/>
      <c r="B1637" s="640"/>
      <c r="F1637" s="575"/>
      <c r="G1637" s="575"/>
      <c r="H1637" s="575"/>
      <c r="I1637" s="575"/>
      <c r="J1637" s="575"/>
      <c r="K1637" s="575"/>
    </row>
    <row r="1638" spans="1:11" x14ac:dyDescent="0.2">
      <c r="A1638" s="583"/>
      <c r="B1638" s="640"/>
      <c r="F1638" s="575"/>
      <c r="G1638" s="575"/>
      <c r="H1638" s="575"/>
      <c r="I1638" s="575"/>
      <c r="J1638" s="575"/>
      <c r="K1638" s="575"/>
    </row>
    <row r="1639" spans="1:11" x14ac:dyDescent="0.2">
      <c r="A1639" s="583"/>
      <c r="B1639" s="640"/>
      <c r="F1639" s="575"/>
      <c r="G1639" s="575"/>
      <c r="H1639" s="575"/>
      <c r="I1639" s="575"/>
      <c r="J1639" s="575"/>
      <c r="K1639" s="575"/>
    </row>
    <row r="1640" spans="1:11" x14ac:dyDescent="0.2">
      <c r="A1640" s="583"/>
      <c r="B1640" s="640"/>
      <c r="F1640" s="575"/>
      <c r="G1640" s="575"/>
      <c r="H1640" s="575"/>
      <c r="I1640" s="575"/>
      <c r="J1640" s="575"/>
      <c r="K1640" s="575"/>
    </row>
    <row r="1641" spans="1:11" x14ac:dyDescent="0.2">
      <c r="A1641" s="583"/>
      <c r="B1641" s="640"/>
      <c r="F1641" s="575"/>
      <c r="G1641" s="575"/>
      <c r="H1641" s="575"/>
      <c r="I1641" s="575"/>
      <c r="J1641" s="575"/>
      <c r="K1641" s="575"/>
    </row>
    <row r="1642" spans="1:11" x14ac:dyDescent="0.2">
      <c r="A1642" s="583"/>
      <c r="B1642" s="640"/>
      <c r="F1642" s="575"/>
      <c r="G1642" s="575"/>
      <c r="H1642" s="575"/>
      <c r="I1642" s="575"/>
      <c r="J1642" s="575"/>
      <c r="K1642" s="575"/>
    </row>
    <row r="1643" spans="1:11" x14ac:dyDescent="0.2">
      <c r="A1643" s="583"/>
      <c r="B1643" s="640"/>
      <c r="F1643" s="575"/>
      <c r="G1643" s="575"/>
      <c r="H1643" s="575"/>
      <c r="I1643" s="575"/>
      <c r="J1643" s="575"/>
      <c r="K1643" s="575"/>
    </row>
    <row r="1644" spans="1:11" x14ac:dyDescent="0.2">
      <c r="A1644" s="583"/>
      <c r="B1644" s="640"/>
      <c r="F1644" s="575"/>
      <c r="G1644" s="575"/>
      <c r="H1644" s="575"/>
      <c r="I1644" s="575"/>
      <c r="J1644" s="575"/>
      <c r="K1644" s="575"/>
    </row>
    <row r="1645" spans="1:11" x14ac:dyDescent="0.2">
      <c r="A1645" s="583"/>
      <c r="B1645" s="640"/>
      <c r="F1645" s="575"/>
      <c r="G1645" s="575"/>
      <c r="H1645" s="575"/>
      <c r="I1645" s="575"/>
      <c r="J1645" s="575"/>
      <c r="K1645" s="575"/>
    </row>
    <row r="1646" spans="1:11" x14ac:dyDescent="0.2">
      <c r="A1646" s="583"/>
      <c r="B1646" s="640"/>
      <c r="F1646" s="575"/>
      <c r="G1646" s="575"/>
      <c r="H1646" s="575"/>
      <c r="I1646" s="575"/>
      <c r="J1646" s="575"/>
      <c r="K1646" s="575"/>
    </row>
    <row r="1647" spans="1:11" x14ac:dyDescent="0.2">
      <c r="A1647" s="583"/>
      <c r="B1647" s="640"/>
      <c r="F1647" s="575"/>
      <c r="G1647" s="575"/>
      <c r="H1647" s="575"/>
      <c r="I1647" s="575"/>
      <c r="J1647" s="575"/>
      <c r="K1647" s="575"/>
    </row>
    <row r="1648" spans="1:11" x14ac:dyDescent="0.2">
      <c r="A1648" s="583"/>
      <c r="B1648" s="640"/>
      <c r="F1648" s="575"/>
      <c r="G1648" s="575"/>
      <c r="H1648" s="575"/>
      <c r="I1648" s="575"/>
      <c r="J1648" s="575"/>
      <c r="K1648" s="575"/>
    </row>
    <row r="1649" spans="1:11" x14ac:dyDescent="0.2">
      <c r="A1649" s="583"/>
      <c r="B1649" s="640"/>
      <c r="F1649" s="575"/>
      <c r="G1649" s="575"/>
      <c r="H1649" s="575"/>
      <c r="I1649" s="575"/>
      <c r="J1649" s="575"/>
      <c r="K1649" s="575"/>
    </row>
    <row r="1650" spans="1:11" x14ac:dyDescent="0.2">
      <c r="A1650" s="583"/>
      <c r="B1650" s="640"/>
      <c r="F1650" s="575"/>
      <c r="G1650" s="575"/>
      <c r="H1650" s="575"/>
      <c r="I1650" s="575"/>
      <c r="J1650" s="575"/>
      <c r="K1650" s="575"/>
    </row>
    <row r="1651" spans="1:11" x14ac:dyDescent="0.2">
      <c r="A1651" s="583"/>
      <c r="B1651" s="640"/>
      <c r="F1651" s="575"/>
      <c r="G1651" s="575"/>
      <c r="H1651" s="575"/>
      <c r="I1651" s="575"/>
      <c r="J1651" s="575"/>
      <c r="K1651" s="575"/>
    </row>
    <row r="1652" spans="1:11" x14ac:dyDescent="0.2">
      <c r="A1652" s="583"/>
      <c r="B1652" s="640"/>
      <c r="F1652" s="575"/>
      <c r="G1652" s="575"/>
      <c r="H1652" s="575"/>
      <c r="I1652" s="575"/>
      <c r="J1652" s="575"/>
      <c r="K1652" s="575"/>
    </row>
    <row r="1653" spans="1:11" x14ac:dyDescent="0.2">
      <c r="A1653" s="583"/>
      <c r="B1653" s="640"/>
      <c r="F1653" s="575"/>
      <c r="G1653" s="575"/>
      <c r="H1653" s="575"/>
      <c r="I1653" s="575"/>
      <c r="J1653" s="575"/>
      <c r="K1653" s="575"/>
    </row>
    <row r="1654" spans="1:11" x14ac:dyDescent="0.2">
      <c r="A1654" s="583"/>
      <c r="B1654" s="640"/>
      <c r="F1654" s="575"/>
      <c r="G1654" s="575"/>
      <c r="H1654" s="575"/>
      <c r="I1654" s="575"/>
      <c r="J1654" s="575"/>
      <c r="K1654" s="575"/>
    </row>
    <row r="1655" spans="1:11" x14ac:dyDescent="0.2">
      <c r="A1655" s="583"/>
      <c r="B1655" s="640"/>
      <c r="F1655" s="575"/>
      <c r="G1655" s="575"/>
      <c r="H1655" s="575"/>
      <c r="I1655" s="575"/>
      <c r="J1655" s="575"/>
      <c r="K1655" s="575"/>
    </row>
    <row r="1656" spans="1:11" x14ac:dyDescent="0.2">
      <c r="A1656" s="583"/>
      <c r="B1656" s="640"/>
      <c r="F1656" s="575"/>
      <c r="G1656" s="575"/>
      <c r="H1656" s="575"/>
      <c r="I1656" s="575"/>
      <c r="J1656" s="575"/>
      <c r="K1656" s="575"/>
    </row>
    <row r="1657" spans="1:11" x14ac:dyDescent="0.2">
      <c r="A1657" s="583"/>
      <c r="B1657" s="640"/>
      <c r="F1657" s="575"/>
      <c r="G1657" s="575"/>
      <c r="H1657" s="575"/>
      <c r="I1657" s="575"/>
      <c r="J1657" s="575"/>
      <c r="K1657" s="575"/>
    </row>
    <row r="1658" spans="1:11" x14ac:dyDescent="0.2">
      <c r="A1658" s="583"/>
      <c r="B1658" s="640"/>
      <c r="F1658" s="575"/>
      <c r="G1658" s="575"/>
      <c r="H1658" s="575"/>
      <c r="I1658" s="575"/>
      <c r="J1658" s="575"/>
      <c r="K1658" s="575"/>
    </row>
    <row r="1659" spans="1:11" x14ac:dyDescent="0.2">
      <c r="A1659" s="583"/>
      <c r="B1659" s="640"/>
      <c r="F1659" s="575"/>
      <c r="G1659" s="575"/>
      <c r="H1659" s="575"/>
      <c r="I1659" s="575"/>
      <c r="J1659" s="575"/>
      <c r="K1659" s="575"/>
    </row>
    <row r="1660" spans="1:11" x14ac:dyDescent="0.2">
      <c r="A1660" s="583"/>
      <c r="B1660" s="640"/>
      <c r="F1660" s="575"/>
      <c r="G1660" s="575"/>
      <c r="H1660" s="575"/>
      <c r="I1660" s="575"/>
      <c r="J1660" s="575"/>
      <c r="K1660" s="575"/>
    </row>
    <row r="1661" spans="1:11" x14ac:dyDescent="0.2">
      <c r="A1661" s="583"/>
      <c r="B1661" s="640"/>
      <c r="F1661" s="575"/>
      <c r="G1661" s="575"/>
      <c r="H1661" s="575"/>
      <c r="I1661" s="575"/>
      <c r="J1661" s="575"/>
      <c r="K1661" s="575"/>
    </row>
    <row r="1662" spans="1:11" x14ac:dyDescent="0.2">
      <c r="A1662" s="583"/>
      <c r="B1662" s="640"/>
      <c r="F1662" s="575"/>
      <c r="G1662" s="575"/>
      <c r="H1662" s="575"/>
      <c r="I1662" s="575"/>
      <c r="J1662" s="575"/>
      <c r="K1662" s="575"/>
    </row>
    <row r="1663" spans="1:11" x14ac:dyDescent="0.2">
      <c r="A1663" s="583"/>
      <c r="B1663" s="640"/>
      <c r="F1663" s="575"/>
      <c r="G1663" s="575"/>
      <c r="H1663" s="575"/>
      <c r="I1663" s="575"/>
      <c r="J1663" s="575"/>
      <c r="K1663" s="575"/>
    </row>
    <row r="1664" spans="1:11" x14ac:dyDescent="0.2">
      <c r="A1664" s="583"/>
      <c r="B1664" s="640"/>
      <c r="F1664" s="575"/>
      <c r="G1664" s="575"/>
      <c r="H1664" s="575"/>
      <c r="I1664" s="575"/>
      <c r="J1664" s="575"/>
      <c r="K1664" s="575"/>
    </row>
    <row r="1665" spans="1:11" x14ac:dyDescent="0.2">
      <c r="A1665" s="583"/>
      <c r="B1665" s="640"/>
      <c r="F1665" s="575"/>
      <c r="G1665" s="575"/>
      <c r="H1665" s="575"/>
      <c r="I1665" s="575"/>
      <c r="J1665" s="575"/>
      <c r="K1665" s="575"/>
    </row>
    <row r="1666" spans="1:11" x14ac:dyDescent="0.2">
      <c r="A1666" s="583"/>
      <c r="B1666" s="640"/>
      <c r="F1666" s="575"/>
      <c r="G1666" s="575"/>
      <c r="H1666" s="575"/>
      <c r="I1666" s="575"/>
      <c r="J1666" s="575"/>
      <c r="K1666" s="575"/>
    </row>
    <row r="1667" spans="1:11" x14ac:dyDescent="0.2">
      <c r="A1667" s="583"/>
      <c r="B1667" s="640"/>
      <c r="F1667" s="575"/>
      <c r="G1667" s="575"/>
      <c r="H1667" s="575"/>
      <c r="I1667" s="575"/>
      <c r="J1667" s="575"/>
      <c r="K1667" s="575"/>
    </row>
    <row r="1668" spans="1:11" x14ac:dyDescent="0.2">
      <c r="A1668" s="583"/>
      <c r="B1668" s="640"/>
      <c r="F1668" s="575"/>
      <c r="G1668" s="575"/>
      <c r="H1668" s="575"/>
      <c r="I1668" s="575"/>
      <c r="J1668" s="575"/>
      <c r="K1668" s="575"/>
    </row>
    <row r="1669" spans="1:11" x14ac:dyDescent="0.2">
      <c r="A1669" s="583"/>
      <c r="B1669" s="640"/>
      <c r="F1669" s="575"/>
      <c r="G1669" s="575"/>
      <c r="H1669" s="575"/>
      <c r="I1669" s="575"/>
      <c r="J1669" s="575"/>
      <c r="K1669" s="575"/>
    </row>
    <row r="1670" spans="1:11" x14ac:dyDescent="0.2">
      <c r="A1670" s="583"/>
      <c r="B1670" s="640"/>
      <c r="F1670" s="575"/>
      <c r="G1670" s="575"/>
      <c r="H1670" s="575"/>
      <c r="I1670" s="575"/>
      <c r="J1670" s="575"/>
      <c r="K1670" s="575"/>
    </row>
    <row r="1671" spans="1:11" x14ac:dyDescent="0.2">
      <c r="A1671" s="583"/>
      <c r="B1671" s="640"/>
      <c r="F1671" s="575"/>
      <c r="G1671" s="575"/>
      <c r="H1671" s="575"/>
      <c r="I1671" s="575"/>
      <c r="J1671" s="575"/>
      <c r="K1671" s="575"/>
    </row>
    <row r="1672" spans="1:11" x14ac:dyDescent="0.2">
      <c r="A1672" s="583"/>
      <c r="B1672" s="640"/>
      <c r="F1672" s="575"/>
      <c r="G1672" s="575"/>
      <c r="H1672" s="575"/>
      <c r="I1672" s="575"/>
      <c r="J1672" s="575"/>
      <c r="K1672" s="575"/>
    </row>
    <row r="1673" spans="1:11" x14ac:dyDescent="0.2">
      <c r="A1673" s="583"/>
      <c r="B1673" s="640"/>
      <c r="F1673" s="575"/>
      <c r="G1673" s="575"/>
      <c r="H1673" s="575"/>
      <c r="I1673" s="575"/>
      <c r="J1673" s="575"/>
      <c r="K1673" s="575"/>
    </row>
    <row r="1674" spans="1:11" x14ac:dyDescent="0.2">
      <c r="A1674" s="583"/>
      <c r="B1674" s="640"/>
      <c r="F1674" s="575"/>
      <c r="G1674" s="575"/>
      <c r="H1674" s="575"/>
      <c r="I1674" s="575"/>
      <c r="J1674" s="575"/>
      <c r="K1674" s="575"/>
    </row>
    <row r="1675" spans="1:11" x14ac:dyDescent="0.2">
      <c r="A1675" s="583"/>
      <c r="B1675" s="640"/>
      <c r="F1675" s="575"/>
      <c r="G1675" s="575"/>
      <c r="H1675" s="575"/>
      <c r="I1675" s="575"/>
      <c r="J1675" s="575"/>
      <c r="K1675" s="575"/>
    </row>
    <row r="1676" spans="1:11" x14ac:dyDescent="0.2">
      <c r="A1676" s="583"/>
      <c r="B1676" s="640"/>
      <c r="F1676" s="575"/>
      <c r="G1676" s="575"/>
      <c r="H1676" s="575"/>
      <c r="I1676" s="575"/>
      <c r="J1676" s="575"/>
      <c r="K1676" s="575"/>
    </row>
    <row r="1677" spans="1:11" x14ac:dyDescent="0.2">
      <c r="A1677" s="583"/>
      <c r="B1677" s="640"/>
      <c r="F1677" s="575"/>
      <c r="G1677" s="575"/>
      <c r="H1677" s="575"/>
      <c r="I1677" s="575"/>
      <c r="J1677" s="575"/>
      <c r="K1677" s="575"/>
    </row>
    <row r="1678" spans="1:11" x14ac:dyDescent="0.2">
      <c r="A1678" s="583"/>
      <c r="B1678" s="640"/>
      <c r="F1678" s="575"/>
      <c r="G1678" s="575"/>
      <c r="H1678" s="575"/>
      <c r="I1678" s="575"/>
      <c r="J1678" s="575"/>
      <c r="K1678" s="575"/>
    </row>
    <row r="1679" spans="1:11" x14ac:dyDescent="0.2">
      <c r="A1679" s="583"/>
      <c r="B1679" s="640"/>
      <c r="F1679" s="575"/>
      <c r="G1679" s="575"/>
      <c r="H1679" s="575"/>
      <c r="I1679" s="575"/>
      <c r="J1679" s="575"/>
      <c r="K1679" s="575"/>
    </row>
    <row r="1680" spans="1:11" x14ac:dyDescent="0.2">
      <c r="A1680" s="583"/>
      <c r="B1680" s="640"/>
      <c r="F1680" s="575"/>
      <c r="G1680" s="575"/>
      <c r="H1680" s="575"/>
      <c r="I1680" s="575"/>
      <c r="J1680" s="575"/>
      <c r="K1680" s="575"/>
    </row>
    <row r="1681" spans="1:11" x14ac:dyDescent="0.2">
      <c r="A1681" s="583"/>
      <c r="B1681" s="640"/>
      <c r="F1681" s="575"/>
      <c r="G1681" s="575"/>
      <c r="H1681" s="575"/>
      <c r="I1681" s="575"/>
      <c r="J1681" s="575"/>
      <c r="K1681" s="575"/>
    </row>
    <row r="1682" spans="1:11" x14ac:dyDescent="0.2">
      <c r="A1682" s="583"/>
      <c r="B1682" s="640"/>
      <c r="F1682" s="575"/>
      <c r="G1682" s="575"/>
      <c r="H1682" s="575"/>
      <c r="I1682" s="575"/>
      <c r="J1682" s="575"/>
      <c r="K1682" s="575"/>
    </row>
    <row r="1683" spans="1:11" x14ac:dyDescent="0.2">
      <c r="A1683" s="583"/>
      <c r="B1683" s="640"/>
      <c r="F1683" s="575"/>
      <c r="G1683" s="575"/>
      <c r="H1683" s="575"/>
      <c r="I1683" s="575"/>
      <c r="J1683" s="575"/>
      <c r="K1683" s="575"/>
    </row>
    <row r="1684" spans="1:11" x14ac:dyDescent="0.2">
      <c r="A1684" s="583"/>
      <c r="B1684" s="640"/>
      <c r="F1684" s="575"/>
      <c r="G1684" s="575"/>
      <c r="H1684" s="575"/>
      <c r="I1684" s="575"/>
      <c r="J1684" s="575"/>
      <c r="K1684" s="575"/>
    </row>
    <row r="1685" spans="1:11" x14ac:dyDescent="0.2">
      <c r="A1685" s="583"/>
      <c r="B1685" s="640"/>
      <c r="F1685" s="575"/>
      <c r="G1685" s="575"/>
      <c r="H1685" s="575"/>
      <c r="I1685" s="575"/>
      <c r="J1685" s="575"/>
      <c r="K1685" s="575"/>
    </row>
    <row r="1686" spans="1:11" x14ac:dyDescent="0.2">
      <c r="A1686" s="583"/>
      <c r="B1686" s="640"/>
      <c r="F1686" s="575"/>
      <c r="G1686" s="575"/>
      <c r="H1686" s="575"/>
      <c r="I1686" s="575"/>
      <c r="J1686" s="575"/>
      <c r="K1686" s="575"/>
    </row>
    <row r="1687" spans="1:11" x14ac:dyDescent="0.2">
      <c r="A1687" s="583"/>
      <c r="B1687" s="640"/>
      <c r="F1687" s="575"/>
      <c r="G1687" s="575"/>
      <c r="H1687" s="575"/>
      <c r="I1687" s="575"/>
      <c r="J1687" s="575"/>
      <c r="K1687" s="575"/>
    </row>
    <row r="1688" spans="1:11" x14ac:dyDescent="0.2">
      <c r="A1688" s="583"/>
      <c r="B1688" s="640"/>
      <c r="F1688" s="575"/>
      <c r="G1688" s="575"/>
      <c r="H1688" s="575"/>
      <c r="I1688" s="575"/>
      <c r="J1688" s="575"/>
      <c r="K1688" s="575"/>
    </row>
    <row r="1689" spans="1:11" x14ac:dyDescent="0.2">
      <c r="A1689" s="583"/>
      <c r="B1689" s="640"/>
      <c r="F1689" s="575"/>
      <c r="G1689" s="575"/>
      <c r="H1689" s="575"/>
      <c r="I1689" s="575"/>
      <c r="J1689" s="575"/>
      <c r="K1689" s="575"/>
    </row>
    <row r="1690" spans="1:11" x14ac:dyDescent="0.2">
      <c r="A1690" s="583"/>
      <c r="B1690" s="640"/>
      <c r="F1690" s="575"/>
      <c r="G1690" s="575"/>
      <c r="H1690" s="575"/>
      <c r="I1690" s="575"/>
      <c r="J1690" s="575"/>
      <c r="K1690" s="575"/>
    </row>
    <row r="1691" spans="1:11" x14ac:dyDescent="0.2">
      <c r="A1691" s="583"/>
      <c r="B1691" s="640"/>
      <c r="F1691" s="575"/>
      <c r="G1691" s="575"/>
      <c r="H1691" s="575"/>
      <c r="I1691" s="575"/>
      <c r="J1691" s="575"/>
      <c r="K1691" s="575"/>
    </row>
    <row r="1692" spans="1:11" x14ac:dyDescent="0.2">
      <c r="A1692" s="583"/>
      <c r="B1692" s="640"/>
      <c r="F1692" s="575"/>
      <c r="G1692" s="575"/>
      <c r="H1692" s="575"/>
      <c r="I1692" s="575"/>
      <c r="J1692" s="575"/>
      <c r="K1692" s="575"/>
    </row>
    <row r="1693" spans="1:11" x14ac:dyDescent="0.2">
      <c r="A1693" s="583"/>
      <c r="B1693" s="640"/>
      <c r="F1693" s="575"/>
      <c r="G1693" s="575"/>
      <c r="H1693" s="575"/>
      <c r="I1693" s="575"/>
      <c r="J1693" s="575"/>
      <c r="K1693" s="575"/>
    </row>
    <row r="1694" spans="1:11" x14ac:dyDescent="0.2">
      <c r="A1694" s="583"/>
      <c r="B1694" s="640"/>
      <c r="F1694" s="575"/>
      <c r="G1694" s="575"/>
      <c r="H1694" s="575"/>
      <c r="I1694" s="575"/>
      <c r="J1694" s="575"/>
      <c r="K1694" s="575"/>
    </row>
    <row r="1695" spans="1:11" x14ac:dyDescent="0.2">
      <c r="A1695" s="583"/>
      <c r="B1695" s="640"/>
      <c r="F1695" s="575"/>
      <c r="G1695" s="575"/>
      <c r="H1695" s="575"/>
      <c r="I1695" s="575"/>
      <c r="J1695" s="575"/>
      <c r="K1695" s="575"/>
    </row>
    <row r="1696" spans="1:11" x14ac:dyDescent="0.2">
      <c r="A1696" s="583"/>
      <c r="B1696" s="640"/>
      <c r="F1696" s="575"/>
      <c r="G1696" s="575"/>
      <c r="H1696" s="575"/>
      <c r="I1696" s="575"/>
      <c r="J1696" s="575"/>
      <c r="K1696" s="575"/>
    </row>
    <row r="1697" spans="1:11" x14ac:dyDescent="0.2">
      <c r="A1697" s="583"/>
      <c r="B1697" s="640"/>
      <c r="F1697" s="575"/>
      <c r="G1697" s="575"/>
      <c r="H1697" s="575"/>
      <c r="I1697" s="575"/>
      <c r="J1697" s="575"/>
      <c r="K1697" s="575"/>
    </row>
    <row r="1698" spans="1:11" x14ac:dyDescent="0.2">
      <c r="A1698" s="583"/>
      <c r="B1698" s="640"/>
      <c r="F1698" s="575"/>
      <c r="G1698" s="575"/>
      <c r="H1698" s="575"/>
      <c r="I1698" s="575"/>
      <c r="J1698" s="575"/>
      <c r="K1698" s="575"/>
    </row>
    <row r="1699" spans="1:11" x14ac:dyDescent="0.2">
      <c r="A1699" s="583"/>
      <c r="B1699" s="640"/>
      <c r="F1699" s="575"/>
      <c r="G1699" s="575"/>
      <c r="H1699" s="575"/>
      <c r="I1699" s="575"/>
      <c r="J1699" s="575"/>
      <c r="K1699" s="575"/>
    </row>
    <row r="1700" spans="1:11" x14ac:dyDescent="0.2">
      <c r="A1700" s="583"/>
      <c r="B1700" s="640"/>
      <c r="F1700" s="575"/>
      <c r="G1700" s="575"/>
      <c r="H1700" s="575"/>
      <c r="I1700" s="575"/>
      <c r="J1700" s="575"/>
      <c r="K1700" s="575"/>
    </row>
    <row r="1701" spans="1:11" x14ac:dyDescent="0.2">
      <c r="A1701" s="583"/>
      <c r="B1701" s="640"/>
      <c r="F1701" s="575"/>
      <c r="G1701" s="575"/>
      <c r="H1701" s="575"/>
      <c r="I1701" s="575"/>
      <c r="J1701" s="575"/>
      <c r="K1701" s="575"/>
    </row>
    <row r="1702" spans="1:11" x14ac:dyDescent="0.2">
      <c r="A1702" s="583"/>
      <c r="B1702" s="640"/>
      <c r="F1702" s="575"/>
      <c r="G1702" s="575"/>
      <c r="H1702" s="575"/>
      <c r="I1702" s="575"/>
      <c r="J1702" s="575"/>
      <c r="K1702" s="575"/>
    </row>
    <row r="1703" spans="1:11" x14ac:dyDescent="0.2">
      <c r="A1703" s="583"/>
      <c r="B1703" s="640"/>
      <c r="F1703" s="575"/>
      <c r="G1703" s="575"/>
      <c r="H1703" s="575"/>
      <c r="I1703" s="575"/>
      <c r="J1703" s="575"/>
      <c r="K1703" s="575"/>
    </row>
    <row r="1704" spans="1:11" x14ac:dyDescent="0.2">
      <c r="A1704" s="583"/>
      <c r="B1704" s="640"/>
      <c r="F1704" s="575"/>
      <c r="G1704" s="575"/>
      <c r="H1704" s="575"/>
      <c r="I1704" s="575"/>
      <c r="J1704" s="575"/>
      <c r="K1704" s="575"/>
    </row>
    <row r="1705" spans="1:11" x14ac:dyDescent="0.2">
      <c r="A1705" s="583"/>
      <c r="B1705" s="640"/>
      <c r="F1705" s="575"/>
      <c r="G1705" s="575"/>
      <c r="H1705" s="575"/>
      <c r="I1705" s="575"/>
      <c r="J1705" s="575"/>
      <c r="K1705" s="575"/>
    </row>
    <row r="1706" spans="1:11" x14ac:dyDescent="0.2">
      <c r="A1706" s="583"/>
      <c r="B1706" s="640"/>
      <c r="F1706" s="575"/>
      <c r="G1706" s="575"/>
      <c r="H1706" s="575"/>
      <c r="I1706" s="575"/>
      <c r="J1706" s="575"/>
      <c r="K1706" s="575"/>
    </row>
    <row r="1707" spans="1:11" x14ac:dyDescent="0.2">
      <c r="A1707" s="583"/>
      <c r="B1707" s="640"/>
      <c r="F1707" s="575"/>
      <c r="G1707" s="575"/>
      <c r="H1707" s="575"/>
      <c r="I1707" s="575"/>
      <c r="J1707" s="575"/>
      <c r="K1707" s="575"/>
    </row>
    <row r="1708" spans="1:11" x14ac:dyDescent="0.2">
      <c r="A1708" s="583"/>
      <c r="B1708" s="640"/>
      <c r="F1708" s="575"/>
      <c r="G1708" s="575"/>
      <c r="H1708" s="575"/>
      <c r="I1708" s="575"/>
      <c r="J1708" s="575"/>
      <c r="K1708" s="575"/>
    </row>
    <row r="1709" spans="1:11" x14ac:dyDescent="0.2">
      <c r="A1709" s="583"/>
      <c r="B1709" s="640"/>
      <c r="F1709" s="575"/>
      <c r="G1709" s="575"/>
      <c r="H1709" s="575"/>
      <c r="I1709" s="575"/>
      <c r="J1709" s="575"/>
      <c r="K1709" s="575"/>
    </row>
    <row r="1710" spans="1:11" x14ac:dyDescent="0.2">
      <c r="A1710" s="583"/>
      <c r="B1710" s="640"/>
      <c r="F1710" s="575"/>
      <c r="G1710" s="575"/>
      <c r="H1710" s="575"/>
      <c r="I1710" s="575"/>
      <c r="J1710" s="575"/>
      <c r="K1710" s="575"/>
    </row>
    <row r="1711" spans="1:11" x14ac:dyDescent="0.2">
      <c r="A1711" s="583"/>
      <c r="B1711" s="640"/>
      <c r="F1711" s="575"/>
      <c r="G1711" s="575"/>
      <c r="H1711" s="575"/>
      <c r="I1711" s="575"/>
      <c r="J1711" s="575"/>
      <c r="K1711" s="575"/>
    </row>
    <row r="1712" spans="1:11" x14ac:dyDescent="0.2">
      <c r="A1712" s="583"/>
      <c r="B1712" s="640"/>
      <c r="F1712" s="575"/>
      <c r="G1712" s="575"/>
      <c r="H1712" s="575"/>
      <c r="I1712" s="575"/>
      <c r="J1712" s="575"/>
      <c r="K1712" s="575"/>
    </row>
    <row r="1713" spans="1:11" x14ac:dyDescent="0.2">
      <c r="A1713" s="583"/>
      <c r="B1713" s="640"/>
      <c r="F1713" s="575"/>
      <c r="G1713" s="575"/>
      <c r="H1713" s="575"/>
      <c r="I1713" s="575"/>
      <c r="J1713" s="575"/>
      <c r="K1713" s="575"/>
    </row>
    <row r="1714" spans="1:11" x14ac:dyDescent="0.2">
      <c r="A1714" s="583"/>
      <c r="B1714" s="640"/>
      <c r="F1714" s="575"/>
      <c r="G1714" s="575"/>
      <c r="H1714" s="575"/>
      <c r="I1714" s="575"/>
      <c r="J1714" s="575"/>
      <c r="K1714" s="575"/>
    </row>
    <row r="1715" spans="1:11" x14ac:dyDescent="0.2">
      <c r="A1715" s="583"/>
      <c r="B1715" s="640"/>
      <c r="F1715" s="575"/>
      <c r="G1715" s="575"/>
      <c r="H1715" s="575"/>
      <c r="I1715" s="575"/>
      <c r="J1715" s="575"/>
      <c r="K1715" s="575"/>
    </row>
    <row r="1716" spans="1:11" x14ac:dyDescent="0.2">
      <c r="A1716" s="583"/>
      <c r="B1716" s="640"/>
      <c r="F1716" s="575"/>
      <c r="G1716" s="575"/>
      <c r="H1716" s="575"/>
      <c r="I1716" s="575"/>
      <c r="J1716" s="575"/>
      <c r="K1716" s="575"/>
    </row>
    <row r="1717" spans="1:11" x14ac:dyDescent="0.2">
      <c r="A1717" s="583"/>
      <c r="B1717" s="640"/>
      <c r="F1717" s="575"/>
      <c r="G1717" s="575"/>
      <c r="H1717" s="575"/>
      <c r="I1717" s="575"/>
      <c r="J1717" s="575"/>
      <c r="K1717" s="575"/>
    </row>
    <row r="1718" spans="1:11" x14ac:dyDescent="0.2">
      <c r="A1718" s="583"/>
      <c r="B1718" s="640"/>
      <c r="F1718" s="575"/>
      <c r="G1718" s="575"/>
      <c r="H1718" s="575"/>
      <c r="I1718" s="575"/>
      <c r="J1718" s="575"/>
      <c r="K1718" s="575"/>
    </row>
    <row r="1719" spans="1:11" x14ac:dyDescent="0.2">
      <c r="A1719" s="583"/>
      <c r="B1719" s="640"/>
      <c r="F1719" s="575"/>
      <c r="G1719" s="575"/>
      <c r="H1719" s="575"/>
      <c r="I1719" s="575"/>
      <c r="J1719" s="575"/>
      <c r="K1719" s="575"/>
    </row>
    <row r="1720" spans="1:11" x14ac:dyDescent="0.2">
      <c r="A1720" s="583"/>
      <c r="B1720" s="640"/>
      <c r="F1720" s="575"/>
      <c r="G1720" s="575"/>
      <c r="H1720" s="575"/>
      <c r="I1720" s="575"/>
      <c r="J1720" s="575"/>
      <c r="K1720" s="575"/>
    </row>
    <row r="1721" spans="1:11" x14ac:dyDescent="0.2">
      <c r="A1721" s="583"/>
      <c r="B1721" s="640"/>
      <c r="F1721" s="575"/>
      <c r="G1721" s="575"/>
      <c r="H1721" s="575"/>
      <c r="I1721" s="575"/>
      <c r="J1721" s="575"/>
      <c r="K1721" s="575"/>
    </row>
    <row r="1722" spans="1:11" x14ac:dyDescent="0.2">
      <c r="A1722" s="583"/>
      <c r="B1722" s="640"/>
      <c r="F1722" s="575"/>
      <c r="G1722" s="575"/>
      <c r="H1722" s="575"/>
      <c r="I1722" s="575"/>
      <c r="J1722" s="575"/>
      <c r="K1722" s="575"/>
    </row>
    <row r="1723" spans="1:11" x14ac:dyDescent="0.2">
      <c r="A1723" s="583"/>
      <c r="B1723" s="640"/>
      <c r="F1723" s="575"/>
      <c r="G1723" s="575"/>
      <c r="H1723" s="575"/>
      <c r="I1723" s="575"/>
      <c r="J1723" s="575"/>
      <c r="K1723" s="575"/>
    </row>
    <row r="1724" spans="1:11" x14ac:dyDescent="0.2">
      <c r="A1724" s="583"/>
      <c r="B1724" s="640"/>
      <c r="F1724" s="575"/>
      <c r="G1724" s="575"/>
      <c r="H1724" s="575"/>
      <c r="I1724" s="575"/>
      <c r="J1724" s="575"/>
      <c r="K1724" s="575"/>
    </row>
    <row r="1725" spans="1:11" x14ac:dyDescent="0.2">
      <c r="A1725" s="583"/>
      <c r="B1725" s="640"/>
      <c r="F1725" s="575"/>
      <c r="G1725" s="575"/>
      <c r="H1725" s="575"/>
      <c r="I1725" s="575"/>
      <c r="J1725" s="575"/>
      <c r="K1725" s="575"/>
    </row>
    <row r="1726" spans="1:11" x14ac:dyDescent="0.2">
      <c r="A1726" s="583"/>
      <c r="B1726" s="640"/>
      <c r="F1726" s="575"/>
      <c r="G1726" s="575"/>
      <c r="H1726" s="575"/>
      <c r="I1726" s="575"/>
      <c r="J1726" s="575"/>
      <c r="K1726" s="575"/>
    </row>
    <row r="1727" spans="1:11" x14ac:dyDescent="0.2">
      <c r="A1727" s="583"/>
      <c r="B1727" s="640"/>
      <c r="F1727" s="575"/>
      <c r="G1727" s="575"/>
      <c r="H1727" s="575"/>
      <c r="I1727" s="575"/>
      <c r="J1727" s="575"/>
      <c r="K1727" s="575"/>
    </row>
    <row r="1728" spans="1:11" x14ac:dyDescent="0.2">
      <c r="A1728" s="583"/>
      <c r="B1728" s="640"/>
      <c r="F1728" s="575"/>
      <c r="G1728" s="575"/>
      <c r="H1728" s="575"/>
      <c r="I1728" s="575"/>
      <c r="J1728" s="575"/>
      <c r="K1728" s="575"/>
    </row>
    <row r="1729" spans="1:11" x14ac:dyDescent="0.2">
      <c r="A1729" s="583"/>
      <c r="B1729" s="640"/>
      <c r="F1729" s="575"/>
      <c r="G1729" s="575"/>
      <c r="H1729" s="575"/>
      <c r="I1729" s="575"/>
      <c r="J1729" s="575"/>
      <c r="K1729" s="575"/>
    </row>
    <row r="1730" spans="1:11" x14ac:dyDescent="0.2">
      <c r="A1730" s="583"/>
      <c r="B1730" s="640"/>
      <c r="F1730" s="575"/>
      <c r="G1730" s="575"/>
      <c r="H1730" s="575"/>
      <c r="I1730" s="575"/>
      <c r="J1730" s="575"/>
      <c r="K1730" s="575"/>
    </row>
    <row r="1731" spans="1:11" x14ac:dyDescent="0.2">
      <c r="A1731" s="583"/>
      <c r="B1731" s="640"/>
      <c r="F1731" s="575"/>
      <c r="G1731" s="575"/>
      <c r="H1731" s="575"/>
      <c r="I1731" s="575"/>
      <c r="J1731" s="575"/>
      <c r="K1731" s="575"/>
    </row>
    <row r="1732" spans="1:11" x14ac:dyDescent="0.2">
      <c r="A1732" s="583"/>
      <c r="B1732" s="640"/>
      <c r="F1732" s="575"/>
      <c r="G1732" s="575"/>
      <c r="H1732" s="575"/>
      <c r="I1732" s="575"/>
      <c r="J1732" s="575"/>
      <c r="K1732" s="575"/>
    </row>
    <row r="1733" spans="1:11" x14ac:dyDescent="0.2">
      <c r="A1733" s="583"/>
      <c r="B1733" s="640"/>
      <c r="F1733" s="575"/>
      <c r="G1733" s="575"/>
      <c r="H1733" s="575"/>
      <c r="I1733" s="575"/>
      <c r="J1733" s="575"/>
      <c r="K1733" s="575"/>
    </row>
    <row r="1734" spans="1:11" x14ac:dyDescent="0.2">
      <c r="A1734" s="583"/>
      <c r="B1734" s="640"/>
      <c r="F1734" s="575"/>
      <c r="G1734" s="575"/>
      <c r="H1734" s="575"/>
      <c r="I1734" s="575"/>
      <c r="J1734" s="575"/>
      <c r="K1734" s="575"/>
    </row>
    <row r="1735" spans="1:11" x14ac:dyDescent="0.2">
      <c r="A1735" s="583"/>
      <c r="B1735" s="640"/>
      <c r="F1735" s="575"/>
      <c r="G1735" s="575"/>
      <c r="H1735" s="575"/>
      <c r="I1735" s="575"/>
      <c r="J1735" s="575"/>
      <c r="K1735" s="575"/>
    </row>
    <row r="1736" spans="1:11" x14ac:dyDescent="0.2">
      <c r="A1736" s="583"/>
      <c r="B1736" s="640"/>
      <c r="F1736" s="575"/>
      <c r="G1736" s="575"/>
      <c r="H1736" s="575"/>
      <c r="I1736" s="575"/>
      <c r="J1736" s="575"/>
      <c r="K1736" s="575"/>
    </row>
    <row r="1737" spans="1:11" x14ac:dyDescent="0.2">
      <c r="A1737" s="583"/>
      <c r="B1737" s="640"/>
      <c r="F1737" s="575"/>
      <c r="G1737" s="575"/>
      <c r="H1737" s="575"/>
      <c r="I1737" s="575"/>
      <c r="J1737" s="575"/>
      <c r="K1737" s="575"/>
    </row>
    <row r="1738" spans="1:11" x14ac:dyDescent="0.2">
      <c r="A1738" s="583"/>
      <c r="B1738" s="640"/>
      <c r="F1738" s="575"/>
      <c r="G1738" s="575"/>
      <c r="H1738" s="575"/>
      <c r="I1738" s="575"/>
      <c r="J1738" s="575"/>
      <c r="K1738" s="575"/>
    </row>
    <row r="1739" spans="1:11" x14ac:dyDescent="0.2">
      <c r="A1739" s="583"/>
      <c r="B1739" s="640"/>
      <c r="F1739" s="575"/>
      <c r="G1739" s="575"/>
      <c r="H1739" s="575"/>
      <c r="I1739" s="575"/>
      <c r="J1739" s="575"/>
      <c r="K1739" s="575"/>
    </row>
    <row r="1740" spans="1:11" x14ac:dyDescent="0.2">
      <c r="A1740" s="583"/>
      <c r="B1740" s="640"/>
      <c r="F1740" s="575"/>
      <c r="G1740" s="575"/>
      <c r="H1740" s="575"/>
      <c r="I1740" s="575"/>
      <c r="J1740" s="575"/>
      <c r="K1740" s="575"/>
    </row>
    <row r="1741" spans="1:11" x14ac:dyDescent="0.2">
      <c r="A1741" s="583"/>
      <c r="B1741" s="640"/>
      <c r="F1741" s="575"/>
      <c r="G1741" s="575"/>
      <c r="H1741" s="575"/>
      <c r="I1741" s="575"/>
      <c r="J1741" s="575"/>
      <c r="K1741" s="575"/>
    </row>
    <row r="1742" spans="1:11" x14ac:dyDescent="0.2">
      <c r="A1742" s="583"/>
      <c r="B1742" s="640"/>
      <c r="F1742" s="575"/>
      <c r="G1742" s="575"/>
      <c r="H1742" s="575"/>
      <c r="I1742" s="575"/>
      <c r="J1742" s="575"/>
      <c r="K1742" s="575"/>
    </row>
    <row r="1743" spans="1:11" x14ac:dyDescent="0.2">
      <c r="A1743" s="583"/>
      <c r="B1743" s="640"/>
      <c r="F1743" s="575"/>
      <c r="G1743" s="575"/>
      <c r="H1743" s="575"/>
      <c r="I1743" s="575"/>
      <c r="J1743" s="575"/>
      <c r="K1743" s="575"/>
    </row>
    <row r="1744" spans="1:11" x14ac:dyDescent="0.2">
      <c r="A1744" s="583"/>
      <c r="B1744" s="640"/>
      <c r="F1744" s="575"/>
      <c r="G1744" s="575"/>
      <c r="H1744" s="575"/>
      <c r="I1744" s="575"/>
      <c r="J1744" s="575"/>
      <c r="K1744" s="575"/>
    </row>
    <row r="1745" spans="1:11" x14ac:dyDescent="0.2">
      <c r="A1745" s="583"/>
      <c r="B1745" s="640"/>
      <c r="F1745" s="575"/>
      <c r="G1745" s="575"/>
      <c r="H1745" s="575"/>
      <c r="I1745" s="575"/>
      <c r="J1745" s="575"/>
      <c r="K1745" s="575"/>
    </row>
    <row r="1746" spans="1:11" x14ac:dyDescent="0.2">
      <c r="A1746" s="583"/>
      <c r="B1746" s="640"/>
      <c r="F1746" s="575"/>
      <c r="G1746" s="575"/>
      <c r="H1746" s="575"/>
      <c r="I1746" s="575"/>
      <c r="J1746" s="575"/>
      <c r="K1746" s="575"/>
    </row>
    <row r="1747" spans="1:11" x14ac:dyDescent="0.2">
      <c r="A1747" s="583"/>
      <c r="B1747" s="640"/>
      <c r="F1747" s="575"/>
      <c r="G1747" s="575"/>
      <c r="H1747" s="575"/>
      <c r="I1747" s="575"/>
      <c r="J1747" s="575"/>
      <c r="K1747" s="575"/>
    </row>
    <row r="1748" spans="1:11" x14ac:dyDescent="0.2">
      <c r="A1748" s="583"/>
      <c r="B1748" s="640"/>
      <c r="F1748" s="575"/>
      <c r="G1748" s="575"/>
      <c r="H1748" s="575"/>
      <c r="I1748" s="575"/>
      <c r="J1748" s="575"/>
      <c r="K1748" s="575"/>
    </row>
    <row r="1749" spans="1:11" x14ac:dyDescent="0.2">
      <c r="A1749" s="583"/>
      <c r="B1749" s="640"/>
      <c r="F1749" s="575"/>
      <c r="G1749" s="575"/>
      <c r="H1749" s="575"/>
      <c r="I1749" s="575"/>
      <c r="J1749" s="575"/>
      <c r="K1749" s="575"/>
    </row>
    <row r="1750" spans="1:11" x14ac:dyDescent="0.2">
      <c r="A1750" s="583"/>
      <c r="B1750" s="640"/>
      <c r="F1750" s="575"/>
      <c r="G1750" s="575"/>
      <c r="H1750" s="575"/>
      <c r="I1750" s="575"/>
      <c r="J1750" s="575"/>
      <c r="K1750" s="575"/>
    </row>
    <row r="1751" spans="1:11" x14ac:dyDescent="0.2">
      <c r="A1751" s="583"/>
      <c r="B1751" s="640"/>
      <c r="F1751" s="575"/>
      <c r="G1751" s="575"/>
      <c r="H1751" s="575"/>
      <c r="I1751" s="575"/>
      <c r="J1751" s="575"/>
      <c r="K1751" s="575"/>
    </row>
    <row r="1752" spans="1:11" x14ac:dyDescent="0.2">
      <c r="A1752" s="583"/>
      <c r="B1752" s="640"/>
      <c r="F1752" s="575"/>
      <c r="G1752" s="575"/>
      <c r="H1752" s="575"/>
      <c r="I1752" s="575"/>
      <c r="J1752" s="575"/>
      <c r="K1752" s="575"/>
    </row>
    <row r="1753" spans="1:11" x14ac:dyDescent="0.2">
      <c r="A1753" s="583"/>
      <c r="B1753" s="640"/>
      <c r="F1753" s="575"/>
      <c r="G1753" s="575"/>
      <c r="H1753" s="575"/>
      <c r="I1753" s="575"/>
      <c r="J1753" s="575"/>
      <c r="K1753" s="575"/>
    </row>
    <row r="1754" spans="1:11" x14ac:dyDescent="0.2">
      <c r="A1754" s="583"/>
      <c r="B1754" s="640"/>
      <c r="F1754" s="575"/>
      <c r="G1754" s="575"/>
      <c r="H1754" s="575"/>
      <c r="I1754" s="575"/>
      <c r="J1754" s="575"/>
      <c r="K1754" s="575"/>
    </row>
    <row r="1755" spans="1:11" x14ac:dyDescent="0.2">
      <c r="A1755" s="583"/>
      <c r="B1755" s="640"/>
      <c r="F1755" s="575"/>
      <c r="G1755" s="575"/>
      <c r="H1755" s="575"/>
      <c r="I1755" s="575"/>
      <c r="J1755" s="575"/>
      <c r="K1755" s="575"/>
    </row>
    <row r="1756" spans="1:11" x14ac:dyDescent="0.2">
      <c r="A1756" s="583"/>
      <c r="B1756" s="640"/>
      <c r="F1756" s="575"/>
      <c r="G1756" s="575"/>
      <c r="H1756" s="575"/>
      <c r="I1756" s="575"/>
      <c r="J1756" s="575"/>
      <c r="K1756" s="575"/>
    </row>
    <row r="1757" spans="1:11" x14ac:dyDescent="0.2">
      <c r="A1757" s="583"/>
      <c r="B1757" s="640"/>
      <c r="F1757" s="575"/>
      <c r="G1757" s="575"/>
      <c r="H1757" s="575"/>
      <c r="I1757" s="575"/>
      <c r="J1757" s="575"/>
      <c r="K1757" s="575"/>
    </row>
    <row r="1758" spans="1:11" x14ac:dyDescent="0.2">
      <c r="A1758" s="583"/>
      <c r="B1758" s="640"/>
      <c r="F1758" s="575"/>
      <c r="G1758" s="575"/>
      <c r="H1758" s="575"/>
      <c r="I1758" s="575"/>
      <c r="J1758" s="575"/>
      <c r="K1758" s="575"/>
    </row>
    <row r="1759" spans="1:11" x14ac:dyDescent="0.2">
      <c r="A1759" s="583"/>
      <c r="B1759" s="640"/>
      <c r="F1759" s="575"/>
      <c r="G1759" s="575"/>
      <c r="H1759" s="575"/>
      <c r="I1759" s="575"/>
      <c r="J1759" s="575"/>
      <c r="K1759" s="575"/>
    </row>
    <row r="1760" spans="1:11" x14ac:dyDescent="0.2">
      <c r="A1760" s="583"/>
      <c r="B1760" s="640"/>
      <c r="F1760" s="575"/>
      <c r="G1760" s="575"/>
      <c r="H1760" s="575"/>
      <c r="I1760" s="575"/>
      <c r="J1760" s="575"/>
      <c r="K1760" s="575"/>
    </row>
    <row r="1761" spans="1:11" x14ac:dyDescent="0.2">
      <c r="A1761" s="583"/>
      <c r="B1761" s="640"/>
      <c r="F1761" s="575"/>
      <c r="G1761" s="575"/>
      <c r="H1761" s="575"/>
      <c r="I1761" s="575"/>
      <c r="J1761" s="575"/>
      <c r="K1761" s="575"/>
    </row>
    <row r="1762" spans="1:11" x14ac:dyDescent="0.2">
      <c r="A1762" s="583"/>
      <c r="B1762" s="640"/>
      <c r="F1762" s="575"/>
      <c r="G1762" s="575"/>
      <c r="H1762" s="575"/>
      <c r="I1762" s="575"/>
      <c r="J1762" s="575"/>
      <c r="K1762" s="575"/>
    </row>
    <row r="1763" spans="1:11" x14ac:dyDescent="0.2">
      <c r="A1763" s="583"/>
      <c r="B1763" s="640"/>
      <c r="F1763" s="575"/>
      <c r="G1763" s="575"/>
      <c r="H1763" s="575"/>
      <c r="I1763" s="575"/>
      <c r="J1763" s="575"/>
      <c r="K1763" s="575"/>
    </row>
    <row r="1764" spans="1:11" x14ac:dyDescent="0.2">
      <c r="A1764" s="583"/>
      <c r="B1764" s="640"/>
      <c r="F1764" s="575"/>
      <c r="G1764" s="575"/>
      <c r="H1764" s="575"/>
      <c r="I1764" s="575"/>
      <c r="J1764" s="575"/>
      <c r="K1764" s="575"/>
    </row>
    <row r="1765" spans="1:11" x14ac:dyDescent="0.2">
      <c r="A1765" s="583"/>
      <c r="B1765" s="640"/>
      <c r="F1765" s="575"/>
      <c r="G1765" s="575"/>
      <c r="H1765" s="575"/>
      <c r="I1765" s="575"/>
      <c r="J1765" s="575"/>
      <c r="K1765" s="575"/>
    </row>
    <row r="1766" spans="1:11" x14ac:dyDescent="0.2">
      <c r="A1766" s="583"/>
      <c r="B1766" s="640"/>
      <c r="F1766" s="575"/>
      <c r="G1766" s="575"/>
      <c r="H1766" s="575"/>
      <c r="I1766" s="575"/>
      <c r="J1766" s="575"/>
      <c r="K1766" s="575"/>
    </row>
    <row r="1767" spans="1:11" x14ac:dyDescent="0.2">
      <c r="A1767" s="583"/>
      <c r="B1767" s="640"/>
      <c r="F1767" s="575"/>
      <c r="G1767" s="575"/>
      <c r="H1767" s="575"/>
      <c r="I1767" s="575"/>
      <c r="J1767" s="575"/>
      <c r="K1767" s="575"/>
    </row>
    <row r="1768" spans="1:11" x14ac:dyDescent="0.2">
      <c r="A1768" s="583"/>
      <c r="B1768" s="640"/>
      <c r="F1768" s="575"/>
      <c r="G1768" s="575"/>
      <c r="H1768" s="575"/>
      <c r="I1768" s="575"/>
      <c r="J1768" s="575"/>
      <c r="K1768" s="575"/>
    </row>
    <row r="1769" spans="1:11" x14ac:dyDescent="0.2">
      <c r="A1769" s="583"/>
      <c r="B1769" s="640"/>
      <c r="F1769" s="575"/>
      <c r="G1769" s="575"/>
      <c r="H1769" s="575"/>
      <c r="I1769" s="575"/>
      <c r="J1769" s="575"/>
      <c r="K1769" s="575"/>
    </row>
    <row r="1770" spans="1:11" x14ac:dyDescent="0.2">
      <c r="A1770" s="583"/>
      <c r="B1770" s="640"/>
      <c r="F1770" s="575"/>
      <c r="G1770" s="575"/>
      <c r="H1770" s="575"/>
      <c r="I1770" s="575"/>
      <c r="J1770" s="575"/>
      <c r="K1770" s="575"/>
    </row>
    <row r="1771" spans="1:11" x14ac:dyDescent="0.2">
      <c r="A1771" s="583"/>
      <c r="B1771" s="640"/>
      <c r="F1771" s="575"/>
      <c r="G1771" s="575"/>
      <c r="H1771" s="575"/>
      <c r="I1771" s="575"/>
      <c r="J1771" s="575"/>
      <c r="K1771" s="575"/>
    </row>
    <row r="1772" spans="1:11" x14ac:dyDescent="0.2">
      <c r="A1772" s="583"/>
      <c r="B1772" s="640"/>
      <c r="F1772" s="575"/>
      <c r="G1772" s="575"/>
      <c r="H1772" s="575"/>
      <c r="I1772" s="575"/>
      <c r="J1772" s="575"/>
      <c r="K1772" s="575"/>
    </row>
    <row r="1773" spans="1:11" x14ac:dyDescent="0.2">
      <c r="A1773" s="583"/>
      <c r="B1773" s="640"/>
      <c r="F1773" s="575"/>
      <c r="G1773" s="575"/>
      <c r="H1773" s="575"/>
      <c r="I1773" s="575"/>
      <c r="J1773" s="575"/>
      <c r="K1773" s="575"/>
    </row>
    <row r="1774" spans="1:11" x14ac:dyDescent="0.2">
      <c r="A1774" s="583"/>
      <c r="B1774" s="640"/>
      <c r="F1774" s="575"/>
      <c r="G1774" s="575"/>
      <c r="H1774" s="575"/>
      <c r="I1774" s="575"/>
      <c r="J1774" s="575"/>
      <c r="K1774" s="575"/>
    </row>
    <row r="1775" spans="1:11" x14ac:dyDescent="0.2">
      <c r="A1775" s="583"/>
      <c r="B1775" s="640"/>
      <c r="F1775" s="575"/>
      <c r="G1775" s="575"/>
      <c r="H1775" s="575"/>
      <c r="I1775" s="575"/>
      <c r="J1775" s="575"/>
      <c r="K1775" s="575"/>
    </row>
    <row r="1776" spans="1:11" x14ac:dyDescent="0.2">
      <c r="A1776" s="583"/>
      <c r="B1776" s="640"/>
      <c r="F1776" s="575"/>
      <c r="G1776" s="575"/>
      <c r="H1776" s="575"/>
      <c r="I1776" s="575"/>
      <c r="J1776" s="575"/>
      <c r="K1776" s="575"/>
    </row>
    <row r="1777" spans="1:11" x14ac:dyDescent="0.2">
      <c r="A1777" s="583"/>
      <c r="B1777" s="640"/>
      <c r="F1777" s="575"/>
      <c r="G1777" s="575"/>
      <c r="H1777" s="575"/>
      <c r="I1777" s="575"/>
      <c r="J1777" s="575"/>
      <c r="K1777" s="575"/>
    </row>
    <row r="1778" spans="1:11" x14ac:dyDescent="0.2">
      <c r="A1778" s="583"/>
      <c r="B1778" s="640"/>
      <c r="F1778" s="575"/>
      <c r="G1778" s="575"/>
      <c r="H1778" s="575"/>
      <c r="I1778" s="575"/>
      <c r="J1778" s="575"/>
      <c r="K1778" s="575"/>
    </row>
    <row r="1779" spans="1:11" x14ac:dyDescent="0.2">
      <c r="A1779" s="583"/>
      <c r="B1779" s="640"/>
      <c r="F1779" s="575"/>
      <c r="G1779" s="575"/>
      <c r="H1779" s="575"/>
      <c r="I1779" s="575"/>
      <c r="J1779" s="575"/>
      <c r="K1779" s="575"/>
    </row>
    <row r="1780" spans="1:11" x14ac:dyDescent="0.2">
      <c r="A1780" s="583"/>
      <c r="B1780" s="640"/>
      <c r="F1780" s="575"/>
      <c r="G1780" s="575"/>
      <c r="H1780" s="575"/>
      <c r="I1780" s="575"/>
      <c r="J1780" s="575"/>
      <c r="K1780" s="575"/>
    </row>
    <row r="1781" spans="1:11" x14ac:dyDescent="0.2">
      <c r="A1781" s="583"/>
      <c r="B1781" s="640"/>
      <c r="F1781" s="575"/>
      <c r="G1781" s="575"/>
      <c r="H1781" s="575"/>
      <c r="I1781" s="575"/>
      <c r="J1781" s="575"/>
      <c r="K1781" s="575"/>
    </row>
    <row r="1782" spans="1:11" x14ac:dyDescent="0.2">
      <c r="A1782" s="583"/>
      <c r="B1782" s="640"/>
      <c r="F1782" s="575"/>
      <c r="G1782" s="575"/>
      <c r="H1782" s="575"/>
      <c r="I1782" s="575"/>
      <c r="J1782" s="575"/>
      <c r="K1782" s="575"/>
    </row>
    <row r="1783" spans="1:11" x14ac:dyDescent="0.2">
      <c r="A1783" s="583"/>
      <c r="B1783" s="640"/>
      <c r="F1783" s="575"/>
      <c r="G1783" s="575"/>
      <c r="H1783" s="575"/>
      <c r="I1783" s="575"/>
      <c r="J1783" s="575"/>
      <c r="K1783" s="575"/>
    </row>
    <row r="1784" spans="1:11" x14ac:dyDescent="0.2">
      <c r="A1784" s="583"/>
      <c r="B1784" s="640"/>
      <c r="F1784" s="575"/>
      <c r="G1784" s="575"/>
      <c r="H1784" s="575"/>
      <c r="I1784" s="575"/>
      <c r="J1784" s="575"/>
      <c r="K1784" s="575"/>
    </row>
    <row r="1785" spans="1:11" x14ac:dyDescent="0.2">
      <c r="A1785" s="583"/>
      <c r="B1785" s="640"/>
      <c r="F1785" s="575"/>
      <c r="G1785" s="575"/>
      <c r="H1785" s="575"/>
      <c r="I1785" s="575"/>
      <c r="J1785" s="575"/>
      <c r="K1785" s="575"/>
    </row>
    <row r="1786" spans="1:11" x14ac:dyDescent="0.2">
      <c r="A1786" s="583"/>
      <c r="B1786" s="640"/>
      <c r="F1786" s="575"/>
      <c r="G1786" s="575"/>
      <c r="H1786" s="575"/>
      <c r="I1786" s="575"/>
      <c r="J1786" s="575"/>
      <c r="K1786" s="575"/>
    </row>
    <row r="1787" spans="1:11" x14ac:dyDescent="0.2">
      <c r="A1787" s="583"/>
      <c r="B1787" s="640"/>
      <c r="F1787" s="575"/>
      <c r="G1787" s="575"/>
      <c r="H1787" s="575"/>
      <c r="I1787" s="575"/>
      <c r="J1787" s="575"/>
      <c r="K1787" s="575"/>
    </row>
    <row r="1788" spans="1:11" x14ac:dyDescent="0.2">
      <c r="A1788" s="583"/>
      <c r="B1788" s="640"/>
      <c r="F1788" s="575"/>
      <c r="G1788" s="575"/>
      <c r="H1788" s="575"/>
      <c r="I1788" s="575"/>
      <c r="J1788" s="575"/>
      <c r="K1788" s="575"/>
    </row>
    <row r="1789" spans="1:11" x14ac:dyDescent="0.2">
      <c r="A1789" s="583"/>
      <c r="B1789" s="640"/>
      <c r="F1789" s="575"/>
      <c r="G1789" s="575"/>
      <c r="H1789" s="575"/>
      <c r="I1789" s="575"/>
      <c r="J1789" s="575"/>
      <c r="K1789" s="575"/>
    </row>
    <row r="1790" spans="1:11" x14ac:dyDescent="0.2">
      <c r="A1790" s="583"/>
      <c r="B1790" s="640"/>
      <c r="F1790" s="575"/>
      <c r="G1790" s="575"/>
      <c r="H1790" s="575"/>
      <c r="I1790" s="575"/>
      <c r="J1790" s="575"/>
      <c r="K1790" s="575"/>
    </row>
    <row r="1791" spans="1:11" x14ac:dyDescent="0.2">
      <c r="A1791" s="583"/>
      <c r="B1791" s="640"/>
      <c r="F1791" s="575"/>
      <c r="G1791" s="575"/>
      <c r="H1791" s="575"/>
      <c r="I1791" s="575"/>
      <c r="J1791" s="575"/>
      <c r="K1791" s="575"/>
    </row>
    <row r="1792" spans="1:11" x14ac:dyDescent="0.2">
      <c r="A1792" s="583"/>
      <c r="B1792" s="640"/>
      <c r="F1792" s="575"/>
      <c r="G1792" s="575"/>
      <c r="H1792" s="575"/>
      <c r="I1792" s="575"/>
      <c r="J1792" s="575"/>
      <c r="K1792" s="575"/>
    </row>
    <row r="1793" spans="1:11" x14ac:dyDescent="0.2">
      <c r="A1793" s="583"/>
      <c r="B1793" s="640"/>
      <c r="F1793" s="575"/>
      <c r="G1793" s="575"/>
      <c r="H1793" s="575"/>
      <c r="I1793" s="575"/>
      <c r="J1793" s="575"/>
      <c r="K1793" s="575"/>
    </row>
    <row r="1794" spans="1:11" x14ac:dyDescent="0.2">
      <c r="A1794" s="583"/>
      <c r="B1794" s="640"/>
      <c r="F1794" s="575"/>
      <c r="G1794" s="575"/>
      <c r="H1794" s="575"/>
      <c r="I1794" s="575"/>
      <c r="J1794" s="575"/>
      <c r="K1794" s="575"/>
    </row>
    <row r="1795" spans="1:11" x14ac:dyDescent="0.2">
      <c r="A1795" s="583"/>
      <c r="B1795" s="640"/>
      <c r="F1795" s="575"/>
      <c r="G1795" s="575"/>
      <c r="H1795" s="575"/>
      <c r="I1795" s="575"/>
      <c r="J1795" s="575"/>
      <c r="K1795" s="575"/>
    </row>
    <row r="1796" spans="1:11" x14ac:dyDescent="0.2">
      <c r="A1796" s="583"/>
      <c r="B1796" s="640"/>
      <c r="F1796" s="575"/>
      <c r="G1796" s="575"/>
      <c r="H1796" s="575"/>
      <c r="I1796" s="575"/>
      <c r="J1796" s="575"/>
      <c r="K1796" s="575"/>
    </row>
    <row r="1797" spans="1:11" x14ac:dyDescent="0.2">
      <c r="A1797" s="583"/>
      <c r="B1797" s="640"/>
      <c r="F1797" s="575"/>
      <c r="G1797" s="575"/>
      <c r="H1797" s="575"/>
      <c r="I1797" s="575"/>
      <c r="J1797" s="575"/>
      <c r="K1797" s="575"/>
    </row>
    <row r="1798" spans="1:11" x14ac:dyDescent="0.2">
      <c r="A1798" s="583"/>
      <c r="B1798" s="640"/>
      <c r="F1798" s="575"/>
      <c r="G1798" s="575"/>
      <c r="H1798" s="575"/>
      <c r="I1798" s="575"/>
      <c r="J1798" s="575"/>
      <c r="K1798" s="575"/>
    </row>
    <row r="1799" spans="1:11" x14ac:dyDescent="0.2">
      <c r="A1799" s="583"/>
      <c r="B1799" s="640"/>
      <c r="F1799" s="575"/>
      <c r="G1799" s="575"/>
      <c r="H1799" s="575"/>
      <c r="I1799" s="575"/>
      <c r="J1799" s="575"/>
      <c r="K1799" s="575"/>
    </row>
    <row r="1800" spans="1:11" x14ac:dyDescent="0.2">
      <c r="A1800" s="583"/>
      <c r="B1800" s="640"/>
      <c r="F1800" s="575"/>
      <c r="G1800" s="575"/>
      <c r="H1800" s="575"/>
      <c r="I1800" s="575"/>
      <c r="J1800" s="575"/>
      <c r="K1800" s="575"/>
    </row>
    <row r="1801" spans="1:11" x14ac:dyDescent="0.2">
      <c r="A1801" s="583"/>
      <c r="B1801" s="640"/>
      <c r="F1801" s="575"/>
      <c r="G1801" s="575"/>
      <c r="H1801" s="575"/>
      <c r="I1801" s="575"/>
      <c r="J1801" s="575"/>
      <c r="K1801" s="575"/>
    </row>
    <row r="1802" spans="1:11" x14ac:dyDescent="0.2">
      <c r="A1802" s="583"/>
      <c r="B1802" s="640"/>
      <c r="F1802" s="575"/>
      <c r="G1802" s="575"/>
      <c r="H1802" s="575"/>
      <c r="I1802" s="575"/>
      <c r="J1802" s="575"/>
      <c r="K1802" s="575"/>
    </row>
    <row r="1803" spans="1:11" x14ac:dyDescent="0.2">
      <c r="A1803" s="583"/>
      <c r="B1803" s="640"/>
      <c r="F1803" s="575"/>
      <c r="G1803" s="575"/>
      <c r="H1803" s="575"/>
      <c r="I1803" s="575"/>
      <c r="J1803" s="575"/>
      <c r="K1803" s="575"/>
    </row>
    <row r="1804" spans="1:11" x14ac:dyDescent="0.2">
      <c r="A1804" s="583"/>
      <c r="B1804" s="640"/>
      <c r="F1804" s="575"/>
      <c r="G1804" s="575"/>
      <c r="H1804" s="575"/>
      <c r="I1804" s="575"/>
      <c r="J1804" s="575"/>
      <c r="K1804" s="575"/>
    </row>
    <row r="1805" spans="1:11" x14ac:dyDescent="0.2">
      <c r="A1805" s="583"/>
      <c r="B1805" s="640"/>
      <c r="F1805" s="575"/>
      <c r="G1805" s="575"/>
      <c r="H1805" s="575"/>
      <c r="I1805" s="575"/>
      <c r="J1805" s="575"/>
      <c r="K1805" s="575"/>
    </row>
    <row r="1806" spans="1:11" x14ac:dyDescent="0.2">
      <c r="A1806" s="583"/>
      <c r="B1806" s="640"/>
      <c r="F1806" s="575"/>
      <c r="G1806" s="575"/>
      <c r="H1806" s="575"/>
      <c r="I1806" s="575"/>
      <c r="J1806" s="575"/>
      <c r="K1806" s="575"/>
    </row>
    <row r="1807" spans="1:11" x14ac:dyDescent="0.2">
      <c r="A1807" s="583"/>
      <c r="B1807" s="640"/>
      <c r="F1807" s="575"/>
      <c r="G1807" s="575"/>
      <c r="H1807" s="575"/>
      <c r="I1807" s="575"/>
      <c r="J1807" s="575"/>
      <c r="K1807" s="575"/>
    </row>
    <row r="1808" spans="1:11" x14ac:dyDescent="0.2">
      <c r="A1808" s="583"/>
      <c r="B1808" s="640"/>
      <c r="F1808" s="575"/>
      <c r="G1808" s="575"/>
      <c r="H1808" s="575"/>
      <c r="I1808" s="575"/>
      <c r="J1808" s="575"/>
      <c r="K1808" s="575"/>
    </row>
    <row r="1809" spans="1:11" x14ac:dyDescent="0.2">
      <c r="A1809" s="583"/>
      <c r="B1809" s="640"/>
      <c r="F1809" s="575"/>
      <c r="G1809" s="575"/>
      <c r="H1809" s="575"/>
      <c r="I1809" s="575"/>
      <c r="J1809" s="575"/>
      <c r="K1809" s="575"/>
    </row>
    <row r="1810" spans="1:11" x14ac:dyDescent="0.2">
      <c r="A1810" s="583"/>
      <c r="B1810" s="640"/>
      <c r="F1810" s="575"/>
      <c r="G1810" s="575"/>
      <c r="H1810" s="575"/>
      <c r="I1810" s="575"/>
      <c r="J1810" s="575"/>
      <c r="K1810" s="575"/>
    </row>
    <row r="1811" spans="1:11" x14ac:dyDescent="0.2">
      <c r="A1811" s="583"/>
      <c r="B1811" s="640"/>
      <c r="F1811" s="575"/>
      <c r="G1811" s="575"/>
      <c r="H1811" s="575"/>
      <c r="I1811" s="575"/>
      <c r="J1811" s="575"/>
      <c r="K1811" s="575"/>
    </row>
    <row r="1812" spans="1:11" x14ac:dyDescent="0.2">
      <c r="A1812" s="583"/>
      <c r="B1812" s="640"/>
      <c r="F1812" s="575"/>
      <c r="G1812" s="575"/>
      <c r="H1812" s="575"/>
      <c r="I1812" s="575"/>
      <c r="J1812" s="575"/>
      <c r="K1812" s="575"/>
    </row>
    <row r="1813" spans="1:11" x14ac:dyDescent="0.2">
      <c r="A1813" s="583"/>
      <c r="B1813" s="640"/>
      <c r="F1813" s="575"/>
      <c r="G1813" s="575"/>
      <c r="H1813" s="575"/>
      <c r="I1813" s="575"/>
      <c r="J1813" s="575"/>
      <c r="K1813" s="575"/>
    </row>
    <row r="1814" spans="1:11" x14ac:dyDescent="0.2">
      <c r="A1814" s="583"/>
      <c r="B1814" s="640"/>
      <c r="F1814" s="575"/>
      <c r="G1814" s="575"/>
      <c r="H1814" s="575"/>
      <c r="I1814" s="575"/>
      <c r="J1814" s="575"/>
      <c r="K1814" s="575"/>
    </row>
    <row r="1815" spans="1:11" x14ac:dyDescent="0.2">
      <c r="A1815" s="583"/>
      <c r="B1815" s="640"/>
      <c r="F1815" s="575"/>
      <c r="G1815" s="575"/>
      <c r="H1815" s="575"/>
      <c r="I1815" s="575"/>
      <c r="J1815" s="575"/>
      <c r="K1815" s="575"/>
    </row>
    <row r="1816" spans="1:11" x14ac:dyDescent="0.2">
      <c r="A1816" s="583"/>
      <c r="B1816" s="640"/>
      <c r="F1816" s="575"/>
      <c r="G1816" s="575"/>
      <c r="H1816" s="575"/>
      <c r="I1816" s="575"/>
      <c r="J1816" s="575"/>
      <c r="K1816" s="575"/>
    </row>
    <row r="1817" spans="1:11" x14ac:dyDescent="0.2">
      <c r="A1817" s="583"/>
      <c r="B1817" s="640"/>
      <c r="F1817" s="575"/>
      <c r="G1817" s="575"/>
      <c r="H1817" s="575"/>
      <c r="I1817" s="575"/>
      <c r="J1817" s="575"/>
      <c r="K1817" s="575"/>
    </row>
    <row r="1818" spans="1:11" x14ac:dyDescent="0.2">
      <c r="A1818" s="583"/>
      <c r="B1818" s="640"/>
      <c r="F1818" s="575"/>
      <c r="G1818" s="575"/>
      <c r="H1818" s="575"/>
      <c r="I1818" s="575"/>
      <c r="J1818" s="575"/>
      <c r="K1818" s="575"/>
    </row>
    <row r="1819" spans="1:11" x14ac:dyDescent="0.2">
      <c r="A1819" s="583"/>
      <c r="B1819" s="640"/>
      <c r="F1819" s="575"/>
      <c r="G1819" s="575"/>
      <c r="H1819" s="575"/>
      <c r="I1819" s="575"/>
      <c r="J1819" s="575"/>
      <c r="K1819" s="575"/>
    </row>
    <row r="1820" spans="1:11" x14ac:dyDescent="0.2">
      <c r="A1820" s="583"/>
      <c r="B1820" s="640"/>
      <c r="F1820" s="575"/>
      <c r="G1820" s="575"/>
      <c r="H1820" s="575"/>
      <c r="I1820" s="575"/>
      <c r="J1820" s="575"/>
      <c r="K1820" s="575"/>
    </row>
    <row r="1821" spans="1:11" x14ac:dyDescent="0.2">
      <c r="A1821" s="583"/>
      <c r="B1821" s="640"/>
      <c r="F1821" s="575"/>
      <c r="G1821" s="575"/>
      <c r="H1821" s="575"/>
      <c r="I1821" s="575"/>
      <c r="J1821" s="575"/>
      <c r="K1821" s="575"/>
    </row>
    <row r="1822" spans="1:11" x14ac:dyDescent="0.2">
      <c r="A1822" s="583"/>
      <c r="B1822" s="640"/>
      <c r="F1822" s="575"/>
      <c r="G1822" s="575"/>
      <c r="H1822" s="575"/>
      <c r="I1822" s="575"/>
      <c r="J1822" s="575"/>
      <c r="K1822" s="575"/>
    </row>
    <row r="1823" spans="1:11" x14ac:dyDescent="0.2">
      <c r="A1823" s="583"/>
      <c r="B1823" s="640"/>
      <c r="F1823" s="575"/>
      <c r="G1823" s="575"/>
      <c r="H1823" s="575"/>
      <c r="I1823" s="575"/>
      <c r="J1823" s="575"/>
      <c r="K1823" s="575"/>
    </row>
    <row r="1824" spans="1:11" x14ac:dyDescent="0.2">
      <c r="A1824" s="583"/>
      <c r="B1824" s="640"/>
      <c r="F1824" s="575"/>
      <c r="G1824" s="575"/>
      <c r="H1824" s="575"/>
      <c r="I1824" s="575"/>
      <c r="J1824" s="575"/>
      <c r="K1824" s="575"/>
    </row>
    <row r="1825" spans="1:11" x14ac:dyDescent="0.2">
      <c r="A1825" s="583"/>
      <c r="B1825" s="640"/>
      <c r="F1825" s="575"/>
      <c r="G1825" s="575"/>
      <c r="H1825" s="575"/>
      <c r="I1825" s="575"/>
      <c r="J1825" s="575"/>
      <c r="K1825" s="575"/>
    </row>
    <row r="1826" spans="1:11" x14ac:dyDescent="0.2">
      <c r="A1826" s="583"/>
      <c r="B1826" s="640"/>
      <c r="F1826" s="575"/>
      <c r="G1826" s="575"/>
      <c r="H1826" s="575"/>
      <c r="I1826" s="575"/>
      <c r="J1826" s="575"/>
      <c r="K1826" s="575"/>
    </row>
    <row r="1827" spans="1:11" x14ac:dyDescent="0.2">
      <c r="A1827" s="583"/>
      <c r="B1827" s="640"/>
      <c r="F1827" s="575"/>
      <c r="G1827" s="575"/>
      <c r="H1827" s="575"/>
      <c r="I1827" s="575"/>
      <c r="J1827" s="575"/>
      <c r="K1827" s="575"/>
    </row>
    <row r="1828" spans="1:11" x14ac:dyDescent="0.2">
      <c r="A1828" s="583"/>
      <c r="B1828" s="640"/>
      <c r="F1828" s="575"/>
      <c r="G1828" s="575"/>
      <c r="H1828" s="575"/>
      <c r="I1828" s="575"/>
      <c r="J1828" s="575"/>
      <c r="K1828" s="575"/>
    </row>
    <row r="1829" spans="1:11" x14ac:dyDescent="0.2">
      <c r="A1829" s="583"/>
      <c r="B1829" s="640"/>
      <c r="F1829" s="575"/>
      <c r="G1829" s="575"/>
      <c r="H1829" s="575"/>
      <c r="I1829" s="575"/>
      <c r="J1829" s="575"/>
      <c r="K1829" s="575"/>
    </row>
    <row r="1830" spans="1:11" x14ac:dyDescent="0.2">
      <c r="A1830" s="583"/>
      <c r="B1830" s="640"/>
      <c r="F1830" s="575"/>
      <c r="G1830" s="575"/>
      <c r="H1830" s="575"/>
      <c r="I1830" s="575"/>
      <c r="J1830" s="575"/>
      <c r="K1830" s="575"/>
    </row>
    <row r="1831" spans="1:11" x14ac:dyDescent="0.2">
      <c r="A1831" s="583"/>
      <c r="B1831" s="640"/>
      <c r="F1831" s="575"/>
      <c r="G1831" s="575"/>
      <c r="H1831" s="575"/>
      <c r="I1831" s="575"/>
      <c r="J1831" s="575"/>
      <c r="K1831" s="575"/>
    </row>
    <row r="1832" spans="1:11" x14ac:dyDescent="0.2">
      <c r="A1832" s="583"/>
      <c r="B1832" s="640"/>
      <c r="F1832" s="575"/>
      <c r="G1832" s="575"/>
      <c r="H1832" s="575"/>
      <c r="I1832" s="575"/>
      <c r="J1832" s="575"/>
      <c r="K1832" s="575"/>
    </row>
    <row r="1833" spans="1:11" x14ac:dyDescent="0.2">
      <c r="A1833" s="583"/>
      <c r="B1833" s="640"/>
      <c r="F1833" s="575"/>
      <c r="G1833" s="575"/>
      <c r="H1833" s="575"/>
      <c r="I1833" s="575"/>
      <c r="J1833" s="575"/>
      <c r="K1833" s="575"/>
    </row>
    <row r="1834" spans="1:11" x14ac:dyDescent="0.2">
      <c r="A1834" s="583"/>
      <c r="B1834" s="640"/>
      <c r="F1834" s="575"/>
      <c r="G1834" s="575"/>
      <c r="H1834" s="575"/>
      <c r="I1834" s="575"/>
      <c r="J1834" s="575"/>
      <c r="K1834" s="575"/>
    </row>
    <row r="1835" spans="1:11" x14ac:dyDescent="0.2">
      <c r="A1835" s="583"/>
      <c r="B1835" s="640"/>
      <c r="F1835" s="575"/>
      <c r="G1835" s="575"/>
      <c r="H1835" s="575"/>
      <c r="I1835" s="575"/>
      <c r="J1835" s="575"/>
      <c r="K1835" s="575"/>
    </row>
    <row r="1836" spans="1:11" x14ac:dyDescent="0.2">
      <c r="A1836" s="583"/>
      <c r="B1836" s="640"/>
      <c r="F1836" s="575"/>
      <c r="G1836" s="575"/>
      <c r="H1836" s="575"/>
      <c r="I1836" s="575"/>
      <c r="J1836" s="575"/>
      <c r="K1836" s="575"/>
    </row>
    <row r="1837" spans="1:11" x14ac:dyDescent="0.2">
      <c r="A1837" s="583"/>
      <c r="B1837" s="640"/>
      <c r="F1837" s="575"/>
      <c r="G1837" s="575"/>
      <c r="H1837" s="575"/>
      <c r="I1837" s="575"/>
      <c r="J1837" s="575"/>
      <c r="K1837" s="575"/>
    </row>
    <row r="1838" spans="1:11" x14ac:dyDescent="0.2">
      <c r="A1838" s="583"/>
      <c r="B1838" s="640"/>
      <c r="F1838" s="575"/>
      <c r="G1838" s="575"/>
      <c r="H1838" s="575"/>
      <c r="I1838" s="575"/>
      <c r="J1838" s="575"/>
      <c r="K1838" s="575"/>
    </row>
    <row r="1839" spans="1:11" x14ac:dyDescent="0.2">
      <c r="A1839" s="583"/>
      <c r="B1839" s="640"/>
      <c r="F1839" s="575"/>
      <c r="G1839" s="575"/>
      <c r="H1839" s="575"/>
      <c r="I1839" s="575"/>
      <c r="J1839" s="575"/>
      <c r="K1839" s="575"/>
    </row>
    <row r="1840" spans="1:11" x14ac:dyDescent="0.2">
      <c r="A1840" s="583"/>
      <c r="B1840" s="640"/>
      <c r="F1840" s="575"/>
      <c r="G1840" s="575"/>
      <c r="H1840" s="575"/>
      <c r="I1840" s="575"/>
      <c r="J1840" s="575"/>
      <c r="K1840" s="575"/>
    </row>
    <row r="1841" spans="1:11" x14ac:dyDescent="0.2">
      <c r="A1841" s="583"/>
      <c r="B1841" s="640"/>
      <c r="F1841" s="575"/>
      <c r="G1841" s="575"/>
      <c r="H1841" s="575"/>
      <c r="I1841" s="575"/>
      <c r="J1841" s="575"/>
      <c r="K1841" s="575"/>
    </row>
    <row r="1842" spans="1:11" x14ac:dyDescent="0.2">
      <c r="A1842" s="583"/>
      <c r="B1842" s="640"/>
      <c r="F1842" s="575"/>
      <c r="G1842" s="575"/>
      <c r="H1842" s="575"/>
      <c r="I1842" s="575"/>
      <c r="J1842" s="575"/>
      <c r="K1842" s="575"/>
    </row>
    <row r="1843" spans="1:11" x14ac:dyDescent="0.2">
      <c r="A1843" s="583"/>
      <c r="B1843" s="640"/>
      <c r="F1843" s="575"/>
      <c r="G1843" s="575"/>
      <c r="H1843" s="575"/>
      <c r="I1843" s="575"/>
      <c r="J1843" s="575"/>
      <c r="K1843" s="575"/>
    </row>
    <row r="1844" spans="1:11" x14ac:dyDescent="0.2">
      <c r="A1844" s="583"/>
      <c r="B1844" s="640"/>
      <c r="F1844" s="575"/>
      <c r="G1844" s="575"/>
      <c r="H1844" s="575"/>
      <c r="I1844" s="575"/>
      <c r="J1844" s="575"/>
      <c r="K1844" s="575"/>
    </row>
    <row r="1845" spans="1:11" x14ac:dyDescent="0.2">
      <c r="A1845" s="583"/>
      <c r="B1845" s="640"/>
      <c r="F1845" s="575"/>
      <c r="G1845" s="575"/>
      <c r="H1845" s="575"/>
      <c r="I1845" s="575"/>
      <c r="J1845" s="575"/>
      <c r="K1845" s="575"/>
    </row>
    <row r="1846" spans="1:11" x14ac:dyDescent="0.2">
      <c r="A1846" s="583"/>
      <c r="B1846" s="640"/>
      <c r="F1846" s="575"/>
      <c r="G1846" s="575"/>
      <c r="H1846" s="575"/>
      <c r="I1846" s="575"/>
      <c r="J1846" s="575"/>
      <c r="K1846" s="575"/>
    </row>
    <row r="1847" spans="1:11" x14ac:dyDescent="0.2">
      <c r="A1847" s="583"/>
      <c r="B1847" s="640"/>
      <c r="F1847" s="575"/>
      <c r="G1847" s="575"/>
      <c r="H1847" s="575"/>
      <c r="I1847" s="575"/>
      <c r="J1847" s="575"/>
      <c r="K1847" s="575"/>
    </row>
    <row r="1848" spans="1:11" x14ac:dyDescent="0.2">
      <c r="A1848" s="583"/>
      <c r="B1848" s="640"/>
      <c r="F1848" s="575"/>
      <c r="G1848" s="575"/>
      <c r="H1848" s="575"/>
      <c r="I1848" s="575"/>
      <c r="J1848" s="575"/>
      <c r="K1848" s="575"/>
    </row>
    <row r="1849" spans="1:11" x14ac:dyDescent="0.2">
      <c r="A1849" s="583"/>
      <c r="B1849" s="640"/>
      <c r="F1849" s="575"/>
      <c r="G1849" s="575"/>
      <c r="H1849" s="575"/>
      <c r="I1849" s="575"/>
      <c r="J1849" s="575"/>
      <c r="K1849" s="575"/>
    </row>
    <row r="1850" spans="1:11" x14ac:dyDescent="0.2">
      <c r="A1850" s="583"/>
      <c r="B1850" s="640"/>
      <c r="F1850" s="575"/>
      <c r="G1850" s="575"/>
      <c r="H1850" s="575"/>
      <c r="I1850" s="575"/>
      <c r="J1850" s="575"/>
      <c r="K1850" s="575"/>
    </row>
    <row r="1851" spans="1:11" x14ac:dyDescent="0.2">
      <c r="A1851" s="583"/>
      <c r="B1851" s="640"/>
      <c r="F1851" s="575"/>
      <c r="G1851" s="575"/>
      <c r="H1851" s="575"/>
      <c r="I1851" s="575"/>
      <c r="J1851" s="575"/>
      <c r="K1851" s="575"/>
    </row>
    <row r="1852" spans="1:11" x14ac:dyDescent="0.2">
      <c r="A1852" s="583"/>
      <c r="B1852" s="640"/>
      <c r="F1852" s="575"/>
      <c r="G1852" s="575"/>
      <c r="H1852" s="575"/>
      <c r="I1852" s="575"/>
      <c r="J1852" s="575"/>
      <c r="K1852" s="575"/>
    </row>
    <row r="1853" spans="1:11" x14ac:dyDescent="0.2">
      <c r="A1853" s="583"/>
      <c r="B1853" s="640"/>
      <c r="F1853" s="575"/>
      <c r="G1853" s="575"/>
      <c r="H1853" s="575"/>
      <c r="I1853" s="575"/>
      <c r="J1853" s="575"/>
      <c r="K1853" s="575"/>
    </row>
    <row r="1854" spans="1:11" x14ac:dyDescent="0.2">
      <c r="A1854" s="583"/>
      <c r="B1854" s="640"/>
      <c r="F1854" s="575"/>
      <c r="G1854" s="575"/>
      <c r="H1854" s="575"/>
      <c r="I1854" s="575"/>
      <c r="J1854" s="575"/>
      <c r="K1854" s="575"/>
    </row>
    <row r="1855" spans="1:11" x14ac:dyDescent="0.2">
      <c r="A1855" s="583"/>
      <c r="B1855" s="640"/>
      <c r="F1855" s="575"/>
      <c r="G1855" s="575"/>
      <c r="H1855" s="575"/>
      <c r="I1855" s="575"/>
      <c r="J1855" s="575"/>
      <c r="K1855" s="575"/>
    </row>
    <row r="1856" spans="1:11" x14ac:dyDescent="0.2">
      <c r="A1856" s="583"/>
      <c r="B1856" s="640"/>
      <c r="F1856" s="575"/>
      <c r="G1856" s="575"/>
      <c r="H1856" s="575"/>
      <c r="I1856" s="575"/>
      <c r="J1856" s="575"/>
      <c r="K1856" s="575"/>
    </row>
    <row r="1857" spans="1:11" x14ac:dyDescent="0.2">
      <c r="A1857" s="583"/>
      <c r="B1857" s="640"/>
      <c r="F1857" s="575"/>
      <c r="G1857" s="575"/>
      <c r="H1857" s="575"/>
      <c r="I1857" s="575"/>
      <c r="J1857" s="575"/>
      <c r="K1857" s="575"/>
    </row>
    <row r="1858" spans="1:11" x14ac:dyDescent="0.2">
      <c r="A1858" s="583"/>
      <c r="B1858" s="640"/>
      <c r="F1858" s="575"/>
      <c r="G1858" s="575"/>
      <c r="H1858" s="575"/>
      <c r="I1858" s="575"/>
      <c r="J1858" s="575"/>
      <c r="K1858" s="575"/>
    </row>
    <row r="1859" spans="1:11" x14ac:dyDescent="0.2">
      <c r="A1859" s="583"/>
      <c r="B1859" s="640"/>
      <c r="F1859" s="575"/>
      <c r="G1859" s="575"/>
      <c r="H1859" s="575"/>
      <c r="I1859" s="575"/>
      <c r="J1859" s="575"/>
      <c r="K1859" s="575"/>
    </row>
    <row r="1860" spans="1:11" x14ac:dyDescent="0.2">
      <c r="A1860" s="583"/>
      <c r="B1860" s="640"/>
      <c r="F1860" s="575"/>
      <c r="G1860" s="575"/>
      <c r="H1860" s="575"/>
      <c r="I1860" s="575"/>
      <c r="J1860" s="575"/>
      <c r="K1860" s="575"/>
    </row>
    <row r="1861" spans="1:11" x14ac:dyDescent="0.2">
      <c r="A1861" s="583"/>
      <c r="B1861" s="640"/>
      <c r="F1861" s="575"/>
      <c r="G1861" s="575"/>
      <c r="H1861" s="575"/>
      <c r="I1861" s="575"/>
      <c r="J1861" s="575"/>
      <c r="K1861" s="575"/>
    </row>
    <row r="1862" spans="1:11" x14ac:dyDescent="0.2">
      <c r="A1862" s="583"/>
      <c r="B1862" s="640"/>
      <c r="F1862" s="575"/>
      <c r="G1862" s="575"/>
      <c r="H1862" s="575"/>
      <c r="I1862" s="575"/>
      <c r="J1862" s="575"/>
      <c r="K1862" s="575"/>
    </row>
    <row r="1863" spans="1:11" x14ac:dyDescent="0.2">
      <c r="A1863" s="583"/>
      <c r="B1863" s="640"/>
      <c r="F1863" s="575"/>
      <c r="G1863" s="575"/>
      <c r="H1863" s="575"/>
      <c r="I1863" s="575"/>
      <c r="J1863" s="575"/>
      <c r="K1863" s="575"/>
    </row>
    <row r="1864" spans="1:11" x14ac:dyDescent="0.2">
      <c r="A1864" s="583"/>
      <c r="B1864" s="640"/>
      <c r="F1864" s="575"/>
      <c r="G1864" s="575"/>
      <c r="H1864" s="575"/>
      <c r="I1864" s="575"/>
      <c r="J1864" s="575"/>
      <c r="K1864" s="575"/>
    </row>
    <row r="1865" spans="1:11" x14ac:dyDescent="0.2">
      <c r="A1865" s="583"/>
      <c r="B1865" s="640"/>
      <c r="F1865" s="575"/>
      <c r="G1865" s="575"/>
      <c r="H1865" s="575"/>
      <c r="I1865" s="575"/>
      <c r="J1865" s="575"/>
      <c r="K1865" s="575"/>
    </row>
    <row r="1866" spans="1:11" x14ac:dyDescent="0.2">
      <c r="A1866" s="583"/>
      <c r="B1866" s="640"/>
      <c r="F1866" s="575"/>
      <c r="G1866" s="575"/>
      <c r="H1866" s="575"/>
      <c r="I1866" s="575"/>
      <c r="J1866" s="575"/>
      <c r="K1866" s="575"/>
    </row>
    <row r="1867" spans="1:11" x14ac:dyDescent="0.2">
      <c r="A1867" s="583"/>
      <c r="B1867" s="640"/>
      <c r="F1867" s="575"/>
      <c r="G1867" s="575"/>
      <c r="H1867" s="575"/>
      <c r="I1867" s="575"/>
      <c r="J1867" s="575"/>
      <c r="K1867" s="575"/>
    </row>
    <row r="1868" spans="1:11" x14ac:dyDescent="0.2">
      <c r="A1868" s="583"/>
      <c r="B1868" s="640"/>
      <c r="F1868" s="575"/>
      <c r="G1868" s="575"/>
      <c r="H1868" s="575"/>
      <c r="I1868" s="575"/>
      <c r="J1868" s="575"/>
      <c r="K1868" s="575"/>
    </row>
    <row r="1869" spans="1:11" x14ac:dyDescent="0.2">
      <c r="A1869" s="583"/>
      <c r="B1869" s="640"/>
      <c r="F1869" s="575"/>
      <c r="G1869" s="575"/>
      <c r="H1869" s="575"/>
      <c r="I1869" s="575"/>
      <c r="J1869" s="575"/>
      <c r="K1869" s="575"/>
    </row>
    <row r="1870" spans="1:11" x14ac:dyDescent="0.2">
      <c r="A1870" s="583"/>
      <c r="B1870" s="640"/>
      <c r="F1870" s="575"/>
      <c r="G1870" s="575"/>
      <c r="H1870" s="575"/>
      <c r="I1870" s="575"/>
      <c r="J1870" s="575"/>
      <c r="K1870" s="575"/>
    </row>
    <row r="1871" spans="1:11" x14ac:dyDescent="0.2">
      <c r="A1871" s="583"/>
      <c r="B1871" s="640"/>
      <c r="F1871" s="575"/>
      <c r="G1871" s="575"/>
      <c r="H1871" s="575"/>
      <c r="I1871" s="575"/>
      <c r="J1871" s="575"/>
      <c r="K1871" s="575"/>
    </row>
    <row r="1872" spans="1:11" x14ac:dyDescent="0.2">
      <c r="A1872" s="583"/>
      <c r="B1872" s="640"/>
      <c r="F1872" s="575"/>
      <c r="G1872" s="575"/>
      <c r="H1872" s="575"/>
      <c r="I1872" s="575"/>
      <c r="J1872" s="575"/>
      <c r="K1872" s="575"/>
    </row>
    <row r="1873" spans="1:11" x14ac:dyDescent="0.2">
      <c r="A1873" s="583"/>
      <c r="B1873" s="640"/>
      <c r="F1873" s="575"/>
      <c r="G1873" s="575"/>
      <c r="H1873" s="575"/>
      <c r="I1873" s="575"/>
      <c r="J1873" s="575"/>
      <c r="K1873" s="575"/>
    </row>
    <row r="1874" spans="1:11" x14ac:dyDescent="0.2">
      <c r="A1874" s="583"/>
      <c r="B1874" s="640"/>
      <c r="F1874" s="575"/>
      <c r="G1874" s="575"/>
      <c r="H1874" s="575"/>
      <c r="I1874" s="575"/>
      <c r="J1874" s="575"/>
      <c r="K1874" s="575"/>
    </row>
    <row r="1875" spans="1:11" x14ac:dyDescent="0.2">
      <c r="A1875" s="583"/>
      <c r="B1875" s="640"/>
      <c r="F1875" s="575"/>
      <c r="G1875" s="575"/>
      <c r="H1875" s="575"/>
      <c r="I1875" s="575"/>
      <c r="J1875" s="575"/>
      <c r="K1875" s="575"/>
    </row>
    <row r="1876" spans="1:11" x14ac:dyDescent="0.2">
      <c r="A1876" s="583"/>
      <c r="B1876" s="640"/>
      <c r="F1876" s="575"/>
      <c r="G1876" s="575"/>
      <c r="H1876" s="575"/>
      <c r="I1876" s="575"/>
      <c r="J1876" s="575"/>
      <c r="K1876" s="575"/>
    </row>
    <row r="1877" spans="1:11" x14ac:dyDescent="0.2">
      <c r="A1877" s="583"/>
      <c r="B1877" s="640"/>
      <c r="F1877" s="575"/>
      <c r="G1877" s="575"/>
      <c r="H1877" s="575"/>
      <c r="I1877" s="575"/>
      <c r="J1877" s="575"/>
      <c r="K1877" s="575"/>
    </row>
    <row r="1878" spans="1:11" x14ac:dyDescent="0.2">
      <c r="A1878" s="583"/>
      <c r="B1878" s="640"/>
      <c r="F1878" s="575"/>
      <c r="G1878" s="575"/>
      <c r="H1878" s="575"/>
      <c r="I1878" s="575"/>
      <c r="J1878" s="575"/>
      <c r="K1878" s="575"/>
    </row>
    <row r="1879" spans="1:11" x14ac:dyDescent="0.2">
      <c r="A1879" s="583"/>
      <c r="B1879" s="640"/>
      <c r="F1879" s="575"/>
      <c r="G1879" s="575"/>
      <c r="H1879" s="575"/>
      <c r="I1879" s="575"/>
      <c r="J1879" s="575"/>
      <c r="K1879" s="575"/>
    </row>
    <row r="1880" spans="1:11" x14ac:dyDescent="0.2">
      <c r="A1880" s="583"/>
      <c r="B1880" s="640"/>
      <c r="F1880" s="575"/>
      <c r="G1880" s="575"/>
      <c r="H1880" s="575"/>
      <c r="I1880" s="575"/>
      <c r="J1880" s="575"/>
      <c r="K1880" s="575"/>
    </row>
    <row r="1881" spans="1:11" x14ac:dyDescent="0.2">
      <c r="A1881" s="583"/>
      <c r="B1881" s="640"/>
      <c r="F1881" s="575"/>
      <c r="G1881" s="575"/>
      <c r="H1881" s="575"/>
      <c r="I1881" s="575"/>
      <c r="J1881" s="575"/>
      <c r="K1881" s="575"/>
    </row>
    <row r="1882" spans="1:11" x14ac:dyDescent="0.2">
      <c r="A1882" s="583"/>
      <c r="B1882" s="640"/>
      <c r="F1882" s="575"/>
      <c r="G1882" s="575"/>
      <c r="H1882" s="575"/>
      <c r="I1882" s="575"/>
      <c r="J1882" s="575"/>
      <c r="K1882" s="575"/>
    </row>
    <row r="1883" spans="1:11" x14ac:dyDescent="0.2">
      <c r="A1883" s="583"/>
      <c r="B1883" s="640"/>
      <c r="F1883" s="575"/>
      <c r="G1883" s="575"/>
      <c r="H1883" s="575"/>
      <c r="I1883" s="575"/>
      <c r="J1883" s="575"/>
      <c r="K1883" s="575"/>
    </row>
    <row r="1884" spans="1:11" x14ac:dyDescent="0.2">
      <c r="A1884" s="583"/>
      <c r="B1884" s="640"/>
      <c r="F1884" s="575"/>
      <c r="G1884" s="575"/>
      <c r="H1884" s="575"/>
      <c r="I1884" s="575"/>
      <c r="J1884" s="575"/>
      <c r="K1884" s="575"/>
    </row>
    <row r="1885" spans="1:11" x14ac:dyDescent="0.2">
      <c r="A1885" s="583"/>
      <c r="B1885" s="640"/>
      <c r="F1885" s="575"/>
      <c r="G1885" s="575"/>
      <c r="H1885" s="575"/>
      <c r="I1885" s="575"/>
      <c r="J1885" s="575"/>
      <c r="K1885" s="575"/>
    </row>
    <row r="1886" spans="1:11" x14ac:dyDescent="0.2">
      <c r="A1886" s="583"/>
      <c r="B1886" s="640"/>
      <c r="F1886" s="575"/>
      <c r="G1886" s="575"/>
      <c r="H1886" s="575"/>
      <c r="I1886" s="575"/>
      <c r="J1886" s="575"/>
      <c r="K1886" s="575"/>
    </row>
    <row r="1887" spans="1:11" x14ac:dyDescent="0.2">
      <c r="A1887" s="583"/>
      <c r="B1887" s="640"/>
      <c r="F1887" s="575"/>
      <c r="G1887" s="575"/>
      <c r="H1887" s="575"/>
      <c r="I1887" s="575"/>
      <c r="J1887" s="575"/>
      <c r="K1887" s="575"/>
    </row>
    <row r="1888" spans="1:11" x14ac:dyDescent="0.2">
      <c r="A1888" s="583"/>
      <c r="B1888" s="640"/>
      <c r="F1888" s="575"/>
      <c r="G1888" s="575"/>
      <c r="H1888" s="575"/>
      <c r="I1888" s="575"/>
      <c r="J1888" s="575"/>
      <c r="K1888" s="575"/>
    </row>
    <row r="1889" spans="1:11" x14ac:dyDescent="0.2">
      <c r="A1889" s="583"/>
      <c r="B1889" s="640"/>
      <c r="F1889" s="575"/>
      <c r="G1889" s="575"/>
      <c r="H1889" s="575"/>
      <c r="I1889" s="575"/>
      <c r="J1889" s="575"/>
      <c r="K1889" s="575"/>
    </row>
    <row r="1890" spans="1:11" x14ac:dyDescent="0.2">
      <c r="A1890" s="583"/>
      <c r="B1890" s="640"/>
      <c r="F1890" s="575"/>
      <c r="G1890" s="575"/>
      <c r="H1890" s="575"/>
      <c r="I1890" s="575"/>
      <c r="J1890" s="575"/>
      <c r="K1890" s="575"/>
    </row>
    <row r="1891" spans="1:11" x14ac:dyDescent="0.2">
      <c r="A1891" s="583"/>
      <c r="B1891" s="640"/>
      <c r="F1891" s="575"/>
      <c r="G1891" s="575"/>
      <c r="H1891" s="575"/>
      <c r="I1891" s="575"/>
      <c r="J1891" s="575"/>
      <c r="K1891" s="575"/>
    </row>
    <row r="1892" spans="1:11" x14ac:dyDescent="0.2">
      <c r="A1892" s="583"/>
      <c r="B1892" s="640"/>
      <c r="F1892" s="575"/>
      <c r="G1892" s="575"/>
      <c r="H1892" s="575"/>
      <c r="I1892" s="575"/>
      <c r="J1892" s="575"/>
      <c r="K1892" s="575"/>
    </row>
    <row r="1893" spans="1:11" x14ac:dyDescent="0.2">
      <c r="A1893" s="583"/>
      <c r="B1893" s="640"/>
      <c r="F1893" s="575"/>
      <c r="G1893" s="575"/>
      <c r="H1893" s="575"/>
      <c r="I1893" s="575"/>
      <c r="J1893" s="575"/>
      <c r="K1893" s="575"/>
    </row>
    <row r="1894" spans="1:11" x14ac:dyDescent="0.2">
      <c r="A1894" s="583"/>
      <c r="B1894" s="640"/>
      <c r="F1894" s="575"/>
      <c r="G1894" s="575"/>
      <c r="H1894" s="575"/>
      <c r="I1894" s="575"/>
      <c r="J1894" s="575"/>
      <c r="K1894" s="575"/>
    </row>
    <row r="1895" spans="1:11" x14ac:dyDescent="0.2">
      <c r="A1895" s="583"/>
      <c r="B1895" s="640"/>
      <c r="F1895" s="575"/>
      <c r="G1895" s="575"/>
      <c r="H1895" s="575"/>
      <c r="I1895" s="575"/>
      <c r="J1895" s="575"/>
      <c r="K1895" s="575"/>
    </row>
    <row r="1896" spans="1:11" x14ac:dyDescent="0.2">
      <c r="A1896" s="583"/>
      <c r="B1896" s="640"/>
      <c r="F1896" s="575"/>
      <c r="G1896" s="575"/>
      <c r="H1896" s="575"/>
      <c r="I1896" s="575"/>
      <c r="J1896" s="575"/>
      <c r="K1896" s="575"/>
    </row>
    <row r="1897" spans="1:11" x14ac:dyDescent="0.2">
      <c r="A1897" s="583"/>
      <c r="B1897" s="640"/>
      <c r="F1897" s="575"/>
      <c r="G1897" s="575"/>
      <c r="H1897" s="575"/>
      <c r="I1897" s="575"/>
      <c r="J1897" s="575"/>
      <c r="K1897" s="575"/>
    </row>
    <row r="1898" spans="1:11" x14ac:dyDescent="0.2">
      <c r="A1898" s="583"/>
      <c r="B1898" s="640"/>
      <c r="F1898" s="575"/>
      <c r="G1898" s="575"/>
      <c r="H1898" s="575"/>
      <c r="I1898" s="575"/>
      <c r="J1898" s="575"/>
      <c r="K1898" s="575"/>
    </row>
    <row r="1899" spans="1:11" x14ac:dyDescent="0.2">
      <c r="A1899" s="583"/>
      <c r="B1899" s="640"/>
      <c r="F1899" s="575"/>
      <c r="G1899" s="575"/>
      <c r="H1899" s="575"/>
      <c r="I1899" s="575"/>
      <c r="J1899" s="575"/>
      <c r="K1899" s="575"/>
    </row>
    <row r="1900" spans="1:11" x14ac:dyDescent="0.2">
      <c r="A1900" s="583"/>
      <c r="B1900" s="640"/>
      <c r="F1900" s="575"/>
      <c r="G1900" s="575"/>
      <c r="H1900" s="575"/>
      <c r="I1900" s="575"/>
      <c r="J1900" s="575"/>
      <c r="K1900" s="575"/>
    </row>
    <row r="1901" spans="1:11" x14ac:dyDescent="0.2">
      <c r="A1901" s="583"/>
      <c r="B1901" s="640"/>
      <c r="F1901" s="575"/>
      <c r="G1901" s="575"/>
      <c r="H1901" s="575"/>
      <c r="I1901" s="575"/>
      <c r="J1901" s="575"/>
      <c r="K1901" s="575"/>
    </row>
    <row r="1902" spans="1:11" x14ac:dyDescent="0.2">
      <c r="A1902" s="583"/>
      <c r="B1902" s="640"/>
      <c r="F1902" s="575"/>
      <c r="G1902" s="575"/>
      <c r="H1902" s="575"/>
      <c r="I1902" s="575"/>
      <c r="J1902" s="575"/>
      <c r="K1902" s="575"/>
    </row>
    <row r="1903" spans="1:11" x14ac:dyDescent="0.2">
      <c r="A1903" s="583"/>
      <c r="B1903" s="640"/>
      <c r="F1903" s="575"/>
      <c r="G1903" s="575"/>
      <c r="H1903" s="575"/>
      <c r="I1903" s="575"/>
      <c r="J1903" s="575"/>
      <c r="K1903" s="575"/>
    </row>
    <row r="1904" spans="1:11" x14ac:dyDescent="0.2">
      <c r="A1904" s="583"/>
      <c r="B1904" s="640"/>
      <c r="F1904" s="575"/>
      <c r="G1904" s="575"/>
      <c r="H1904" s="575"/>
      <c r="I1904" s="575"/>
      <c r="J1904" s="575"/>
      <c r="K1904" s="575"/>
    </row>
    <row r="1905" spans="1:11" x14ac:dyDescent="0.2">
      <c r="A1905" s="583"/>
      <c r="B1905" s="640"/>
      <c r="F1905" s="575"/>
      <c r="G1905" s="575"/>
      <c r="H1905" s="575"/>
      <c r="I1905" s="575"/>
      <c r="J1905" s="575"/>
      <c r="K1905" s="575"/>
    </row>
    <row r="1906" spans="1:11" x14ac:dyDescent="0.2">
      <c r="A1906" s="583"/>
      <c r="B1906" s="640"/>
      <c r="F1906" s="575"/>
      <c r="G1906" s="575"/>
      <c r="H1906" s="575"/>
      <c r="I1906" s="575"/>
      <c r="J1906" s="575"/>
      <c r="K1906" s="575"/>
    </row>
    <row r="1907" spans="1:11" x14ac:dyDescent="0.2">
      <c r="A1907" s="583"/>
      <c r="B1907" s="640"/>
      <c r="F1907" s="575"/>
      <c r="G1907" s="575"/>
      <c r="H1907" s="575"/>
      <c r="I1907" s="575"/>
      <c r="J1907" s="575"/>
      <c r="K1907" s="575"/>
    </row>
    <row r="1908" spans="1:11" x14ac:dyDescent="0.2">
      <c r="A1908" s="583"/>
      <c r="B1908" s="640"/>
      <c r="F1908" s="575"/>
      <c r="G1908" s="575"/>
      <c r="H1908" s="575"/>
      <c r="I1908" s="575"/>
      <c r="J1908" s="575"/>
      <c r="K1908" s="575"/>
    </row>
    <row r="1909" spans="1:11" x14ac:dyDescent="0.2">
      <c r="A1909" s="583"/>
      <c r="B1909" s="640"/>
      <c r="F1909" s="575"/>
      <c r="G1909" s="575"/>
      <c r="H1909" s="575"/>
      <c r="I1909" s="575"/>
      <c r="J1909" s="575"/>
      <c r="K1909" s="575"/>
    </row>
    <row r="1910" spans="1:11" x14ac:dyDescent="0.2">
      <c r="A1910" s="583"/>
      <c r="B1910" s="640"/>
      <c r="F1910" s="575"/>
      <c r="G1910" s="575"/>
      <c r="H1910" s="575"/>
      <c r="I1910" s="575"/>
      <c r="J1910" s="575"/>
      <c r="K1910" s="575"/>
    </row>
    <row r="1911" spans="1:11" x14ac:dyDescent="0.2">
      <c r="A1911" s="583"/>
      <c r="B1911" s="640"/>
      <c r="F1911" s="575"/>
      <c r="G1911" s="575"/>
      <c r="H1911" s="575"/>
      <c r="I1911" s="575"/>
      <c r="J1911" s="575"/>
      <c r="K1911" s="575"/>
    </row>
    <row r="1912" spans="1:11" x14ac:dyDescent="0.2">
      <c r="A1912" s="583"/>
      <c r="B1912" s="640"/>
      <c r="F1912" s="575"/>
      <c r="G1912" s="575"/>
      <c r="H1912" s="575"/>
      <c r="I1912" s="575"/>
      <c r="J1912" s="575"/>
      <c r="K1912" s="575"/>
    </row>
    <row r="1913" spans="1:11" x14ac:dyDescent="0.2">
      <c r="A1913" s="583"/>
      <c r="B1913" s="640"/>
      <c r="F1913" s="575"/>
      <c r="G1913" s="575"/>
      <c r="H1913" s="575"/>
      <c r="I1913" s="575"/>
      <c r="J1913" s="575"/>
      <c r="K1913" s="575"/>
    </row>
    <row r="1914" spans="1:11" x14ac:dyDescent="0.2">
      <c r="A1914" s="583"/>
      <c r="B1914" s="640"/>
      <c r="F1914" s="575"/>
      <c r="G1914" s="575"/>
      <c r="H1914" s="575"/>
      <c r="I1914" s="575"/>
      <c r="J1914" s="575"/>
      <c r="K1914" s="575"/>
    </row>
    <row r="1915" spans="1:11" x14ac:dyDescent="0.2">
      <c r="A1915" s="583"/>
      <c r="B1915" s="640"/>
      <c r="F1915" s="575"/>
      <c r="G1915" s="575"/>
      <c r="H1915" s="575"/>
      <c r="I1915" s="575"/>
      <c r="J1915" s="575"/>
      <c r="K1915" s="575"/>
    </row>
    <row r="1916" spans="1:11" x14ac:dyDescent="0.2">
      <c r="A1916" s="583"/>
      <c r="B1916" s="640"/>
      <c r="F1916" s="575"/>
      <c r="G1916" s="575"/>
      <c r="H1916" s="575"/>
      <c r="I1916" s="575"/>
      <c r="J1916" s="575"/>
      <c r="K1916" s="575"/>
    </row>
    <row r="1917" spans="1:11" x14ac:dyDescent="0.2">
      <c r="A1917" s="583"/>
      <c r="B1917" s="640"/>
      <c r="F1917" s="575"/>
      <c r="G1917" s="575"/>
      <c r="H1917" s="575"/>
      <c r="I1917" s="575"/>
      <c r="J1917" s="575"/>
      <c r="K1917" s="575"/>
    </row>
    <row r="1918" spans="1:11" x14ac:dyDescent="0.2">
      <c r="A1918" s="583"/>
      <c r="B1918" s="640"/>
      <c r="F1918" s="575"/>
      <c r="G1918" s="575"/>
      <c r="H1918" s="575"/>
      <c r="I1918" s="575"/>
      <c r="J1918" s="575"/>
      <c r="K1918" s="575"/>
    </row>
    <row r="1919" spans="1:11" x14ac:dyDescent="0.2">
      <c r="A1919" s="583"/>
      <c r="B1919" s="640"/>
      <c r="F1919" s="575"/>
      <c r="G1919" s="575"/>
      <c r="H1919" s="575"/>
      <c r="I1919" s="575"/>
      <c r="J1919" s="575"/>
      <c r="K1919" s="575"/>
    </row>
    <row r="1920" spans="1:11" x14ac:dyDescent="0.2">
      <c r="A1920" s="583"/>
      <c r="B1920" s="640"/>
      <c r="F1920" s="575"/>
      <c r="G1920" s="575"/>
      <c r="H1920" s="575"/>
      <c r="I1920" s="575"/>
      <c r="J1920" s="575"/>
      <c r="K1920" s="575"/>
    </row>
    <row r="1921" spans="1:11" x14ac:dyDescent="0.2">
      <c r="A1921" s="583"/>
      <c r="B1921" s="640"/>
      <c r="F1921" s="575"/>
      <c r="G1921" s="575"/>
      <c r="H1921" s="575"/>
      <c r="I1921" s="575"/>
      <c r="J1921" s="575"/>
      <c r="K1921" s="575"/>
    </row>
    <row r="1922" spans="1:11" x14ac:dyDescent="0.2">
      <c r="A1922" s="583"/>
      <c r="B1922" s="640"/>
      <c r="F1922" s="575"/>
      <c r="G1922" s="575"/>
      <c r="H1922" s="575"/>
      <c r="I1922" s="575"/>
      <c r="J1922" s="575"/>
      <c r="K1922" s="575"/>
    </row>
    <row r="1923" spans="1:11" x14ac:dyDescent="0.2">
      <c r="A1923" s="583"/>
      <c r="B1923" s="640"/>
      <c r="F1923" s="575"/>
      <c r="G1923" s="575"/>
      <c r="H1923" s="575"/>
      <c r="I1923" s="575"/>
      <c r="J1923" s="575"/>
      <c r="K1923" s="575"/>
    </row>
    <row r="1924" spans="1:11" x14ac:dyDescent="0.2">
      <c r="A1924" s="583"/>
      <c r="B1924" s="640"/>
      <c r="F1924" s="575"/>
      <c r="G1924" s="575"/>
      <c r="H1924" s="575"/>
      <c r="I1924" s="575"/>
      <c r="J1924" s="575"/>
      <c r="K1924" s="575"/>
    </row>
    <row r="1925" spans="1:11" x14ac:dyDescent="0.2">
      <c r="A1925" s="583"/>
      <c r="B1925" s="640"/>
      <c r="F1925" s="575"/>
      <c r="G1925" s="575"/>
      <c r="H1925" s="575"/>
      <c r="I1925" s="575"/>
      <c r="J1925" s="575"/>
      <c r="K1925" s="575"/>
    </row>
    <row r="1926" spans="1:11" x14ac:dyDescent="0.2">
      <c r="A1926" s="583"/>
      <c r="B1926" s="640"/>
      <c r="F1926" s="575"/>
      <c r="G1926" s="575"/>
      <c r="H1926" s="575"/>
      <c r="I1926" s="575"/>
      <c r="J1926" s="575"/>
      <c r="K1926" s="575"/>
    </row>
    <row r="1927" spans="1:11" x14ac:dyDescent="0.2">
      <c r="A1927" s="583"/>
      <c r="B1927" s="640"/>
      <c r="F1927" s="575"/>
      <c r="G1927" s="575"/>
      <c r="H1927" s="575"/>
      <c r="I1927" s="575"/>
      <c r="J1927" s="575"/>
      <c r="K1927" s="575"/>
    </row>
    <row r="1928" spans="1:11" x14ac:dyDescent="0.2">
      <c r="A1928" s="583"/>
      <c r="B1928" s="640"/>
      <c r="F1928" s="575"/>
      <c r="G1928" s="575"/>
      <c r="H1928" s="575"/>
      <c r="I1928" s="575"/>
      <c r="J1928" s="575"/>
      <c r="K1928" s="575"/>
    </row>
    <row r="1929" spans="1:11" x14ac:dyDescent="0.2">
      <c r="A1929" s="583"/>
      <c r="B1929" s="640"/>
      <c r="F1929" s="575"/>
      <c r="G1929" s="575"/>
      <c r="H1929" s="575"/>
      <c r="I1929" s="575"/>
      <c r="J1929" s="575"/>
      <c r="K1929" s="575"/>
    </row>
    <row r="1930" spans="1:11" x14ac:dyDescent="0.2">
      <c r="A1930" s="583"/>
      <c r="B1930" s="640"/>
      <c r="F1930" s="575"/>
      <c r="G1930" s="575"/>
      <c r="H1930" s="575"/>
      <c r="I1930" s="575"/>
      <c r="J1930" s="575"/>
      <c r="K1930" s="575"/>
    </row>
    <row r="1931" spans="1:11" x14ac:dyDescent="0.2">
      <c r="A1931" s="583"/>
      <c r="B1931" s="640"/>
      <c r="F1931" s="575"/>
      <c r="G1931" s="575"/>
      <c r="H1931" s="575"/>
      <c r="I1931" s="575"/>
      <c r="J1931" s="575"/>
      <c r="K1931" s="575"/>
    </row>
    <row r="1932" spans="1:11" x14ac:dyDescent="0.2">
      <c r="A1932" s="583"/>
      <c r="B1932" s="640"/>
      <c r="F1932" s="575"/>
      <c r="G1932" s="575"/>
      <c r="H1932" s="575"/>
      <c r="I1932" s="575"/>
      <c r="J1932" s="575"/>
      <c r="K1932" s="575"/>
    </row>
    <row r="1933" spans="1:11" x14ac:dyDescent="0.2">
      <c r="A1933" s="583"/>
      <c r="B1933" s="640"/>
      <c r="F1933" s="575"/>
      <c r="G1933" s="575"/>
      <c r="H1933" s="575"/>
      <c r="I1933" s="575"/>
      <c r="J1933" s="575"/>
      <c r="K1933" s="575"/>
    </row>
    <row r="1934" spans="1:11" x14ac:dyDescent="0.2">
      <c r="A1934" s="583"/>
      <c r="B1934" s="640"/>
      <c r="F1934" s="575"/>
      <c r="G1934" s="575"/>
      <c r="H1934" s="575"/>
      <c r="I1934" s="575"/>
      <c r="J1934" s="575"/>
      <c r="K1934" s="575"/>
    </row>
    <row r="1935" spans="1:11" x14ac:dyDescent="0.2">
      <c r="A1935" s="583"/>
      <c r="B1935" s="640"/>
      <c r="F1935" s="575"/>
      <c r="G1935" s="575"/>
      <c r="H1935" s="575"/>
      <c r="I1935" s="575"/>
      <c r="J1935" s="575"/>
      <c r="K1935" s="575"/>
    </row>
    <row r="1936" spans="1:11" x14ac:dyDescent="0.2">
      <c r="A1936" s="583"/>
      <c r="B1936" s="640"/>
      <c r="F1936" s="575"/>
      <c r="G1936" s="575"/>
      <c r="H1936" s="575"/>
      <c r="I1936" s="575"/>
      <c r="J1936" s="575"/>
      <c r="K1936" s="575"/>
    </row>
    <row r="1937" spans="1:11" x14ac:dyDescent="0.2">
      <c r="A1937" s="583"/>
      <c r="B1937" s="640"/>
      <c r="F1937" s="575"/>
      <c r="G1937" s="575"/>
      <c r="H1937" s="575"/>
      <c r="I1937" s="575"/>
      <c r="J1937" s="575"/>
      <c r="K1937" s="575"/>
    </row>
    <row r="1938" spans="1:11" x14ac:dyDescent="0.2">
      <c r="A1938" s="583"/>
      <c r="B1938" s="640"/>
      <c r="F1938" s="575"/>
      <c r="G1938" s="575"/>
      <c r="H1938" s="575"/>
      <c r="I1938" s="575"/>
      <c r="J1938" s="575"/>
      <c r="K1938" s="575"/>
    </row>
    <row r="1939" spans="1:11" x14ac:dyDescent="0.2">
      <c r="A1939" s="583"/>
      <c r="B1939" s="640"/>
      <c r="F1939" s="575"/>
      <c r="G1939" s="575"/>
      <c r="H1939" s="575"/>
      <c r="I1939" s="575"/>
      <c r="J1939" s="575"/>
      <c r="K1939" s="575"/>
    </row>
    <row r="1940" spans="1:11" x14ac:dyDescent="0.2">
      <c r="A1940" s="583"/>
      <c r="B1940" s="640"/>
      <c r="F1940" s="575"/>
      <c r="G1940" s="575"/>
      <c r="H1940" s="575"/>
      <c r="I1940" s="575"/>
      <c r="J1940" s="575"/>
      <c r="K1940" s="575"/>
    </row>
    <row r="1941" spans="1:11" x14ac:dyDescent="0.2">
      <c r="A1941" s="583"/>
      <c r="B1941" s="640"/>
      <c r="F1941" s="575"/>
      <c r="G1941" s="575"/>
      <c r="H1941" s="575"/>
      <c r="I1941" s="575"/>
      <c r="J1941" s="575"/>
      <c r="K1941" s="575"/>
    </row>
    <row r="1942" spans="1:11" x14ac:dyDescent="0.2">
      <c r="A1942" s="583"/>
      <c r="B1942" s="640"/>
      <c r="F1942" s="575"/>
      <c r="G1942" s="575"/>
      <c r="H1942" s="575"/>
      <c r="I1942" s="575"/>
      <c r="J1942" s="575"/>
      <c r="K1942" s="575"/>
    </row>
    <row r="1943" spans="1:11" x14ac:dyDescent="0.2">
      <c r="A1943" s="583"/>
      <c r="B1943" s="640"/>
      <c r="F1943" s="575"/>
      <c r="G1943" s="575"/>
      <c r="H1943" s="575"/>
      <c r="I1943" s="575"/>
      <c r="J1943" s="575"/>
      <c r="K1943" s="575"/>
    </row>
    <row r="1944" spans="1:11" x14ac:dyDescent="0.2">
      <c r="A1944" s="583"/>
      <c r="B1944" s="640"/>
      <c r="F1944" s="575"/>
      <c r="G1944" s="575"/>
      <c r="H1944" s="575"/>
      <c r="I1944" s="575"/>
      <c r="J1944" s="575"/>
      <c r="K1944" s="575"/>
    </row>
    <row r="1945" spans="1:11" x14ac:dyDescent="0.2">
      <c r="A1945" s="583"/>
      <c r="B1945" s="640"/>
      <c r="F1945" s="575"/>
      <c r="G1945" s="575"/>
      <c r="H1945" s="575"/>
      <c r="I1945" s="575"/>
      <c r="J1945" s="575"/>
      <c r="K1945" s="575"/>
    </row>
    <row r="1946" spans="1:11" x14ac:dyDescent="0.2">
      <c r="A1946" s="583"/>
      <c r="B1946" s="640"/>
      <c r="F1946" s="575"/>
      <c r="G1946" s="575"/>
      <c r="H1946" s="575"/>
      <c r="I1946" s="575"/>
      <c r="J1946" s="575"/>
      <c r="K1946" s="575"/>
    </row>
    <row r="1947" spans="1:11" x14ac:dyDescent="0.2">
      <c r="A1947" s="583"/>
      <c r="B1947" s="640"/>
      <c r="F1947" s="575"/>
      <c r="G1947" s="575"/>
      <c r="H1947" s="575"/>
      <c r="I1947" s="575"/>
      <c r="J1947" s="575"/>
      <c r="K1947" s="575"/>
    </row>
    <row r="1948" spans="1:11" x14ac:dyDescent="0.2">
      <c r="A1948" s="583"/>
      <c r="B1948" s="640"/>
      <c r="F1948" s="575"/>
      <c r="G1948" s="575"/>
      <c r="H1948" s="575"/>
      <c r="I1948" s="575"/>
      <c r="J1948" s="575"/>
      <c r="K1948" s="575"/>
    </row>
    <row r="1949" spans="1:11" x14ac:dyDescent="0.2">
      <c r="A1949" s="583"/>
      <c r="B1949" s="640"/>
      <c r="F1949" s="575"/>
      <c r="G1949" s="575"/>
      <c r="H1949" s="575"/>
      <c r="I1949" s="575"/>
      <c r="J1949" s="575"/>
      <c r="K1949" s="575"/>
    </row>
    <row r="1950" spans="1:11" x14ac:dyDescent="0.2">
      <c r="A1950" s="583"/>
      <c r="B1950" s="640"/>
      <c r="F1950" s="575"/>
      <c r="G1950" s="575"/>
      <c r="H1950" s="575"/>
      <c r="I1950" s="575"/>
      <c r="J1950" s="575"/>
      <c r="K1950" s="575"/>
    </row>
    <row r="1951" spans="1:11" x14ac:dyDescent="0.2">
      <c r="A1951" s="583"/>
      <c r="B1951" s="640"/>
      <c r="F1951" s="575"/>
      <c r="G1951" s="575"/>
      <c r="H1951" s="575"/>
      <c r="I1951" s="575"/>
      <c r="J1951" s="575"/>
      <c r="K1951" s="575"/>
    </row>
    <row r="1952" spans="1:11" x14ac:dyDescent="0.2">
      <c r="A1952" s="583"/>
      <c r="B1952" s="640"/>
      <c r="F1952" s="575"/>
      <c r="G1952" s="575"/>
      <c r="H1952" s="575"/>
      <c r="I1952" s="575"/>
      <c r="J1952" s="575"/>
      <c r="K1952" s="575"/>
    </row>
    <row r="1953" spans="1:11" x14ac:dyDescent="0.2">
      <c r="A1953" s="583"/>
      <c r="B1953" s="640"/>
      <c r="F1953" s="575"/>
      <c r="G1953" s="575"/>
      <c r="H1953" s="575"/>
      <c r="I1953" s="575"/>
      <c r="J1953" s="575"/>
      <c r="K1953" s="575"/>
    </row>
    <row r="1954" spans="1:11" x14ac:dyDescent="0.2">
      <c r="A1954" s="583"/>
      <c r="B1954" s="640"/>
      <c r="F1954" s="575"/>
      <c r="G1954" s="575"/>
      <c r="H1954" s="575"/>
      <c r="I1954" s="575"/>
      <c r="J1954" s="575"/>
      <c r="K1954" s="575"/>
    </row>
    <row r="1955" spans="1:11" x14ac:dyDescent="0.2">
      <c r="A1955" s="583"/>
      <c r="B1955" s="640"/>
      <c r="F1955" s="575"/>
      <c r="G1955" s="575"/>
      <c r="H1955" s="575"/>
      <c r="I1955" s="575"/>
      <c r="J1955" s="575"/>
      <c r="K1955" s="575"/>
    </row>
    <row r="1956" spans="1:11" x14ac:dyDescent="0.2">
      <c r="A1956" s="583"/>
      <c r="B1956" s="640"/>
      <c r="F1956" s="575"/>
      <c r="G1956" s="575"/>
      <c r="H1956" s="575"/>
      <c r="I1956" s="575"/>
      <c r="J1956" s="575"/>
      <c r="K1956" s="575"/>
    </row>
    <row r="1957" spans="1:11" x14ac:dyDescent="0.2">
      <c r="A1957" s="583"/>
      <c r="B1957" s="640"/>
      <c r="F1957" s="575"/>
      <c r="G1957" s="575"/>
      <c r="H1957" s="575"/>
      <c r="I1957" s="575"/>
      <c r="J1957" s="575"/>
      <c r="K1957" s="575"/>
    </row>
    <row r="1958" spans="1:11" x14ac:dyDescent="0.2">
      <c r="A1958" s="583"/>
      <c r="B1958" s="640"/>
      <c r="F1958" s="575"/>
      <c r="G1958" s="575"/>
      <c r="H1958" s="575"/>
      <c r="I1958" s="575"/>
      <c r="J1958" s="575"/>
      <c r="K1958" s="575"/>
    </row>
    <row r="1959" spans="1:11" x14ac:dyDescent="0.2">
      <c r="A1959" s="583"/>
      <c r="B1959" s="640"/>
      <c r="F1959" s="575"/>
      <c r="G1959" s="575"/>
      <c r="H1959" s="575"/>
      <c r="I1959" s="575"/>
      <c r="J1959" s="575"/>
      <c r="K1959" s="575"/>
    </row>
    <row r="1960" spans="1:11" x14ac:dyDescent="0.2">
      <c r="A1960" s="583"/>
      <c r="B1960" s="640"/>
      <c r="F1960" s="575"/>
      <c r="G1960" s="575"/>
      <c r="H1960" s="575"/>
      <c r="I1960" s="575"/>
      <c r="J1960" s="575"/>
      <c r="K1960" s="575"/>
    </row>
    <row r="1961" spans="1:11" x14ac:dyDescent="0.2">
      <c r="A1961" s="583"/>
      <c r="B1961" s="640"/>
      <c r="F1961" s="575"/>
      <c r="G1961" s="575"/>
      <c r="H1961" s="575"/>
      <c r="I1961" s="575"/>
      <c r="J1961" s="575"/>
      <c r="K1961" s="575"/>
    </row>
    <row r="1962" spans="1:11" x14ac:dyDescent="0.2">
      <c r="A1962" s="583"/>
      <c r="B1962" s="640"/>
      <c r="F1962" s="575"/>
      <c r="G1962" s="575"/>
      <c r="H1962" s="575"/>
      <c r="I1962" s="575"/>
      <c r="J1962" s="575"/>
      <c r="K1962" s="575"/>
    </row>
    <row r="1963" spans="1:11" x14ac:dyDescent="0.2">
      <c r="A1963" s="583"/>
      <c r="B1963" s="640"/>
      <c r="F1963" s="575"/>
      <c r="G1963" s="575"/>
      <c r="H1963" s="575"/>
      <c r="I1963" s="575"/>
      <c r="J1963" s="575"/>
      <c r="K1963" s="575"/>
    </row>
    <row r="1964" spans="1:11" x14ac:dyDescent="0.2">
      <c r="A1964" s="583"/>
      <c r="B1964" s="640"/>
      <c r="F1964" s="575"/>
      <c r="G1964" s="575"/>
      <c r="H1964" s="575"/>
      <c r="I1964" s="575"/>
      <c r="J1964" s="575"/>
      <c r="K1964" s="575"/>
    </row>
    <row r="1965" spans="1:11" x14ac:dyDescent="0.2">
      <c r="A1965" s="583"/>
      <c r="B1965" s="640"/>
      <c r="F1965" s="575"/>
      <c r="G1965" s="575"/>
      <c r="H1965" s="575"/>
      <c r="I1965" s="575"/>
      <c r="J1965" s="575"/>
      <c r="K1965" s="575"/>
    </row>
    <row r="1966" spans="1:11" x14ac:dyDescent="0.2">
      <c r="A1966" s="583"/>
      <c r="B1966" s="640"/>
      <c r="F1966" s="575"/>
      <c r="G1966" s="575"/>
      <c r="H1966" s="575"/>
      <c r="I1966" s="575"/>
      <c r="J1966" s="575"/>
      <c r="K1966" s="575"/>
    </row>
    <row r="1967" spans="1:11" x14ac:dyDescent="0.2">
      <c r="A1967" s="583"/>
      <c r="B1967" s="640"/>
      <c r="F1967" s="575"/>
      <c r="G1967" s="575"/>
      <c r="H1967" s="575"/>
      <c r="I1967" s="575"/>
      <c r="J1967" s="575"/>
      <c r="K1967" s="575"/>
    </row>
    <row r="1968" spans="1:11" x14ac:dyDescent="0.2">
      <c r="A1968" s="583"/>
      <c r="B1968" s="640"/>
      <c r="F1968" s="575"/>
      <c r="G1968" s="575"/>
      <c r="H1968" s="575"/>
      <c r="I1968" s="575"/>
      <c r="J1968" s="575"/>
      <c r="K1968" s="575"/>
    </row>
    <row r="1969" spans="1:11" x14ac:dyDescent="0.2">
      <c r="A1969" s="583"/>
      <c r="B1969" s="640"/>
      <c r="F1969" s="575"/>
      <c r="G1969" s="575"/>
      <c r="H1969" s="575"/>
      <c r="I1969" s="575"/>
      <c r="J1969" s="575"/>
      <c r="K1969" s="575"/>
    </row>
    <row r="1970" spans="1:11" x14ac:dyDescent="0.2">
      <c r="A1970" s="583"/>
      <c r="B1970" s="640"/>
      <c r="F1970" s="575"/>
      <c r="G1970" s="575"/>
      <c r="H1970" s="575"/>
      <c r="I1970" s="575"/>
      <c r="J1970" s="575"/>
      <c r="K1970" s="575"/>
    </row>
    <row r="1971" spans="1:11" x14ac:dyDescent="0.2">
      <c r="A1971" s="583"/>
      <c r="B1971" s="640"/>
      <c r="F1971" s="575"/>
      <c r="G1971" s="575"/>
      <c r="H1971" s="575"/>
      <c r="I1971" s="575"/>
      <c r="J1971" s="575"/>
      <c r="K1971" s="575"/>
    </row>
    <row r="1972" spans="1:11" x14ac:dyDescent="0.2">
      <c r="A1972" s="583"/>
      <c r="B1972" s="640"/>
      <c r="F1972" s="575"/>
      <c r="G1972" s="575"/>
      <c r="H1972" s="575"/>
      <c r="I1972" s="575"/>
      <c r="J1972" s="575"/>
      <c r="K1972" s="575"/>
    </row>
    <row r="1973" spans="1:11" x14ac:dyDescent="0.2">
      <c r="A1973" s="583"/>
      <c r="B1973" s="640"/>
      <c r="F1973" s="575"/>
      <c r="G1973" s="575"/>
      <c r="H1973" s="575"/>
      <c r="I1973" s="575"/>
      <c r="J1973" s="575"/>
      <c r="K1973" s="575"/>
    </row>
    <row r="1974" spans="1:11" x14ac:dyDescent="0.2">
      <c r="A1974" s="583"/>
      <c r="B1974" s="640"/>
      <c r="F1974" s="575"/>
      <c r="G1974" s="575"/>
      <c r="H1974" s="575"/>
      <c r="I1974" s="575"/>
      <c r="J1974" s="575"/>
      <c r="K1974" s="575"/>
    </row>
    <row r="1975" spans="1:11" x14ac:dyDescent="0.2">
      <c r="A1975" s="583"/>
      <c r="B1975" s="640"/>
      <c r="F1975" s="575"/>
      <c r="G1975" s="575"/>
      <c r="H1975" s="575"/>
      <c r="I1975" s="575"/>
      <c r="J1975" s="575"/>
      <c r="K1975" s="575"/>
    </row>
    <row r="1976" spans="1:11" x14ac:dyDescent="0.2">
      <c r="A1976" s="583"/>
      <c r="B1976" s="640"/>
      <c r="F1976" s="575"/>
      <c r="G1976" s="575"/>
      <c r="H1976" s="575"/>
      <c r="I1976" s="575"/>
      <c r="J1976" s="575"/>
      <c r="K1976" s="575"/>
    </row>
    <row r="1977" spans="1:11" x14ac:dyDescent="0.2">
      <c r="A1977" s="583"/>
      <c r="B1977" s="640"/>
      <c r="F1977" s="575"/>
      <c r="G1977" s="575"/>
      <c r="H1977" s="575"/>
      <c r="I1977" s="575"/>
      <c r="J1977" s="575"/>
      <c r="K1977" s="575"/>
    </row>
    <row r="1978" spans="1:11" x14ac:dyDescent="0.2">
      <c r="A1978" s="583"/>
      <c r="B1978" s="640"/>
      <c r="F1978" s="575"/>
      <c r="G1978" s="575"/>
      <c r="H1978" s="575"/>
      <c r="I1978" s="575"/>
      <c r="J1978" s="575"/>
      <c r="K1978" s="575"/>
    </row>
    <row r="1979" spans="1:11" x14ac:dyDescent="0.2">
      <c r="A1979" s="583"/>
      <c r="B1979" s="640"/>
      <c r="F1979" s="575"/>
      <c r="G1979" s="575"/>
      <c r="H1979" s="575"/>
      <c r="I1979" s="575"/>
      <c r="J1979" s="575"/>
      <c r="K1979" s="575"/>
    </row>
    <row r="1980" spans="1:11" x14ac:dyDescent="0.2">
      <c r="A1980" s="583"/>
      <c r="B1980" s="640"/>
      <c r="F1980" s="575"/>
      <c r="G1980" s="575"/>
      <c r="H1980" s="575"/>
      <c r="I1980" s="575"/>
      <c r="J1980" s="575"/>
      <c r="K1980" s="575"/>
    </row>
    <row r="1981" spans="1:11" x14ac:dyDescent="0.2">
      <c r="A1981" s="583"/>
      <c r="B1981" s="640"/>
      <c r="F1981" s="575"/>
      <c r="G1981" s="575"/>
      <c r="H1981" s="575"/>
      <c r="I1981" s="575"/>
      <c r="J1981" s="575"/>
      <c r="K1981" s="575"/>
    </row>
    <row r="1982" spans="1:11" x14ac:dyDescent="0.2">
      <c r="A1982" s="583"/>
      <c r="B1982" s="640"/>
      <c r="F1982" s="575"/>
      <c r="G1982" s="575"/>
      <c r="H1982" s="575"/>
      <c r="I1982" s="575"/>
      <c r="J1982" s="575"/>
      <c r="K1982" s="575"/>
    </row>
    <row r="1983" spans="1:11" x14ac:dyDescent="0.2">
      <c r="A1983" s="583"/>
      <c r="B1983" s="640"/>
      <c r="F1983" s="575"/>
      <c r="G1983" s="575"/>
      <c r="H1983" s="575"/>
      <c r="I1983" s="575"/>
      <c r="J1983" s="575"/>
      <c r="K1983" s="575"/>
    </row>
    <row r="1984" spans="1:11" x14ac:dyDescent="0.2">
      <c r="A1984" s="583"/>
      <c r="B1984" s="640"/>
      <c r="F1984" s="575"/>
      <c r="G1984" s="575"/>
      <c r="H1984" s="575"/>
      <c r="I1984" s="575"/>
      <c r="J1984" s="575"/>
      <c r="K1984" s="575"/>
    </row>
    <row r="1985" spans="1:11" x14ac:dyDescent="0.2">
      <c r="A1985" s="583"/>
      <c r="B1985" s="640"/>
      <c r="F1985" s="575"/>
      <c r="G1985" s="575"/>
      <c r="H1985" s="575"/>
      <c r="I1985" s="575"/>
      <c r="J1985" s="575"/>
      <c r="K1985" s="575"/>
    </row>
    <row r="1986" spans="1:11" x14ac:dyDescent="0.2">
      <c r="A1986" s="583"/>
      <c r="B1986" s="640"/>
      <c r="F1986" s="575"/>
      <c r="G1986" s="575"/>
      <c r="H1986" s="575"/>
      <c r="I1986" s="575"/>
      <c r="J1986" s="575"/>
      <c r="K1986" s="575"/>
    </row>
    <row r="1987" spans="1:11" x14ac:dyDescent="0.2">
      <c r="A1987" s="583"/>
      <c r="B1987" s="640"/>
      <c r="F1987" s="575"/>
      <c r="G1987" s="575"/>
      <c r="H1987" s="575"/>
      <c r="I1987" s="575"/>
      <c r="J1987" s="575"/>
      <c r="K1987" s="575"/>
    </row>
    <row r="1988" spans="1:11" x14ac:dyDescent="0.2">
      <c r="A1988" s="583"/>
      <c r="B1988" s="640"/>
      <c r="F1988" s="575"/>
      <c r="G1988" s="575"/>
      <c r="H1988" s="575"/>
      <c r="I1988" s="575"/>
      <c r="J1988" s="575"/>
      <c r="K1988" s="575"/>
    </row>
    <row r="1989" spans="1:11" x14ac:dyDescent="0.2">
      <c r="A1989" s="583"/>
      <c r="B1989" s="640"/>
      <c r="F1989" s="575"/>
      <c r="G1989" s="575"/>
      <c r="H1989" s="575"/>
      <c r="I1989" s="575"/>
      <c r="J1989" s="575"/>
      <c r="K1989" s="575"/>
    </row>
    <row r="1990" spans="1:11" x14ac:dyDescent="0.2">
      <c r="A1990" s="583"/>
      <c r="B1990" s="640"/>
      <c r="F1990" s="575"/>
      <c r="G1990" s="575"/>
      <c r="H1990" s="575"/>
      <c r="I1990" s="575"/>
      <c r="J1990" s="575"/>
      <c r="K1990" s="575"/>
    </row>
    <row r="1991" spans="1:11" x14ac:dyDescent="0.2">
      <c r="A1991" s="583"/>
      <c r="B1991" s="640"/>
      <c r="F1991" s="575"/>
      <c r="G1991" s="575"/>
      <c r="H1991" s="575"/>
      <c r="I1991" s="575"/>
      <c r="J1991" s="575"/>
      <c r="K1991" s="575"/>
    </row>
    <row r="1992" spans="1:11" x14ac:dyDescent="0.2">
      <c r="A1992" s="583"/>
      <c r="B1992" s="640"/>
      <c r="F1992" s="575"/>
      <c r="G1992" s="575"/>
      <c r="H1992" s="575"/>
      <c r="I1992" s="575"/>
      <c r="J1992" s="575"/>
      <c r="K1992" s="575"/>
    </row>
    <row r="1993" spans="1:11" x14ac:dyDescent="0.2">
      <c r="A1993" s="583"/>
      <c r="B1993" s="640"/>
      <c r="F1993" s="575"/>
      <c r="G1993" s="575"/>
      <c r="H1993" s="575"/>
      <c r="I1993" s="575"/>
      <c r="J1993" s="575"/>
      <c r="K1993" s="575"/>
    </row>
    <row r="1994" spans="1:11" x14ac:dyDescent="0.2">
      <c r="A1994" s="583"/>
      <c r="B1994" s="640"/>
      <c r="F1994" s="575"/>
      <c r="G1994" s="575"/>
      <c r="H1994" s="575"/>
      <c r="I1994" s="575"/>
      <c r="J1994" s="575"/>
      <c r="K1994" s="575"/>
    </row>
    <row r="1995" spans="1:11" x14ac:dyDescent="0.2">
      <c r="A1995" s="583"/>
      <c r="B1995" s="640"/>
      <c r="F1995" s="575"/>
      <c r="G1995" s="575"/>
      <c r="H1995" s="575"/>
      <c r="I1995" s="575"/>
      <c r="J1995" s="575"/>
      <c r="K1995" s="575"/>
    </row>
    <row r="1996" spans="1:11" x14ac:dyDescent="0.2">
      <c r="A1996" s="583"/>
      <c r="B1996" s="640"/>
      <c r="F1996" s="575"/>
      <c r="G1996" s="575"/>
      <c r="H1996" s="575"/>
      <c r="I1996" s="575"/>
      <c r="J1996" s="575"/>
      <c r="K1996" s="575"/>
    </row>
    <row r="1997" spans="1:11" x14ac:dyDescent="0.2">
      <c r="A1997" s="583"/>
      <c r="B1997" s="640"/>
      <c r="F1997" s="575"/>
      <c r="G1997" s="575"/>
      <c r="H1997" s="575"/>
      <c r="I1997" s="575"/>
      <c r="J1997" s="575"/>
      <c r="K1997" s="575"/>
    </row>
    <row r="1998" spans="1:11" x14ac:dyDescent="0.2">
      <c r="A1998" s="583"/>
      <c r="B1998" s="640"/>
      <c r="F1998" s="575"/>
      <c r="G1998" s="575"/>
      <c r="H1998" s="575"/>
      <c r="I1998" s="575"/>
      <c r="J1998" s="575"/>
      <c r="K1998" s="575"/>
    </row>
    <row r="1999" spans="1:11" x14ac:dyDescent="0.2">
      <c r="A1999" s="583"/>
      <c r="B1999" s="640"/>
      <c r="F1999" s="575"/>
      <c r="G1999" s="575"/>
      <c r="H1999" s="575"/>
      <c r="I1999" s="575"/>
      <c r="J1999" s="575"/>
      <c r="K1999" s="575"/>
    </row>
    <row r="2000" spans="1:11" x14ac:dyDescent="0.2">
      <c r="A2000" s="583"/>
      <c r="B2000" s="640"/>
      <c r="F2000" s="575"/>
      <c r="G2000" s="575"/>
      <c r="H2000" s="575"/>
      <c r="I2000" s="575"/>
      <c r="J2000" s="575"/>
      <c r="K2000" s="575"/>
    </row>
    <row r="2001" spans="1:11" x14ac:dyDescent="0.2">
      <c r="A2001" s="583"/>
      <c r="B2001" s="640"/>
      <c r="F2001" s="575"/>
      <c r="G2001" s="575"/>
      <c r="H2001" s="575"/>
      <c r="I2001" s="575"/>
      <c r="J2001" s="575"/>
      <c r="K2001" s="575"/>
    </row>
    <row r="2002" spans="1:11" x14ac:dyDescent="0.2">
      <c r="A2002" s="583"/>
      <c r="B2002" s="640"/>
      <c r="F2002" s="575"/>
      <c r="G2002" s="575"/>
      <c r="H2002" s="575"/>
      <c r="I2002" s="575"/>
      <c r="J2002" s="575"/>
      <c r="K2002" s="575"/>
    </row>
    <row r="2003" spans="1:11" x14ac:dyDescent="0.2">
      <c r="A2003" s="583"/>
      <c r="B2003" s="640"/>
      <c r="F2003" s="575"/>
      <c r="G2003" s="575"/>
      <c r="H2003" s="575"/>
      <c r="I2003" s="575"/>
      <c r="J2003" s="575"/>
      <c r="K2003" s="575"/>
    </row>
    <row r="2004" spans="1:11" x14ac:dyDescent="0.2">
      <c r="A2004" s="583"/>
      <c r="B2004" s="640"/>
      <c r="F2004" s="575"/>
      <c r="G2004" s="575"/>
      <c r="H2004" s="575"/>
      <c r="I2004" s="575"/>
      <c r="J2004" s="575"/>
      <c r="K2004" s="575"/>
    </row>
    <row r="2005" spans="1:11" x14ac:dyDescent="0.2">
      <c r="A2005" s="583"/>
      <c r="B2005" s="640"/>
      <c r="F2005" s="575"/>
      <c r="G2005" s="575"/>
      <c r="H2005" s="575"/>
      <c r="I2005" s="575"/>
      <c r="J2005" s="575"/>
      <c r="K2005" s="575"/>
    </row>
    <row r="2006" spans="1:11" x14ac:dyDescent="0.2">
      <c r="A2006" s="583"/>
      <c r="B2006" s="640"/>
      <c r="F2006" s="575"/>
      <c r="G2006" s="575"/>
      <c r="H2006" s="575"/>
      <c r="I2006" s="575"/>
      <c r="J2006" s="575"/>
      <c r="K2006" s="575"/>
    </row>
    <row r="2007" spans="1:11" x14ac:dyDescent="0.2">
      <c r="A2007" s="583"/>
      <c r="B2007" s="640"/>
      <c r="F2007" s="575"/>
      <c r="G2007" s="575"/>
      <c r="H2007" s="575"/>
      <c r="I2007" s="575"/>
      <c r="J2007" s="575"/>
      <c r="K2007" s="575"/>
    </row>
    <row r="2008" spans="1:11" x14ac:dyDescent="0.2">
      <c r="A2008" s="583"/>
      <c r="B2008" s="640"/>
      <c r="F2008" s="575"/>
      <c r="G2008" s="575"/>
      <c r="H2008" s="575"/>
      <c r="I2008" s="575"/>
      <c r="J2008" s="575"/>
      <c r="K2008" s="575"/>
    </row>
    <row r="2009" spans="1:11" x14ac:dyDescent="0.2">
      <c r="A2009" s="583"/>
      <c r="B2009" s="640"/>
      <c r="F2009" s="575"/>
      <c r="G2009" s="575"/>
      <c r="H2009" s="575"/>
      <c r="I2009" s="575"/>
      <c r="J2009" s="575"/>
      <c r="K2009" s="575"/>
    </row>
    <row r="2010" spans="1:11" x14ac:dyDescent="0.2">
      <c r="A2010" s="583"/>
      <c r="B2010" s="640"/>
      <c r="F2010" s="575"/>
      <c r="G2010" s="575"/>
      <c r="H2010" s="575"/>
      <c r="I2010" s="575"/>
      <c r="J2010" s="575"/>
      <c r="K2010" s="575"/>
    </row>
    <row r="2011" spans="1:11" x14ac:dyDescent="0.2">
      <c r="A2011" s="583"/>
      <c r="B2011" s="640"/>
      <c r="F2011" s="575"/>
      <c r="G2011" s="575"/>
      <c r="H2011" s="575"/>
      <c r="I2011" s="575"/>
      <c r="J2011" s="575"/>
      <c r="K2011" s="575"/>
    </row>
    <row r="2012" spans="1:11" x14ac:dyDescent="0.2">
      <c r="A2012" s="583"/>
      <c r="B2012" s="640"/>
      <c r="F2012" s="575"/>
      <c r="G2012" s="575"/>
      <c r="H2012" s="575"/>
      <c r="I2012" s="575"/>
      <c r="J2012" s="575"/>
      <c r="K2012" s="575"/>
    </row>
    <row r="2013" spans="1:11" x14ac:dyDescent="0.2">
      <c r="A2013" s="583"/>
      <c r="B2013" s="640"/>
      <c r="F2013" s="575"/>
      <c r="G2013" s="575"/>
      <c r="H2013" s="575"/>
      <c r="I2013" s="575"/>
      <c r="J2013" s="575"/>
      <c r="K2013" s="575"/>
    </row>
    <row r="2014" spans="1:11" x14ac:dyDescent="0.2">
      <c r="A2014" s="583"/>
      <c r="B2014" s="640"/>
      <c r="F2014" s="575"/>
      <c r="G2014" s="575"/>
      <c r="H2014" s="575"/>
      <c r="I2014" s="575"/>
      <c r="J2014" s="575"/>
      <c r="K2014" s="575"/>
    </row>
    <row r="2015" spans="1:11" x14ac:dyDescent="0.2">
      <c r="A2015" s="583"/>
      <c r="B2015" s="640"/>
      <c r="F2015" s="575"/>
      <c r="G2015" s="575"/>
      <c r="H2015" s="575"/>
      <c r="I2015" s="575"/>
      <c r="J2015" s="575"/>
      <c r="K2015" s="575"/>
    </row>
    <row r="2016" spans="1:11" x14ac:dyDescent="0.2">
      <c r="A2016" s="583"/>
      <c r="B2016" s="640"/>
      <c r="F2016" s="575"/>
      <c r="G2016" s="575"/>
      <c r="H2016" s="575"/>
      <c r="I2016" s="575"/>
      <c r="J2016" s="575"/>
      <c r="K2016" s="575"/>
    </row>
    <row r="2017" spans="1:11" x14ac:dyDescent="0.2">
      <c r="A2017" s="583"/>
      <c r="B2017" s="640"/>
      <c r="F2017" s="575"/>
      <c r="G2017" s="575"/>
      <c r="H2017" s="575"/>
      <c r="I2017" s="575"/>
      <c r="J2017" s="575"/>
      <c r="K2017" s="575"/>
    </row>
    <row r="2018" spans="1:11" x14ac:dyDescent="0.2">
      <c r="A2018" s="583"/>
      <c r="B2018" s="640"/>
      <c r="F2018" s="575"/>
      <c r="G2018" s="575"/>
      <c r="H2018" s="575"/>
      <c r="I2018" s="575"/>
      <c r="J2018" s="575"/>
      <c r="K2018" s="575"/>
    </row>
    <row r="2019" spans="1:11" x14ac:dyDescent="0.2">
      <c r="A2019" s="583"/>
      <c r="B2019" s="640"/>
      <c r="F2019" s="575"/>
      <c r="G2019" s="575"/>
      <c r="H2019" s="575"/>
      <c r="I2019" s="575"/>
      <c r="J2019" s="575"/>
      <c r="K2019" s="575"/>
    </row>
    <row r="2020" spans="1:11" x14ac:dyDescent="0.2">
      <c r="A2020" s="583"/>
      <c r="B2020" s="640"/>
      <c r="F2020" s="575"/>
      <c r="G2020" s="575"/>
      <c r="H2020" s="575"/>
      <c r="I2020" s="575"/>
      <c r="J2020" s="575"/>
      <c r="K2020" s="575"/>
    </row>
    <row r="2021" spans="1:11" x14ac:dyDescent="0.2">
      <c r="A2021" s="583"/>
      <c r="B2021" s="640"/>
      <c r="F2021" s="575"/>
      <c r="G2021" s="575"/>
      <c r="H2021" s="575"/>
      <c r="I2021" s="575"/>
      <c r="J2021" s="575"/>
      <c r="K2021" s="575"/>
    </row>
    <row r="2022" spans="1:11" x14ac:dyDescent="0.2">
      <c r="A2022" s="583"/>
      <c r="B2022" s="640"/>
      <c r="F2022" s="575"/>
      <c r="G2022" s="575"/>
      <c r="H2022" s="575"/>
      <c r="I2022" s="575"/>
      <c r="J2022" s="575"/>
      <c r="K2022" s="575"/>
    </row>
    <row r="2023" spans="1:11" x14ac:dyDescent="0.2">
      <c r="A2023" s="583"/>
      <c r="B2023" s="640"/>
      <c r="F2023" s="575"/>
      <c r="G2023" s="575"/>
      <c r="H2023" s="575"/>
      <c r="I2023" s="575"/>
      <c r="J2023" s="575"/>
      <c r="K2023" s="575"/>
    </row>
    <row r="2024" spans="1:11" x14ac:dyDescent="0.2">
      <c r="A2024" s="583"/>
      <c r="B2024" s="640"/>
      <c r="F2024" s="575"/>
      <c r="G2024" s="575"/>
      <c r="H2024" s="575"/>
      <c r="I2024" s="575"/>
      <c r="J2024" s="575"/>
      <c r="K2024" s="575"/>
    </row>
    <row r="2025" spans="1:11" x14ac:dyDescent="0.2">
      <c r="A2025" s="583"/>
      <c r="B2025" s="640"/>
      <c r="F2025" s="575"/>
      <c r="G2025" s="575"/>
      <c r="H2025" s="575"/>
      <c r="I2025" s="575"/>
      <c r="J2025" s="575"/>
      <c r="K2025" s="575"/>
    </row>
    <row r="2026" spans="1:11" x14ac:dyDescent="0.2">
      <c r="A2026" s="583"/>
      <c r="B2026" s="640"/>
      <c r="F2026" s="575"/>
      <c r="G2026" s="575"/>
      <c r="H2026" s="575"/>
      <c r="I2026" s="575"/>
      <c r="J2026" s="575"/>
      <c r="K2026" s="575"/>
    </row>
    <row r="2027" spans="1:11" x14ac:dyDescent="0.2">
      <c r="A2027" s="583"/>
      <c r="B2027" s="640"/>
      <c r="F2027" s="575"/>
      <c r="G2027" s="575"/>
      <c r="H2027" s="575"/>
      <c r="I2027" s="575"/>
      <c r="J2027" s="575"/>
      <c r="K2027" s="575"/>
    </row>
    <row r="2028" spans="1:11" x14ac:dyDescent="0.2">
      <c r="A2028" s="583"/>
      <c r="B2028" s="640"/>
      <c r="F2028" s="575"/>
      <c r="G2028" s="575"/>
      <c r="H2028" s="575"/>
      <c r="I2028" s="575"/>
      <c r="J2028" s="575"/>
      <c r="K2028" s="575"/>
    </row>
    <row r="2029" spans="1:11" x14ac:dyDescent="0.2">
      <c r="A2029" s="583"/>
      <c r="B2029" s="640"/>
      <c r="F2029" s="575"/>
      <c r="G2029" s="575"/>
      <c r="H2029" s="575"/>
      <c r="I2029" s="575"/>
      <c r="J2029" s="575"/>
      <c r="K2029" s="575"/>
    </row>
    <row r="2030" spans="1:11" x14ac:dyDescent="0.2">
      <c r="A2030" s="583"/>
      <c r="B2030" s="640"/>
      <c r="F2030" s="575"/>
      <c r="G2030" s="575"/>
      <c r="H2030" s="575"/>
      <c r="I2030" s="575"/>
      <c r="J2030" s="575"/>
      <c r="K2030" s="575"/>
    </row>
    <row r="2031" spans="1:11" x14ac:dyDescent="0.2">
      <c r="A2031" s="583"/>
      <c r="B2031" s="640"/>
      <c r="F2031" s="575"/>
      <c r="G2031" s="575"/>
      <c r="H2031" s="575"/>
      <c r="I2031" s="575"/>
      <c r="J2031" s="575"/>
      <c r="K2031" s="575"/>
    </row>
    <row r="2032" spans="1:11" x14ac:dyDescent="0.2">
      <c r="A2032" s="583"/>
      <c r="B2032" s="640"/>
      <c r="F2032" s="575"/>
      <c r="G2032" s="575"/>
      <c r="H2032" s="575"/>
      <c r="I2032" s="575"/>
      <c r="J2032" s="575"/>
      <c r="K2032" s="575"/>
    </row>
    <row r="2033" spans="1:11" x14ac:dyDescent="0.2">
      <c r="A2033" s="583"/>
      <c r="B2033" s="640"/>
      <c r="F2033" s="575"/>
      <c r="G2033" s="575"/>
      <c r="H2033" s="575"/>
      <c r="I2033" s="575"/>
      <c r="J2033" s="575"/>
      <c r="K2033" s="575"/>
    </row>
    <row r="2034" spans="1:11" x14ac:dyDescent="0.2">
      <c r="A2034" s="583"/>
      <c r="B2034" s="640"/>
      <c r="F2034" s="575"/>
      <c r="G2034" s="575"/>
      <c r="H2034" s="575"/>
      <c r="I2034" s="575"/>
      <c r="J2034" s="575"/>
      <c r="K2034" s="575"/>
    </row>
    <row r="2035" spans="1:11" x14ac:dyDescent="0.2">
      <c r="A2035" s="583"/>
      <c r="B2035" s="640"/>
      <c r="F2035" s="575"/>
      <c r="G2035" s="575"/>
      <c r="H2035" s="575"/>
      <c r="I2035" s="575"/>
      <c r="J2035" s="575"/>
      <c r="K2035" s="575"/>
    </row>
    <row r="2036" spans="1:11" x14ac:dyDescent="0.2">
      <c r="A2036" s="583"/>
      <c r="B2036" s="640"/>
      <c r="F2036" s="575"/>
      <c r="G2036" s="575"/>
      <c r="H2036" s="575"/>
      <c r="I2036" s="575"/>
      <c r="J2036" s="575"/>
      <c r="K2036" s="575"/>
    </row>
    <row r="2037" spans="1:11" x14ac:dyDescent="0.2">
      <c r="A2037" s="583"/>
      <c r="B2037" s="640"/>
      <c r="F2037" s="575"/>
      <c r="G2037" s="575"/>
      <c r="H2037" s="575"/>
      <c r="I2037" s="575"/>
      <c r="J2037" s="575"/>
      <c r="K2037" s="575"/>
    </row>
    <row r="2038" spans="1:11" x14ac:dyDescent="0.2">
      <c r="A2038" s="583"/>
      <c r="B2038" s="640"/>
      <c r="F2038" s="575"/>
      <c r="G2038" s="575"/>
      <c r="H2038" s="575"/>
      <c r="I2038" s="575"/>
      <c r="J2038" s="575"/>
      <c r="K2038" s="575"/>
    </row>
    <row r="2039" spans="1:11" x14ac:dyDescent="0.2">
      <c r="A2039" s="583"/>
      <c r="B2039" s="640"/>
      <c r="F2039" s="575"/>
      <c r="G2039" s="575"/>
      <c r="H2039" s="575"/>
      <c r="I2039" s="575"/>
      <c r="J2039" s="575"/>
      <c r="K2039" s="575"/>
    </row>
    <row r="2040" spans="1:11" x14ac:dyDescent="0.2">
      <c r="A2040" s="583"/>
      <c r="B2040" s="640"/>
      <c r="F2040" s="575"/>
      <c r="G2040" s="575"/>
      <c r="H2040" s="575"/>
      <c r="I2040" s="575"/>
      <c r="J2040" s="575"/>
      <c r="K2040" s="575"/>
    </row>
    <row r="2041" spans="1:11" x14ac:dyDescent="0.2">
      <c r="A2041" s="583"/>
      <c r="B2041" s="640"/>
      <c r="F2041" s="575"/>
      <c r="G2041" s="575"/>
      <c r="H2041" s="575"/>
      <c r="I2041" s="575"/>
      <c r="J2041" s="575"/>
      <c r="K2041" s="575"/>
    </row>
    <row r="2042" spans="1:11" x14ac:dyDescent="0.2">
      <c r="A2042" s="583"/>
      <c r="B2042" s="640"/>
      <c r="F2042" s="575"/>
      <c r="G2042" s="575"/>
      <c r="H2042" s="575"/>
      <c r="I2042" s="575"/>
      <c r="J2042" s="575"/>
      <c r="K2042" s="575"/>
    </row>
    <row r="2043" spans="1:11" x14ac:dyDescent="0.2">
      <c r="A2043" s="583"/>
      <c r="B2043" s="640"/>
      <c r="F2043" s="575"/>
      <c r="G2043" s="575"/>
      <c r="H2043" s="575"/>
      <c r="I2043" s="575"/>
      <c r="J2043" s="575"/>
      <c r="K2043" s="575"/>
    </row>
    <row r="2044" spans="1:11" x14ac:dyDescent="0.2">
      <c r="A2044" s="583"/>
      <c r="B2044" s="640"/>
      <c r="F2044" s="575"/>
      <c r="G2044" s="575"/>
      <c r="H2044" s="575"/>
      <c r="I2044" s="575"/>
      <c r="J2044" s="575"/>
      <c r="K2044" s="575"/>
    </row>
    <row r="2045" spans="1:11" x14ac:dyDescent="0.2">
      <c r="A2045" s="583"/>
      <c r="B2045" s="640"/>
      <c r="F2045" s="575"/>
      <c r="G2045" s="575"/>
      <c r="H2045" s="575"/>
      <c r="I2045" s="575"/>
      <c r="J2045" s="575"/>
      <c r="K2045" s="575"/>
    </row>
    <row r="2046" spans="1:11" x14ac:dyDescent="0.2">
      <c r="A2046" s="583"/>
      <c r="B2046" s="640"/>
      <c r="F2046" s="575"/>
      <c r="G2046" s="575"/>
      <c r="H2046" s="575"/>
      <c r="I2046" s="575"/>
      <c r="J2046" s="575"/>
      <c r="K2046" s="575"/>
    </row>
    <row r="2047" spans="1:11" x14ac:dyDescent="0.2">
      <c r="A2047" s="583"/>
      <c r="B2047" s="640"/>
      <c r="F2047" s="575"/>
      <c r="G2047" s="575"/>
      <c r="H2047" s="575"/>
      <c r="I2047" s="575"/>
      <c r="J2047" s="575"/>
      <c r="K2047" s="575"/>
    </row>
    <row r="2048" spans="1:11" x14ac:dyDescent="0.2">
      <c r="A2048" s="583"/>
      <c r="B2048" s="640"/>
      <c r="F2048" s="575"/>
      <c r="G2048" s="575"/>
      <c r="H2048" s="575"/>
      <c r="I2048" s="575"/>
      <c r="J2048" s="575"/>
      <c r="K2048" s="575"/>
    </row>
    <row r="2049" spans="1:11" x14ac:dyDescent="0.2">
      <c r="A2049" s="583"/>
      <c r="B2049" s="640"/>
      <c r="F2049" s="575"/>
      <c r="G2049" s="575"/>
      <c r="H2049" s="575"/>
      <c r="I2049" s="575"/>
      <c r="J2049" s="575"/>
      <c r="K2049" s="575"/>
    </row>
    <row r="2050" spans="1:11" x14ac:dyDescent="0.2">
      <c r="A2050" s="583"/>
      <c r="B2050" s="640"/>
      <c r="F2050" s="575"/>
      <c r="G2050" s="575"/>
      <c r="H2050" s="575"/>
      <c r="I2050" s="575"/>
      <c r="J2050" s="575"/>
      <c r="K2050" s="575"/>
    </row>
    <row r="2051" spans="1:11" x14ac:dyDescent="0.2">
      <c r="A2051" s="583"/>
      <c r="B2051" s="640"/>
      <c r="F2051" s="575"/>
      <c r="G2051" s="575"/>
      <c r="H2051" s="575"/>
      <c r="I2051" s="575"/>
      <c r="J2051" s="575"/>
      <c r="K2051" s="575"/>
    </row>
    <row r="2052" spans="1:11" x14ac:dyDescent="0.2">
      <c r="A2052" s="583"/>
      <c r="B2052" s="640"/>
      <c r="F2052" s="575"/>
      <c r="G2052" s="575"/>
      <c r="H2052" s="575"/>
      <c r="I2052" s="575"/>
      <c r="J2052" s="575"/>
      <c r="K2052" s="575"/>
    </row>
    <row r="2053" spans="1:11" x14ac:dyDescent="0.2">
      <c r="A2053" s="583"/>
      <c r="B2053" s="640"/>
      <c r="F2053" s="575"/>
      <c r="G2053" s="575"/>
      <c r="H2053" s="575"/>
      <c r="I2053" s="575"/>
      <c r="J2053" s="575"/>
      <c r="K2053" s="575"/>
    </row>
    <row r="2054" spans="1:11" x14ac:dyDescent="0.2">
      <c r="A2054" s="583"/>
      <c r="B2054" s="640"/>
      <c r="F2054" s="575"/>
      <c r="G2054" s="575"/>
      <c r="H2054" s="575"/>
      <c r="I2054" s="575"/>
      <c r="J2054" s="575"/>
      <c r="K2054" s="575"/>
    </row>
    <row r="2055" spans="1:11" x14ac:dyDescent="0.2">
      <c r="A2055" s="583"/>
      <c r="B2055" s="640"/>
      <c r="F2055" s="575"/>
      <c r="G2055" s="575"/>
      <c r="H2055" s="575"/>
      <c r="I2055" s="575"/>
      <c r="J2055" s="575"/>
      <c r="K2055" s="575"/>
    </row>
    <row r="2056" spans="1:11" x14ac:dyDescent="0.2">
      <c r="A2056" s="583"/>
      <c r="B2056" s="640"/>
      <c r="F2056" s="575"/>
      <c r="G2056" s="575"/>
      <c r="H2056" s="575"/>
      <c r="I2056" s="575"/>
      <c r="J2056" s="575"/>
      <c r="K2056" s="575"/>
    </row>
    <row r="2057" spans="1:11" x14ac:dyDescent="0.2">
      <c r="A2057" s="583"/>
      <c r="B2057" s="640"/>
      <c r="F2057" s="575"/>
      <c r="G2057" s="575"/>
      <c r="H2057" s="575"/>
      <c r="I2057" s="575"/>
      <c r="J2057" s="575"/>
      <c r="K2057" s="575"/>
    </row>
    <row r="2058" spans="1:11" x14ac:dyDescent="0.2">
      <c r="A2058" s="583"/>
      <c r="B2058" s="640"/>
      <c r="F2058" s="575"/>
      <c r="G2058" s="575"/>
      <c r="H2058" s="575"/>
      <c r="I2058" s="575"/>
      <c r="J2058" s="575"/>
      <c r="K2058" s="575"/>
    </row>
    <row r="2059" spans="1:11" x14ac:dyDescent="0.2">
      <c r="A2059" s="583"/>
      <c r="B2059" s="640"/>
      <c r="F2059" s="575"/>
      <c r="G2059" s="575"/>
      <c r="H2059" s="575"/>
      <c r="I2059" s="575"/>
      <c r="J2059" s="575"/>
      <c r="K2059" s="575"/>
    </row>
    <row r="2060" spans="1:11" x14ac:dyDescent="0.2">
      <c r="A2060" s="583"/>
      <c r="B2060" s="640"/>
      <c r="F2060" s="575"/>
      <c r="G2060" s="575"/>
      <c r="H2060" s="575"/>
      <c r="I2060" s="575"/>
      <c r="J2060" s="575"/>
      <c r="K2060" s="575"/>
    </row>
    <row r="2061" spans="1:11" x14ac:dyDescent="0.2">
      <c r="A2061" s="583"/>
      <c r="B2061" s="640"/>
      <c r="F2061" s="575"/>
      <c r="G2061" s="575"/>
      <c r="H2061" s="575"/>
      <c r="I2061" s="575"/>
      <c r="J2061" s="575"/>
      <c r="K2061" s="575"/>
    </row>
    <row r="2062" spans="1:11" x14ac:dyDescent="0.2">
      <c r="A2062" s="583"/>
      <c r="B2062" s="640"/>
      <c r="F2062" s="575"/>
      <c r="G2062" s="575"/>
      <c r="H2062" s="575"/>
      <c r="I2062" s="575"/>
      <c r="J2062" s="575"/>
      <c r="K2062" s="575"/>
    </row>
    <row r="2063" spans="1:11" x14ac:dyDescent="0.2">
      <c r="A2063" s="583"/>
      <c r="B2063" s="640"/>
      <c r="F2063" s="575"/>
      <c r="G2063" s="575"/>
      <c r="H2063" s="575"/>
      <c r="I2063" s="575"/>
      <c r="J2063" s="575"/>
      <c r="K2063" s="575"/>
    </row>
    <row r="2064" spans="1:11" x14ac:dyDescent="0.2">
      <c r="A2064" s="583"/>
      <c r="B2064" s="640"/>
      <c r="F2064" s="575"/>
      <c r="G2064" s="575"/>
      <c r="H2064" s="575"/>
      <c r="I2064" s="575"/>
      <c r="J2064" s="575"/>
      <c r="K2064" s="575"/>
    </row>
    <row r="2065" spans="1:11" x14ac:dyDescent="0.2">
      <c r="A2065" s="583"/>
      <c r="B2065" s="640"/>
      <c r="F2065" s="575"/>
      <c r="G2065" s="575"/>
      <c r="H2065" s="575"/>
      <c r="I2065" s="575"/>
      <c r="J2065" s="575"/>
      <c r="K2065" s="575"/>
    </row>
    <row r="2066" spans="1:11" x14ac:dyDescent="0.2">
      <c r="A2066" s="583"/>
      <c r="B2066" s="640"/>
      <c r="F2066" s="575"/>
      <c r="G2066" s="575"/>
      <c r="H2066" s="575"/>
      <c r="I2066" s="575"/>
      <c r="J2066" s="575"/>
      <c r="K2066" s="575"/>
    </row>
    <row r="2067" spans="1:11" x14ac:dyDescent="0.2">
      <c r="A2067" s="583"/>
      <c r="B2067" s="640"/>
      <c r="F2067" s="575"/>
      <c r="G2067" s="575"/>
      <c r="H2067" s="575"/>
      <c r="I2067" s="575"/>
      <c r="J2067" s="575"/>
      <c r="K2067" s="575"/>
    </row>
    <row r="2068" spans="1:11" x14ac:dyDescent="0.2">
      <c r="A2068" s="583"/>
      <c r="B2068" s="640"/>
      <c r="F2068" s="575"/>
      <c r="G2068" s="575"/>
      <c r="H2068" s="575"/>
      <c r="I2068" s="575"/>
      <c r="J2068" s="575"/>
      <c r="K2068" s="575"/>
    </row>
    <row r="2069" spans="1:11" x14ac:dyDescent="0.2">
      <c r="A2069" s="583"/>
      <c r="B2069" s="640"/>
      <c r="F2069" s="575"/>
      <c r="G2069" s="575"/>
      <c r="H2069" s="575"/>
      <c r="I2069" s="575"/>
      <c r="J2069" s="575"/>
      <c r="K2069" s="575"/>
    </row>
    <row r="2070" spans="1:11" x14ac:dyDescent="0.2">
      <c r="A2070" s="583"/>
      <c r="B2070" s="640"/>
      <c r="F2070" s="575"/>
      <c r="G2070" s="575"/>
      <c r="H2070" s="575"/>
      <c r="I2070" s="575"/>
      <c r="J2070" s="575"/>
      <c r="K2070" s="575"/>
    </row>
    <row r="2071" spans="1:11" x14ac:dyDescent="0.2">
      <c r="A2071" s="583"/>
      <c r="B2071" s="640"/>
      <c r="F2071" s="575"/>
      <c r="G2071" s="575"/>
      <c r="H2071" s="575"/>
      <c r="I2071" s="575"/>
      <c r="J2071" s="575"/>
      <c r="K2071" s="575"/>
    </row>
    <row r="2072" spans="1:11" x14ac:dyDescent="0.2">
      <c r="A2072" s="583"/>
      <c r="B2072" s="640"/>
      <c r="F2072" s="575"/>
      <c r="G2072" s="575"/>
      <c r="H2072" s="575"/>
      <c r="I2072" s="575"/>
      <c r="J2072" s="575"/>
      <c r="K2072" s="575"/>
    </row>
    <row r="2073" spans="1:11" x14ac:dyDescent="0.2">
      <c r="A2073" s="583"/>
      <c r="B2073" s="640"/>
      <c r="F2073" s="575"/>
      <c r="G2073" s="575"/>
      <c r="H2073" s="575"/>
      <c r="I2073" s="575"/>
      <c r="J2073" s="575"/>
      <c r="K2073" s="575"/>
    </row>
    <row r="2074" spans="1:11" x14ac:dyDescent="0.2">
      <c r="A2074" s="583"/>
      <c r="B2074" s="640"/>
      <c r="F2074" s="575"/>
      <c r="G2074" s="575"/>
      <c r="H2074" s="575"/>
      <c r="I2074" s="575"/>
      <c r="J2074" s="575"/>
      <c r="K2074" s="575"/>
    </row>
    <row r="2075" spans="1:11" x14ac:dyDescent="0.2">
      <c r="A2075" s="583"/>
      <c r="B2075" s="640"/>
      <c r="F2075" s="575"/>
      <c r="G2075" s="575"/>
      <c r="H2075" s="575"/>
      <c r="I2075" s="575"/>
      <c r="J2075" s="575"/>
      <c r="K2075" s="575"/>
    </row>
    <row r="2076" spans="1:11" x14ac:dyDescent="0.2">
      <c r="A2076" s="583"/>
      <c r="B2076" s="640"/>
      <c r="F2076" s="575"/>
      <c r="G2076" s="575"/>
      <c r="H2076" s="575"/>
      <c r="I2076" s="575"/>
      <c r="J2076" s="575"/>
      <c r="K2076" s="575"/>
    </row>
    <row r="2077" spans="1:11" x14ac:dyDescent="0.2">
      <c r="A2077" s="583"/>
      <c r="B2077" s="640"/>
      <c r="F2077" s="575"/>
      <c r="G2077" s="575"/>
      <c r="H2077" s="575"/>
      <c r="I2077" s="575"/>
      <c r="J2077" s="575"/>
      <c r="K2077" s="575"/>
    </row>
    <row r="2078" spans="1:11" x14ac:dyDescent="0.2">
      <c r="A2078" s="583"/>
      <c r="B2078" s="640"/>
      <c r="F2078" s="575"/>
      <c r="G2078" s="575"/>
      <c r="H2078" s="575"/>
      <c r="I2078" s="575"/>
      <c r="J2078" s="575"/>
      <c r="K2078" s="575"/>
    </row>
    <row r="2079" spans="1:11" x14ac:dyDescent="0.2">
      <c r="A2079" s="583"/>
      <c r="B2079" s="640"/>
      <c r="F2079" s="575"/>
      <c r="G2079" s="575"/>
      <c r="H2079" s="575"/>
      <c r="I2079" s="575"/>
      <c r="J2079" s="575"/>
      <c r="K2079" s="575"/>
    </row>
    <row r="2080" spans="1:11" x14ac:dyDescent="0.2">
      <c r="A2080" s="583"/>
      <c r="B2080" s="640"/>
      <c r="F2080" s="575"/>
      <c r="G2080" s="575"/>
      <c r="H2080" s="575"/>
      <c r="I2080" s="575"/>
      <c r="J2080" s="575"/>
      <c r="K2080" s="575"/>
    </row>
    <row r="2081" spans="1:11" x14ac:dyDescent="0.2">
      <c r="A2081" s="583"/>
      <c r="B2081" s="640"/>
      <c r="F2081" s="575"/>
      <c r="G2081" s="575"/>
      <c r="H2081" s="575"/>
      <c r="I2081" s="575"/>
      <c r="J2081" s="575"/>
      <c r="K2081" s="575"/>
    </row>
    <row r="2082" spans="1:11" x14ac:dyDescent="0.2">
      <c r="A2082" s="583"/>
      <c r="B2082" s="640"/>
      <c r="F2082" s="575"/>
      <c r="G2082" s="575"/>
      <c r="H2082" s="575"/>
      <c r="I2082" s="575"/>
      <c r="J2082" s="575"/>
      <c r="K2082" s="575"/>
    </row>
    <row r="2083" spans="1:11" x14ac:dyDescent="0.2">
      <c r="A2083" s="583"/>
      <c r="B2083" s="640"/>
      <c r="F2083" s="575"/>
      <c r="G2083" s="575"/>
      <c r="H2083" s="575"/>
      <c r="I2083" s="575"/>
      <c r="J2083" s="575"/>
      <c r="K2083" s="575"/>
    </row>
    <row r="2084" spans="1:11" x14ac:dyDescent="0.2">
      <c r="A2084" s="583"/>
      <c r="B2084" s="640"/>
      <c r="F2084" s="575"/>
      <c r="G2084" s="575"/>
      <c r="H2084" s="575"/>
      <c r="I2084" s="575"/>
      <c r="J2084" s="575"/>
      <c r="K2084" s="575"/>
    </row>
    <row r="2085" spans="1:11" x14ac:dyDescent="0.2">
      <c r="A2085" s="583"/>
      <c r="B2085" s="640"/>
      <c r="F2085" s="575"/>
      <c r="G2085" s="575"/>
      <c r="H2085" s="575"/>
      <c r="I2085" s="575"/>
      <c r="J2085" s="575"/>
      <c r="K2085" s="575"/>
    </row>
    <row r="2086" spans="1:11" x14ac:dyDescent="0.2">
      <c r="A2086" s="583"/>
      <c r="B2086" s="640"/>
      <c r="F2086" s="575"/>
      <c r="G2086" s="575"/>
      <c r="H2086" s="575"/>
      <c r="I2086" s="575"/>
      <c r="J2086" s="575"/>
      <c r="K2086" s="575"/>
    </row>
    <row r="2087" spans="1:11" x14ac:dyDescent="0.2">
      <c r="A2087" s="583"/>
      <c r="B2087" s="640"/>
      <c r="F2087" s="575"/>
      <c r="G2087" s="575"/>
      <c r="H2087" s="575"/>
      <c r="I2087" s="575"/>
      <c r="J2087" s="575"/>
      <c r="K2087" s="575"/>
    </row>
    <row r="2088" spans="1:11" x14ac:dyDescent="0.2">
      <c r="A2088" s="583"/>
      <c r="B2088" s="640"/>
      <c r="F2088" s="575"/>
      <c r="G2088" s="575"/>
      <c r="H2088" s="575"/>
      <c r="I2088" s="575"/>
      <c r="J2088" s="575"/>
      <c r="K2088" s="575"/>
    </row>
    <row r="2089" spans="1:11" x14ac:dyDescent="0.2">
      <c r="A2089" s="583"/>
      <c r="B2089" s="640"/>
      <c r="F2089" s="575"/>
      <c r="G2089" s="575"/>
      <c r="H2089" s="575"/>
      <c r="I2089" s="575"/>
      <c r="J2089" s="575"/>
      <c r="K2089" s="575"/>
    </row>
    <row r="2090" spans="1:11" x14ac:dyDescent="0.2">
      <c r="A2090" s="583"/>
      <c r="B2090" s="640"/>
      <c r="F2090" s="575"/>
      <c r="G2090" s="575"/>
      <c r="H2090" s="575"/>
      <c r="I2090" s="575"/>
      <c r="J2090" s="575"/>
      <c r="K2090" s="575"/>
    </row>
    <row r="2091" spans="1:11" x14ac:dyDescent="0.2">
      <c r="A2091" s="583"/>
      <c r="B2091" s="640"/>
      <c r="F2091" s="575"/>
      <c r="G2091" s="575"/>
      <c r="H2091" s="575"/>
      <c r="I2091" s="575"/>
      <c r="J2091" s="575"/>
      <c r="K2091" s="575"/>
    </row>
    <row r="2092" spans="1:11" x14ac:dyDescent="0.2">
      <c r="A2092" s="583"/>
      <c r="B2092" s="640"/>
      <c r="F2092" s="575"/>
      <c r="G2092" s="575"/>
      <c r="H2092" s="575"/>
      <c r="I2092" s="575"/>
      <c r="J2092" s="575"/>
      <c r="K2092" s="575"/>
    </row>
    <row r="2093" spans="1:11" x14ac:dyDescent="0.2">
      <c r="A2093" s="583"/>
      <c r="B2093" s="640"/>
      <c r="F2093" s="575"/>
      <c r="G2093" s="575"/>
      <c r="H2093" s="575"/>
      <c r="I2093" s="575"/>
      <c r="J2093" s="575"/>
      <c r="K2093" s="575"/>
    </row>
    <row r="2094" spans="1:11" x14ac:dyDescent="0.2">
      <c r="A2094" s="583"/>
      <c r="B2094" s="640"/>
      <c r="F2094" s="575"/>
      <c r="G2094" s="575"/>
      <c r="H2094" s="575"/>
      <c r="I2094" s="575"/>
      <c r="J2094" s="575"/>
      <c r="K2094" s="575"/>
    </row>
    <row r="2095" spans="1:11" x14ac:dyDescent="0.2">
      <c r="A2095" s="583"/>
      <c r="B2095" s="640"/>
      <c r="F2095" s="575"/>
      <c r="G2095" s="575"/>
      <c r="H2095" s="575"/>
      <c r="I2095" s="575"/>
      <c r="J2095" s="575"/>
      <c r="K2095" s="575"/>
    </row>
    <row r="2096" spans="1:11" x14ac:dyDescent="0.2">
      <c r="A2096" s="583"/>
      <c r="B2096" s="640"/>
      <c r="F2096" s="575"/>
      <c r="G2096" s="575"/>
      <c r="H2096" s="575"/>
      <c r="I2096" s="575"/>
      <c r="J2096" s="575"/>
      <c r="K2096" s="575"/>
    </row>
    <row r="2097" spans="1:11" x14ac:dyDescent="0.2">
      <c r="A2097" s="583"/>
      <c r="B2097" s="640"/>
      <c r="F2097" s="575"/>
      <c r="G2097" s="575"/>
      <c r="H2097" s="575"/>
      <c r="I2097" s="575"/>
      <c r="J2097" s="575"/>
      <c r="K2097" s="575"/>
    </row>
    <row r="2098" spans="1:11" x14ac:dyDescent="0.2">
      <c r="A2098" s="583"/>
      <c r="B2098" s="640"/>
      <c r="F2098" s="575"/>
      <c r="G2098" s="575"/>
      <c r="H2098" s="575"/>
      <c r="I2098" s="575"/>
      <c r="J2098" s="575"/>
      <c r="K2098" s="575"/>
    </row>
    <row r="2099" spans="1:11" x14ac:dyDescent="0.2">
      <c r="A2099" s="583"/>
      <c r="B2099" s="640"/>
      <c r="F2099" s="575"/>
      <c r="G2099" s="575"/>
      <c r="H2099" s="575"/>
      <c r="I2099" s="575"/>
      <c r="J2099" s="575"/>
      <c r="K2099" s="575"/>
    </row>
    <row r="2100" spans="1:11" x14ac:dyDescent="0.2">
      <c r="A2100" s="583"/>
      <c r="B2100" s="640"/>
      <c r="F2100" s="575"/>
      <c r="G2100" s="575"/>
      <c r="H2100" s="575"/>
      <c r="I2100" s="575"/>
      <c r="J2100" s="575"/>
      <c r="K2100" s="575"/>
    </row>
    <row r="2101" spans="1:11" x14ac:dyDescent="0.2">
      <c r="A2101" s="583"/>
      <c r="B2101" s="640"/>
      <c r="F2101" s="575"/>
      <c r="G2101" s="575"/>
      <c r="H2101" s="575"/>
      <c r="I2101" s="575"/>
      <c r="J2101" s="575"/>
      <c r="K2101" s="575"/>
    </row>
    <row r="2102" spans="1:11" x14ac:dyDescent="0.2">
      <c r="A2102" s="583"/>
      <c r="B2102" s="640"/>
      <c r="F2102" s="575"/>
      <c r="G2102" s="575"/>
      <c r="H2102" s="575"/>
      <c r="I2102" s="575"/>
      <c r="J2102" s="575"/>
      <c r="K2102" s="575"/>
    </row>
    <row r="2103" spans="1:11" x14ac:dyDescent="0.2">
      <c r="A2103" s="583"/>
      <c r="B2103" s="640"/>
      <c r="F2103" s="575"/>
      <c r="G2103" s="575"/>
      <c r="H2103" s="575"/>
      <c r="I2103" s="575"/>
      <c r="J2103" s="575"/>
      <c r="K2103" s="575"/>
    </row>
    <row r="2104" spans="1:11" x14ac:dyDescent="0.2">
      <c r="A2104" s="583"/>
      <c r="B2104" s="640"/>
      <c r="F2104" s="575"/>
      <c r="G2104" s="575"/>
      <c r="H2104" s="575"/>
      <c r="I2104" s="575"/>
      <c r="J2104" s="575"/>
      <c r="K2104" s="575"/>
    </row>
    <row r="2105" spans="1:11" x14ac:dyDescent="0.2">
      <c r="A2105" s="583"/>
      <c r="B2105" s="640"/>
      <c r="F2105" s="575"/>
      <c r="G2105" s="575"/>
      <c r="H2105" s="575"/>
      <c r="I2105" s="575"/>
      <c r="J2105" s="575"/>
      <c r="K2105" s="575"/>
    </row>
    <row r="2106" spans="1:11" x14ac:dyDescent="0.2">
      <c r="A2106" s="583"/>
      <c r="B2106" s="640"/>
      <c r="F2106" s="575"/>
      <c r="G2106" s="575"/>
      <c r="H2106" s="575"/>
      <c r="I2106" s="575"/>
      <c r="J2106" s="575"/>
      <c r="K2106" s="575"/>
    </row>
    <row r="2107" spans="1:11" x14ac:dyDescent="0.2">
      <c r="A2107" s="583"/>
      <c r="B2107" s="640"/>
      <c r="F2107" s="575"/>
      <c r="G2107" s="575"/>
      <c r="H2107" s="575"/>
      <c r="I2107" s="575"/>
      <c r="J2107" s="575"/>
      <c r="K2107" s="575"/>
    </row>
    <row r="2108" spans="1:11" x14ac:dyDescent="0.2">
      <c r="A2108" s="583"/>
      <c r="B2108" s="640"/>
      <c r="F2108" s="575"/>
      <c r="G2108" s="575"/>
      <c r="H2108" s="575"/>
      <c r="I2108" s="575"/>
      <c r="J2108" s="575"/>
      <c r="K2108" s="575"/>
    </row>
    <row r="2109" spans="1:11" x14ac:dyDescent="0.2">
      <c r="A2109" s="583"/>
      <c r="B2109" s="640"/>
      <c r="F2109" s="575"/>
      <c r="G2109" s="575"/>
      <c r="H2109" s="575"/>
      <c r="I2109" s="575"/>
      <c r="J2109" s="575"/>
      <c r="K2109" s="575"/>
    </row>
    <row r="2110" spans="1:11" x14ac:dyDescent="0.2">
      <c r="A2110" s="583"/>
      <c r="B2110" s="640"/>
      <c r="F2110" s="575"/>
      <c r="G2110" s="575"/>
      <c r="H2110" s="575"/>
      <c r="I2110" s="575"/>
      <c r="J2110" s="575"/>
      <c r="K2110" s="575"/>
    </row>
    <row r="2111" spans="1:11" x14ac:dyDescent="0.2">
      <c r="A2111" s="583"/>
      <c r="B2111" s="640"/>
      <c r="F2111" s="575"/>
      <c r="G2111" s="575"/>
      <c r="H2111" s="575"/>
      <c r="I2111" s="575"/>
      <c r="J2111" s="575"/>
      <c r="K2111" s="575"/>
    </row>
    <row r="2112" spans="1:11" x14ac:dyDescent="0.2">
      <c r="A2112" s="583"/>
      <c r="B2112" s="640"/>
      <c r="F2112" s="575"/>
      <c r="G2112" s="575"/>
      <c r="H2112" s="575"/>
      <c r="I2112" s="575"/>
      <c r="J2112" s="575"/>
      <c r="K2112" s="575"/>
    </row>
    <row r="2113" spans="1:11" x14ac:dyDescent="0.2">
      <c r="A2113" s="583"/>
      <c r="B2113" s="640"/>
      <c r="F2113" s="575"/>
      <c r="G2113" s="575"/>
      <c r="H2113" s="575"/>
      <c r="I2113" s="575"/>
      <c r="J2113" s="575"/>
      <c r="K2113" s="575"/>
    </row>
    <row r="2114" spans="1:11" x14ac:dyDescent="0.2">
      <c r="A2114" s="583"/>
      <c r="B2114" s="640"/>
      <c r="F2114" s="575"/>
      <c r="G2114" s="575"/>
      <c r="H2114" s="575"/>
      <c r="I2114" s="575"/>
      <c r="J2114" s="575"/>
      <c r="K2114" s="575"/>
    </row>
    <row r="2115" spans="1:11" x14ac:dyDescent="0.2">
      <c r="A2115" s="583"/>
      <c r="B2115" s="640"/>
      <c r="F2115" s="575"/>
      <c r="G2115" s="575"/>
      <c r="H2115" s="575"/>
      <c r="I2115" s="575"/>
      <c r="J2115" s="575"/>
      <c r="K2115" s="575"/>
    </row>
    <row r="2116" spans="1:11" x14ac:dyDescent="0.2">
      <c r="A2116" s="583"/>
      <c r="B2116" s="640"/>
      <c r="F2116" s="575"/>
      <c r="G2116" s="575"/>
      <c r="H2116" s="575"/>
      <c r="I2116" s="575"/>
      <c r="J2116" s="575"/>
      <c r="K2116" s="575"/>
    </row>
    <row r="2117" spans="1:11" x14ac:dyDescent="0.2">
      <c r="A2117" s="583"/>
      <c r="B2117" s="640"/>
      <c r="F2117" s="575"/>
      <c r="G2117" s="575"/>
      <c r="H2117" s="575"/>
      <c r="I2117" s="575"/>
      <c r="J2117" s="575"/>
      <c r="K2117" s="575"/>
    </row>
    <row r="2118" spans="1:11" x14ac:dyDescent="0.2">
      <c r="A2118" s="583"/>
      <c r="B2118" s="640"/>
      <c r="F2118" s="575"/>
      <c r="G2118" s="575"/>
      <c r="H2118" s="575"/>
      <c r="I2118" s="575"/>
      <c r="J2118" s="575"/>
      <c r="K2118" s="575"/>
    </row>
    <row r="2119" spans="1:11" x14ac:dyDescent="0.2">
      <c r="A2119" s="583"/>
      <c r="B2119" s="640"/>
      <c r="F2119" s="575"/>
      <c r="G2119" s="575"/>
      <c r="H2119" s="575"/>
      <c r="I2119" s="575"/>
      <c r="J2119" s="575"/>
      <c r="K2119" s="575"/>
    </row>
    <row r="2120" spans="1:11" x14ac:dyDescent="0.2">
      <c r="A2120" s="583"/>
      <c r="B2120" s="640"/>
      <c r="F2120" s="575"/>
      <c r="G2120" s="575"/>
      <c r="H2120" s="575"/>
      <c r="I2120" s="575"/>
      <c r="J2120" s="575"/>
      <c r="K2120" s="575"/>
    </row>
    <row r="2121" spans="1:11" x14ac:dyDescent="0.2">
      <c r="A2121" s="583"/>
      <c r="B2121" s="640"/>
      <c r="F2121" s="575"/>
      <c r="G2121" s="575"/>
      <c r="H2121" s="575"/>
      <c r="I2121" s="575"/>
      <c r="J2121" s="575"/>
      <c r="K2121" s="575"/>
    </row>
    <row r="2122" spans="1:11" x14ac:dyDescent="0.2">
      <c r="A2122" s="583"/>
      <c r="B2122" s="640"/>
      <c r="F2122" s="575"/>
      <c r="G2122" s="575"/>
      <c r="H2122" s="575"/>
      <c r="I2122" s="575"/>
      <c r="J2122" s="575"/>
      <c r="K2122" s="575"/>
    </row>
    <row r="2123" spans="1:11" x14ac:dyDescent="0.2">
      <c r="A2123" s="583"/>
      <c r="B2123" s="640"/>
      <c r="F2123" s="575"/>
      <c r="G2123" s="575"/>
      <c r="H2123" s="575"/>
      <c r="I2123" s="575"/>
      <c r="J2123" s="575"/>
      <c r="K2123" s="575"/>
    </row>
    <row r="2124" spans="1:11" x14ac:dyDescent="0.2">
      <c r="A2124" s="583"/>
      <c r="B2124" s="640"/>
      <c r="F2124" s="575"/>
      <c r="G2124" s="575"/>
      <c r="H2124" s="575"/>
      <c r="I2124" s="575"/>
      <c r="J2124" s="575"/>
      <c r="K2124" s="575"/>
    </row>
    <row r="2125" spans="1:11" x14ac:dyDescent="0.2">
      <c r="A2125" s="583"/>
      <c r="B2125" s="640"/>
      <c r="F2125" s="575"/>
      <c r="G2125" s="575"/>
      <c r="H2125" s="575"/>
      <c r="I2125" s="575"/>
      <c r="J2125" s="575"/>
      <c r="K2125" s="575"/>
    </row>
    <row r="2126" spans="1:11" x14ac:dyDescent="0.2">
      <c r="A2126" s="583"/>
      <c r="B2126" s="640"/>
      <c r="F2126" s="575"/>
      <c r="G2126" s="575"/>
      <c r="H2126" s="575"/>
      <c r="I2126" s="575"/>
      <c r="J2126" s="575"/>
      <c r="K2126" s="575"/>
    </row>
    <row r="2127" spans="1:11" x14ac:dyDescent="0.2">
      <c r="A2127" s="583"/>
      <c r="B2127" s="640"/>
      <c r="F2127" s="575"/>
      <c r="G2127" s="575"/>
      <c r="H2127" s="575"/>
      <c r="I2127" s="575"/>
      <c r="J2127" s="575"/>
      <c r="K2127" s="575"/>
    </row>
    <row r="2128" spans="1:11" x14ac:dyDescent="0.2">
      <c r="A2128" s="583"/>
      <c r="B2128" s="640"/>
      <c r="F2128" s="575"/>
      <c r="G2128" s="575"/>
      <c r="H2128" s="575"/>
      <c r="I2128" s="575"/>
      <c r="J2128" s="575"/>
      <c r="K2128" s="575"/>
    </row>
    <row r="2129" spans="1:11" x14ac:dyDescent="0.2">
      <c r="A2129" s="583"/>
      <c r="B2129" s="640"/>
      <c r="F2129" s="575"/>
      <c r="G2129" s="575"/>
      <c r="H2129" s="575"/>
      <c r="I2129" s="575"/>
      <c r="J2129" s="575"/>
      <c r="K2129" s="575"/>
    </row>
    <row r="2130" spans="1:11" x14ac:dyDescent="0.2">
      <c r="A2130" s="583"/>
      <c r="B2130" s="640"/>
      <c r="F2130" s="575"/>
      <c r="G2130" s="575"/>
      <c r="H2130" s="575"/>
      <c r="I2130" s="575"/>
      <c r="J2130" s="575"/>
      <c r="K2130" s="575"/>
    </row>
    <row r="2131" spans="1:11" x14ac:dyDescent="0.2">
      <c r="A2131" s="583"/>
      <c r="B2131" s="640"/>
      <c r="F2131" s="575"/>
      <c r="G2131" s="575"/>
      <c r="H2131" s="575"/>
      <c r="I2131" s="575"/>
      <c r="J2131" s="575"/>
      <c r="K2131" s="575"/>
    </row>
    <row r="2132" spans="1:11" x14ac:dyDescent="0.2">
      <c r="A2132" s="583"/>
      <c r="B2132" s="640"/>
      <c r="F2132" s="575"/>
      <c r="G2132" s="575"/>
      <c r="H2132" s="575"/>
      <c r="I2132" s="575"/>
      <c r="J2132" s="575"/>
      <c r="K2132" s="575"/>
    </row>
    <row r="2133" spans="1:11" x14ac:dyDescent="0.2">
      <c r="A2133" s="583"/>
      <c r="B2133" s="640"/>
      <c r="F2133" s="575"/>
      <c r="G2133" s="575"/>
      <c r="H2133" s="575"/>
      <c r="I2133" s="575"/>
      <c r="J2133" s="575"/>
      <c r="K2133" s="575"/>
    </row>
    <row r="2134" spans="1:11" x14ac:dyDescent="0.2">
      <c r="A2134" s="583"/>
      <c r="B2134" s="640"/>
      <c r="F2134" s="575"/>
      <c r="G2134" s="575"/>
      <c r="H2134" s="575"/>
      <c r="I2134" s="575"/>
      <c r="J2134" s="575"/>
      <c r="K2134" s="575"/>
    </row>
    <row r="2135" spans="1:11" x14ac:dyDescent="0.2">
      <c r="A2135" s="583"/>
      <c r="B2135" s="640"/>
      <c r="F2135" s="575"/>
      <c r="G2135" s="575"/>
      <c r="H2135" s="575"/>
      <c r="I2135" s="575"/>
      <c r="J2135" s="575"/>
      <c r="K2135" s="575"/>
    </row>
    <row r="2136" spans="1:11" x14ac:dyDescent="0.2">
      <c r="A2136" s="583"/>
      <c r="B2136" s="640"/>
      <c r="F2136" s="575"/>
      <c r="G2136" s="575"/>
      <c r="H2136" s="575"/>
      <c r="I2136" s="575"/>
      <c r="J2136" s="575"/>
      <c r="K2136" s="575"/>
    </row>
    <row r="2137" spans="1:11" x14ac:dyDescent="0.2">
      <c r="A2137" s="583"/>
      <c r="B2137" s="640"/>
      <c r="F2137" s="575"/>
      <c r="G2137" s="575"/>
      <c r="H2137" s="575"/>
      <c r="I2137" s="575"/>
      <c r="J2137" s="575"/>
      <c r="K2137" s="575"/>
    </row>
    <row r="2138" spans="1:11" x14ac:dyDescent="0.2">
      <c r="A2138" s="583"/>
      <c r="B2138" s="640"/>
      <c r="F2138" s="575"/>
      <c r="G2138" s="575"/>
      <c r="H2138" s="575"/>
      <c r="I2138" s="575"/>
      <c r="J2138" s="575"/>
      <c r="K2138" s="575"/>
    </row>
    <row r="2139" spans="1:11" x14ac:dyDescent="0.2">
      <c r="A2139" s="583"/>
      <c r="B2139" s="640"/>
      <c r="F2139" s="575"/>
      <c r="G2139" s="575"/>
      <c r="H2139" s="575"/>
      <c r="I2139" s="575"/>
      <c r="J2139" s="575"/>
      <c r="K2139" s="575"/>
    </row>
    <row r="2140" spans="1:11" x14ac:dyDescent="0.2">
      <c r="A2140" s="583"/>
      <c r="B2140" s="640"/>
      <c r="F2140" s="575"/>
      <c r="G2140" s="575"/>
      <c r="H2140" s="575"/>
      <c r="I2140" s="575"/>
      <c r="J2140" s="575"/>
      <c r="K2140" s="575"/>
    </row>
    <row r="2141" spans="1:11" x14ac:dyDescent="0.2">
      <c r="A2141" s="583"/>
      <c r="B2141" s="640"/>
      <c r="F2141" s="575"/>
      <c r="G2141" s="575"/>
      <c r="H2141" s="575"/>
      <c r="I2141" s="575"/>
      <c r="J2141" s="575"/>
      <c r="K2141" s="575"/>
    </row>
    <row r="2142" spans="1:11" x14ac:dyDescent="0.2">
      <c r="A2142" s="583"/>
      <c r="B2142" s="640"/>
      <c r="F2142" s="575"/>
      <c r="G2142" s="575"/>
      <c r="H2142" s="575"/>
      <c r="I2142" s="575"/>
      <c r="J2142" s="575"/>
      <c r="K2142" s="575"/>
    </row>
    <row r="2143" spans="1:11" x14ac:dyDescent="0.2">
      <c r="A2143" s="583"/>
      <c r="B2143" s="640"/>
      <c r="F2143" s="575"/>
      <c r="G2143" s="575"/>
      <c r="H2143" s="575"/>
      <c r="I2143" s="575"/>
      <c r="J2143" s="575"/>
      <c r="K2143" s="575"/>
    </row>
    <row r="2144" spans="1:11" x14ac:dyDescent="0.2">
      <c r="A2144" s="583"/>
      <c r="B2144" s="640"/>
      <c r="F2144" s="575"/>
      <c r="G2144" s="575"/>
      <c r="H2144" s="575"/>
      <c r="I2144" s="575"/>
      <c r="J2144" s="575"/>
      <c r="K2144" s="575"/>
    </row>
    <row r="2145" spans="1:11" x14ac:dyDescent="0.2">
      <c r="A2145" s="583"/>
      <c r="B2145" s="640"/>
      <c r="F2145" s="575"/>
      <c r="G2145" s="575"/>
      <c r="H2145" s="575"/>
      <c r="I2145" s="575"/>
      <c r="J2145" s="575"/>
      <c r="K2145" s="575"/>
    </row>
    <row r="2146" spans="1:11" x14ac:dyDescent="0.2">
      <c r="A2146" s="583"/>
      <c r="B2146" s="640"/>
      <c r="F2146" s="575"/>
      <c r="G2146" s="575"/>
      <c r="H2146" s="575"/>
      <c r="I2146" s="575"/>
      <c r="J2146" s="575"/>
      <c r="K2146" s="575"/>
    </row>
    <row r="2147" spans="1:11" x14ac:dyDescent="0.2">
      <c r="A2147" s="583"/>
      <c r="B2147" s="640"/>
      <c r="F2147" s="575"/>
      <c r="G2147" s="575"/>
      <c r="H2147" s="575"/>
      <c r="I2147" s="575"/>
      <c r="J2147" s="575"/>
      <c r="K2147" s="575"/>
    </row>
    <row r="2148" spans="1:11" x14ac:dyDescent="0.2">
      <c r="A2148" s="583"/>
      <c r="B2148" s="640"/>
      <c r="F2148" s="575"/>
      <c r="G2148" s="575"/>
      <c r="H2148" s="575"/>
      <c r="I2148" s="575"/>
      <c r="J2148" s="575"/>
      <c r="K2148" s="575"/>
    </row>
    <row r="2149" spans="1:11" x14ac:dyDescent="0.2">
      <c r="A2149" s="583"/>
      <c r="B2149" s="640"/>
      <c r="F2149" s="575"/>
      <c r="G2149" s="575"/>
      <c r="H2149" s="575"/>
      <c r="I2149" s="575"/>
      <c r="J2149" s="575"/>
      <c r="K2149" s="575"/>
    </row>
    <row r="2150" spans="1:11" x14ac:dyDescent="0.2">
      <c r="A2150" s="583"/>
      <c r="B2150" s="640"/>
      <c r="F2150" s="575"/>
      <c r="G2150" s="575"/>
      <c r="H2150" s="575"/>
      <c r="I2150" s="575"/>
      <c r="J2150" s="575"/>
      <c r="K2150" s="575"/>
    </row>
    <row r="2151" spans="1:11" x14ac:dyDescent="0.2">
      <c r="A2151" s="583"/>
      <c r="B2151" s="640"/>
      <c r="F2151" s="575"/>
      <c r="G2151" s="575"/>
      <c r="H2151" s="575"/>
      <c r="I2151" s="575"/>
      <c r="J2151" s="575"/>
      <c r="K2151" s="575"/>
    </row>
    <row r="2152" spans="1:11" x14ac:dyDescent="0.2">
      <c r="A2152" s="583"/>
      <c r="B2152" s="640"/>
      <c r="F2152" s="575"/>
      <c r="G2152" s="575"/>
      <c r="H2152" s="575"/>
      <c r="I2152" s="575"/>
      <c r="J2152" s="575"/>
      <c r="K2152" s="575"/>
    </row>
    <row r="2153" spans="1:11" x14ac:dyDescent="0.2">
      <c r="A2153" s="583"/>
      <c r="B2153" s="640"/>
      <c r="F2153" s="575"/>
      <c r="G2153" s="575"/>
      <c r="H2153" s="575"/>
      <c r="I2153" s="575"/>
      <c r="J2153" s="575"/>
      <c r="K2153" s="575"/>
    </row>
    <row r="2154" spans="1:11" x14ac:dyDescent="0.2">
      <c r="A2154" s="583"/>
      <c r="B2154" s="640"/>
      <c r="F2154" s="575"/>
      <c r="G2154" s="575"/>
      <c r="H2154" s="575"/>
      <c r="I2154" s="575"/>
      <c r="J2154" s="575"/>
      <c r="K2154" s="575"/>
    </row>
    <row r="2155" spans="1:11" x14ac:dyDescent="0.2">
      <c r="A2155" s="583"/>
      <c r="B2155" s="640"/>
      <c r="F2155" s="575"/>
      <c r="G2155" s="575"/>
      <c r="H2155" s="575"/>
      <c r="I2155" s="575"/>
      <c r="J2155" s="575"/>
      <c r="K2155" s="575"/>
    </row>
    <row r="2156" spans="1:11" x14ac:dyDescent="0.2">
      <c r="A2156" s="583"/>
      <c r="B2156" s="640"/>
      <c r="F2156" s="575"/>
      <c r="G2156" s="575"/>
      <c r="H2156" s="575"/>
      <c r="I2156" s="575"/>
      <c r="J2156" s="575"/>
      <c r="K2156" s="575"/>
    </row>
    <row r="2157" spans="1:11" x14ac:dyDescent="0.2">
      <c r="A2157" s="583"/>
      <c r="B2157" s="640"/>
      <c r="F2157" s="575"/>
      <c r="G2157" s="575"/>
      <c r="H2157" s="575"/>
      <c r="I2157" s="575"/>
      <c r="J2157" s="575"/>
      <c r="K2157" s="575"/>
    </row>
    <row r="2158" spans="1:11" x14ac:dyDescent="0.2">
      <c r="A2158" s="583"/>
      <c r="B2158" s="640"/>
      <c r="F2158" s="575"/>
      <c r="G2158" s="575"/>
      <c r="H2158" s="575"/>
      <c r="I2158" s="575"/>
      <c r="J2158" s="575"/>
      <c r="K2158" s="575"/>
    </row>
    <row r="2159" spans="1:11" x14ac:dyDescent="0.2">
      <c r="A2159" s="583"/>
      <c r="B2159" s="640"/>
      <c r="F2159" s="575"/>
      <c r="G2159" s="575"/>
      <c r="H2159" s="575"/>
      <c r="I2159" s="575"/>
      <c r="J2159" s="575"/>
      <c r="K2159" s="575"/>
    </row>
    <row r="2160" spans="1:11" x14ac:dyDescent="0.2">
      <c r="A2160" s="583"/>
      <c r="B2160" s="640"/>
      <c r="F2160" s="575"/>
      <c r="G2160" s="575"/>
      <c r="H2160" s="575"/>
      <c r="I2160" s="575"/>
      <c r="J2160" s="575"/>
      <c r="K2160" s="575"/>
    </row>
    <row r="2161" spans="1:11" x14ac:dyDescent="0.2">
      <c r="A2161" s="583"/>
      <c r="B2161" s="640"/>
      <c r="F2161" s="575"/>
      <c r="G2161" s="575"/>
      <c r="H2161" s="575"/>
      <c r="I2161" s="575"/>
      <c r="J2161" s="575"/>
      <c r="K2161" s="575"/>
    </row>
    <row r="2162" spans="1:11" x14ac:dyDescent="0.2">
      <c r="A2162" s="583"/>
      <c r="B2162" s="640"/>
      <c r="F2162" s="575"/>
      <c r="G2162" s="575"/>
      <c r="H2162" s="575"/>
      <c r="I2162" s="575"/>
      <c r="J2162" s="575"/>
      <c r="K2162" s="575"/>
    </row>
    <row r="2163" spans="1:11" x14ac:dyDescent="0.2">
      <c r="A2163" s="583"/>
      <c r="B2163" s="640"/>
      <c r="F2163" s="575"/>
      <c r="G2163" s="575"/>
      <c r="H2163" s="575"/>
      <c r="I2163" s="575"/>
      <c r="J2163" s="575"/>
      <c r="K2163" s="575"/>
    </row>
    <row r="2164" spans="1:11" x14ac:dyDescent="0.2">
      <c r="A2164" s="583"/>
      <c r="B2164" s="640"/>
      <c r="F2164" s="575"/>
      <c r="G2164" s="575"/>
      <c r="H2164" s="575"/>
      <c r="I2164" s="575"/>
      <c r="J2164" s="575"/>
      <c r="K2164" s="575"/>
    </row>
    <row r="2165" spans="1:11" x14ac:dyDescent="0.2">
      <c r="A2165" s="583"/>
      <c r="B2165" s="640"/>
      <c r="F2165" s="575"/>
      <c r="G2165" s="575"/>
      <c r="H2165" s="575"/>
      <c r="I2165" s="575"/>
      <c r="J2165" s="575"/>
      <c r="K2165" s="575"/>
    </row>
    <row r="2166" spans="1:11" x14ac:dyDescent="0.2">
      <c r="A2166" s="583"/>
      <c r="B2166" s="640"/>
      <c r="F2166" s="575"/>
      <c r="G2166" s="575"/>
      <c r="H2166" s="575"/>
      <c r="I2166" s="575"/>
      <c r="J2166" s="575"/>
      <c r="K2166" s="575"/>
    </row>
    <row r="2167" spans="1:11" x14ac:dyDescent="0.2">
      <c r="A2167" s="583"/>
      <c r="B2167" s="640"/>
      <c r="F2167" s="575"/>
      <c r="G2167" s="575"/>
      <c r="H2167" s="575"/>
      <c r="I2167" s="575"/>
      <c r="J2167" s="575"/>
      <c r="K2167" s="575"/>
    </row>
    <row r="2168" spans="1:11" x14ac:dyDescent="0.2">
      <c r="A2168" s="583"/>
      <c r="B2168" s="640"/>
      <c r="F2168" s="575"/>
      <c r="G2168" s="575"/>
      <c r="H2168" s="575"/>
      <c r="I2168" s="575"/>
      <c r="J2168" s="575"/>
      <c r="K2168" s="575"/>
    </row>
    <row r="2169" spans="1:11" x14ac:dyDescent="0.2">
      <c r="A2169" s="583"/>
      <c r="B2169" s="640"/>
      <c r="F2169" s="575"/>
      <c r="G2169" s="575"/>
      <c r="H2169" s="575"/>
      <c r="I2169" s="575"/>
      <c r="J2169" s="575"/>
      <c r="K2169" s="575"/>
    </row>
    <row r="2170" spans="1:11" x14ac:dyDescent="0.2">
      <c r="A2170" s="583"/>
      <c r="B2170" s="640"/>
      <c r="F2170" s="575"/>
      <c r="G2170" s="575"/>
      <c r="H2170" s="575"/>
      <c r="I2170" s="575"/>
      <c r="J2170" s="575"/>
      <c r="K2170" s="575"/>
    </row>
    <row r="2171" spans="1:11" x14ac:dyDescent="0.2">
      <c r="A2171" s="583"/>
      <c r="B2171" s="640"/>
      <c r="F2171" s="575"/>
      <c r="G2171" s="575"/>
      <c r="H2171" s="575"/>
      <c r="I2171" s="575"/>
      <c r="J2171" s="575"/>
      <c r="K2171" s="575"/>
    </row>
    <row r="2172" spans="1:11" x14ac:dyDescent="0.2">
      <c r="A2172" s="583"/>
      <c r="B2172" s="640"/>
      <c r="F2172" s="575"/>
      <c r="G2172" s="575"/>
      <c r="H2172" s="575"/>
      <c r="I2172" s="575"/>
      <c r="J2172" s="575"/>
      <c r="K2172" s="575"/>
    </row>
    <row r="2173" spans="1:11" x14ac:dyDescent="0.2">
      <c r="A2173" s="583"/>
      <c r="B2173" s="640"/>
      <c r="F2173" s="575"/>
      <c r="G2173" s="575"/>
      <c r="H2173" s="575"/>
      <c r="I2173" s="575"/>
      <c r="J2173" s="575"/>
      <c r="K2173" s="575"/>
    </row>
    <row r="2174" spans="1:11" x14ac:dyDescent="0.2">
      <c r="A2174" s="583"/>
      <c r="B2174" s="640"/>
      <c r="F2174" s="575"/>
      <c r="G2174" s="575"/>
      <c r="H2174" s="575"/>
      <c r="I2174" s="575"/>
      <c r="J2174" s="575"/>
      <c r="K2174" s="575"/>
    </row>
    <row r="2175" spans="1:11" x14ac:dyDescent="0.2">
      <c r="A2175" s="583"/>
      <c r="B2175" s="640"/>
      <c r="F2175" s="575"/>
      <c r="G2175" s="575"/>
      <c r="H2175" s="575"/>
      <c r="I2175" s="575"/>
      <c r="J2175" s="575"/>
      <c r="K2175" s="575"/>
    </row>
    <row r="2176" spans="1:11" x14ac:dyDescent="0.2">
      <c r="A2176" s="583"/>
      <c r="B2176" s="640"/>
      <c r="F2176" s="575"/>
      <c r="G2176" s="575"/>
      <c r="H2176" s="575"/>
      <c r="I2176" s="575"/>
      <c r="J2176" s="575"/>
      <c r="K2176" s="575"/>
    </row>
    <row r="2177" spans="1:11" x14ac:dyDescent="0.2">
      <c r="A2177" s="583"/>
      <c r="B2177" s="640"/>
      <c r="F2177" s="575"/>
      <c r="G2177" s="575"/>
      <c r="H2177" s="575"/>
      <c r="I2177" s="575"/>
      <c r="J2177" s="575"/>
      <c r="K2177" s="575"/>
    </row>
    <row r="2178" spans="1:11" x14ac:dyDescent="0.2">
      <c r="A2178" s="583"/>
      <c r="B2178" s="640"/>
      <c r="F2178" s="575"/>
      <c r="G2178" s="575"/>
      <c r="H2178" s="575"/>
      <c r="I2178" s="575"/>
      <c r="J2178" s="575"/>
      <c r="K2178" s="575"/>
    </row>
    <row r="2179" spans="1:11" x14ac:dyDescent="0.2">
      <c r="A2179" s="583"/>
      <c r="B2179" s="640"/>
      <c r="F2179" s="575"/>
      <c r="G2179" s="575"/>
      <c r="H2179" s="575"/>
      <c r="I2179" s="575"/>
      <c r="J2179" s="575"/>
      <c r="K2179" s="575"/>
    </row>
    <row r="2180" spans="1:11" x14ac:dyDescent="0.2">
      <c r="A2180" s="583"/>
      <c r="B2180" s="640"/>
      <c r="F2180" s="575"/>
      <c r="G2180" s="575"/>
      <c r="H2180" s="575"/>
      <c r="I2180" s="575"/>
      <c r="J2180" s="575"/>
      <c r="K2180" s="575"/>
    </row>
    <row r="2181" spans="1:11" x14ac:dyDescent="0.2">
      <c r="A2181" s="583"/>
      <c r="B2181" s="640"/>
      <c r="F2181" s="575"/>
      <c r="G2181" s="575"/>
      <c r="H2181" s="575"/>
      <c r="I2181" s="575"/>
      <c r="J2181" s="575"/>
      <c r="K2181" s="575"/>
    </row>
    <row r="2182" spans="1:11" x14ac:dyDescent="0.2">
      <c r="A2182" s="583"/>
      <c r="B2182" s="640"/>
      <c r="F2182" s="575"/>
      <c r="G2182" s="575"/>
      <c r="H2182" s="575"/>
      <c r="I2182" s="575"/>
      <c r="J2182" s="575"/>
      <c r="K2182" s="575"/>
    </row>
    <row r="2183" spans="1:11" x14ac:dyDescent="0.2">
      <c r="A2183" s="583"/>
      <c r="B2183" s="640"/>
      <c r="F2183" s="575"/>
      <c r="G2183" s="575"/>
      <c r="H2183" s="575"/>
      <c r="I2183" s="575"/>
      <c r="J2183" s="575"/>
      <c r="K2183" s="575"/>
    </row>
    <row r="2184" spans="1:11" x14ac:dyDescent="0.2">
      <c r="A2184" s="583"/>
      <c r="B2184" s="640"/>
      <c r="F2184" s="575"/>
      <c r="G2184" s="575"/>
      <c r="H2184" s="575"/>
      <c r="I2184" s="575"/>
      <c r="J2184" s="575"/>
      <c r="K2184" s="575"/>
    </row>
    <row r="2185" spans="1:11" x14ac:dyDescent="0.2">
      <c r="A2185" s="583"/>
      <c r="B2185" s="640"/>
      <c r="F2185" s="575"/>
      <c r="G2185" s="575"/>
      <c r="H2185" s="575"/>
      <c r="I2185" s="575"/>
      <c r="J2185" s="575"/>
      <c r="K2185" s="575"/>
    </row>
    <row r="2186" spans="1:11" x14ac:dyDescent="0.2">
      <c r="A2186" s="583"/>
      <c r="B2186" s="640"/>
      <c r="F2186" s="575"/>
      <c r="G2186" s="575"/>
      <c r="H2186" s="575"/>
      <c r="I2186" s="575"/>
      <c r="J2186" s="575"/>
      <c r="K2186" s="575"/>
    </row>
    <row r="2187" spans="1:11" x14ac:dyDescent="0.2">
      <c r="A2187" s="583"/>
      <c r="B2187" s="640"/>
      <c r="F2187" s="575"/>
      <c r="G2187" s="575"/>
      <c r="H2187" s="575"/>
      <c r="I2187" s="575"/>
      <c r="J2187" s="575"/>
      <c r="K2187" s="575"/>
    </row>
    <row r="2188" spans="1:11" x14ac:dyDescent="0.2">
      <c r="A2188" s="583"/>
      <c r="B2188" s="640"/>
      <c r="F2188" s="575"/>
      <c r="G2188" s="575"/>
      <c r="H2188" s="575"/>
      <c r="I2188" s="575"/>
      <c r="J2188" s="575"/>
      <c r="K2188" s="575"/>
    </row>
    <row r="2189" spans="1:11" x14ac:dyDescent="0.2">
      <c r="A2189" s="583"/>
      <c r="B2189" s="640"/>
      <c r="F2189" s="575"/>
      <c r="G2189" s="575"/>
      <c r="H2189" s="575"/>
      <c r="I2189" s="575"/>
      <c r="J2189" s="575"/>
      <c r="K2189" s="575"/>
    </row>
    <row r="2190" spans="1:11" x14ac:dyDescent="0.2">
      <c r="A2190" s="583"/>
      <c r="B2190" s="640"/>
      <c r="F2190" s="575"/>
      <c r="G2190" s="575"/>
      <c r="H2190" s="575"/>
      <c r="I2190" s="575"/>
      <c r="J2190" s="575"/>
      <c r="K2190" s="575"/>
    </row>
    <row r="2191" spans="1:11" x14ac:dyDescent="0.2">
      <c r="A2191" s="583"/>
      <c r="B2191" s="640"/>
      <c r="F2191" s="575"/>
      <c r="G2191" s="575"/>
      <c r="H2191" s="575"/>
      <c r="I2191" s="575"/>
      <c r="J2191" s="575"/>
      <c r="K2191" s="575"/>
    </row>
    <row r="2192" spans="1:11" x14ac:dyDescent="0.2">
      <c r="A2192" s="583"/>
      <c r="B2192" s="640"/>
      <c r="F2192" s="575"/>
      <c r="G2192" s="575"/>
      <c r="H2192" s="575"/>
      <c r="I2192" s="575"/>
      <c r="J2192" s="575"/>
      <c r="K2192" s="575"/>
    </row>
    <row r="2193" spans="1:11" x14ac:dyDescent="0.2">
      <c r="A2193" s="583"/>
      <c r="B2193" s="640"/>
      <c r="F2193" s="575"/>
      <c r="G2193" s="575"/>
      <c r="H2193" s="575"/>
      <c r="I2193" s="575"/>
      <c r="J2193" s="575"/>
      <c r="K2193" s="575"/>
    </row>
    <row r="2194" spans="1:11" x14ac:dyDescent="0.2">
      <c r="A2194" s="583"/>
      <c r="B2194" s="640"/>
      <c r="F2194" s="575"/>
      <c r="G2194" s="575"/>
      <c r="H2194" s="575"/>
      <c r="I2194" s="575"/>
      <c r="J2194" s="575"/>
      <c r="K2194" s="575"/>
    </row>
    <row r="2195" spans="1:11" x14ac:dyDescent="0.2">
      <c r="A2195" s="583"/>
      <c r="B2195" s="640"/>
      <c r="F2195" s="575"/>
      <c r="G2195" s="575"/>
      <c r="H2195" s="575"/>
      <c r="I2195" s="575"/>
      <c r="J2195" s="575"/>
      <c r="K2195" s="575"/>
    </row>
    <row r="2196" spans="1:11" x14ac:dyDescent="0.2">
      <c r="A2196" s="583"/>
      <c r="B2196" s="640"/>
      <c r="F2196" s="575"/>
      <c r="G2196" s="575"/>
      <c r="H2196" s="575"/>
      <c r="I2196" s="575"/>
      <c r="J2196" s="575"/>
      <c r="K2196" s="575"/>
    </row>
    <row r="2197" spans="1:11" x14ac:dyDescent="0.2">
      <c r="A2197" s="583"/>
      <c r="B2197" s="640"/>
      <c r="F2197" s="575"/>
      <c r="G2197" s="575"/>
      <c r="H2197" s="575"/>
      <c r="I2197" s="575"/>
      <c r="J2197" s="575"/>
      <c r="K2197" s="575"/>
    </row>
    <row r="2198" spans="1:11" x14ac:dyDescent="0.2">
      <c r="A2198" s="583"/>
      <c r="B2198" s="640"/>
      <c r="F2198" s="575"/>
      <c r="G2198" s="575"/>
      <c r="H2198" s="575"/>
      <c r="I2198" s="575"/>
      <c r="J2198" s="575"/>
      <c r="K2198" s="575"/>
    </row>
    <row r="2199" spans="1:11" x14ac:dyDescent="0.2">
      <c r="A2199" s="583"/>
      <c r="B2199" s="640"/>
      <c r="F2199" s="575"/>
      <c r="G2199" s="575"/>
      <c r="H2199" s="575"/>
      <c r="I2199" s="575"/>
      <c r="J2199" s="575"/>
      <c r="K2199" s="575"/>
    </row>
    <row r="2200" spans="1:11" x14ac:dyDescent="0.2">
      <c r="A2200" s="583"/>
      <c r="B2200" s="640"/>
      <c r="F2200" s="575"/>
      <c r="G2200" s="575"/>
      <c r="H2200" s="575"/>
      <c r="I2200" s="575"/>
      <c r="J2200" s="575"/>
      <c r="K2200" s="575"/>
    </row>
    <row r="2201" spans="1:11" x14ac:dyDescent="0.2">
      <c r="A2201" s="583"/>
      <c r="B2201" s="640"/>
      <c r="F2201" s="575"/>
      <c r="G2201" s="575"/>
      <c r="H2201" s="575"/>
      <c r="I2201" s="575"/>
      <c r="J2201" s="575"/>
      <c r="K2201" s="575"/>
    </row>
    <row r="2202" spans="1:11" x14ac:dyDescent="0.2">
      <c r="A2202" s="583"/>
      <c r="B2202" s="640"/>
      <c r="F2202" s="575"/>
      <c r="G2202" s="575"/>
      <c r="H2202" s="575"/>
      <c r="I2202" s="575"/>
      <c r="J2202" s="575"/>
      <c r="K2202" s="575"/>
    </row>
    <row r="2203" spans="1:11" x14ac:dyDescent="0.2">
      <c r="A2203" s="583"/>
      <c r="B2203" s="640"/>
      <c r="F2203" s="575"/>
      <c r="G2203" s="575"/>
      <c r="H2203" s="575"/>
      <c r="I2203" s="575"/>
      <c r="J2203" s="575"/>
      <c r="K2203" s="575"/>
    </row>
    <row r="2204" spans="1:11" x14ac:dyDescent="0.2">
      <c r="A2204" s="583"/>
      <c r="B2204" s="640"/>
      <c r="F2204" s="575"/>
      <c r="G2204" s="575"/>
      <c r="H2204" s="575"/>
      <c r="I2204" s="575"/>
      <c r="J2204" s="575"/>
      <c r="K2204" s="575"/>
    </row>
    <row r="2205" spans="1:11" x14ac:dyDescent="0.2">
      <c r="A2205" s="583"/>
      <c r="B2205" s="640"/>
      <c r="F2205" s="575"/>
      <c r="G2205" s="575"/>
      <c r="H2205" s="575"/>
      <c r="I2205" s="575"/>
      <c r="J2205" s="575"/>
      <c r="K2205" s="575"/>
    </row>
    <row r="2206" spans="1:11" x14ac:dyDescent="0.2">
      <c r="A2206" s="583"/>
      <c r="B2206" s="640"/>
      <c r="F2206" s="575"/>
      <c r="G2206" s="575"/>
      <c r="H2206" s="575"/>
      <c r="I2206" s="575"/>
      <c r="J2206" s="575"/>
      <c r="K2206" s="575"/>
    </row>
    <row r="2207" spans="1:11" x14ac:dyDescent="0.2">
      <c r="A2207" s="583"/>
      <c r="B2207" s="640"/>
      <c r="F2207" s="575"/>
      <c r="G2207" s="575"/>
      <c r="H2207" s="575"/>
      <c r="I2207" s="575"/>
      <c r="J2207" s="575"/>
      <c r="K2207" s="575"/>
    </row>
    <row r="2208" spans="1:11" x14ac:dyDescent="0.2">
      <c r="A2208" s="583"/>
      <c r="B2208" s="640"/>
      <c r="F2208" s="575"/>
      <c r="G2208" s="575"/>
      <c r="H2208" s="575"/>
      <c r="I2208" s="575"/>
      <c r="J2208" s="575"/>
      <c r="K2208" s="575"/>
    </row>
    <row r="2209" spans="1:11" x14ac:dyDescent="0.2">
      <c r="A2209" s="583"/>
      <c r="B2209" s="640"/>
      <c r="F2209" s="575"/>
      <c r="G2209" s="575"/>
      <c r="H2209" s="575"/>
      <c r="I2209" s="575"/>
      <c r="J2209" s="575"/>
      <c r="K2209" s="575"/>
    </row>
    <row r="2210" spans="1:11" x14ac:dyDescent="0.2">
      <c r="A2210" s="583"/>
      <c r="B2210" s="640"/>
      <c r="F2210" s="575"/>
      <c r="G2210" s="575"/>
      <c r="H2210" s="575"/>
      <c r="I2210" s="575"/>
      <c r="J2210" s="575"/>
      <c r="K2210" s="575"/>
    </row>
    <row r="2211" spans="1:11" x14ac:dyDescent="0.2">
      <c r="A2211" s="583"/>
      <c r="B2211" s="640"/>
      <c r="F2211" s="575"/>
      <c r="G2211" s="575"/>
      <c r="H2211" s="575"/>
      <c r="I2211" s="575"/>
      <c r="J2211" s="575"/>
      <c r="K2211" s="575"/>
    </row>
    <row r="2212" spans="1:11" x14ac:dyDescent="0.2">
      <c r="A2212" s="583"/>
      <c r="B2212" s="640"/>
      <c r="F2212" s="575"/>
      <c r="G2212" s="575"/>
      <c r="H2212" s="575"/>
      <c r="I2212" s="575"/>
      <c r="J2212" s="575"/>
      <c r="K2212" s="575"/>
    </row>
    <row r="2213" spans="1:11" x14ac:dyDescent="0.2">
      <c r="A2213" s="583"/>
      <c r="B2213" s="640"/>
      <c r="F2213" s="575"/>
      <c r="G2213" s="575"/>
      <c r="H2213" s="575"/>
      <c r="I2213" s="575"/>
      <c r="J2213" s="575"/>
      <c r="K2213" s="575"/>
    </row>
    <row r="2214" spans="1:11" x14ac:dyDescent="0.2">
      <c r="A2214" s="583"/>
      <c r="B2214" s="640"/>
      <c r="F2214" s="575"/>
      <c r="G2214" s="575"/>
      <c r="H2214" s="575"/>
      <c r="I2214" s="575"/>
      <c r="J2214" s="575"/>
      <c r="K2214" s="575"/>
    </row>
    <row r="2215" spans="1:11" x14ac:dyDescent="0.2">
      <c r="A2215" s="583"/>
      <c r="B2215" s="640"/>
      <c r="F2215" s="575"/>
      <c r="G2215" s="575"/>
      <c r="H2215" s="575"/>
      <c r="I2215" s="575"/>
      <c r="J2215" s="575"/>
      <c r="K2215" s="575"/>
    </row>
    <row r="2216" spans="1:11" x14ac:dyDescent="0.2">
      <c r="A2216" s="583"/>
      <c r="B2216" s="640"/>
      <c r="F2216" s="575"/>
      <c r="G2216" s="575"/>
      <c r="H2216" s="575"/>
      <c r="I2216" s="575"/>
      <c r="J2216" s="575"/>
      <c r="K2216" s="575"/>
    </row>
    <row r="2217" spans="1:11" x14ac:dyDescent="0.2">
      <c r="A2217" s="583"/>
      <c r="B2217" s="640"/>
      <c r="F2217" s="575"/>
      <c r="G2217" s="575"/>
      <c r="H2217" s="575"/>
      <c r="I2217" s="575"/>
      <c r="J2217" s="575"/>
      <c r="K2217" s="575"/>
    </row>
    <row r="2218" spans="1:11" x14ac:dyDescent="0.2">
      <c r="A2218" s="583"/>
      <c r="B2218" s="640"/>
      <c r="F2218" s="575"/>
      <c r="G2218" s="575"/>
      <c r="H2218" s="575"/>
      <c r="I2218" s="575"/>
      <c r="J2218" s="575"/>
      <c r="K2218" s="575"/>
    </row>
    <row r="2219" spans="1:11" x14ac:dyDescent="0.2">
      <c r="A2219" s="583"/>
      <c r="B2219" s="640"/>
      <c r="F2219" s="575"/>
      <c r="G2219" s="575"/>
      <c r="H2219" s="575"/>
      <c r="I2219" s="575"/>
      <c r="J2219" s="575"/>
      <c r="K2219" s="575"/>
    </row>
    <row r="2220" spans="1:11" x14ac:dyDescent="0.2">
      <c r="A2220" s="583"/>
      <c r="B2220" s="640"/>
      <c r="F2220" s="575"/>
      <c r="G2220" s="575"/>
      <c r="H2220" s="575"/>
      <c r="I2220" s="575"/>
      <c r="J2220" s="575"/>
      <c r="K2220" s="575"/>
    </row>
    <row r="2221" spans="1:11" x14ac:dyDescent="0.2">
      <c r="A2221" s="583"/>
      <c r="B2221" s="640"/>
      <c r="F2221" s="575"/>
      <c r="G2221" s="575"/>
      <c r="H2221" s="575"/>
      <c r="I2221" s="575"/>
      <c r="J2221" s="575"/>
      <c r="K2221" s="575"/>
    </row>
    <row r="2222" spans="1:11" x14ac:dyDescent="0.2">
      <c r="A2222" s="583"/>
      <c r="B2222" s="640"/>
      <c r="F2222" s="575"/>
      <c r="G2222" s="575"/>
      <c r="H2222" s="575"/>
      <c r="I2222" s="575"/>
      <c r="J2222" s="575"/>
      <c r="K2222" s="575"/>
    </row>
    <row r="2223" spans="1:11" x14ac:dyDescent="0.2">
      <c r="A2223" s="583"/>
      <c r="B2223" s="640"/>
      <c r="F2223" s="575"/>
      <c r="G2223" s="575"/>
      <c r="H2223" s="575"/>
      <c r="I2223" s="575"/>
      <c r="J2223" s="575"/>
      <c r="K2223" s="575"/>
    </row>
    <row r="2224" spans="1:11" x14ac:dyDescent="0.2">
      <c r="A2224" s="583"/>
      <c r="B2224" s="640"/>
      <c r="F2224" s="575"/>
      <c r="G2224" s="575"/>
      <c r="H2224" s="575"/>
      <c r="I2224" s="575"/>
      <c r="J2224" s="575"/>
      <c r="K2224" s="575"/>
    </row>
    <row r="2225" spans="1:11" x14ac:dyDescent="0.2">
      <c r="A2225" s="583"/>
      <c r="B2225" s="640"/>
      <c r="F2225" s="575"/>
      <c r="G2225" s="575"/>
      <c r="H2225" s="575"/>
      <c r="I2225" s="575"/>
      <c r="J2225" s="575"/>
      <c r="K2225" s="575"/>
    </row>
    <row r="2226" spans="1:11" x14ac:dyDescent="0.2">
      <c r="A2226" s="583"/>
      <c r="B2226" s="640"/>
      <c r="F2226" s="575"/>
      <c r="G2226" s="575"/>
      <c r="H2226" s="575"/>
      <c r="I2226" s="575"/>
      <c r="J2226" s="575"/>
      <c r="K2226" s="575"/>
    </row>
    <row r="2227" spans="1:11" x14ac:dyDescent="0.2">
      <c r="A2227" s="583"/>
      <c r="B2227" s="640"/>
      <c r="F2227" s="575"/>
      <c r="G2227" s="575"/>
      <c r="H2227" s="575"/>
      <c r="I2227" s="575"/>
      <c r="J2227" s="575"/>
      <c r="K2227" s="575"/>
    </row>
    <row r="2228" spans="1:11" x14ac:dyDescent="0.2">
      <c r="A2228" s="583"/>
      <c r="B2228" s="640"/>
      <c r="F2228" s="575"/>
      <c r="G2228" s="575"/>
      <c r="H2228" s="575"/>
      <c r="I2228" s="575"/>
      <c r="J2228" s="575"/>
      <c r="K2228" s="575"/>
    </row>
    <row r="2229" spans="1:11" x14ac:dyDescent="0.2">
      <c r="A2229" s="583"/>
      <c r="B2229" s="640"/>
      <c r="F2229" s="575"/>
      <c r="G2229" s="575"/>
      <c r="H2229" s="575"/>
      <c r="I2229" s="575"/>
      <c r="J2229" s="575"/>
      <c r="K2229" s="575"/>
    </row>
    <row r="2230" spans="1:11" x14ac:dyDescent="0.2">
      <c r="A2230" s="583"/>
      <c r="B2230" s="640"/>
      <c r="F2230" s="575"/>
      <c r="G2230" s="575"/>
      <c r="H2230" s="575"/>
      <c r="I2230" s="575"/>
      <c r="J2230" s="575"/>
      <c r="K2230" s="575"/>
    </row>
    <row r="2231" spans="1:11" x14ac:dyDescent="0.2">
      <c r="A2231" s="583"/>
      <c r="B2231" s="640"/>
      <c r="F2231" s="575"/>
      <c r="G2231" s="575"/>
      <c r="H2231" s="575"/>
      <c r="I2231" s="575"/>
      <c r="J2231" s="575"/>
      <c r="K2231" s="575"/>
    </row>
    <row r="2232" spans="1:11" x14ac:dyDescent="0.2">
      <c r="A2232" s="583"/>
      <c r="B2232" s="640"/>
      <c r="F2232" s="575"/>
      <c r="G2232" s="575"/>
      <c r="H2232" s="575"/>
      <c r="I2232" s="575"/>
      <c r="J2232" s="575"/>
      <c r="K2232" s="575"/>
    </row>
    <row r="2233" spans="1:11" x14ac:dyDescent="0.2">
      <c r="A2233" s="583"/>
      <c r="B2233" s="640"/>
      <c r="F2233" s="575"/>
      <c r="G2233" s="575"/>
      <c r="H2233" s="575"/>
      <c r="I2233" s="575"/>
      <c r="J2233" s="575"/>
      <c r="K2233" s="575"/>
    </row>
    <row r="2234" spans="1:11" x14ac:dyDescent="0.2">
      <c r="A2234" s="583"/>
      <c r="B2234" s="640"/>
      <c r="F2234" s="575"/>
      <c r="G2234" s="575"/>
      <c r="H2234" s="575"/>
      <c r="I2234" s="575"/>
      <c r="J2234" s="575"/>
      <c r="K2234" s="575"/>
    </row>
    <row r="2235" spans="1:11" x14ac:dyDescent="0.2">
      <c r="A2235" s="583"/>
      <c r="B2235" s="640"/>
      <c r="F2235" s="575"/>
      <c r="G2235" s="575"/>
      <c r="H2235" s="575"/>
      <c r="I2235" s="575"/>
      <c r="J2235" s="575"/>
      <c r="K2235" s="575"/>
    </row>
    <row r="2236" spans="1:11" x14ac:dyDescent="0.2">
      <c r="A2236" s="583"/>
      <c r="B2236" s="640"/>
      <c r="F2236" s="575"/>
      <c r="G2236" s="575"/>
      <c r="H2236" s="575"/>
      <c r="I2236" s="575"/>
      <c r="J2236" s="575"/>
      <c r="K2236" s="575"/>
    </row>
    <row r="2237" spans="1:11" x14ac:dyDescent="0.2">
      <c r="A2237" s="583"/>
      <c r="B2237" s="640"/>
      <c r="F2237" s="575"/>
      <c r="G2237" s="575"/>
      <c r="H2237" s="575"/>
      <c r="I2237" s="575"/>
      <c r="J2237" s="575"/>
      <c r="K2237" s="575"/>
    </row>
    <row r="2238" spans="1:11" x14ac:dyDescent="0.2">
      <c r="A2238" s="583"/>
      <c r="B2238" s="640"/>
      <c r="F2238" s="575"/>
      <c r="G2238" s="575"/>
      <c r="H2238" s="575"/>
      <c r="I2238" s="575"/>
      <c r="J2238" s="575"/>
      <c r="K2238" s="575"/>
    </row>
    <row r="2239" spans="1:11" x14ac:dyDescent="0.2">
      <c r="A2239" s="583"/>
      <c r="B2239" s="640"/>
      <c r="F2239" s="575"/>
      <c r="G2239" s="575"/>
      <c r="H2239" s="575"/>
      <c r="I2239" s="575"/>
      <c r="J2239" s="575"/>
      <c r="K2239" s="575"/>
    </row>
    <row r="2240" spans="1:11" x14ac:dyDescent="0.2">
      <c r="A2240" s="583"/>
      <c r="B2240" s="640"/>
      <c r="F2240" s="575"/>
      <c r="G2240" s="575"/>
      <c r="H2240" s="575"/>
      <c r="I2240" s="575"/>
      <c r="J2240" s="575"/>
      <c r="K2240" s="575"/>
    </row>
    <row r="2241" spans="1:11" x14ac:dyDescent="0.2">
      <c r="A2241" s="583"/>
      <c r="B2241" s="640"/>
      <c r="F2241" s="575"/>
      <c r="G2241" s="575"/>
      <c r="H2241" s="575"/>
      <c r="I2241" s="575"/>
      <c r="J2241" s="575"/>
      <c r="K2241" s="575"/>
    </row>
    <row r="2242" spans="1:11" x14ac:dyDescent="0.2">
      <c r="A2242" s="583"/>
      <c r="B2242" s="640"/>
      <c r="F2242" s="575"/>
      <c r="G2242" s="575"/>
      <c r="H2242" s="575"/>
      <c r="I2242" s="575"/>
      <c r="J2242" s="575"/>
      <c r="K2242" s="575"/>
    </row>
    <row r="2243" spans="1:11" x14ac:dyDescent="0.2">
      <c r="A2243" s="583"/>
      <c r="B2243" s="640"/>
      <c r="F2243" s="575"/>
      <c r="G2243" s="575"/>
      <c r="H2243" s="575"/>
      <c r="I2243" s="575"/>
      <c r="J2243" s="575"/>
      <c r="K2243" s="575"/>
    </row>
    <row r="2244" spans="1:11" x14ac:dyDescent="0.2">
      <c r="A2244" s="583"/>
      <c r="B2244" s="640"/>
      <c r="F2244" s="575"/>
      <c r="G2244" s="575"/>
      <c r="H2244" s="575"/>
      <c r="I2244" s="575"/>
      <c r="J2244" s="575"/>
      <c r="K2244" s="575"/>
    </row>
    <row r="2245" spans="1:11" x14ac:dyDescent="0.2">
      <c r="A2245" s="583"/>
      <c r="B2245" s="640"/>
      <c r="F2245" s="575"/>
      <c r="G2245" s="575"/>
      <c r="H2245" s="575"/>
      <c r="I2245" s="575"/>
      <c r="J2245" s="575"/>
      <c r="K2245" s="575"/>
    </row>
    <row r="2246" spans="1:11" x14ac:dyDescent="0.2">
      <c r="A2246" s="583"/>
      <c r="B2246" s="640"/>
      <c r="F2246" s="575"/>
      <c r="G2246" s="575"/>
      <c r="H2246" s="575"/>
      <c r="I2246" s="575"/>
      <c r="J2246" s="575"/>
      <c r="K2246" s="575"/>
    </row>
    <row r="2247" spans="1:11" x14ac:dyDescent="0.2">
      <c r="A2247" s="583"/>
      <c r="B2247" s="640"/>
      <c r="F2247" s="575"/>
      <c r="G2247" s="575"/>
      <c r="H2247" s="575"/>
      <c r="I2247" s="575"/>
      <c r="J2247" s="575"/>
      <c r="K2247" s="575"/>
    </row>
    <row r="2248" spans="1:11" x14ac:dyDescent="0.2">
      <c r="A2248" s="583"/>
      <c r="B2248" s="640"/>
      <c r="F2248" s="575"/>
      <c r="G2248" s="575"/>
      <c r="H2248" s="575"/>
      <c r="I2248" s="575"/>
      <c r="J2248" s="575"/>
      <c r="K2248" s="575"/>
    </row>
    <row r="2249" spans="1:11" x14ac:dyDescent="0.2">
      <c r="A2249" s="583"/>
      <c r="B2249" s="640"/>
      <c r="F2249" s="575"/>
      <c r="G2249" s="575"/>
      <c r="H2249" s="575"/>
      <c r="I2249" s="575"/>
      <c r="J2249" s="575"/>
      <c r="K2249" s="575"/>
    </row>
    <row r="2250" spans="1:11" x14ac:dyDescent="0.2">
      <c r="A2250" s="583"/>
      <c r="B2250" s="640"/>
      <c r="F2250" s="575"/>
      <c r="G2250" s="575"/>
      <c r="H2250" s="575"/>
      <c r="I2250" s="575"/>
      <c r="J2250" s="575"/>
      <c r="K2250" s="575"/>
    </row>
    <row r="2251" spans="1:11" x14ac:dyDescent="0.2">
      <c r="A2251" s="583"/>
      <c r="B2251" s="640"/>
      <c r="F2251" s="575"/>
      <c r="G2251" s="575"/>
      <c r="H2251" s="575"/>
      <c r="I2251" s="575"/>
      <c r="J2251" s="575"/>
      <c r="K2251" s="575"/>
    </row>
    <row r="2252" spans="1:11" x14ac:dyDescent="0.2">
      <c r="A2252" s="583"/>
      <c r="B2252" s="640"/>
      <c r="F2252" s="575"/>
      <c r="G2252" s="575"/>
      <c r="H2252" s="575"/>
      <c r="I2252" s="575"/>
      <c r="J2252" s="575"/>
      <c r="K2252" s="575"/>
    </row>
    <row r="2253" spans="1:11" x14ac:dyDescent="0.2">
      <c r="A2253" s="583"/>
      <c r="B2253" s="640"/>
      <c r="F2253" s="575"/>
      <c r="G2253" s="575"/>
      <c r="H2253" s="575"/>
      <c r="I2253" s="575"/>
      <c r="J2253" s="575"/>
      <c r="K2253" s="575"/>
    </row>
    <row r="2254" spans="1:11" x14ac:dyDescent="0.2">
      <c r="A2254" s="583"/>
      <c r="B2254" s="640"/>
      <c r="F2254" s="575"/>
      <c r="G2254" s="575"/>
      <c r="H2254" s="575"/>
      <c r="I2254" s="575"/>
      <c r="J2254" s="575"/>
      <c r="K2254" s="575"/>
    </row>
    <row r="2255" spans="1:11" x14ac:dyDescent="0.2">
      <c r="A2255" s="583"/>
      <c r="B2255" s="640"/>
      <c r="F2255" s="575"/>
      <c r="G2255" s="575"/>
      <c r="H2255" s="575"/>
      <c r="I2255" s="575"/>
      <c r="J2255" s="575"/>
      <c r="K2255" s="575"/>
    </row>
    <row r="2256" spans="1:11" x14ac:dyDescent="0.2">
      <c r="A2256" s="583"/>
      <c r="B2256" s="640"/>
      <c r="F2256" s="575"/>
      <c r="G2256" s="575"/>
      <c r="H2256" s="575"/>
      <c r="I2256" s="575"/>
      <c r="J2256" s="575"/>
      <c r="K2256" s="575"/>
    </row>
    <row r="2257" spans="1:11" x14ac:dyDescent="0.2">
      <c r="A2257" s="583"/>
      <c r="B2257" s="640"/>
      <c r="F2257" s="575"/>
      <c r="G2257" s="575"/>
      <c r="H2257" s="575"/>
      <c r="I2257" s="575"/>
      <c r="J2257" s="575"/>
      <c r="K2257" s="575"/>
    </row>
    <row r="2258" spans="1:11" x14ac:dyDescent="0.2">
      <c r="A2258" s="583"/>
      <c r="B2258" s="640"/>
      <c r="F2258" s="575"/>
      <c r="G2258" s="575"/>
      <c r="H2258" s="575"/>
      <c r="I2258" s="575"/>
      <c r="J2258" s="575"/>
      <c r="K2258" s="575"/>
    </row>
    <row r="2259" spans="1:11" x14ac:dyDescent="0.2">
      <c r="A2259" s="583"/>
      <c r="B2259" s="640"/>
      <c r="F2259" s="575"/>
      <c r="G2259" s="575"/>
      <c r="H2259" s="575"/>
      <c r="I2259" s="575"/>
      <c r="J2259" s="575"/>
      <c r="K2259" s="575"/>
    </row>
    <row r="2260" spans="1:11" x14ac:dyDescent="0.2">
      <c r="A2260" s="583"/>
      <c r="B2260" s="640"/>
      <c r="F2260" s="575"/>
      <c r="G2260" s="575"/>
      <c r="H2260" s="575"/>
      <c r="I2260" s="575"/>
      <c r="J2260" s="575"/>
      <c r="K2260" s="575"/>
    </row>
    <row r="2261" spans="1:11" x14ac:dyDescent="0.2">
      <c r="A2261" s="583"/>
      <c r="B2261" s="640"/>
      <c r="F2261" s="575"/>
      <c r="G2261" s="575"/>
      <c r="H2261" s="575"/>
      <c r="I2261" s="575"/>
      <c r="J2261" s="575"/>
      <c r="K2261" s="575"/>
    </row>
    <row r="2262" spans="1:11" x14ac:dyDescent="0.2">
      <c r="A2262" s="583"/>
      <c r="B2262" s="640"/>
      <c r="F2262" s="575"/>
      <c r="G2262" s="575"/>
      <c r="H2262" s="575"/>
      <c r="I2262" s="575"/>
      <c r="J2262" s="575"/>
      <c r="K2262" s="575"/>
    </row>
    <row r="2263" spans="1:11" x14ac:dyDescent="0.2">
      <c r="A2263" s="583"/>
      <c r="B2263" s="640"/>
      <c r="F2263" s="575"/>
      <c r="G2263" s="575"/>
      <c r="H2263" s="575"/>
      <c r="I2263" s="575"/>
      <c r="J2263" s="575"/>
      <c r="K2263" s="575"/>
    </row>
    <row r="2264" spans="1:11" x14ac:dyDescent="0.2">
      <c r="A2264" s="583"/>
      <c r="B2264" s="640"/>
      <c r="F2264" s="575"/>
      <c r="G2264" s="575"/>
      <c r="H2264" s="575"/>
      <c r="I2264" s="575"/>
      <c r="J2264" s="575"/>
      <c r="K2264" s="575"/>
    </row>
    <row r="2265" spans="1:11" x14ac:dyDescent="0.2">
      <c r="A2265" s="583"/>
      <c r="B2265" s="640"/>
      <c r="F2265" s="575"/>
      <c r="G2265" s="575"/>
      <c r="H2265" s="575"/>
      <c r="I2265" s="575"/>
      <c r="J2265" s="575"/>
      <c r="K2265" s="575"/>
    </row>
    <row r="2266" spans="1:11" x14ac:dyDescent="0.2">
      <c r="A2266" s="583"/>
      <c r="B2266" s="640"/>
      <c r="F2266" s="575"/>
      <c r="G2266" s="575"/>
      <c r="H2266" s="575"/>
      <c r="I2266" s="575"/>
      <c r="J2266" s="575"/>
      <c r="K2266" s="575"/>
    </row>
    <row r="2267" spans="1:11" x14ac:dyDescent="0.2">
      <c r="A2267" s="583"/>
      <c r="B2267" s="640"/>
      <c r="F2267" s="575"/>
      <c r="G2267" s="575"/>
      <c r="H2267" s="575"/>
      <c r="I2267" s="575"/>
      <c r="J2267" s="575"/>
      <c r="K2267" s="575"/>
    </row>
    <row r="2268" spans="1:11" x14ac:dyDescent="0.2">
      <c r="A2268" s="583"/>
      <c r="B2268" s="640"/>
      <c r="F2268" s="575"/>
      <c r="G2268" s="575"/>
      <c r="H2268" s="575"/>
      <c r="I2268" s="575"/>
      <c r="J2268" s="575"/>
      <c r="K2268" s="575"/>
    </row>
    <row r="2269" spans="1:11" x14ac:dyDescent="0.2">
      <c r="A2269" s="583"/>
      <c r="B2269" s="640"/>
      <c r="F2269" s="575"/>
      <c r="G2269" s="575"/>
      <c r="H2269" s="575"/>
      <c r="I2269" s="575"/>
      <c r="J2269" s="575"/>
      <c r="K2269" s="575"/>
    </row>
    <row r="2270" spans="1:11" x14ac:dyDescent="0.2">
      <c r="A2270" s="583"/>
      <c r="B2270" s="640"/>
      <c r="F2270" s="575"/>
      <c r="G2270" s="575"/>
      <c r="H2270" s="575"/>
      <c r="I2270" s="575"/>
      <c r="J2270" s="575"/>
      <c r="K2270" s="575"/>
    </row>
    <row r="2271" spans="1:11" x14ac:dyDescent="0.2">
      <c r="A2271" s="583"/>
      <c r="B2271" s="640"/>
      <c r="F2271" s="575"/>
      <c r="G2271" s="575"/>
      <c r="H2271" s="575"/>
      <c r="I2271" s="575"/>
      <c r="J2271" s="575"/>
      <c r="K2271" s="575"/>
    </row>
    <row r="2272" spans="1:11" x14ac:dyDescent="0.2">
      <c r="A2272" s="583"/>
      <c r="B2272" s="640"/>
      <c r="F2272" s="575"/>
      <c r="G2272" s="575"/>
      <c r="H2272" s="575"/>
      <c r="I2272" s="575"/>
      <c r="J2272" s="575"/>
      <c r="K2272" s="575"/>
    </row>
    <row r="2273" spans="1:11" x14ac:dyDescent="0.2">
      <c r="A2273" s="583"/>
      <c r="B2273" s="640"/>
      <c r="F2273" s="575"/>
      <c r="G2273" s="575"/>
      <c r="H2273" s="575"/>
      <c r="I2273" s="575"/>
      <c r="J2273" s="575"/>
      <c r="K2273" s="575"/>
    </row>
    <row r="2274" spans="1:11" x14ac:dyDescent="0.2">
      <c r="A2274" s="583"/>
      <c r="B2274" s="640"/>
      <c r="F2274" s="575"/>
      <c r="G2274" s="575"/>
      <c r="H2274" s="575"/>
      <c r="I2274" s="575"/>
      <c r="J2274" s="575"/>
      <c r="K2274" s="575"/>
    </row>
    <row r="2275" spans="1:11" x14ac:dyDescent="0.2">
      <c r="A2275" s="583"/>
      <c r="B2275" s="640"/>
      <c r="F2275" s="575"/>
      <c r="G2275" s="575"/>
      <c r="H2275" s="575"/>
      <c r="I2275" s="575"/>
      <c r="J2275" s="575"/>
      <c r="K2275" s="575"/>
    </row>
    <row r="2276" spans="1:11" x14ac:dyDescent="0.2">
      <c r="A2276" s="583"/>
      <c r="B2276" s="640"/>
      <c r="F2276" s="575"/>
      <c r="G2276" s="575"/>
      <c r="H2276" s="575"/>
      <c r="I2276" s="575"/>
      <c r="J2276" s="575"/>
      <c r="K2276" s="575"/>
    </row>
    <row r="2277" spans="1:11" x14ac:dyDescent="0.2">
      <c r="A2277" s="583"/>
      <c r="B2277" s="640"/>
      <c r="F2277" s="575"/>
      <c r="G2277" s="575"/>
      <c r="H2277" s="575"/>
      <c r="I2277" s="575"/>
      <c r="J2277" s="575"/>
      <c r="K2277" s="575"/>
    </row>
    <row r="2278" spans="1:11" x14ac:dyDescent="0.2">
      <c r="A2278" s="583"/>
      <c r="B2278" s="640"/>
      <c r="F2278" s="575"/>
      <c r="G2278" s="575"/>
      <c r="H2278" s="575"/>
      <c r="I2278" s="575"/>
      <c r="J2278" s="575"/>
      <c r="K2278" s="575"/>
    </row>
    <row r="2279" spans="1:11" x14ac:dyDescent="0.2">
      <c r="A2279" s="583"/>
      <c r="B2279" s="640"/>
      <c r="F2279" s="575"/>
      <c r="G2279" s="575"/>
      <c r="H2279" s="575"/>
      <c r="I2279" s="575"/>
      <c r="J2279" s="575"/>
      <c r="K2279" s="575"/>
    </row>
    <row r="2280" spans="1:11" x14ac:dyDescent="0.2">
      <c r="A2280" s="583"/>
      <c r="B2280" s="640"/>
      <c r="F2280" s="575"/>
      <c r="G2280" s="575"/>
      <c r="H2280" s="575"/>
      <c r="I2280" s="575"/>
      <c r="J2280" s="575"/>
      <c r="K2280" s="575"/>
    </row>
    <row r="2281" spans="1:11" x14ac:dyDescent="0.2">
      <c r="A2281" s="583"/>
      <c r="B2281" s="640"/>
      <c r="F2281" s="575"/>
      <c r="G2281" s="575"/>
      <c r="H2281" s="575"/>
      <c r="I2281" s="575"/>
      <c r="J2281" s="575"/>
      <c r="K2281" s="575"/>
    </row>
    <row r="2282" spans="1:11" x14ac:dyDescent="0.2">
      <c r="A2282" s="583"/>
      <c r="B2282" s="640"/>
      <c r="F2282" s="575"/>
      <c r="G2282" s="575"/>
      <c r="H2282" s="575"/>
      <c r="I2282" s="575"/>
      <c r="J2282" s="575"/>
      <c r="K2282" s="575"/>
    </row>
    <row r="2283" spans="1:11" x14ac:dyDescent="0.2">
      <c r="A2283" s="583"/>
      <c r="B2283" s="640"/>
      <c r="F2283" s="575"/>
      <c r="G2283" s="575"/>
      <c r="H2283" s="575"/>
      <c r="I2283" s="575"/>
      <c r="J2283" s="575"/>
      <c r="K2283" s="575"/>
    </row>
    <row r="2284" spans="1:11" x14ac:dyDescent="0.2">
      <c r="A2284" s="583"/>
      <c r="B2284" s="640"/>
      <c r="F2284" s="575"/>
      <c r="G2284" s="575"/>
      <c r="H2284" s="575"/>
      <c r="I2284" s="575"/>
      <c r="J2284" s="575"/>
      <c r="K2284" s="575"/>
    </row>
    <row r="2285" spans="1:11" x14ac:dyDescent="0.2">
      <c r="A2285" s="583"/>
      <c r="B2285" s="640"/>
      <c r="F2285" s="575"/>
      <c r="G2285" s="575"/>
      <c r="H2285" s="575"/>
      <c r="I2285" s="575"/>
      <c r="J2285" s="575"/>
      <c r="K2285" s="575"/>
    </row>
    <row r="2286" spans="1:11" x14ac:dyDescent="0.2">
      <c r="A2286" s="583"/>
      <c r="B2286" s="640"/>
      <c r="F2286" s="575"/>
      <c r="G2286" s="575"/>
      <c r="H2286" s="575"/>
      <c r="I2286" s="575"/>
      <c r="J2286" s="575"/>
      <c r="K2286" s="575"/>
    </row>
    <row r="2287" spans="1:11" x14ac:dyDescent="0.2">
      <c r="A2287" s="583"/>
      <c r="B2287" s="640"/>
      <c r="F2287" s="575"/>
      <c r="G2287" s="575"/>
      <c r="H2287" s="575"/>
      <c r="I2287" s="575"/>
      <c r="J2287" s="575"/>
      <c r="K2287" s="575"/>
    </row>
    <row r="2288" spans="1:11" x14ac:dyDescent="0.2">
      <c r="A2288" s="583"/>
      <c r="B2288" s="640"/>
      <c r="F2288" s="575"/>
      <c r="G2288" s="575"/>
      <c r="H2288" s="575"/>
      <c r="I2288" s="575"/>
      <c r="J2288" s="575"/>
      <c r="K2288" s="575"/>
    </row>
    <row r="2289" spans="1:11" x14ac:dyDescent="0.2">
      <c r="A2289" s="583"/>
      <c r="B2289" s="640"/>
      <c r="F2289" s="575"/>
      <c r="G2289" s="575"/>
      <c r="H2289" s="575"/>
      <c r="I2289" s="575"/>
      <c r="J2289" s="575"/>
      <c r="K2289" s="575"/>
    </row>
    <row r="2290" spans="1:11" x14ac:dyDescent="0.2">
      <c r="A2290" s="583"/>
      <c r="B2290" s="640"/>
      <c r="F2290" s="575"/>
      <c r="G2290" s="575"/>
      <c r="H2290" s="575"/>
      <c r="I2290" s="575"/>
      <c r="J2290" s="575"/>
      <c r="K2290" s="575"/>
    </row>
    <row r="2291" spans="1:11" x14ac:dyDescent="0.2">
      <c r="A2291" s="583"/>
      <c r="B2291" s="640"/>
      <c r="F2291" s="575"/>
      <c r="G2291" s="575"/>
      <c r="H2291" s="575"/>
      <c r="I2291" s="575"/>
      <c r="J2291" s="575"/>
      <c r="K2291" s="575"/>
    </row>
    <row r="2292" spans="1:11" x14ac:dyDescent="0.2">
      <c r="A2292" s="583"/>
      <c r="B2292" s="640"/>
      <c r="F2292" s="575"/>
      <c r="G2292" s="575"/>
      <c r="H2292" s="575"/>
      <c r="I2292" s="575"/>
      <c r="J2292" s="575"/>
      <c r="K2292" s="575"/>
    </row>
    <row r="2293" spans="1:11" x14ac:dyDescent="0.2">
      <c r="A2293" s="583"/>
      <c r="B2293" s="640"/>
      <c r="F2293" s="575"/>
      <c r="G2293" s="575"/>
      <c r="H2293" s="575"/>
      <c r="I2293" s="575"/>
      <c r="J2293" s="575"/>
      <c r="K2293" s="575"/>
    </row>
    <row r="2294" spans="1:11" x14ac:dyDescent="0.2">
      <c r="A2294" s="583"/>
      <c r="B2294" s="640"/>
      <c r="F2294" s="575"/>
      <c r="G2294" s="575"/>
      <c r="H2294" s="575"/>
      <c r="I2294" s="575"/>
      <c r="J2294" s="575"/>
      <c r="K2294" s="575"/>
    </row>
    <row r="2295" spans="1:11" x14ac:dyDescent="0.2">
      <c r="A2295" s="583"/>
      <c r="B2295" s="640"/>
      <c r="F2295" s="575"/>
      <c r="G2295" s="575"/>
      <c r="H2295" s="575"/>
      <c r="I2295" s="575"/>
      <c r="J2295" s="575"/>
      <c r="K2295" s="575"/>
    </row>
    <row r="2296" spans="1:11" x14ac:dyDescent="0.2">
      <c r="A2296" s="583"/>
      <c r="B2296" s="640"/>
      <c r="F2296" s="575"/>
      <c r="G2296" s="575"/>
      <c r="H2296" s="575"/>
      <c r="I2296" s="575"/>
      <c r="J2296" s="575"/>
      <c r="K2296" s="575"/>
    </row>
    <row r="2297" spans="1:11" x14ac:dyDescent="0.2">
      <c r="A2297" s="583"/>
      <c r="B2297" s="640"/>
      <c r="F2297" s="575"/>
      <c r="G2297" s="575"/>
      <c r="H2297" s="575"/>
      <c r="I2297" s="575"/>
      <c r="J2297" s="575"/>
      <c r="K2297" s="575"/>
    </row>
    <row r="2298" spans="1:11" x14ac:dyDescent="0.2">
      <c r="A2298" s="583"/>
      <c r="B2298" s="640"/>
      <c r="F2298" s="575"/>
      <c r="G2298" s="575"/>
      <c r="H2298" s="575"/>
      <c r="I2298" s="575"/>
      <c r="J2298" s="575"/>
      <c r="K2298" s="575"/>
    </row>
    <row r="2299" spans="1:11" x14ac:dyDescent="0.2">
      <c r="A2299" s="583"/>
      <c r="B2299" s="640"/>
      <c r="F2299" s="575"/>
      <c r="G2299" s="575"/>
      <c r="H2299" s="575"/>
      <c r="I2299" s="575"/>
      <c r="J2299" s="575"/>
      <c r="K2299" s="575"/>
    </row>
    <row r="2300" spans="1:11" x14ac:dyDescent="0.2">
      <c r="A2300" s="583"/>
      <c r="B2300" s="640"/>
      <c r="F2300" s="575"/>
      <c r="G2300" s="575"/>
      <c r="H2300" s="575"/>
      <c r="I2300" s="575"/>
      <c r="J2300" s="575"/>
      <c r="K2300" s="575"/>
    </row>
    <row r="2301" spans="1:11" x14ac:dyDescent="0.2">
      <c r="A2301" s="583"/>
      <c r="B2301" s="640"/>
      <c r="F2301" s="575"/>
      <c r="G2301" s="575"/>
      <c r="H2301" s="575"/>
      <c r="I2301" s="575"/>
      <c r="J2301" s="575"/>
      <c r="K2301" s="575"/>
    </row>
    <row r="2302" spans="1:11" x14ac:dyDescent="0.2">
      <c r="A2302" s="583"/>
      <c r="B2302" s="640"/>
      <c r="F2302" s="575"/>
      <c r="G2302" s="575"/>
      <c r="H2302" s="575"/>
      <c r="I2302" s="575"/>
      <c r="J2302" s="575"/>
      <c r="K2302" s="575"/>
    </row>
    <row r="2303" spans="1:11" x14ac:dyDescent="0.2">
      <c r="A2303" s="583"/>
      <c r="B2303" s="640"/>
      <c r="F2303" s="575"/>
      <c r="G2303" s="575"/>
      <c r="H2303" s="575"/>
      <c r="I2303" s="575"/>
      <c r="J2303" s="575"/>
      <c r="K2303" s="575"/>
    </row>
    <row r="2304" spans="1:11" x14ac:dyDescent="0.2">
      <c r="A2304" s="583"/>
      <c r="B2304" s="640"/>
      <c r="F2304" s="575"/>
      <c r="G2304" s="575"/>
      <c r="H2304" s="575"/>
      <c r="I2304" s="575"/>
      <c r="J2304" s="575"/>
      <c r="K2304" s="575"/>
    </row>
    <row r="2305" spans="1:11" x14ac:dyDescent="0.2">
      <c r="A2305" s="583"/>
      <c r="B2305" s="640"/>
      <c r="F2305" s="575"/>
      <c r="G2305" s="575"/>
      <c r="H2305" s="575"/>
      <c r="I2305" s="575"/>
      <c r="J2305" s="575"/>
      <c r="K2305" s="575"/>
    </row>
    <row r="2306" spans="1:11" x14ac:dyDescent="0.2">
      <c r="A2306" s="583"/>
      <c r="B2306" s="640"/>
      <c r="F2306" s="575"/>
      <c r="G2306" s="575"/>
      <c r="H2306" s="575"/>
      <c r="I2306" s="575"/>
      <c r="J2306" s="575"/>
      <c r="K2306" s="575"/>
    </row>
    <row r="2307" spans="1:11" x14ac:dyDescent="0.2">
      <c r="A2307" s="583"/>
      <c r="B2307" s="640"/>
      <c r="F2307" s="575"/>
      <c r="G2307" s="575"/>
      <c r="H2307" s="575"/>
      <c r="I2307" s="575"/>
      <c r="J2307" s="575"/>
      <c r="K2307" s="575"/>
    </row>
    <row r="2308" spans="1:11" x14ac:dyDescent="0.2">
      <c r="A2308" s="583"/>
      <c r="B2308" s="640"/>
      <c r="F2308" s="575"/>
      <c r="G2308" s="575"/>
      <c r="H2308" s="575"/>
      <c r="I2308" s="575"/>
      <c r="J2308" s="575"/>
      <c r="K2308" s="575"/>
    </row>
    <row r="2309" spans="1:11" x14ac:dyDescent="0.2">
      <c r="A2309" s="583"/>
      <c r="B2309" s="640"/>
      <c r="F2309" s="575"/>
      <c r="G2309" s="575"/>
      <c r="H2309" s="575"/>
      <c r="I2309" s="575"/>
      <c r="J2309" s="575"/>
      <c r="K2309" s="575"/>
    </row>
    <row r="2310" spans="1:11" x14ac:dyDescent="0.2">
      <c r="A2310" s="583"/>
      <c r="B2310" s="640"/>
      <c r="F2310" s="575"/>
      <c r="G2310" s="575"/>
      <c r="H2310" s="575"/>
      <c r="I2310" s="575"/>
      <c r="J2310" s="575"/>
      <c r="K2310" s="575"/>
    </row>
    <row r="2311" spans="1:11" x14ac:dyDescent="0.2">
      <c r="A2311" s="583"/>
      <c r="B2311" s="640"/>
      <c r="F2311" s="575"/>
      <c r="G2311" s="575"/>
      <c r="H2311" s="575"/>
      <c r="I2311" s="575"/>
      <c r="J2311" s="575"/>
      <c r="K2311" s="575"/>
    </row>
    <row r="2312" spans="1:11" x14ac:dyDescent="0.2">
      <c r="A2312" s="583"/>
      <c r="B2312" s="640"/>
      <c r="F2312" s="575"/>
      <c r="G2312" s="575"/>
      <c r="H2312" s="575"/>
      <c r="I2312" s="575"/>
      <c r="J2312" s="575"/>
      <c r="K2312" s="575"/>
    </row>
    <row r="2313" spans="1:11" x14ac:dyDescent="0.2">
      <c r="A2313" s="583"/>
      <c r="B2313" s="640"/>
      <c r="F2313" s="575"/>
      <c r="G2313" s="575"/>
      <c r="H2313" s="575"/>
      <c r="I2313" s="575"/>
      <c r="J2313" s="575"/>
      <c r="K2313" s="575"/>
    </row>
    <row r="2314" spans="1:11" x14ac:dyDescent="0.2">
      <c r="A2314" s="583"/>
      <c r="B2314" s="640"/>
      <c r="F2314" s="575"/>
      <c r="G2314" s="575"/>
      <c r="H2314" s="575"/>
      <c r="I2314" s="575"/>
      <c r="J2314" s="575"/>
      <c r="K2314" s="575"/>
    </row>
    <row r="2315" spans="1:11" x14ac:dyDescent="0.2">
      <c r="A2315" s="583"/>
      <c r="B2315" s="640"/>
      <c r="F2315" s="575"/>
      <c r="G2315" s="575"/>
      <c r="H2315" s="575"/>
      <c r="I2315" s="575"/>
      <c r="J2315" s="575"/>
      <c r="K2315" s="575"/>
    </row>
    <row r="2316" spans="1:11" x14ac:dyDescent="0.2">
      <c r="A2316" s="583"/>
      <c r="B2316" s="640"/>
      <c r="F2316" s="575"/>
      <c r="G2316" s="575"/>
      <c r="H2316" s="575"/>
      <c r="I2316" s="575"/>
      <c r="J2316" s="575"/>
      <c r="K2316" s="575"/>
    </row>
    <row r="2317" spans="1:11" x14ac:dyDescent="0.2">
      <c r="A2317" s="583"/>
      <c r="B2317" s="640"/>
      <c r="F2317" s="575"/>
      <c r="G2317" s="575"/>
      <c r="H2317" s="575"/>
      <c r="I2317" s="575"/>
      <c r="J2317" s="575"/>
      <c r="K2317" s="575"/>
    </row>
    <row r="2318" spans="1:11" x14ac:dyDescent="0.2">
      <c r="A2318" s="583"/>
      <c r="B2318" s="640"/>
      <c r="F2318" s="575"/>
      <c r="G2318" s="575"/>
      <c r="H2318" s="575"/>
      <c r="I2318" s="575"/>
      <c r="J2318" s="575"/>
      <c r="K2318" s="575"/>
    </row>
    <row r="2319" spans="1:11" x14ac:dyDescent="0.2">
      <c r="A2319" s="583"/>
      <c r="B2319" s="640"/>
      <c r="F2319" s="575"/>
      <c r="G2319" s="575"/>
      <c r="H2319" s="575"/>
      <c r="I2319" s="575"/>
      <c r="J2319" s="575"/>
      <c r="K2319" s="575"/>
    </row>
    <row r="2320" spans="1:11" x14ac:dyDescent="0.2">
      <c r="A2320" s="583"/>
      <c r="B2320" s="640"/>
      <c r="F2320" s="575"/>
      <c r="G2320" s="575"/>
      <c r="H2320" s="575"/>
      <c r="I2320" s="575"/>
      <c r="J2320" s="575"/>
      <c r="K2320" s="575"/>
    </row>
    <row r="2321" spans="1:11" x14ac:dyDescent="0.2">
      <c r="A2321" s="583"/>
      <c r="B2321" s="640"/>
      <c r="F2321" s="575"/>
      <c r="G2321" s="575"/>
      <c r="H2321" s="575"/>
      <c r="I2321" s="575"/>
      <c r="J2321" s="575"/>
      <c r="K2321" s="575"/>
    </row>
    <row r="2322" spans="1:11" x14ac:dyDescent="0.2">
      <c r="A2322" s="583"/>
      <c r="B2322" s="640"/>
      <c r="F2322" s="575"/>
      <c r="G2322" s="575"/>
      <c r="H2322" s="575"/>
      <c r="I2322" s="575"/>
      <c r="J2322" s="575"/>
      <c r="K2322" s="575"/>
    </row>
    <row r="2323" spans="1:11" x14ac:dyDescent="0.2">
      <c r="A2323" s="583"/>
      <c r="B2323" s="640"/>
      <c r="F2323" s="575"/>
      <c r="G2323" s="575"/>
      <c r="H2323" s="575"/>
      <c r="I2323" s="575"/>
      <c r="J2323" s="575"/>
      <c r="K2323" s="575"/>
    </row>
    <row r="2324" spans="1:11" x14ac:dyDescent="0.2">
      <c r="A2324" s="583"/>
      <c r="B2324" s="640"/>
      <c r="F2324" s="575"/>
      <c r="G2324" s="575"/>
      <c r="H2324" s="575"/>
      <c r="I2324" s="575"/>
      <c r="J2324" s="575"/>
      <c r="K2324" s="575"/>
    </row>
    <row r="2325" spans="1:11" x14ac:dyDescent="0.2">
      <c r="A2325" s="583"/>
      <c r="B2325" s="640"/>
      <c r="F2325" s="575"/>
      <c r="G2325" s="575"/>
      <c r="H2325" s="575"/>
      <c r="I2325" s="575"/>
      <c r="J2325" s="575"/>
      <c r="K2325" s="575"/>
    </row>
    <row r="2326" spans="1:11" x14ac:dyDescent="0.2">
      <c r="A2326" s="583"/>
      <c r="B2326" s="640"/>
      <c r="F2326" s="575"/>
      <c r="G2326" s="575"/>
      <c r="H2326" s="575"/>
      <c r="I2326" s="575"/>
      <c r="J2326" s="575"/>
      <c r="K2326" s="575"/>
    </row>
    <row r="2327" spans="1:11" x14ac:dyDescent="0.2">
      <c r="A2327" s="583"/>
      <c r="B2327" s="640"/>
      <c r="F2327" s="575"/>
      <c r="G2327" s="575"/>
      <c r="H2327" s="575"/>
      <c r="I2327" s="575"/>
      <c r="J2327" s="575"/>
      <c r="K2327" s="575"/>
    </row>
    <row r="2328" spans="1:11" x14ac:dyDescent="0.2">
      <c r="A2328" s="583"/>
      <c r="B2328" s="640"/>
      <c r="F2328" s="575"/>
      <c r="G2328" s="575"/>
      <c r="H2328" s="575"/>
      <c r="I2328" s="575"/>
      <c r="J2328" s="575"/>
      <c r="K2328" s="575"/>
    </row>
    <row r="2329" spans="1:11" x14ac:dyDescent="0.2">
      <c r="A2329" s="583"/>
      <c r="B2329" s="640"/>
      <c r="F2329" s="575"/>
      <c r="G2329" s="575"/>
      <c r="H2329" s="575"/>
      <c r="I2329" s="575"/>
      <c r="J2329" s="575"/>
      <c r="K2329" s="575"/>
    </row>
    <row r="2330" spans="1:11" x14ac:dyDescent="0.2">
      <c r="A2330" s="583"/>
      <c r="B2330" s="640"/>
      <c r="F2330" s="575"/>
      <c r="G2330" s="575"/>
      <c r="H2330" s="575"/>
      <c r="I2330" s="575"/>
      <c r="J2330" s="575"/>
      <c r="K2330" s="575"/>
    </row>
    <row r="2331" spans="1:11" x14ac:dyDescent="0.2">
      <c r="A2331" s="583"/>
      <c r="B2331" s="640"/>
      <c r="F2331" s="575"/>
      <c r="G2331" s="575"/>
      <c r="H2331" s="575"/>
      <c r="I2331" s="575"/>
      <c r="J2331" s="575"/>
      <c r="K2331" s="575"/>
    </row>
    <row r="2332" spans="1:11" x14ac:dyDescent="0.2">
      <c r="A2332" s="583"/>
      <c r="B2332" s="640"/>
      <c r="F2332" s="575"/>
      <c r="G2332" s="575"/>
      <c r="H2332" s="575"/>
      <c r="I2332" s="575"/>
      <c r="J2332" s="575"/>
      <c r="K2332" s="575"/>
    </row>
    <row r="2333" spans="1:11" x14ac:dyDescent="0.2">
      <c r="A2333" s="583"/>
      <c r="B2333" s="640"/>
      <c r="F2333" s="575"/>
      <c r="G2333" s="575"/>
      <c r="H2333" s="575"/>
      <c r="I2333" s="575"/>
      <c r="J2333" s="575"/>
      <c r="K2333" s="575"/>
    </row>
    <row r="2334" spans="1:11" x14ac:dyDescent="0.2">
      <c r="A2334" s="583"/>
      <c r="B2334" s="640"/>
      <c r="F2334" s="575"/>
      <c r="G2334" s="575"/>
      <c r="H2334" s="575"/>
      <c r="I2334" s="575"/>
      <c r="J2334" s="575"/>
      <c r="K2334" s="575"/>
    </row>
    <row r="2335" spans="1:11" x14ac:dyDescent="0.2">
      <c r="A2335" s="583"/>
      <c r="B2335" s="640"/>
      <c r="F2335" s="575"/>
      <c r="G2335" s="575"/>
      <c r="H2335" s="575"/>
      <c r="I2335" s="575"/>
      <c r="J2335" s="575"/>
      <c r="K2335" s="575"/>
    </row>
    <row r="2336" spans="1:11" x14ac:dyDescent="0.2">
      <c r="A2336" s="583"/>
      <c r="B2336" s="640"/>
      <c r="F2336" s="575"/>
      <c r="G2336" s="575"/>
      <c r="H2336" s="575"/>
      <c r="I2336" s="575"/>
      <c r="J2336" s="575"/>
      <c r="K2336" s="575"/>
    </row>
    <row r="2337" spans="1:11" x14ac:dyDescent="0.2">
      <c r="A2337" s="583"/>
      <c r="B2337" s="640"/>
      <c r="F2337" s="575"/>
      <c r="G2337" s="575"/>
      <c r="H2337" s="575"/>
      <c r="I2337" s="575"/>
      <c r="J2337" s="575"/>
      <c r="K2337" s="575"/>
    </row>
    <row r="2338" spans="1:11" x14ac:dyDescent="0.2">
      <c r="A2338" s="583"/>
      <c r="B2338" s="640"/>
      <c r="F2338" s="575"/>
      <c r="G2338" s="575"/>
      <c r="H2338" s="575"/>
      <c r="I2338" s="575"/>
      <c r="J2338" s="575"/>
      <c r="K2338" s="575"/>
    </row>
    <row r="2339" spans="1:11" x14ac:dyDescent="0.2">
      <c r="A2339" s="583"/>
      <c r="B2339" s="640"/>
      <c r="F2339" s="575"/>
      <c r="G2339" s="575"/>
      <c r="H2339" s="575"/>
      <c r="I2339" s="575"/>
      <c r="J2339" s="575"/>
      <c r="K2339" s="575"/>
    </row>
    <row r="2340" spans="1:11" x14ac:dyDescent="0.2">
      <c r="A2340" s="583"/>
      <c r="B2340" s="640"/>
      <c r="F2340" s="575"/>
      <c r="G2340" s="575"/>
      <c r="H2340" s="575"/>
      <c r="I2340" s="575"/>
      <c r="J2340" s="575"/>
      <c r="K2340" s="575"/>
    </row>
    <row r="2341" spans="1:11" x14ac:dyDescent="0.2">
      <c r="A2341" s="583"/>
      <c r="B2341" s="640"/>
      <c r="F2341" s="575"/>
      <c r="G2341" s="575"/>
      <c r="H2341" s="575"/>
      <c r="I2341" s="575"/>
      <c r="J2341" s="575"/>
      <c r="K2341" s="575"/>
    </row>
    <row r="2342" spans="1:11" x14ac:dyDescent="0.2">
      <c r="A2342" s="583"/>
      <c r="B2342" s="640"/>
      <c r="F2342" s="575"/>
      <c r="G2342" s="575"/>
      <c r="H2342" s="575"/>
      <c r="I2342" s="575"/>
      <c r="J2342" s="575"/>
      <c r="K2342" s="575"/>
    </row>
    <row r="2343" spans="1:11" x14ac:dyDescent="0.2">
      <c r="A2343" s="583"/>
      <c r="B2343" s="640"/>
      <c r="F2343" s="575"/>
      <c r="G2343" s="575"/>
      <c r="H2343" s="575"/>
      <c r="I2343" s="575"/>
      <c r="J2343" s="575"/>
      <c r="K2343" s="575"/>
    </row>
    <row r="2344" spans="1:11" x14ac:dyDescent="0.2">
      <c r="A2344" s="583"/>
      <c r="B2344" s="640"/>
      <c r="F2344" s="575"/>
      <c r="G2344" s="575"/>
      <c r="H2344" s="575"/>
      <c r="I2344" s="575"/>
      <c r="J2344" s="575"/>
      <c r="K2344" s="575"/>
    </row>
    <row r="2345" spans="1:11" x14ac:dyDescent="0.2">
      <c r="A2345" s="583"/>
      <c r="B2345" s="640"/>
      <c r="F2345" s="575"/>
      <c r="G2345" s="575"/>
      <c r="H2345" s="575"/>
      <c r="I2345" s="575"/>
      <c r="J2345" s="575"/>
      <c r="K2345" s="575"/>
    </row>
    <row r="2346" spans="1:11" x14ac:dyDescent="0.2">
      <c r="A2346" s="583"/>
      <c r="B2346" s="640"/>
      <c r="F2346" s="575"/>
      <c r="G2346" s="575"/>
      <c r="H2346" s="575"/>
      <c r="I2346" s="575"/>
      <c r="J2346" s="575"/>
      <c r="K2346" s="575"/>
    </row>
    <row r="2347" spans="1:11" x14ac:dyDescent="0.2">
      <c r="A2347" s="583"/>
      <c r="B2347" s="640"/>
      <c r="F2347" s="575"/>
      <c r="G2347" s="575"/>
      <c r="H2347" s="575"/>
      <c r="I2347" s="575"/>
      <c r="J2347" s="575"/>
      <c r="K2347" s="575"/>
    </row>
    <row r="2348" spans="1:11" x14ac:dyDescent="0.2">
      <c r="A2348" s="583"/>
      <c r="B2348" s="640"/>
      <c r="F2348" s="575"/>
      <c r="G2348" s="575"/>
      <c r="H2348" s="575"/>
      <c r="I2348" s="575"/>
      <c r="J2348" s="575"/>
      <c r="K2348" s="575"/>
    </row>
    <row r="2349" spans="1:11" x14ac:dyDescent="0.2">
      <c r="A2349" s="583"/>
      <c r="B2349" s="640"/>
      <c r="F2349" s="575"/>
      <c r="G2349" s="575"/>
      <c r="H2349" s="575"/>
      <c r="I2349" s="575"/>
      <c r="J2349" s="575"/>
      <c r="K2349" s="575"/>
    </row>
    <row r="2350" spans="1:11" x14ac:dyDescent="0.2">
      <c r="A2350" s="583"/>
      <c r="B2350" s="640"/>
      <c r="F2350" s="575"/>
      <c r="G2350" s="575"/>
      <c r="H2350" s="575"/>
      <c r="I2350" s="575"/>
      <c r="J2350" s="575"/>
      <c r="K2350" s="575"/>
    </row>
    <row r="2351" spans="1:11" x14ac:dyDescent="0.2">
      <c r="A2351" s="583"/>
      <c r="B2351" s="640"/>
      <c r="F2351" s="575"/>
      <c r="G2351" s="575"/>
      <c r="H2351" s="575"/>
      <c r="I2351" s="575"/>
      <c r="J2351" s="575"/>
      <c r="K2351" s="575"/>
    </row>
    <row r="2352" spans="1:11" x14ac:dyDescent="0.2">
      <c r="A2352" s="583"/>
      <c r="B2352" s="640"/>
      <c r="F2352" s="575"/>
      <c r="G2352" s="575"/>
      <c r="H2352" s="575"/>
      <c r="I2352" s="575"/>
      <c r="J2352" s="575"/>
      <c r="K2352" s="575"/>
    </row>
    <row r="2353" spans="1:11" x14ac:dyDescent="0.2">
      <c r="A2353" s="583"/>
      <c r="B2353" s="640"/>
      <c r="F2353" s="575"/>
      <c r="G2353" s="575"/>
      <c r="H2353" s="575"/>
      <c r="I2353" s="575"/>
      <c r="J2353" s="575"/>
      <c r="K2353" s="575"/>
    </row>
    <row r="2354" spans="1:11" x14ac:dyDescent="0.2">
      <c r="A2354" s="583"/>
      <c r="B2354" s="640"/>
      <c r="F2354" s="575"/>
      <c r="G2354" s="575"/>
      <c r="H2354" s="575"/>
      <c r="I2354" s="575"/>
      <c r="J2354" s="575"/>
      <c r="K2354" s="575"/>
    </row>
    <row r="2355" spans="1:11" x14ac:dyDescent="0.2">
      <c r="A2355" s="583"/>
      <c r="B2355" s="640"/>
      <c r="F2355" s="575"/>
      <c r="G2355" s="575"/>
      <c r="H2355" s="575"/>
      <c r="I2355" s="575"/>
      <c r="J2355" s="575"/>
      <c r="K2355" s="575"/>
    </row>
    <row r="2356" spans="1:11" x14ac:dyDescent="0.2">
      <c r="A2356" s="583"/>
      <c r="B2356" s="640"/>
      <c r="F2356" s="575"/>
      <c r="G2356" s="575"/>
      <c r="H2356" s="575"/>
      <c r="I2356" s="575"/>
      <c r="J2356" s="575"/>
      <c r="K2356" s="575"/>
    </row>
    <row r="2357" spans="1:11" x14ac:dyDescent="0.2">
      <c r="A2357" s="583"/>
      <c r="B2357" s="640"/>
      <c r="F2357" s="575"/>
      <c r="G2357" s="575"/>
      <c r="H2357" s="575"/>
      <c r="I2357" s="575"/>
      <c r="J2357" s="575"/>
      <c r="K2357" s="575"/>
    </row>
    <row r="2358" spans="1:11" x14ac:dyDescent="0.2">
      <c r="A2358" s="583"/>
      <c r="B2358" s="640"/>
      <c r="F2358" s="575"/>
      <c r="G2358" s="575"/>
      <c r="H2358" s="575"/>
      <c r="I2358" s="575"/>
      <c r="J2358" s="575"/>
      <c r="K2358" s="575"/>
    </row>
    <row r="2359" spans="1:11" x14ac:dyDescent="0.2">
      <c r="A2359" s="583"/>
      <c r="B2359" s="640"/>
      <c r="F2359" s="575"/>
      <c r="G2359" s="575"/>
      <c r="H2359" s="575"/>
      <c r="I2359" s="575"/>
      <c r="J2359" s="575"/>
      <c r="K2359" s="575"/>
    </row>
    <row r="2360" spans="1:11" x14ac:dyDescent="0.2">
      <c r="A2360" s="583"/>
      <c r="B2360" s="640"/>
      <c r="F2360" s="575"/>
      <c r="G2360" s="575"/>
      <c r="H2360" s="575"/>
      <c r="I2360" s="575"/>
      <c r="J2360" s="575"/>
      <c r="K2360" s="575"/>
    </row>
    <row r="2361" spans="1:11" x14ac:dyDescent="0.2">
      <c r="A2361" s="583"/>
      <c r="B2361" s="640"/>
      <c r="F2361" s="575"/>
      <c r="G2361" s="575"/>
      <c r="H2361" s="575"/>
      <c r="I2361" s="575"/>
      <c r="J2361" s="575"/>
      <c r="K2361" s="575"/>
    </row>
    <row r="2362" spans="1:11" x14ac:dyDescent="0.2">
      <c r="A2362" s="583"/>
      <c r="B2362" s="640"/>
      <c r="F2362" s="575"/>
      <c r="G2362" s="575"/>
      <c r="H2362" s="575"/>
      <c r="I2362" s="575"/>
      <c r="J2362" s="575"/>
      <c r="K2362" s="575"/>
    </row>
    <row r="2363" spans="1:11" x14ac:dyDescent="0.2">
      <c r="A2363" s="583"/>
      <c r="B2363" s="640"/>
      <c r="F2363" s="575"/>
      <c r="G2363" s="575"/>
      <c r="H2363" s="575"/>
      <c r="I2363" s="575"/>
      <c r="J2363" s="575"/>
      <c r="K2363" s="575"/>
    </row>
    <row r="2364" spans="1:11" x14ac:dyDescent="0.2">
      <c r="A2364" s="583"/>
      <c r="B2364" s="640"/>
      <c r="F2364" s="575"/>
      <c r="G2364" s="575"/>
      <c r="H2364" s="575"/>
      <c r="I2364" s="575"/>
      <c r="J2364" s="575"/>
      <c r="K2364" s="575"/>
    </row>
    <row r="2365" spans="1:11" x14ac:dyDescent="0.2">
      <c r="A2365" s="583"/>
      <c r="B2365" s="640"/>
      <c r="F2365" s="575"/>
      <c r="G2365" s="575"/>
      <c r="H2365" s="575"/>
      <c r="I2365" s="575"/>
      <c r="J2365" s="575"/>
      <c r="K2365" s="575"/>
    </row>
    <row r="2366" spans="1:11" x14ac:dyDescent="0.2">
      <c r="A2366" s="583"/>
      <c r="B2366" s="640"/>
      <c r="F2366" s="575"/>
      <c r="G2366" s="575"/>
      <c r="H2366" s="575"/>
      <c r="I2366" s="575"/>
      <c r="J2366" s="575"/>
      <c r="K2366" s="575"/>
    </row>
    <row r="2367" spans="1:11" x14ac:dyDescent="0.2">
      <c r="A2367" s="583"/>
      <c r="B2367" s="640"/>
      <c r="F2367" s="575"/>
      <c r="G2367" s="575"/>
      <c r="H2367" s="575"/>
      <c r="I2367" s="575"/>
      <c r="J2367" s="575"/>
      <c r="K2367" s="575"/>
    </row>
    <row r="2368" spans="1:11" x14ac:dyDescent="0.2">
      <c r="A2368" s="583"/>
      <c r="B2368" s="640"/>
      <c r="F2368" s="575"/>
      <c r="G2368" s="575"/>
      <c r="H2368" s="575"/>
      <c r="I2368" s="575"/>
      <c r="J2368" s="575"/>
      <c r="K2368" s="575"/>
    </row>
    <row r="2369" spans="1:11" x14ac:dyDescent="0.2">
      <c r="A2369" s="583"/>
      <c r="B2369" s="640"/>
      <c r="F2369" s="575"/>
      <c r="G2369" s="575"/>
      <c r="H2369" s="575"/>
      <c r="I2369" s="575"/>
      <c r="J2369" s="575"/>
      <c r="K2369" s="575"/>
    </row>
    <row r="2370" spans="1:11" x14ac:dyDescent="0.2">
      <c r="A2370" s="583"/>
      <c r="B2370" s="640"/>
      <c r="F2370" s="575"/>
      <c r="G2370" s="575"/>
      <c r="H2370" s="575"/>
      <c r="I2370" s="575"/>
      <c r="J2370" s="575"/>
      <c r="K2370" s="575"/>
    </row>
    <row r="2371" spans="1:11" x14ac:dyDescent="0.2">
      <c r="A2371" s="583"/>
      <c r="B2371" s="640"/>
      <c r="F2371" s="575"/>
      <c r="G2371" s="575"/>
      <c r="H2371" s="575"/>
      <c r="I2371" s="575"/>
      <c r="J2371" s="575"/>
      <c r="K2371" s="575"/>
    </row>
    <row r="2372" spans="1:11" x14ac:dyDescent="0.2">
      <c r="A2372" s="583"/>
      <c r="B2372" s="640"/>
      <c r="F2372" s="575"/>
      <c r="G2372" s="575"/>
      <c r="H2372" s="575"/>
      <c r="I2372" s="575"/>
      <c r="J2372" s="575"/>
      <c r="K2372" s="575"/>
    </row>
    <row r="2373" spans="1:11" x14ac:dyDescent="0.2">
      <c r="A2373" s="583"/>
      <c r="B2373" s="640"/>
      <c r="F2373" s="575"/>
      <c r="G2373" s="575"/>
      <c r="H2373" s="575"/>
      <c r="I2373" s="575"/>
      <c r="J2373" s="575"/>
      <c r="K2373" s="575"/>
    </row>
    <row r="2374" spans="1:11" x14ac:dyDescent="0.2">
      <c r="A2374" s="583"/>
      <c r="B2374" s="640"/>
      <c r="F2374" s="575"/>
      <c r="G2374" s="575"/>
      <c r="H2374" s="575"/>
      <c r="I2374" s="575"/>
      <c r="J2374" s="575"/>
      <c r="K2374" s="575"/>
    </row>
    <row r="2375" spans="1:11" x14ac:dyDescent="0.2">
      <c r="A2375" s="583"/>
      <c r="B2375" s="640"/>
      <c r="F2375" s="575"/>
      <c r="G2375" s="575"/>
      <c r="H2375" s="575"/>
      <c r="I2375" s="575"/>
      <c r="J2375" s="575"/>
      <c r="K2375" s="575"/>
    </row>
    <row r="2376" spans="1:11" x14ac:dyDescent="0.2">
      <c r="A2376" s="583"/>
      <c r="B2376" s="640"/>
      <c r="F2376" s="575"/>
      <c r="G2376" s="575"/>
      <c r="H2376" s="575"/>
      <c r="I2376" s="575"/>
      <c r="J2376" s="575"/>
      <c r="K2376" s="575"/>
    </row>
    <row r="2377" spans="1:11" x14ac:dyDescent="0.2">
      <c r="A2377" s="583"/>
      <c r="B2377" s="640"/>
      <c r="F2377" s="575"/>
      <c r="G2377" s="575"/>
      <c r="H2377" s="575"/>
      <c r="I2377" s="575"/>
      <c r="J2377" s="575"/>
      <c r="K2377" s="575"/>
    </row>
    <row r="2378" spans="1:11" x14ac:dyDescent="0.2">
      <c r="A2378" s="583"/>
      <c r="B2378" s="640"/>
      <c r="F2378" s="575"/>
      <c r="G2378" s="575"/>
      <c r="H2378" s="575"/>
      <c r="I2378" s="575"/>
      <c r="J2378" s="575"/>
      <c r="K2378" s="575"/>
    </row>
    <row r="2379" spans="1:11" x14ac:dyDescent="0.2">
      <c r="A2379" s="583"/>
      <c r="B2379" s="640"/>
      <c r="F2379" s="575"/>
      <c r="G2379" s="575"/>
      <c r="H2379" s="575"/>
      <c r="I2379" s="575"/>
      <c r="J2379" s="575"/>
      <c r="K2379" s="575"/>
    </row>
    <row r="2380" spans="1:11" x14ac:dyDescent="0.2">
      <c r="A2380" s="583"/>
      <c r="B2380" s="640"/>
      <c r="F2380" s="575"/>
      <c r="G2380" s="575"/>
      <c r="H2380" s="575"/>
      <c r="I2380" s="575"/>
      <c r="J2380" s="575"/>
      <c r="K2380" s="575"/>
    </row>
    <row r="2381" spans="1:11" x14ac:dyDescent="0.2">
      <c r="A2381" s="583"/>
      <c r="B2381" s="640"/>
      <c r="F2381" s="575"/>
      <c r="G2381" s="575"/>
      <c r="H2381" s="575"/>
      <c r="I2381" s="575"/>
      <c r="J2381" s="575"/>
      <c r="K2381" s="575"/>
    </row>
    <row r="2382" spans="1:11" x14ac:dyDescent="0.2">
      <c r="A2382" s="583"/>
      <c r="B2382" s="640"/>
      <c r="F2382" s="575"/>
      <c r="G2382" s="575"/>
      <c r="H2382" s="575"/>
      <c r="I2382" s="575"/>
      <c r="J2382" s="575"/>
      <c r="K2382" s="575"/>
    </row>
    <row r="2383" spans="1:11" x14ac:dyDescent="0.2">
      <c r="A2383" s="583"/>
      <c r="B2383" s="640"/>
      <c r="F2383" s="575"/>
      <c r="G2383" s="575"/>
      <c r="H2383" s="575"/>
      <c r="I2383" s="575"/>
      <c r="J2383" s="575"/>
      <c r="K2383" s="575"/>
    </row>
    <row r="2384" spans="1:11" x14ac:dyDescent="0.2">
      <c r="A2384" s="583"/>
      <c r="B2384" s="640"/>
      <c r="F2384" s="575"/>
      <c r="G2384" s="575"/>
      <c r="H2384" s="575"/>
      <c r="I2384" s="575"/>
      <c r="J2384" s="575"/>
      <c r="K2384" s="575"/>
    </row>
    <row r="2385" spans="1:11" x14ac:dyDescent="0.2">
      <c r="A2385" s="583"/>
      <c r="B2385" s="640"/>
      <c r="F2385" s="575"/>
      <c r="G2385" s="575"/>
      <c r="H2385" s="575"/>
      <c r="I2385" s="575"/>
      <c r="J2385" s="575"/>
      <c r="K2385" s="575"/>
    </row>
    <row r="2386" spans="1:11" x14ac:dyDescent="0.2">
      <c r="A2386" s="583"/>
      <c r="B2386" s="640"/>
      <c r="F2386" s="575"/>
      <c r="G2386" s="575"/>
      <c r="H2386" s="575"/>
      <c r="I2386" s="575"/>
      <c r="J2386" s="575"/>
      <c r="K2386" s="575"/>
    </row>
    <row r="2387" spans="1:11" x14ac:dyDescent="0.2">
      <c r="A2387" s="583"/>
      <c r="B2387" s="640"/>
      <c r="F2387" s="575"/>
      <c r="G2387" s="575"/>
      <c r="H2387" s="575"/>
      <c r="I2387" s="575"/>
      <c r="J2387" s="575"/>
      <c r="K2387" s="575"/>
    </row>
    <row r="2388" spans="1:11" x14ac:dyDescent="0.2">
      <c r="A2388" s="583"/>
      <c r="B2388" s="640"/>
      <c r="F2388" s="575"/>
      <c r="G2388" s="575"/>
      <c r="H2388" s="575"/>
      <c r="I2388" s="575"/>
      <c r="J2388" s="575"/>
      <c r="K2388" s="575"/>
    </row>
    <row r="2389" spans="1:11" x14ac:dyDescent="0.2">
      <c r="A2389" s="583"/>
      <c r="B2389" s="640"/>
      <c r="F2389" s="575"/>
      <c r="G2389" s="575"/>
      <c r="H2389" s="575"/>
      <c r="I2389" s="575"/>
      <c r="J2389" s="575"/>
      <c r="K2389" s="575"/>
    </row>
    <row r="2390" spans="1:11" x14ac:dyDescent="0.2">
      <c r="A2390" s="583"/>
      <c r="B2390" s="640"/>
      <c r="F2390" s="575"/>
      <c r="G2390" s="575"/>
      <c r="H2390" s="575"/>
      <c r="I2390" s="575"/>
      <c r="J2390" s="575"/>
      <c r="K2390" s="575"/>
    </row>
    <row r="2391" spans="1:11" x14ac:dyDescent="0.2">
      <c r="A2391" s="583"/>
      <c r="B2391" s="640"/>
      <c r="F2391" s="575"/>
      <c r="G2391" s="575"/>
      <c r="H2391" s="575"/>
      <c r="I2391" s="575"/>
      <c r="J2391" s="575"/>
      <c r="K2391" s="575"/>
    </row>
    <row r="2392" spans="1:11" x14ac:dyDescent="0.2">
      <c r="A2392" s="583"/>
      <c r="B2392" s="640"/>
      <c r="F2392" s="575"/>
      <c r="G2392" s="575"/>
      <c r="H2392" s="575"/>
      <c r="I2392" s="575"/>
      <c r="J2392" s="575"/>
      <c r="K2392" s="575"/>
    </row>
    <row r="2393" spans="1:11" x14ac:dyDescent="0.2">
      <c r="A2393" s="583"/>
      <c r="B2393" s="640"/>
      <c r="F2393" s="575"/>
      <c r="G2393" s="575"/>
      <c r="H2393" s="575"/>
      <c r="I2393" s="575"/>
      <c r="J2393" s="575"/>
      <c r="K2393" s="575"/>
    </row>
    <row r="2394" spans="1:11" x14ac:dyDescent="0.2">
      <c r="A2394" s="583"/>
      <c r="B2394" s="640"/>
      <c r="F2394" s="575"/>
      <c r="G2394" s="575"/>
      <c r="H2394" s="575"/>
      <c r="I2394" s="575"/>
      <c r="J2394" s="575"/>
      <c r="K2394" s="575"/>
    </row>
    <row r="2395" spans="1:11" x14ac:dyDescent="0.2">
      <c r="A2395" s="583"/>
      <c r="B2395" s="640"/>
      <c r="F2395" s="575"/>
      <c r="G2395" s="575"/>
      <c r="H2395" s="575"/>
      <c r="I2395" s="575"/>
      <c r="J2395" s="575"/>
      <c r="K2395" s="575"/>
    </row>
    <row r="2396" spans="1:11" x14ac:dyDescent="0.2">
      <c r="A2396" s="583"/>
      <c r="B2396" s="640"/>
      <c r="F2396" s="575"/>
      <c r="G2396" s="575"/>
      <c r="H2396" s="575"/>
      <c r="I2396" s="575"/>
      <c r="J2396" s="575"/>
      <c r="K2396" s="575"/>
    </row>
    <row r="2397" spans="1:11" x14ac:dyDescent="0.2">
      <c r="A2397" s="583"/>
      <c r="B2397" s="640"/>
      <c r="F2397" s="575"/>
      <c r="G2397" s="575"/>
      <c r="H2397" s="575"/>
      <c r="I2397" s="575"/>
      <c r="J2397" s="575"/>
      <c r="K2397" s="575"/>
    </row>
    <row r="2398" spans="1:11" x14ac:dyDescent="0.2">
      <c r="A2398" s="583"/>
      <c r="B2398" s="640"/>
      <c r="F2398" s="575"/>
      <c r="G2398" s="575"/>
      <c r="H2398" s="575"/>
      <c r="I2398" s="575"/>
      <c r="J2398" s="575"/>
      <c r="K2398" s="575"/>
    </row>
    <row r="2399" spans="1:11" x14ac:dyDescent="0.2">
      <c r="A2399" s="583"/>
      <c r="B2399" s="640"/>
      <c r="F2399" s="575"/>
      <c r="G2399" s="575"/>
      <c r="H2399" s="575"/>
      <c r="I2399" s="575"/>
      <c r="J2399" s="575"/>
      <c r="K2399" s="575"/>
    </row>
    <row r="2400" spans="1:11" x14ac:dyDescent="0.2">
      <c r="A2400" s="583"/>
      <c r="B2400" s="640"/>
      <c r="F2400" s="575"/>
      <c r="G2400" s="575"/>
      <c r="H2400" s="575"/>
      <c r="I2400" s="575"/>
      <c r="J2400" s="575"/>
      <c r="K2400" s="575"/>
    </row>
    <row r="2401" spans="1:11" x14ac:dyDescent="0.2">
      <c r="A2401" s="583"/>
      <c r="B2401" s="640"/>
      <c r="F2401" s="575"/>
      <c r="G2401" s="575"/>
      <c r="H2401" s="575"/>
      <c r="I2401" s="575"/>
      <c r="J2401" s="575"/>
      <c r="K2401" s="575"/>
    </row>
    <row r="2402" spans="1:11" x14ac:dyDescent="0.2">
      <c r="A2402" s="583"/>
      <c r="B2402" s="640"/>
      <c r="F2402" s="575"/>
      <c r="G2402" s="575"/>
      <c r="H2402" s="575"/>
      <c r="I2402" s="575"/>
      <c r="J2402" s="575"/>
      <c r="K2402" s="575"/>
    </row>
    <row r="2403" spans="1:11" x14ac:dyDescent="0.2">
      <c r="A2403" s="583"/>
      <c r="B2403" s="640"/>
      <c r="F2403" s="575"/>
      <c r="G2403" s="575"/>
      <c r="H2403" s="575"/>
      <c r="I2403" s="575"/>
      <c r="J2403" s="575"/>
      <c r="K2403" s="575"/>
    </row>
    <row r="2404" spans="1:11" x14ac:dyDescent="0.2">
      <c r="A2404" s="583"/>
      <c r="B2404" s="640"/>
      <c r="F2404" s="575"/>
      <c r="G2404" s="575"/>
      <c r="H2404" s="575"/>
      <c r="I2404" s="575"/>
      <c r="J2404" s="575"/>
      <c r="K2404" s="575"/>
    </row>
    <row r="2405" spans="1:11" x14ac:dyDescent="0.2">
      <c r="A2405" s="583"/>
      <c r="B2405" s="640"/>
      <c r="F2405" s="575"/>
      <c r="G2405" s="575"/>
      <c r="H2405" s="575"/>
      <c r="I2405" s="575"/>
      <c r="J2405" s="575"/>
      <c r="K2405" s="575"/>
    </row>
    <row r="2406" spans="1:11" x14ac:dyDescent="0.2">
      <c r="A2406" s="583"/>
      <c r="B2406" s="640"/>
      <c r="F2406" s="575"/>
      <c r="G2406" s="575"/>
      <c r="H2406" s="575"/>
      <c r="I2406" s="575"/>
      <c r="J2406" s="575"/>
      <c r="K2406" s="575"/>
    </row>
    <row r="2407" spans="1:11" x14ac:dyDescent="0.2">
      <c r="A2407" s="583"/>
      <c r="B2407" s="640"/>
      <c r="F2407" s="575"/>
      <c r="G2407" s="575"/>
      <c r="H2407" s="575"/>
      <c r="I2407" s="575"/>
      <c r="J2407" s="575"/>
      <c r="K2407" s="575"/>
    </row>
    <row r="2408" spans="1:11" x14ac:dyDescent="0.2">
      <c r="A2408" s="583"/>
      <c r="B2408" s="640"/>
      <c r="F2408" s="575"/>
      <c r="G2408" s="575"/>
      <c r="H2408" s="575"/>
      <c r="I2408" s="575"/>
      <c r="J2408" s="575"/>
      <c r="K2408" s="575"/>
    </row>
    <row r="2409" spans="1:11" x14ac:dyDescent="0.2">
      <c r="A2409" s="583"/>
      <c r="B2409" s="640"/>
      <c r="F2409" s="575"/>
      <c r="G2409" s="575"/>
      <c r="H2409" s="575"/>
      <c r="I2409" s="575"/>
      <c r="J2409" s="575"/>
      <c r="K2409" s="575"/>
    </row>
    <row r="2410" spans="1:11" x14ac:dyDescent="0.2">
      <c r="A2410" s="583"/>
      <c r="B2410" s="640"/>
      <c r="F2410" s="575"/>
      <c r="G2410" s="575"/>
      <c r="H2410" s="575"/>
      <c r="I2410" s="575"/>
      <c r="J2410" s="575"/>
      <c r="K2410" s="575"/>
    </row>
    <row r="2411" spans="1:11" x14ac:dyDescent="0.2">
      <c r="A2411" s="583"/>
      <c r="B2411" s="640"/>
      <c r="F2411" s="575"/>
      <c r="G2411" s="575"/>
      <c r="H2411" s="575"/>
      <c r="I2411" s="575"/>
      <c r="J2411" s="575"/>
      <c r="K2411" s="575"/>
    </row>
    <row r="2412" spans="1:11" x14ac:dyDescent="0.2">
      <c r="A2412" s="583"/>
      <c r="B2412" s="640"/>
      <c r="F2412" s="575"/>
      <c r="G2412" s="575"/>
      <c r="H2412" s="575"/>
      <c r="I2412" s="575"/>
      <c r="J2412" s="575"/>
      <c r="K2412" s="575"/>
    </row>
    <row r="2413" spans="1:11" x14ac:dyDescent="0.2">
      <c r="A2413" s="583"/>
      <c r="B2413" s="640"/>
      <c r="F2413" s="575"/>
      <c r="G2413" s="575"/>
      <c r="H2413" s="575"/>
      <c r="I2413" s="575"/>
      <c r="J2413" s="575"/>
      <c r="K2413" s="575"/>
    </row>
    <row r="2414" spans="1:11" x14ac:dyDescent="0.2">
      <c r="A2414" s="583"/>
      <c r="B2414" s="640"/>
      <c r="F2414" s="575"/>
      <c r="G2414" s="575"/>
      <c r="H2414" s="575"/>
      <c r="I2414" s="575"/>
      <c r="J2414" s="575"/>
      <c r="K2414" s="575"/>
    </row>
    <row r="2415" spans="1:11" x14ac:dyDescent="0.2">
      <c r="A2415" s="583"/>
      <c r="B2415" s="640"/>
      <c r="F2415" s="575"/>
      <c r="G2415" s="575"/>
      <c r="H2415" s="575"/>
      <c r="I2415" s="575"/>
      <c r="J2415" s="575"/>
      <c r="K2415" s="575"/>
    </row>
    <row r="2416" spans="1:11" x14ac:dyDescent="0.2">
      <c r="A2416" s="583"/>
      <c r="B2416" s="640"/>
      <c r="F2416" s="575"/>
      <c r="G2416" s="575"/>
      <c r="H2416" s="575"/>
      <c r="I2416" s="575"/>
      <c r="J2416" s="575"/>
      <c r="K2416" s="575"/>
    </row>
    <row r="2417" spans="1:11" x14ac:dyDescent="0.2">
      <c r="A2417" s="583"/>
      <c r="B2417" s="640"/>
      <c r="F2417" s="575"/>
      <c r="G2417" s="575"/>
      <c r="H2417" s="575"/>
      <c r="I2417" s="575"/>
      <c r="J2417" s="575"/>
      <c r="K2417" s="575"/>
    </row>
    <row r="2418" spans="1:11" x14ac:dyDescent="0.2">
      <c r="A2418" s="583"/>
      <c r="B2418" s="640"/>
      <c r="F2418" s="575"/>
      <c r="G2418" s="575"/>
      <c r="H2418" s="575"/>
      <c r="I2418" s="575"/>
      <c r="J2418" s="575"/>
      <c r="K2418" s="575"/>
    </row>
    <row r="2419" spans="1:11" x14ac:dyDescent="0.2">
      <c r="A2419" s="583"/>
      <c r="B2419" s="640"/>
      <c r="F2419" s="575"/>
      <c r="G2419" s="575"/>
      <c r="H2419" s="575"/>
      <c r="I2419" s="575"/>
      <c r="J2419" s="575"/>
      <c r="K2419" s="575"/>
    </row>
    <row r="2420" spans="1:11" x14ac:dyDescent="0.2">
      <c r="A2420" s="583"/>
      <c r="B2420" s="640"/>
      <c r="F2420" s="575"/>
      <c r="G2420" s="575"/>
      <c r="H2420" s="575"/>
      <c r="I2420" s="575"/>
      <c r="J2420" s="575"/>
      <c r="K2420" s="575"/>
    </row>
    <row r="2421" spans="1:11" x14ac:dyDescent="0.2">
      <c r="A2421" s="583"/>
      <c r="B2421" s="640"/>
      <c r="F2421" s="575"/>
      <c r="G2421" s="575"/>
      <c r="H2421" s="575"/>
      <c r="I2421" s="575"/>
      <c r="J2421" s="575"/>
      <c r="K2421" s="575"/>
    </row>
    <row r="2422" spans="1:11" x14ac:dyDescent="0.2">
      <c r="A2422" s="583"/>
      <c r="B2422" s="640"/>
      <c r="F2422" s="575"/>
      <c r="G2422" s="575"/>
      <c r="H2422" s="575"/>
      <c r="I2422" s="575"/>
      <c r="J2422" s="575"/>
      <c r="K2422" s="575"/>
    </row>
    <row r="2423" spans="1:11" x14ac:dyDescent="0.2">
      <c r="A2423" s="583"/>
      <c r="B2423" s="640"/>
      <c r="F2423" s="575"/>
      <c r="G2423" s="575"/>
      <c r="H2423" s="575"/>
      <c r="I2423" s="575"/>
      <c r="J2423" s="575"/>
      <c r="K2423" s="575"/>
    </row>
    <row r="2424" spans="1:11" x14ac:dyDescent="0.2">
      <c r="A2424" s="583"/>
      <c r="B2424" s="640"/>
      <c r="F2424" s="575"/>
      <c r="G2424" s="575"/>
      <c r="H2424" s="575"/>
      <c r="I2424" s="575"/>
      <c r="J2424" s="575"/>
      <c r="K2424" s="575"/>
    </row>
    <row r="2425" spans="1:11" x14ac:dyDescent="0.2">
      <c r="A2425" s="583"/>
      <c r="B2425" s="640"/>
      <c r="F2425" s="575"/>
      <c r="G2425" s="575"/>
      <c r="H2425" s="575"/>
      <c r="I2425" s="575"/>
      <c r="J2425" s="575"/>
      <c r="K2425" s="575"/>
    </row>
    <row r="2426" spans="1:11" x14ac:dyDescent="0.2">
      <c r="A2426" s="583"/>
      <c r="B2426" s="640"/>
      <c r="F2426" s="575"/>
      <c r="G2426" s="575"/>
      <c r="H2426" s="575"/>
      <c r="I2426" s="575"/>
      <c r="J2426" s="575"/>
      <c r="K2426" s="575"/>
    </row>
    <row r="2427" spans="1:11" x14ac:dyDescent="0.2">
      <c r="A2427" s="583"/>
      <c r="B2427" s="640"/>
      <c r="F2427" s="575"/>
      <c r="G2427" s="575"/>
      <c r="H2427" s="575"/>
      <c r="I2427" s="575"/>
      <c r="J2427" s="575"/>
      <c r="K2427" s="575"/>
    </row>
    <row r="2428" spans="1:11" x14ac:dyDescent="0.2">
      <c r="A2428" s="583"/>
      <c r="B2428" s="640"/>
      <c r="F2428" s="575"/>
      <c r="G2428" s="575"/>
      <c r="H2428" s="575"/>
      <c r="I2428" s="575"/>
      <c r="J2428" s="575"/>
      <c r="K2428" s="575"/>
    </row>
    <row r="2429" spans="1:11" x14ac:dyDescent="0.2">
      <c r="A2429" s="583"/>
      <c r="B2429" s="640"/>
      <c r="F2429" s="575"/>
      <c r="G2429" s="575"/>
      <c r="H2429" s="575"/>
      <c r="I2429" s="575"/>
      <c r="J2429" s="575"/>
      <c r="K2429" s="575"/>
    </row>
    <row r="2430" spans="1:11" x14ac:dyDescent="0.2">
      <c r="A2430" s="583"/>
      <c r="B2430" s="640"/>
      <c r="F2430" s="575"/>
      <c r="G2430" s="575"/>
      <c r="H2430" s="575"/>
      <c r="I2430" s="575"/>
      <c r="J2430" s="575"/>
      <c r="K2430" s="575"/>
    </row>
    <row r="2431" spans="1:11" x14ac:dyDescent="0.2">
      <c r="A2431" s="583"/>
      <c r="B2431" s="640"/>
      <c r="F2431" s="575"/>
      <c r="G2431" s="575"/>
      <c r="H2431" s="575"/>
      <c r="I2431" s="575"/>
      <c r="J2431" s="575"/>
      <c r="K2431" s="575"/>
    </row>
    <row r="2432" spans="1:11" x14ac:dyDescent="0.2">
      <c r="A2432" s="583"/>
      <c r="B2432" s="640"/>
      <c r="F2432" s="575"/>
      <c r="G2432" s="575"/>
      <c r="H2432" s="575"/>
      <c r="I2432" s="575"/>
      <c r="J2432" s="575"/>
      <c r="K2432" s="575"/>
    </row>
    <row r="2433" spans="1:11" x14ac:dyDescent="0.2">
      <c r="A2433" s="583"/>
      <c r="B2433" s="640"/>
      <c r="F2433" s="575"/>
      <c r="G2433" s="575"/>
      <c r="H2433" s="575"/>
      <c r="I2433" s="575"/>
      <c r="J2433" s="575"/>
      <c r="K2433" s="575"/>
    </row>
    <row r="2434" spans="1:11" x14ac:dyDescent="0.2">
      <c r="A2434" s="583"/>
      <c r="B2434" s="640"/>
      <c r="F2434" s="575"/>
      <c r="G2434" s="575"/>
      <c r="H2434" s="575"/>
      <c r="I2434" s="575"/>
      <c r="J2434" s="575"/>
      <c r="K2434" s="575"/>
    </row>
    <row r="2435" spans="1:11" x14ac:dyDescent="0.2">
      <c r="A2435" s="583"/>
      <c r="B2435" s="640"/>
      <c r="F2435" s="575"/>
      <c r="G2435" s="575"/>
      <c r="H2435" s="575"/>
      <c r="I2435" s="575"/>
      <c r="J2435" s="575"/>
      <c r="K2435" s="575"/>
    </row>
    <row r="2436" spans="1:11" x14ac:dyDescent="0.2">
      <c r="A2436" s="583"/>
      <c r="B2436" s="640"/>
      <c r="F2436" s="575"/>
      <c r="G2436" s="575"/>
      <c r="H2436" s="575"/>
      <c r="I2436" s="575"/>
      <c r="J2436" s="575"/>
      <c r="K2436" s="575"/>
    </row>
    <row r="2437" spans="1:11" x14ac:dyDescent="0.2">
      <c r="A2437" s="583"/>
      <c r="B2437" s="640"/>
      <c r="F2437" s="575"/>
      <c r="G2437" s="575"/>
      <c r="H2437" s="575"/>
      <c r="I2437" s="575"/>
      <c r="J2437" s="575"/>
      <c r="K2437" s="575"/>
    </row>
    <row r="2438" spans="1:11" x14ac:dyDescent="0.2">
      <c r="A2438" s="583"/>
      <c r="B2438" s="640"/>
      <c r="F2438" s="575"/>
      <c r="G2438" s="575"/>
      <c r="H2438" s="575"/>
      <c r="I2438" s="575"/>
      <c r="J2438" s="575"/>
      <c r="K2438" s="575"/>
    </row>
    <row r="2439" spans="1:11" x14ac:dyDescent="0.2">
      <c r="A2439" s="583"/>
      <c r="B2439" s="640"/>
      <c r="F2439" s="575"/>
      <c r="G2439" s="575"/>
      <c r="H2439" s="575"/>
      <c r="I2439" s="575"/>
      <c r="J2439" s="575"/>
      <c r="K2439" s="575"/>
    </row>
    <row r="2440" spans="1:11" x14ac:dyDescent="0.2">
      <c r="A2440" s="583"/>
      <c r="B2440" s="640"/>
      <c r="F2440" s="575"/>
      <c r="G2440" s="575"/>
      <c r="H2440" s="575"/>
      <c r="I2440" s="575"/>
      <c r="J2440" s="575"/>
      <c r="K2440" s="575"/>
    </row>
    <row r="2441" spans="1:11" x14ac:dyDescent="0.2">
      <c r="A2441" s="583"/>
      <c r="B2441" s="640"/>
      <c r="F2441" s="575"/>
      <c r="G2441" s="575"/>
      <c r="H2441" s="575"/>
      <c r="I2441" s="575"/>
      <c r="J2441" s="575"/>
      <c r="K2441" s="575"/>
    </row>
    <row r="2442" spans="1:11" x14ac:dyDescent="0.2">
      <c r="A2442" s="583"/>
      <c r="B2442" s="640"/>
      <c r="F2442" s="575"/>
      <c r="G2442" s="575"/>
      <c r="H2442" s="575"/>
      <c r="I2442" s="575"/>
      <c r="J2442" s="575"/>
      <c r="K2442" s="575"/>
    </row>
    <row r="2443" spans="1:11" x14ac:dyDescent="0.2">
      <c r="A2443" s="583"/>
      <c r="B2443" s="640"/>
      <c r="F2443" s="575"/>
      <c r="G2443" s="575"/>
      <c r="H2443" s="575"/>
      <c r="I2443" s="575"/>
      <c r="J2443" s="575"/>
      <c r="K2443" s="575"/>
    </row>
    <row r="2444" spans="1:11" x14ac:dyDescent="0.2">
      <c r="A2444" s="583"/>
      <c r="B2444" s="640"/>
      <c r="F2444" s="575"/>
      <c r="G2444" s="575"/>
      <c r="H2444" s="575"/>
      <c r="I2444" s="575"/>
      <c r="J2444" s="575"/>
      <c r="K2444" s="575"/>
    </row>
    <row r="2445" spans="1:11" x14ac:dyDescent="0.2">
      <c r="A2445" s="583"/>
      <c r="B2445" s="640"/>
      <c r="F2445" s="575"/>
      <c r="G2445" s="575"/>
      <c r="H2445" s="575"/>
      <c r="I2445" s="575"/>
      <c r="J2445" s="575"/>
      <c r="K2445" s="575"/>
    </row>
    <row r="2446" spans="1:11" x14ac:dyDescent="0.2">
      <c r="A2446" s="583"/>
      <c r="B2446" s="640"/>
      <c r="F2446" s="575"/>
      <c r="G2446" s="575"/>
      <c r="H2446" s="575"/>
      <c r="I2446" s="575"/>
      <c r="J2446" s="575"/>
      <c r="K2446" s="575"/>
    </row>
    <row r="2447" spans="1:11" x14ac:dyDescent="0.2">
      <c r="A2447" s="583"/>
      <c r="B2447" s="640"/>
      <c r="F2447" s="575"/>
      <c r="G2447" s="575"/>
      <c r="H2447" s="575"/>
      <c r="I2447" s="575"/>
      <c r="J2447" s="575"/>
      <c r="K2447" s="575"/>
    </row>
    <row r="2448" spans="1:11" x14ac:dyDescent="0.2">
      <c r="A2448" s="583"/>
      <c r="B2448" s="640"/>
      <c r="F2448" s="575"/>
      <c r="G2448" s="575"/>
      <c r="H2448" s="575"/>
      <c r="I2448" s="575"/>
      <c r="J2448" s="575"/>
      <c r="K2448" s="575"/>
    </row>
    <row r="2449" spans="1:11" x14ac:dyDescent="0.2">
      <c r="A2449" s="583"/>
      <c r="B2449" s="640"/>
      <c r="F2449" s="575"/>
      <c r="G2449" s="575"/>
      <c r="H2449" s="575"/>
      <c r="I2449" s="575"/>
      <c r="J2449" s="575"/>
      <c r="K2449" s="575"/>
    </row>
    <row r="2450" spans="1:11" x14ac:dyDescent="0.2">
      <c r="A2450" s="583"/>
      <c r="B2450" s="640"/>
      <c r="F2450" s="575"/>
      <c r="G2450" s="575"/>
      <c r="H2450" s="575"/>
      <c r="I2450" s="575"/>
      <c r="J2450" s="575"/>
      <c r="K2450" s="575"/>
    </row>
    <row r="2451" spans="1:11" x14ac:dyDescent="0.2">
      <c r="A2451" s="583"/>
      <c r="B2451" s="640"/>
      <c r="F2451" s="575"/>
      <c r="G2451" s="575"/>
      <c r="H2451" s="575"/>
      <c r="I2451" s="575"/>
      <c r="J2451" s="575"/>
      <c r="K2451" s="575"/>
    </row>
    <row r="2452" spans="1:11" x14ac:dyDescent="0.2">
      <c r="A2452" s="583"/>
      <c r="B2452" s="640"/>
      <c r="F2452" s="575"/>
      <c r="G2452" s="575"/>
      <c r="H2452" s="575"/>
      <c r="I2452" s="575"/>
      <c r="J2452" s="575"/>
      <c r="K2452" s="575"/>
    </row>
    <row r="2453" spans="1:11" x14ac:dyDescent="0.2">
      <c r="A2453" s="583"/>
      <c r="B2453" s="640"/>
      <c r="F2453" s="575"/>
      <c r="G2453" s="575"/>
      <c r="H2453" s="575"/>
      <c r="I2453" s="575"/>
      <c r="J2453" s="575"/>
      <c r="K2453" s="575"/>
    </row>
    <row r="2454" spans="1:11" x14ac:dyDescent="0.2">
      <c r="A2454" s="583"/>
      <c r="B2454" s="640"/>
      <c r="F2454" s="575"/>
      <c r="G2454" s="575"/>
      <c r="H2454" s="575"/>
      <c r="I2454" s="575"/>
      <c r="J2454" s="575"/>
      <c r="K2454" s="575"/>
    </row>
    <row r="2455" spans="1:11" x14ac:dyDescent="0.2">
      <c r="A2455" s="583"/>
      <c r="B2455" s="640"/>
      <c r="F2455" s="575"/>
      <c r="G2455" s="575"/>
      <c r="H2455" s="575"/>
      <c r="I2455" s="575"/>
      <c r="J2455" s="575"/>
      <c r="K2455" s="575"/>
    </row>
    <row r="2456" spans="1:11" x14ac:dyDescent="0.2">
      <c r="A2456" s="583"/>
      <c r="B2456" s="640"/>
      <c r="F2456" s="575"/>
      <c r="G2456" s="575"/>
      <c r="H2456" s="575"/>
      <c r="I2456" s="575"/>
      <c r="J2456" s="575"/>
      <c r="K2456" s="575"/>
    </row>
    <row r="2457" spans="1:11" x14ac:dyDescent="0.2">
      <c r="A2457" s="583"/>
      <c r="B2457" s="640"/>
      <c r="F2457" s="575"/>
      <c r="G2457" s="575"/>
      <c r="H2457" s="575"/>
      <c r="I2457" s="575"/>
      <c r="J2457" s="575"/>
      <c r="K2457" s="575"/>
    </row>
    <row r="2458" spans="1:11" x14ac:dyDescent="0.2">
      <c r="A2458" s="583"/>
      <c r="B2458" s="640"/>
      <c r="F2458" s="575"/>
      <c r="G2458" s="575"/>
      <c r="H2458" s="575"/>
      <c r="I2458" s="575"/>
      <c r="J2458" s="575"/>
      <c r="K2458" s="575"/>
    </row>
    <row r="2459" spans="1:11" x14ac:dyDescent="0.2">
      <c r="A2459" s="583"/>
      <c r="B2459" s="640"/>
      <c r="F2459" s="575"/>
      <c r="G2459" s="575"/>
      <c r="H2459" s="575"/>
      <c r="I2459" s="575"/>
      <c r="J2459" s="575"/>
      <c r="K2459" s="575"/>
    </row>
    <row r="2460" spans="1:11" x14ac:dyDescent="0.2">
      <c r="A2460" s="583"/>
      <c r="B2460" s="640"/>
      <c r="F2460" s="575"/>
      <c r="G2460" s="575"/>
      <c r="H2460" s="575"/>
      <c r="I2460" s="575"/>
      <c r="J2460" s="575"/>
      <c r="K2460" s="575"/>
    </row>
    <row r="2461" spans="1:11" x14ac:dyDescent="0.2">
      <c r="A2461" s="583"/>
      <c r="B2461" s="640"/>
      <c r="F2461" s="575"/>
      <c r="G2461" s="575"/>
      <c r="H2461" s="575"/>
      <c r="I2461" s="575"/>
      <c r="J2461" s="575"/>
      <c r="K2461" s="575"/>
    </row>
    <row r="2462" spans="1:11" x14ac:dyDescent="0.2">
      <c r="A2462" s="583"/>
      <c r="B2462" s="640"/>
      <c r="F2462" s="575"/>
      <c r="G2462" s="575"/>
      <c r="H2462" s="575"/>
      <c r="I2462" s="575"/>
      <c r="J2462" s="575"/>
      <c r="K2462" s="575"/>
    </row>
    <row r="2463" spans="1:11" x14ac:dyDescent="0.2">
      <c r="A2463" s="583"/>
      <c r="B2463" s="640"/>
      <c r="F2463" s="575"/>
      <c r="G2463" s="575"/>
      <c r="H2463" s="575"/>
      <c r="I2463" s="575"/>
      <c r="J2463" s="575"/>
      <c r="K2463" s="575"/>
    </row>
    <row r="2464" spans="1:11" x14ac:dyDescent="0.2">
      <c r="A2464" s="583"/>
      <c r="B2464" s="640"/>
      <c r="F2464" s="575"/>
      <c r="G2464" s="575"/>
      <c r="H2464" s="575"/>
      <c r="I2464" s="575"/>
      <c r="J2464" s="575"/>
      <c r="K2464" s="575"/>
    </row>
    <row r="2465" spans="1:11" x14ac:dyDescent="0.2">
      <c r="A2465" s="583"/>
      <c r="B2465" s="640"/>
      <c r="F2465" s="575"/>
      <c r="G2465" s="575"/>
      <c r="H2465" s="575"/>
      <c r="I2465" s="575"/>
      <c r="J2465" s="575"/>
      <c r="K2465" s="575"/>
    </row>
    <row r="2466" spans="1:11" x14ac:dyDescent="0.2">
      <c r="A2466" s="583"/>
      <c r="B2466" s="640"/>
      <c r="F2466" s="575"/>
      <c r="G2466" s="575"/>
      <c r="H2466" s="575"/>
      <c r="I2466" s="575"/>
      <c r="J2466" s="575"/>
      <c r="K2466" s="575"/>
    </row>
    <row r="2467" spans="1:11" x14ac:dyDescent="0.2">
      <c r="A2467" s="583"/>
      <c r="B2467" s="640"/>
      <c r="F2467" s="575"/>
      <c r="G2467" s="575"/>
      <c r="H2467" s="575"/>
      <c r="I2467" s="575"/>
      <c r="J2467" s="575"/>
      <c r="K2467" s="575"/>
    </row>
    <row r="2468" spans="1:11" x14ac:dyDescent="0.2">
      <c r="A2468" s="583"/>
      <c r="B2468" s="640"/>
      <c r="F2468" s="575"/>
      <c r="G2468" s="575"/>
      <c r="H2468" s="575"/>
      <c r="I2468" s="575"/>
      <c r="J2468" s="575"/>
      <c r="K2468" s="575"/>
    </row>
    <row r="2469" spans="1:11" x14ac:dyDescent="0.2">
      <c r="A2469" s="583"/>
      <c r="B2469" s="640"/>
      <c r="F2469" s="575"/>
      <c r="G2469" s="575"/>
      <c r="H2469" s="575"/>
      <c r="I2469" s="575"/>
      <c r="J2469" s="575"/>
      <c r="K2469" s="575"/>
    </row>
    <row r="2470" spans="1:11" x14ac:dyDescent="0.2">
      <c r="A2470" s="583"/>
      <c r="B2470" s="640"/>
      <c r="F2470" s="575"/>
      <c r="G2470" s="575"/>
      <c r="H2470" s="575"/>
      <c r="I2470" s="575"/>
      <c r="J2470" s="575"/>
      <c r="K2470" s="575"/>
    </row>
    <row r="2471" spans="1:11" x14ac:dyDescent="0.2">
      <c r="A2471" s="583"/>
      <c r="B2471" s="640"/>
      <c r="F2471" s="575"/>
      <c r="G2471" s="575"/>
      <c r="H2471" s="575"/>
      <c r="I2471" s="575"/>
      <c r="J2471" s="575"/>
      <c r="K2471" s="575"/>
    </row>
    <row r="2472" spans="1:11" x14ac:dyDescent="0.2">
      <c r="A2472" s="583"/>
      <c r="B2472" s="640"/>
      <c r="F2472" s="575"/>
      <c r="G2472" s="575"/>
      <c r="H2472" s="575"/>
      <c r="I2472" s="575"/>
      <c r="J2472" s="575"/>
      <c r="K2472" s="575"/>
    </row>
    <row r="2473" spans="1:11" x14ac:dyDescent="0.2">
      <c r="A2473" s="583"/>
      <c r="B2473" s="640"/>
      <c r="F2473" s="575"/>
      <c r="G2473" s="575"/>
      <c r="H2473" s="575"/>
      <c r="I2473" s="575"/>
      <c r="J2473" s="575"/>
      <c r="K2473" s="575"/>
    </row>
    <row r="2474" spans="1:11" x14ac:dyDescent="0.2">
      <c r="A2474" s="583"/>
      <c r="B2474" s="640"/>
      <c r="F2474" s="575"/>
      <c r="G2474" s="575"/>
      <c r="H2474" s="575"/>
      <c r="I2474" s="575"/>
      <c r="J2474" s="575"/>
      <c r="K2474" s="575"/>
    </row>
    <row r="2475" spans="1:11" x14ac:dyDescent="0.2">
      <c r="A2475" s="583"/>
      <c r="B2475" s="640"/>
      <c r="F2475" s="575"/>
      <c r="G2475" s="575"/>
      <c r="H2475" s="575"/>
      <c r="I2475" s="575"/>
      <c r="J2475" s="575"/>
      <c r="K2475" s="575"/>
    </row>
    <row r="2476" spans="1:11" x14ac:dyDescent="0.2">
      <c r="A2476" s="583"/>
      <c r="B2476" s="640"/>
      <c r="F2476" s="575"/>
      <c r="G2476" s="575"/>
      <c r="H2476" s="575"/>
      <c r="I2476" s="575"/>
      <c r="J2476" s="575"/>
      <c r="K2476" s="575"/>
    </row>
    <row r="2477" spans="1:11" x14ac:dyDescent="0.2">
      <c r="A2477" s="583"/>
      <c r="B2477" s="640"/>
      <c r="F2477" s="575"/>
      <c r="G2477" s="575"/>
      <c r="H2477" s="575"/>
      <c r="I2477" s="575"/>
      <c r="J2477" s="575"/>
      <c r="K2477" s="575"/>
    </row>
    <row r="2478" spans="1:11" x14ac:dyDescent="0.2">
      <c r="A2478" s="583"/>
      <c r="B2478" s="640"/>
      <c r="F2478" s="575"/>
      <c r="G2478" s="575"/>
      <c r="H2478" s="575"/>
      <c r="I2478" s="575"/>
      <c r="J2478" s="575"/>
      <c r="K2478" s="575"/>
    </row>
    <row r="2479" spans="1:11" x14ac:dyDescent="0.2">
      <c r="A2479" s="583"/>
      <c r="B2479" s="640"/>
      <c r="F2479" s="575"/>
      <c r="G2479" s="575"/>
      <c r="H2479" s="575"/>
      <c r="I2479" s="575"/>
      <c r="J2479" s="575"/>
      <c r="K2479" s="575"/>
    </row>
    <row r="2480" spans="1:11" x14ac:dyDescent="0.2">
      <c r="A2480" s="583"/>
      <c r="B2480" s="640"/>
      <c r="F2480" s="575"/>
      <c r="G2480" s="575"/>
      <c r="H2480" s="575"/>
      <c r="I2480" s="575"/>
      <c r="J2480" s="575"/>
      <c r="K2480" s="575"/>
    </row>
    <row r="2481" spans="1:11" x14ac:dyDescent="0.2">
      <c r="A2481" s="583"/>
      <c r="B2481" s="640"/>
      <c r="F2481" s="575"/>
      <c r="G2481" s="575"/>
      <c r="H2481" s="575"/>
      <c r="I2481" s="575"/>
      <c r="J2481" s="575"/>
      <c r="K2481" s="575"/>
    </row>
    <row r="2482" spans="1:11" x14ac:dyDescent="0.2">
      <c r="A2482" s="583"/>
      <c r="B2482" s="640"/>
      <c r="F2482" s="575"/>
      <c r="G2482" s="575"/>
      <c r="H2482" s="575"/>
      <c r="I2482" s="575"/>
      <c r="J2482" s="575"/>
      <c r="K2482" s="575"/>
    </row>
    <row r="2483" spans="1:11" x14ac:dyDescent="0.2">
      <c r="A2483" s="583"/>
      <c r="B2483" s="640"/>
      <c r="F2483" s="575"/>
      <c r="G2483" s="575"/>
      <c r="H2483" s="575"/>
      <c r="I2483" s="575"/>
      <c r="J2483" s="575"/>
      <c r="K2483" s="575"/>
    </row>
    <row r="2484" spans="1:11" x14ac:dyDescent="0.2">
      <c r="A2484" s="583"/>
      <c r="B2484" s="640"/>
      <c r="F2484" s="575"/>
      <c r="G2484" s="575"/>
      <c r="H2484" s="575"/>
      <c r="I2484" s="575"/>
      <c r="J2484" s="575"/>
      <c r="K2484" s="575"/>
    </row>
    <row r="2485" spans="1:11" x14ac:dyDescent="0.2">
      <c r="A2485" s="583"/>
      <c r="B2485" s="640"/>
      <c r="F2485" s="575"/>
      <c r="G2485" s="575"/>
      <c r="H2485" s="575"/>
      <c r="I2485" s="575"/>
      <c r="J2485" s="575"/>
      <c r="K2485" s="575"/>
    </row>
    <row r="2486" spans="1:11" x14ac:dyDescent="0.2">
      <c r="A2486" s="583"/>
      <c r="B2486" s="640"/>
      <c r="F2486" s="575"/>
      <c r="G2486" s="575"/>
      <c r="H2486" s="575"/>
      <c r="I2486" s="575"/>
      <c r="J2486" s="575"/>
      <c r="K2486" s="575"/>
    </row>
    <row r="2487" spans="1:11" x14ac:dyDescent="0.2">
      <c r="A2487" s="583"/>
      <c r="B2487" s="640"/>
      <c r="F2487" s="575"/>
      <c r="G2487" s="575"/>
      <c r="H2487" s="575"/>
      <c r="I2487" s="575"/>
      <c r="J2487" s="575"/>
      <c r="K2487" s="575"/>
    </row>
    <row r="2488" spans="1:11" x14ac:dyDescent="0.2">
      <c r="A2488" s="583"/>
      <c r="B2488" s="640"/>
      <c r="F2488" s="575"/>
      <c r="G2488" s="575"/>
      <c r="H2488" s="575"/>
      <c r="I2488" s="575"/>
      <c r="J2488" s="575"/>
      <c r="K2488" s="575"/>
    </row>
    <row r="2489" spans="1:11" x14ac:dyDescent="0.2">
      <c r="A2489" s="583"/>
      <c r="B2489" s="640"/>
      <c r="F2489" s="575"/>
      <c r="G2489" s="575"/>
      <c r="H2489" s="575"/>
      <c r="I2489" s="575"/>
      <c r="J2489" s="575"/>
      <c r="K2489" s="575"/>
    </row>
    <row r="2490" spans="1:11" x14ac:dyDescent="0.2">
      <c r="A2490" s="583"/>
      <c r="B2490" s="640"/>
      <c r="F2490" s="575"/>
      <c r="G2490" s="575"/>
      <c r="H2490" s="575"/>
      <c r="I2490" s="575"/>
      <c r="J2490" s="575"/>
      <c r="K2490" s="575"/>
    </row>
    <row r="2491" spans="1:11" x14ac:dyDescent="0.2">
      <c r="A2491" s="583"/>
      <c r="B2491" s="640"/>
      <c r="F2491" s="575"/>
      <c r="G2491" s="575"/>
      <c r="H2491" s="575"/>
      <c r="I2491" s="575"/>
      <c r="J2491" s="575"/>
      <c r="K2491" s="575"/>
    </row>
    <row r="2492" spans="1:11" x14ac:dyDescent="0.2">
      <c r="A2492" s="583"/>
      <c r="B2492" s="640"/>
      <c r="F2492" s="575"/>
      <c r="G2492" s="575"/>
      <c r="H2492" s="575"/>
      <c r="I2492" s="575"/>
      <c r="J2492" s="575"/>
      <c r="K2492" s="575"/>
    </row>
    <row r="2493" spans="1:11" x14ac:dyDescent="0.2">
      <c r="A2493" s="583"/>
      <c r="B2493" s="640"/>
      <c r="F2493" s="575"/>
      <c r="G2493" s="575"/>
      <c r="H2493" s="575"/>
      <c r="I2493" s="575"/>
      <c r="J2493" s="575"/>
      <c r="K2493" s="575"/>
    </row>
    <row r="2494" spans="1:11" x14ac:dyDescent="0.2">
      <c r="A2494" s="583"/>
      <c r="B2494" s="640"/>
      <c r="F2494" s="575"/>
      <c r="G2494" s="575"/>
      <c r="H2494" s="575"/>
      <c r="I2494" s="575"/>
      <c r="J2494" s="575"/>
      <c r="K2494" s="575"/>
    </row>
    <row r="2495" spans="1:11" x14ac:dyDescent="0.2">
      <c r="A2495" s="583"/>
      <c r="B2495" s="640"/>
      <c r="F2495" s="575"/>
      <c r="G2495" s="575"/>
      <c r="H2495" s="575"/>
      <c r="I2495" s="575"/>
      <c r="J2495" s="575"/>
      <c r="K2495" s="575"/>
    </row>
    <row r="2496" spans="1:11" x14ac:dyDescent="0.2">
      <c r="A2496" s="583"/>
      <c r="B2496" s="640"/>
      <c r="F2496" s="575"/>
      <c r="G2496" s="575"/>
      <c r="H2496" s="575"/>
      <c r="I2496" s="575"/>
      <c r="J2496" s="575"/>
      <c r="K2496" s="575"/>
    </row>
    <row r="2497" spans="1:11" x14ac:dyDescent="0.2">
      <c r="A2497" s="583"/>
      <c r="B2497" s="640"/>
      <c r="F2497" s="575"/>
      <c r="G2497" s="575"/>
      <c r="H2497" s="575"/>
      <c r="I2497" s="575"/>
      <c r="J2497" s="575"/>
      <c r="K2497" s="575"/>
    </row>
    <row r="2498" spans="1:11" x14ac:dyDescent="0.2">
      <c r="A2498" s="583"/>
      <c r="B2498" s="640"/>
      <c r="F2498" s="575"/>
      <c r="G2498" s="575"/>
      <c r="H2498" s="575"/>
      <c r="I2498" s="575"/>
      <c r="J2498" s="575"/>
      <c r="K2498" s="575"/>
    </row>
    <row r="2499" spans="1:11" x14ac:dyDescent="0.2">
      <c r="A2499" s="583"/>
      <c r="B2499" s="640"/>
      <c r="F2499" s="575"/>
      <c r="G2499" s="575"/>
      <c r="H2499" s="575"/>
      <c r="I2499" s="575"/>
      <c r="J2499" s="575"/>
      <c r="K2499" s="575"/>
    </row>
    <row r="2500" spans="1:11" x14ac:dyDescent="0.2">
      <c r="A2500" s="583"/>
      <c r="B2500" s="640"/>
      <c r="F2500" s="575"/>
      <c r="G2500" s="575"/>
      <c r="H2500" s="575"/>
      <c r="I2500" s="575"/>
      <c r="J2500" s="575"/>
      <c r="K2500" s="575"/>
    </row>
    <row r="2501" spans="1:11" x14ac:dyDescent="0.2">
      <c r="A2501" s="583"/>
      <c r="B2501" s="640"/>
      <c r="F2501" s="575"/>
      <c r="G2501" s="575"/>
      <c r="H2501" s="575"/>
      <c r="I2501" s="575"/>
      <c r="J2501" s="575"/>
      <c r="K2501" s="575"/>
    </row>
    <row r="2502" spans="1:11" x14ac:dyDescent="0.2">
      <c r="A2502" s="583"/>
      <c r="B2502" s="640"/>
      <c r="F2502" s="575"/>
      <c r="G2502" s="575"/>
      <c r="H2502" s="575"/>
      <c r="I2502" s="575"/>
      <c r="J2502" s="575"/>
      <c r="K2502" s="575"/>
    </row>
    <row r="2503" spans="1:11" x14ac:dyDescent="0.2">
      <c r="A2503" s="583"/>
      <c r="B2503" s="640"/>
      <c r="F2503" s="575"/>
      <c r="G2503" s="575"/>
      <c r="H2503" s="575"/>
      <c r="I2503" s="575"/>
      <c r="J2503" s="575"/>
      <c r="K2503" s="575"/>
    </row>
    <row r="2504" spans="1:11" x14ac:dyDescent="0.2">
      <c r="A2504" s="583"/>
      <c r="B2504" s="640"/>
      <c r="F2504" s="575"/>
      <c r="G2504" s="575"/>
      <c r="H2504" s="575"/>
      <c r="I2504" s="575"/>
      <c r="J2504" s="575"/>
      <c r="K2504" s="575"/>
    </row>
    <row r="2505" spans="1:11" x14ac:dyDescent="0.2">
      <c r="A2505" s="583"/>
      <c r="B2505" s="640"/>
      <c r="F2505" s="575"/>
      <c r="G2505" s="575"/>
      <c r="H2505" s="575"/>
      <c r="I2505" s="575"/>
      <c r="J2505" s="575"/>
      <c r="K2505" s="575"/>
    </row>
    <row r="2506" spans="1:11" x14ac:dyDescent="0.2">
      <c r="A2506" s="583"/>
      <c r="B2506" s="640"/>
      <c r="F2506" s="575"/>
      <c r="G2506" s="575"/>
      <c r="H2506" s="575"/>
      <c r="I2506" s="575"/>
      <c r="J2506" s="575"/>
      <c r="K2506" s="575"/>
    </row>
    <row r="2507" spans="1:11" x14ac:dyDescent="0.2">
      <c r="A2507" s="583"/>
      <c r="B2507" s="640"/>
      <c r="F2507" s="575"/>
      <c r="G2507" s="575"/>
      <c r="H2507" s="575"/>
      <c r="I2507" s="575"/>
      <c r="J2507" s="575"/>
      <c r="K2507" s="575"/>
    </row>
    <row r="2508" spans="1:11" x14ac:dyDescent="0.2">
      <c r="A2508" s="583"/>
      <c r="B2508" s="640"/>
      <c r="F2508" s="575"/>
      <c r="G2508" s="575"/>
      <c r="H2508" s="575"/>
      <c r="I2508" s="575"/>
      <c r="J2508" s="575"/>
      <c r="K2508" s="575"/>
    </row>
    <row r="2509" spans="1:11" x14ac:dyDescent="0.2">
      <c r="A2509" s="583"/>
      <c r="B2509" s="640"/>
      <c r="F2509" s="575"/>
      <c r="G2509" s="575"/>
      <c r="H2509" s="575"/>
      <c r="I2509" s="575"/>
      <c r="J2509" s="575"/>
      <c r="K2509" s="575"/>
    </row>
    <row r="2510" spans="1:11" x14ac:dyDescent="0.2">
      <c r="A2510" s="583"/>
      <c r="B2510" s="640"/>
      <c r="F2510" s="575"/>
      <c r="G2510" s="575"/>
      <c r="H2510" s="575"/>
      <c r="I2510" s="575"/>
      <c r="J2510" s="575"/>
      <c r="K2510" s="575"/>
    </row>
    <row r="2511" spans="1:11" x14ac:dyDescent="0.2">
      <c r="A2511" s="583"/>
      <c r="B2511" s="640"/>
      <c r="F2511" s="575"/>
      <c r="G2511" s="575"/>
      <c r="H2511" s="575"/>
      <c r="I2511" s="575"/>
      <c r="J2511" s="575"/>
      <c r="K2511" s="575"/>
    </row>
    <row r="2512" spans="1:11" x14ac:dyDescent="0.2">
      <c r="A2512" s="583"/>
      <c r="B2512" s="640"/>
      <c r="F2512" s="575"/>
      <c r="G2512" s="575"/>
      <c r="H2512" s="575"/>
      <c r="I2512" s="575"/>
      <c r="J2512" s="575"/>
      <c r="K2512" s="575"/>
    </row>
    <row r="2513" spans="1:11" x14ac:dyDescent="0.2">
      <c r="A2513" s="583"/>
      <c r="B2513" s="640"/>
      <c r="F2513" s="575"/>
      <c r="G2513" s="575"/>
      <c r="H2513" s="575"/>
      <c r="I2513" s="575"/>
      <c r="J2513" s="575"/>
      <c r="K2513" s="575"/>
    </row>
    <row r="2514" spans="1:11" x14ac:dyDescent="0.2">
      <c r="A2514" s="583"/>
      <c r="B2514" s="640"/>
      <c r="F2514" s="575"/>
      <c r="G2514" s="575"/>
      <c r="H2514" s="575"/>
      <c r="I2514" s="575"/>
      <c r="J2514" s="575"/>
      <c r="K2514" s="575"/>
    </row>
    <row r="2515" spans="1:11" x14ac:dyDescent="0.2">
      <c r="A2515" s="583"/>
      <c r="B2515" s="640"/>
      <c r="F2515" s="575"/>
      <c r="G2515" s="575"/>
      <c r="H2515" s="575"/>
      <c r="I2515" s="575"/>
      <c r="J2515" s="575"/>
      <c r="K2515" s="575"/>
    </row>
    <row r="2516" spans="1:11" x14ac:dyDescent="0.2">
      <c r="A2516" s="583"/>
      <c r="B2516" s="640"/>
      <c r="F2516" s="575"/>
      <c r="G2516" s="575"/>
      <c r="H2516" s="575"/>
      <c r="I2516" s="575"/>
      <c r="J2516" s="575"/>
      <c r="K2516" s="575"/>
    </row>
    <row r="2517" spans="1:11" x14ac:dyDescent="0.2">
      <c r="A2517" s="583"/>
      <c r="B2517" s="640"/>
      <c r="F2517" s="575"/>
      <c r="G2517" s="575"/>
      <c r="H2517" s="575"/>
      <c r="I2517" s="575"/>
      <c r="J2517" s="575"/>
      <c r="K2517" s="575"/>
    </row>
    <row r="2518" spans="1:11" x14ac:dyDescent="0.2">
      <c r="A2518" s="583"/>
      <c r="B2518" s="640"/>
      <c r="F2518" s="575"/>
      <c r="G2518" s="575"/>
      <c r="H2518" s="575"/>
      <c r="I2518" s="575"/>
      <c r="J2518" s="575"/>
      <c r="K2518" s="575"/>
    </row>
    <row r="2519" spans="1:11" x14ac:dyDescent="0.2">
      <c r="A2519" s="583"/>
      <c r="B2519" s="640"/>
      <c r="F2519" s="575"/>
      <c r="G2519" s="575"/>
      <c r="H2519" s="575"/>
      <c r="I2519" s="575"/>
      <c r="J2519" s="575"/>
      <c r="K2519" s="575"/>
    </row>
    <row r="2520" spans="1:11" x14ac:dyDescent="0.2">
      <c r="A2520" s="583"/>
      <c r="B2520" s="640"/>
      <c r="F2520" s="575"/>
      <c r="G2520" s="575"/>
      <c r="H2520" s="575"/>
      <c r="I2520" s="575"/>
      <c r="J2520" s="575"/>
      <c r="K2520" s="575"/>
    </row>
    <row r="2521" spans="1:11" x14ac:dyDescent="0.2">
      <c r="A2521" s="583"/>
      <c r="B2521" s="640"/>
      <c r="F2521" s="575"/>
      <c r="G2521" s="575"/>
      <c r="H2521" s="575"/>
      <c r="I2521" s="575"/>
      <c r="J2521" s="575"/>
      <c r="K2521" s="575"/>
    </row>
    <row r="2522" spans="1:11" x14ac:dyDescent="0.2">
      <c r="A2522" s="583"/>
      <c r="B2522" s="640"/>
      <c r="F2522" s="575"/>
      <c r="G2522" s="575"/>
      <c r="H2522" s="575"/>
      <c r="I2522" s="575"/>
      <c r="J2522" s="575"/>
      <c r="K2522" s="575"/>
    </row>
    <row r="2523" spans="1:11" x14ac:dyDescent="0.2">
      <c r="A2523" s="583"/>
      <c r="B2523" s="640"/>
      <c r="F2523" s="575"/>
      <c r="G2523" s="575"/>
      <c r="H2523" s="575"/>
      <c r="I2523" s="575"/>
      <c r="J2523" s="575"/>
      <c r="K2523" s="575"/>
    </row>
    <row r="2524" spans="1:11" x14ac:dyDescent="0.2">
      <c r="A2524" s="583"/>
      <c r="B2524" s="640"/>
      <c r="F2524" s="575"/>
      <c r="G2524" s="575"/>
      <c r="H2524" s="575"/>
      <c r="I2524" s="575"/>
      <c r="J2524" s="575"/>
      <c r="K2524" s="575"/>
    </row>
    <row r="2525" spans="1:11" x14ac:dyDescent="0.2">
      <c r="A2525" s="583"/>
      <c r="B2525" s="640"/>
      <c r="F2525" s="575"/>
      <c r="G2525" s="575"/>
      <c r="H2525" s="575"/>
      <c r="I2525" s="575"/>
      <c r="J2525" s="575"/>
      <c r="K2525" s="575"/>
    </row>
    <row r="2526" spans="1:11" x14ac:dyDescent="0.2">
      <c r="A2526" s="583"/>
      <c r="B2526" s="640"/>
      <c r="F2526" s="575"/>
      <c r="G2526" s="575"/>
      <c r="H2526" s="575"/>
      <c r="I2526" s="575"/>
      <c r="J2526" s="575"/>
      <c r="K2526" s="575"/>
    </row>
    <row r="2527" spans="1:11" x14ac:dyDescent="0.2">
      <c r="A2527" s="583"/>
      <c r="B2527" s="640"/>
      <c r="F2527" s="575"/>
      <c r="G2527" s="575"/>
      <c r="H2527" s="575"/>
      <c r="I2527" s="575"/>
      <c r="J2527" s="575"/>
      <c r="K2527" s="575"/>
    </row>
    <row r="2528" spans="1:11" x14ac:dyDescent="0.2">
      <c r="A2528" s="583"/>
      <c r="B2528" s="640"/>
      <c r="F2528" s="575"/>
      <c r="G2528" s="575"/>
      <c r="H2528" s="575"/>
      <c r="I2528" s="575"/>
      <c r="J2528" s="575"/>
      <c r="K2528" s="575"/>
    </row>
    <row r="2529" spans="1:11" x14ac:dyDescent="0.2">
      <c r="A2529" s="583"/>
      <c r="B2529" s="640"/>
      <c r="F2529" s="575"/>
      <c r="G2529" s="575"/>
      <c r="H2529" s="575"/>
      <c r="I2529" s="575"/>
      <c r="J2529" s="575"/>
      <c r="K2529" s="575"/>
    </row>
    <row r="2530" spans="1:11" x14ac:dyDescent="0.2">
      <c r="A2530" s="583"/>
      <c r="B2530" s="640"/>
      <c r="F2530" s="575"/>
      <c r="G2530" s="575"/>
      <c r="H2530" s="575"/>
      <c r="I2530" s="575"/>
      <c r="J2530" s="575"/>
      <c r="K2530" s="575"/>
    </row>
    <row r="2531" spans="1:11" x14ac:dyDescent="0.2">
      <c r="A2531" s="583"/>
      <c r="B2531" s="640"/>
      <c r="F2531" s="575"/>
      <c r="G2531" s="575"/>
      <c r="H2531" s="575"/>
      <c r="I2531" s="575"/>
      <c r="J2531" s="575"/>
      <c r="K2531" s="575"/>
    </row>
    <row r="2532" spans="1:11" x14ac:dyDescent="0.2">
      <c r="A2532" s="583"/>
      <c r="B2532" s="640"/>
      <c r="F2532" s="575"/>
      <c r="G2532" s="575"/>
      <c r="H2532" s="575"/>
      <c r="I2532" s="575"/>
      <c r="J2532" s="575"/>
      <c r="K2532" s="575"/>
    </row>
    <row r="2533" spans="1:11" x14ac:dyDescent="0.2">
      <c r="A2533" s="583"/>
      <c r="B2533" s="640"/>
      <c r="F2533" s="575"/>
      <c r="G2533" s="575"/>
      <c r="H2533" s="575"/>
      <c r="I2533" s="575"/>
      <c r="J2533" s="575"/>
      <c r="K2533" s="575"/>
    </row>
    <row r="2534" spans="1:11" x14ac:dyDescent="0.2">
      <c r="A2534" s="583"/>
      <c r="B2534" s="640"/>
      <c r="F2534" s="575"/>
      <c r="G2534" s="575"/>
      <c r="H2534" s="575"/>
      <c r="I2534" s="575"/>
      <c r="J2534" s="575"/>
      <c r="K2534" s="575"/>
    </row>
    <row r="2535" spans="1:11" x14ac:dyDescent="0.2">
      <c r="A2535" s="583"/>
      <c r="B2535" s="640"/>
      <c r="F2535" s="575"/>
      <c r="G2535" s="575"/>
      <c r="H2535" s="575"/>
      <c r="I2535" s="575"/>
      <c r="J2535" s="575"/>
      <c r="K2535" s="575"/>
    </row>
    <row r="2536" spans="1:11" x14ac:dyDescent="0.2">
      <c r="A2536" s="583"/>
      <c r="B2536" s="640"/>
      <c r="F2536" s="575"/>
      <c r="G2536" s="575"/>
      <c r="H2536" s="575"/>
      <c r="I2536" s="575"/>
      <c r="J2536" s="575"/>
      <c r="K2536" s="575"/>
    </row>
    <row r="2537" spans="1:11" x14ac:dyDescent="0.2">
      <c r="A2537" s="583"/>
      <c r="B2537" s="640"/>
      <c r="F2537" s="575"/>
      <c r="G2537" s="575"/>
      <c r="H2537" s="575"/>
      <c r="I2537" s="575"/>
      <c r="J2537" s="575"/>
      <c r="K2537" s="575"/>
    </row>
    <row r="2538" spans="1:11" x14ac:dyDescent="0.2">
      <c r="A2538" s="583"/>
      <c r="B2538" s="640"/>
      <c r="F2538" s="575"/>
      <c r="G2538" s="575"/>
      <c r="H2538" s="575"/>
      <c r="I2538" s="575"/>
      <c r="J2538" s="575"/>
      <c r="K2538" s="575"/>
    </row>
    <row r="2539" spans="1:11" x14ac:dyDescent="0.2">
      <c r="A2539" s="583"/>
      <c r="B2539" s="640"/>
      <c r="F2539" s="575"/>
      <c r="G2539" s="575"/>
      <c r="H2539" s="575"/>
      <c r="I2539" s="575"/>
      <c r="J2539" s="575"/>
      <c r="K2539" s="575"/>
    </row>
    <row r="2540" spans="1:11" x14ac:dyDescent="0.2">
      <c r="A2540" s="583"/>
      <c r="B2540" s="640"/>
      <c r="F2540" s="575"/>
      <c r="G2540" s="575"/>
      <c r="H2540" s="575"/>
      <c r="I2540" s="575"/>
      <c r="J2540" s="575"/>
      <c r="K2540" s="575"/>
    </row>
    <row r="2541" spans="1:11" x14ac:dyDescent="0.2">
      <c r="A2541" s="583"/>
      <c r="B2541" s="640"/>
      <c r="F2541" s="575"/>
      <c r="G2541" s="575"/>
      <c r="H2541" s="575"/>
      <c r="I2541" s="575"/>
      <c r="J2541" s="575"/>
      <c r="K2541" s="575"/>
    </row>
    <row r="2542" spans="1:11" x14ac:dyDescent="0.2">
      <c r="A2542" s="583"/>
      <c r="B2542" s="640"/>
      <c r="F2542" s="575"/>
      <c r="G2542" s="575"/>
      <c r="H2542" s="575"/>
      <c r="I2542" s="575"/>
      <c r="J2542" s="575"/>
      <c r="K2542" s="575"/>
    </row>
    <row r="2543" spans="1:11" x14ac:dyDescent="0.2">
      <c r="A2543" s="583"/>
      <c r="B2543" s="640"/>
      <c r="F2543" s="575"/>
      <c r="G2543" s="575"/>
      <c r="H2543" s="575"/>
      <c r="I2543" s="575"/>
      <c r="J2543" s="575"/>
      <c r="K2543" s="575"/>
    </row>
    <row r="2544" spans="1:11" x14ac:dyDescent="0.2">
      <c r="A2544" s="583"/>
      <c r="B2544" s="640"/>
      <c r="F2544" s="575"/>
      <c r="G2544" s="575"/>
      <c r="H2544" s="575"/>
      <c r="I2544" s="575"/>
      <c r="J2544" s="575"/>
      <c r="K2544" s="575"/>
    </row>
    <row r="2545" spans="1:11" x14ac:dyDescent="0.2">
      <c r="A2545" s="583"/>
      <c r="B2545" s="640"/>
      <c r="F2545" s="575"/>
      <c r="G2545" s="575"/>
      <c r="H2545" s="575"/>
      <c r="I2545" s="575"/>
      <c r="J2545" s="575"/>
      <c r="K2545" s="575"/>
    </row>
    <row r="2546" spans="1:11" x14ac:dyDescent="0.2">
      <c r="A2546" s="583"/>
      <c r="B2546" s="640"/>
      <c r="F2546" s="575"/>
      <c r="G2546" s="575"/>
      <c r="H2546" s="575"/>
      <c r="I2546" s="575"/>
      <c r="J2546" s="575"/>
      <c r="K2546" s="575"/>
    </row>
    <row r="2547" spans="1:11" x14ac:dyDescent="0.2">
      <c r="A2547" s="583"/>
      <c r="B2547" s="640"/>
      <c r="F2547" s="575"/>
      <c r="G2547" s="575"/>
      <c r="H2547" s="575"/>
      <c r="I2547" s="575"/>
      <c r="J2547" s="575"/>
      <c r="K2547" s="575"/>
    </row>
    <row r="2548" spans="1:11" x14ac:dyDescent="0.2">
      <c r="A2548" s="583"/>
      <c r="B2548" s="640"/>
      <c r="F2548" s="575"/>
      <c r="G2548" s="575"/>
      <c r="H2548" s="575"/>
      <c r="I2548" s="575"/>
      <c r="J2548" s="575"/>
      <c r="K2548" s="575"/>
    </row>
    <row r="2549" spans="1:11" x14ac:dyDescent="0.2">
      <c r="A2549" s="583"/>
      <c r="B2549" s="640"/>
      <c r="F2549" s="575"/>
      <c r="G2549" s="575"/>
      <c r="H2549" s="575"/>
      <c r="I2549" s="575"/>
      <c r="J2549" s="575"/>
      <c r="K2549" s="575"/>
    </row>
    <row r="2550" spans="1:11" x14ac:dyDescent="0.2">
      <c r="A2550" s="583"/>
      <c r="B2550" s="640"/>
      <c r="F2550" s="575"/>
      <c r="G2550" s="575"/>
      <c r="H2550" s="575"/>
      <c r="I2550" s="575"/>
      <c r="J2550" s="575"/>
      <c r="K2550" s="575"/>
    </row>
    <row r="2551" spans="1:11" x14ac:dyDescent="0.2">
      <c r="A2551" s="583"/>
      <c r="B2551" s="640"/>
      <c r="F2551" s="575"/>
      <c r="G2551" s="575"/>
      <c r="H2551" s="575"/>
      <c r="I2551" s="575"/>
      <c r="J2551" s="575"/>
      <c r="K2551" s="575"/>
    </row>
    <row r="2552" spans="1:11" x14ac:dyDescent="0.2">
      <c r="A2552" s="583"/>
      <c r="B2552" s="640"/>
      <c r="F2552" s="575"/>
      <c r="G2552" s="575"/>
      <c r="H2552" s="575"/>
      <c r="I2552" s="575"/>
      <c r="J2552" s="575"/>
      <c r="K2552" s="575"/>
    </row>
    <row r="2553" spans="1:11" x14ac:dyDescent="0.2">
      <c r="A2553" s="583"/>
      <c r="B2553" s="640"/>
      <c r="F2553" s="575"/>
      <c r="G2553" s="575"/>
      <c r="H2553" s="575"/>
      <c r="I2553" s="575"/>
      <c r="J2553" s="575"/>
      <c r="K2553" s="575"/>
    </row>
    <row r="2554" spans="1:11" x14ac:dyDescent="0.2">
      <c r="A2554" s="583"/>
      <c r="B2554" s="640"/>
      <c r="F2554" s="575"/>
      <c r="G2554" s="575"/>
      <c r="H2554" s="575"/>
      <c r="I2554" s="575"/>
      <c r="J2554" s="575"/>
      <c r="K2554" s="575"/>
    </row>
    <row r="2555" spans="1:11" x14ac:dyDescent="0.2">
      <c r="A2555" s="583"/>
      <c r="B2555" s="640"/>
      <c r="F2555" s="575"/>
      <c r="G2555" s="575"/>
      <c r="H2555" s="575"/>
      <c r="I2555" s="575"/>
      <c r="J2555" s="575"/>
      <c r="K2555" s="575"/>
    </row>
    <row r="2556" spans="1:11" x14ac:dyDescent="0.2">
      <c r="A2556" s="583"/>
      <c r="B2556" s="640"/>
      <c r="F2556" s="575"/>
      <c r="G2556" s="575"/>
      <c r="H2556" s="575"/>
      <c r="I2556" s="575"/>
      <c r="J2556" s="575"/>
      <c r="K2556" s="575"/>
    </row>
    <row r="2557" spans="1:11" x14ac:dyDescent="0.2">
      <c r="A2557" s="583"/>
      <c r="B2557" s="640"/>
      <c r="F2557" s="575"/>
      <c r="G2557" s="575"/>
      <c r="H2557" s="575"/>
      <c r="I2557" s="575"/>
      <c r="J2557" s="575"/>
      <c r="K2557" s="575"/>
    </row>
    <row r="2558" spans="1:11" x14ac:dyDescent="0.2">
      <c r="A2558" s="583"/>
      <c r="B2558" s="640"/>
      <c r="F2558" s="575"/>
      <c r="G2558" s="575"/>
      <c r="H2558" s="575"/>
      <c r="I2558" s="575"/>
      <c r="J2558" s="575"/>
      <c r="K2558" s="575"/>
    </row>
    <row r="2559" spans="1:11" x14ac:dyDescent="0.2">
      <c r="A2559" s="583"/>
      <c r="B2559" s="640"/>
      <c r="F2559" s="575"/>
      <c r="G2559" s="575"/>
      <c r="H2559" s="575"/>
      <c r="I2559" s="575"/>
      <c r="J2559" s="575"/>
      <c r="K2559" s="575"/>
    </row>
    <row r="2560" spans="1:11" x14ac:dyDescent="0.2">
      <c r="A2560" s="583"/>
      <c r="B2560" s="640"/>
      <c r="F2560" s="575"/>
      <c r="G2560" s="575"/>
      <c r="H2560" s="575"/>
      <c r="I2560" s="575"/>
      <c r="J2560" s="575"/>
      <c r="K2560" s="575"/>
    </row>
    <row r="2561" spans="1:11" x14ac:dyDescent="0.2">
      <c r="A2561" s="583"/>
      <c r="B2561" s="640"/>
      <c r="F2561" s="575"/>
      <c r="G2561" s="575"/>
      <c r="H2561" s="575"/>
      <c r="I2561" s="575"/>
      <c r="J2561" s="575"/>
      <c r="K2561" s="575"/>
    </row>
    <row r="2562" spans="1:11" x14ac:dyDescent="0.2">
      <c r="A2562" s="583"/>
      <c r="B2562" s="640"/>
      <c r="F2562" s="575"/>
      <c r="G2562" s="575"/>
      <c r="H2562" s="575"/>
      <c r="I2562" s="575"/>
      <c r="J2562" s="575"/>
      <c r="K2562" s="575"/>
    </row>
    <row r="2563" spans="1:11" x14ac:dyDescent="0.2">
      <c r="A2563" s="583"/>
      <c r="B2563" s="640"/>
      <c r="F2563" s="575"/>
      <c r="G2563" s="575"/>
      <c r="H2563" s="575"/>
      <c r="I2563" s="575"/>
      <c r="J2563" s="575"/>
      <c r="K2563" s="575"/>
    </row>
    <row r="2564" spans="1:11" x14ac:dyDescent="0.2">
      <c r="A2564" s="583"/>
      <c r="B2564" s="640"/>
      <c r="F2564" s="575"/>
      <c r="G2564" s="575"/>
      <c r="H2564" s="575"/>
      <c r="I2564" s="575"/>
      <c r="J2564" s="575"/>
      <c r="K2564" s="575"/>
    </row>
    <row r="2565" spans="1:11" x14ac:dyDescent="0.2">
      <c r="A2565" s="583"/>
      <c r="B2565" s="640"/>
      <c r="F2565" s="575"/>
      <c r="G2565" s="575"/>
      <c r="H2565" s="575"/>
      <c r="I2565" s="575"/>
      <c r="J2565" s="575"/>
      <c r="K2565" s="575"/>
    </row>
    <row r="2566" spans="1:11" x14ac:dyDescent="0.2">
      <c r="A2566" s="583"/>
      <c r="B2566" s="640"/>
      <c r="F2566" s="575"/>
      <c r="G2566" s="575"/>
      <c r="H2566" s="575"/>
      <c r="I2566" s="575"/>
      <c r="J2566" s="575"/>
      <c r="K2566" s="575"/>
    </row>
    <row r="2567" spans="1:11" x14ac:dyDescent="0.2">
      <c r="A2567" s="583"/>
      <c r="B2567" s="640"/>
      <c r="F2567" s="575"/>
      <c r="G2567" s="575"/>
      <c r="H2567" s="575"/>
      <c r="I2567" s="575"/>
      <c r="J2567" s="575"/>
      <c r="K2567" s="575"/>
    </row>
    <row r="2568" spans="1:11" x14ac:dyDescent="0.2">
      <c r="A2568" s="583"/>
      <c r="B2568" s="640"/>
      <c r="F2568" s="575"/>
      <c r="G2568" s="575"/>
      <c r="H2568" s="575"/>
      <c r="I2568" s="575"/>
      <c r="J2568" s="575"/>
      <c r="K2568" s="575"/>
    </row>
    <row r="2569" spans="1:11" x14ac:dyDescent="0.2">
      <c r="A2569" s="583"/>
      <c r="B2569" s="640"/>
      <c r="F2569" s="575"/>
      <c r="G2569" s="575"/>
      <c r="H2569" s="575"/>
      <c r="I2569" s="575"/>
      <c r="J2569" s="575"/>
      <c r="K2569" s="575"/>
    </row>
    <row r="2570" spans="1:11" x14ac:dyDescent="0.2">
      <c r="A2570" s="583"/>
      <c r="B2570" s="640"/>
      <c r="F2570" s="575"/>
      <c r="G2570" s="575"/>
      <c r="H2570" s="575"/>
      <c r="I2570" s="575"/>
      <c r="J2570" s="575"/>
      <c r="K2570" s="575"/>
    </row>
    <row r="2571" spans="1:11" x14ac:dyDescent="0.2">
      <c r="A2571" s="583"/>
      <c r="B2571" s="640"/>
      <c r="F2571" s="575"/>
      <c r="G2571" s="575"/>
      <c r="H2571" s="575"/>
      <c r="I2571" s="575"/>
      <c r="J2571" s="575"/>
      <c r="K2571" s="575"/>
    </row>
    <row r="2572" spans="1:11" x14ac:dyDescent="0.2">
      <c r="A2572" s="583"/>
      <c r="B2572" s="640"/>
      <c r="F2572" s="575"/>
      <c r="G2572" s="575"/>
      <c r="H2572" s="575"/>
      <c r="I2572" s="575"/>
      <c r="J2572" s="575"/>
      <c r="K2572" s="575"/>
    </row>
    <row r="2573" spans="1:11" x14ac:dyDescent="0.2">
      <c r="A2573" s="583"/>
      <c r="B2573" s="640"/>
      <c r="F2573" s="575"/>
      <c r="G2573" s="575"/>
      <c r="H2573" s="575"/>
      <c r="I2573" s="575"/>
      <c r="J2573" s="575"/>
      <c r="K2573" s="575"/>
    </row>
    <row r="2574" spans="1:11" x14ac:dyDescent="0.2">
      <c r="A2574" s="583"/>
      <c r="B2574" s="640"/>
      <c r="F2574" s="575"/>
      <c r="G2574" s="575"/>
      <c r="H2574" s="575"/>
      <c r="I2574" s="575"/>
      <c r="J2574" s="575"/>
      <c r="K2574" s="575"/>
    </row>
    <row r="2575" spans="1:11" x14ac:dyDescent="0.2">
      <c r="A2575" s="583"/>
      <c r="B2575" s="640"/>
      <c r="F2575" s="575"/>
      <c r="G2575" s="575"/>
      <c r="H2575" s="575"/>
      <c r="I2575" s="575"/>
      <c r="J2575" s="575"/>
      <c r="K2575" s="575"/>
    </row>
    <row r="2576" spans="1:11" x14ac:dyDescent="0.2">
      <c r="A2576" s="583"/>
      <c r="B2576" s="640"/>
      <c r="F2576" s="575"/>
      <c r="G2576" s="575"/>
      <c r="H2576" s="575"/>
      <c r="I2576" s="575"/>
      <c r="J2576" s="575"/>
      <c r="K2576" s="575"/>
    </row>
    <row r="2577" spans="1:11" x14ac:dyDescent="0.2">
      <c r="A2577" s="583"/>
      <c r="B2577" s="640"/>
      <c r="F2577" s="575"/>
      <c r="G2577" s="575"/>
      <c r="H2577" s="575"/>
      <c r="I2577" s="575"/>
      <c r="J2577" s="575"/>
      <c r="K2577" s="575"/>
    </row>
    <row r="2578" spans="1:11" x14ac:dyDescent="0.2">
      <c r="A2578" s="583"/>
      <c r="B2578" s="640"/>
      <c r="F2578" s="575"/>
      <c r="G2578" s="575"/>
      <c r="H2578" s="575"/>
      <c r="I2578" s="575"/>
      <c r="J2578" s="575"/>
      <c r="K2578" s="575"/>
    </row>
    <row r="2579" spans="1:11" x14ac:dyDescent="0.2">
      <c r="A2579" s="583"/>
      <c r="B2579" s="640"/>
      <c r="F2579" s="575"/>
      <c r="G2579" s="575"/>
      <c r="H2579" s="575"/>
      <c r="I2579" s="575"/>
      <c r="J2579" s="575"/>
      <c r="K2579" s="575"/>
    </row>
    <row r="2580" spans="1:11" x14ac:dyDescent="0.2">
      <c r="A2580" s="583"/>
      <c r="B2580" s="640"/>
      <c r="F2580" s="575"/>
      <c r="G2580" s="575"/>
      <c r="H2580" s="575"/>
      <c r="I2580" s="575"/>
      <c r="J2580" s="575"/>
      <c r="K2580" s="575"/>
    </row>
    <row r="2581" spans="1:11" x14ac:dyDescent="0.2">
      <c r="A2581" s="583"/>
      <c r="B2581" s="640"/>
      <c r="F2581" s="575"/>
      <c r="G2581" s="575"/>
      <c r="H2581" s="575"/>
      <c r="I2581" s="575"/>
      <c r="J2581" s="575"/>
      <c r="K2581" s="575"/>
    </row>
    <row r="2582" spans="1:11" x14ac:dyDescent="0.2">
      <c r="A2582" s="583"/>
      <c r="B2582" s="640"/>
      <c r="F2582" s="575"/>
      <c r="G2582" s="575"/>
      <c r="H2582" s="575"/>
      <c r="I2582" s="575"/>
      <c r="J2582" s="575"/>
      <c r="K2582" s="575"/>
    </row>
    <row r="2583" spans="1:11" x14ac:dyDescent="0.2">
      <c r="A2583" s="583"/>
      <c r="B2583" s="640"/>
      <c r="F2583" s="575"/>
      <c r="G2583" s="575"/>
      <c r="H2583" s="575"/>
      <c r="I2583" s="575"/>
      <c r="J2583" s="575"/>
      <c r="K2583" s="575"/>
    </row>
    <row r="2584" spans="1:11" x14ac:dyDescent="0.2">
      <c r="A2584" s="583"/>
      <c r="B2584" s="640"/>
      <c r="F2584" s="575"/>
      <c r="G2584" s="575"/>
      <c r="H2584" s="575"/>
      <c r="I2584" s="575"/>
      <c r="J2584" s="575"/>
      <c r="K2584" s="575"/>
    </row>
    <row r="2585" spans="1:11" x14ac:dyDescent="0.2">
      <c r="A2585" s="583"/>
      <c r="B2585" s="640"/>
      <c r="F2585" s="575"/>
      <c r="G2585" s="575"/>
      <c r="H2585" s="575"/>
      <c r="I2585" s="575"/>
      <c r="J2585" s="575"/>
      <c r="K2585" s="575"/>
    </row>
    <row r="2586" spans="1:11" x14ac:dyDescent="0.2">
      <c r="A2586" s="583"/>
      <c r="B2586" s="640"/>
      <c r="F2586" s="575"/>
      <c r="G2586" s="575"/>
      <c r="H2586" s="575"/>
      <c r="I2586" s="575"/>
      <c r="J2586" s="575"/>
      <c r="K2586" s="575"/>
    </row>
    <row r="2587" spans="1:11" x14ac:dyDescent="0.2">
      <c r="A2587" s="583"/>
      <c r="B2587" s="640"/>
      <c r="F2587" s="575"/>
      <c r="G2587" s="575"/>
      <c r="H2587" s="575"/>
      <c r="I2587" s="575"/>
      <c r="J2587" s="575"/>
      <c r="K2587" s="575"/>
    </row>
    <row r="2588" spans="1:11" x14ac:dyDescent="0.2">
      <c r="A2588" s="583"/>
      <c r="B2588" s="640"/>
      <c r="F2588" s="575"/>
      <c r="G2588" s="575"/>
      <c r="H2588" s="575"/>
      <c r="I2588" s="575"/>
      <c r="J2588" s="575"/>
      <c r="K2588" s="575"/>
    </row>
    <row r="2589" spans="1:11" x14ac:dyDescent="0.2">
      <c r="A2589" s="583"/>
      <c r="B2589" s="640"/>
      <c r="F2589" s="575"/>
      <c r="G2589" s="575"/>
      <c r="H2589" s="575"/>
      <c r="I2589" s="575"/>
      <c r="J2589" s="575"/>
      <c r="K2589" s="575"/>
    </row>
    <row r="2590" spans="1:11" x14ac:dyDescent="0.2">
      <c r="A2590" s="583"/>
      <c r="B2590" s="640"/>
      <c r="F2590" s="575"/>
      <c r="G2590" s="575"/>
      <c r="H2590" s="575"/>
      <c r="I2590" s="575"/>
      <c r="J2590" s="575"/>
      <c r="K2590" s="575"/>
    </row>
    <row r="2591" spans="1:11" x14ac:dyDescent="0.2">
      <c r="A2591" s="583"/>
      <c r="B2591" s="640"/>
      <c r="F2591" s="575"/>
      <c r="G2591" s="575"/>
      <c r="H2591" s="575"/>
      <c r="I2591" s="575"/>
      <c r="J2591" s="575"/>
      <c r="K2591" s="575"/>
    </row>
    <row r="2592" spans="1:11" x14ac:dyDescent="0.2">
      <c r="A2592" s="583"/>
      <c r="B2592" s="640"/>
      <c r="F2592" s="575"/>
      <c r="G2592" s="575"/>
      <c r="H2592" s="575"/>
      <c r="I2592" s="575"/>
      <c r="J2592" s="575"/>
      <c r="K2592" s="575"/>
    </row>
    <row r="2593" spans="1:11" x14ac:dyDescent="0.2">
      <c r="A2593" s="583"/>
      <c r="B2593" s="640"/>
      <c r="F2593" s="575"/>
      <c r="G2593" s="575"/>
      <c r="H2593" s="575"/>
      <c r="I2593" s="575"/>
      <c r="J2593" s="575"/>
      <c r="K2593" s="575"/>
    </row>
    <row r="2594" spans="1:11" x14ac:dyDescent="0.2">
      <c r="A2594" s="583"/>
      <c r="B2594" s="640"/>
      <c r="F2594" s="575"/>
      <c r="G2594" s="575"/>
      <c r="H2594" s="575"/>
      <c r="I2594" s="575"/>
      <c r="J2594" s="575"/>
      <c r="K2594" s="575"/>
    </row>
    <row r="2595" spans="1:11" x14ac:dyDescent="0.2">
      <c r="A2595" s="583"/>
      <c r="B2595" s="640"/>
      <c r="F2595" s="575"/>
      <c r="G2595" s="575"/>
      <c r="H2595" s="575"/>
      <c r="I2595" s="575"/>
      <c r="J2595" s="575"/>
      <c r="K2595" s="575"/>
    </row>
    <row r="2596" spans="1:11" x14ac:dyDescent="0.2">
      <c r="A2596" s="583"/>
      <c r="B2596" s="640"/>
      <c r="F2596" s="575"/>
      <c r="G2596" s="575"/>
      <c r="H2596" s="575"/>
      <c r="I2596" s="575"/>
      <c r="J2596" s="575"/>
      <c r="K2596" s="575"/>
    </row>
    <row r="2597" spans="1:11" x14ac:dyDescent="0.2">
      <c r="A2597" s="583"/>
      <c r="B2597" s="640"/>
      <c r="F2597" s="575"/>
      <c r="G2597" s="575"/>
      <c r="H2597" s="575"/>
      <c r="I2597" s="575"/>
      <c r="J2597" s="575"/>
      <c r="K2597" s="575"/>
    </row>
    <row r="2598" spans="1:11" x14ac:dyDescent="0.2">
      <c r="A2598" s="583"/>
      <c r="B2598" s="640"/>
      <c r="F2598" s="575"/>
      <c r="G2598" s="575"/>
      <c r="H2598" s="575"/>
      <c r="I2598" s="575"/>
      <c r="J2598" s="575"/>
      <c r="K2598" s="575"/>
    </row>
    <row r="2599" spans="1:11" x14ac:dyDescent="0.2">
      <c r="A2599" s="583"/>
      <c r="B2599" s="640"/>
      <c r="F2599" s="575"/>
      <c r="G2599" s="575"/>
      <c r="H2599" s="575"/>
      <c r="I2599" s="575"/>
      <c r="J2599" s="575"/>
      <c r="K2599" s="575"/>
    </row>
    <row r="2600" spans="1:11" x14ac:dyDescent="0.2">
      <c r="A2600" s="583"/>
      <c r="B2600" s="640"/>
      <c r="F2600" s="575"/>
      <c r="G2600" s="575"/>
      <c r="H2600" s="575"/>
      <c r="I2600" s="575"/>
      <c r="J2600" s="575"/>
      <c r="K2600" s="575"/>
    </row>
    <row r="2601" spans="1:11" x14ac:dyDescent="0.2">
      <c r="A2601" s="583"/>
      <c r="B2601" s="640"/>
      <c r="F2601" s="575"/>
      <c r="G2601" s="575"/>
      <c r="H2601" s="575"/>
      <c r="I2601" s="575"/>
      <c r="J2601" s="575"/>
      <c r="K2601" s="575"/>
    </row>
    <row r="2602" spans="1:11" x14ac:dyDescent="0.2">
      <c r="A2602" s="583"/>
      <c r="B2602" s="640"/>
      <c r="F2602" s="575"/>
      <c r="G2602" s="575"/>
      <c r="H2602" s="575"/>
      <c r="I2602" s="575"/>
      <c r="J2602" s="575"/>
      <c r="K2602" s="575"/>
    </row>
    <row r="2603" spans="1:11" x14ac:dyDescent="0.2">
      <c r="A2603" s="583"/>
      <c r="B2603" s="640"/>
      <c r="F2603" s="575"/>
      <c r="G2603" s="575"/>
      <c r="H2603" s="575"/>
      <c r="I2603" s="575"/>
      <c r="J2603" s="575"/>
      <c r="K2603" s="575"/>
    </row>
    <row r="2604" spans="1:11" x14ac:dyDescent="0.2">
      <c r="A2604" s="583"/>
      <c r="B2604" s="640"/>
      <c r="F2604" s="575"/>
      <c r="G2604" s="575"/>
      <c r="H2604" s="575"/>
      <c r="I2604" s="575"/>
      <c r="J2604" s="575"/>
      <c r="K2604" s="575"/>
    </row>
    <row r="2605" spans="1:11" x14ac:dyDescent="0.2">
      <c r="A2605" s="583"/>
      <c r="B2605" s="640"/>
      <c r="F2605" s="575"/>
      <c r="G2605" s="575"/>
      <c r="H2605" s="575"/>
      <c r="I2605" s="575"/>
      <c r="J2605" s="575"/>
      <c r="K2605" s="575"/>
    </row>
    <row r="2606" spans="1:11" x14ac:dyDescent="0.2">
      <c r="A2606" s="583"/>
      <c r="B2606" s="640"/>
      <c r="F2606" s="575"/>
      <c r="G2606" s="575"/>
      <c r="H2606" s="575"/>
      <c r="I2606" s="575"/>
      <c r="J2606" s="575"/>
      <c r="K2606" s="575"/>
    </row>
    <row r="2607" spans="1:11" x14ac:dyDescent="0.2">
      <c r="A2607" s="583"/>
      <c r="B2607" s="640"/>
      <c r="F2607" s="575"/>
      <c r="G2607" s="575"/>
      <c r="H2607" s="575"/>
      <c r="I2607" s="575"/>
      <c r="J2607" s="575"/>
      <c r="K2607" s="575"/>
    </row>
    <row r="2608" spans="1:11" x14ac:dyDescent="0.2">
      <c r="A2608" s="583"/>
      <c r="B2608" s="640"/>
      <c r="F2608" s="575"/>
      <c r="G2608" s="575"/>
      <c r="H2608" s="575"/>
      <c r="I2608" s="575"/>
      <c r="J2608" s="575"/>
      <c r="K2608" s="575"/>
    </row>
    <row r="2609" spans="1:11" x14ac:dyDescent="0.2">
      <c r="A2609" s="583"/>
      <c r="B2609" s="640"/>
      <c r="F2609" s="575"/>
      <c r="G2609" s="575"/>
      <c r="H2609" s="575"/>
      <c r="I2609" s="575"/>
      <c r="J2609" s="575"/>
      <c r="K2609" s="575"/>
    </row>
    <row r="2610" spans="1:11" x14ac:dyDescent="0.2">
      <c r="A2610" s="583"/>
      <c r="B2610" s="640"/>
      <c r="F2610" s="575"/>
      <c r="G2610" s="575"/>
      <c r="H2610" s="575"/>
      <c r="I2610" s="575"/>
      <c r="J2610" s="575"/>
      <c r="K2610" s="575"/>
    </row>
    <row r="2611" spans="1:11" x14ac:dyDescent="0.2">
      <c r="A2611" s="583"/>
      <c r="B2611" s="640"/>
      <c r="F2611" s="575"/>
      <c r="G2611" s="575"/>
      <c r="H2611" s="575"/>
      <c r="I2611" s="575"/>
      <c r="J2611" s="575"/>
      <c r="K2611" s="575"/>
    </row>
    <row r="2612" spans="1:11" x14ac:dyDescent="0.2">
      <c r="A2612" s="583"/>
      <c r="B2612" s="640"/>
      <c r="F2612" s="575"/>
      <c r="G2612" s="575"/>
      <c r="H2612" s="575"/>
      <c r="I2612" s="575"/>
      <c r="J2612" s="575"/>
      <c r="K2612" s="575"/>
    </row>
    <row r="2613" spans="1:11" x14ac:dyDescent="0.2">
      <c r="A2613" s="583"/>
      <c r="B2613" s="640"/>
      <c r="F2613" s="575"/>
      <c r="G2613" s="575"/>
      <c r="H2613" s="575"/>
      <c r="I2613" s="575"/>
      <c r="J2613" s="575"/>
      <c r="K2613" s="575"/>
    </row>
    <row r="2614" spans="1:11" x14ac:dyDescent="0.2">
      <c r="A2614" s="583"/>
      <c r="B2614" s="640"/>
      <c r="F2614" s="575"/>
      <c r="G2614" s="575"/>
      <c r="H2614" s="575"/>
      <c r="I2614" s="575"/>
      <c r="J2614" s="575"/>
      <c r="K2614" s="575"/>
    </row>
    <row r="2615" spans="1:11" x14ac:dyDescent="0.2">
      <c r="A2615" s="583"/>
      <c r="B2615" s="640"/>
      <c r="F2615" s="575"/>
      <c r="G2615" s="575"/>
      <c r="H2615" s="575"/>
      <c r="I2615" s="575"/>
      <c r="J2615" s="575"/>
      <c r="K2615" s="575"/>
    </row>
    <row r="2616" spans="1:11" x14ac:dyDescent="0.2">
      <c r="A2616" s="583"/>
      <c r="B2616" s="640"/>
      <c r="F2616" s="575"/>
      <c r="G2616" s="575"/>
      <c r="H2616" s="575"/>
      <c r="I2616" s="575"/>
      <c r="J2616" s="575"/>
      <c r="K2616" s="575"/>
    </row>
    <row r="2617" spans="1:11" x14ac:dyDescent="0.2">
      <c r="A2617" s="583"/>
      <c r="B2617" s="640"/>
      <c r="F2617" s="575"/>
      <c r="G2617" s="575"/>
      <c r="H2617" s="575"/>
      <c r="I2617" s="575"/>
      <c r="J2617" s="575"/>
      <c r="K2617" s="575"/>
    </row>
    <row r="2618" spans="1:11" x14ac:dyDescent="0.2">
      <c r="A2618" s="583"/>
      <c r="B2618" s="640"/>
      <c r="F2618" s="575"/>
      <c r="G2618" s="575"/>
      <c r="H2618" s="575"/>
      <c r="I2618" s="575"/>
      <c r="J2618" s="575"/>
      <c r="K2618" s="575"/>
    </row>
    <row r="2619" spans="1:11" x14ac:dyDescent="0.2">
      <c r="A2619" s="583"/>
      <c r="B2619" s="640"/>
      <c r="F2619" s="575"/>
      <c r="G2619" s="575"/>
      <c r="H2619" s="575"/>
      <c r="I2619" s="575"/>
      <c r="J2619" s="575"/>
      <c r="K2619" s="575"/>
    </row>
    <row r="2620" spans="1:11" x14ac:dyDescent="0.2">
      <c r="A2620" s="583"/>
      <c r="B2620" s="640"/>
      <c r="F2620" s="575"/>
      <c r="G2620" s="575"/>
      <c r="H2620" s="575"/>
      <c r="I2620" s="575"/>
      <c r="J2620" s="575"/>
      <c r="K2620" s="575"/>
    </row>
    <row r="2621" spans="1:11" x14ac:dyDescent="0.2">
      <c r="A2621" s="583"/>
      <c r="B2621" s="640"/>
      <c r="F2621" s="575"/>
      <c r="G2621" s="575"/>
      <c r="H2621" s="575"/>
      <c r="I2621" s="575"/>
      <c r="J2621" s="575"/>
      <c r="K2621" s="575"/>
    </row>
    <row r="2622" spans="1:11" x14ac:dyDescent="0.2">
      <c r="A2622" s="583"/>
      <c r="B2622" s="640"/>
      <c r="F2622" s="575"/>
      <c r="G2622" s="575"/>
      <c r="H2622" s="575"/>
      <c r="I2622" s="575"/>
      <c r="J2622" s="575"/>
      <c r="K2622" s="575"/>
    </row>
    <row r="2623" spans="1:11" x14ac:dyDescent="0.2">
      <c r="A2623" s="583"/>
      <c r="B2623" s="640"/>
      <c r="F2623" s="575"/>
      <c r="G2623" s="575"/>
      <c r="H2623" s="575"/>
      <c r="I2623" s="575"/>
      <c r="J2623" s="575"/>
      <c r="K2623" s="575"/>
    </row>
    <row r="2624" spans="1:11" x14ac:dyDescent="0.2">
      <c r="A2624" s="583"/>
      <c r="B2624" s="640"/>
      <c r="F2624" s="575"/>
      <c r="G2624" s="575"/>
      <c r="H2624" s="575"/>
      <c r="I2624" s="575"/>
      <c r="J2624" s="575"/>
      <c r="K2624" s="575"/>
    </row>
    <row r="2625" spans="1:11" x14ac:dyDescent="0.2">
      <c r="A2625" s="583"/>
      <c r="B2625" s="640"/>
      <c r="F2625" s="575"/>
      <c r="G2625" s="575"/>
      <c r="H2625" s="575"/>
      <c r="I2625" s="575"/>
      <c r="J2625" s="575"/>
      <c r="K2625" s="575"/>
    </row>
    <row r="2626" spans="1:11" x14ac:dyDescent="0.2">
      <c r="A2626" s="583"/>
      <c r="B2626" s="640"/>
      <c r="F2626" s="575"/>
      <c r="G2626" s="575"/>
      <c r="H2626" s="575"/>
      <c r="I2626" s="575"/>
      <c r="J2626" s="575"/>
      <c r="K2626" s="575"/>
    </row>
    <row r="2627" spans="1:11" x14ac:dyDescent="0.2">
      <c r="A2627" s="583"/>
      <c r="B2627" s="640"/>
      <c r="F2627" s="575"/>
      <c r="G2627" s="575"/>
      <c r="H2627" s="575"/>
      <c r="I2627" s="575"/>
      <c r="J2627" s="575"/>
      <c r="K2627" s="575"/>
    </row>
    <row r="2628" spans="1:11" x14ac:dyDescent="0.2">
      <c r="A2628" s="583"/>
      <c r="B2628" s="640"/>
      <c r="F2628" s="575"/>
      <c r="G2628" s="575"/>
      <c r="H2628" s="575"/>
      <c r="I2628" s="575"/>
      <c r="J2628" s="575"/>
      <c r="K2628" s="575"/>
    </row>
    <row r="2629" spans="1:11" x14ac:dyDescent="0.2">
      <c r="A2629" s="583"/>
      <c r="B2629" s="640"/>
      <c r="F2629" s="575"/>
      <c r="G2629" s="575"/>
      <c r="H2629" s="575"/>
      <c r="I2629" s="575"/>
      <c r="J2629" s="575"/>
      <c r="K2629" s="575"/>
    </row>
    <row r="2630" spans="1:11" x14ac:dyDescent="0.2">
      <c r="A2630" s="583"/>
      <c r="B2630" s="640"/>
      <c r="F2630" s="575"/>
      <c r="G2630" s="575"/>
      <c r="H2630" s="575"/>
      <c r="I2630" s="575"/>
      <c r="J2630" s="575"/>
      <c r="K2630" s="575"/>
    </row>
    <row r="2631" spans="1:11" x14ac:dyDescent="0.2">
      <c r="A2631" s="583"/>
      <c r="B2631" s="640"/>
      <c r="F2631" s="575"/>
      <c r="G2631" s="575"/>
      <c r="H2631" s="575"/>
      <c r="I2631" s="575"/>
      <c r="J2631" s="575"/>
      <c r="K2631" s="575"/>
    </row>
    <row r="2632" spans="1:11" x14ac:dyDescent="0.2">
      <c r="A2632" s="583"/>
      <c r="B2632" s="640"/>
      <c r="F2632" s="575"/>
      <c r="G2632" s="575"/>
      <c r="H2632" s="575"/>
      <c r="I2632" s="575"/>
      <c r="J2632" s="575"/>
      <c r="K2632" s="575"/>
    </row>
    <row r="2633" spans="1:11" x14ac:dyDescent="0.2">
      <c r="A2633" s="583"/>
      <c r="B2633" s="640"/>
      <c r="F2633" s="575"/>
      <c r="G2633" s="575"/>
      <c r="H2633" s="575"/>
      <c r="I2633" s="575"/>
      <c r="J2633" s="575"/>
      <c r="K2633" s="575"/>
    </row>
    <row r="2634" spans="1:11" x14ac:dyDescent="0.2">
      <c r="A2634" s="583"/>
      <c r="B2634" s="640"/>
      <c r="F2634" s="575"/>
      <c r="G2634" s="575"/>
      <c r="H2634" s="575"/>
      <c r="I2634" s="575"/>
      <c r="J2634" s="575"/>
      <c r="K2634" s="575"/>
    </row>
    <row r="2635" spans="1:11" x14ac:dyDescent="0.2">
      <c r="A2635" s="583"/>
      <c r="B2635" s="640"/>
      <c r="F2635" s="575"/>
      <c r="G2635" s="575"/>
      <c r="H2635" s="575"/>
      <c r="I2635" s="575"/>
      <c r="J2635" s="575"/>
      <c r="K2635" s="575"/>
    </row>
    <row r="2636" spans="1:11" x14ac:dyDescent="0.2">
      <c r="A2636" s="583"/>
      <c r="B2636" s="640"/>
      <c r="F2636" s="575"/>
      <c r="G2636" s="575"/>
      <c r="H2636" s="575"/>
      <c r="I2636" s="575"/>
      <c r="J2636" s="575"/>
      <c r="K2636" s="575"/>
    </row>
    <row r="2637" spans="1:11" x14ac:dyDescent="0.2">
      <c r="A2637" s="583"/>
      <c r="B2637" s="640"/>
      <c r="F2637" s="575"/>
      <c r="G2637" s="575"/>
      <c r="H2637" s="575"/>
      <c r="I2637" s="575"/>
      <c r="J2637" s="575"/>
      <c r="K2637" s="575"/>
    </row>
    <row r="2638" spans="1:11" x14ac:dyDescent="0.2">
      <c r="A2638" s="583"/>
      <c r="B2638" s="640"/>
      <c r="F2638" s="575"/>
      <c r="G2638" s="575"/>
      <c r="H2638" s="575"/>
      <c r="I2638" s="575"/>
      <c r="J2638" s="575"/>
      <c r="K2638" s="575"/>
    </row>
    <row r="2639" spans="1:11" x14ac:dyDescent="0.2">
      <c r="A2639" s="583"/>
      <c r="B2639" s="640"/>
      <c r="F2639" s="575"/>
      <c r="G2639" s="575"/>
      <c r="H2639" s="575"/>
      <c r="I2639" s="575"/>
      <c r="J2639" s="575"/>
      <c r="K2639" s="575"/>
    </row>
    <row r="2640" spans="1:11" x14ac:dyDescent="0.2">
      <c r="A2640" s="583"/>
      <c r="B2640" s="640"/>
      <c r="F2640" s="575"/>
      <c r="G2640" s="575"/>
      <c r="H2640" s="575"/>
      <c r="I2640" s="575"/>
      <c r="J2640" s="575"/>
      <c r="K2640" s="575"/>
    </row>
    <row r="2641" spans="1:11" x14ac:dyDescent="0.2">
      <c r="A2641" s="583"/>
      <c r="B2641" s="640"/>
      <c r="F2641" s="575"/>
      <c r="G2641" s="575"/>
      <c r="H2641" s="575"/>
      <c r="I2641" s="575"/>
      <c r="J2641" s="575"/>
      <c r="K2641" s="575"/>
    </row>
    <row r="2642" spans="1:11" x14ac:dyDescent="0.2">
      <c r="A2642" s="583"/>
      <c r="B2642" s="640"/>
      <c r="F2642" s="575"/>
      <c r="G2642" s="575"/>
      <c r="H2642" s="575"/>
      <c r="I2642" s="575"/>
      <c r="J2642" s="575"/>
      <c r="K2642" s="575"/>
    </row>
    <row r="2643" spans="1:11" x14ac:dyDescent="0.2">
      <c r="A2643" s="583"/>
      <c r="B2643" s="640"/>
      <c r="F2643" s="575"/>
      <c r="G2643" s="575"/>
      <c r="H2643" s="575"/>
      <c r="I2643" s="575"/>
      <c r="J2643" s="575"/>
      <c r="K2643" s="575"/>
    </row>
    <row r="2644" spans="1:11" x14ac:dyDescent="0.2">
      <c r="A2644" s="583"/>
      <c r="B2644" s="640"/>
      <c r="F2644" s="575"/>
      <c r="G2644" s="575"/>
      <c r="H2644" s="575"/>
      <c r="I2644" s="575"/>
      <c r="J2644" s="575"/>
      <c r="K2644" s="575"/>
    </row>
    <row r="2645" spans="1:11" x14ac:dyDescent="0.2">
      <c r="A2645" s="583"/>
      <c r="B2645" s="640"/>
      <c r="F2645" s="575"/>
      <c r="G2645" s="575"/>
      <c r="H2645" s="575"/>
      <c r="I2645" s="575"/>
      <c r="J2645" s="575"/>
      <c r="K2645" s="575"/>
    </row>
    <row r="2646" spans="1:11" x14ac:dyDescent="0.2">
      <c r="A2646" s="583"/>
      <c r="B2646" s="640"/>
      <c r="F2646" s="575"/>
      <c r="G2646" s="575"/>
      <c r="H2646" s="575"/>
      <c r="I2646" s="575"/>
      <c r="J2646" s="575"/>
      <c r="K2646" s="575"/>
    </row>
    <row r="2647" spans="1:11" x14ac:dyDescent="0.2">
      <c r="A2647" s="583"/>
      <c r="B2647" s="640"/>
      <c r="F2647" s="575"/>
      <c r="G2647" s="575"/>
      <c r="H2647" s="575"/>
      <c r="I2647" s="575"/>
      <c r="J2647" s="575"/>
      <c r="K2647" s="575"/>
    </row>
    <row r="2648" spans="1:11" x14ac:dyDescent="0.2">
      <c r="A2648" s="583"/>
      <c r="B2648" s="640"/>
      <c r="F2648" s="575"/>
      <c r="G2648" s="575"/>
      <c r="H2648" s="575"/>
      <c r="I2648" s="575"/>
      <c r="J2648" s="575"/>
      <c r="K2648" s="575"/>
    </row>
    <row r="2649" spans="1:11" x14ac:dyDescent="0.2">
      <c r="A2649" s="583"/>
      <c r="B2649" s="640"/>
      <c r="F2649" s="575"/>
      <c r="G2649" s="575"/>
      <c r="H2649" s="575"/>
      <c r="I2649" s="575"/>
      <c r="J2649" s="575"/>
      <c r="K2649" s="575"/>
    </row>
    <row r="2650" spans="1:11" x14ac:dyDescent="0.2">
      <c r="A2650" s="583"/>
      <c r="B2650" s="640"/>
      <c r="F2650" s="575"/>
      <c r="G2650" s="575"/>
      <c r="H2650" s="575"/>
      <c r="I2650" s="575"/>
      <c r="J2650" s="575"/>
      <c r="K2650" s="575"/>
    </row>
    <row r="2651" spans="1:11" x14ac:dyDescent="0.2">
      <c r="A2651" s="583"/>
      <c r="B2651" s="640"/>
      <c r="F2651" s="575"/>
      <c r="G2651" s="575"/>
      <c r="H2651" s="575"/>
      <c r="I2651" s="575"/>
      <c r="J2651" s="575"/>
      <c r="K2651" s="575"/>
    </row>
    <row r="2652" spans="1:11" x14ac:dyDescent="0.2">
      <c r="A2652" s="583"/>
      <c r="B2652" s="640"/>
      <c r="F2652" s="575"/>
      <c r="G2652" s="575"/>
      <c r="H2652" s="575"/>
      <c r="I2652" s="575"/>
      <c r="J2652" s="575"/>
      <c r="K2652" s="575"/>
    </row>
    <row r="2653" spans="1:11" x14ac:dyDescent="0.2">
      <c r="A2653" s="583"/>
      <c r="B2653" s="640"/>
      <c r="F2653" s="575"/>
      <c r="G2653" s="575"/>
      <c r="H2653" s="575"/>
      <c r="I2653" s="575"/>
      <c r="J2653" s="575"/>
      <c r="K2653" s="575"/>
    </row>
    <row r="2654" spans="1:11" x14ac:dyDescent="0.2">
      <c r="A2654" s="583"/>
      <c r="B2654" s="640"/>
      <c r="F2654" s="575"/>
      <c r="G2654" s="575"/>
      <c r="H2654" s="575"/>
      <c r="I2654" s="575"/>
      <c r="J2654" s="575"/>
      <c r="K2654" s="575"/>
    </row>
    <row r="2655" spans="1:11" x14ac:dyDescent="0.2">
      <c r="A2655" s="583"/>
      <c r="B2655" s="640"/>
      <c r="F2655" s="575"/>
      <c r="G2655" s="575"/>
      <c r="H2655" s="575"/>
      <c r="I2655" s="575"/>
      <c r="J2655" s="575"/>
      <c r="K2655" s="575"/>
    </row>
    <row r="2656" spans="1:11" x14ac:dyDescent="0.2">
      <c r="A2656" s="583"/>
      <c r="B2656" s="640"/>
      <c r="F2656" s="575"/>
      <c r="G2656" s="575"/>
      <c r="H2656" s="575"/>
      <c r="I2656" s="575"/>
      <c r="J2656" s="575"/>
      <c r="K2656" s="575"/>
    </row>
    <row r="2657" spans="1:11" x14ac:dyDescent="0.2">
      <c r="A2657" s="583"/>
      <c r="B2657" s="640"/>
      <c r="F2657" s="575"/>
      <c r="G2657" s="575"/>
      <c r="H2657" s="575"/>
      <c r="I2657" s="575"/>
      <c r="J2657" s="575"/>
      <c r="K2657" s="575"/>
    </row>
    <row r="2658" spans="1:11" x14ac:dyDescent="0.2">
      <c r="A2658" s="583"/>
      <c r="B2658" s="640"/>
      <c r="F2658" s="575"/>
      <c r="G2658" s="575"/>
      <c r="H2658" s="575"/>
      <c r="I2658" s="575"/>
      <c r="J2658" s="575"/>
      <c r="K2658" s="575"/>
    </row>
    <row r="2659" spans="1:11" x14ac:dyDescent="0.2">
      <c r="A2659" s="583"/>
      <c r="B2659" s="640"/>
      <c r="F2659" s="575"/>
      <c r="G2659" s="575"/>
      <c r="H2659" s="575"/>
      <c r="I2659" s="575"/>
      <c r="J2659" s="575"/>
      <c r="K2659" s="575"/>
    </row>
    <row r="2660" spans="1:11" x14ac:dyDescent="0.2">
      <c r="A2660" s="583"/>
      <c r="B2660" s="640"/>
      <c r="F2660" s="575"/>
      <c r="G2660" s="575"/>
      <c r="H2660" s="575"/>
      <c r="I2660" s="575"/>
      <c r="J2660" s="575"/>
      <c r="K2660" s="575"/>
    </row>
    <row r="2661" spans="1:11" x14ac:dyDescent="0.2">
      <c r="A2661" s="583"/>
      <c r="B2661" s="640"/>
      <c r="F2661" s="575"/>
      <c r="G2661" s="575"/>
      <c r="H2661" s="575"/>
      <c r="I2661" s="575"/>
      <c r="J2661" s="575"/>
      <c r="K2661" s="575"/>
    </row>
    <row r="2662" spans="1:11" x14ac:dyDescent="0.2">
      <c r="A2662" s="583"/>
      <c r="B2662" s="640"/>
      <c r="F2662" s="575"/>
      <c r="G2662" s="575"/>
      <c r="H2662" s="575"/>
      <c r="I2662" s="575"/>
      <c r="J2662" s="575"/>
      <c r="K2662" s="575"/>
    </row>
    <row r="2663" spans="1:11" x14ac:dyDescent="0.2">
      <c r="A2663" s="583"/>
      <c r="B2663" s="640"/>
      <c r="F2663" s="575"/>
      <c r="G2663" s="575"/>
      <c r="H2663" s="575"/>
      <c r="I2663" s="575"/>
      <c r="J2663" s="575"/>
      <c r="K2663" s="575"/>
    </row>
    <row r="2664" spans="1:11" x14ac:dyDescent="0.2">
      <c r="A2664" s="583"/>
      <c r="B2664" s="640"/>
      <c r="F2664" s="575"/>
      <c r="G2664" s="575"/>
      <c r="H2664" s="575"/>
      <c r="I2664" s="575"/>
      <c r="J2664" s="575"/>
      <c r="K2664" s="575"/>
    </row>
    <row r="2665" spans="1:11" x14ac:dyDescent="0.2">
      <c r="A2665" s="583"/>
      <c r="B2665" s="640"/>
      <c r="F2665" s="575"/>
      <c r="G2665" s="575"/>
      <c r="H2665" s="575"/>
      <c r="I2665" s="575"/>
      <c r="J2665" s="575"/>
      <c r="K2665" s="575"/>
    </row>
    <row r="2666" spans="1:11" x14ac:dyDescent="0.2">
      <c r="A2666" s="583"/>
      <c r="B2666" s="640"/>
      <c r="F2666" s="575"/>
      <c r="G2666" s="575"/>
      <c r="H2666" s="575"/>
      <c r="I2666" s="575"/>
      <c r="J2666" s="575"/>
      <c r="K2666" s="575"/>
    </row>
    <row r="2667" spans="1:11" x14ac:dyDescent="0.2">
      <c r="A2667" s="583"/>
      <c r="B2667" s="640"/>
      <c r="F2667" s="575"/>
      <c r="G2667" s="575"/>
      <c r="H2667" s="575"/>
      <c r="I2667" s="575"/>
      <c r="J2667" s="575"/>
      <c r="K2667" s="575"/>
    </row>
    <row r="2668" spans="1:11" x14ac:dyDescent="0.2">
      <c r="A2668" s="583"/>
      <c r="B2668" s="640"/>
      <c r="F2668" s="575"/>
      <c r="G2668" s="575"/>
      <c r="H2668" s="575"/>
      <c r="I2668" s="575"/>
      <c r="J2668" s="575"/>
      <c r="K2668" s="575"/>
    </row>
    <row r="2669" spans="1:11" x14ac:dyDescent="0.2">
      <c r="A2669" s="583"/>
      <c r="B2669" s="640"/>
      <c r="F2669" s="575"/>
      <c r="G2669" s="575"/>
      <c r="H2669" s="575"/>
      <c r="I2669" s="575"/>
      <c r="J2669" s="575"/>
      <c r="K2669" s="575"/>
    </row>
    <row r="2670" spans="1:11" x14ac:dyDescent="0.2">
      <c r="A2670" s="583"/>
      <c r="B2670" s="640"/>
      <c r="F2670" s="575"/>
      <c r="G2670" s="575"/>
      <c r="H2670" s="575"/>
      <c r="I2670" s="575"/>
      <c r="J2670" s="575"/>
      <c r="K2670" s="575"/>
    </row>
    <row r="2671" spans="1:11" x14ac:dyDescent="0.2">
      <c r="A2671" s="583"/>
      <c r="B2671" s="640"/>
      <c r="F2671" s="575"/>
      <c r="G2671" s="575"/>
      <c r="H2671" s="575"/>
      <c r="I2671" s="575"/>
      <c r="J2671" s="575"/>
      <c r="K2671" s="575"/>
    </row>
    <row r="2672" spans="1:11" x14ac:dyDescent="0.2">
      <c r="A2672" s="583"/>
      <c r="B2672" s="640"/>
      <c r="F2672" s="575"/>
      <c r="G2672" s="575"/>
      <c r="H2672" s="575"/>
      <c r="I2672" s="575"/>
      <c r="J2672" s="575"/>
      <c r="K2672" s="575"/>
    </row>
    <row r="2673" spans="1:11" x14ac:dyDescent="0.2">
      <c r="A2673" s="583"/>
      <c r="B2673" s="640"/>
      <c r="F2673" s="575"/>
      <c r="G2673" s="575"/>
      <c r="H2673" s="575"/>
      <c r="I2673" s="575"/>
      <c r="J2673" s="575"/>
      <c r="K2673" s="575"/>
    </row>
    <row r="2674" spans="1:11" x14ac:dyDescent="0.2">
      <c r="A2674" s="583"/>
      <c r="B2674" s="640"/>
      <c r="F2674" s="575"/>
      <c r="G2674" s="575"/>
      <c r="H2674" s="575"/>
      <c r="I2674" s="575"/>
      <c r="J2674" s="575"/>
      <c r="K2674" s="575"/>
    </row>
    <row r="2675" spans="1:11" x14ac:dyDescent="0.2">
      <c r="A2675" s="583"/>
      <c r="B2675" s="640"/>
      <c r="F2675" s="575"/>
      <c r="G2675" s="575"/>
      <c r="H2675" s="575"/>
      <c r="I2675" s="575"/>
      <c r="J2675" s="575"/>
      <c r="K2675" s="575"/>
    </row>
    <row r="2676" spans="1:11" x14ac:dyDescent="0.2">
      <c r="A2676" s="583"/>
      <c r="B2676" s="640"/>
      <c r="F2676" s="575"/>
      <c r="G2676" s="575"/>
      <c r="H2676" s="575"/>
      <c r="I2676" s="575"/>
      <c r="J2676" s="575"/>
      <c r="K2676" s="575"/>
    </row>
    <row r="2677" spans="1:11" x14ac:dyDescent="0.2">
      <c r="A2677" s="583"/>
      <c r="B2677" s="640"/>
      <c r="F2677" s="575"/>
      <c r="G2677" s="575"/>
      <c r="H2677" s="575"/>
      <c r="I2677" s="575"/>
      <c r="J2677" s="575"/>
      <c r="K2677" s="575"/>
    </row>
    <row r="2678" spans="1:11" x14ac:dyDescent="0.2">
      <c r="A2678" s="583"/>
      <c r="B2678" s="640"/>
      <c r="F2678" s="575"/>
      <c r="G2678" s="575"/>
      <c r="H2678" s="575"/>
      <c r="I2678" s="575"/>
      <c r="J2678" s="575"/>
      <c r="K2678" s="575"/>
    </row>
    <row r="2679" spans="1:11" x14ac:dyDescent="0.2">
      <c r="A2679" s="583"/>
      <c r="B2679" s="640"/>
      <c r="F2679" s="575"/>
      <c r="G2679" s="575"/>
      <c r="H2679" s="575"/>
      <c r="I2679" s="575"/>
      <c r="J2679" s="575"/>
      <c r="K2679" s="575"/>
    </row>
    <row r="2680" spans="1:11" x14ac:dyDescent="0.2">
      <c r="A2680" s="583"/>
      <c r="B2680" s="640"/>
      <c r="F2680" s="575"/>
      <c r="G2680" s="575"/>
      <c r="H2680" s="575"/>
      <c r="I2680" s="575"/>
      <c r="J2680" s="575"/>
      <c r="K2680" s="575"/>
    </row>
    <row r="2681" spans="1:11" x14ac:dyDescent="0.2">
      <c r="A2681" s="583"/>
      <c r="B2681" s="640"/>
      <c r="F2681" s="575"/>
      <c r="G2681" s="575"/>
      <c r="H2681" s="575"/>
      <c r="I2681" s="575"/>
      <c r="J2681" s="575"/>
      <c r="K2681" s="575"/>
    </row>
    <row r="2682" spans="1:11" x14ac:dyDescent="0.2">
      <c r="A2682" s="583"/>
      <c r="B2682" s="640"/>
      <c r="F2682" s="575"/>
      <c r="G2682" s="575"/>
      <c r="H2682" s="575"/>
      <c r="I2682" s="575"/>
      <c r="J2682" s="575"/>
      <c r="K2682" s="575"/>
    </row>
    <row r="2683" spans="1:11" x14ac:dyDescent="0.2">
      <c r="A2683" s="583"/>
      <c r="B2683" s="640"/>
      <c r="F2683" s="575"/>
      <c r="G2683" s="575"/>
      <c r="H2683" s="575"/>
      <c r="I2683" s="575"/>
      <c r="J2683" s="575"/>
      <c r="K2683" s="575"/>
    </row>
    <row r="2684" spans="1:11" x14ac:dyDescent="0.2">
      <c r="A2684" s="583"/>
      <c r="B2684" s="640"/>
      <c r="F2684" s="575"/>
      <c r="G2684" s="575"/>
      <c r="H2684" s="575"/>
      <c r="I2684" s="575"/>
      <c r="J2684" s="575"/>
      <c r="K2684" s="575"/>
    </row>
    <row r="2685" spans="1:11" x14ac:dyDescent="0.2">
      <c r="A2685" s="583"/>
      <c r="B2685" s="640"/>
      <c r="F2685" s="575"/>
      <c r="G2685" s="575"/>
      <c r="H2685" s="575"/>
      <c r="I2685" s="575"/>
      <c r="J2685" s="575"/>
      <c r="K2685" s="575"/>
    </row>
    <row r="2686" spans="1:11" x14ac:dyDescent="0.2">
      <c r="A2686" s="583"/>
      <c r="B2686" s="640"/>
      <c r="F2686" s="575"/>
      <c r="G2686" s="575"/>
      <c r="H2686" s="575"/>
      <c r="I2686" s="575"/>
      <c r="J2686" s="575"/>
      <c r="K2686" s="575"/>
    </row>
    <row r="2687" spans="1:11" x14ac:dyDescent="0.2">
      <c r="A2687" s="583"/>
      <c r="B2687" s="640"/>
      <c r="F2687" s="575"/>
      <c r="G2687" s="575"/>
      <c r="H2687" s="575"/>
      <c r="I2687" s="575"/>
      <c r="J2687" s="575"/>
      <c r="K2687" s="575"/>
    </row>
    <row r="2688" spans="1:11" x14ac:dyDescent="0.2">
      <c r="A2688" s="583"/>
      <c r="B2688" s="640"/>
      <c r="F2688" s="575"/>
      <c r="G2688" s="575"/>
      <c r="H2688" s="575"/>
      <c r="I2688" s="575"/>
      <c r="J2688" s="575"/>
      <c r="K2688" s="575"/>
    </row>
    <row r="2689" spans="1:11" x14ac:dyDescent="0.2">
      <c r="A2689" s="583"/>
      <c r="B2689" s="640"/>
      <c r="F2689" s="575"/>
      <c r="G2689" s="575"/>
      <c r="H2689" s="575"/>
      <c r="I2689" s="575"/>
      <c r="J2689" s="575"/>
      <c r="K2689" s="575"/>
    </row>
    <row r="2690" spans="1:11" x14ac:dyDescent="0.2">
      <c r="A2690" s="583"/>
      <c r="B2690" s="640"/>
      <c r="F2690" s="575"/>
      <c r="G2690" s="575"/>
      <c r="H2690" s="575"/>
      <c r="I2690" s="575"/>
      <c r="J2690" s="575"/>
      <c r="K2690" s="575"/>
    </row>
    <row r="2691" spans="1:11" x14ac:dyDescent="0.2">
      <c r="A2691" s="583"/>
      <c r="B2691" s="640"/>
      <c r="F2691" s="575"/>
      <c r="G2691" s="575"/>
      <c r="H2691" s="575"/>
      <c r="I2691" s="575"/>
      <c r="J2691" s="575"/>
      <c r="K2691" s="575"/>
    </row>
    <row r="2692" spans="1:11" x14ac:dyDescent="0.2">
      <c r="A2692" s="583"/>
      <c r="B2692" s="640"/>
      <c r="F2692" s="575"/>
      <c r="G2692" s="575"/>
      <c r="H2692" s="575"/>
      <c r="I2692" s="575"/>
      <c r="J2692" s="575"/>
      <c r="K2692" s="575"/>
    </row>
    <row r="2693" spans="1:11" x14ac:dyDescent="0.2">
      <c r="A2693" s="583"/>
      <c r="B2693" s="640"/>
      <c r="F2693" s="575"/>
      <c r="G2693" s="575"/>
      <c r="H2693" s="575"/>
      <c r="I2693" s="575"/>
      <c r="J2693" s="575"/>
      <c r="K2693" s="575"/>
    </row>
    <row r="2694" spans="1:11" x14ac:dyDescent="0.2">
      <c r="A2694" s="583"/>
      <c r="B2694" s="640"/>
      <c r="F2694" s="575"/>
      <c r="G2694" s="575"/>
      <c r="H2694" s="575"/>
      <c r="I2694" s="575"/>
      <c r="J2694" s="575"/>
      <c r="K2694" s="575"/>
    </row>
    <row r="2695" spans="1:11" x14ac:dyDescent="0.2">
      <c r="A2695" s="583"/>
      <c r="B2695" s="640"/>
      <c r="F2695" s="575"/>
      <c r="G2695" s="575"/>
      <c r="H2695" s="575"/>
      <c r="I2695" s="575"/>
      <c r="J2695" s="575"/>
      <c r="K2695" s="575"/>
    </row>
    <row r="2696" spans="1:11" x14ac:dyDescent="0.2">
      <c r="A2696" s="583"/>
      <c r="B2696" s="640"/>
      <c r="F2696" s="575"/>
      <c r="G2696" s="575"/>
      <c r="H2696" s="575"/>
      <c r="I2696" s="575"/>
      <c r="J2696" s="575"/>
      <c r="K2696" s="575"/>
    </row>
    <row r="2697" spans="1:11" x14ac:dyDescent="0.2">
      <c r="A2697" s="583"/>
      <c r="B2697" s="640"/>
      <c r="F2697" s="575"/>
      <c r="G2697" s="575"/>
      <c r="H2697" s="575"/>
      <c r="I2697" s="575"/>
      <c r="J2697" s="575"/>
      <c r="K2697" s="575"/>
    </row>
    <row r="2698" spans="1:11" x14ac:dyDescent="0.2">
      <c r="A2698" s="583"/>
      <c r="B2698" s="640"/>
      <c r="F2698" s="575"/>
      <c r="G2698" s="575"/>
      <c r="H2698" s="575"/>
      <c r="I2698" s="575"/>
      <c r="J2698" s="575"/>
      <c r="K2698" s="575"/>
    </row>
    <row r="2699" spans="1:11" x14ac:dyDescent="0.2">
      <c r="A2699" s="583"/>
      <c r="B2699" s="640"/>
      <c r="F2699" s="575"/>
      <c r="G2699" s="575"/>
      <c r="H2699" s="575"/>
      <c r="I2699" s="575"/>
      <c r="J2699" s="575"/>
      <c r="K2699" s="575"/>
    </row>
    <row r="2700" spans="1:11" x14ac:dyDescent="0.2">
      <c r="A2700" s="583"/>
      <c r="B2700" s="640"/>
      <c r="F2700" s="575"/>
      <c r="G2700" s="575"/>
      <c r="H2700" s="575"/>
      <c r="I2700" s="575"/>
      <c r="J2700" s="575"/>
      <c r="K2700" s="575"/>
    </row>
    <row r="2701" spans="1:11" x14ac:dyDescent="0.2">
      <c r="A2701" s="583"/>
      <c r="B2701" s="640"/>
      <c r="F2701" s="575"/>
      <c r="G2701" s="575"/>
      <c r="H2701" s="575"/>
      <c r="I2701" s="575"/>
      <c r="J2701" s="575"/>
      <c r="K2701" s="575"/>
    </row>
    <row r="2702" spans="1:11" x14ac:dyDescent="0.2">
      <c r="A2702" s="583"/>
      <c r="B2702" s="640"/>
      <c r="F2702" s="575"/>
      <c r="G2702" s="575"/>
      <c r="H2702" s="575"/>
      <c r="I2702" s="575"/>
      <c r="J2702" s="575"/>
      <c r="K2702" s="575"/>
    </row>
    <row r="2703" spans="1:11" x14ac:dyDescent="0.2">
      <c r="A2703" s="583"/>
      <c r="B2703" s="640"/>
      <c r="F2703" s="575"/>
      <c r="G2703" s="575"/>
      <c r="H2703" s="575"/>
      <c r="I2703" s="575"/>
      <c r="J2703" s="575"/>
      <c r="K2703" s="575"/>
    </row>
    <row r="2704" spans="1:11" x14ac:dyDescent="0.2">
      <c r="A2704" s="583"/>
      <c r="B2704" s="640"/>
      <c r="F2704" s="575"/>
      <c r="G2704" s="575"/>
      <c r="H2704" s="575"/>
      <c r="I2704" s="575"/>
      <c r="J2704" s="575"/>
      <c r="K2704" s="575"/>
    </row>
    <row r="2705" spans="1:11" x14ac:dyDescent="0.2">
      <c r="A2705" s="583"/>
      <c r="B2705" s="640"/>
      <c r="F2705" s="575"/>
      <c r="G2705" s="575"/>
      <c r="H2705" s="575"/>
      <c r="I2705" s="575"/>
      <c r="J2705" s="575"/>
      <c r="K2705" s="575"/>
    </row>
    <row r="2706" spans="1:11" x14ac:dyDescent="0.2">
      <c r="A2706" s="583"/>
      <c r="B2706" s="640"/>
      <c r="F2706" s="575"/>
      <c r="G2706" s="575"/>
      <c r="H2706" s="575"/>
      <c r="I2706" s="575"/>
      <c r="J2706" s="575"/>
      <c r="K2706" s="575"/>
    </row>
    <row r="2707" spans="1:11" x14ac:dyDescent="0.2">
      <c r="A2707" s="583"/>
      <c r="B2707" s="640"/>
      <c r="F2707" s="575"/>
      <c r="G2707" s="575"/>
      <c r="H2707" s="575"/>
      <c r="I2707" s="575"/>
      <c r="J2707" s="575"/>
      <c r="K2707" s="575"/>
    </row>
    <row r="2708" spans="1:11" x14ac:dyDescent="0.2">
      <c r="A2708" s="583"/>
      <c r="B2708" s="640"/>
      <c r="F2708" s="575"/>
      <c r="G2708" s="575"/>
      <c r="H2708" s="575"/>
      <c r="I2708" s="575"/>
      <c r="J2708" s="575"/>
      <c r="K2708" s="575"/>
    </row>
    <row r="2709" spans="1:11" x14ac:dyDescent="0.2">
      <c r="A2709" s="583"/>
      <c r="B2709" s="640"/>
      <c r="F2709" s="575"/>
      <c r="G2709" s="575"/>
      <c r="H2709" s="575"/>
      <c r="I2709" s="575"/>
      <c r="J2709" s="575"/>
      <c r="K2709" s="575"/>
    </row>
    <row r="2710" spans="1:11" x14ac:dyDescent="0.2">
      <c r="A2710" s="583"/>
      <c r="B2710" s="640"/>
      <c r="F2710" s="575"/>
      <c r="G2710" s="575"/>
      <c r="H2710" s="575"/>
      <c r="I2710" s="575"/>
      <c r="J2710" s="575"/>
      <c r="K2710" s="575"/>
    </row>
    <row r="2711" spans="1:11" x14ac:dyDescent="0.2">
      <c r="A2711" s="583"/>
      <c r="B2711" s="640"/>
      <c r="F2711" s="575"/>
      <c r="G2711" s="575"/>
      <c r="H2711" s="575"/>
      <c r="I2711" s="575"/>
      <c r="J2711" s="575"/>
      <c r="K2711" s="575"/>
    </row>
    <row r="2712" spans="1:11" x14ac:dyDescent="0.2">
      <c r="A2712" s="583"/>
      <c r="B2712" s="640"/>
      <c r="F2712" s="575"/>
      <c r="G2712" s="575"/>
      <c r="H2712" s="575"/>
      <c r="I2712" s="575"/>
      <c r="J2712" s="575"/>
      <c r="K2712" s="575"/>
    </row>
    <row r="2713" spans="1:11" x14ac:dyDescent="0.2">
      <c r="A2713" s="583"/>
      <c r="B2713" s="640"/>
      <c r="F2713" s="575"/>
      <c r="G2713" s="575"/>
      <c r="H2713" s="575"/>
      <c r="I2713" s="575"/>
      <c r="J2713" s="575"/>
      <c r="K2713" s="575"/>
    </row>
    <row r="2714" spans="1:11" x14ac:dyDescent="0.2">
      <c r="A2714" s="583"/>
      <c r="B2714" s="640"/>
      <c r="F2714" s="575"/>
      <c r="G2714" s="575"/>
      <c r="H2714" s="575"/>
      <c r="I2714" s="575"/>
      <c r="J2714" s="575"/>
      <c r="K2714" s="575"/>
    </row>
    <row r="2715" spans="1:11" x14ac:dyDescent="0.2">
      <c r="A2715" s="583"/>
      <c r="B2715" s="640"/>
      <c r="F2715" s="575"/>
      <c r="G2715" s="575"/>
      <c r="H2715" s="575"/>
      <c r="I2715" s="575"/>
      <c r="J2715" s="575"/>
      <c r="K2715" s="575"/>
    </row>
    <row r="2716" spans="1:11" x14ac:dyDescent="0.2">
      <c r="A2716" s="583"/>
      <c r="B2716" s="640"/>
      <c r="F2716" s="575"/>
      <c r="G2716" s="575"/>
      <c r="H2716" s="575"/>
      <c r="I2716" s="575"/>
      <c r="J2716" s="575"/>
      <c r="K2716" s="575"/>
    </row>
    <row r="2717" spans="1:11" x14ac:dyDescent="0.2">
      <c r="A2717" s="583"/>
      <c r="B2717" s="640"/>
      <c r="F2717" s="575"/>
      <c r="G2717" s="575"/>
      <c r="H2717" s="575"/>
      <c r="I2717" s="575"/>
      <c r="J2717" s="575"/>
      <c r="K2717" s="575"/>
    </row>
    <row r="2718" spans="1:11" x14ac:dyDescent="0.2">
      <c r="A2718" s="583"/>
      <c r="B2718" s="640"/>
      <c r="F2718" s="575"/>
      <c r="G2718" s="575"/>
      <c r="H2718" s="575"/>
      <c r="I2718" s="575"/>
      <c r="J2718" s="575"/>
      <c r="K2718" s="575"/>
    </row>
    <row r="2719" spans="1:11" x14ac:dyDescent="0.2">
      <c r="A2719" s="583"/>
      <c r="B2719" s="640"/>
      <c r="F2719" s="575"/>
      <c r="G2719" s="575"/>
      <c r="H2719" s="575"/>
      <c r="I2719" s="575"/>
      <c r="J2719" s="575"/>
      <c r="K2719" s="575"/>
    </row>
    <row r="2720" spans="1:11" x14ac:dyDescent="0.2">
      <c r="A2720" s="583"/>
      <c r="B2720" s="640"/>
      <c r="F2720" s="575"/>
      <c r="G2720" s="575"/>
      <c r="H2720" s="575"/>
      <c r="I2720" s="575"/>
      <c r="J2720" s="575"/>
      <c r="K2720" s="575"/>
    </row>
    <row r="2721" spans="1:11" x14ac:dyDescent="0.2">
      <c r="A2721" s="583"/>
      <c r="B2721" s="640"/>
      <c r="F2721" s="575"/>
      <c r="G2721" s="575"/>
      <c r="H2721" s="575"/>
      <c r="I2721" s="575"/>
      <c r="J2721" s="575"/>
      <c r="K2721" s="575"/>
    </row>
    <row r="2722" spans="1:11" x14ac:dyDescent="0.2">
      <c r="A2722" s="583"/>
      <c r="B2722" s="640"/>
      <c r="F2722" s="575"/>
      <c r="G2722" s="575"/>
      <c r="H2722" s="575"/>
      <c r="I2722" s="575"/>
      <c r="J2722" s="575"/>
      <c r="K2722" s="575"/>
    </row>
    <row r="2723" spans="1:11" x14ac:dyDescent="0.2">
      <c r="A2723" s="583"/>
      <c r="B2723" s="640"/>
      <c r="F2723" s="575"/>
      <c r="G2723" s="575"/>
      <c r="H2723" s="575"/>
      <c r="I2723" s="575"/>
      <c r="J2723" s="575"/>
      <c r="K2723" s="575"/>
    </row>
    <row r="2724" spans="1:11" x14ac:dyDescent="0.2">
      <c r="A2724" s="583"/>
      <c r="B2724" s="640"/>
      <c r="F2724" s="575"/>
      <c r="G2724" s="575"/>
      <c r="H2724" s="575"/>
      <c r="I2724" s="575"/>
      <c r="J2724" s="575"/>
      <c r="K2724" s="575"/>
    </row>
    <row r="2725" spans="1:11" x14ac:dyDescent="0.2">
      <c r="A2725" s="583"/>
      <c r="B2725" s="640"/>
      <c r="F2725" s="575"/>
      <c r="G2725" s="575"/>
      <c r="H2725" s="575"/>
      <c r="I2725" s="575"/>
      <c r="J2725" s="575"/>
      <c r="K2725" s="575"/>
    </row>
    <row r="2726" spans="1:11" x14ac:dyDescent="0.2">
      <c r="A2726" s="583"/>
      <c r="B2726" s="640"/>
      <c r="F2726" s="575"/>
      <c r="G2726" s="575"/>
      <c r="H2726" s="575"/>
      <c r="I2726" s="575"/>
      <c r="J2726" s="575"/>
      <c r="K2726" s="575"/>
    </row>
    <row r="2727" spans="1:11" x14ac:dyDescent="0.2">
      <c r="A2727" s="583"/>
      <c r="B2727" s="640"/>
      <c r="F2727" s="575"/>
      <c r="G2727" s="575"/>
      <c r="H2727" s="575"/>
      <c r="I2727" s="575"/>
      <c r="J2727" s="575"/>
      <c r="K2727" s="575"/>
    </row>
    <row r="2728" spans="1:11" x14ac:dyDescent="0.2">
      <c r="A2728" s="583"/>
      <c r="B2728" s="640"/>
      <c r="F2728" s="575"/>
      <c r="G2728" s="575"/>
      <c r="H2728" s="575"/>
      <c r="I2728" s="575"/>
      <c r="J2728" s="575"/>
      <c r="K2728" s="575"/>
    </row>
    <row r="2729" spans="1:11" x14ac:dyDescent="0.2">
      <c r="A2729" s="583"/>
      <c r="B2729" s="640"/>
      <c r="F2729" s="575"/>
      <c r="G2729" s="575"/>
      <c r="H2729" s="575"/>
      <c r="I2729" s="575"/>
      <c r="J2729" s="575"/>
      <c r="K2729" s="575"/>
    </row>
    <row r="2730" spans="1:11" x14ac:dyDescent="0.2">
      <c r="A2730" s="583"/>
      <c r="B2730" s="640"/>
      <c r="F2730" s="575"/>
      <c r="G2730" s="575"/>
      <c r="H2730" s="575"/>
      <c r="I2730" s="575"/>
      <c r="J2730" s="575"/>
      <c r="K2730" s="575"/>
    </row>
    <row r="2731" spans="1:11" x14ac:dyDescent="0.2">
      <c r="A2731" s="583"/>
      <c r="B2731" s="640"/>
      <c r="F2731" s="575"/>
      <c r="G2731" s="575"/>
      <c r="H2731" s="575"/>
      <c r="I2731" s="575"/>
      <c r="J2731" s="575"/>
      <c r="K2731" s="575"/>
    </row>
    <row r="2732" spans="1:11" x14ac:dyDescent="0.2">
      <c r="A2732" s="583"/>
      <c r="B2732" s="640"/>
      <c r="F2732" s="575"/>
      <c r="G2732" s="575"/>
      <c r="H2732" s="575"/>
      <c r="I2732" s="575"/>
      <c r="J2732" s="575"/>
      <c r="K2732" s="575"/>
    </row>
    <row r="2733" spans="1:11" x14ac:dyDescent="0.2">
      <c r="A2733" s="583"/>
      <c r="B2733" s="640"/>
      <c r="F2733" s="575"/>
      <c r="G2733" s="575"/>
      <c r="H2733" s="575"/>
      <c r="I2733" s="575"/>
      <c r="J2733" s="575"/>
      <c r="K2733" s="575"/>
    </row>
    <row r="2734" spans="1:11" x14ac:dyDescent="0.2">
      <c r="A2734" s="583"/>
      <c r="B2734" s="640"/>
      <c r="F2734" s="575"/>
      <c r="G2734" s="575"/>
      <c r="H2734" s="575"/>
      <c r="I2734" s="575"/>
      <c r="J2734" s="575"/>
      <c r="K2734" s="575"/>
    </row>
    <row r="2735" spans="1:11" x14ac:dyDescent="0.2">
      <c r="A2735" s="583"/>
      <c r="B2735" s="640"/>
      <c r="F2735" s="575"/>
      <c r="G2735" s="575"/>
      <c r="H2735" s="575"/>
      <c r="I2735" s="575"/>
      <c r="J2735" s="575"/>
      <c r="K2735" s="575"/>
    </row>
    <row r="2736" spans="1:11" x14ac:dyDescent="0.2">
      <c r="A2736" s="583"/>
      <c r="B2736" s="640"/>
      <c r="F2736" s="575"/>
      <c r="G2736" s="575"/>
      <c r="H2736" s="575"/>
      <c r="I2736" s="575"/>
      <c r="J2736" s="575"/>
      <c r="K2736" s="575"/>
    </row>
    <row r="2737" spans="1:11" x14ac:dyDescent="0.2">
      <c r="A2737" s="583"/>
      <c r="B2737" s="640"/>
      <c r="F2737" s="575"/>
      <c r="G2737" s="575"/>
      <c r="H2737" s="575"/>
      <c r="I2737" s="575"/>
      <c r="J2737" s="575"/>
      <c r="K2737" s="575"/>
    </row>
    <row r="2738" spans="1:11" x14ac:dyDescent="0.2">
      <c r="A2738" s="583"/>
      <c r="B2738" s="640"/>
      <c r="F2738" s="575"/>
      <c r="G2738" s="575"/>
      <c r="H2738" s="575"/>
      <c r="I2738" s="575"/>
      <c r="J2738" s="575"/>
      <c r="K2738" s="575"/>
    </row>
    <row r="2739" spans="1:11" x14ac:dyDescent="0.2">
      <c r="A2739" s="583"/>
      <c r="B2739" s="640"/>
      <c r="F2739" s="575"/>
      <c r="G2739" s="575"/>
      <c r="H2739" s="575"/>
      <c r="I2739" s="575"/>
      <c r="J2739" s="575"/>
      <c r="K2739" s="575"/>
    </row>
    <row r="2740" spans="1:11" x14ac:dyDescent="0.2">
      <c r="A2740" s="583"/>
      <c r="B2740" s="640"/>
      <c r="F2740" s="575"/>
      <c r="G2740" s="575"/>
      <c r="H2740" s="575"/>
      <c r="I2740" s="575"/>
      <c r="J2740" s="575"/>
      <c r="K2740" s="575"/>
    </row>
    <row r="2741" spans="1:11" x14ac:dyDescent="0.2">
      <c r="A2741" s="583"/>
      <c r="B2741" s="640"/>
      <c r="F2741" s="575"/>
      <c r="G2741" s="575"/>
      <c r="H2741" s="575"/>
      <c r="I2741" s="575"/>
      <c r="J2741" s="575"/>
      <c r="K2741" s="575"/>
    </row>
    <row r="2742" spans="1:11" x14ac:dyDescent="0.2">
      <c r="A2742" s="583"/>
      <c r="B2742" s="640"/>
      <c r="F2742" s="575"/>
      <c r="G2742" s="575"/>
      <c r="H2742" s="575"/>
      <c r="I2742" s="575"/>
      <c r="J2742" s="575"/>
      <c r="K2742" s="575"/>
    </row>
    <row r="2743" spans="1:11" x14ac:dyDescent="0.2">
      <c r="A2743" s="583"/>
      <c r="B2743" s="640"/>
      <c r="F2743" s="575"/>
      <c r="G2743" s="575"/>
      <c r="H2743" s="575"/>
      <c r="I2743" s="575"/>
      <c r="J2743" s="575"/>
      <c r="K2743" s="575"/>
    </row>
    <row r="2744" spans="1:11" x14ac:dyDescent="0.2">
      <c r="A2744" s="583"/>
      <c r="B2744" s="640"/>
      <c r="F2744" s="575"/>
      <c r="G2744" s="575"/>
      <c r="H2744" s="575"/>
      <c r="I2744" s="575"/>
      <c r="J2744" s="575"/>
      <c r="K2744" s="575"/>
    </row>
    <row r="2745" spans="1:11" x14ac:dyDescent="0.2">
      <c r="A2745" s="583"/>
      <c r="B2745" s="640"/>
      <c r="F2745" s="575"/>
      <c r="G2745" s="575"/>
      <c r="H2745" s="575"/>
      <c r="I2745" s="575"/>
      <c r="J2745" s="575"/>
      <c r="K2745" s="575"/>
    </row>
    <row r="2746" spans="1:11" x14ac:dyDescent="0.2">
      <c r="A2746" s="583"/>
      <c r="B2746" s="640"/>
      <c r="F2746" s="575"/>
      <c r="G2746" s="575"/>
      <c r="H2746" s="575"/>
      <c r="I2746" s="575"/>
      <c r="J2746" s="575"/>
      <c r="K2746" s="575"/>
    </row>
    <row r="2747" spans="1:11" x14ac:dyDescent="0.2">
      <c r="A2747" s="583"/>
      <c r="B2747" s="640"/>
      <c r="F2747" s="575"/>
      <c r="G2747" s="575"/>
      <c r="H2747" s="575"/>
      <c r="I2747" s="575"/>
      <c r="J2747" s="575"/>
      <c r="K2747" s="575"/>
    </row>
    <row r="2748" spans="1:11" x14ac:dyDescent="0.2">
      <c r="A2748" s="583"/>
      <c r="B2748" s="640"/>
      <c r="F2748" s="575"/>
      <c r="G2748" s="575"/>
      <c r="H2748" s="575"/>
      <c r="I2748" s="575"/>
      <c r="J2748" s="575"/>
      <c r="K2748" s="575"/>
    </row>
    <row r="2749" spans="1:11" x14ac:dyDescent="0.2">
      <c r="A2749" s="583"/>
      <c r="B2749" s="640"/>
      <c r="F2749" s="575"/>
      <c r="G2749" s="575"/>
      <c r="H2749" s="575"/>
      <c r="I2749" s="575"/>
      <c r="J2749" s="575"/>
      <c r="K2749" s="575"/>
    </row>
    <row r="2750" spans="1:11" x14ac:dyDescent="0.2">
      <c r="A2750" s="583"/>
      <c r="B2750" s="640"/>
      <c r="F2750" s="575"/>
      <c r="G2750" s="575"/>
      <c r="H2750" s="575"/>
      <c r="I2750" s="575"/>
      <c r="J2750" s="575"/>
      <c r="K2750" s="575"/>
    </row>
    <row r="2751" spans="1:11" x14ac:dyDescent="0.2">
      <c r="A2751" s="583"/>
      <c r="B2751" s="640"/>
      <c r="F2751" s="575"/>
      <c r="G2751" s="575"/>
      <c r="H2751" s="575"/>
      <c r="I2751" s="575"/>
      <c r="J2751" s="575"/>
      <c r="K2751" s="575"/>
    </row>
    <row r="2752" spans="1:11" x14ac:dyDescent="0.2">
      <c r="A2752" s="583"/>
      <c r="B2752" s="640"/>
      <c r="F2752" s="575"/>
      <c r="G2752" s="575"/>
      <c r="H2752" s="575"/>
      <c r="I2752" s="575"/>
      <c r="J2752" s="575"/>
      <c r="K2752" s="575"/>
    </row>
    <row r="2753" spans="1:11" x14ac:dyDescent="0.2">
      <c r="A2753" s="583"/>
      <c r="B2753" s="640"/>
      <c r="F2753" s="575"/>
      <c r="G2753" s="575"/>
      <c r="H2753" s="575"/>
      <c r="I2753" s="575"/>
      <c r="J2753" s="575"/>
      <c r="K2753" s="575"/>
    </row>
    <row r="2754" spans="1:11" x14ac:dyDescent="0.2">
      <c r="A2754" s="583"/>
      <c r="B2754" s="640"/>
      <c r="F2754" s="575"/>
      <c r="G2754" s="575"/>
      <c r="H2754" s="575"/>
      <c r="I2754" s="575"/>
      <c r="J2754" s="575"/>
      <c r="K2754" s="575"/>
    </row>
    <row r="2755" spans="1:11" x14ac:dyDescent="0.2">
      <c r="A2755" s="583"/>
      <c r="B2755" s="640"/>
      <c r="F2755" s="575"/>
      <c r="G2755" s="575"/>
      <c r="H2755" s="575"/>
      <c r="I2755" s="575"/>
      <c r="J2755" s="575"/>
      <c r="K2755" s="575"/>
    </row>
    <row r="2756" spans="1:11" x14ac:dyDescent="0.2">
      <c r="A2756" s="583"/>
      <c r="B2756" s="640"/>
      <c r="F2756" s="575"/>
      <c r="G2756" s="575"/>
      <c r="H2756" s="575"/>
      <c r="I2756" s="575"/>
      <c r="J2756" s="575"/>
      <c r="K2756" s="575"/>
    </row>
    <row r="2757" spans="1:11" x14ac:dyDescent="0.2">
      <c r="A2757" s="583"/>
      <c r="B2757" s="640"/>
      <c r="F2757" s="575"/>
      <c r="G2757" s="575"/>
      <c r="H2757" s="575"/>
      <c r="I2757" s="575"/>
      <c r="J2757" s="575"/>
      <c r="K2757" s="575"/>
    </row>
    <row r="2758" spans="1:11" x14ac:dyDescent="0.2">
      <c r="A2758" s="583"/>
      <c r="B2758" s="640"/>
      <c r="F2758" s="575"/>
      <c r="G2758" s="575"/>
      <c r="H2758" s="575"/>
      <c r="I2758" s="575"/>
      <c r="J2758" s="575"/>
      <c r="K2758" s="575"/>
    </row>
    <row r="2759" spans="1:11" x14ac:dyDescent="0.2">
      <c r="A2759" s="583"/>
      <c r="B2759" s="640"/>
      <c r="F2759" s="575"/>
      <c r="G2759" s="575"/>
      <c r="H2759" s="575"/>
      <c r="I2759" s="575"/>
      <c r="J2759" s="575"/>
      <c r="K2759" s="575"/>
    </row>
    <row r="2760" spans="1:11" x14ac:dyDescent="0.2">
      <c r="A2760" s="583"/>
      <c r="B2760" s="640"/>
      <c r="F2760" s="575"/>
      <c r="G2760" s="575"/>
      <c r="H2760" s="575"/>
      <c r="I2760" s="575"/>
      <c r="J2760" s="575"/>
      <c r="K2760" s="575"/>
    </row>
    <row r="2761" spans="1:11" x14ac:dyDescent="0.2">
      <c r="A2761" s="583"/>
      <c r="B2761" s="640"/>
      <c r="F2761" s="575"/>
      <c r="G2761" s="575"/>
      <c r="H2761" s="575"/>
      <c r="I2761" s="575"/>
      <c r="J2761" s="575"/>
      <c r="K2761" s="575"/>
    </row>
    <row r="2762" spans="1:11" x14ac:dyDescent="0.2">
      <c r="A2762" s="583"/>
      <c r="B2762" s="640"/>
      <c r="F2762" s="575"/>
      <c r="G2762" s="575"/>
      <c r="H2762" s="575"/>
      <c r="I2762" s="575"/>
      <c r="J2762" s="575"/>
      <c r="K2762" s="575"/>
    </row>
    <row r="2763" spans="1:11" x14ac:dyDescent="0.2">
      <c r="A2763" s="583"/>
      <c r="B2763" s="640"/>
      <c r="F2763" s="575"/>
      <c r="G2763" s="575"/>
      <c r="H2763" s="575"/>
      <c r="I2763" s="575"/>
      <c r="J2763" s="575"/>
      <c r="K2763" s="575"/>
    </row>
    <row r="2764" spans="1:11" x14ac:dyDescent="0.2">
      <c r="A2764" s="583"/>
      <c r="B2764" s="640"/>
      <c r="F2764" s="575"/>
      <c r="G2764" s="575"/>
      <c r="H2764" s="575"/>
      <c r="I2764" s="575"/>
      <c r="J2764" s="575"/>
      <c r="K2764" s="575"/>
    </row>
    <row r="2765" spans="1:11" x14ac:dyDescent="0.2">
      <c r="A2765" s="583"/>
      <c r="B2765" s="640"/>
      <c r="F2765" s="575"/>
      <c r="G2765" s="575"/>
      <c r="H2765" s="575"/>
      <c r="I2765" s="575"/>
      <c r="J2765" s="575"/>
      <c r="K2765" s="575"/>
    </row>
    <row r="2766" spans="1:11" x14ac:dyDescent="0.2">
      <c r="A2766" s="583"/>
      <c r="B2766" s="640"/>
      <c r="F2766" s="575"/>
      <c r="G2766" s="575"/>
      <c r="H2766" s="575"/>
      <c r="I2766" s="575"/>
      <c r="J2766" s="575"/>
      <c r="K2766" s="575"/>
    </row>
    <row r="2767" spans="1:11" x14ac:dyDescent="0.2">
      <c r="A2767" s="583"/>
      <c r="B2767" s="640"/>
      <c r="F2767" s="575"/>
      <c r="G2767" s="575"/>
      <c r="H2767" s="575"/>
      <c r="I2767" s="575"/>
      <c r="J2767" s="575"/>
      <c r="K2767" s="575"/>
    </row>
    <row r="2768" spans="1:11" x14ac:dyDescent="0.2">
      <c r="A2768" s="583"/>
      <c r="B2768" s="640"/>
      <c r="F2768" s="575"/>
      <c r="G2768" s="575"/>
      <c r="H2768" s="575"/>
      <c r="I2768" s="575"/>
      <c r="J2768" s="575"/>
      <c r="K2768" s="575"/>
    </row>
    <row r="2769" spans="1:11" x14ac:dyDescent="0.2">
      <c r="A2769" s="583"/>
      <c r="B2769" s="640"/>
      <c r="F2769" s="575"/>
      <c r="G2769" s="575"/>
      <c r="H2769" s="575"/>
      <c r="I2769" s="575"/>
      <c r="J2769" s="575"/>
      <c r="K2769" s="575"/>
    </row>
    <row r="2770" spans="1:11" x14ac:dyDescent="0.2">
      <c r="A2770" s="583"/>
      <c r="B2770" s="640"/>
      <c r="F2770" s="575"/>
      <c r="G2770" s="575"/>
      <c r="H2770" s="575"/>
      <c r="I2770" s="575"/>
      <c r="J2770" s="575"/>
      <c r="K2770" s="575"/>
    </row>
    <row r="2771" spans="1:11" x14ac:dyDescent="0.2">
      <c r="A2771" s="583"/>
      <c r="B2771" s="640"/>
      <c r="F2771" s="575"/>
      <c r="G2771" s="575"/>
      <c r="H2771" s="575"/>
      <c r="I2771" s="575"/>
      <c r="J2771" s="575"/>
      <c r="K2771" s="575"/>
    </row>
    <row r="2772" spans="1:11" x14ac:dyDescent="0.2">
      <c r="A2772" s="583"/>
      <c r="B2772" s="640"/>
      <c r="F2772" s="575"/>
      <c r="G2772" s="575"/>
      <c r="H2772" s="575"/>
      <c r="I2772" s="575"/>
      <c r="J2772" s="575"/>
      <c r="K2772" s="575"/>
    </row>
    <row r="2773" spans="1:11" x14ac:dyDescent="0.2">
      <c r="A2773" s="583"/>
      <c r="B2773" s="640"/>
      <c r="F2773" s="575"/>
      <c r="G2773" s="575"/>
      <c r="H2773" s="575"/>
      <c r="I2773" s="575"/>
      <c r="J2773" s="575"/>
      <c r="K2773" s="575"/>
    </row>
    <row r="2774" spans="1:11" x14ac:dyDescent="0.2">
      <c r="A2774" s="583"/>
      <c r="B2774" s="640"/>
      <c r="F2774" s="575"/>
      <c r="G2774" s="575"/>
      <c r="H2774" s="575"/>
      <c r="I2774" s="575"/>
      <c r="J2774" s="575"/>
      <c r="K2774" s="575"/>
    </row>
    <row r="2775" spans="1:11" x14ac:dyDescent="0.2">
      <c r="A2775" s="583"/>
      <c r="B2775" s="640"/>
      <c r="F2775" s="575"/>
      <c r="G2775" s="575"/>
      <c r="H2775" s="575"/>
      <c r="I2775" s="575"/>
      <c r="J2775" s="575"/>
      <c r="K2775" s="575"/>
    </row>
    <row r="2776" spans="1:11" x14ac:dyDescent="0.2">
      <c r="A2776" s="583"/>
      <c r="B2776" s="640"/>
      <c r="F2776" s="575"/>
      <c r="G2776" s="575"/>
      <c r="H2776" s="575"/>
      <c r="I2776" s="575"/>
      <c r="J2776" s="575"/>
      <c r="K2776" s="575"/>
    </row>
    <row r="2777" spans="1:11" x14ac:dyDescent="0.2">
      <c r="A2777" s="583"/>
      <c r="B2777" s="640"/>
      <c r="F2777" s="575"/>
      <c r="G2777" s="575"/>
      <c r="H2777" s="575"/>
      <c r="I2777" s="575"/>
      <c r="J2777" s="575"/>
      <c r="K2777" s="575"/>
    </row>
    <row r="2778" spans="1:11" x14ac:dyDescent="0.2">
      <c r="A2778" s="583"/>
      <c r="B2778" s="640"/>
      <c r="F2778" s="575"/>
      <c r="G2778" s="575"/>
      <c r="H2778" s="575"/>
      <c r="I2778" s="575"/>
      <c r="J2778" s="575"/>
      <c r="K2778" s="575"/>
    </row>
    <row r="2779" spans="1:11" x14ac:dyDescent="0.2">
      <c r="A2779" s="583"/>
      <c r="B2779" s="640"/>
      <c r="F2779" s="575"/>
      <c r="G2779" s="575"/>
      <c r="H2779" s="575"/>
      <c r="I2779" s="575"/>
      <c r="J2779" s="575"/>
      <c r="K2779" s="575"/>
    </row>
    <row r="2780" spans="1:11" x14ac:dyDescent="0.2">
      <c r="A2780" s="583"/>
      <c r="B2780" s="640"/>
      <c r="F2780" s="575"/>
      <c r="G2780" s="575"/>
      <c r="H2780" s="575"/>
      <c r="I2780" s="575"/>
      <c r="J2780" s="575"/>
      <c r="K2780" s="575"/>
    </row>
    <row r="2781" spans="1:11" x14ac:dyDescent="0.2">
      <c r="A2781" s="583"/>
      <c r="B2781" s="640"/>
      <c r="F2781" s="575"/>
      <c r="G2781" s="575"/>
      <c r="H2781" s="575"/>
      <c r="I2781" s="575"/>
      <c r="J2781" s="575"/>
      <c r="K2781" s="575"/>
    </row>
    <row r="2782" spans="1:11" x14ac:dyDescent="0.2">
      <c r="A2782" s="583"/>
      <c r="B2782" s="640"/>
      <c r="F2782" s="575"/>
      <c r="G2782" s="575"/>
      <c r="H2782" s="575"/>
      <c r="I2782" s="575"/>
      <c r="J2782" s="575"/>
      <c r="K2782" s="575"/>
    </row>
    <row r="2783" spans="1:11" x14ac:dyDescent="0.2">
      <c r="A2783" s="583"/>
      <c r="B2783" s="640"/>
      <c r="F2783" s="575"/>
      <c r="G2783" s="575"/>
      <c r="H2783" s="575"/>
      <c r="I2783" s="575"/>
      <c r="J2783" s="575"/>
      <c r="K2783" s="575"/>
    </row>
    <row r="2784" spans="1:11" x14ac:dyDescent="0.2">
      <c r="A2784" s="583"/>
      <c r="B2784" s="640"/>
      <c r="F2784" s="575"/>
      <c r="G2784" s="575"/>
      <c r="H2784" s="575"/>
      <c r="I2784" s="575"/>
      <c r="J2784" s="575"/>
      <c r="K2784" s="575"/>
    </row>
    <row r="2785" spans="1:11" x14ac:dyDescent="0.2">
      <c r="A2785" s="583"/>
      <c r="B2785" s="640"/>
      <c r="F2785" s="575"/>
      <c r="G2785" s="575"/>
      <c r="H2785" s="575"/>
      <c r="I2785" s="575"/>
      <c r="J2785" s="575"/>
      <c r="K2785" s="575"/>
    </row>
    <row r="2786" spans="1:11" x14ac:dyDescent="0.2">
      <c r="A2786" s="583"/>
      <c r="B2786" s="640"/>
      <c r="F2786" s="575"/>
      <c r="G2786" s="575"/>
      <c r="H2786" s="575"/>
      <c r="I2786" s="575"/>
      <c r="J2786" s="575"/>
      <c r="K2786" s="575"/>
    </row>
    <row r="2787" spans="1:11" x14ac:dyDescent="0.2">
      <c r="A2787" s="583"/>
      <c r="B2787" s="640"/>
      <c r="F2787" s="575"/>
      <c r="G2787" s="575"/>
      <c r="H2787" s="575"/>
      <c r="I2787" s="575"/>
      <c r="J2787" s="575"/>
      <c r="K2787" s="575"/>
    </row>
    <row r="2788" spans="1:11" x14ac:dyDescent="0.2">
      <c r="A2788" s="583"/>
      <c r="B2788" s="640"/>
      <c r="F2788" s="575"/>
      <c r="G2788" s="575"/>
      <c r="H2788" s="575"/>
      <c r="I2788" s="575"/>
      <c r="J2788" s="575"/>
      <c r="K2788" s="575"/>
    </row>
    <row r="2789" spans="1:11" x14ac:dyDescent="0.2">
      <c r="A2789" s="583"/>
      <c r="B2789" s="640"/>
      <c r="F2789" s="575"/>
      <c r="G2789" s="575"/>
      <c r="H2789" s="575"/>
      <c r="I2789" s="575"/>
      <c r="J2789" s="575"/>
      <c r="K2789" s="575"/>
    </row>
    <row r="2790" spans="1:11" x14ac:dyDescent="0.2">
      <c r="A2790" s="583"/>
      <c r="B2790" s="640"/>
      <c r="F2790" s="575"/>
      <c r="G2790" s="575"/>
      <c r="H2790" s="575"/>
      <c r="I2790" s="575"/>
      <c r="J2790" s="575"/>
      <c r="K2790" s="575"/>
    </row>
    <row r="2791" spans="1:11" x14ac:dyDescent="0.2">
      <c r="A2791" s="583"/>
      <c r="B2791" s="640"/>
      <c r="F2791" s="575"/>
      <c r="G2791" s="575"/>
      <c r="H2791" s="575"/>
      <c r="I2791" s="575"/>
      <c r="J2791" s="575"/>
      <c r="K2791" s="575"/>
    </row>
    <row r="2792" spans="1:11" x14ac:dyDescent="0.2">
      <c r="A2792" s="583"/>
      <c r="B2792" s="640"/>
      <c r="F2792" s="575"/>
      <c r="G2792" s="575"/>
      <c r="H2792" s="575"/>
      <c r="I2792" s="575"/>
      <c r="J2792" s="575"/>
      <c r="K2792" s="575"/>
    </row>
    <row r="2793" spans="1:11" x14ac:dyDescent="0.2">
      <c r="A2793" s="583"/>
      <c r="B2793" s="640"/>
      <c r="F2793" s="575"/>
      <c r="G2793" s="575"/>
      <c r="H2793" s="575"/>
      <c r="I2793" s="575"/>
      <c r="J2793" s="575"/>
      <c r="K2793" s="575"/>
    </row>
    <row r="2794" spans="1:11" x14ac:dyDescent="0.2">
      <c r="A2794" s="583"/>
      <c r="B2794" s="640"/>
      <c r="F2794" s="575"/>
      <c r="G2794" s="575"/>
      <c r="H2794" s="575"/>
      <c r="I2794" s="575"/>
      <c r="J2794" s="575"/>
      <c r="K2794" s="575"/>
    </row>
    <row r="2795" spans="1:11" x14ac:dyDescent="0.2">
      <c r="A2795" s="583"/>
      <c r="B2795" s="640"/>
      <c r="F2795" s="575"/>
      <c r="G2795" s="575"/>
      <c r="H2795" s="575"/>
      <c r="I2795" s="575"/>
      <c r="J2795" s="575"/>
      <c r="K2795" s="575"/>
    </row>
    <row r="2796" spans="1:11" x14ac:dyDescent="0.2">
      <c r="A2796" s="583"/>
      <c r="B2796" s="640"/>
      <c r="F2796" s="575"/>
      <c r="G2796" s="575"/>
      <c r="H2796" s="575"/>
      <c r="I2796" s="575"/>
      <c r="J2796" s="575"/>
      <c r="K2796" s="575"/>
    </row>
    <row r="2797" spans="1:11" x14ac:dyDescent="0.2">
      <c r="A2797" s="583"/>
      <c r="B2797" s="640"/>
      <c r="F2797" s="575"/>
      <c r="G2797" s="575"/>
      <c r="H2797" s="575"/>
      <c r="I2797" s="575"/>
      <c r="J2797" s="575"/>
      <c r="K2797" s="575"/>
    </row>
    <row r="2798" spans="1:11" x14ac:dyDescent="0.2">
      <c r="A2798" s="583"/>
      <c r="B2798" s="640"/>
      <c r="F2798" s="575"/>
      <c r="G2798" s="575"/>
      <c r="H2798" s="575"/>
      <c r="I2798" s="575"/>
      <c r="J2798" s="575"/>
      <c r="K2798" s="575"/>
    </row>
    <row r="2799" spans="1:11" x14ac:dyDescent="0.2">
      <c r="A2799" s="583"/>
      <c r="B2799" s="640"/>
      <c r="F2799" s="575"/>
      <c r="G2799" s="575"/>
      <c r="H2799" s="575"/>
      <c r="I2799" s="575"/>
      <c r="J2799" s="575"/>
      <c r="K2799" s="575"/>
    </row>
    <row r="2800" spans="1:11" x14ac:dyDescent="0.2">
      <c r="A2800" s="583"/>
      <c r="B2800" s="640"/>
      <c r="F2800" s="575"/>
      <c r="G2800" s="575"/>
      <c r="H2800" s="575"/>
      <c r="I2800" s="575"/>
      <c r="J2800" s="575"/>
      <c r="K2800" s="575"/>
    </row>
    <row r="2801" spans="1:11" x14ac:dyDescent="0.2">
      <c r="A2801" s="583"/>
      <c r="B2801" s="640"/>
      <c r="F2801" s="575"/>
      <c r="G2801" s="575"/>
      <c r="H2801" s="575"/>
      <c r="I2801" s="575"/>
      <c r="J2801" s="575"/>
      <c r="K2801" s="575"/>
    </row>
    <row r="2802" spans="1:11" x14ac:dyDescent="0.2">
      <c r="A2802" s="583"/>
      <c r="B2802" s="640"/>
      <c r="F2802" s="575"/>
      <c r="G2802" s="575"/>
      <c r="H2802" s="575"/>
      <c r="I2802" s="575"/>
      <c r="J2802" s="575"/>
      <c r="K2802" s="575"/>
    </row>
    <row r="2803" spans="1:11" x14ac:dyDescent="0.2">
      <c r="A2803" s="583"/>
      <c r="B2803" s="640"/>
      <c r="F2803" s="575"/>
      <c r="G2803" s="575"/>
      <c r="H2803" s="575"/>
      <c r="I2803" s="575"/>
      <c r="J2803" s="575"/>
      <c r="K2803" s="575"/>
    </row>
    <row r="2804" spans="1:11" x14ac:dyDescent="0.2">
      <c r="A2804" s="583"/>
      <c r="B2804" s="640"/>
      <c r="F2804" s="575"/>
      <c r="G2804" s="575"/>
      <c r="H2804" s="575"/>
      <c r="I2804" s="575"/>
      <c r="J2804" s="575"/>
      <c r="K2804" s="575"/>
    </row>
    <row r="2805" spans="1:11" x14ac:dyDescent="0.2">
      <c r="A2805" s="583"/>
      <c r="B2805" s="640"/>
      <c r="F2805" s="575"/>
      <c r="G2805" s="575"/>
      <c r="H2805" s="575"/>
      <c r="I2805" s="575"/>
      <c r="J2805" s="575"/>
      <c r="K2805" s="575"/>
    </row>
    <row r="2806" spans="1:11" x14ac:dyDescent="0.2">
      <c r="A2806" s="583"/>
      <c r="B2806" s="640"/>
      <c r="F2806" s="575"/>
      <c r="G2806" s="575"/>
      <c r="H2806" s="575"/>
      <c r="I2806" s="575"/>
      <c r="J2806" s="575"/>
      <c r="K2806" s="575"/>
    </row>
    <row r="2807" spans="1:11" x14ac:dyDescent="0.2">
      <c r="A2807" s="583"/>
      <c r="B2807" s="640"/>
      <c r="F2807" s="575"/>
      <c r="G2807" s="575"/>
      <c r="H2807" s="575"/>
      <c r="I2807" s="575"/>
      <c r="J2807" s="575"/>
      <c r="K2807" s="575"/>
    </row>
    <row r="2808" spans="1:11" x14ac:dyDescent="0.2">
      <c r="A2808" s="583"/>
      <c r="B2808" s="640"/>
      <c r="F2808" s="575"/>
      <c r="G2808" s="575"/>
      <c r="H2808" s="575"/>
      <c r="I2808" s="575"/>
      <c r="J2808" s="575"/>
      <c r="K2808" s="575"/>
    </row>
    <row r="2809" spans="1:11" x14ac:dyDescent="0.2">
      <c r="A2809" s="583"/>
      <c r="B2809" s="640"/>
      <c r="F2809" s="575"/>
      <c r="G2809" s="575"/>
      <c r="H2809" s="575"/>
      <c r="I2809" s="575"/>
      <c r="J2809" s="575"/>
      <c r="K2809" s="575"/>
    </row>
    <row r="2810" spans="1:11" x14ac:dyDescent="0.2">
      <c r="A2810" s="583"/>
      <c r="B2810" s="640"/>
      <c r="F2810" s="575"/>
      <c r="G2810" s="575"/>
      <c r="H2810" s="575"/>
      <c r="I2810" s="575"/>
      <c r="J2810" s="575"/>
      <c r="K2810" s="575"/>
    </row>
    <row r="2811" spans="1:11" x14ac:dyDescent="0.2">
      <c r="A2811" s="583"/>
      <c r="B2811" s="640"/>
      <c r="F2811" s="575"/>
      <c r="G2811" s="575"/>
      <c r="H2811" s="575"/>
      <c r="I2811" s="575"/>
      <c r="J2811" s="575"/>
      <c r="K2811" s="575"/>
    </row>
    <row r="2812" spans="1:11" x14ac:dyDescent="0.2">
      <c r="A2812" s="583"/>
      <c r="B2812" s="640"/>
      <c r="F2812" s="575"/>
      <c r="G2812" s="575"/>
      <c r="H2812" s="575"/>
      <c r="I2812" s="575"/>
      <c r="J2812" s="575"/>
      <c r="K2812" s="575"/>
    </row>
    <row r="2813" spans="1:11" x14ac:dyDescent="0.2">
      <c r="A2813" s="583"/>
      <c r="B2813" s="640"/>
      <c r="F2813" s="575"/>
      <c r="G2813" s="575"/>
      <c r="H2813" s="575"/>
      <c r="I2813" s="575"/>
      <c r="J2813" s="575"/>
      <c r="K2813" s="575"/>
    </row>
    <row r="2814" spans="1:11" x14ac:dyDescent="0.2">
      <c r="A2814" s="583"/>
      <c r="B2814" s="640"/>
      <c r="F2814" s="575"/>
      <c r="G2814" s="575"/>
      <c r="H2814" s="575"/>
      <c r="I2814" s="575"/>
      <c r="J2814" s="575"/>
      <c r="K2814" s="575"/>
    </row>
    <row r="2815" spans="1:11" x14ac:dyDescent="0.2">
      <c r="A2815" s="583"/>
      <c r="B2815" s="640"/>
      <c r="F2815" s="575"/>
      <c r="G2815" s="575"/>
      <c r="H2815" s="575"/>
      <c r="I2815" s="575"/>
      <c r="J2815" s="575"/>
      <c r="K2815" s="575"/>
    </row>
    <row r="2816" spans="1:11" x14ac:dyDescent="0.2">
      <c r="A2816" s="583"/>
      <c r="B2816" s="640"/>
      <c r="F2816" s="575"/>
      <c r="G2816" s="575"/>
      <c r="H2816" s="575"/>
      <c r="I2816" s="575"/>
      <c r="J2816" s="575"/>
      <c r="K2816" s="575"/>
    </row>
    <row r="2817" spans="1:11" x14ac:dyDescent="0.2">
      <c r="A2817" s="583"/>
      <c r="B2817" s="640"/>
      <c r="F2817" s="575"/>
      <c r="G2817" s="575"/>
      <c r="H2817" s="575"/>
      <c r="I2817" s="575"/>
      <c r="J2817" s="575"/>
      <c r="K2817" s="575"/>
    </row>
    <row r="2818" spans="1:11" x14ac:dyDescent="0.2">
      <c r="A2818" s="583"/>
      <c r="B2818" s="640"/>
      <c r="F2818" s="575"/>
      <c r="G2818" s="575"/>
      <c r="H2818" s="575"/>
      <c r="I2818" s="575"/>
      <c r="J2818" s="575"/>
      <c r="K2818" s="575"/>
    </row>
    <row r="2819" spans="1:11" x14ac:dyDescent="0.2">
      <c r="A2819" s="583"/>
      <c r="B2819" s="640"/>
      <c r="F2819" s="575"/>
      <c r="G2819" s="575"/>
      <c r="H2819" s="575"/>
      <c r="I2819" s="575"/>
      <c r="J2819" s="575"/>
      <c r="K2819" s="575"/>
    </row>
    <row r="2820" spans="1:11" x14ac:dyDescent="0.2">
      <c r="A2820" s="583"/>
      <c r="B2820" s="640"/>
      <c r="F2820" s="575"/>
      <c r="G2820" s="575"/>
      <c r="H2820" s="575"/>
      <c r="I2820" s="575"/>
      <c r="J2820" s="575"/>
      <c r="K2820" s="575"/>
    </row>
    <row r="2821" spans="1:11" x14ac:dyDescent="0.2">
      <c r="A2821" s="583"/>
      <c r="B2821" s="640"/>
      <c r="F2821" s="575"/>
      <c r="G2821" s="575"/>
      <c r="H2821" s="575"/>
      <c r="I2821" s="575"/>
      <c r="J2821" s="575"/>
      <c r="K2821" s="575"/>
    </row>
    <row r="2822" spans="1:11" x14ac:dyDescent="0.2">
      <c r="A2822" s="583"/>
      <c r="B2822" s="640"/>
      <c r="F2822" s="575"/>
      <c r="G2822" s="575"/>
      <c r="H2822" s="575"/>
      <c r="I2822" s="575"/>
      <c r="J2822" s="575"/>
      <c r="K2822" s="575"/>
    </row>
    <row r="2823" spans="1:11" x14ac:dyDescent="0.2">
      <c r="A2823" s="583"/>
      <c r="B2823" s="640"/>
      <c r="F2823" s="575"/>
      <c r="G2823" s="575"/>
      <c r="H2823" s="575"/>
      <c r="I2823" s="575"/>
      <c r="J2823" s="575"/>
      <c r="K2823" s="575"/>
    </row>
    <row r="2824" spans="1:11" x14ac:dyDescent="0.2">
      <c r="A2824" s="583"/>
      <c r="B2824" s="640"/>
      <c r="F2824" s="575"/>
      <c r="G2824" s="575"/>
      <c r="H2824" s="575"/>
      <c r="I2824" s="575"/>
      <c r="J2824" s="575"/>
      <c r="K2824" s="575"/>
    </row>
    <row r="2825" spans="1:11" x14ac:dyDescent="0.2">
      <c r="A2825" s="583"/>
      <c r="B2825" s="640"/>
      <c r="F2825" s="575"/>
      <c r="G2825" s="575"/>
      <c r="H2825" s="575"/>
      <c r="I2825" s="575"/>
      <c r="J2825" s="575"/>
      <c r="K2825" s="575"/>
    </row>
    <row r="2826" spans="1:11" x14ac:dyDescent="0.2">
      <c r="A2826" s="583"/>
      <c r="B2826" s="640"/>
      <c r="F2826" s="575"/>
      <c r="G2826" s="575"/>
      <c r="H2826" s="575"/>
      <c r="I2826" s="575"/>
      <c r="J2826" s="575"/>
      <c r="K2826" s="575"/>
    </row>
    <row r="2827" spans="1:11" x14ac:dyDescent="0.2">
      <c r="A2827" s="583"/>
      <c r="B2827" s="640"/>
      <c r="F2827" s="575"/>
      <c r="G2827" s="575"/>
      <c r="H2827" s="575"/>
      <c r="I2827" s="575"/>
      <c r="J2827" s="575"/>
      <c r="K2827" s="575"/>
    </row>
    <row r="2828" spans="1:11" x14ac:dyDescent="0.2">
      <c r="A2828" s="583"/>
      <c r="B2828" s="640"/>
      <c r="F2828" s="575"/>
      <c r="G2828" s="575"/>
      <c r="H2828" s="575"/>
      <c r="I2828" s="575"/>
      <c r="J2828" s="575"/>
      <c r="K2828" s="575"/>
    </row>
    <row r="2829" spans="1:11" x14ac:dyDescent="0.2">
      <c r="A2829" s="583"/>
      <c r="B2829" s="640"/>
      <c r="F2829" s="575"/>
      <c r="G2829" s="575"/>
      <c r="H2829" s="575"/>
      <c r="I2829" s="575"/>
      <c r="J2829" s="575"/>
      <c r="K2829" s="575"/>
    </row>
    <row r="2830" spans="1:11" x14ac:dyDescent="0.2">
      <c r="A2830" s="583"/>
      <c r="B2830" s="640"/>
      <c r="F2830" s="575"/>
      <c r="G2830" s="575"/>
      <c r="H2830" s="575"/>
      <c r="I2830" s="575"/>
      <c r="J2830" s="575"/>
      <c r="K2830" s="575"/>
    </row>
    <row r="2831" spans="1:11" x14ac:dyDescent="0.2">
      <c r="A2831" s="583"/>
      <c r="B2831" s="640"/>
      <c r="F2831" s="575"/>
      <c r="G2831" s="575"/>
      <c r="H2831" s="575"/>
      <c r="I2831" s="575"/>
      <c r="J2831" s="575"/>
      <c r="K2831" s="575"/>
    </row>
    <row r="2832" spans="1:11" x14ac:dyDescent="0.2">
      <c r="A2832" s="583"/>
      <c r="B2832" s="640"/>
      <c r="F2832" s="575"/>
      <c r="G2832" s="575"/>
      <c r="H2832" s="575"/>
      <c r="I2832" s="575"/>
      <c r="J2832" s="575"/>
      <c r="K2832" s="575"/>
    </row>
    <row r="2833" spans="1:11" x14ac:dyDescent="0.2">
      <c r="A2833" s="583"/>
      <c r="B2833" s="640"/>
      <c r="F2833" s="575"/>
      <c r="G2833" s="575"/>
      <c r="H2833" s="575"/>
      <c r="I2833" s="575"/>
      <c r="J2833" s="575"/>
      <c r="K2833" s="575"/>
    </row>
    <row r="2834" spans="1:11" x14ac:dyDescent="0.2">
      <c r="A2834" s="583"/>
      <c r="B2834" s="640"/>
      <c r="F2834" s="575"/>
      <c r="G2834" s="575"/>
      <c r="H2834" s="575"/>
      <c r="I2834" s="575"/>
      <c r="J2834" s="575"/>
      <c r="K2834" s="575"/>
    </row>
    <row r="2835" spans="1:11" x14ac:dyDescent="0.2">
      <c r="A2835" s="583"/>
      <c r="B2835" s="640"/>
      <c r="F2835" s="575"/>
      <c r="G2835" s="575"/>
      <c r="H2835" s="575"/>
      <c r="I2835" s="575"/>
      <c r="J2835" s="575"/>
      <c r="K2835" s="575"/>
    </row>
    <row r="2836" spans="1:11" x14ac:dyDescent="0.2">
      <c r="A2836" s="583"/>
      <c r="B2836" s="640"/>
      <c r="F2836" s="575"/>
      <c r="G2836" s="575"/>
      <c r="H2836" s="575"/>
      <c r="I2836" s="575"/>
      <c r="J2836" s="575"/>
      <c r="K2836" s="575"/>
    </row>
    <row r="2837" spans="1:11" x14ac:dyDescent="0.2">
      <c r="A2837" s="583"/>
      <c r="B2837" s="640"/>
      <c r="F2837" s="575"/>
      <c r="G2837" s="575"/>
      <c r="H2837" s="575"/>
      <c r="I2837" s="575"/>
      <c r="J2837" s="575"/>
      <c r="K2837" s="575"/>
    </row>
    <row r="2838" spans="1:11" x14ac:dyDescent="0.2">
      <c r="A2838" s="583"/>
      <c r="B2838" s="640"/>
      <c r="F2838" s="575"/>
      <c r="G2838" s="575"/>
      <c r="H2838" s="575"/>
      <c r="I2838" s="575"/>
      <c r="J2838" s="575"/>
      <c r="K2838" s="575"/>
    </row>
    <row r="2839" spans="1:11" x14ac:dyDescent="0.2">
      <c r="A2839" s="583"/>
      <c r="B2839" s="640"/>
      <c r="F2839" s="575"/>
      <c r="G2839" s="575"/>
      <c r="H2839" s="575"/>
      <c r="I2839" s="575"/>
      <c r="J2839" s="575"/>
      <c r="K2839" s="575"/>
    </row>
    <row r="2840" spans="1:11" x14ac:dyDescent="0.2">
      <c r="A2840" s="583"/>
      <c r="B2840" s="640"/>
      <c r="F2840" s="575"/>
      <c r="G2840" s="575"/>
      <c r="H2840" s="575"/>
      <c r="I2840" s="575"/>
      <c r="J2840" s="575"/>
      <c r="K2840" s="575"/>
    </row>
    <row r="2841" spans="1:11" x14ac:dyDescent="0.2">
      <c r="A2841" s="583"/>
      <c r="B2841" s="640"/>
      <c r="F2841" s="575"/>
      <c r="G2841" s="575"/>
      <c r="H2841" s="575"/>
      <c r="I2841" s="575"/>
      <c r="J2841" s="575"/>
      <c r="K2841" s="575"/>
    </row>
    <row r="2842" spans="1:11" x14ac:dyDescent="0.2">
      <c r="A2842" s="583"/>
      <c r="B2842" s="640"/>
      <c r="F2842" s="575"/>
      <c r="G2842" s="575"/>
      <c r="H2842" s="575"/>
      <c r="I2842" s="575"/>
      <c r="J2842" s="575"/>
      <c r="K2842" s="575"/>
    </row>
    <row r="2843" spans="1:11" x14ac:dyDescent="0.2">
      <c r="A2843" s="583"/>
      <c r="B2843" s="640"/>
      <c r="F2843" s="575"/>
      <c r="G2843" s="575"/>
      <c r="H2843" s="575"/>
      <c r="I2843" s="575"/>
      <c r="J2843" s="575"/>
      <c r="K2843" s="575"/>
    </row>
    <row r="2844" spans="1:11" x14ac:dyDescent="0.2">
      <c r="A2844" s="583"/>
      <c r="B2844" s="640"/>
      <c r="F2844" s="575"/>
      <c r="G2844" s="575"/>
      <c r="H2844" s="575"/>
      <c r="I2844" s="575"/>
      <c r="J2844" s="575"/>
      <c r="K2844" s="575"/>
    </row>
    <row r="2845" spans="1:11" x14ac:dyDescent="0.2">
      <c r="A2845" s="583"/>
      <c r="B2845" s="640"/>
      <c r="F2845" s="575"/>
      <c r="G2845" s="575"/>
      <c r="H2845" s="575"/>
      <c r="I2845" s="575"/>
      <c r="J2845" s="575"/>
      <c r="K2845" s="575"/>
    </row>
    <row r="2846" spans="1:11" x14ac:dyDescent="0.2">
      <c r="A2846" s="583"/>
      <c r="B2846" s="640"/>
      <c r="F2846" s="575"/>
      <c r="G2846" s="575"/>
      <c r="H2846" s="575"/>
      <c r="I2846" s="575"/>
      <c r="J2846" s="575"/>
      <c r="K2846" s="575"/>
    </row>
    <row r="2847" spans="1:11" x14ac:dyDescent="0.2">
      <c r="A2847" s="583"/>
      <c r="B2847" s="640"/>
      <c r="F2847" s="575"/>
      <c r="G2847" s="575"/>
      <c r="H2847" s="575"/>
      <c r="I2847" s="575"/>
      <c r="J2847" s="575"/>
      <c r="K2847" s="575"/>
    </row>
    <row r="2848" spans="1:11" x14ac:dyDescent="0.2">
      <c r="A2848" s="583"/>
      <c r="B2848" s="640"/>
      <c r="F2848" s="575"/>
      <c r="G2848" s="575"/>
      <c r="H2848" s="575"/>
      <c r="I2848" s="575"/>
      <c r="J2848" s="575"/>
      <c r="K2848" s="575"/>
    </row>
    <row r="2849" spans="1:11" x14ac:dyDescent="0.2">
      <c r="A2849" s="583"/>
      <c r="B2849" s="640"/>
      <c r="F2849" s="575"/>
      <c r="G2849" s="575"/>
      <c r="H2849" s="575"/>
      <c r="I2849" s="575"/>
      <c r="J2849" s="575"/>
      <c r="K2849" s="575"/>
    </row>
    <row r="2850" spans="1:11" x14ac:dyDescent="0.2">
      <c r="A2850" s="583"/>
      <c r="B2850" s="640"/>
      <c r="F2850" s="575"/>
      <c r="G2850" s="575"/>
      <c r="H2850" s="575"/>
      <c r="I2850" s="575"/>
      <c r="J2850" s="575"/>
      <c r="K2850" s="575"/>
    </row>
    <row r="2851" spans="1:11" x14ac:dyDescent="0.2">
      <c r="A2851" s="583"/>
      <c r="B2851" s="640"/>
      <c r="F2851" s="575"/>
      <c r="G2851" s="575"/>
      <c r="H2851" s="575"/>
      <c r="I2851" s="575"/>
      <c r="J2851" s="575"/>
      <c r="K2851" s="575"/>
    </row>
    <row r="2852" spans="1:11" x14ac:dyDescent="0.2">
      <c r="A2852" s="583"/>
      <c r="B2852" s="640"/>
      <c r="F2852" s="575"/>
      <c r="G2852" s="575"/>
      <c r="H2852" s="575"/>
      <c r="I2852" s="575"/>
      <c r="J2852" s="575"/>
      <c r="K2852" s="575"/>
    </row>
    <row r="2853" spans="1:11" x14ac:dyDescent="0.2">
      <c r="A2853" s="583"/>
      <c r="B2853" s="640"/>
      <c r="F2853" s="575"/>
      <c r="G2853" s="575"/>
      <c r="H2853" s="575"/>
      <c r="I2853" s="575"/>
      <c r="J2853" s="575"/>
      <c r="K2853" s="575"/>
    </row>
    <row r="2854" spans="1:11" x14ac:dyDescent="0.2">
      <c r="A2854" s="583"/>
      <c r="B2854" s="640"/>
      <c r="F2854" s="575"/>
      <c r="G2854" s="575"/>
      <c r="H2854" s="575"/>
      <c r="I2854" s="575"/>
      <c r="J2854" s="575"/>
      <c r="K2854" s="575"/>
    </row>
    <row r="2855" spans="1:11" x14ac:dyDescent="0.2">
      <c r="A2855" s="583"/>
      <c r="B2855" s="640"/>
      <c r="F2855" s="575"/>
      <c r="G2855" s="575"/>
      <c r="H2855" s="575"/>
      <c r="I2855" s="575"/>
      <c r="J2855" s="575"/>
      <c r="K2855" s="575"/>
    </row>
    <row r="2856" spans="1:11" x14ac:dyDescent="0.2">
      <c r="A2856" s="583"/>
      <c r="B2856" s="640"/>
      <c r="F2856" s="575"/>
      <c r="G2856" s="575"/>
      <c r="H2856" s="575"/>
      <c r="I2856" s="575"/>
      <c r="J2856" s="575"/>
      <c r="K2856" s="575"/>
    </row>
    <row r="2857" spans="1:11" x14ac:dyDescent="0.2">
      <c r="A2857" s="583"/>
      <c r="B2857" s="640"/>
      <c r="F2857" s="575"/>
      <c r="G2857" s="575"/>
      <c r="H2857" s="575"/>
      <c r="I2857" s="575"/>
      <c r="J2857" s="575"/>
      <c r="K2857" s="575"/>
    </row>
    <row r="2858" spans="1:11" x14ac:dyDescent="0.2">
      <c r="A2858" s="583"/>
      <c r="B2858" s="640"/>
      <c r="F2858" s="575"/>
      <c r="G2858" s="575"/>
      <c r="H2858" s="575"/>
      <c r="I2858" s="575"/>
      <c r="J2858" s="575"/>
      <c r="K2858" s="575"/>
    </row>
    <row r="2859" spans="1:11" x14ac:dyDescent="0.2">
      <c r="A2859" s="583"/>
      <c r="B2859" s="640"/>
      <c r="F2859" s="575"/>
      <c r="G2859" s="575"/>
      <c r="H2859" s="575"/>
      <c r="I2859" s="575"/>
      <c r="J2859" s="575"/>
      <c r="K2859" s="575"/>
    </row>
    <row r="2860" spans="1:11" x14ac:dyDescent="0.2">
      <c r="A2860" s="583"/>
      <c r="B2860" s="640"/>
      <c r="F2860" s="575"/>
      <c r="G2860" s="575"/>
      <c r="H2860" s="575"/>
      <c r="I2860" s="575"/>
      <c r="J2860" s="575"/>
      <c r="K2860" s="575"/>
    </row>
    <row r="2861" spans="1:11" x14ac:dyDescent="0.2">
      <c r="A2861" s="583"/>
      <c r="B2861" s="640"/>
      <c r="F2861" s="575"/>
      <c r="G2861" s="575"/>
      <c r="H2861" s="575"/>
      <c r="I2861" s="575"/>
      <c r="J2861" s="575"/>
      <c r="K2861" s="575"/>
    </row>
    <row r="2862" spans="1:11" x14ac:dyDescent="0.2">
      <c r="A2862" s="583"/>
      <c r="B2862" s="640"/>
      <c r="F2862" s="575"/>
      <c r="G2862" s="575"/>
      <c r="H2862" s="575"/>
      <c r="I2862" s="575"/>
      <c r="J2862" s="575"/>
      <c r="K2862" s="575"/>
    </row>
    <row r="2863" spans="1:11" x14ac:dyDescent="0.2">
      <c r="A2863" s="583"/>
      <c r="B2863" s="640"/>
      <c r="F2863" s="575"/>
      <c r="G2863" s="575"/>
      <c r="H2863" s="575"/>
      <c r="I2863" s="575"/>
      <c r="J2863" s="575"/>
      <c r="K2863" s="575"/>
    </row>
    <row r="2864" spans="1:11" x14ac:dyDescent="0.2">
      <c r="A2864" s="583"/>
      <c r="B2864" s="640"/>
      <c r="F2864" s="575"/>
      <c r="G2864" s="575"/>
      <c r="H2864" s="575"/>
      <c r="I2864" s="575"/>
      <c r="J2864" s="575"/>
      <c r="K2864" s="575"/>
    </row>
    <row r="2865" spans="1:11" x14ac:dyDescent="0.2">
      <c r="A2865" s="583"/>
      <c r="B2865" s="640"/>
      <c r="F2865" s="575"/>
      <c r="G2865" s="575"/>
      <c r="H2865" s="575"/>
      <c r="I2865" s="575"/>
      <c r="J2865" s="575"/>
      <c r="K2865" s="575"/>
    </row>
    <row r="2866" spans="1:11" x14ac:dyDescent="0.2">
      <c r="A2866" s="583"/>
      <c r="B2866" s="640"/>
      <c r="F2866" s="575"/>
      <c r="G2866" s="575"/>
      <c r="H2866" s="575"/>
      <c r="I2866" s="575"/>
      <c r="J2866" s="575"/>
      <c r="K2866" s="575"/>
    </row>
    <row r="2867" spans="1:11" x14ac:dyDescent="0.2">
      <c r="A2867" s="583"/>
      <c r="B2867" s="640"/>
      <c r="F2867" s="575"/>
      <c r="G2867" s="575"/>
      <c r="H2867" s="575"/>
      <c r="I2867" s="575"/>
      <c r="J2867" s="575"/>
      <c r="K2867" s="575"/>
    </row>
    <row r="2868" spans="1:11" x14ac:dyDescent="0.2">
      <c r="A2868" s="583"/>
      <c r="B2868" s="640"/>
      <c r="F2868" s="575"/>
      <c r="G2868" s="575"/>
      <c r="H2868" s="575"/>
      <c r="I2868" s="575"/>
      <c r="J2868" s="575"/>
      <c r="K2868" s="575"/>
    </row>
    <row r="2869" spans="1:11" x14ac:dyDescent="0.2">
      <c r="A2869" s="583"/>
      <c r="B2869" s="640"/>
      <c r="F2869" s="575"/>
      <c r="G2869" s="575"/>
      <c r="H2869" s="575"/>
      <c r="I2869" s="575"/>
      <c r="J2869" s="575"/>
      <c r="K2869" s="575"/>
    </row>
    <row r="2870" spans="1:11" x14ac:dyDescent="0.2">
      <c r="A2870" s="583"/>
      <c r="B2870" s="640"/>
      <c r="F2870" s="575"/>
      <c r="G2870" s="575"/>
      <c r="H2870" s="575"/>
      <c r="I2870" s="575"/>
      <c r="J2870" s="575"/>
      <c r="K2870" s="575"/>
    </row>
    <row r="2871" spans="1:11" x14ac:dyDescent="0.2">
      <c r="A2871" s="583"/>
      <c r="B2871" s="640"/>
      <c r="F2871" s="575"/>
      <c r="G2871" s="575"/>
      <c r="H2871" s="575"/>
      <c r="I2871" s="575"/>
      <c r="J2871" s="575"/>
      <c r="K2871" s="575"/>
    </row>
    <row r="2872" spans="1:11" x14ac:dyDescent="0.2">
      <c r="A2872" s="583"/>
      <c r="B2872" s="640"/>
      <c r="F2872" s="575"/>
      <c r="G2872" s="575"/>
      <c r="H2872" s="575"/>
      <c r="I2872" s="575"/>
      <c r="J2872" s="575"/>
      <c r="K2872" s="575"/>
    </row>
    <row r="2873" spans="1:11" x14ac:dyDescent="0.2">
      <c r="A2873" s="583"/>
      <c r="B2873" s="640"/>
      <c r="F2873" s="575"/>
      <c r="G2873" s="575"/>
      <c r="H2873" s="575"/>
      <c r="I2873" s="575"/>
      <c r="J2873" s="575"/>
      <c r="K2873" s="575"/>
    </row>
    <row r="2874" spans="1:11" x14ac:dyDescent="0.2">
      <c r="A2874" s="583"/>
      <c r="B2874" s="640"/>
      <c r="F2874" s="575"/>
      <c r="G2874" s="575"/>
      <c r="H2874" s="575"/>
      <c r="I2874" s="575"/>
      <c r="J2874" s="575"/>
      <c r="K2874" s="575"/>
    </row>
    <row r="2875" spans="1:11" x14ac:dyDescent="0.2">
      <c r="A2875" s="583"/>
      <c r="B2875" s="640"/>
      <c r="F2875" s="575"/>
      <c r="G2875" s="575"/>
      <c r="H2875" s="575"/>
      <c r="I2875" s="575"/>
      <c r="J2875" s="575"/>
      <c r="K2875" s="575"/>
    </row>
    <row r="2876" spans="1:11" x14ac:dyDescent="0.2">
      <c r="A2876" s="583"/>
      <c r="B2876" s="640"/>
      <c r="F2876" s="575"/>
      <c r="G2876" s="575"/>
      <c r="H2876" s="575"/>
      <c r="I2876" s="575"/>
      <c r="J2876" s="575"/>
      <c r="K2876" s="575"/>
    </row>
    <row r="2877" spans="1:11" x14ac:dyDescent="0.2">
      <c r="A2877" s="583"/>
      <c r="B2877" s="640"/>
      <c r="F2877" s="575"/>
      <c r="G2877" s="575"/>
      <c r="H2877" s="575"/>
      <c r="I2877" s="575"/>
      <c r="J2877" s="575"/>
      <c r="K2877" s="575"/>
    </row>
    <row r="2878" spans="1:11" x14ac:dyDescent="0.2">
      <c r="A2878" s="583"/>
      <c r="B2878" s="640"/>
      <c r="F2878" s="575"/>
      <c r="G2878" s="575"/>
      <c r="H2878" s="575"/>
      <c r="I2878" s="575"/>
      <c r="J2878" s="575"/>
      <c r="K2878" s="575"/>
    </row>
    <row r="2879" spans="1:11" x14ac:dyDescent="0.2">
      <c r="A2879" s="583"/>
      <c r="B2879" s="640"/>
      <c r="F2879" s="575"/>
      <c r="G2879" s="575"/>
      <c r="H2879" s="575"/>
      <c r="I2879" s="575"/>
      <c r="J2879" s="575"/>
      <c r="K2879" s="575"/>
    </row>
    <row r="2880" spans="1:11" x14ac:dyDescent="0.2">
      <c r="A2880" s="583"/>
      <c r="B2880" s="640"/>
      <c r="F2880" s="575"/>
      <c r="G2880" s="575"/>
      <c r="H2880" s="575"/>
      <c r="I2880" s="575"/>
      <c r="J2880" s="575"/>
      <c r="K2880" s="575"/>
    </row>
    <row r="2881" spans="1:11" x14ac:dyDescent="0.2">
      <c r="A2881" s="583"/>
      <c r="B2881" s="640"/>
      <c r="F2881" s="575"/>
      <c r="G2881" s="575"/>
      <c r="H2881" s="575"/>
      <c r="I2881" s="575"/>
      <c r="J2881" s="575"/>
      <c r="K2881" s="575"/>
    </row>
    <row r="2882" spans="1:11" x14ac:dyDescent="0.2">
      <c r="A2882" s="583"/>
      <c r="B2882" s="640"/>
      <c r="F2882" s="575"/>
      <c r="G2882" s="575"/>
      <c r="H2882" s="575"/>
      <c r="I2882" s="575"/>
      <c r="J2882" s="575"/>
      <c r="K2882" s="575"/>
    </row>
    <row r="2883" spans="1:11" x14ac:dyDescent="0.2">
      <c r="A2883" s="583"/>
      <c r="B2883" s="640"/>
      <c r="F2883" s="575"/>
      <c r="G2883" s="575"/>
      <c r="H2883" s="575"/>
      <c r="I2883" s="575"/>
      <c r="J2883" s="575"/>
      <c r="K2883" s="575"/>
    </row>
    <row r="2884" spans="1:11" x14ac:dyDescent="0.2">
      <c r="A2884" s="583"/>
      <c r="B2884" s="640"/>
      <c r="F2884" s="575"/>
      <c r="G2884" s="575"/>
      <c r="H2884" s="575"/>
      <c r="I2884" s="575"/>
      <c r="J2884" s="575"/>
      <c r="K2884" s="575"/>
    </row>
    <row r="2885" spans="1:11" x14ac:dyDescent="0.2">
      <c r="A2885" s="583"/>
      <c r="B2885" s="640"/>
      <c r="F2885" s="575"/>
      <c r="G2885" s="575"/>
      <c r="H2885" s="575"/>
      <c r="I2885" s="575"/>
      <c r="J2885" s="575"/>
      <c r="K2885" s="575"/>
    </row>
    <row r="2886" spans="1:11" x14ac:dyDescent="0.2">
      <c r="A2886" s="583"/>
      <c r="B2886" s="640"/>
      <c r="F2886" s="575"/>
      <c r="G2886" s="575"/>
      <c r="H2886" s="575"/>
      <c r="I2886" s="575"/>
      <c r="J2886" s="575"/>
      <c r="K2886" s="575"/>
    </row>
    <row r="2887" spans="1:11" x14ac:dyDescent="0.2">
      <c r="A2887" s="583"/>
      <c r="B2887" s="640"/>
      <c r="F2887" s="575"/>
      <c r="G2887" s="575"/>
      <c r="H2887" s="575"/>
      <c r="I2887" s="575"/>
      <c r="J2887" s="575"/>
      <c r="K2887" s="575"/>
    </row>
    <row r="2888" spans="1:11" x14ac:dyDescent="0.2">
      <c r="A2888" s="583"/>
      <c r="B2888" s="640"/>
      <c r="F2888" s="575"/>
      <c r="G2888" s="575"/>
      <c r="H2888" s="575"/>
      <c r="I2888" s="575"/>
      <c r="J2888" s="575"/>
      <c r="K2888" s="575"/>
    </row>
    <row r="2889" spans="1:11" x14ac:dyDescent="0.2">
      <c r="A2889" s="583"/>
      <c r="B2889" s="640"/>
      <c r="F2889" s="575"/>
      <c r="G2889" s="575"/>
      <c r="H2889" s="575"/>
      <c r="I2889" s="575"/>
      <c r="J2889" s="575"/>
      <c r="K2889" s="575"/>
    </row>
    <row r="2890" spans="1:11" x14ac:dyDescent="0.2">
      <c r="A2890" s="583"/>
      <c r="B2890" s="640"/>
      <c r="F2890" s="575"/>
      <c r="G2890" s="575"/>
      <c r="H2890" s="575"/>
      <c r="I2890" s="575"/>
      <c r="J2890" s="575"/>
      <c r="K2890" s="575"/>
    </row>
    <row r="2891" spans="1:11" x14ac:dyDescent="0.2">
      <c r="A2891" s="583"/>
      <c r="B2891" s="640"/>
      <c r="F2891" s="575"/>
      <c r="G2891" s="575"/>
      <c r="H2891" s="575"/>
      <c r="I2891" s="575"/>
      <c r="J2891" s="575"/>
      <c r="K2891" s="575"/>
    </row>
    <row r="2892" spans="1:11" x14ac:dyDescent="0.2">
      <c r="A2892" s="583"/>
      <c r="B2892" s="640"/>
      <c r="F2892" s="575"/>
      <c r="G2892" s="575"/>
      <c r="H2892" s="575"/>
      <c r="I2892" s="575"/>
      <c r="J2892" s="575"/>
      <c r="K2892" s="575"/>
    </row>
    <row r="2893" spans="1:11" x14ac:dyDescent="0.2">
      <c r="A2893" s="583"/>
      <c r="B2893" s="640"/>
      <c r="F2893" s="575"/>
      <c r="G2893" s="575"/>
      <c r="H2893" s="575"/>
      <c r="I2893" s="575"/>
      <c r="J2893" s="575"/>
      <c r="K2893" s="575"/>
    </row>
    <row r="2894" spans="1:11" x14ac:dyDescent="0.2">
      <c r="A2894" s="583"/>
      <c r="B2894" s="640"/>
      <c r="F2894" s="575"/>
      <c r="G2894" s="575"/>
      <c r="H2894" s="575"/>
      <c r="I2894" s="575"/>
      <c r="J2894" s="575"/>
      <c r="K2894" s="575"/>
    </row>
    <row r="2895" spans="1:11" x14ac:dyDescent="0.2">
      <c r="A2895" s="583"/>
      <c r="B2895" s="640"/>
      <c r="F2895" s="575"/>
      <c r="G2895" s="575"/>
      <c r="H2895" s="575"/>
      <c r="I2895" s="575"/>
      <c r="J2895" s="575"/>
      <c r="K2895" s="575"/>
    </row>
    <row r="2896" spans="1:11" x14ac:dyDescent="0.2">
      <c r="A2896" s="583"/>
      <c r="B2896" s="640"/>
      <c r="F2896" s="575"/>
      <c r="G2896" s="575"/>
      <c r="H2896" s="575"/>
      <c r="I2896" s="575"/>
      <c r="J2896" s="575"/>
      <c r="K2896" s="575"/>
    </row>
    <row r="2897" spans="1:11" x14ac:dyDescent="0.2">
      <c r="A2897" s="583"/>
      <c r="B2897" s="640"/>
      <c r="F2897" s="575"/>
      <c r="G2897" s="575"/>
      <c r="H2897" s="575"/>
      <c r="I2897" s="575"/>
      <c r="J2897" s="575"/>
      <c r="K2897" s="575"/>
    </row>
    <row r="2898" spans="1:11" x14ac:dyDescent="0.2">
      <c r="A2898" s="583"/>
      <c r="B2898" s="640"/>
      <c r="F2898" s="575"/>
      <c r="G2898" s="575"/>
      <c r="H2898" s="575"/>
      <c r="I2898" s="575"/>
      <c r="J2898" s="575"/>
      <c r="K2898" s="575"/>
    </row>
    <row r="2899" spans="1:11" x14ac:dyDescent="0.2">
      <c r="A2899" s="583"/>
      <c r="B2899" s="640"/>
      <c r="F2899" s="575"/>
      <c r="G2899" s="575"/>
      <c r="H2899" s="575"/>
      <c r="I2899" s="575"/>
      <c r="J2899" s="575"/>
      <c r="K2899" s="575"/>
    </row>
    <row r="2900" spans="1:11" x14ac:dyDescent="0.2">
      <c r="A2900" s="583"/>
      <c r="B2900" s="640"/>
      <c r="F2900" s="575"/>
      <c r="G2900" s="575"/>
      <c r="H2900" s="575"/>
      <c r="I2900" s="575"/>
      <c r="J2900" s="575"/>
      <c r="K2900" s="575"/>
    </row>
    <row r="2901" spans="1:11" x14ac:dyDescent="0.2">
      <c r="A2901" s="583"/>
      <c r="B2901" s="640"/>
      <c r="F2901" s="575"/>
      <c r="G2901" s="575"/>
      <c r="H2901" s="575"/>
      <c r="I2901" s="575"/>
      <c r="J2901" s="575"/>
      <c r="K2901" s="575"/>
    </row>
    <row r="2902" spans="1:11" x14ac:dyDescent="0.2">
      <c r="A2902" s="583"/>
      <c r="B2902" s="640"/>
      <c r="F2902" s="575"/>
      <c r="G2902" s="575"/>
      <c r="H2902" s="575"/>
      <c r="I2902" s="575"/>
      <c r="J2902" s="575"/>
      <c r="K2902" s="575"/>
    </row>
    <row r="2903" spans="1:11" x14ac:dyDescent="0.2">
      <c r="A2903" s="583"/>
      <c r="B2903" s="640"/>
      <c r="F2903" s="575"/>
      <c r="G2903" s="575"/>
      <c r="H2903" s="575"/>
      <c r="I2903" s="575"/>
      <c r="J2903" s="575"/>
      <c r="K2903" s="575"/>
    </row>
    <row r="2904" spans="1:11" x14ac:dyDescent="0.2">
      <c r="A2904" s="583"/>
      <c r="B2904" s="640"/>
      <c r="F2904" s="575"/>
      <c r="G2904" s="575"/>
      <c r="H2904" s="575"/>
      <c r="I2904" s="575"/>
      <c r="J2904" s="575"/>
      <c r="K2904" s="575"/>
    </row>
    <row r="2905" spans="1:11" x14ac:dyDescent="0.2">
      <c r="A2905" s="583"/>
      <c r="B2905" s="640"/>
      <c r="F2905" s="575"/>
      <c r="G2905" s="575"/>
      <c r="H2905" s="575"/>
      <c r="I2905" s="575"/>
      <c r="J2905" s="575"/>
      <c r="K2905" s="575"/>
    </row>
    <row r="2906" spans="1:11" x14ac:dyDescent="0.2">
      <c r="A2906" s="583"/>
      <c r="B2906" s="640"/>
      <c r="F2906" s="575"/>
      <c r="G2906" s="575"/>
      <c r="H2906" s="575"/>
      <c r="I2906" s="575"/>
      <c r="J2906" s="575"/>
      <c r="K2906" s="575"/>
    </row>
    <row r="2907" spans="1:11" x14ac:dyDescent="0.2">
      <c r="A2907" s="583"/>
      <c r="B2907" s="640"/>
      <c r="F2907" s="575"/>
      <c r="G2907" s="575"/>
      <c r="H2907" s="575"/>
      <c r="I2907" s="575"/>
      <c r="J2907" s="575"/>
      <c r="K2907" s="575"/>
    </row>
    <row r="2908" spans="1:11" x14ac:dyDescent="0.2">
      <c r="A2908" s="583"/>
      <c r="B2908" s="640"/>
      <c r="F2908" s="575"/>
      <c r="G2908" s="575"/>
      <c r="H2908" s="575"/>
      <c r="I2908" s="575"/>
      <c r="J2908" s="575"/>
      <c r="K2908" s="575"/>
    </row>
    <row r="2909" spans="1:11" x14ac:dyDescent="0.2">
      <c r="A2909" s="583"/>
      <c r="B2909" s="640"/>
      <c r="F2909" s="575"/>
      <c r="G2909" s="575"/>
      <c r="H2909" s="575"/>
      <c r="I2909" s="575"/>
      <c r="J2909" s="575"/>
      <c r="K2909" s="575"/>
    </row>
    <row r="2910" spans="1:11" x14ac:dyDescent="0.2">
      <c r="A2910" s="583"/>
      <c r="B2910" s="640"/>
      <c r="F2910" s="575"/>
      <c r="G2910" s="575"/>
      <c r="H2910" s="575"/>
      <c r="I2910" s="575"/>
      <c r="J2910" s="575"/>
      <c r="K2910" s="575"/>
    </row>
    <row r="2911" spans="1:11" x14ac:dyDescent="0.2">
      <c r="A2911" s="583"/>
      <c r="B2911" s="640"/>
      <c r="F2911" s="575"/>
      <c r="G2911" s="575"/>
      <c r="H2911" s="575"/>
      <c r="I2911" s="575"/>
      <c r="J2911" s="575"/>
      <c r="K2911" s="575"/>
    </row>
    <row r="2912" spans="1:11" x14ac:dyDescent="0.2">
      <c r="A2912" s="583"/>
      <c r="B2912" s="640"/>
      <c r="F2912" s="575"/>
      <c r="G2912" s="575"/>
      <c r="H2912" s="575"/>
      <c r="I2912" s="575"/>
      <c r="J2912" s="575"/>
      <c r="K2912" s="575"/>
    </row>
    <row r="2913" spans="1:11" x14ac:dyDescent="0.2">
      <c r="A2913" s="583"/>
      <c r="B2913" s="640"/>
      <c r="F2913" s="575"/>
      <c r="G2913" s="575"/>
      <c r="H2913" s="575"/>
      <c r="I2913" s="575"/>
      <c r="J2913" s="575"/>
      <c r="K2913" s="575"/>
    </row>
    <row r="2914" spans="1:11" x14ac:dyDescent="0.2">
      <c r="A2914" s="583"/>
      <c r="B2914" s="640"/>
      <c r="F2914" s="575"/>
      <c r="G2914" s="575"/>
      <c r="H2914" s="575"/>
      <c r="I2914" s="575"/>
      <c r="J2914" s="575"/>
      <c r="K2914" s="575"/>
    </row>
    <row r="2915" spans="1:11" x14ac:dyDescent="0.2">
      <c r="A2915" s="583"/>
      <c r="B2915" s="640"/>
      <c r="F2915" s="575"/>
      <c r="G2915" s="575"/>
      <c r="H2915" s="575"/>
      <c r="I2915" s="575"/>
      <c r="J2915" s="575"/>
      <c r="K2915" s="575"/>
    </row>
    <row r="2916" spans="1:11" x14ac:dyDescent="0.2">
      <c r="A2916" s="583"/>
      <c r="B2916" s="640"/>
      <c r="F2916" s="575"/>
      <c r="G2916" s="575"/>
      <c r="H2916" s="575"/>
      <c r="I2916" s="575"/>
      <c r="J2916" s="575"/>
      <c r="K2916" s="575"/>
    </row>
    <row r="2917" spans="1:11" x14ac:dyDescent="0.2">
      <c r="A2917" s="583"/>
      <c r="B2917" s="640"/>
      <c r="F2917" s="575"/>
      <c r="G2917" s="575"/>
      <c r="H2917" s="575"/>
      <c r="I2917" s="575"/>
      <c r="J2917" s="575"/>
      <c r="K2917" s="575"/>
    </row>
    <row r="2918" spans="1:11" x14ac:dyDescent="0.2">
      <c r="A2918" s="583"/>
      <c r="B2918" s="640"/>
      <c r="F2918" s="575"/>
      <c r="G2918" s="575"/>
      <c r="H2918" s="575"/>
      <c r="I2918" s="575"/>
      <c r="J2918" s="575"/>
      <c r="K2918" s="575"/>
    </row>
    <row r="2919" spans="1:11" x14ac:dyDescent="0.2">
      <c r="A2919" s="583"/>
      <c r="B2919" s="640"/>
      <c r="F2919" s="575"/>
      <c r="G2919" s="575"/>
      <c r="H2919" s="575"/>
      <c r="I2919" s="575"/>
      <c r="J2919" s="575"/>
      <c r="K2919" s="575"/>
    </row>
    <row r="2920" spans="1:11" x14ac:dyDescent="0.2">
      <c r="A2920" s="583"/>
      <c r="B2920" s="640"/>
      <c r="F2920" s="575"/>
      <c r="G2920" s="575"/>
      <c r="H2920" s="575"/>
      <c r="I2920" s="575"/>
      <c r="J2920" s="575"/>
      <c r="K2920" s="575"/>
    </row>
    <row r="2921" spans="1:11" x14ac:dyDescent="0.2">
      <c r="A2921" s="583"/>
      <c r="B2921" s="640"/>
      <c r="F2921" s="575"/>
      <c r="G2921" s="575"/>
      <c r="H2921" s="575"/>
      <c r="I2921" s="575"/>
      <c r="J2921" s="575"/>
      <c r="K2921" s="575"/>
    </row>
    <row r="2922" spans="1:11" x14ac:dyDescent="0.2">
      <c r="A2922" s="583"/>
      <c r="B2922" s="640"/>
      <c r="F2922" s="575"/>
      <c r="G2922" s="575"/>
      <c r="H2922" s="575"/>
      <c r="I2922" s="575"/>
      <c r="J2922" s="575"/>
      <c r="K2922" s="575"/>
    </row>
    <row r="2923" spans="1:11" x14ac:dyDescent="0.2">
      <c r="A2923" s="583"/>
      <c r="B2923" s="640"/>
      <c r="F2923" s="575"/>
      <c r="G2923" s="575"/>
      <c r="H2923" s="575"/>
      <c r="I2923" s="575"/>
      <c r="J2923" s="575"/>
      <c r="K2923" s="575"/>
    </row>
    <row r="2924" spans="1:11" x14ac:dyDescent="0.2">
      <c r="A2924" s="583"/>
      <c r="B2924" s="640"/>
      <c r="F2924" s="575"/>
      <c r="G2924" s="575"/>
      <c r="H2924" s="575"/>
      <c r="I2924" s="575"/>
      <c r="J2924" s="575"/>
      <c r="K2924" s="575"/>
    </row>
    <row r="2925" spans="1:11" x14ac:dyDescent="0.2">
      <c r="A2925" s="583"/>
      <c r="B2925" s="640"/>
      <c r="F2925" s="575"/>
      <c r="G2925" s="575"/>
      <c r="H2925" s="575"/>
      <c r="I2925" s="575"/>
      <c r="J2925" s="575"/>
      <c r="K2925" s="575"/>
    </row>
    <row r="2926" spans="1:11" x14ac:dyDescent="0.2">
      <c r="A2926" s="583"/>
      <c r="B2926" s="640"/>
      <c r="F2926" s="575"/>
      <c r="G2926" s="575"/>
      <c r="H2926" s="575"/>
      <c r="I2926" s="575"/>
      <c r="J2926" s="575"/>
      <c r="K2926" s="575"/>
    </row>
    <row r="2927" spans="1:11" x14ac:dyDescent="0.2">
      <c r="A2927" s="583"/>
      <c r="B2927" s="640"/>
      <c r="F2927" s="575"/>
      <c r="G2927" s="575"/>
      <c r="H2927" s="575"/>
      <c r="I2927" s="575"/>
      <c r="J2927" s="575"/>
      <c r="K2927" s="575"/>
    </row>
    <row r="2928" spans="1:11" x14ac:dyDescent="0.2">
      <c r="A2928" s="583"/>
      <c r="B2928" s="640"/>
      <c r="F2928" s="575"/>
      <c r="G2928" s="575"/>
      <c r="H2928" s="575"/>
      <c r="I2928" s="575"/>
      <c r="J2928" s="575"/>
      <c r="K2928" s="575"/>
    </row>
    <row r="2929" spans="1:11" x14ac:dyDescent="0.2">
      <c r="A2929" s="583"/>
      <c r="B2929" s="640"/>
      <c r="F2929" s="575"/>
      <c r="G2929" s="575"/>
      <c r="H2929" s="575"/>
      <c r="I2929" s="575"/>
      <c r="J2929" s="575"/>
      <c r="K2929" s="575"/>
    </row>
    <row r="2930" spans="1:11" x14ac:dyDescent="0.2">
      <c r="A2930" s="583"/>
      <c r="B2930" s="640"/>
      <c r="F2930" s="575"/>
      <c r="G2930" s="575"/>
      <c r="H2930" s="575"/>
      <c r="I2930" s="575"/>
      <c r="J2930" s="575"/>
      <c r="K2930" s="575"/>
    </row>
    <row r="2931" spans="1:11" x14ac:dyDescent="0.2">
      <c r="A2931" s="583"/>
      <c r="B2931" s="640"/>
      <c r="F2931" s="575"/>
      <c r="G2931" s="575"/>
      <c r="H2931" s="575"/>
      <c r="I2931" s="575"/>
      <c r="J2931" s="575"/>
      <c r="K2931" s="575"/>
    </row>
    <row r="2932" spans="1:11" x14ac:dyDescent="0.2">
      <c r="A2932" s="583"/>
      <c r="B2932" s="640"/>
      <c r="F2932" s="575"/>
      <c r="G2932" s="575"/>
      <c r="H2932" s="575"/>
      <c r="I2932" s="575"/>
      <c r="J2932" s="575"/>
      <c r="K2932" s="575"/>
    </row>
    <row r="2933" spans="1:11" x14ac:dyDescent="0.2">
      <c r="A2933" s="583"/>
      <c r="B2933" s="640"/>
      <c r="F2933" s="575"/>
      <c r="G2933" s="575"/>
      <c r="H2933" s="575"/>
      <c r="I2933" s="575"/>
      <c r="J2933" s="575"/>
      <c r="K2933" s="575"/>
    </row>
    <row r="2934" spans="1:11" x14ac:dyDescent="0.2">
      <c r="A2934" s="583"/>
      <c r="B2934" s="640"/>
      <c r="F2934" s="575"/>
      <c r="G2934" s="575"/>
      <c r="H2934" s="575"/>
      <c r="I2934" s="575"/>
      <c r="J2934" s="575"/>
      <c r="K2934" s="575"/>
    </row>
    <row r="2935" spans="1:11" x14ac:dyDescent="0.2">
      <c r="A2935" s="583"/>
      <c r="B2935" s="640"/>
      <c r="F2935" s="575"/>
      <c r="G2935" s="575"/>
      <c r="H2935" s="575"/>
      <c r="I2935" s="575"/>
      <c r="J2935" s="575"/>
      <c r="K2935" s="575"/>
    </row>
    <row r="2936" spans="1:11" x14ac:dyDescent="0.2">
      <c r="A2936" s="583"/>
      <c r="B2936" s="640"/>
      <c r="F2936" s="575"/>
      <c r="G2936" s="575"/>
      <c r="H2936" s="575"/>
      <c r="I2936" s="575"/>
      <c r="J2936" s="575"/>
      <c r="K2936" s="575"/>
    </row>
    <row r="2937" spans="1:11" x14ac:dyDescent="0.2">
      <c r="A2937" s="583"/>
      <c r="B2937" s="640"/>
      <c r="F2937" s="575"/>
      <c r="G2937" s="575"/>
      <c r="H2937" s="575"/>
      <c r="I2937" s="575"/>
      <c r="J2937" s="575"/>
      <c r="K2937" s="575"/>
    </row>
    <row r="2938" spans="1:11" x14ac:dyDescent="0.2">
      <c r="A2938" s="583"/>
      <c r="B2938" s="640"/>
      <c r="F2938" s="575"/>
      <c r="G2938" s="575"/>
      <c r="H2938" s="575"/>
      <c r="I2938" s="575"/>
      <c r="J2938" s="575"/>
      <c r="K2938" s="575"/>
    </row>
    <row r="2939" spans="1:11" x14ac:dyDescent="0.2">
      <c r="A2939" s="583"/>
      <c r="B2939" s="640"/>
      <c r="F2939" s="575"/>
      <c r="G2939" s="575"/>
      <c r="H2939" s="575"/>
      <c r="I2939" s="575"/>
      <c r="J2939" s="575"/>
      <c r="K2939" s="575"/>
    </row>
    <row r="2940" spans="1:11" x14ac:dyDescent="0.2">
      <c r="A2940" s="583"/>
      <c r="B2940" s="640"/>
      <c r="F2940" s="575"/>
      <c r="G2940" s="575"/>
      <c r="H2940" s="575"/>
      <c r="I2940" s="575"/>
      <c r="J2940" s="575"/>
      <c r="K2940" s="575"/>
    </row>
    <row r="2941" spans="1:11" x14ac:dyDescent="0.2">
      <c r="A2941" s="583"/>
      <c r="B2941" s="640"/>
      <c r="F2941" s="575"/>
      <c r="G2941" s="575"/>
      <c r="H2941" s="575"/>
      <c r="I2941" s="575"/>
      <c r="J2941" s="575"/>
      <c r="K2941" s="575"/>
    </row>
    <row r="2942" spans="1:11" x14ac:dyDescent="0.2">
      <c r="A2942" s="583"/>
      <c r="B2942" s="640"/>
      <c r="F2942" s="575"/>
      <c r="G2942" s="575"/>
      <c r="H2942" s="575"/>
      <c r="I2942" s="575"/>
      <c r="J2942" s="575"/>
      <c r="K2942" s="575"/>
    </row>
    <row r="2943" spans="1:11" x14ac:dyDescent="0.2">
      <c r="A2943" s="583"/>
      <c r="B2943" s="640"/>
      <c r="F2943" s="575"/>
      <c r="G2943" s="575"/>
      <c r="H2943" s="575"/>
      <c r="I2943" s="575"/>
      <c r="J2943" s="575"/>
      <c r="K2943" s="575"/>
    </row>
    <row r="2944" spans="1:11" x14ac:dyDescent="0.2">
      <c r="A2944" s="583"/>
      <c r="B2944" s="640"/>
      <c r="F2944" s="575"/>
      <c r="G2944" s="575"/>
      <c r="H2944" s="575"/>
      <c r="I2944" s="575"/>
      <c r="J2944" s="575"/>
      <c r="K2944" s="575"/>
    </row>
    <row r="2945" spans="1:11" x14ac:dyDescent="0.2">
      <c r="A2945" s="583"/>
      <c r="B2945" s="640"/>
      <c r="F2945" s="575"/>
      <c r="G2945" s="575"/>
      <c r="H2945" s="575"/>
      <c r="I2945" s="575"/>
      <c r="J2945" s="575"/>
      <c r="K2945" s="575"/>
    </row>
    <row r="2946" spans="1:11" x14ac:dyDescent="0.2">
      <c r="A2946" s="583"/>
      <c r="B2946" s="640"/>
      <c r="F2946" s="575"/>
      <c r="G2946" s="575"/>
      <c r="H2946" s="575"/>
      <c r="I2946" s="575"/>
      <c r="J2946" s="575"/>
      <c r="K2946" s="575"/>
    </row>
    <row r="2947" spans="1:11" x14ac:dyDescent="0.2">
      <c r="A2947" s="583"/>
      <c r="B2947" s="640"/>
      <c r="F2947" s="575"/>
      <c r="G2947" s="575"/>
      <c r="H2947" s="575"/>
      <c r="I2947" s="575"/>
      <c r="J2947" s="575"/>
      <c r="K2947" s="575"/>
    </row>
    <row r="2948" spans="1:11" x14ac:dyDescent="0.2">
      <c r="A2948" s="583"/>
      <c r="B2948" s="640"/>
      <c r="F2948" s="575"/>
      <c r="G2948" s="575"/>
      <c r="H2948" s="575"/>
      <c r="I2948" s="575"/>
      <c r="J2948" s="575"/>
      <c r="K2948" s="575"/>
    </row>
    <row r="2949" spans="1:11" x14ac:dyDescent="0.2">
      <c r="A2949" s="583"/>
      <c r="B2949" s="640"/>
      <c r="F2949" s="575"/>
      <c r="G2949" s="575"/>
      <c r="H2949" s="575"/>
      <c r="I2949" s="575"/>
      <c r="J2949" s="575"/>
      <c r="K2949" s="575"/>
    </row>
    <row r="2950" spans="1:11" x14ac:dyDescent="0.2">
      <c r="A2950" s="583"/>
      <c r="B2950" s="640"/>
      <c r="F2950" s="575"/>
      <c r="G2950" s="575"/>
      <c r="H2950" s="575"/>
      <c r="I2950" s="575"/>
      <c r="J2950" s="575"/>
      <c r="K2950" s="575"/>
    </row>
    <row r="2951" spans="1:11" x14ac:dyDescent="0.2">
      <c r="A2951" s="583"/>
      <c r="B2951" s="640"/>
      <c r="F2951" s="575"/>
      <c r="G2951" s="575"/>
      <c r="H2951" s="575"/>
      <c r="I2951" s="575"/>
      <c r="J2951" s="575"/>
      <c r="K2951" s="575"/>
    </row>
    <row r="2952" spans="1:11" x14ac:dyDescent="0.2">
      <c r="A2952" s="583"/>
      <c r="B2952" s="640"/>
      <c r="F2952" s="575"/>
      <c r="G2952" s="575"/>
      <c r="H2952" s="575"/>
      <c r="I2952" s="575"/>
      <c r="J2952" s="575"/>
      <c r="K2952" s="575"/>
    </row>
    <row r="2953" spans="1:11" x14ac:dyDescent="0.2">
      <c r="A2953" s="583"/>
      <c r="B2953" s="640"/>
      <c r="F2953" s="575"/>
      <c r="G2953" s="575"/>
      <c r="H2953" s="575"/>
      <c r="I2953" s="575"/>
      <c r="J2953" s="575"/>
      <c r="K2953" s="575"/>
    </row>
    <row r="2954" spans="1:11" x14ac:dyDescent="0.2">
      <c r="A2954" s="583"/>
      <c r="B2954" s="640"/>
      <c r="F2954" s="575"/>
      <c r="G2954" s="575"/>
      <c r="H2954" s="575"/>
      <c r="I2954" s="575"/>
      <c r="J2954" s="575"/>
      <c r="K2954" s="575"/>
    </row>
    <row r="2955" spans="1:11" x14ac:dyDescent="0.2">
      <c r="A2955" s="583"/>
      <c r="B2955" s="640"/>
      <c r="F2955" s="575"/>
      <c r="G2955" s="575"/>
      <c r="H2955" s="575"/>
      <c r="I2955" s="575"/>
      <c r="J2955" s="575"/>
      <c r="K2955" s="575"/>
    </row>
    <row r="2956" spans="1:11" x14ac:dyDescent="0.2">
      <c r="A2956" s="583"/>
      <c r="B2956" s="640"/>
      <c r="F2956" s="575"/>
      <c r="G2956" s="575"/>
      <c r="H2956" s="575"/>
      <c r="I2956" s="575"/>
      <c r="J2956" s="575"/>
      <c r="K2956" s="575"/>
    </row>
    <row r="2957" spans="1:11" x14ac:dyDescent="0.2">
      <c r="A2957" s="583"/>
      <c r="B2957" s="640"/>
      <c r="F2957" s="575"/>
      <c r="G2957" s="575"/>
      <c r="H2957" s="575"/>
      <c r="I2957" s="575"/>
      <c r="J2957" s="575"/>
      <c r="K2957" s="575"/>
    </row>
    <row r="2958" spans="1:11" x14ac:dyDescent="0.2">
      <c r="A2958" s="583"/>
      <c r="B2958" s="640"/>
      <c r="F2958" s="575"/>
      <c r="G2958" s="575"/>
      <c r="H2958" s="575"/>
      <c r="I2958" s="575"/>
      <c r="J2958" s="575"/>
      <c r="K2958" s="575"/>
    </row>
    <row r="2959" spans="1:11" x14ac:dyDescent="0.2">
      <c r="A2959" s="583"/>
      <c r="B2959" s="640"/>
      <c r="F2959" s="575"/>
      <c r="G2959" s="575"/>
      <c r="H2959" s="575"/>
      <c r="I2959" s="575"/>
      <c r="J2959" s="575"/>
      <c r="K2959" s="575"/>
    </row>
    <row r="2960" spans="1:11" x14ac:dyDescent="0.2">
      <c r="A2960" s="583"/>
      <c r="B2960" s="640"/>
      <c r="F2960" s="575"/>
      <c r="G2960" s="575"/>
      <c r="H2960" s="575"/>
      <c r="I2960" s="575"/>
      <c r="J2960" s="575"/>
      <c r="K2960" s="575"/>
    </row>
    <row r="2961" spans="1:11" x14ac:dyDescent="0.2">
      <c r="A2961" s="583"/>
      <c r="B2961" s="640"/>
      <c r="F2961" s="575"/>
      <c r="G2961" s="575"/>
      <c r="H2961" s="575"/>
      <c r="I2961" s="575"/>
      <c r="J2961" s="575"/>
      <c r="K2961" s="575"/>
    </row>
    <row r="2962" spans="1:11" x14ac:dyDescent="0.2">
      <c r="A2962" s="583"/>
      <c r="B2962" s="640"/>
      <c r="F2962" s="575"/>
      <c r="G2962" s="575"/>
      <c r="H2962" s="575"/>
      <c r="I2962" s="575"/>
      <c r="J2962" s="575"/>
      <c r="K2962" s="575"/>
    </row>
    <row r="2963" spans="1:11" x14ac:dyDescent="0.2">
      <c r="A2963" s="583"/>
      <c r="B2963" s="640"/>
      <c r="F2963" s="575"/>
      <c r="G2963" s="575"/>
      <c r="H2963" s="575"/>
      <c r="I2963" s="575"/>
      <c r="J2963" s="575"/>
      <c r="K2963" s="575"/>
    </row>
    <row r="2964" spans="1:11" x14ac:dyDescent="0.2">
      <c r="A2964" s="583"/>
      <c r="B2964" s="640"/>
      <c r="F2964" s="575"/>
      <c r="G2964" s="575"/>
      <c r="H2964" s="575"/>
      <c r="I2964" s="575"/>
      <c r="J2964" s="575"/>
      <c r="K2964" s="575"/>
    </row>
    <row r="2965" spans="1:11" x14ac:dyDescent="0.2">
      <c r="A2965" s="583"/>
      <c r="B2965" s="640"/>
      <c r="F2965" s="575"/>
      <c r="G2965" s="575"/>
      <c r="H2965" s="575"/>
      <c r="I2965" s="575"/>
      <c r="J2965" s="575"/>
      <c r="K2965" s="575"/>
    </row>
    <row r="2966" spans="1:11" x14ac:dyDescent="0.2">
      <c r="A2966" s="583"/>
      <c r="B2966" s="640"/>
      <c r="F2966" s="575"/>
      <c r="G2966" s="575"/>
      <c r="H2966" s="575"/>
      <c r="I2966" s="575"/>
      <c r="J2966" s="575"/>
      <c r="K2966" s="575"/>
    </row>
    <row r="2967" spans="1:11" x14ac:dyDescent="0.2">
      <c r="A2967" s="583"/>
      <c r="B2967" s="640"/>
      <c r="F2967" s="575"/>
      <c r="G2967" s="575"/>
      <c r="H2967" s="575"/>
      <c r="I2967" s="575"/>
      <c r="J2967" s="575"/>
      <c r="K2967" s="575"/>
    </row>
    <row r="2968" spans="1:11" x14ac:dyDescent="0.2">
      <c r="A2968" s="583"/>
      <c r="B2968" s="640"/>
      <c r="F2968" s="575"/>
      <c r="G2968" s="575"/>
      <c r="H2968" s="575"/>
      <c r="I2968" s="575"/>
      <c r="J2968" s="575"/>
      <c r="K2968" s="575"/>
    </row>
    <row r="2969" spans="1:11" x14ac:dyDescent="0.2">
      <c r="A2969" s="583"/>
      <c r="B2969" s="640"/>
      <c r="F2969" s="575"/>
      <c r="G2969" s="575"/>
      <c r="H2969" s="575"/>
      <c r="I2969" s="575"/>
      <c r="J2969" s="575"/>
      <c r="K2969" s="575"/>
    </row>
    <row r="2970" spans="1:11" x14ac:dyDescent="0.2">
      <c r="A2970" s="583"/>
      <c r="B2970" s="640"/>
      <c r="F2970" s="575"/>
      <c r="G2970" s="575"/>
      <c r="H2970" s="575"/>
      <c r="I2970" s="575"/>
      <c r="J2970" s="575"/>
      <c r="K2970" s="575"/>
    </row>
    <row r="2971" spans="1:11" x14ac:dyDescent="0.2">
      <c r="A2971" s="583"/>
      <c r="B2971" s="640"/>
      <c r="F2971" s="575"/>
      <c r="G2971" s="575"/>
      <c r="H2971" s="575"/>
      <c r="I2971" s="575"/>
      <c r="J2971" s="575"/>
      <c r="K2971" s="575"/>
    </row>
    <row r="2972" spans="1:11" x14ac:dyDescent="0.2">
      <c r="A2972" s="583"/>
      <c r="B2972" s="640"/>
      <c r="F2972" s="575"/>
      <c r="G2972" s="575"/>
      <c r="H2972" s="575"/>
      <c r="I2972" s="575"/>
      <c r="J2972" s="575"/>
      <c r="K2972" s="575"/>
    </row>
    <row r="2973" spans="1:11" x14ac:dyDescent="0.2">
      <c r="A2973" s="583"/>
      <c r="B2973" s="640"/>
      <c r="F2973" s="575"/>
      <c r="G2973" s="575"/>
      <c r="H2973" s="575"/>
      <c r="I2973" s="575"/>
      <c r="J2973" s="575"/>
      <c r="K2973" s="575"/>
    </row>
    <row r="2974" spans="1:11" x14ac:dyDescent="0.2">
      <c r="A2974" s="583"/>
      <c r="B2974" s="640"/>
      <c r="F2974" s="575"/>
      <c r="G2974" s="575"/>
      <c r="H2974" s="575"/>
      <c r="I2974" s="575"/>
      <c r="J2974" s="575"/>
      <c r="K2974" s="575"/>
    </row>
    <row r="2975" spans="1:11" x14ac:dyDescent="0.2">
      <c r="A2975" s="583"/>
      <c r="B2975" s="640"/>
      <c r="F2975" s="575"/>
      <c r="G2975" s="575"/>
      <c r="H2975" s="575"/>
      <c r="I2975" s="575"/>
      <c r="J2975" s="575"/>
      <c r="K2975" s="575"/>
    </row>
    <row r="2976" spans="1:11" x14ac:dyDescent="0.2">
      <c r="A2976" s="583"/>
      <c r="B2976" s="640"/>
      <c r="F2976" s="575"/>
      <c r="G2976" s="575"/>
      <c r="H2976" s="575"/>
      <c r="I2976" s="575"/>
      <c r="J2976" s="575"/>
      <c r="K2976" s="575"/>
    </row>
    <row r="2977" spans="1:11" x14ac:dyDescent="0.2">
      <c r="A2977" s="583"/>
      <c r="B2977" s="640"/>
      <c r="F2977" s="575"/>
      <c r="G2977" s="575"/>
      <c r="H2977" s="575"/>
      <c r="I2977" s="575"/>
      <c r="J2977" s="575"/>
      <c r="K2977" s="575"/>
    </row>
    <row r="2978" spans="1:11" x14ac:dyDescent="0.2">
      <c r="A2978" s="583"/>
      <c r="B2978" s="640"/>
      <c r="F2978" s="575"/>
      <c r="G2978" s="575"/>
      <c r="H2978" s="575"/>
      <c r="I2978" s="575"/>
      <c r="J2978" s="575"/>
      <c r="K2978" s="575"/>
    </row>
    <row r="2979" spans="1:11" x14ac:dyDescent="0.2">
      <c r="A2979" s="583"/>
      <c r="B2979" s="640"/>
      <c r="F2979" s="575"/>
      <c r="G2979" s="575"/>
      <c r="H2979" s="575"/>
      <c r="I2979" s="575"/>
      <c r="J2979" s="575"/>
      <c r="K2979" s="575"/>
    </row>
    <row r="2980" spans="1:11" x14ac:dyDescent="0.2">
      <c r="A2980" s="583"/>
      <c r="B2980" s="640"/>
      <c r="F2980" s="575"/>
      <c r="G2980" s="575"/>
      <c r="H2980" s="575"/>
      <c r="I2980" s="575"/>
      <c r="J2980" s="575"/>
      <c r="K2980" s="575"/>
    </row>
    <row r="2981" spans="1:11" x14ac:dyDescent="0.2">
      <c r="A2981" s="583"/>
      <c r="B2981" s="640"/>
      <c r="F2981" s="575"/>
      <c r="G2981" s="575"/>
      <c r="H2981" s="575"/>
      <c r="I2981" s="575"/>
      <c r="J2981" s="575"/>
      <c r="K2981" s="575"/>
    </row>
    <row r="2982" spans="1:11" x14ac:dyDescent="0.2">
      <c r="A2982" s="583"/>
      <c r="B2982" s="640"/>
      <c r="F2982" s="575"/>
      <c r="G2982" s="575"/>
      <c r="H2982" s="575"/>
      <c r="I2982" s="575"/>
      <c r="J2982" s="575"/>
      <c r="K2982" s="575"/>
    </row>
    <row r="2983" spans="1:11" x14ac:dyDescent="0.2">
      <c r="A2983" s="583"/>
      <c r="B2983" s="640"/>
      <c r="F2983" s="575"/>
      <c r="G2983" s="575"/>
      <c r="H2983" s="575"/>
      <c r="I2983" s="575"/>
      <c r="J2983" s="575"/>
      <c r="K2983" s="575"/>
    </row>
    <row r="2984" spans="1:11" x14ac:dyDescent="0.2">
      <c r="A2984" s="583"/>
      <c r="B2984" s="640"/>
      <c r="F2984" s="575"/>
      <c r="G2984" s="575"/>
      <c r="H2984" s="575"/>
      <c r="I2984" s="575"/>
      <c r="J2984" s="575"/>
      <c r="K2984" s="575"/>
    </row>
    <row r="2985" spans="1:11" x14ac:dyDescent="0.2">
      <c r="A2985" s="583"/>
      <c r="B2985" s="640"/>
      <c r="F2985" s="575"/>
      <c r="G2985" s="575"/>
      <c r="H2985" s="575"/>
      <c r="I2985" s="575"/>
      <c r="J2985" s="575"/>
      <c r="K2985" s="575"/>
    </row>
    <row r="2986" spans="1:11" x14ac:dyDescent="0.2">
      <c r="A2986" s="583"/>
      <c r="B2986" s="640"/>
      <c r="F2986" s="575"/>
      <c r="G2986" s="575"/>
      <c r="H2986" s="575"/>
      <c r="I2986" s="575"/>
      <c r="J2986" s="575"/>
      <c r="K2986" s="575"/>
    </row>
    <row r="2987" spans="1:11" x14ac:dyDescent="0.2">
      <c r="A2987" s="583"/>
      <c r="B2987" s="640"/>
      <c r="F2987" s="575"/>
      <c r="G2987" s="575"/>
      <c r="H2987" s="575"/>
      <c r="I2987" s="575"/>
      <c r="J2987" s="575"/>
      <c r="K2987" s="575"/>
    </row>
    <row r="2988" spans="1:11" x14ac:dyDescent="0.2">
      <c r="A2988" s="583"/>
      <c r="B2988" s="640"/>
      <c r="F2988" s="575"/>
      <c r="G2988" s="575"/>
      <c r="H2988" s="575"/>
      <c r="I2988" s="575"/>
      <c r="J2988" s="575"/>
      <c r="K2988" s="575"/>
    </row>
    <row r="2989" spans="1:11" x14ac:dyDescent="0.2">
      <c r="A2989" s="583"/>
      <c r="B2989" s="640"/>
      <c r="F2989" s="575"/>
      <c r="G2989" s="575"/>
      <c r="H2989" s="575"/>
      <c r="I2989" s="575"/>
      <c r="J2989" s="575"/>
      <c r="K2989" s="575"/>
    </row>
    <row r="2990" spans="1:11" x14ac:dyDescent="0.2">
      <c r="A2990" s="583"/>
      <c r="B2990" s="640"/>
      <c r="F2990" s="575"/>
      <c r="G2990" s="575"/>
      <c r="H2990" s="575"/>
      <c r="I2990" s="575"/>
      <c r="J2990" s="575"/>
      <c r="K2990" s="575"/>
    </row>
    <row r="2991" spans="1:11" x14ac:dyDescent="0.2">
      <c r="A2991" s="583"/>
      <c r="B2991" s="640"/>
      <c r="F2991" s="575"/>
      <c r="G2991" s="575"/>
      <c r="H2991" s="575"/>
      <c r="I2991" s="575"/>
      <c r="J2991" s="575"/>
      <c r="K2991" s="575"/>
    </row>
    <row r="2992" spans="1:11" x14ac:dyDescent="0.2">
      <c r="A2992" s="583"/>
      <c r="B2992" s="640"/>
      <c r="F2992" s="575"/>
      <c r="G2992" s="575"/>
      <c r="H2992" s="575"/>
      <c r="I2992" s="575"/>
      <c r="J2992" s="575"/>
      <c r="K2992" s="575"/>
    </row>
    <row r="2993" spans="1:11" x14ac:dyDescent="0.2">
      <c r="A2993" s="583"/>
      <c r="B2993" s="640"/>
      <c r="F2993" s="575"/>
      <c r="G2993" s="575"/>
      <c r="H2993" s="575"/>
      <c r="I2993" s="575"/>
      <c r="J2993" s="575"/>
      <c r="K2993" s="575"/>
    </row>
    <row r="2994" spans="1:11" x14ac:dyDescent="0.2">
      <c r="A2994" s="583"/>
      <c r="B2994" s="640"/>
      <c r="F2994" s="575"/>
      <c r="G2994" s="575"/>
      <c r="H2994" s="575"/>
      <c r="I2994" s="575"/>
      <c r="J2994" s="575"/>
      <c r="K2994" s="575"/>
    </row>
    <row r="2995" spans="1:11" x14ac:dyDescent="0.2">
      <c r="A2995" s="583"/>
      <c r="B2995" s="640"/>
      <c r="F2995" s="575"/>
      <c r="G2995" s="575"/>
      <c r="H2995" s="575"/>
      <c r="I2995" s="575"/>
      <c r="J2995" s="575"/>
      <c r="K2995" s="575"/>
    </row>
    <row r="2996" spans="1:11" x14ac:dyDescent="0.2">
      <c r="A2996" s="583"/>
      <c r="B2996" s="640"/>
      <c r="F2996" s="575"/>
      <c r="G2996" s="575"/>
      <c r="H2996" s="575"/>
      <c r="I2996" s="575"/>
      <c r="J2996" s="575"/>
      <c r="K2996" s="575"/>
    </row>
    <row r="2997" spans="1:11" x14ac:dyDescent="0.2">
      <c r="A2997" s="583"/>
      <c r="B2997" s="640"/>
      <c r="F2997" s="575"/>
      <c r="G2997" s="575"/>
      <c r="H2997" s="575"/>
      <c r="I2997" s="575"/>
      <c r="J2997" s="575"/>
      <c r="K2997" s="575"/>
    </row>
    <row r="2998" spans="1:11" x14ac:dyDescent="0.2">
      <c r="A2998" s="583"/>
      <c r="B2998" s="640"/>
      <c r="F2998" s="575"/>
      <c r="G2998" s="575"/>
      <c r="H2998" s="575"/>
      <c r="I2998" s="575"/>
      <c r="J2998" s="575"/>
      <c r="K2998" s="575"/>
    </row>
    <row r="2999" spans="1:11" x14ac:dyDescent="0.2">
      <c r="A2999" s="583"/>
      <c r="B2999" s="640"/>
      <c r="F2999" s="575"/>
      <c r="G2999" s="575"/>
      <c r="H2999" s="575"/>
      <c r="I2999" s="575"/>
      <c r="J2999" s="575"/>
      <c r="K2999" s="575"/>
    </row>
    <row r="3000" spans="1:11" x14ac:dyDescent="0.2">
      <c r="A3000" s="583"/>
      <c r="B3000" s="640"/>
      <c r="F3000" s="575"/>
      <c r="G3000" s="575"/>
      <c r="H3000" s="575"/>
      <c r="I3000" s="575"/>
      <c r="J3000" s="575"/>
      <c r="K3000" s="575"/>
    </row>
    <row r="3001" spans="1:11" x14ac:dyDescent="0.2">
      <c r="A3001" s="583"/>
      <c r="B3001" s="640"/>
      <c r="F3001" s="575"/>
      <c r="G3001" s="575"/>
      <c r="H3001" s="575"/>
      <c r="I3001" s="575"/>
      <c r="J3001" s="575"/>
      <c r="K3001" s="575"/>
    </row>
    <row r="3002" spans="1:11" x14ac:dyDescent="0.2">
      <c r="A3002" s="583"/>
      <c r="B3002" s="640"/>
      <c r="F3002" s="575"/>
      <c r="G3002" s="575"/>
      <c r="H3002" s="575"/>
      <c r="I3002" s="575"/>
      <c r="J3002" s="575"/>
      <c r="K3002" s="575"/>
    </row>
    <row r="3003" spans="1:11" x14ac:dyDescent="0.2">
      <c r="A3003" s="583"/>
      <c r="B3003" s="640"/>
      <c r="F3003" s="575"/>
      <c r="G3003" s="575"/>
      <c r="H3003" s="575"/>
      <c r="I3003" s="575"/>
      <c r="J3003" s="575"/>
      <c r="K3003" s="575"/>
    </row>
    <row r="3004" spans="1:11" x14ac:dyDescent="0.2">
      <c r="A3004" s="583"/>
      <c r="B3004" s="640"/>
      <c r="F3004" s="575"/>
      <c r="G3004" s="575"/>
      <c r="H3004" s="575"/>
      <c r="I3004" s="575"/>
      <c r="J3004" s="575"/>
      <c r="K3004" s="575"/>
    </row>
    <row r="3005" spans="1:11" x14ac:dyDescent="0.2">
      <c r="A3005" s="583"/>
      <c r="B3005" s="640"/>
      <c r="F3005" s="575"/>
      <c r="G3005" s="575"/>
      <c r="H3005" s="575"/>
      <c r="I3005" s="575"/>
      <c r="J3005" s="575"/>
      <c r="K3005" s="575"/>
    </row>
    <row r="3006" spans="1:11" x14ac:dyDescent="0.2">
      <c r="A3006" s="583"/>
      <c r="B3006" s="640"/>
      <c r="F3006" s="575"/>
      <c r="G3006" s="575"/>
      <c r="H3006" s="575"/>
      <c r="I3006" s="575"/>
      <c r="J3006" s="575"/>
      <c r="K3006" s="575"/>
    </row>
    <row r="3007" spans="1:11" x14ac:dyDescent="0.2">
      <c r="A3007" s="583"/>
      <c r="B3007" s="640"/>
      <c r="F3007" s="575"/>
      <c r="G3007" s="575"/>
      <c r="H3007" s="575"/>
      <c r="I3007" s="575"/>
      <c r="J3007" s="575"/>
      <c r="K3007" s="575"/>
    </row>
    <row r="3008" spans="1:11" x14ac:dyDescent="0.2">
      <c r="A3008" s="583"/>
      <c r="B3008" s="640"/>
      <c r="F3008" s="575"/>
      <c r="G3008" s="575"/>
      <c r="H3008" s="575"/>
      <c r="I3008" s="575"/>
      <c r="J3008" s="575"/>
      <c r="K3008" s="575"/>
    </row>
    <row r="3009" spans="1:11" x14ac:dyDescent="0.2">
      <c r="A3009" s="583"/>
      <c r="B3009" s="640"/>
      <c r="F3009" s="575"/>
      <c r="G3009" s="575"/>
      <c r="H3009" s="575"/>
      <c r="I3009" s="575"/>
      <c r="J3009" s="575"/>
      <c r="K3009" s="575"/>
    </row>
    <row r="3010" spans="1:11" x14ac:dyDescent="0.2">
      <c r="A3010" s="583"/>
      <c r="B3010" s="640"/>
      <c r="F3010" s="575"/>
      <c r="G3010" s="575"/>
      <c r="H3010" s="575"/>
      <c r="I3010" s="575"/>
      <c r="J3010" s="575"/>
      <c r="K3010" s="575"/>
    </row>
    <row r="3011" spans="1:11" x14ac:dyDescent="0.2">
      <c r="A3011" s="583"/>
      <c r="B3011" s="640"/>
      <c r="F3011" s="575"/>
      <c r="G3011" s="575"/>
      <c r="H3011" s="575"/>
      <c r="I3011" s="575"/>
      <c r="J3011" s="575"/>
      <c r="K3011" s="575"/>
    </row>
    <row r="3012" spans="1:11" x14ac:dyDescent="0.2">
      <c r="A3012" s="583"/>
      <c r="B3012" s="640"/>
      <c r="F3012" s="575"/>
      <c r="G3012" s="575"/>
      <c r="H3012" s="575"/>
      <c r="I3012" s="575"/>
      <c r="J3012" s="575"/>
      <c r="K3012" s="575"/>
    </row>
    <row r="3013" spans="1:11" x14ac:dyDescent="0.2">
      <c r="A3013" s="583"/>
      <c r="B3013" s="640"/>
      <c r="F3013" s="575"/>
      <c r="G3013" s="575"/>
      <c r="H3013" s="575"/>
      <c r="I3013" s="575"/>
      <c r="J3013" s="575"/>
      <c r="K3013" s="575"/>
    </row>
    <row r="3014" spans="1:11" x14ac:dyDescent="0.2">
      <c r="A3014" s="583"/>
      <c r="B3014" s="640"/>
      <c r="F3014" s="575"/>
      <c r="G3014" s="575"/>
      <c r="H3014" s="575"/>
      <c r="I3014" s="575"/>
      <c r="J3014" s="575"/>
      <c r="K3014" s="575"/>
    </row>
    <row r="3015" spans="1:11" x14ac:dyDescent="0.2">
      <c r="A3015" s="583"/>
      <c r="B3015" s="640"/>
      <c r="F3015" s="575"/>
      <c r="G3015" s="575"/>
      <c r="H3015" s="575"/>
      <c r="I3015" s="575"/>
      <c r="J3015" s="575"/>
      <c r="K3015" s="575"/>
    </row>
    <row r="3016" spans="1:11" x14ac:dyDescent="0.2">
      <c r="A3016" s="583"/>
      <c r="B3016" s="640"/>
      <c r="F3016" s="575"/>
      <c r="G3016" s="575"/>
      <c r="H3016" s="575"/>
      <c r="I3016" s="575"/>
      <c r="J3016" s="575"/>
      <c r="K3016" s="575"/>
    </row>
    <row r="3017" spans="1:11" x14ac:dyDescent="0.2">
      <c r="A3017" s="583"/>
      <c r="B3017" s="640"/>
      <c r="F3017" s="575"/>
      <c r="G3017" s="575"/>
      <c r="H3017" s="575"/>
      <c r="I3017" s="575"/>
      <c r="J3017" s="575"/>
      <c r="K3017" s="575"/>
    </row>
    <row r="3018" spans="1:11" x14ac:dyDescent="0.2">
      <c r="A3018" s="583"/>
      <c r="B3018" s="640"/>
      <c r="F3018" s="575"/>
      <c r="G3018" s="575"/>
      <c r="H3018" s="575"/>
      <c r="I3018" s="575"/>
      <c r="J3018" s="575"/>
      <c r="K3018" s="575"/>
    </row>
    <row r="3019" spans="1:11" x14ac:dyDescent="0.2">
      <c r="A3019" s="583"/>
      <c r="B3019" s="640"/>
      <c r="F3019" s="575"/>
      <c r="G3019" s="575"/>
      <c r="H3019" s="575"/>
      <c r="I3019" s="575"/>
      <c r="J3019" s="575"/>
      <c r="K3019" s="575"/>
    </row>
    <row r="3020" spans="1:11" x14ac:dyDescent="0.2">
      <c r="A3020" s="583"/>
      <c r="B3020" s="640"/>
      <c r="F3020" s="575"/>
      <c r="G3020" s="575"/>
      <c r="H3020" s="575"/>
      <c r="I3020" s="575"/>
      <c r="J3020" s="575"/>
      <c r="K3020" s="575"/>
    </row>
    <row r="3021" spans="1:11" x14ac:dyDescent="0.2">
      <c r="A3021" s="583"/>
      <c r="B3021" s="640"/>
      <c r="F3021" s="575"/>
      <c r="G3021" s="575"/>
      <c r="H3021" s="575"/>
      <c r="I3021" s="575"/>
      <c r="J3021" s="575"/>
      <c r="K3021" s="575"/>
    </row>
    <row r="3022" spans="1:11" x14ac:dyDescent="0.2">
      <c r="A3022" s="583"/>
      <c r="B3022" s="640"/>
      <c r="F3022" s="575"/>
      <c r="G3022" s="575"/>
      <c r="H3022" s="575"/>
      <c r="I3022" s="575"/>
      <c r="J3022" s="575"/>
      <c r="K3022" s="575"/>
    </row>
    <row r="3023" spans="1:11" x14ac:dyDescent="0.2">
      <c r="A3023" s="583"/>
      <c r="B3023" s="640"/>
      <c r="F3023" s="575"/>
      <c r="G3023" s="575"/>
      <c r="H3023" s="575"/>
      <c r="I3023" s="575"/>
      <c r="J3023" s="575"/>
      <c r="K3023" s="575"/>
    </row>
    <row r="3024" spans="1:11" x14ac:dyDescent="0.2">
      <c r="A3024" s="583"/>
      <c r="B3024" s="640"/>
      <c r="F3024" s="575"/>
      <c r="G3024" s="575"/>
      <c r="H3024" s="575"/>
      <c r="I3024" s="575"/>
      <c r="J3024" s="575"/>
      <c r="K3024" s="575"/>
    </row>
    <row r="3025" spans="1:11" x14ac:dyDescent="0.2">
      <c r="A3025" s="583"/>
      <c r="B3025" s="640"/>
      <c r="F3025" s="575"/>
      <c r="G3025" s="575"/>
      <c r="H3025" s="575"/>
      <c r="I3025" s="575"/>
      <c r="J3025" s="575"/>
      <c r="K3025" s="575"/>
    </row>
    <row r="3026" spans="1:11" x14ac:dyDescent="0.2">
      <c r="A3026" s="583"/>
      <c r="B3026" s="640"/>
      <c r="F3026" s="575"/>
      <c r="G3026" s="575"/>
      <c r="H3026" s="575"/>
      <c r="I3026" s="575"/>
      <c r="J3026" s="575"/>
      <c r="K3026" s="575"/>
    </row>
    <row r="3027" spans="1:11" x14ac:dyDescent="0.2">
      <c r="A3027" s="583"/>
      <c r="B3027" s="640"/>
      <c r="F3027" s="575"/>
      <c r="G3027" s="575"/>
      <c r="H3027" s="575"/>
      <c r="I3027" s="575"/>
      <c r="J3027" s="575"/>
      <c r="K3027" s="575"/>
    </row>
    <row r="3028" spans="1:11" x14ac:dyDescent="0.2">
      <c r="A3028" s="583"/>
      <c r="B3028" s="640"/>
      <c r="F3028" s="575"/>
      <c r="G3028" s="575"/>
      <c r="H3028" s="575"/>
      <c r="I3028" s="575"/>
      <c r="J3028" s="575"/>
      <c r="K3028" s="575"/>
    </row>
    <row r="3029" spans="1:11" x14ac:dyDescent="0.2">
      <c r="A3029" s="583"/>
      <c r="B3029" s="640"/>
      <c r="F3029" s="575"/>
      <c r="G3029" s="575"/>
      <c r="H3029" s="575"/>
      <c r="I3029" s="575"/>
      <c r="J3029" s="575"/>
      <c r="K3029" s="575"/>
    </row>
    <row r="3030" spans="1:11" x14ac:dyDescent="0.2">
      <c r="A3030" s="583"/>
      <c r="B3030" s="640"/>
      <c r="F3030" s="575"/>
      <c r="G3030" s="575"/>
      <c r="H3030" s="575"/>
      <c r="I3030" s="575"/>
      <c r="J3030" s="575"/>
      <c r="K3030" s="575"/>
    </row>
    <row r="3031" spans="1:11" x14ac:dyDescent="0.2">
      <c r="A3031" s="583"/>
      <c r="B3031" s="640"/>
      <c r="F3031" s="575"/>
      <c r="G3031" s="575"/>
      <c r="H3031" s="575"/>
      <c r="I3031" s="575"/>
      <c r="J3031" s="575"/>
      <c r="K3031" s="575"/>
    </row>
    <row r="3032" spans="1:11" x14ac:dyDescent="0.2">
      <c r="A3032" s="583"/>
      <c r="B3032" s="640"/>
      <c r="F3032" s="575"/>
      <c r="G3032" s="575"/>
      <c r="H3032" s="575"/>
      <c r="I3032" s="575"/>
      <c r="J3032" s="575"/>
      <c r="K3032" s="575"/>
    </row>
    <row r="3033" spans="1:11" x14ac:dyDescent="0.2">
      <c r="A3033" s="583"/>
      <c r="B3033" s="640"/>
      <c r="F3033" s="575"/>
      <c r="G3033" s="575"/>
      <c r="H3033" s="575"/>
      <c r="I3033" s="575"/>
      <c r="J3033" s="575"/>
      <c r="K3033" s="575"/>
    </row>
    <row r="3034" spans="1:11" x14ac:dyDescent="0.2">
      <c r="A3034" s="583"/>
      <c r="B3034" s="640"/>
      <c r="F3034" s="575"/>
      <c r="G3034" s="575"/>
      <c r="H3034" s="575"/>
      <c r="I3034" s="575"/>
      <c r="J3034" s="575"/>
      <c r="K3034" s="575"/>
    </row>
    <row r="3035" spans="1:11" x14ac:dyDescent="0.2">
      <c r="A3035" s="583"/>
      <c r="B3035" s="640"/>
      <c r="F3035" s="575"/>
      <c r="G3035" s="575"/>
      <c r="H3035" s="575"/>
      <c r="I3035" s="575"/>
      <c r="J3035" s="575"/>
      <c r="K3035" s="575"/>
    </row>
    <row r="3036" spans="1:11" x14ac:dyDescent="0.2">
      <c r="A3036" s="583"/>
      <c r="B3036" s="640"/>
      <c r="F3036" s="575"/>
      <c r="G3036" s="575"/>
      <c r="H3036" s="575"/>
      <c r="I3036" s="575"/>
      <c r="J3036" s="575"/>
      <c r="K3036" s="575"/>
    </row>
    <row r="3037" spans="1:11" x14ac:dyDescent="0.2">
      <c r="A3037" s="583"/>
      <c r="B3037" s="640"/>
      <c r="F3037" s="575"/>
      <c r="G3037" s="575"/>
      <c r="H3037" s="575"/>
      <c r="I3037" s="575"/>
      <c r="J3037" s="575"/>
      <c r="K3037" s="575"/>
    </row>
    <row r="3038" spans="1:11" x14ac:dyDescent="0.2">
      <c r="A3038" s="583"/>
      <c r="B3038" s="640"/>
      <c r="F3038" s="575"/>
      <c r="G3038" s="575"/>
      <c r="H3038" s="575"/>
      <c r="I3038" s="575"/>
      <c r="J3038" s="575"/>
      <c r="K3038" s="575"/>
    </row>
    <row r="3039" spans="1:11" x14ac:dyDescent="0.2">
      <c r="A3039" s="583"/>
      <c r="B3039" s="640"/>
      <c r="F3039" s="575"/>
      <c r="G3039" s="575"/>
      <c r="H3039" s="575"/>
      <c r="I3039" s="575"/>
      <c r="J3039" s="575"/>
      <c r="K3039" s="575"/>
    </row>
    <row r="3040" spans="1:11" x14ac:dyDescent="0.2">
      <c r="A3040" s="583"/>
      <c r="B3040" s="640"/>
      <c r="F3040" s="575"/>
      <c r="G3040" s="575"/>
      <c r="H3040" s="575"/>
      <c r="I3040" s="575"/>
      <c r="J3040" s="575"/>
      <c r="K3040" s="575"/>
    </row>
    <row r="3041" spans="1:11" x14ac:dyDescent="0.2">
      <c r="A3041" s="583"/>
      <c r="B3041" s="640"/>
      <c r="F3041" s="575"/>
      <c r="G3041" s="575"/>
      <c r="H3041" s="575"/>
      <c r="I3041" s="575"/>
      <c r="J3041" s="575"/>
      <c r="K3041" s="575"/>
    </row>
    <row r="3042" spans="1:11" x14ac:dyDescent="0.2">
      <c r="A3042" s="583"/>
      <c r="B3042" s="640"/>
      <c r="F3042" s="575"/>
      <c r="G3042" s="575"/>
      <c r="H3042" s="575"/>
      <c r="I3042" s="575"/>
      <c r="J3042" s="575"/>
      <c r="K3042" s="575"/>
    </row>
    <row r="3043" spans="1:11" x14ac:dyDescent="0.2">
      <c r="A3043" s="583"/>
      <c r="B3043" s="640"/>
      <c r="F3043" s="575"/>
      <c r="G3043" s="575"/>
      <c r="H3043" s="575"/>
      <c r="I3043" s="575"/>
      <c r="J3043" s="575"/>
      <c r="K3043" s="575"/>
    </row>
    <row r="3044" spans="1:11" x14ac:dyDescent="0.2">
      <c r="A3044" s="583"/>
      <c r="B3044" s="640"/>
      <c r="F3044" s="575"/>
      <c r="G3044" s="575"/>
      <c r="H3044" s="575"/>
      <c r="I3044" s="575"/>
      <c r="J3044" s="575"/>
      <c r="K3044" s="575"/>
    </row>
    <row r="3045" spans="1:11" x14ac:dyDescent="0.2">
      <c r="A3045" s="583"/>
      <c r="B3045" s="640"/>
      <c r="F3045" s="575"/>
      <c r="G3045" s="575"/>
      <c r="H3045" s="575"/>
      <c r="I3045" s="575"/>
      <c r="J3045" s="575"/>
      <c r="K3045" s="575"/>
    </row>
    <row r="3046" spans="1:11" x14ac:dyDescent="0.2">
      <c r="A3046" s="583"/>
      <c r="B3046" s="640"/>
      <c r="F3046" s="575"/>
      <c r="G3046" s="575"/>
      <c r="H3046" s="575"/>
      <c r="I3046" s="575"/>
      <c r="J3046" s="575"/>
      <c r="K3046" s="575"/>
    </row>
    <row r="3047" spans="1:11" x14ac:dyDescent="0.2">
      <c r="A3047" s="583"/>
      <c r="B3047" s="640"/>
      <c r="F3047" s="575"/>
      <c r="G3047" s="575"/>
      <c r="H3047" s="575"/>
      <c r="I3047" s="575"/>
      <c r="J3047" s="575"/>
      <c r="K3047" s="575"/>
    </row>
    <row r="3048" spans="1:11" x14ac:dyDescent="0.2">
      <c r="A3048" s="583"/>
      <c r="B3048" s="640"/>
      <c r="F3048" s="575"/>
      <c r="G3048" s="575"/>
      <c r="H3048" s="575"/>
      <c r="I3048" s="575"/>
      <c r="J3048" s="575"/>
      <c r="K3048" s="575"/>
    </row>
    <row r="3049" spans="1:11" x14ac:dyDescent="0.2">
      <c r="A3049" s="583"/>
      <c r="B3049" s="640"/>
      <c r="F3049" s="575"/>
      <c r="G3049" s="575"/>
      <c r="H3049" s="575"/>
      <c r="I3049" s="575"/>
      <c r="J3049" s="575"/>
      <c r="K3049" s="575"/>
    </row>
    <row r="3050" spans="1:11" x14ac:dyDescent="0.2">
      <c r="A3050" s="583"/>
      <c r="B3050" s="640"/>
      <c r="F3050" s="575"/>
      <c r="G3050" s="575"/>
      <c r="H3050" s="575"/>
      <c r="I3050" s="575"/>
      <c r="J3050" s="575"/>
      <c r="K3050" s="575"/>
    </row>
    <row r="3051" spans="1:11" x14ac:dyDescent="0.2">
      <c r="A3051" s="583"/>
      <c r="B3051" s="640"/>
      <c r="F3051" s="575"/>
      <c r="G3051" s="575"/>
      <c r="H3051" s="575"/>
      <c r="I3051" s="575"/>
      <c r="J3051" s="575"/>
      <c r="K3051" s="575"/>
    </row>
    <row r="3052" spans="1:11" x14ac:dyDescent="0.2">
      <c r="A3052" s="583"/>
      <c r="B3052" s="640"/>
      <c r="F3052" s="575"/>
      <c r="G3052" s="575"/>
      <c r="H3052" s="575"/>
      <c r="I3052" s="575"/>
      <c r="J3052" s="575"/>
      <c r="K3052" s="575"/>
    </row>
    <row r="3053" spans="1:11" x14ac:dyDescent="0.2">
      <c r="A3053" s="583"/>
      <c r="B3053" s="640"/>
      <c r="F3053" s="575"/>
      <c r="G3053" s="575"/>
      <c r="H3053" s="575"/>
      <c r="I3053" s="575"/>
      <c r="J3053" s="575"/>
      <c r="K3053" s="575"/>
    </row>
    <row r="3054" spans="1:11" x14ac:dyDescent="0.2">
      <c r="A3054" s="583"/>
      <c r="B3054" s="640"/>
      <c r="F3054" s="575"/>
      <c r="G3054" s="575"/>
      <c r="H3054" s="575"/>
      <c r="I3054" s="575"/>
      <c r="J3054" s="575"/>
      <c r="K3054" s="575"/>
    </row>
    <row r="3055" spans="1:11" x14ac:dyDescent="0.2">
      <c r="A3055" s="583"/>
      <c r="B3055" s="640"/>
      <c r="F3055" s="575"/>
      <c r="G3055" s="575"/>
      <c r="H3055" s="575"/>
      <c r="I3055" s="575"/>
      <c r="J3055" s="575"/>
      <c r="K3055" s="575"/>
    </row>
    <row r="3056" spans="1:11" x14ac:dyDescent="0.2">
      <c r="A3056" s="583"/>
      <c r="B3056" s="640"/>
      <c r="F3056" s="575"/>
      <c r="G3056" s="575"/>
      <c r="H3056" s="575"/>
      <c r="I3056" s="575"/>
      <c r="J3056" s="575"/>
      <c r="K3056" s="575"/>
    </row>
    <row r="3057" spans="1:11" x14ac:dyDescent="0.2">
      <c r="A3057" s="583"/>
      <c r="B3057" s="640"/>
      <c r="F3057" s="575"/>
      <c r="G3057" s="575"/>
      <c r="H3057" s="575"/>
      <c r="I3057" s="575"/>
      <c r="J3057" s="575"/>
      <c r="K3057" s="575"/>
    </row>
    <row r="3058" spans="1:11" x14ac:dyDescent="0.2">
      <c r="A3058" s="583"/>
      <c r="B3058" s="640"/>
      <c r="F3058" s="575"/>
      <c r="G3058" s="575"/>
      <c r="H3058" s="575"/>
      <c r="I3058" s="575"/>
      <c r="J3058" s="575"/>
      <c r="K3058" s="575"/>
    </row>
    <row r="3059" spans="1:11" x14ac:dyDescent="0.2">
      <c r="A3059" s="583"/>
      <c r="B3059" s="640"/>
      <c r="F3059" s="575"/>
      <c r="G3059" s="575"/>
      <c r="H3059" s="575"/>
      <c r="I3059" s="575"/>
      <c r="J3059" s="575"/>
      <c r="K3059" s="575"/>
    </row>
    <row r="3060" spans="1:11" x14ac:dyDescent="0.2">
      <c r="A3060" s="583"/>
      <c r="B3060" s="640"/>
      <c r="F3060" s="575"/>
      <c r="G3060" s="575"/>
      <c r="H3060" s="575"/>
      <c r="I3060" s="575"/>
      <c r="J3060" s="575"/>
      <c r="K3060" s="575"/>
    </row>
    <row r="3061" spans="1:11" x14ac:dyDescent="0.2">
      <c r="A3061" s="583"/>
      <c r="B3061" s="640"/>
      <c r="F3061" s="575"/>
      <c r="G3061" s="575"/>
      <c r="H3061" s="575"/>
      <c r="I3061" s="575"/>
      <c r="J3061" s="575"/>
      <c r="K3061" s="575"/>
    </row>
    <row r="3062" spans="1:11" x14ac:dyDescent="0.2">
      <c r="A3062" s="583"/>
      <c r="B3062" s="640"/>
      <c r="F3062" s="575"/>
      <c r="G3062" s="575"/>
      <c r="H3062" s="575"/>
      <c r="I3062" s="575"/>
      <c r="J3062" s="575"/>
      <c r="K3062" s="575"/>
    </row>
    <row r="3063" spans="1:11" x14ac:dyDescent="0.2">
      <c r="A3063" s="583"/>
      <c r="B3063" s="640"/>
      <c r="F3063" s="575"/>
      <c r="G3063" s="575"/>
      <c r="H3063" s="575"/>
      <c r="I3063" s="575"/>
      <c r="J3063" s="575"/>
      <c r="K3063" s="575"/>
    </row>
    <row r="3064" spans="1:11" x14ac:dyDescent="0.2">
      <c r="A3064" s="583"/>
      <c r="B3064" s="640"/>
      <c r="F3064" s="575"/>
      <c r="G3064" s="575"/>
      <c r="H3064" s="575"/>
      <c r="I3064" s="575"/>
      <c r="J3064" s="575"/>
      <c r="K3064" s="575"/>
    </row>
    <row r="3065" spans="1:11" x14ac:dyDescent="0.2">
      <c r="A3065" s="583"/>
      <c r="B3065" s="640"/>
      <c r="F3065" s="575"/>
      <c r="G3065" s="575"/>
      <c r="H3065" s="575"/>
      <c r="I3065" s="575"/>
      <c r="J3065" s="575"/>
      <c r="K3065" s="575"/>
    </row>
    <row r="3066" spans="1:11" x14ac:dyDescent="0.2">
      <c r="A3066" s="583"/>
      <c r="B3066" s="640"/>
      <c r="F3066" s="575"/>
      <c r="G3066" s="575"/>
      <c r="H3066" s="575"/>
      <c r="I3066" s="575"/>
      <c r="J3066" s="575"/>
      <c r="K3066" s="575"/>
    </row>
    <row r="3067" spans="1:11" x14ac:dyDescent="0.2">
      <c r="A3067" s="583"/>
      <c r="B3067" s="640"/>
      <c r="F3067" s="575"/>
      <c r="G3067" s="575"/>
      <c r="H3067" s="575"/>
      <c r="I3067" s="575"/>
      <c r="J3067" s="575"/>
      <c r="K3067" s="575"/>
    </row>
    <row r="3068" spans="1:11" x14ac:dyDescent="0.2">
      <c r="A3068" s="583"/>
      <c r="B3068" s="640"/>
      <c r="F3068" s="575"/>
      <c r="G3068" s="575"/>
      <c r="H3068" s="575"/>
      <c r="I3068" s="575"/>
      <c r="J3068" s="575"/>
      <c r="K3068" s="575"/>
    </row>
    <row r="3069" spans="1:11" x14ac:dyDescent="0.2">
      <c r="A3069" s="583"/>
      <c r="B3069" s="640"/>
      <c r="F3069" s="575"/>
      <c r="G3069" s="575"/>
      <c r="H3069" s="575"/>
      <c r="I3069" s="575"/>
      <c r="J3069" s="575"/>
      <c r="K3069" s="575"/>
    </row>
    <row r="3070" spans="1:11" x14ac:dyDescent="0.2">
      <c r="A3070" s="583"/>
      <c r="B3070" s="640"/>
      <c r="F3070" s="575"/>
      <c r="G3070" s="575"/>
      <c r="H3070" s="575"/>
      <c r="I3070" s="575"/>
      <c r="J3070" s="575"/>
      <c r="K3070" s="575"/>
    </row>
    <row r="3071" spans="1:11" x14ac:dyDescent="0.2">
      <c r="A3071" s="583"/>
      <c r="B3071" s="640"/>
      <c r="F3071" s="575"/>
      <c r="G3071" s="575"/>
      <c r="H3071" s="575"/>
      <c r="I3071" s="575"/>
      <c r="J3071" s="575"/>
      <c r="K3071" s="575"/>
    </row>
    <row r="3072" spans="1:11" x14ac:dyDescent="0.2">
      <c r="A3072" s="583"/>
      <c r="B3072" s="640"/>
      <c r="F3072" s="575"/>
      <c r="G3072" s="575"/>
      <c r="H3072" s="575"/>
      <c r="I3072" s="575"/>
      <c r="J3072" s="575"/>
      <c r="K3072" s="575"/>
    </row>
    <row r="3073" spans="1:11" x14ac:dyDescent="0.2">
      <c r="A3073" s="583"/>
      <c r="B3073" s="640"/>
      <c r="F3073" s="575"/>
      <c r="G3073" s="575"/>
      <c r="H3073" s="575"/>
      <c r="I3073" s="575"/>
      <c r="J3073" s="575"/>
      <c r="K3073" s="575"/>
    </row>
    <row r="3074" spans="1:11" x14ac:dyDescent="0.2">
      <c r="A3074" s="583"/>
      <c r="B3074" s="640"/>
      <c r="F3074" s="575"/>
      <c r="G3074" s="575"/>
      <c r="H3074" s="575"/>
      <c r="I3074" s="575"/>
      <c r="J3074" s="575"/>
      <c r="K3074" s="575"/>
    </row>
    <row r="3075" spans="1:11" x14ac:dyDescent="0.2">
      <c r="A3075" s="583"/>
      <c r="B3075" s="640"/>
      <c r="F3075" s="575"/>
      <c r="G3075" s="575"/>
      <c r="H3075" s="575"/>
      <c r="I3075" s="575"/>
      <c r="J3075" s="575"/>
      <c r="K3075" s="575"/>
    </row>
    <row r="3076" spans="1:11" x14ac:dyDescent="0.2">
      <c r="A3076" s="583"/>
      <c r="B3076" s="640"/>
      <c r="F3076" s="575"/>
      <c r="G3076" s="575"/>
      <c r="H3076" s="575"/>
      <c r="I3076" s="575"/>
      <c r="J3076" s="575"/>
      <c r="K3076" s="575"/>
    </row>
    <row r="3077" spans="1:11" x14ac:dyDescent="0.2">
      <c r="A3077" s="583"/>
      <c r="B3077" s="640"/>
      <c r="F3077" s="575"/>
      <c r="G3077" s="575"/>
      <c r="H3077" s="575"/>
      <c r="I3077" s="575"/>
      <c r="J3077" s="575"/>
      <c r="K3077" s="575"/>
    </row>
    <row r="3078" spans="1:11" x14ac:dyDescent="0.2">
      <c r="A3078" s="583"/>
      <c r="B3078" s="640"/>
      <c r="F3078" s="575"/>
      <c r="G3078" s="575"/>
      <c r="H3078" s="575"/>
      <c r="I3078" s="575"/>
      <c r="J3078" s="575"/>
      <c r="K3078" s="575"/>
    </row>
    <row r="3079" spans="1:11" x14ac:dyDescent="0.2">
      <c r="A3079" s="583"/>
      <c r="B3079" s="640"/>
      <c r="F3079" s="575"/>
      <c r="G3079" s="575"/>
      <c r="H3079" s="575"/>
      <c r="I3079" s="575"/>
      <c r="J3079" s="575"/>
      <c r="K3079" s="575"/>
    </row>
    <row r="3080" spans="1:11" x14ac:dyDescent="0.2">
      <c r="A3080" s="583"/>
      <c r="B3080" s="640"/>
      <c r="F3080" s="575"/>
      <c r="G3080" s="575"/>
      <c r="H3080" s="575"/>
      <c r="I3080" s="575"/>
      <c r="J3080" s="575"/>
      <c r="K3080" s="575"/>
    </row>
    <row r="3081" spans="1:11" x14ac:dyDescent="0.2">
      <c r="A3081" s="583"/>
      <c r="B3081" s="640"/>
      <c r="F3081" s="575"/>
      <c r="G3081" s="575"/>
      <c r="H3081" s="575"/>
      <c r="I3081" s="575"/>
      <c r="J3081" s="575"/>
      <c r="K3081" s="575"/>
    </row>
    <row r="3082" spans="1:11" x14ac:dyDescent="0.2">
      <c r="A3082" s="583"/>
      <c r="B3082" s="640"/>
      <c r="F3082" s="575"/>
      <c r="G3082" s="575"/>
      <c r="H3082" s="575"/>
      <c r="I3082" s="575"/>
      <c r="J3082" s="575"/>
      <c r="K3082" s="575"/>
    </row>
    <row r="3083" spans="1:11" x14ac:dyDescent="0.2">
      <c r="A3083" s="583"/>
      <c r="B3083" s="640"/>
      <c r="F3083" s="575"/>
      <c r="G3083" s="575"/>
      <c r="H3083" s="575"/>
      <c r="I3083" s="575"/>
      <c r="J3083" s="575"/>
      <c r="K3083" s="575"/>
    </row>
    <row r="3084" spans="1:11" x14ac:dyDescent="0.2">
      <c r="A3084" s="583"/>
      <c r="B3084" s="640"/>
      <c r="F3084" s="575"/>
      <c r="G3084" s="575"/>
      <c r="H3084" s="575"/>
      <c r="I3084" s="575"/>
      <c r="J3084" s="575"/>
      <c r="K3084" s="575"/>
    </row>
    <row r="3085" spans="1:11" x14ac:dyDescent="0.2">
      <c r="A3085" s="583"/>
      <c r="B3085" s="640"/>
      <c r="F3085" s="575"/>
      <c r="G3085" s="575"/>
      <c r="H3085" s="575"/>
      <c r="I3085" s="575"/>
      <c r="J3085" s="575"/>
      <c r="K3085" s="575"/>
    </row>
    <row r="3086" spans="1:11" x14ac:dyDescent="0.2">
      <c r="A3086" s="583"/>
      <c r="B3086" s="640"/>
      <c r="F3086" s="575"/>
      <c r="G3086" s="575"/>
      <c r="H3086" s="575"/>
      <c r="I3086" s="575"/>
      <c r="J3086" s="575"/>
      <c r="K3086" s="575"/>
    </row>
    <row r="3087" spans="1:11" x14ac:dyDescent="0.2">
      <c r="A3087" s="583"/>
      <c r="B3087" s="640"/>
      <c r="F3087" s="575"/>
      <c r="G3087" s="575"/>
      <c r="H3087" s="575"/>
      <c r="I3087" s="575"/>
      <c r="J3087" s="575"/>
      <c r="K3087" s="575"/>
    </row>
    <row r="3088" spans="1:11" x14ac:dyDescent="0.2">
      <c r="A3088" s="583"/>
      <c r="B3088" s="640"/>
      <c r="F3088" s="575"/>
      <c r="G3088" s="575"/>
      <c r="H3088" s="575"/>
      <c r="I3088" s="575"/>
      <c r="J3088" s="575"/>
      <c r="K3088" s="575"/>
    </row>
    <row r="3089" spans="1:11" x14ac:dyDescent="0.2">
      <c r="A3089" s="583"/>
      <c r="B3089" s="640"/>
      <c r="F3089" s="575"/>
      <c r="G3089" s="575"/>
      <c r="H3089" s="575"/>
      <c r="I3089" s="575"/>
      <c r="J3089" s="575"/>
      <c r="K3089" s="575"/>
    </row>
    <row r="3090" spans="1:11" x14ac:dyDescent="0.2">
      <c r="A3090" s="583"/>
      <c r="B3090" s="640"/>
      <c r="F3090" s="575"/>
      <c r="G3090" s="575"/>
      <c r="H3090" s="575"/>
      <c r="I3090" s="575"/>
      <c r="J3090" s="575"/>
      <c r="K3090" s="575"/>
    </row>
    <row r="3091" spans="1:11" x14ac:dyDescent="0.2">
      <c r="A3091" s="583"/>
      <c r="B3091" s="640"/>
      <c r="F3091" s="575"/>
      <c r="G3091" s="575"/>
      <c r="H3091" s="575"/>
      <c r="I3091" s="575"/>
      <c r="J3091" s="575"/>
      <c r="K3091" s="575"/>
    </row>
    <row r="3092" spans="1:11" x14ac:dyDescent="0.2">
      <c r="A3092" s="583"/>
      <c r="B3092" s="640"/>
      <c r="F3092" s="575"/>
      <c r="G3092" s="575"/>
      <c r="H3092" s="575"/>
      <c r="I3092" s="575"/>
      <c r="J3092" s="575"/>
      <c r="K3092" s="575"/>
    </row>
    <row r="3093" spans="1:11" x14ac:dyDescent="0.2">
      <c r="A3093" s="583"/>
      <c r="B3093" s="640"/>
      <c r="F3093" s="575"/>
      <c r="G3093" s="575"/>
      <c r="H3093" s="575"/>
      <c r="I3093" s="575"/>
      <c r="J3093" s="575"/>
      <c r="K3093" s="575"/>
    </row>
    <row r="3094" spans="1:11" x14ac:dyDescent="0.2">
      <c r="A3094" s="583"/>
      <c r="B3094" s="640"/>
      <c r="F3094" s="575"/>
      <c r="G3094" s="575"/>
      <c r="H3094" s="575"/>
      <c r="I3094" s="575"/>
      <c r="J3094" s="575"/>
      <c r="K3094" s="575"/>
    </row>
    <row r="3095" spans="1:11" x14ac:dyDescent="0.2">
      <c r="A3095" s="583"/>
      <c r="B3095" s="640"/>
      <c r="F3095" s="575"/>
      <c r="G3095" s="575"/>
      <c r="H3095" s="575"/>
      <c r="I3095" s="575"/>
      <c r="J3095" s="575"/>
      <c r="K3095" s="575"/>
    </row>
    <row r="3096" spans="1:11" x14ac:dyDescent="0.2">
      <c r="A3096" s="583"/>
      <c r="B3096" s="640"/>
      <c r="F3096" s="575"/>
      <c r="G3096" s="575"/>
      <c r="H3096" s="575"/>
      <c r="I3096" s="575"/>
      <c r="J3096" s="575"/>
      <c r="K3096" s="575"/>
    </row>
    <row r="3097" spans="1:11" x14ac:dyDescent="0.2">
      <c r="A3097" s="583"/>
      <c r="B3097" s="640"/>
      <c r="F3097" s="575"/>
      <c r="G3097" s="575"/>
      <c r="H3097" s="575"/>
      <c r="I3097" s="575"/>
      <c r="J3097" s="575"/>
      <c r="K3097" s="575"/>
    </row>
    <row r="3098" spans="1:11" x14ac:dyDescent="0.2">
      <c r="A3098" s="583"/>
      <c r="B3098" s="640"/>
      <c r="F3098" s="575"/>
      <c r="G3098" s="575"/>
      <c r="H3098" s="575"/>
      <c r="I3098" s="575"/>
      <c r="J3098" s="575"/>
      <c r="K3098" s="575"/>
    </row>
    <row r="3099" spans="1:11" x14ac:dyDescent="0.2">
      <c r="A3099" s="583"/>
      <c r="B3099" s="640"/>
      <c r="F3099" s="575"/>
      <c r="G3099" s="575"/>
      <c r="H3099" s="575"/>
      <c r="I3099" s="575"/>
      <c r="J3099" s="575"/>
      <c r="K3099" s="575"/>
    </row>
    <row r="3100" spans="1:11" x14ac:dyDescent="0.2">
      <c r="A3100" s="583"/>
      <c r="B3100" s="640"/>
      <c r="F3100" s="575"/>
      <c r="G3100" s="575"/>
      <c r="H3100" s="575"/>
      <c r="I3100" s="575"/>
      <c r="J3100" s="575"/>
      <c r="K3100" s="575"/>
    </row>
    <row r="3101" spans="1:11" x14ac:dyDescent="0.2">
      <c r="A3101" s="583"/>
      <c r="B3101" s="640"/>
      <c r="F3101" s="575"/>
      <c r="G3101" s="575"/>
      <c r="H3101" s="575"/>
      <c r="I3101" s="575"/>
      <c r="J3101" s="575"/>
      <c r="K3101" s="575"/>
    </row>
    <row r="3102" spans="1:11" x14ac:dyDescent="0.2">
      <c r="A3102" s="583"/>
      <c r="B3102" s="640"/>
      <c r="F3102" s="575"/>
      <c r="G3102" s="575"/>
      <c r="H3102" s="575"/>
      <c r="I3102" s="575"/>
      <c r="J3102" s="575"/>
      <c r="K3102" s="575"/>
    </row>
    <row r="3103" spans="1:11" x14ac:dyDescent="0.2">
      <c r="A3103" s="583"/>
      <c r="B3103" s="640"/>
      <c r="F3103" s="575"/>
      <c r="G3103" s="575"/>
      <c r="H3103" s="575"/>
      <c r="I3103" s="575"/>
      <c r="J3103" s="575"/>
      <c r="K3103" s="575"/>
    </row>
    <row r="3104" spans="1:11" x14ac:dyDescent="0.2">
      <c r="A3104" s="583"/>
      <c r="B3104" s="640"/>
      <c r="F3104" s="575"/>
      <c r="G3104" s="575"/>
      <c r="H3104" s="575"/>
      <c r="I3104" s="575"/>
      <c r="J3104" s="575"/>
      <c r="K3104" s="575"/>
    </row>
    <row r="3105" spans="1:11" x14ac:dyDescent="0.2">
      <c r="A3105" s="583"/>
      <c r="B3105" s="640"/>
      <c r="F3105" s="575"/>
      <c r="G3105" s="575"/>
      <c r="H3105" s="575"/>
      <c r="I3105" s="575"/>
      <c r="J3105" s="575"/>
      <c r="K3105" s="575"/>
    </row>
    <row r="3106" spans="1:11" x14ac:dyDescent="0.2">
      <c r="A3106" s="583"/>
      <c r="B3106" s="640"/>
      <c r="F3106" s="575"/>
      <c r="G3106" s="575"/>
      <c r="H3106" s="575"/>
      <c r="I3106" s="575"/>
      <c r="J3106" s="575"/>
      <c r="K3106" s="575"/>
    </row>
    <row r="3107" spans="1:11" x14ac:dyDescent="0.2">
      <c r="A3107" s="583"/>
      <c r="B3107" s="640"/>
      <c r="F3107" s="575"/>
      <c r="G3107" s="575"/>
      <c r="H3107" s="575"/>
      <c r="I3107" s="575"/>
      <c r="J3107" s="575"/>
      <c r="K3107" s="575"/>
    </row>
    <row r="3108" spans="1:11" x14ac:dyDescent="0.2">
      <c r="A3108" s="583"/>
      <c r="B3108" s="640"/>
      <c r="F3108" s="575"/>
      <c r="G3108" s="575"/>
      <c r="H3108" s="575"/>
      <c r="I3108" s="575"/>
      <c r="J3108" s="575"/>
      <c r="K3108" s="575"/>
    </row>
    <row r="3109" spans="1:11" x14ac:dyDescent="0.2">
      <c r="A3109" s="583"/>
      <c r="B3109" s="640"/>
      <c r="F3109" s="575"/>
      <c r="G3109" s="575"/>
      <c r="H3109" s="575"/>
      <c r="I3109" s="575"/>
      <c r="J3109" s="575"/>
      <c r="K3109" s="575"/>
    </row>
    <row r="3110" spans="1:11" x14ac:dyDescent="0.2">
      <c r="A3110" s="583"/>
      <c r="B3110" s="640"/>
      <c r="F3110" s="575"/>
      <c r="G3110" s="575"/>
      <c r="H3110" s="575"/>
      <c r="I3110" s="575"/>
      <c r="J3110" s="575"/>
      <c r="K3110" s="575"/>
    </row>
    <row r="3111" spans="1:11" x14ac:dyDescent="0.2">
      <c r="A3111" s="583"/>
      <c r="B3111" s="640"/>
      <c r="F3111" s="575"/>
      <c r="G3111" s="575"/>
      <c r="H3111" s="575"/>
      <c r="I3111" s="575"/>
      <c r="J3111" s="575"/>
      <c r="K3111" s="575"/>
    </row>
    <row r="3112" spans="1:11" x14ac:dyDescent="0.2">
      <c r="A3112" s="583"/>
      <c r="B3112" s="640"/>
      <c r="F3112" s="575"/>
      <c r="G3112" s="575"/>
      <c r="H3112" s="575"/>
      <c r="I3112" s="575"/>
      <c r="J3112" s="575"/>
      <c r="K3112" s="575"/>
    </row>
    <row r="3113" spans="1:11" x14ac:dyDescent="0.2">
      <c r="A3113" s="583"/>
      <c r="B3113" s="640"/>
      <c r="F3113" s="575"/>
      <c r="G3113" s="575"/>
      <c r="H3113" s="575"/>
      <c r="I3113" s="575"/>
      <c r="J3113" s="575"/>
      <c r="K3113" s="575"/>
    </row>
    <row r="3114" spans="1:11" x14ac:dyDescent="0.2">
      <c r="A3114" s="583"/>
      <c r="B3114" s="640"/>
      <c r="F3114" s="575"/>
      <c r="G3114" s="575"/>
      <c r="H3114" s="575"/>
      <c r="I3114" s="575"/>
      <c r="J3114" s="575"/>
      <c r="K3114" s="575"/>
    </row>
    <row r="3115" spans="1:11" x14ac:dyDescent="0.2">
      <c r="A3115" s="583"/>
      <c r="B3115" s="640"/>
      <c r="F3115" s="575"/>
      <c r="G3115" s="575"/>
      <c r="H3115" s="575"/>
      <c r="I3115" s="575"/>
      <c r="J3115" s="575"/>
      <c r="K3115" s="575"/>
    </row>
    <row r="3116" spans="1:11" x14ac:dyDescent="0.2">
      <c r="A3116" s="583"/>
      <c r="B3116" s="640"/>
      <c r="F3116" s="575"/>
      <c r="G3116" s="575"/>
      <c r="H3116" s="575"/>
      <c r="I3116" s="575"/>
      <c r="J3116" s="575"/>
      <c r="K3116" s="575"/>
    </row>
    <row r="3117" spans="1:11" x14ac:dyDescent="0.2">
      <c r="A3117" s="583"/>
      <c r="B3117" s="640"/>
      <c r="F3117" s="575"/>
      <c r="G3117" s="575"/>
      <c r="H3117" s="575"/>
      <c r="I3117" s="575"/>
      <c r="J3117" s="575"/>
      <c r="K3117" s="575"/>
    </row>
    <row r="3118" spans="1:11" x14ac:dyDescent="0.2">
      <c r="A3118" s="583"/>
      <c r="B3118" s="640"/>
      <c r="F3118" s="575"/>
      <c r="G3118" s="575"/>
      <c r="H3118" s="575"/>
      <c r="I3118" s="575"/>
      <c r="J3118" s="575"/>
      <c r="K3118" s="575"/>
    </row>
    <row r="3119" spans="1:11" x14ac:dyDescent="0.2">
      <c r="A3119" s="583"/>
      <c r="B3119" s="640"/>
      <c r="F3119" s="575"/>
      <c r="G3119" s="575"/>
      <c r="H3119" s="575"/>
      <c r="I3119" s="575"/>
      <c r="J3119" s="575"/>
      <c r="K3119" s="575"/>
    </row>
    <row r="3120" spans="1:11" x14ac:dyDescent="0.2">
      <c r="A3120" s="583"/>
      <c r="B3120" s="640"/>
      <c r="F3120" s="575"/>
      <c r="G3120" s="575"/>
      <c r="H3120" s="575"/>
      <c r="I3120" s="575"/>
      <c r="J3120" s="575"/>
      <c r="K3120" s="575"/>
    </row>
    <row r="3121" spans="1:11" x14ac:dyDescent="0.2">
      <c r="A3121" s="583"/>
      <c r="B3121" s="640"/>
      <c r="F3121" s="575"/>
      <c r="G3121" s="575"/>
      <c r="H3121" s="575"/>
      <c r="I3121" s="575"/>
      <c r="J3121" s="575"/>
      <c r="K3121" s="575"/>
    </row>
    <row r="3122" spans="1:11" x14ac:dyDescent="0.2">
      <c r="A3122" s="583"/>
      <c r="B3122" s="640"/>
      <c r="F3122" s="575"/>
      <c r="G3122" s="575"/>
      <c r="H3122" s="575"/>
      <c r="I3122" s="575"/>
      <c r="J3122" s="575"/>
      <c r="K3122" s="575"/>
    </row>
    <row r="3123" spans="1:11" x14ac:dyDescent="0.2">
      <c r="A3123" s="583"/>
      <c r="B3123" s="640"/>
      <c r="F3123" s="575"/>
      <c r="G3123" s="575"/>
      <c r="H3123" s="575"/>
      <c r="I3123" s="575"/>
      <c r="J3123" s="575"/>
      <c r="K3123" s="575"/>
    </row>
    <row r="3124" spans="1:11" x14ac:dyDescent="0.2">
      <c r="A3124" s="583"/>
      <c r="B3124" s="640"/>
      <c r="F3124" s="575"/>
      <c r="G3124" s="575"/>
      <c r="H3124" s="575"/>
      <c r="I3124" s="575"/>
      <c r="J3124" s="575"/>
      <c r="K3124" s="575"/>
    </row>
    <row r="3125" spans="1:11" x14ac:dyDescent="0.2">
      <c r="A3125" s="583"/>
      <c r="B3125" s="640"/>
      <c r="F3125" s="575"/>
      <c r="G3125" s="575"/>
      <c r="H3125" s="575"/>
      <c r="I3125" s="575"/>
      <c r="J3125" s="575"/>
      <c r="K3125" s="575"/>
    </row>
    <row r="3126" spans="1:11" x14ac:dyDescent="0.2">
      <c r="A3126" s="583"/>
      <c r="B3126" s="640"/>
      <c r="F3126" s="575"/>
      <c r="G3126" s="575"/>
      <c r="H3126" s="575"/>
      <c r="I3126" s="575"/>
      <c r="J3126" s="575"/>
      <c r="K3126" s="575"/>
    </row>
    <row r="3127" spans="1:11" x14ac:dyDescent="0.2">
      <c r="A3127" s="583"/>
      <c r="B3127" s="640"/>
      <c r="F3127" s="575"/>
      <c r="G3127" s="575"/>
      <c r="H3127" s="575"/>
      <c r="I3127" s="575"/>
      <c r="J3127" s="575"/>
      <c r="K3127" s="575"/>
    </row>
    <row r="3128" spans="1:11" x14ac:dyDescent="0.2">
      <c r="A3128" s="583"/>
      <c r="B3128" s="640"/>
      <c r="F3128" s="575"/>
      <c r="G3128" s="575"/>
      <c r="H3128" s="575"/>
      <c r="I3128" s="575"/>
      <c r="J3128" s="575"/>
      <c r="K3128" s="575"/>
    </row>
    <row r="3129" spans="1:11" x14ac:dyDescent="0.2">
      <c r="A3129" s="583"/>
      <c r="B3129" s="640"/>
      <c r="F3129" s="575"/>
      <c r="G3129" s="575"/>
      <c r="H3129" s="575"/>
      <c r="I3129" s="575"/>
      <c r="J3129" s="575"/>
      <c r="K3129" s="575"/>
    </row>
    <row r="3130" spans="1:11" x14ac:dyDescent="0.2">
      <c r="A3130" s="583"/>
      <c r="B3130" s="640"/>
      <c r="F3130" s="575"/>
      <c r="G3130" s="575"/>
      <c r="H3130" s="575"/>
      <c r="I3130" s="575"/>
      <c r="J3130" s="575"/>
      <c r="K3130" s="575"/>
    </row>
    <row r="3131" spans="1:11" x14ac:dyDescent="0.2">
      <c r="A3131" s="583"/>
      <c r="B3131" s="640"/>
      <c r="F3131" s="575"/>
      <c r="G3131" s="575"/>
      <c r="H3131" s="575"/>
      <c r="I3131" s="575"/>
      <c r="J3131" s="575"/>
      <c r="K3131" s="575"/>
    </row>
    <row r="3132" spans="1:11" x14ac:dyDescent="0.2">
      <c r="A3132" s="583"/>
      <c r="B3132" s="640"/>
      <c r="F3132" s="575"/>
      <c r="G3132" s="575"/>
      <c r="H3132" s="575"/>
      <c r="I3132" s="575"/>
      <c r="J3132" s="575"/>
      <c r="K3132" s="575"/>
    </row>
    <row r="3133" spans="1:11" x14ac:dyDescent="0.2">
      <c r="A3133" s="583"/>
      <c r="B3133" s="640"/>
      <c r="F3133" s="575"/>
      <c r="G3133" s="575"/>
      <c r="H3133" s="575"/>
      <c r="I3133" s="575"/>
      <c r="J3133" s="575"/>
      <c r="K3133" s="575"/>
    </row>
    <row r="3134" spans="1:11" x14ac:dyDescent="0.2">
      <c r="A3134" s="583"/>
      <c r="B3134" s="640"/>
      <c r="F3134" s="575"/>
      <c r="G3134" s="575"/>
      <c r="H3134" s="575"/>
      <c r="I3134" s="575"/>
      <c r="J3134" s="575"/>
      <c r="K3134" s="575"/>
    </row>
    <row r="3135" spans="1:11" x14ac:dyDescent="0.2">
      <c r="A3135" s="583"/>
      <c r="B3135" s="640"/>
      <c r="F3135" s="575"/>
      <c r="G3135" s="575"/>
      <c r="H3135" s="575"/>
      <c r="I3135" s="575"/>
      <c r="J3135" s="575"/>
      <c r="K3135" s="575"/>
    </row>
    <row r="3136" spans="1:11" x14ac:dyDescent="0.2">
      <c r="A3136" s="583"/>
      <c r="B3136" s="640"/>
      <c r="F3136" s="575"/>
      <c r="G3136" s="575"/>
      <c r="H3136" s="575"/>
      <c r="I3136" s="575"/>
      <c r="J3136" s="575"/>
      <c r="K3136" s="575"/>
    </row>
    <row r="3137" spans="1:11" x14ac:dyDescent="0.2">
      <c r="A3137" s="583"/>
      <c r="B3137" s="640"/>
      <c r="F3137" s="575"/>
      <c r="G3137" s="575"/>
      <c r="H3137" s="575"/>
      <c r="I3137" s="575"/>
      <c r="J3137" s="575"/>
      <c r="K3137" s="575"/>
    </row>
    <row r="3138" spans="1:11" x14ac:dyDescent="0.2">
      <c r="A3138" s="583"/>
      <c r="B3138" s="640"/>
      <c r="F3138" s="575"/>
      <c r="G3138" s="575"/>
      <c r="H3138" s="575"/>
      <c r="I3138" s="575"/>
      <c r="J3138" s="575"/>
      <c r="K3138" s="575"/>
    </row>
    <row r="3139" spans="1:11" x14ac:dyDescent="0.2">
      <c r="A3139" s="583"/>
      <c r="B3139" s="640"/>
      <c r="F3139" s="575"/>
      <c r="G3139" s="575"/>
      <c r="H3139" s="575"/>
      <c r="I3139" s="575"/>
      <c r="J3139" s="575"/>
      <c r="K3139" s="575"/>
    </row>
    <row r="3140" spans="1:11" x14ac:dyDescent="0.2">
      <c r="A3140" s="583"/>
      <c r="B3140" s="640"/>
      <c r="F3140" s="575"/>
      <c r="G3140" s="575"/>
      <c r="H3140" s="575"/>
      <c r="I3140" s="575"/>
      <c r="J3140" s="575"/>
      <c r="K3140" s="575"/>
    </row>
    <row r="3141" spans="1:11" x14ac:dyDescent="0.2">
      <c r="A3141" s="583"/>
      <c r="B3141" s="640"/>
      <c r="F3141" s="575"/>
      <c r="G3141" s="575"/>
      <c r="H3141" s="575"/>
      <c r="I3141" s="575"/>
      <c r="J3141" s="575"/>
      <c r="K3141" s="575"/>
    </row>
    <row r="3142" spans="1:11" x14ac:dyDescent="0.2">
      <c r="A3142" s="583"/>
      <c r="B3142" s="640"/>
      <c r="F3142" s="575"/>
      <c r="G3142" s="575"/>
      <c r="H3142" s="575"/>
      <c r="I3142" s="575"/>
      <c r="J3142" s="575"/>
      <c r="K3142" s="575"/>
    </row>
    <row r="3143" spans="1:11" x14ac:dyDescent="0.2">
      <c r="A3143" s="583"/>
      <c r="B3143" s="640"/>
      <c r="F3143" s="575"/>
      <c r="G3143" s="575"/>
      <c r="H3143" s="575"/>
      <c r="I3143" s="575"/>
      <c r="J3143" s="575"/>
      <c r="K3143" s="575"/>
    </row>
    <row r="3144" spans="1:11" x14ac:dyDescent="0.2">
      <c r="A3144" s="583"/>
      <c r="B3144" s="640"/>
      <c r="F3144" s="575"/>
      <c r="G3144" s="575"/>
      <c r="H3144" s="575"/>
      <c r="I3144" s="575"/>
      <c r="J3144" s="575"/>
      <c r="K3144" s="575"/>
    </row>
    <row r="3145" spans="1:11" x14ac:dyDescent="0.2">
      <c r="A3145" s="583"/>
      <c r="B3145" s="640"/>
      <c r="F3145" s="575"/>
      <c r="G3145" s="575"/>
      <c r="H3145" s="575"/>
      <c r="I3145" s="575"/>
      <c r="J3145" s="575"/>
      <c r="K3145" s="575"/>
    </row>
    <row r="3146" spans="1:11" x14ac:dyDescent="0.2">
      <c r="A3146" s="583"/>
      <c r="B3146" s="640"/>
      <c r="F3146" s="575"/>
      <c r="G3146" s="575"/>
      <c r="H3146" s="575"/>
      <c r="I3146" s="575"/>
      <c r="J3146" s="575"/>
      <c r="K3146" s="575"/>
    </row>
    <row r="3147" spans="1:11" x14ac:dyDescent="0.2">
      <c r="A3147" s="583"/>
      <c r="B3147" s="640"/>
      <c r="F3147" s="575"/>
      <c r="G3147" s="575"/>
      <c r="H3147" s="575"/>
      <c r="I3147" s="575"/>
      <c r="J3147" s="575"/>
      <c r="K3147" s="575"/>
    </row>
    <row r="3148" spans="1:11" x14ac:dyDescent="0.2">
      <c r="A3148" s="583"/>
      <c r="B3148" s="640"/>
      <c r="F3148" s="575"/>
      <c r="G3148" s="575"/>
      <c r="H3148" s="575"/>
      <c r="I3148" s="575"/>
      <c r="J3148" s="575"/>
      <c r="K3148" s="575"/>
    </row>
    <row r="3149" spans="1:11" x14ac:dyDescent="0.2">
      <c r="A3149" s="583"/>
      <c r="B3149" s="640"/>
      <c r="F3149" s="575"/>
      <c r="G3149" s="575"/>
      <c r="H3149" s="575"/>
      <c r="I3149" s="575"/>
      <c r="J3149" s="575"/>
      <c r="K3149" s="575"/>
    </row>
    <row r="3150" spans="1:11" x14ac:dyDescent="0.2">
      <c r="A3150" s="583"/>
      <c r="B3150" s="640"/>
      <c r="F3150" s="575"/>
      <c r="G3150" s="575"/>
      <c r="H3150" s="575"/>
      <c r="I3150" s="575"/>
      <c r="J3150" s="575"/>
      <c r="K3150" s="575"/>
    </row>
    <row r="3151" spans="1:11" x14ac:dyDescent="0.2">
      <c r="A3151" s="583"/>
      <c r="B3151" s="640"/>
      <c r="F3151" s="575"/>
      <c r="G3151" s="575"/>
      <c r="H3151" s="575"/>
      <c r="I3151" s="575"/>
      <c r="J3151" s="575"/>
      <c r="K3151" s="575"/>
    </row>
    <row r="3152" spans="1:11" x14ac:dyDescent="0.2">
      <c r="A3152" s="583"/>
      <c r="B3152" s="640"/>
      <c r="F3152" s="575"/>
      <c r="G3152" s="575"/>
      <c r="H3152" s="575"/>
      <c r="I3152" s="575"/>
      <c r="J3152" s="575"/>
      <c r="K3152" s="575"/>
    </row>
    <row r="3153" spans="1:11" x14ac:dyDescent="0.2">
      <c r="A3153" s="583"/>
      <c r="B3153" s="640"/>
      <c r="F3153" s="575"/>
      <c r="G3153" s="575"/>
      <c r="H3153" s="575"/>
      <c r="I3153" s="575"/>
      <c r="J3153" s="575"/>
      <c r="K3153" s="575"/>
    </row>
    <row r="3154" spans="1:11" x14ac:dyDescent="0.2">
      <c r="A3154" s="583"/>
      <c r="B3154" s="640"/>
      <c r="F3154" s="575"/>
      <c r="G3154" s="575"/>
      <c r="H3154" s="575"/>
      <c r="I3154" s="575"/>
      <c r="J3154" s="575"/>
      <c r="K3154" s="575"/>
    </row>
    <row r="3155" spans="1:11" x14ac:dyDescent="0.2">
      <c r="A3155" s="583"/>
      <c r="B3155" s="640"/>
      <c r="F3155" s="575"/>
      <c r="G3155" s="575"/>
      <c r="H3155" s="575"/>
      <c r="I3155" s="575"/>
      <c r="J3155" s="575"/>
      <c r="K3155" s="575"/>
    </row>
    <row r="3156" spans="1:11" x14ac:dyDescent="0.2">
      <c r="A3156" s="583"/>
      <c r="B3156" s="640"/>
      <c r="F3156" s="575"/>
      <c r="G3156" s="575"/>
      <c r="H3156" s="575"/>
      <c r="I3156" s="575"/>
      <c r="J3156" s="575"/>
      <c r="K3156" s="575"/>
    </row>
    <row r="3157" spans="1:11" x14ac:dyDescent="0.2">
      <c r="A3157" s="583"/>
      <c r="B3157" s="640"/>
      <c r="F3157" s="575"/>
      <c r="G3157" s="575"/>
      <c r="H3157" s="575"/>
      <c r="I3157" s="575"/>
      <c r="J3157" s="575"/>
      <c r="K3157" s="575"/>
    </row>
    <row r="3158" spans="1:11" x14ac:dyDescent="0.2">
      <c r="A3158" s="583"/>
      <c r="B3158" s="640"/>
      <c r="F3158" s="575"/>
      <c r="G3158" s="575"/>
      <c r="H3158" s="575"/>
      <c r="I3158" s="575"/>
      <c r="J3158" s="575"/>
      <c r="K3158" s="575"/>
    </row>
    <row r="3159" spans="1:11" x14ac:dyDescent="0.2">
      <c r="A3159" s="583"/>
      <c r="B3159" s="640"/>
      <c r="F3159" s="575"/>
      <c r="G3159" s="575"/>
      <c r="H3159" s="575"/>
      <c r="I3159" s="575"/>
      <c r="J3159" s="575"/>
      <c r="K3159" s="575"/>
    </row>
    <row r="3160" spans="1:11" x14ac:dyDescent="0.2">
      <c r="A3160" s="583"/>
      <c r="B3160" s="640"/>
      <c r="F3160" s="575"/>
      <c r="G3160" s="575"/>
      <c r="H3160" s="575"/>
      <c r="I3160" s="575"/>
      <c r="J3160" s="575"/>
      <c r="K3160" s="575"/>
    </row>
    <row r="3161" spans="1:11" x14ac:dyDescent="0.2">
      <c r="A3161" s="583"/>
      <c r="B3161" s="640"/>
      <c r="F3161" s="575"/>
      <c r="G3161" s="575"/>
      <c r="H3161" s="575"/>
      <c r="I3161" s="575"/>
      <c r="J3161" s="575"/>
      <c r="K3161" s="575"/>
    </row>
    <row r="3162" spans="1:11" x14ac:dyDescent="0.2">
      <c r="A3162" s="583"/>
      <c r="B3162" s="640"/>
      <c r="F3162" s="575"/>
      <c r="G3162" s="575"/>
      <c r="H3162" s="575"/>
      <c r="I3162" s="575"/>
      <c r="J3162" s="575"/>
      <c r="K3162" s="575"/>
    </row>
    <row r="3163" spans="1:11" x14ac:dyDescent="0.2">
      <c r="A3163" s="583"/>
      <c r="B3163" s="640"/>
      <c r="F3163" s="575"/>
      <c r="G3163" s="575"/>
      <c r="H3163" s="575"/>
      <c r="I3163" s="575"/>
      <c r="J3163" s="575"/>
      <c r="K3163" s="575"/>
    </row>
    <row r="3164" spans="1:11" x14ac:dyDescent="0.2">
      <c r="A3164" s="583"/>
      <c r="B3164" s="640"/>
      <c r="F3164" s="575"/>
      <c r="G3164" s="575"/>
      <c r="H3164" s="575"/>
      <c r="I3164" s="575"/>
      <c r="J3164" s="575"/>
      <c r="K3164" s="575"/>
    </row>
    <row r="3165" spans="1:11" x14ac:dyDescent="0.2">
      <c r="A3165" s="583"/>
      <c r="B3165" s="640"/>
      <c r="F3165" s="575"/>
      <c r="G3165" s="575"/>
      <c r="H3165" s="575"/>
      <c r="I3165" s="575"/>
      <c r="J3165" s="575"/>
      <c r="K3165" s="575"/>
    </row>
    <row r="3166" spans="1:11" x14ac:dyDescent="0.2">
      <c r="A3166" s="583"/>
      <c r="B3166" s="640"/>
      <c r="F3166" s="575"/>
      <c r="G3166" s="575"/>
      <c r="H3166" s="575"/>
      <c r="I3166" s="575"/>
      <c r="J3166" s="575"/>
      <c r="K3166" s="575"/>
    </row>
    <row r="3167" spans="1:11" x14ac:dyDescent="0.2">
      <c r="A3167" s="583"/>
      <c r="B3167" s="640"/>
      <c r="F3167" s="575"/>
      <c r="G3167" s="575"/>
      <c r="H3167" s="575"/>
      <c r="I3167" s="575"/>
      <c r="J3167" s="575"/>
      <c r="K3167" s="575"/>
    </row>
    <row r="3168" spans="1:11" x14ac:dyDescent="0.2">
      <c r="A3168" s="583"/>
      <c r="B3168" s="640"/>
      <c r="F3168" s="575"/>
      <c r="G3168" s="575"/>
      <c r="H3168" s="575"/>
      <c r="I3168" s="575"/>
      <c r="J3168" s="575"/>
      <c r="K3168" s="575"/>
    </row>
    <row r="3169" spans="1:11" x14ac:dyDescent="0.2">
      <c r="A3169" s="583"/>
      <c r="B3169" s="640"/>
      <c r="F3169" s="575"/>
      <c r="G3169" s="575"/>
      <c r="H3169" s="575"/>
      <c r="I3169" s="575"/>
      <c r="J3169" s="575"/>
      <c r="K3169" s="575"/>
    </row>
    <row r="3170" spans="1:11" x14ac:dyDescent="0.2">
      <c r="A3170" s="583"/>
      <c r="B3170" s="640"/>
      <c r="F3170" s="575"/>
      <c r="G3170" s="575"/>
      <c r="H3170" s="575"/>
      <c r="I3170" s="575"/>
      <c r="J3170" s="575"/>
      <c r="K3170" s="575"/>
    </row>
    <row r="3171" spans="1:11" x14ac:dyDescent="0.2">
      <c r="A3171" s="583"/>
      <c r="B3171" s="640"/>
      <c r="F3171" s="575"/>
      <c r="G3171" s="575"/>
      <c r="H3171" s="575"/>
      <c r="I3171" s="575"/>
      <c r="J3171" s="575"/>
      <c r="K3171" s="575"/>
    </row>
    <row r="3172" spans="1:11" x14ac:dyDescent="0.2">
      <c r="A3172" s="583"/>
      <c r="B3172" s="640"/>
      <c r="F3172" s="575"/>
      <c r="G3172" s="575"/>
      <c r="H3172" s="575"/>
      <c r="I3172" s="575"/>
      <c r="J3172" s="575"/>
      <c r="K3172" s="575"/>
    </row>
    <row r="3173" spans="1:11" x14ac:dyDescent="0.2">
      <c r="A3173" s="583"/>
      <c r="B3173" s="640"/>
      <c r="F3173" s="575"/>
      <c r="G3173" s="575"/>
      <c r="H3173" s="575"/>
      <c r="I3173" s="575"/>
      <c r="J3173" s="575"/>
      <c r="K3173" s="575"/>
    </row>
    <row r="3174" spans="1:11" x14ac:dyDescent="0.2">
      <c r="A3174" s="583"/>
      <c r="B3174" s="640"/>
      <c r="F3174" s="575"/>
      <c r="G3174" s="575"/>
      <c r="H3174" s="575"/>
      <c r="I3174" s="575"/>
      <c r="J3174" s="575"/>
      <c r="K3174" s="575"/>
    </row>
    <row r="3175" spans="1:11" x14ac:dyDescent="0.2">
      <c r="A3175" s="583"/>
      <c r="B3175" s="640"/>
      <c r="F3175" s="575"/>
      <c r="G3175" s="575"/>
      <c r="H3175" s="575"/>
      <c r="I3175" s="575"/>
      <c r="J3175" s="575"/>
      <c r="K3175" s="575"/>
    </row>
    <row r="3176" spans="1:11" x14ac:dyDescent="0.2">
      <c r="A3176" s="583"/>
      <c r="B3176" s="640"/>
      <c r="F3176" s="575"/>
      <c r="G3176" s="575"/>
      <c r="H3176" s="575"/>
      <c r="I3176" s="575"/>
      <c r="J3176" s="575"/>
      <c r="K3176" s="575"/>
    </row>
    <row r="3177" spans="1:11" x14ac:dyDescent="0.2">
      <c r="A3177" s="583"/>
      <c r="B3177" s="640"/>
      <c r="F3177" s="575"/>
      <c r="G3177" s="575"/>
      <c r="H3177" s="575"/>
      <c r="I3177" s="575"/>
      <c r="J3177" s="575"/>
      <c r="K3177" s="575"/>
    </row>
    <row r="3178" spans="1:11" x14ac:dyDescent="0.2">
      <c r="A3178" s="583"/>
      <c r="B3178" s="640"/>
      <c r="F3178" s="575"/>
      <c r="G3178" s="575"/>
      <c r="H3178" s="575"/>
      <c r="I3178" s="575"/>
      <c r="J3178" s="575"/>
      <c r="K3178" s="575"/>
    </row>
    <row r="3179" spans="1:11" x14ac:dyDescent="0.2">
      <c r="A3179" s="583"/>
      <c r="B3179" s="640"/>
      <c r="F3179" s="575"/>
      <c r="G3179" s="575"/>
      <c r="H3179" s="575"/>
      <c r="I3179" s="575"/>
      <c r="J3179" s="575"/>
      <c r="K3179" s="575"/>
    </row>
    <row r="3180" spans="1:11" x14ac:dyDescent="0.2">
      <c r="A3180" s="583"/>
      <c r="B3180" s="640"/>
      <c r="F3180" s="575"/>
      <c r="G3180" s="575"/>
      <c r="H3180" s="575"/>
      <c r="I3180" s="575"/>
      <c r="J3180" s="575"/>
      <c r="K3180" s="575"/>
    </row>
    <row r="3181" spans="1:11" x14ac:dyDescent="0.2">
      <c r="A3181" s="583"/>
      <c r="B3181" s="640"/>
      <c r="F3181" s="575"/>
      <c r="G3181" s="575"/>
      <c r="H3181" s="575"/>
      <c r="I3181" s="575"/>
      <c r="J3181" s="575"/>
      <c r="K3181" s="575"/>
    </row>
    <row r="3182" spans="1:11" x14ac:dyDescent="0.2">
      <c r="A3182" s="583"/>
      <c r="B3182" s="640"/>
      <c r="F3182" s="575"/>
      <c r="G3182" s="575"/>
      <c r="H3182" s="575"/>
      <c r="I3182" s="575"/>
      <c r="J3182" s="575"/>
      <c r="K3182" s="575"/>
    </row>
    <row r="3183" spans="1:11" x14ac:dyDescent="0.2">
      <c r="A3183" s="583"/>
      <c r="B3183" s="640"/>
      <c r="F3183" s="575"/>
      <c r="G3183" s="575"/>
      <c r="H3183" s="575"/>
      <c r="I3183" s="575"/>
      <c r="J3183" s="575"/>
      <c r="K3183" s="575"/>
    </row>
    <row r="3184" spans="1:11" x14ac:dyDescent="0.2">
      <c r="A3184" s="583"/>
      <c r="B3184" s="640"/>
      <c r="F3184" s="575"/>
      <c r="G3184" s="575"/>
      <c r="H3184" s="575"/>
      <c r="I3184" s="575"/>
      <c r="J3184" s="575"/>
      <c r="K3184" s="575"/>
    </row>
    <row r="3185" spans="1:11" x14ac:dyDescent="0.2">
      <c r="A3185" s="583"/>
      <c r="B3185" s="640"/>
      <c r="F3185" s="575"/>
      <c r="G3185" s="575"/>
      <c r="H3185" s="575"/>
      <c r="I3185" s="575"/>
      <c r="J3185" s="575"/>
      <c r="K3185" s="575"/>
    </row>
    <row r="3186" spans="1:11" x14ac:dyDescent="0.2">
      <c r="A3186" s="583"/>
      <c r="B3186" s="640"/>
      <c r="F3186" s="575"/>
      <c r="G3186" s="575"/>
      <c r="H3186" s="575"/>
      <c r="I3186" s="575"/>
      <c r="J3186" s="575"/>
      <c r="K3186" s="575"/>
    </row>
    <row r="3187" spans="1:11" x14ac:dyDescent="0.2">
      <c r="A3187" s="583"/>
      <c r="B3187" s="640"/>
      <c r="F3187" s="575"/>
      <c r="G3187" s="575"/>
      <c r="H3187" s="575"/>
      <c r="I3187" s="575"/>
      <c r="J3187" s="575"/>
      <c r="K3187" s="575"/>
    </row>
    <row r="3188" spans="1:11" x14ac:dyDescent="0.2">
      <c r="A3188" s="583"/>
      <c r="B3188" s="640"/>
      <c r="F3188" s="575"/>
      <c r="G3188" s="575"/>
      <c r="H3188" s="575"/>
      <c r="I3188" s="575"/>
      <c r="J3188" s="575"/>
      <c r="K3188" s="575"/>
    </row>
    <row r="3189" spans="1:11" x14ac:dyDescent="0.2">
      <c r="A3189" s="583"/>
      <c r="B3189" s="640"/>
      <c r="F3189" s="575"/>
      <c r="G3189" s="575"/>
      <c r="H3189" s="575"/>
      <c r="I3189" s="575"/>
      <c r="J3189" s="575"/>
      <c r="K3189" s="575"/>
    </row>
    <row r="3190" spans="1:11" x14ac:dyDescent="0.2">
      <c r="A3190" s="583"/>
      <c r="B3190" s="640"/>
      <c r="F3190" s="575"/>
      <c r="G3190" s="575"/>
      <c r="H3190" s="575"/>
      <c r="I3190" s="575"/>
      <c r="J3190" s="575"/>
      <c r="K3190" s="575"/>
    </row>
    <row r="3191" spans="1:11" x14ac:dyDescent="0.2">
      <c r="A3191" s="583"/>
      <c r="B3191" s="640"/>
      <c r="F3191" s="575"/>
      <c r="G3191" s="575"/>
      <c r="H3191" s="575"/>
      <c r="I3191" s="575"/>
      <c r="J3191" s="575"/>
      <c r="K3191" s="575"/>
    </row>
    <row r="3192" spans="1:11" x14ac:dyDescent="0.2">
      <c r="A3192" s="583"/>
      <c r="B3192" s="640"/>
      <c r="F3192" s="575"/>
      <c r="G3192" s="575"/>
      <c r="H3192" s="575"/>
      <c r="I3192" s="575"/>
      <c r="J3192" s="575"/>
      <c r="K3192" s="575"/>
    </row>
    <row r="3193" spans="1:11" x14ac:dyDescent="0.2">
      <c r="A3193" s="583"/>
      <c r="B3193" s="640"/>
      <c r="F3193" s="575"/>
      <c r="G3193" s="575"/>
      <c r="H3193" s="575"/>
      <c r="I3193" s="575"/>
      <c r="J3193" s="575"/>
      <c r="K3193" s="575"/>
    </row>
    <row r="3194" spans="1:11" x14ac:dyDescent="0.2">
      <c r="A3194" s="583"/>
      <c r="B3194" s="640"/>
      <c r="F3194" s="575"/>
      <c r="G3194" s="575"/>
      <c r="H3194" s="575"/>
      <c r="I3194" s="575"/>
      <c r="J3194" s="575"/>
      <c r="K3194" s="575"/>
    </row>
    <row r="3195" spans="1:11" x14ac:dyDescent="0.2">
      <c r="A3195" s="583"/>
      <c r="B3195" s="640"/>
      <c r="F3195" s="575"/>
      <c r="G3195" s="575"/>
      <c r="H3195" s="575"/>
      <c r="I3195" s="575"/>
      <c r="J3195" s="575"/>
      <c r="K3195" s="575"/>
    </row>
    <row r="3196" spans="1:11" x14ac:dyDescent="0.2">
      <c r="A3196" s="583"/>
      <c r="B3196" s="640"/>
      <c r="F3196" s="575"/>
      <c r="G3196" s="575"/>
      <c r="H3196" s="575"/>
      <c r="I3196" s="575"/>
      <c r="J3196" s="575"/>
      <c r="K3196" s="575"/>
    </row>
    <row r="3197" spans="1:11" x14ac:dyDescent="0.2">
      <c r="A3197" s="583"/>
      <c r="B3197" s="640"/>
      <c r="F3197" s="575"/>
      <c r="G3197" s="575"/>
      <c r="H3197" s="575"/>
      <c r="I3197" s="575"/>
      <c r="J3197" s="575"/>
      <c r="K3197" s="575"/>
    </row>
    <row r="3198" spans="1:11" x14ac:dyDescent="0.2">
      <c r="A3198" s="583"/>
      <c r="B3198" s="640"/>
      <c r="F3198" s="575"/>
      <c r="G3198" s="575"/>
      <c r="H3198" s="575"/>
      <c r="I3198" s="575"/>
      <c r="J3198" s="575"/>
      <c r="K3198" s="575"/>
    </row>
    <row r="3199" spans="1:11" x14ac:dyDescent="0.2">
      <c r="A3199" s="583"/>
      <c r="B3199" s="640"/>
      <c r="F3199" s="575"/>
      <c r="G3199" s="575"/>
      <c r="H3199" s="575"/>
      <c r="I3199" s="575"/>
      <c r="J3199" s="575"/>
      <c r="K3199" s="575"/>
    </row>
    <row r="3200" spans="1:11" x14ac:dyDescent="0.2">
      <c r="A3200" s="583"/>
      <c r="B3200" s="640"/>
      <c r="F3200" s="575"/>
      <c r="G3200" s="575"/>
      <c r="H3200" s="575"/>
      <c r="I3200" s="575"/>
      <c r="J3200" s="575"/>
      <c r="K3200" s="575"/>
    </row>
    <row r="3201" spans="1:11" x14ac:dyDescent="0.2">
      <c r="A3201" s="583"/>
      <c r="B3201" s="640"/>
      <c r="F3201" s="575"/>
      <c r="G3201" s="575"/>
      <c r="H3201" s="575"/>
      <c r="I3201" s="575"/>
      <c r="J3201" s="575"/>
      <c r="K3201" s="575"/>
    </row>
    <row r="3202" spans="1:11" x14ac:dyDescent="0.2">
      <c r="A3202" s="583"/>
      <c r="B3202" s="640"/>
      <c r="F3202" s="575"/>
      <c r="G3202" s="575"/>
      <c r="H3202" s="575"/>
      <c r="I3202" s="575"/>
      <c r="J3202" s="575"/>
      <c r="K3202" s="575"/>
    </row>
    <row r="3203" spans="1:11" x14ac:dyDescent="0.2">
      <c r="A3203" s="583"/>
      <c r="B3203" s="640"/>
      <c r="F3203" s="575"/>
      <c r="G3203" s="575"/>
      <c r="H3203" s="575"/>
      <c r="I3203" s="575"/>
      <c r="J3203" s="575"/>
      <c r="K3203" s="575"/>
    </row>
    <row r="3204" spans="1:11" x14ac:dyDescent="0.2">
      <c r="A3204" s="583"/>
      <c r="B3204" s="640"/>
      <c r="F3204" s="575"/>
      <c r="G3204" s="575"/>
      <c r="H3204" s="575"/>
      <c r="I3204" s="575"/>
      <c r="J3204" s="575"/>
      <c r="K3204" s="575"/>
    </row>
    <row r="3205" spans="1:11" x14ac:dyDescent="0.2">
      <c r="A3205" s="583"/>
      <c r="B3205" s="640"/>
      <c r="F3205" s="575"/>
      <c r="G3205" s="575"/>
      <c r="H3205" s="575"/>
      <c r="I3205" s="575"/>
      <c r="J3205" s="575"/>
      <c r="K3205" s="575"/>
    </row>
    <row r="3206" spans="1:11" x14ac:dyDescent="0.2">
      <c r="A3206" s="583"/>
      <c r="B3206" s="640"/>
      <c r="F3206" s="575"/>
      <c r="G3206" s="575"/>
      <c r="H3206" s="575"/>
      <c r="I3206" s="575"/>
      <c r="J3206" s="575"/>
      <c r="K3206" s="575"/>
    </row>
    <row r="3207" spans="1:11" x14ac:dyDescent="0.2">
      <c r="A3207" s="583"/>
      <c r="B3207" s="640"/>
      <c r="F3207" s="575"/>
      <c r="G3207" s="575"/>
      <c r="H3207" s="575"/>
      <c r="I3207" s="575"/>
      <c r="J3207" s="575"/>
      <c r="K3207" s="575"/>
    </row>
    <row r="3208" spans="1:11" x14ac:dyDescent="0.2">
      <c r="A3208" s="583"/>
      <c r="B3208" s="640"/>
      <c r="F3208" s="575"/>
      <c r="G3208" s="575"/>
      <c r="H3208" s="575"/>
      <c r="I3208" s="575"/>
      <c r="J3208" s="575"/>
      <c r="K3208" s="575"/>
    </row>
    <row r="3209" spans="1:11" x14ac:dyDescent="0.2">
      <c r="A3209" s="583"/>
      <c r="B3209" s="640"/>
      <c r="F3209" s="575"/>
      <c r="G3209" s="575"/>
      <c r="H3209" s="575"/>
      <c r="I3209" s="575"/>
      <c r="J3209" s="575"/>
      <c r="K3209" s="575"/>
    </row>
    <row r="3210" spans="1:11" x14ac:dyDescent="0.2">
      <c r="A3210" s="583"/>
      <c r="B3210" s="640"/>
      <c r="F3210" s="575"/>
      <c r="G3210" s="575"/>
      <c r="H3210" s="575"/>
      <c r="I3210" s="575"/>
      <c r="J3210" s="575"/>
      <c r="K3210" s="575"/>
    </row>
    <row r="3211" spans="1:11" x14ac:dyDescent="0.2">
      <c r="A3211" s="583"/>
      <c r="B3211" s="640"/>
      <c r="F3211" s="575"/>
      <c r="G3211" s="575"/>
      <c r="H3211" s="575"/>
      <c r="I3211" s="575"/>
      <c r="J3211" s="575"/>
      <c r="K3211" s="575"/>
    </row>
    <row r="3212" spans="1:11" x14ac:dyDescent="0.2">
      <c r="A3212" s="583"/>
      <c r="B3212" s="640"/>
      <c r="F3212" s="575"/>
      <c r="G3212" s="575"/>
      <c r="H3212" s="575"/>
      <c r="I3212" s="575"/>
      <c r="J3212" s="575"/>
      <c r="K3212" s="575"/>
    </row>
    <row r="3213" spans="1:11" x14ac:dyDescent="0.2">
      <c r="A3213" s="583"/>
      <c r="B3213" s="640"/>
      <c r="F3213" s="575"/>
      <c r="G3213" s="575"/>
      <c r="H3213" s="575"/>
      <c r="I3213" s="575"/>
      <c r="J3213" s="575"/>
      <c r="K3213" s="575"/>
    </row>
    <row r="3214" spans="1:11" x14ac:dyDescent="0.2">
      <c r="A3214" s="583"/>
      <c r="B3214" s="640"/>
      <c r="F3214" s="575"/>
      <c r="G3214" s="575"/>
      <c r="H3214" s="575"/>
      <c r="I3214" s="575"/>
      <c r="J3214" s="575"/>
      <c r="K3214" s="575"/>
    </row>
    <row r="3215" spans="1:11" x14ac:dyDescent="0.2">
      <c r="A3215" s="583"/>
      <c r="B3215" s="640"/>
      <c r="F3215" s="575"/>
      <c r="G3215" s="575"/>
      <c r="H3215" s="575"/>
      <c r="I3215" s="575"/>
      <c r="J3215" s="575"/>
      <c r="K3215" s="575"/>
    </row>
    <row r="3216" spans="1:11" x14ac:dyDescent="0.2">
      <c r="A3216" s="583"/>
      <c r="B3216" s="640"/>
      <c r="F3216" s="575"/>
      <c r="G3216" s="575"/>
      <c r="H3216" s="575"/>
      <c r="I3216" s="575"/>
      <c r="J3216" s="575"/>
      <c r="K3216" s="575"/>
    </row>
    <row r="3217" spans="1:11" x14ac:dyDescent="0.2">
      <c r="A3217" s="583"/>
      <c r="B3217" s="640"/>
      <c r="F3217" s="575"/>
      <c r="G3217" s="575"/>
      <c r="H3217" s="575"/>
      <c r="I3217" s="575"/>
      <c r="J3217" s="575"/>
      <c r="K3217" s="575"/>
    </row>
    <row r="3218" spans="1:11" x14ac:dyDescent="0.2">
      <c r="A3218" s="583"/>
      <c r="B3218" s="640"/>
      <c r="F3218" s="575"/>
      <c r="G3218" s="575"/>
      <c r="H3218" s="575"/>
      <c r="I3218" s="575"/>
      <c r="J3218" s="575"/>
      <c r="K3218" s="575"/>
    </row>
    <row r="3219" spans="1:11" x14ac:dyDescent="0.2">
      <c r="A3219" s="583"/>
      <c r="B3219" s="640"/>
      <c r="F3219" s="575"/>
      <c r="G3219" s="575"/>
      <c r="H3219" s="575"/>
      <c r="I3219" s="575"/>
      <c r="J3219" s="575"/>
      <c r="K3219" s="575"/>
    </row>
    <row r="3220" spans="1:11" x14ac:dyDescent="0.2">
      <c r="A3220" s="583"/>
      <c r="B3220" s="640"/>
      <c r="F3220" s="575"/>
      <c r="G3220" s="575"/>
      <c r="H3220" s="575"/>
      <c r="I3220" s="575"/>
      <c r="J3220" s="575"/>
      <c r="K3220" s="575"/>
    </row>
    <row r="3221" spans="1:11" x14ac:dyDescent="0.2">
      <c r="A3221" s="583"/>
      <c r="B3221" s="640"/>
      <c r="F3221" s="575"/>
      <c r="G3221" s="575"/>
      <c r="H3221" s="575"/>
      <c r="I3221" s="575"/>
      <c r="J3221" s="575"/>
      <c r="K3221" s="575"/>
    </row>
    <row r="3222" spans="1:11" x14ac:dyDescent="0.2">
      <c r="A3222" s="583"/>
      <c r="B3222" s="640"/>
      <c r="F3222" s="575"/>
      <c r="G3222" s="575"/>
      <c r="H3222" s="575"/>
      <c r="I3222" s="575"/>
      <c r="J3222" s="575"/>
      <c r="K3222" s="575"/>
    </row>
    <row r="3223" spans="1:11" x14ac:dyDescent="0.2">
      <c r="A3223" s="583"/>
      <c r="B3223" s="640"/>
      <c r="F3223" s="575"/>
      <c r="G3223" s="575"/>
      <c r="H3223" s="575"/>
      <c r="I3223" s="575"/>
      <c r="J3223" s="575"/>
      <c r="K3223" s="575"/>
    </row>
    <row r="3224" spans="1:11" x14ac:dyDescent="0.2">
      <c r="A3224" s="583"/>
      <c r="B3224" s="640"/>
      <c r="F3224" s="575"/>
      <c r="G3224" s="575"/>
      <c r="H3224" s="575"/>
      <c r="I3224" s="575"/>
      <c r="J3224" s="575"/>
      <c r="K3224" s="575"/>
    </row>
    <row r="3225" spans="1:11" x14ac:dyDescent="0.2">
      <c r="A3225" s="583"/>
      <c r="B3225" s="640"/>
      <c r="F3225" s="575"/>
      <c r="G3225" s="575"/>
      <c r="H3225" s="575"/>
      <c r="I3225" s="575"/>
      <c r="J3225" s="575"/>
      <c r="K3225" s="575"/>
    </row>
    <row r="3226" spans="1:11" x14ac:dyDescent="0.2">
      <c r="A3226" s="583"/>
      <c r="B3226" s="640"/>
      <c r="F3226" s="575"/>
      <c r="G3226" s="575"/>
      <c r="H3226" s="575"/>
      <c r="I3226" s="575"/>
      <c r="J3226" s="575"/>
      <c r="K3226" s="575"/>
    </row>
    <row r="3227" spans="1:11" x14ac:dyDescent="0.2">
      <c r="A3227" s="583"/>
      <c r="B3227" s="640"/>
      <c r="F3227" s="575"/>
      <c r="G3227" s="575"/>
      <c r="H3227" s="575"/>
      <c r="I3227" s="575"/>
      <c r="J3227" s="575"/>
      <c r="K3227" s="575"/>
    </row>
    <row r="3228" spans="1:11" x14ac:dyDescent="0.2">
      <c r="A3228" s="583"/>
      <c r="B3228" s="640"/>
      <c r="F3228" s="575"/>
      <c r="G3228" s="575"/>
      <c r="H3228" s="575"/>
      <c r="I3228" s="575"/>
      <c r="J3228" s="575"/>
      <c r="K3228" s="575"/>
    </row>
    <row r="3229" spans="1:11" x14ac:dyDescent="0.2">
      <c r="A3229" s="583"/>
      <c r="B3229" s="640"/>
      <c r="F3229" s="575"/>
      <c r="G3229" s="575"/>
      <c r="H3229" s="575"/>
      <c r="I3229" s="575"/>
      <c r="J3229" s="575"/>
      <c r="K3229" s="575"/>
    </row>
    <row r="3230" spans="1:11" x14ac:dyDescent="0.2">
      <c r="A3230" s="583"/>
      <c r="B3230" s="640"/>
      <c r="F3230" s="575"/>
      <c r="G3230" s="575"/>
      <c r="H3230" s="575"/>
      <c r="I3230" s="575"/>
      <c r="J3230" s="575"/>
      <c r="K3230" s="575"/>
    </row>
    <row r="3231" spans="1:11" x14ac:dyDescent="0.2">
      <c r="A3231" s="583"/>
      <c r="B3231" s="640"/>
      <c r="F3231" s="575"/>
      <c r="G3231" s="575"/>
      <c r="H3231" s="575"/>
      <c r="I3231" s="575"/>
      <c r="J3231" s="575"/>
      <c r="K3231" s="575"/>
    </row>
    <row r="3232" spans="1:11" x14ac:dyDescent="0.2">
      <c r="A3232" s="583"/>
      <c r="B3232" s="640"/>
      <c r="F3232" s="575"/>
      <c r="G3232" s="575"/>
      <c r="H3232" s="575"/>
      <c r="I3232" s="575"/>
      <c r="J3232" s="575"/>
      <c r="K3232" s="575"/>
    </row>
    <row r="3233" spans="1:11" x14ac:dyDescent="0.2">
      <c r="A3233" s="583"/>
      <c r="B3233" s="640"/>
      <c r="F3233" s="575"/>
      <c r="G3233" s="575"/>
      <c r="H3233" s="575"/>
      <c r="I3233" s="575"/>
      <c r="J3233" s="575"/>
      <c r="K3233" s="575"/>
    </row>
    <row r="3234" spans="1:11" x14ac:dyDescent="0.2">
      <c r="A3234" s="583"/>
      <c r="B3234" s="640"/>
      <c r="F3234" s="575"/>
      <c r="G3234" s="575"/>
      <c r="H3234" s="575"/>
      <c r="I3234" s="575"/>
      <c r="J3234" s="575"/>
      <c r="K3234" s="575"/>
    </row>
    <row r="3235" spans="1:11" x14ac:dyDescent="0.2">
      <c r="A3235" s="583"/>
      <c r="B3235" s="640"/>
      <c r="F3235" s="575"/>
      <c r="G3235" s="575"/>
      <c r="H3235" s="575"/>
      <c r="I3235" s="575"/>
      <c r="J3235" s="575"/>
      <c r="K3235" s="575"/>
    </row>
    <row r="3236" spans="1:11" x14ac:dyDescent="0.2">
      <c r="A3236" s="583"/>
      <c r="B3236" s="640"/>
      <c r="F3236" s="575"/>
      <c r="G3236" s="575"/>
      <c r="H3236" s="575"/>
      <c r="I3236" s="575"/>
      <c r="J3236" s="575"/>
      <c r="K3236" s="575"/>
    </row>
    <row r="3237" spans="1:11" x14ac:dyDescent="0.2">
      <c r="A3237" s="583"/>
      <c r="B3237" s="640"/>
      <c r="F3237" s="575"/>
      <c r="G3237" s="575"/>
      <c r="H3237" s="575"/>
      <c r="I3237" s="575"/>
      <c r="J3237" s="575"/>
      <c r="K3237" s="575"/>
    </row>
    <row r="3238" spans="1:11" x14ac:dyDescent="0.2">
      <c r="A3238" s="583"/>
      <c r="B3238" s="640"/>
      <c r="F3238" s="575"/>
      <c r="G3238" s="575"/>
      <c r="H3238" s="575"/>
      <c r="I3238" s="575"/>
      <c r="J3238" s="575"/>
      <c r="K3238" s="575"/>
    </row>
    <row r="3239" spans="1:11" x14ac:dyDescent="0.2">
      <c r="A3239" s="583"/>
      <c r="B3239" s="640"/>
      <c r="F3239" s="575"/>
      <c r="G3239" s="575"/>
      <c r="H3239" s="575"/>
      <c r="I3239" s="575"/>
      <c r="J3239" s="575"/>
      <c r="K3239" s="575"/>
    </row>
    <row r="3240" spans="1:11" x14ac:dyDescent="0.2">
      <c r="A3240" s="583"/>
      <c r="B3240" s="640"/>
      <c r="F3240" s="575"/>
      <c r="G3240" s="575"/>
      <c r="H3240" s="575"/>
      <c r="I3240" s="575"/>
      <c r="J3240" s="575"/>
      <c r="K3240" s="575"/>
    </row>
    <row r="3241" spans="1:11" x14ac:dyDescent="0.2">
      <c r="A3241" s="583"/>
      <c r="B3241" s="640"/>
      <c r="F3241" s="575"/>
      <c r="G3241" s="575"/>
      <c r="H3241" s="575"/>
      <c r="I3241" s="575"/>
      <c r="J3241" s="575"/>
      <c r="K3241" s="575"/>
    </row>
    <row r="3242" spans="1:11" x14ac:dyDescent="0.2">
      <c r="A3242" s="583"/>
      <c r="B3242" s="640"/>
      <c r="F3242" s="575"/>
      <c r="G3242" s="575"/>
      <c r="H3242" s="575"/>
      <c r="I3242" s="575"/>
      <c r="J3242" s="575"/>
      <c r="K3242" s="575"/>
    </row>
    <row r="3243" spans="1:11" x14ac:dyDescent="0.2">
      <c r="A3243" s="583"/>
      <c r="B3243" s="640"/>
      <c r="F3243" s="575"/>
      <c r="G3243" s="575"/>
      <c r="H3243" s="575"/>
      <c r="I3243" s="575"/>
      <c r="J3243" s="575"/>
      <c r="K3243" s="575"/>
    </row>
    <row r="3244" spans="1:11" x14ac:dyDescent="0.2">
      <c r="A3244" s="583"/>
      <c r="B3244" s="640"/>
      <c r="F3244" s="575"/>
      <c r="G3244" s="575"/>
      <c r="H3244" s="575"/>
      <c r="I3244" s="575"/>
      <c r="J3244" s="575"/>
      <c r="K3244" s="575"/>
    </row>
    <row r="3245" spans="1:11" x14ac:dyDescent="0.2">
      <c r="A3245" s="583"/>
      <c r="B3245" s="640"/>
      <c r="F3245" s="575"/>
      <c r="G3245" s="575"/>
      <c r="H3245" s="575"/>
      <c r="I3245" s="575"/>
      <c r="J3245" s="575"/>
      <c r="K3245" s="575"/>
    </row>
    <row r="3246" spans="1:11" x14ac:dyDescent="0.2">
      <c r="A3246" s="583"/>
      <c r="B3246" s="640"/>
      <c r="F3246" s="575"/>
      <c r="G3246" s="575"/>
      <c r="H3246" s="575"/>
      <c r="I3246" s="575"/>
      <c r="J3246" s="575"/>
      <c r="K3246" s="575"/>
    </row>
    <row r="3247" spans="1:11" x14ac:dyDescent="0.2">
      <c r="A3247" s="583"/>
      <c r="B3247" s="640"/>
      <c r="F3247" s="575"/>
      <c r="G3247" s="575"/>
      <c r="H3247" s="575"/>
      <c r="I3247" s="575"/>
      <c r="J3247" s="575"/>
      <c r="K3247" s="575"/>
    </row>
    <row r="3248" spans="1:11" x14ac:dyDescent="0.2">
      <c r="A3248" s="583"/>
      <c r="B3248" s="640"/>
      <c r="F3248" s="575"/>
      <c r="G3248" s="575"/>
      <c r="H3248" s="575"/>
      <c r="I3248" s="575"/>
      <c r="J3248" s="575"/>
      <c r="K3248" s="575"/>
    </row>
    <row r="3249" spans="1:11" x14ac:dyDescent="0.2">
      <c r="A3249" s="583"/>
      <c r="B3249" s="640"/>
      <c r="F3249" s="575"/>
      <c r="G3249" s="575"/>
      <c r="H3249" s="575"/>
      <c r="I3249" s="575"/>
      <c r="J3249" s="575"/>
      <c r="K3249" s="575"/>
    </row>
    <row r="3250" spans="1:11" x14ac:dyDescent="0.2">
      <c r="A3250" s="583"/>
      <c r="B3250" s="640"/>
      <c r="F3250" s="575"/>
      <c r="G3250" s="575"/>
      <c r="H3250" s="575"/>
      <c r="I3250" s="575"/>
      <c r="J3250" s="575"/>
      <c r="K3250" s="575"/>
    </row>
    <row r="3251" spans="1:11" x14ac:dyDescent="0.2">
      <c r="A3251" s="583"/>
      <c r="B3251" s="640"/>
      <c r="F3251" s="575"/>
      <c r="G3251" s="575"/>
      <c r="H3251" s="575"/>
      <c r="I3251" s="575"/>
      <c r="J3251" s="575"/>
      <c r="K3251" s="575"/>
    </row>
    <row r="3252" spans="1:11" x14ac:dyDescent="0.2">
      <c r="A3252" s="583"/>
      <c r="B3252" s="640"/>
      <c r="F3252" s="575"/>
      <c r="G3252" s="575"/>
      <c r="H3252" s="575"/>
      <c r="I3252" s="575"/>
      <c r="J3252" s="575"/>
      <c r="K3252" s="575"/>
    </row>
    <row r="3253" spans="1:11" x14ac:dyDescent="0.2">
      <c r="A3253" s="583"/>
      <c r="B3253" s="640"/>
      <c r="F3253" s="575"/>
      <c r="G3253" s="575"/>
      <c r="H3253" s="575"/>
      <c r="I3253" s="575"/>
      <c r="J3253" s="575"/>
      <c r="K3253" s="575"/>
    </row>
    <row r="3254" spans="1:11" x14ac:dyDescent="0.2">
      <c r="A3254" s="583"/>
      <c r="B3254" s="640"/>
      <c r="F3254" s="575"/>
      <c r="G3254" s="575"/>
      <c r="H3254" s="575"/>
      <c r="I3254" s="575"/>
      <c r="J3254" s="575"/>
      <c r="K3254" s="575"/>
    </row>
    <row r="3255" spans="1:11" x14ac:dyDescent="0.2">
      <c r="A3255" s="583"/>
      <c r="B3255" s="640"/>
      <c r="F3255" s="575"/>
      <c r="G3255" s="575"/>
      <c r="H3255" s="575"/>
      <c r="I3255" s="575"/>
      <c r="J3255" s="575"/>
      <c r="K3255" s="575"/>
    </row>
    <row r="3256" spans="1:11" x14ac:dyDescent="0.2">
      <c r="A3256" s="583"/>
      <c r="B3256" s="640"/>
      <c r="F3256" s="575"/>
      <c r="G3256" s="575"/>
      <c r="H3256" s="575"/>
      <c r="I3256" s="575"/>
      <c r="J3256" s="575"/>
      <c r="K3256" s="575"/>
    </row>
    <row r="3257" spans="1:11" x14ac:dyDescent="0.2">
      <c r="A3257" s="583"/>
      <c r="B3257" s="640"/>
      <c r="F3257" s="575"/>
      <c r="G3257" s="575"/>
      <c r="H3257" s="575"/>
      <c r="I3257" s="575"/>
      <c r="J3257" s="575"/>
      <c r="K3257" s="575"/>
    </row>
    <row r="3258" spans="1:11" x14ac:dyDescent="0.2">
      <c r="A3258" s="583"/>
      <c r="B3258" s="640"/>
      <c r="F3258" s="575"/>
      <c r="G3258" s="575"/>
      <c r="H3258" s="575"/>
      <c r="I3258" s="575"/>
      <c r="J3258" s="575"/>
      <c r="K3258" s="575"/>
    </row>
    <row r="3259" spans="1:11" x14ac:dyDescent="0.2">
      <c r="A3259" s="583"/>
      <c r="B3259" s="640"/>
      <c r="F3259" s="575"/>
      <c r="G3259" s="575"/>
      <c r="H3259" s="575"/>
      <c r="I3259" s="575"/>
      <c r="J3259" s="575"/>
      <c r="K3259" s="575"/>
    </row>
    <row r="3260" spans="1:11" x14ac:dyDescent="0.2">
      <c r="A3260" s="583"/>
      <c r="B3260" s="640"/>
      <c r="F3260" s="575"/>
      <c r="G3260" s="575"/>
      <c r="H3260" s="575"/>
      <c r="I3260" s="575"/>
      <c r="J3260" s="575"/>
      <c r="K3260" s="575"/>
    </row>
    <row r="3261" spans="1:11" x14ac:dyDescent="0.2">
      <c r="A3261" s="583"/>
      <c r="B3261" s="640"/>
      <c r="F3261" s="575"/>
      <c r="G3261" s="575"/>
      <c r="H3261" s="575"/>
      <c r="I3261" s="575"/>
      <c r="J3261" s="575"/>
      <c r="K3261" s="575"/>
    </row>
    <row r="3262" spans="1:11" x14ac:dyDescent="0.2">
      <c r="A3262" s="583"/>
      <c r="B3262" s="640"/>
      <c r="F3262" s="575"/>
      <c r="G3262" s="575"/>
      <c r="H3262" s="575"/>
      <c r="I3262" s="575"/>
      <c r="J3262" s="575"/>
      <c r="K3262" s="575"/>
    </row>
    <row r="3263" spans="1:11" x14ac:dyDescent="0.2">
      <c r="A3263" s="583"/>
      <c r="B3263" s="640"/>
      <c r="F3263" s="575"/>
      <c r="G3263" s="575"/>
      <c r="H3263" s="575"/>
      <c r="I3263" s="575"/>
      <c r="J3263" s="575"/>
      <c r="K3263" s="575"/>
    </row>
    <row r="3264" spans="1:11" x14ac:dyDescent="0.2">
      <c r="A3264" s="583"/>
      <c r="B3264" s="640"/>
      <c r="F3264" s="575"/>
      <c r="G3264" s="575"/>
      <c r="H3264" s="575"/>
      <c r="I3264" s="575"/>
      <c r="J3264" s="575"/>
      <c r="K3264" s="575"/>
    </row>
    <row r="3265" spans="1:11" x14ac:dyDescent="0.2">
      <c r="A3265" s="583"/>
      <c r="B3265" s="640"/>
      <c r="F3265" s="575"/>
      <c r="G3265" s="575"/>
      <c r="H3265" s="575"/>
      <c r="I3265" s="575"/>
      <c r="J3265" s="575"/>
      <c r="K3265" s="575"/>
    </row>
    <row r="3266" spans="1:11" x14ac:dyDescent="0.2">
      <c r="A3266" s="583"/>
      <c r="B3266" s="640"/>
      <c r="F3266" s="575"/>
      <c r="G3266" s="575"/>
      <c r="H3266" s="575"/>
      <c r="I3266" s="575"/>
      <c r="J3266" s="575"/>
      <c r="K3266" s="575"/>
    </row>
    <row r="3267" spans="1:11" x14ac:dyDescent="0.2">
      <c r="A3267" s="583"/>
      <c r="B3267" s="640"/>
      <c r="F3267" s="575"/>
      <c r="G3267" s="575"/>
      <c r="H3267" s="575"/>
      <c r="I3267" s="575"/>
      <c r="J3267" s="575"/>
      <c r="K3267" s="575"/>
    </row>
    <row r="3268" spans="1:11" x14ac:dyDescent="0.2">
      <c r="A3268" s="583"/>
      <c r="B3268" s="640"/>
      <c r="F3268" s="575"/>
      <c r="G3268" s="575"/>
      <c r="H3268" s="575"/>
      <c r="I3268" s="575"/>
      <c r="J3268" s="575"/>
      <c r="K3268" s="575"/>
    </row>
    <row r="3269" spans="1:11" x14ac:dyDescent="0.2">
      <c r="A3269" s="583"/>
      <c r="B3269" s="640"/>
      <c r="F3269" s="575"/>
      <c r="G3269" s="575"/>
      <c r="H3269" s="575"/>
      <c r="I3269" s="575"/>
      <c r="J3269" s="575"/>
      <c r="K3269" s="575"/>
    </row>
    <row r="3270" spans="1:11" x14ac:dyDescent="0.2">
      <c r="A3270" s="583"/>
      <c r="B3270" s="640"/>
      <c r="F3270" s="575"/>
      <c r="G3270" s="575"/>
      <c r="H3270" s="575"/>
      <c r="I3270" s="575"/>
      <c r="J3270" s="575"/>
      <c r="K3270" s="575"/>
    </row>
    <row r="3271" spans="1:11" x14ac:dyDescent="0.2">
      <c r="A3271" s="583"/>
      <c r="B3271" s="640"/>
      <c r="F3271" s="575"/>
      <c r="G3271" s="575"/>
      <c r="H3271" s="575"/>
      <c r="I3271" s="575"/>
      <c r="J3271" s="575"/>
      <c r="K3271" s="575"/>
    </row>
    <row r="3272" spans="1:11" x14ac:dyDescent="0.2">
      <c r="A3272" s="583"/>
      <c r="B3272" s="640"/>
      <c r="F3272" s="575"/>
      <c r="G3272" s="575"/>
      <c r="H3272" s="575"/>
      <c r="I3272" s="575"/>
      <c r="J3272" s="575"/>
      <c r="K3272" s="575"/>
    </row>
    <row r="3273" spans="1:11" x14ac:dyDescent="0.2">
      <c r="A3273" s="583"/>
      <c r="B3273" s="640"/>
      <c r="F3273" s="575"/>
      <c r="G3273" s="575"/>
      <c r="H3273" s="575"/>
      <c r="I3273" s="575"/>
      <c r="J3273" s="575"/>
      <c r="K3273" s="575"/>
    </row>
    <row r="3274" spans="1:11" x14ac:dyDescent="0.2">
      <c r="A3274" s="583"/>
      <c r="B3274" s="640"/>
      <c r="F3274" s="575"/>
      <c r="G3274" s="575"/>
      <c r="H3274" s="575"/>
      <c r="I3274" s="575"/>
      <c r="J3274" s="575"/>
      <c r="K3274" s="575"/>
    </row>
    <row r="3275" spans="1:11" x14ac:dyDescent="0.2">
      <c r="A3275" s="583"/>
      <c r="B3275" s="640"/>
      <c r="F3275" s="575"/>
      <c r="G3275" s="575"/>
      <c r="H3275" s="575"/>
      <c r="I3275" s="575"/>
      <c r="J3275" s="575"/>
      <c r="K3275" s="575"/>
    </row>
    <row r="3276" spans="1:11" x14ac:dyDescent="0.2">
      <c r="A3276" s="583"/>
      <c r="B3276" s="640"/>
      <c r="F3276" s="575"/>
      <c r="G3276" s="575"/>
      <c r="H3276" s="575"/>
      <c r="I3276" s="575"/>
      <c r="J3276" s="575"/>
      <c r="K3276" s="575"/>
    </row>
    <row r="3277" spans="1:11" x14ac:dyDescent="0.2">
      <c r="A3277" s="583"/>
      <c r="B3277" s="640"/>
      <c r="F3277" s="575"/>
      <c r="G3277" s="575"/>
      <c r="H3277" s="575"/>
      <c r="I3277" s="575"/>
      <c r="J3277" s="575"/>
      <c r="K3277" s="575"/>
    </row>
    <row r="3278" spans="1:11" x14ac:dyDescent="0.2">
      <c r="A3278" s="583"/>
      <c r="B3278" s="640"/>
      <c r="F3278" s="575"/>
      <c r="G3278" s="575"/>
      <c r="H3278" s="575"/>
      <c r="I3278" s="575"/>
      <c r="J3278" s="575"/>
      <c r="K3278" s="575"/>
    </row>
    <row r="3279" spans="1:11" x14ac:dyDescent="0.2">
      <c r="A3279" s="583"/>
      <c r="B3279" s="640"/>
      <c r="F3279" s="575"/>
      <c r="G3279" s="575"/>
      <c r="H3279" s="575"/>
      <c r="I3279" s="575"/>
      <c r="J3279" s="575"/>
      <c r="K3279" s="575"/>
    </row>
    <row r="3280" spans="1:11" x14ac:dyDescent="0.2">
      <c r="A3280" s="583"/>
      <c r="B3280" s="640"/>
      <c r="F3280" s="575"/>
      <c r="G3280" s="575"/>
      <c r="H3280" s="575"/>
      <c r="I3280" s="575"/>
      <c r="J3280" s="575"/>
      <c r="K3280" s="575"/>
    </row>
    <row r="3281" spans="1:11" x14ac:dyDescent="0.2">
      <c r="A3281" s="583"/>
      <c r="B3281" s="640"/>
      <c r="F3281" s="575"/>
      <c r="G3281" s="575"/>
      <c r="H3281" s="575"/>
      <c r="I3281" s="575"/>
      <c r="J3281" s="575"/>
      <c r="K3281" s="575"/>
    </row>
    <row r="3282" spans="1:11" x14ac:dyDescent="0.2">
      <c r="A3282" s="583"/>
      <c r="B3282" s="640"/>
      <c r="F3282" s="575"/>
      <c r="G3282" s="575"/>
      <c r="H3282" s="575"/>
      <c r="I3282" s="575"/>
      <c r="J3282" s="575"/>
      <c r="K3282" s="575"/>
    </row>
    <row r="3283" spans="1:11" x14ac:dyDescent="0.2">
      <c r="A3283" s="583"/>
      <c r="B3283" s="640"/>
      <c r="F3283" s="575"/>
      <c r="G3283" s="575"/>
      <c r="H3283" s="575"/>
      <c r="I3283" s="575"/>
      <c r="J3283" s="575"/>
      <c r="K3283" s="575"/>
    </row>
    <row r="3284" spans="1:11" x14ac:dyDescent="0.2">
      <c r="A3284" s="583"/>
      <c r="B3284" s="640"/>
      <c r="F3284" s="575"/>
      <c r="G3284" s="575"/>
      <c r="H3284" s="575"/>
      <c r="I3284" s="575"/>
      <c r="J3284" s="575"/>
      <c r="K3284" s="575"/>
    </row>
    <row r="3285" spans="1:11" x14ac:dyDescent="0.2">
      <c r="A3285" s="583"/>
      <c r="B3285" s="640"/>
      <c r="F3285" s="575"/>
      <c r="G3285" s="575"/>
      <c r="H3285" s="575"/>
      <c r="I3285" s="575"/>
      <c r="J3285" s="575"/>
      <c r="K3285" s="575"/>
    </row>
    <row r="3286" spans="1:11" x14ac:dyDescent="0.2">
      <c r="A3286" s="583"/>
      <c r="B3286" s="640"/>
      <c r="F3286" s="575"/>
      <c r="G3286" s="575"/>
      <c r="H3286" s="575"/>
      <c r="I3286" s="575"/>
      <c r="J3286" s="575"/>
      <c r="K3286" s="575"/>
    </row>
    <row r="3287" spans="1:11" x14ac:dyDescent="0.2">
      <c r="A3287" s="583"/>
      <c r="B3287" s="640"/>
      <c r="F3287" s="575"/>
      <c r="G3287" s="575"/>
      <c r="H3287" s="575"/>
      <c r="I3287" s="575"/>
      <c r="J3287" s="575"/>
      <c r="K3287" s="575"/>
    </row>
    <row r="3288" spans="1:11" x14ac:dyDescent="0.2">
      <c r="A3288" s="583"/>
      <c r="B3288" s="640"/>
      <c r="F3288" s="575"/>
      <c r="G3288" s="575"/>
      <c r="H3288" s="575"/>
      <c r="I3288" s="575"/>
      <c r="J3288" s="575"/>
      <c r="K3288" s="575"/>
    </row>
    <row r="3289" spans="1:11" x14ac:dyDescent="0.2">
      <c r="A3289" s="583"/>
      <c r="B3289" s="640"/>
      <c r="F3289" s="575"/>
      <c r="G3289" s="575"/>
      <c r="H3289" s="575"/>
      <c r="I3289" s="575"/>
      <c r="J3289" s="575"/>
      <c r="K3289" s="575"/>
    </row>
    <row r="3290" spans="1:11" x14ac:dyDescent="0.2">
      <c r="A3290" s="583"/>
      <c r="B3290" s="640"/>
      <c r="F3290" s="575"/>
      <c r="G3290" s="575"/>
      <c r="H3290" s="575"/>
      <c r="I3290" s="575"/>
      <c r="J3290" s="575"/>
      <c r="K3290" s="575"/>
    </row>
    <row r="3291" spans="1:11" x14ac:dyDescent="0.2">
      <c r="A3291" s="583"/>
      <c r="B3291" s="640"/>
      <c r="F3291" s="575"/>
      <c r="G3291" s="575"/>
      <c r="H3291" s="575"/>
      <c r="I3291" s="575"/>
      <c r="J3291" s="575"/>
      <c r="K3291" s="575"/>
    </row>
    <row r="3292" spans="1:11" x14ac:dyDescent="0.2">
      <c r="A3292" s="583"/>
      <c r="B3292" s="640"/>
      <c r="F3292" s="575"/>
      <c r="G3292" s="575"/>
      <c r="H3292" s="575"/>
      <c r="I3292" s="575"/>
      <c r="J3292" s="575"/>
      <c r="K3292" s="575"/>
    </row>
    <row r="3293" spans="1:11" x14ac:dyDescent="0.2">
      <c r="A3293" s="583"/>
      <c r="B3293" s="640"/>
      <c r="F3293" s="575"/>
      <c r="G3293" s="575"/>
      <c r="H3293" s="575"/>
      <c r="I3293" s="575"/>
      <c r="J3293" s="575"/>
      <c r="K3293" s="575"/>
    </row>
    <row r="3294" spans="1:11" x14ac:dyDescent="0.2">
      <c r="A3294" s="583"/>
      <c r="B3294" s="640"/>
      <c r="F3294" s="575"/>
      <c r="G3294" s="575"/>
      <c r="H3294" s="575"/>
      <c r="I3294" s="575"/>
      <c r="J3294" s="575"/>
      <c r="K3294" s="575"/>
    </row>
    <row r="3295" spans="1:11" x14ac:dyDescent="0.2">
      <c r="A3295" s="583"/>
      <c r="B3295" s="640"/>
      <c r="F3295" s="575"/>
      <c r="G3295" s="575"/>
      <c r="H3295" s="575"/>
      <c r="I3295" s="575"/>
      <c r="J3295" s="575"/>
      <c r="K3295" s="575"/>
    </row>
    <row r="3296" spans="1:11" x14ac:dyDescent="0.2">
      <c r="A3296" s="583"/>
      <c r="B3296" s="640"/>
      <c r="F3296" s="575"/>
      <c r="G3296" s="575"/>
      <c r="H3296" s="575"/>
      <c r="I3296" s="575"/>
      <c r="J3296" s="575"/>
      <c r="K3296" s="575"/>
    </row>
    <row r="3297" spans="1:11" x14ac:dyDescent="0.2">
      <c r="A3297" s="583"/>
      <c r="B3297" s="640"/>
      <c r="F3297" s="575"/>
      <c r="G3297" s="575"/>
      <c r="H3297" s="575"/>
      <c r="I3297" s="575"/>
      <c r="J3297" s="575"/>
      <c r="K3297" s="575"/>
    </row>
    <row r="3298" spans="1:11" x14ac:dyDescent="0.2">
      <c r="A3298" s="583"/>
      <c r="B3298" s="640"/>
      <c r="F3298" s="575"/>
      <c r="G3298" s="575"/>
      <c r="H3298" s="575"/>
      <c r="I3298" s="575"/>
      <c r="J3298" s="575"/>
      <c r="K3298" s="575"/>
    </row>
    <row r="3299" spans="1:11" x14ac:dyDescent="0.2">
      <c r="A3299" s="583"/>
      <c r="B3299" s="640"/>
      <c r="F3299" s="575"/>
      <c r="G3299" s="575"/>
      <c r="H3299" s="575"/>
      <c r="I3299" s="575"/>
      <c r="J3299" s="575"/>
      <c r="K3299" s="575"/>
    </row>
    <row r="3300" spans="1:11" x14ac:dyDescent="0.2">
      <c r="A3300" s="583"/>
      <c r="B3300" s="640"/>
      <c r="F3300" s="575"/>
      <c r="G3300" s="575"/>
      <c r="H3300" s="575"/>
      <c r="I3300" s="575"/>
      <c r="J3300" s="575"/>
      <c r="K3300" s="575"/>
    </row>
    <row r="3301" spans="1:11" x14ac:dyDescent="0.2">
      <c r="A3301" s="583"/>
      <c r="B3301" s="640"/>
      <c r="F3301" s="575"/>
      <c r="G3301" s="575"/>
      <c r="H3301" s="575"/>
      <c r="I3301" s="575"/>
      <c r="J3301" s="575"/>
      <c r="K3301" s="575"/>
    </row>
    <row r="3302" spans="1:11" x14ac:dyDescent="0.2">
      <c r="A3302" s="583"/>
      <c r="B3302" s="640"/>
      <c r="F3302" s="575"/>
      <c r="G3302" s="575"/>
      <c r="H3302" s="575"/>
      <c r="I3302" s="575"/>
      <c r="J3302" s="575"/>
      <c r="K3302" s="575"/>
    </row>
    <row r="3303" spans="1:11" x14ac:dyDescent="0.2">
      <c r="A3303" s="583"/>
      <c r="B3303" s="640"/>
      <c r="F3303" s="575"/>
      <c r="G3303" s="575"/>
      <c r="H3303" s="575"/>
      <c r="I3303" s="575"/>
      <c r="J3303" s="575"/>
      <c r="K3303" s="575"/>
    </row>
    <row r="3304" spans="1:11" x14ac:dyDescent="0.2">
      <c r="A3304" s="583"/>
      <c r="B3304" s="640"/>
      <c r="F3304" s="575"/>
      <c r="G3304" s="575"/>
      <c r="H3304" s="575"/>
      <c r="I3304" s="575"/>
      <c r="J3304" s="575"/>
      <c r="K3304" s="575"/>
    </row>
    <row r="3305" spans="1:11" x14ac:dyDescent="0.2">
      <c r="A3305" s="583"/>
      <c r="B3305" s="640"/>
      <c r="F3305" s="575"/>
      <c r="G3305" s="575"/>
      <c r="H3305" s="575"/>
      <c r="I3305" s="575"/>
      <c r="J3305" s="575"/>
      <c r="K3305" s="575"/>
    </row>
    <row r="3306" spans="1:11" x14ac:dyDescent="0.2">
      <c r="A3306" s="583"/>
      <c r="B3306" s="640"/>
      <c r="F3306" s="575"/>
      <c r="G3306" s="575"/>
      <c r="H3306" s="575"/>
      <c r="I3306" s="575"/>
      <c r="J3306" s="575"/>
      <c r="K3306" s="575"/>
    </row>
    <row r="3307" spans="1:11" x14ac:dyDescent="0.2">
      <c r="A3307" s="583"/>
      <c r="B3307" s="640"/>
      <c r="F3307" s="575"/>
      <c r="G3307" s="575"/>
      <c r="H3307" s="575"/>
      <c r="I3307" s="575"/>
      <c r="J3307" s="575"/>
      <c r="K3307" s="575"/>
    </row>
    <row r="3308" spans="1:11" x14ac:dyDescent="0.2">
      <c r="A3308" s="583"/>
      <c r="B3308" s="640"/>
      <c r="F3308" s="575"/>
      <c r="G3308" s="575"/>
      <c r="H3308" s="575"/>
      <c r="I3308" s="575"/>
      <c r="J3308" s="575"/>
      <c r="K3308" s="575"/>
    </row>
    <row r="3309" spans="1:11" x14ac:dyDescent="0.2">
      <c r="A3309" s="583"/>
      <c r="B3309" s="640"/>
      <c r="F3309" s="575"/>
      <c r="G3309" s="575"/>
      <c r="H3309" s="575"/>
      <c r="I3309" s="575"/>
      <c r="J3309" s="575"/>
      <c r="K3309" s="575"/>
    </row>
    <row r="3310" spans="1:11" x14ac:dyDescent="0.2">
      <c r="A3310" s="583"/>
      <c r="B3310" s="640"/>
      <c r="F3310" s="575"/>
      <c r="G3310" s="575"/>
      <c r="H3310" s="575"/>
      <c r="I3310" s="575"/>
      <c r="J3310" s="575"/>
      <c r="K3310" s="575"/>
    </row>
    <row r="3311" spans="1:11" x14ac:dyDescent="0.2">
      <c r="A3311" s="583"/>
      <c r="B3311" s="640"/>
      <c r="F3311" s="575"/>
      <c r="G3311" s="575"/>
      <c r="H3311" s="575"/>
      <c r="I3311" s="575"/>
      <c r="J3311" s="575"/>
      <c r="K3311" s="575"/>
    </row>
    <row r="3312" spans="1:11" x14ac:dyDescent="0.2">
      <c r="A3312" s="583"/>
      <c r="B3312" s="640"/>
      <c r="F3312" s="575"/>
      <c r="G3312" s="575"/>
      <c r="H3312" s="575"/>
      <c r="I3312" s="575"/>
      <c r="J3312" s="575"/>
      <c r="K3312" s="575"/>
    </row>
    <row r="3313" spans="1:11" x14ac:dyDescent="0.2">
      <c r="A3313" s="583"/>
      <c r="B3313" s="640"/>
      <c r="F3313" s="575"/>
      <c r="G3313" s="575"/>
      <c r="H3313" s="575"/>
      <c r="I3313" s="575"/>
      <c r="J3313" s="575"/>
      <c r="K3313" s="575"/>
    </row>
    <row r="3314" spans="1:11" x14ac:dyDescent="0.2">
      <c r="A3314" s="583"/>
      <c r="B3314" s="640"/>
      <c r="F3314" s="575"/>
      <c r="G3314" s="575"/>
      <c r="H3314" s="575"/>
      <c r="I3314" s="575"/>
      <c r="J3314" s="575"/>
      <c r="K3314" s="575"/>
    </row>
    <row r="3315" spans="1:11" x14ac:dyDescent="0.2">
      <c r="A3315" s="583"/>
      <c r="B3315" s="640"/>
      <c r="F3315" s="575"/>
      <c r="G3315" s="575"/>
      <c r="H3315" s="575"/>
      <c r="I3315" s="575"/>
      <c r="J3315" s="575"/>
      <c r="K3315" s="575"/>
    </row>
    <row r="3316" spans="1:11" x14ac:dyDescent="0.2">
      <c r="A3316" s="583"/>
      <c r="B3316" s="640"/>
      <c r="F3316" s="575"/>
      <c r="G3316" s="575"/>
      <c r="H3316" s="575"/>
      <c r="I3316" s="575"/>
      <c r="J3316" s="575"/>
      <c r="K3316" s="575"/>
    </row>
    <row r="3317" spans="1:11" x14ac:dyDescent="0.2">
      <c r="A3317" s="583"/>
      <c r="B3317" s="640"/>
      <c r="F3317" s="575"/>
      <c r="G3317" s="575"/>
      <c r="H3317" s="575"/>
      <c r="I3317" s="575"/>
      <c r="J3317" s="575"/>
      <c r="K3317" s="575"/>
    </row>
    <row r="3318" spans="1:11" x14ac:dyDescent="0.2">
      <c r="A3318" s="583"/>
      <c r="B3318" s="640"/>
      <c r="F3318" s="575"/>
      <c r="G3318" s="575"/>
      <c r="H3318" s="575"/>
      <c r="I3318" s="575"/>
      <c r="J3318" s="575"/>
      <c r="K3318" s="575"/>
    </row>
    <row r="3319" spans="1:11" x14ac:dyDescent="0.2">
      <c r="A3319" s="583"/>
      <c r="B3319" s="640"/>
      <c r="F3319" s="575"/>
      <c r="G3319" s="575"/>
      <c r="H3319" s="575"/>
      <c r="I3319" s="575"/>
      <c r="J3319" s="575"/>
      <c r="K3319" s="575"/>
    </row>
    <row r="3320" spans="1:11" x14ac:dyDescent="0.2">
      <c r="A3320" s="583"/>
      <c r="B3320" s="640"/>
      <c r="F3320" s="575"/>
      <c r="G3320" s="575"/>
      <c r="H3320" s="575"/>
      <c r="I3320" s="575"/>
      <c r="J3320" s="575"/>
      <c r="K3320" s="575"/>
    </row>
    <row r="3321" spans="1:11" x14ac:dyDescent="0.2">
      <c r="A3321" s="583"/>
      <c r="B3321" s="640"/>
      <c r="F3321" s="575"/>
      <c r="G3321" s="575"/>
      <c r="H3321" s="575"/>
      <c r="I3321" s="575"/>
      <c r="J3321" s="575"/>
      <c r="K3321" s="575"/>
    </row>
    <row r="3322" spans="1:11" x14ac:dyDescent="0.2">
      <c r="A3322" s="583"/>
      <c r="B3322" s="640"/>
      <c r="F3322" s="575"/>
      <c r="G3322" s="575"/>
      <c r="H3322" s="575"/>
      <c r="I3322" s="575"/>
      <c r="J3322" s="575"/>
      <c r="K3322" s="575"/>
    </row>
    <row r="3323" spans="1:11" x14ac:dyDescent="0.2">
      <c r="A3323" s="583"/>
      <c r="B3323" s="640"/>
      <c r="F3323" s="575"/>
      <c r="G3323" s="575"/>
      <c r="H3323" s="575"/>
      <c r="I3323" s="575"/>
      <c r="J3323" s="575"/>
      <c r="K3323" s="575"/>
    </row>
    <row r="3324" spans="1:11" x14ac:dyDescent="0.2">
      <c r="A3324" s="583"/>
      <c r="B3324" s="640"/>
      <c r="F3324" s="575"/>
      <c r="G3324" s="575"/>
      <c r="H3324" s="575"/>
      <c r="I3324" s="575"/>
      <c r="J3324" s="575"/>
      <c r="K3324" s="575"/>
    </row>
    <row r="3325" spans="1:11" x14ac:dyDescent="0.2">
      <c r="A3325" s="583"/>
      <c r="B3325" s="640"/>
      <c r="F3325" s="575"/>
      <c r="G3325" s="575"/>
      <c r="H3325" s="575"/>
      <c r="I3325" s="575"/>
      <c r="J3325" s="575"/>
      <c r="K3325" s="575"/>
    </row>
    <row r="3326" spans="1:11" x14ac:dyDescent="0.2">
      <c r="A3326" s="583"/>
      <c r="B3326" s="640"/>
      <c r="F3326" s="575"/>
      <c r="G3326" s="575"/>
      <c r="H3326" s="575"/>
      <c r="I3326" s="575"/>
      <c r="J3326" s="575"/>
      <c r="K3326" s="575"/>
    </row>
    <row r="3327" spans="1:11" x14ac:dyDescent="0.2">
      <c r="A3327" s="583"/>
      <c r="B3327" s="640"/>
      <c r="F3327" s="575"/>
      <c r="G3327" s="575"/>
      <c r="H3327" s="575"/>
      <c r="I3327" s="575"/>
      <c r="J3327" s="575"/>
      <c r="K3327" s="575"/>
    </row>
    <row r="3328" spans="1:11" x14ac:dyDescent="0.2">
      <c r="A3328" s="583"/>
      <c r="B3328" s="640"/>
      <c r="F3328" s="575"/>
      <c r="G3328" s="575"/>
      <c r="H3328" s="575"/>
      <c r="I3328" s="575"/>
      <c r="J3328" s="575"/>
      <c r="K3328" s="575"/>
    </row>
    <row r="3329" spans="1:11" x14ac:dyDescent="0.2">
      <c r="A3329" s="583"/>
      <c r="B3329" s="640"/>
      <c r="F3329" s="575"/>
      <c r="G3329" s="575"/>
      <c r="H3329" s="575"/>
      <c r="I3329" s="575"/>
      <c r="J3329" s="575"/>
      <c r="K3329" s="575"/>
    </row>
    <row r="3330" spans="1:11" x14ac:dyDescent="0.2">
      <c r="A3330" s="583"/>
      <c r="B3330" s="640"/>
      <c r="F3330" s="575"/>
      <c r="G3330" s="575"/>
      <c r="H3330" s="575"/>
      <c r="I3330" s="575"/>
      <c r="J3330" s="575"/>
      <c r="K3330" s="575"/>
    </row>
    <row r="3331" spans="1:11" x14ac:dyDescent="0.2">
      <c r="A3331" s="583"/>
      <c r="B3331" s="640"/>
      <c r="F3331" s="575"/>
      <c r="G3331" s="575"/>
      <c r="H3331" s="575"/>
      <c r="I3331" s="575"/>
      <c r="J3331" s="575"/>
      <c r="K3331" s="575"/>
    </row>
    <row r="3332" spans="1:11" x14ac:dyDescent="0.2">
      <c r="A3332" s="583"/>
      <c r="B3332" s="640"/>
      <c r="F3332" s="575"/>
      <c r="G3332" s="575"/>
      <c r="H3332" s="575"/>
      <c r="I3332" s="575"/>
      <c r="J3332" s="575"/>
      <c r="K3332" s="575"/>
    </row>
    <row r="3333" spans="1:11" x14ac:dyDescent="0.2">
      <c r="A3333" s="583"/>
      <c r="B3333" s="640"/>
      <c r="F3333" s="575"/>
      <c r="G3333" s="575"/>
      <c r="H3333" s="575"/>
      <c r="I3333" s="575"/>
      <c r="J3333" s="575"/>
      <c r="K3333" s="575"/>
    </row>
    <row r="3334" spans="1:11" x14ac:dyDescent="0.2">
      <c r="A3334" s="583"/>
      <c r="B3334" s="640"/>
      <c r="F3334" s="575"/>
      <c r="G3334" s="575"/>
      <c r="H3334" s="575"/>
      <c r="I3334" s="575"/>
      <c r="J3334" s="575"/>
      <c r="K3334" s="575"/>
    </row>
    <row r="3335" spans="1:11" x14ac:dyDescent="0.2">
      <c r="A3335" s="583"/>
      <c r="B3335" s="640"/>
      <c r="F3335" s="575"/>
      <c r="G3335" s="575"/>
      <c r="H3335" s="575"/>
      <c r="I3335" s="575"/>
      <c r="J3335" s="575"/>
      <c r="K3335" s="575"/>
    </row>
    <row r="3336" spans="1:11" x14ac:dyDescent="0.2">
      <c r="A3336" s="583"/>
      <c r="B3336" s="640"/>
      <c r="F3336" s="575"/>
      <c r="G3336" s="575"/>
      <c r="H3336" s="575"/>
      <c r="I3336" s="575"/>
      <c r="J3336" s="575"/>
      <c r="K3336" s="575"/>
    </row>
    <row r="3337" spans="1:11" x14ac:dyDescent="0.2">
      <c r="A3337" s="583"/>
      <c r="B3337" s="640"/>
      <c r="F3337" s="575"/>
      <c r="G3337" s="575"/>
      <c r="H3337" s="575"/>
      <c r="I3337" s="575"/>
      <c r="J3337" s="575"/>
      <c r="K3337" s="575"/>
    </row>
    <row r="3338" spans="1:11" x14ac:dyDescent="0.2">
      <c r="A3338" s="583"/>
      <c r="B3338" s="640"/>
      <c r="F3338" s="575"/>
      <c r="G3338" s="575"/>
      <c r="H3338" s="575"/>
      <c r="I3338" s="575"/>
      <c r="J3338" s="575"/>
      <c r="K3338" s="575"/>
    </row>
    <row r="3339" spans="1:11" x14ac:dyDescent="0.2">
      <c r="A3339" s="583"/>
      <c r="B3339" s="640"/>
      <c r="F3339" s="575"/>
      <c r="G3339" s="575"/>
      <c r="H3339" s="575"/>
      <c r="I3339" s="575"/>
      <c r="J3339" s="575"/>
      <c r="K3339" s="575"/>
    </row>
    <row r="3340" spans="1:11" x14ac:dyDescent="0.2">
      <c r="A3340" s="583"/>
      <c r="B3340" s="640"/>
      <c r="F3340" s="575"/>
      <c r="G3340" s="575"/>
      <c r="H3340" s="575"/>
      <c r="I3340" s="575"/>
      <c r="J3340" s="575"/>
      <c r="K3340" s="575"/>
    </row>
    <row r="3341" spans="1:11" x14ac:dyDescent="0.2">
      <c r="A3341" s="583"/>
      <c r="B3341" s="640"/>
      <c r="F3341" s="575"/>
      <c r="G3341" s="575"/>
      <c r="H3341" s="575"/>
      <c r="I3341" s="575"/>
      <c r="J3341" s="575"/>
      <c r="K3341" s="575"/>
    </row>
    <row r="3342" spans="1:11" x14ac:dyDescent="0.2">
      <c r="A3342" s="583"/>
      <c r="B3342" s="640"/>
      <c r="F3342" s="575"/>
      <c r="G3342" s="575"/>
      <c r="H3342" s="575"/>
      <c r="I3342" s="575"/>
      <c r="J3342" s="575"/>
      <c r="K3342" s="575"/>
    </row>
    <row r="3343" spans="1:11" x14ac:dyDescent="0.2">
      <c r="A3343" s="583"/>
      <c r="B3343" s="640"/>
      <c r="F3343" s="575"/>
      <c r="G3343" s="575"/>
      <c r="H3343" s="575"/>
      <c r="I3343" s="575"/>
      <c r="J3343" s="575"/>
      <c r="K3343" s="575"/>
    </row>
    <row r="3344" spans="1:11" x14ac:dyDescent="0.2">
      <c r="A3344" s="583"/>
      <c r="B3344" s="640"/>
      <c r="F3344" s="575"/>
      <c r="G3344" s="575"/>
      <c r="H3344" s="575"/>
      <c r="I3344" s="575"/>
      <c r="J3344" s="575"/>
      <c r="K3344" s="575"/>
    </row>
    <row r="3345" spans="1:11" x14ac:dyDescent="0.2">
      <c r="A3345" s="583"/>
      <c r="B3345" s="640"/>
      <c r="F3345" s="575"/>
      <c r="G3345" s="575"/>
      <c r="H3345" s="575"/>
      <c r="I3345" s="575"/>
      <c r="J3345" s="575"/>
      <c r="K3345" s="575"/>
    </row>
    <row r="3346" spans="1:11" x14ac:dyDescent="0.2">
      <c r="A3346" s="583"/>
      <c r="B3346" s="640"/>
      <c r="F3346" s="575"/>
      <c r="G3346" s="575"/>
      <c r="H3346" s="575"/>
      <c r="I3346" s="575"/>
      <c r="J3346" s="575"/>
      <c r="K3346" s="575"/>
    </row>
    <row r="3347" spans="1:11" x14ac:dyDescent="0.2">
      <c r="A3347" s="583"/>
      <c r="B3347" s="640"/>
      <c r="F3347" s="575"/>
      <c r="G3347" s="575"/>
      <c r="H3347" s="575"/>
      <c r="I3347" s="575"/>
      <c r="J3347" s="575"/>
      <c r="K3347" s="575"/>
    </row>
    <row r="3348" spans="1:11" x14ac:dyDescent="0.2">
      <c r="A3348" s="583"/>
      <c r="B3348" s="640"/>
      <c r="F3348" s="575"/>
      <c r="G3348" s="575"/>
      <c r="H3348" s="575"/>
      <c r="I3348" s="575"/>
      <c r="J3348" s="575"/>
      <c r="K3348" s="575"/>
    </row>
    <row r="3349" spans="1:11" x14ac:dyDescent="0.2">
      <c r="A3349" s="583"/>
      <c r="B3349" s="640"/>
      <c r="F3349" s="575"/>
      <c r="G3349" s="575"/>
      <c r="H3349" s="575"/>
      <c r="I3349" s="575"/>
      <c r="J3349" s="575"/>
      <c r="K3349" s="575"/>
    </row>
    <row r="3350" spans="1:11" x14ac:dyDescent="0.2">
      <c r="A3350" s="583"/>
      <c r="B3350" s="640"/>
      <c r="F3350" s="575"/>
      <c r="G3350" s="575"/>
      <c r="H3350" s="575"/>
      <c r="I3350" s="575"/>
      <c r="J3350" s="575"/>
      <c r="K3350" s="575"/>
    </row>
    <row r="3351" spans="1:11" x14ac:dyDescent="0.2">
      <c r="A3351" s="583"/>
      <c r="B3351" s="640"/>
      <c r="F3351" s="575"/>
      <c r="G3351" s="575"/>
      <c r="H3351" s="575"/>
      <c r="I3351" s="575"/>
      <c r="J3351" s="575"/>
      <c r="K3351" s="575"/>
    </row>
    <row r="3352" spans="1:11" x14ac:dyDescent="0.2">
      <c r="A3352" s="583"/>
      <c r="B3352" s="640"/>
      <c r="F3352" s="575"/>
      <c r="G3352" s="575"/>
      <c r="H3352" s="575"/>
      <c r="I3352" s="575"/>
      <c r="J3352" s="575"/>
      <c r="K3352" s="575"/>
    </row>
    <row r="3353" spans="1:11" x14ac:dyDescent="0.2">
      <c r="A3353" s="583"/>
      <c r="B3353" s="640"/>
      <c r="F3353" s="575"/>
      <c r="G3353" s="575"/>
      <c r="H3353" s="575"/>
      <c r="I3353" s="575"/>
      <c r="J3353" s="575"/>
      <c r="K3353" s="575"/>
    </row>
    <row r="3354" spans="1:11" x14ac:dyDescent="0.2">
      <c r="A3354" s="583"/>
      <c r="B3354" s="640"/>
      <c r="F3354" s="575"/>
      <c r="G3354" s="575"/>
      <c r="H3354" s="575"/>
      <c r="I3354" s="575"/>
      <c r="J3354" s="575"/>
      <c r="K3354" s="575"/>
    </row>
    <row r="3355" spans="1:11" x14ac:dyDescent="0.2">
      <c r="A3355" s="583"/>
      <c r="B3355" s="640"/>
      <c r="F3355" s="575"/>
      <c r="G3355" s="575"/>
      <c r="H3355" s="575"/>
      <c r="I3355" s="575"/>
      <c r="J3355" s="575"/>
      <c r="K3355" s="575"/>
    </row>
    <row r="3356" spans="1:11" x14ac:dyDescent="0.2">
      <c r="A3356" s="583"/>
      <c r="B3356" s="640"/>
      <c r="F3356" s="575"/>
      <c r="G3356" s="575"/>
      <c r="H3356" s="575"/>
      <c r="I3356" s="575"/>
      <c r="J3356" s="575"/>
      <c r="K3356" s="575"/>
    </row>
    <row r="3357" spans="1:11" x14ac:dyDescent="0.2">
      <c r="A3357" s="583"/>
      <c r="B3357" s="640"/>
      <c r="F3357" s="575"/>
      <c r="G3357" s="575"/>
      <c r="H3357" s="575"/>
      <c r="I3357" s="575"/>
      <c r="J3357" s="575"/>
      <c r="K3357" s="575"/>
    </row>
    <row r="3358" spans="1:11" x14ac:dyDescent="0.2">
      <c r="A3358" s="583"/>
      <c r="B3358" s="640"/>
      <c r="F3358" s="575"/>
      <c r="G3358" s="575"/>
      <c r="H3358" s="575"/>
      <c r="I3358" s="575"/>
      <c r="J3358" s="575"/>
      <c r="K3358" s="575"/>
    </row>
    <row r="3359" spans="1:11" x14ac:dyDescent="0.2">
      <c r="A3359" s="583"/>
      <c r="B3359" s="640"/>
      <c r="F3359" s="575"/>
      <c r="G3359" s="575"/>
      <c r="H3359" s="575"/>
      <c r="I3359" s="575"/>
      <c r="J3359" s="575"/>
      <c r="K3359" s="575"/>
    </row>
    <row r="3360" spans="1:11" x14ac:dyDescent="0.2">
      <c r="A3360" s="583"/>
      <c r="B3360" s="640"/>
      <c r="F3360" s="575"/>
      <c r="G3360" s="575"/>
      <c r="H3360" s="575"/>
      <c r="I3360" s="575"/>
      <c r="J3360" s="575"/>
      <c r="K3360" s="575"/>
    </row>
    <row r="3361" spans="1:11" x14ac:dyDescent="0.2">
      <c r="A3361" s="583"/>
      <c r="B3361" s="640"/>
      <c r="F3361" s="575"/>
      <c r="G3361" s="575"/>
      <c r="H3361" s="575"/>
      <c r="I3361" s="575"/>
      <c r="J3361" s="575"/>
      <c r="K3361" s="575"/>
    </row>
    <row r="3362" spans="1:11" x14ac:dyDescent="0.2">
      <c r="A3362" s="583"/>
      <c r="B3362" s="640"/>
      <c r="F3362" s="575"/>
      <c r="G3362" s="575"/>
      <c r="H3362" s="575"/>
      <c r="I3362" s="575"/>
      <c r="J3362" s="575"/>
      <c r="K3362" s="575"/>
    </row>
    <row r="3363" spans="1:11" x14ac:dyDescent="0.2">
      <c r="A3363" s="583"/>
      <c r="B3363" s="640"/>
      <c r="F3363" s="575"/>
      <c r="G3363" s="575"/>
      <c r="H3363" s="575"/>
      <c r="I3363" s="575"/>
      <c r="J3363" s="575"/>
      <c r="K3363" s="575"/>
    </row>
    <row r="3364" spans="1:11" x14ac:dyDescent="0.2">
      <c r="A3364" s="583"/>
      <c r="B3364" s="640"/>
      <c r="F3364" s="575"/>
      <c r="G3364" s="575"/>
      <c r="H3364" s="575"/>
      <c r="I3364" s="575"/>
      <c r="J3364" s="575"/>
      <c r="K3364" s="575"/>
    </row>
    <row r="3365" spans="1:11" x14ac:dyDescent="0.2">
      <c r="A3365" s="583"/>
      <c r="B3365" s="640"/>
      <c r="F3365" s="575"/>
      <c r="G3365" s="575"/>
      <c r="H3365" s="575"/>
      <c r="I3365" s="575"/>
      <c r="J3365" s="575"/>
      <c r="K3365" s="575"/>
    </row>
    <row r="3366" spans="1:11" x14ac:dyDescent="0.2">
      <c r="A3366" s="583"/>
      <c r="B3366" s="640"/>
      <c r="F3366" s="575"/>
      <c r="G3366" s="575"/>
      <c r="H3366" s="575"/>
      <c r="I3366" s="575"/>
      <c r="J3366" s="575"/>
      <c r="K3366" s="575"/>
    </row>
    <row r="3367" spans="1:11" x14ac:dyDescent="0.2">
      <c r="A3367" s="583"/>
      <c r="B3367" s="640"/>
      <c r="F3367" s="575"/>
      <c r="G3367" s="575"/>
      <c r="H3367" s="575"/>
      <c r="I3367" s="575"/>
      <c r="J3367" s="575"/>
      <c r="K3367" s="575"/>
    </row>
    <row r="3368" spans="1:11" x14ac:dyDescent="0.2">
      <c r="A3368" s="583"/>
      <c r="B3368" s="640"/>
      <c r="F3368" s="575"/>
      <c r="G3368" s="575"/>
      <c r="H3368" s="575"/>
      <c r="I3368" s="575"/>
      <c r="J3368" s="575"/>
      <c r="K3368" s="575"/>
    </row>
    <row r="3369" spans="1:11" x14ac:dyDescent="0.2">
      <c r="A3369" s="583"/>
      <c r="B3369" s="640"/>
      <c r="F3369" s="575"/>
      <c r="G3369" s="575"/>
      <c r="H3369" s="575"/>
      <c r="I3369" s="575"/>
      <c r="J3369" s="575"/>
      <c r="K3369" s="575"/>
    </row>
    <row r="3370" spans="1:11" x14ac:dyDescent="0.2">
      <c r="A3370" s="583"/>
      <c r="B3370" s="640"/>
      <c r="F3370" s="575"/>
      <c r="G3370" s="575"/>
      <c r="H3370" s="575"/>
      <c r="I3370" s="575"/>
      <c r="J3370" s="575"/>
      <c r="K3370" s="575"/>
    </row>
    <row r="3371" spans="1:11" x14ac:dyDescent="0.2">
      <c r="A3371" s="583"/>
      <c r="B3371" s="640"/>
      <c r="F3371" s="575"/>
      <c r="G3371" s="575"/>
      <c r="H3371" s="575"/>
      <c r="I3371" s="575"/>
      <c r="J3371" s="575"/>
      <c r="K3371" s="575"/>
    </row>
    <row r="3372" spans="1:11" x14ac:dyDescent="0.2">
      <c r="A3372" s="583"/>
      <c r="B3372" s="640"/>
      <c r="F3372" s="575"/>
      <c r="G3372" s="575"/>
      <c r="H3372" s="575"/>
      <c r="I3372" s="575"/>
      <c r="J3372" s="575"/>
      <c r="K3372" s="575"/>
    </row>
    <row r="3373" spans="1:11" x14ac:dyDescent="0.2">
      <c r="A3373" s="583"/>
      <c r="B3373" s="640"/>
      <c r="F3373" s="575"/>
      <c r="G3373" s="575"/>
      <c r="H3373" s="575"/>
      <c r="I3373" s="575"/>
      <c r="J3373" s="575"/>
      <c r="K3373" s="575"/>
    </row>
    <row r="3374" spans="1:11" x14ac:dyDescent="0.2">
      <c r="A3374" s="583"/>
      <c r="B3374" s="640"/>
      <c r="F3374" s="575"/>
      <c r="G3374" s="575"/>
      <c r="H3374" s="575"/>
      <c r="I3374" s="575"/>
      <c r="J3374" s="575"/>
      <c r="K3374" s="575"/>
    </row>
    <row r="3375" spans="1:11" x14ac:dyDescent="0.2">
      <c r="A3375" s="583"/>
      <c r="B3375" s="640"/>
      <c r="F3375" s="575"/>
      <c r="G3375" s="575"/>
      <c r="H3375" s="575"/>
      <c r="I3375" s="575"/>
      <c r="J3375" s="575"/>
      <c r="K3375" s="575"/>
    </row>
    <row r="3376" spans="1:11" x14ac:dyDescent="0.2">
      <c r="A3376" s="583"/>
      <c r="B3376" s="640"/>
      <c r="F3376" s="575"/>
      <c r="G3376" s="575"/>
      <c r="H3376" s="575"/>
      <c r="I3376" s="575"/>
      <c r="J3376" s="575"/>
      <c r="K3376" s="575"/>
    </row>
    <row r="3377" spans="1:11" x14ac:dyDescent="0.2">
      <c r="A3377" s="583"/>
      <c r="B3377" s="640"/>
      <c r="F3377" s="575"/>
      <c r="G3377" s="575"/>
      <c r="H3377" s="575"/>
      <c r="I3377" s="575"/>
      <c r="J3377" s="575"/>
      <c r="K3377" s="575"/>
    </row>
    <row r="3378" spans="1:11" x14ac:dyDescent="0.2">
      <c r="A3378" s="583"/>
      <c r="B3378" s="640"/>
      <c r="F3378" s="575"/>
      <c r="G3378" s="575"/>
      <c r="H3378" s="575"/>
      <c r="I3378" s="575"/>
      <c r="J3378" s="575"/>
      <c r="K3378" s="575"/>
    </row>
    <row r="3379" spans="1:11" x14ac:dyDescent="0.2">
      <c r="A3379" s="583"/>
      <c r="B3379" s="640"/>
      <c r="F3379" s="575"/>
      <c r="G3379" s="575"/>
      <c r="H3379" s="575"/>
      <c r="I3379" s="575"/>
      <c r="J3379" s="575"/>
      <c r="K3379" s="575"/>
    </row>
    <row r="3380" spans="1:11" x14ac:dyDescent="0.2">
      <c r="A3380" s="583"/>
      <c r="B3380" s="640"/>
      <c r="F3380" s="575"/>
      <c r="G3380" s="575"/>
      <c r="H3380" s="575"/>
      <c r="I3380" s="575"/>
      <c r="J3380" s="575"/>
      <c r="K3380" s="575"/>
    </row>
    <row r="3381" spans="1:11" x14ac:dyDescent="0.2">
      <c r="A3381" s="583"/>
      <c r="B3381" s="640"/>
      <c r="F3381" s="575"/>
      <c r="G3381" s="575"/>
      <c r="H3381" s="575"/>
      <c r="I3381" s="575"/>
      <c r="J3381" s="575"/>
      <c r="K3381" s="575"/>
    </row>
    <row r="3382" spans="1:11" x14ac:dyDescent="0.2">
      <c r="A3382" s="583"/>
      <c r="B3382" s="640"/>
      <c r="F3382" s="575"/>
      <c r="G3382" s="575"/>
      <c r="H3382" s="575"/>
      <c r="I3382" s="575"/>
      <c r="J3382" s="575"/>
      <c r="K3382" s="575"/>
    </row>
    <row r="3383" spans="1:11" x14ac:dyDescent="0.2">
      <c r="A3383" s="583"/>
      <c r="B3383" s="640"/>
      <c r="F3383" s="575"/>
      <c r="G3383" s="575"/>
      <c r="H3383" s="575"/>
      <c r="I3383" s="575"/>
      <c r="J3383" s="575"/>
      <c r="K3383" s="575"/>
    </row>
    <row r="3384" spans="1:11" x14ac:dyDescent="0.2">
      <c r="A3384" s="583"/>
      <c r="B3384" s="640"/>
      <c r="F3384" s="575"/>
      <c r="G3384" s="575"/>
      <c r="H3384" s="575"/>
      <c r="I3384" s="575"/>
      <c r="J3384" s="575"/>
      <c r="K3384" s="575"/>
    </row>
    <row r="3385" spans="1:11" x14ac:dyDescent="0.2">
      <c r="A3385" s="583"/>
      <c r="B3385" s="640"/>
      <c r="F3385" s="575"/>
      <c r="G3385" s="575"/>
      <c r="H3385" s="575"/>
      <c r="I3385" s="575"/>
      <c r="J3385" s="575"/>
      <c r="K3385" s="575"/>
    </row>
    <row r="3386" spans="1:11" x14ac:dyDescent="0.2">
      <c r="A3386" s="583"/>
      <c r="B3386" s="640"/>
      <c r="F3386" s="575"/>
      <c r="G3386" s="575"/>
      <c r="H3386" s="575"/>
      <c r="I3386" s="575"/>
      <c r="J3386" s="575"/>
      <c r="K3386" s="575"/>
    </row>
    <row r="3387" spans="1:11" x14ac:dyDescent="0.2">
      <c r="A3387" s="583"/>
      <c r="B3387" s="640"/>
      <c r="F3387" s="575"/>
      <c r="G3387" s="575"/>
      <c r="H3387" s="575"/>
      <c r="I3387" s="575"/>
      <c r="J3387" s="575"/>
      <c r="K3387" s="575"/>
    </row>
    <row r="3388" spans="1:11" x14ac:dyDescent="0.2">
      <c r="A3388" s="583"/>
      <c r="B3388" s="640"/>
      <c r="F3388" s="575"/>
      <c r="G3388" s="575"/>
      <c r="H3388" s="575"/>
      <c r="I3388" s="575"/>
      <c r="J3388" s="575"/>
      <c r="K3388" s="575"/>
    </row>
    <row r="3389" spans="1:11" x14ac:dyDescent="0.2">
      <c r="A3389" s="583"/>
      <c r="B3389" s="640"/>
      <c r="F3389" s="575"/>
      <c r="G3389" s="575"/>
      <c r="H3389" s="575"/>
      <c r="I3389" s="575"/>
      <c r="J3389" s="575"/>
      <c r="K3389" s="575"/>
    </row>
    <row r="3390" spans="1:11" x14ac:dyDescent="0.2">
      <c r="A3390" s="583"/>
      <c r="B3390" s="640"/>
      <c r="F3390" s="575"/>
      <c r="G3390" s="575"/>
      <c r="H3390" s="575"/>
      <c r="I3390" s="575"/>
      <c r="J3390" s="575"/>
      <c r="K3390" s="575"/>
    </row>
    <row r="3391" spans="1:11" x14ac:dyDescent="0.2">
      <c r="A3391" s="583"/>
      <c r="B3391" s="640"/>
      <c r="F3391" s="575"/>
      <c r="G3391" s="575"/>
      <c r="H3391" s="575"/>
      <c r="I3391" s="575"/>
      <c r="J3391" s="575"/>
      <c r="K3391" s="575"/>
    </row>
    <row r="3392" spans="1:11" x14ac:dyDescent="0.2">
      <c r="A3392" s="583"/>
      <c r="B3392" s="640"/>
      <c r="F3392" s="575"/>
      <c r="G3392" s="575"/>
      <c r="H3392" s="575"/>
      <c r="I3392" s="575"/>
      <c r="J3392" s="575"/>
      <c r="K3392" s="575"/>
    </row>
    <row r="3393" spans="1:11" x14ac:dyDescent="0.2">
      <c r="A3393" s="583"/>
      <c r="B3393" s="640"/>
      <c r="F3393" s="575"/>
      <c r="G3393" s="575"/>
      <c r="H3393" s="575"/>
      <c r="I3393" s="575"/>
      <c r="J3393" s="575"/>
      <c r="K3393" s="575"/>
    </row>
    <row r="3394" spans="1:11" x14ac:dyDescent="0.2">
      <c r="A3394" s="583"/>
      <c r="B3394" s="640"/>
      <c r="F3394" s="575"/>
      <c r="G3394" s="575"/>
      <c r="H3394" s="575"/>
      <c r="I3394" s="575"/>
      <c r="J3394" s="575"/>
      <c r="K3394" s="575"/>
    </row>
    <row r="3395" spans="1:11" x14ac:dyDescent="0.2">
      <c r="A3395" s="583"/>
      <c r="B3395" s="640"/>
      <c r="F3395" s="575"/>
      <c r="G3395" s="575"/>
      <c r="H3395" s="575"/>
      <c r="I3395" s="575"/>
      <c r="J3395" s="575"/>
      <c r="K3395" s="575"/>
    </row>
    <row r="3396" spans="1:11" x14ac:dyDescent="0.2">
      <c r="A3396" s="583"/>
      <c r="B3396" s="640"/>
      <c r="F3396" s="575"/>
      <c r="G3396" s="575"/>
      <c r="H3396" s="575"/>
      <c r="I3396" s="575"/>
      <c r="J3396" s="575"/>
      <c r="K3396" s="575"/>
    </row>
    <row r="3397" spans="1:11" x14ac:dyDescent="0.2">
      <c r="A3397" s="583"/>
      <c r="B3397" s="640"/>
      <c r="F3397" s="575"/>
      <c r="G3397" s="575"/>
      <c r="H3397" s="575"/>
      <c r="I3397" s="575"/>
      <c r="J3397" s="575"/>
      <c r="K3397" s="575"/>
    </row>
    <row r="3398" spans="1:11" x14ac:dyDescent="0.2">
      <c r="A3398" s="583"/>
      <c r="B3398" s="640"/>
      <c r="F3398" s="575"/>
      <c r="G3398" s="575"/>
      <c r="H3398" s="575"/>
      <c r="I3398" s="575"/>
      <c r="J3398" s="575"/>
      <c r="K3398" s="575"/>
    </row>
    <row r="3399" spans="1:11" x14ac:dyDescent="0.2">
      <c r="A3399" s="583"/>
      <c r="B3399" s="640"/>
      <c r="F3399" s="575"/>
      <c r="G3399" s="575"/>
      <c r="H3399" s="575"/>
      <c r="I3399" s="575"/>
      <c r="J3399" s="575"/>
      <c r="K3399" s="575"/>
    </row>
    <row r="3400" spans="1:11" x14ac:dyDescent="0.2">
      <c r="A3400" s="583"/>
      <c r="B3400" s="640"/>
      <c r="F3400" s="575"/>
      <c r="G3400" s="575"/>
      <c r="H3400" s="575"/>
      <c r="I3400" s="575"/>
      <c r="J3400" s="575"/>
      <c r="K3400" s="575"/>
    </row>
    <row r="3401" spans="1:11" x14ac:dyDescent="0.2">
      <c r="A3401" s="583"/>
      <c r="B3401" s="640"/>
      <c r="F3401" s="575"/>
      <c r="G3401" s="575"/>
      <c r="H3401" s="575"/>
      <c r="I3401" s="575"/>
      <c r="J3401" s="575"/>
      <c r="K3401" s="575"/>
    </row>
    <row r="3402" spans="1:11" x14ac:dyDescent="0.2">
      <c r="A3402" s="583"/>
      <c r="B3402" s="640"/>
      <c r="F3402" s="575"/>
      <c r="G3402" s="575"/>
      <c r="H3402" s="575"/>
      <c r="I3402" s="575"/>
      <c r="J3402" s="575"/>
      <c r="K3402" s="575"/>
    </row>
    <row r="3403" spans="1:11" x14ac:dyDescent="0.2">
      <c r="A3403" s="583"/>
      <c r="B3403" s="640"/>
      <c r="F3403" s="575"/>
      <c r="G3403" s="575"/>
      <c r="H3403" s="575"/>
      <c r="I3403" s="575"/>
      <c r="J3403" s="575"/>
      <c r="K3403" s="575"/>
    </row>
    <row r="3404" spans="1:11" x14ac:dyDescent="0.2">
      <c r="A3404" s="583"/>
      <c r="B3404" s="640"/>
      <c r="F3404" s="575"/>
      <c r="G3404" s="575"/>
      <c r="H3404" s="575"/>
      <c r="I3404" s="575"/>
      <c r="J3404" s="575"/>
      <c r="K3404" s="575"/>
    </row>
    <row r="3405" spans="1:11" x14ac:dyDescent="0.2">
      <c r="A3405" s="583"/>
      <c r="B3405" s="640"/>
      <c r="F3405" s="575"/>
      <c r="G3405" s="575"/>
      <c r="H3405" s="575"/>
      <c r="I3405" s="575"/>
      <c r="J3405" s="575"/>
      <c r="K3405" s="575"/>
    </row>
    <row r="3406" spans="1:11" x14ac:dyDescent="0.2">
      <c r="A3406" s="583"/>
      <c r="B3406" s="640"/>
      <c r="F3406" s="575"/>
      <c r="G3406" s="575"/>
      <c r="H3406" s="575"/>
      <c r="I3406" s="575"/>
      <c r="J3406" s="575"/>
      <c r="K3406" s="575"/>
    </row>
    <row r="3407" spans="1:11" x14ac:dyDescent="0.2">
      <c r="A3407" s="583"/>
      <c r="B3407" s="640"/>
      <c r="F3407" s="575"/>
      <c r="G3407" s="575"/>
      <c r="H3407" s="575"/>
      <c r="I3407" s="575"/>
      <c r="J3407" s="575"/>
      <c r="K3407" s="575"/>
    </row>
    <row r="3408" spans="1:11" x14ac:dyDescent="0.2">
      <c r="A3408" s="583"/>
      <c r="B3408" s="640"/>
      <c r="F3408" s="575"/>
      <c r="G3408" s="575"/>
      <c r="H3408" s="575"/>
      <c r="I3408" s="575"/>
      <c r="J3408" s="575"/>
      <c r="K3408" s="575"/>
    </row>
    <row r="3409" spans="1:11" x14ac:dyDescent="0.2">
      <c r="A3409" s="583"/>
      <c r="B3409" s="640"/>
      <c r="F3409" s="575"/>
      <c r="G3409" s="575"/>
      <c r="H3409" s="575"/>
      <c r="I3409" s="575"/>
      <c r="J3409" s="575"/>
      <c r="K3409" s="575"/>
    </row>
    <row r="3410" spans="1:11" x14ac:dyDescent="0.2">
      <c r="A3410" s="583"/>
      <c r="B3410" s="640"/>
      <c r="F3410" s="575"/>
      <c r="G3410" s="575"/>
      <c r="H3410" s="575"/>
      <c r="I3410" s="575"/>
      <c r="J3410" s="575"/>
      <c r="K3410" s="575"/>
    </row>
    <row r="3411" spans="1:11" x14ac:dyDescent="0.2">
      <c r="A3411" s="583"/>
      <c r="B3411" s="640"/>
      <c r="F3411" s="575"/>
      <c r="G3411" s="575"/>
      <c r="H3411" s="575"/>
      <c r="I3411" s="575"/>
      <c r="J3411" s="575"/>
      <c r="K3411" s="575"/>
    </row>
    <row r="3412" spans="1:11" x14ac:dyDescent="0.2">
      <c r="A3412" s="583"/>
      <c r="B3412" s="640"/>
      <c r="F3412" s="575"/>
      <c r="G3412" s="575"/>
      <c r="H3412" s="575"/>
      <c r="I3412" s="575"/>
      <c r="J3412" s="575"/>
      <c r="K3412" s="575"/>
    </row>
    <row r="3413" spans="1:11" x14ac:dyDescent="0.2">
      <c r="A3413" s="583"/>
      <c r="B3413" s="640"/>
      <c r="F3413" s="575"/>
      <c r="G3413" s="575"/>
      <c r="H3413" s="575"/>
      <c r="I3413" s="575"/>
      <c r="J3413" s="575"/>
      <c r="K3413" s="575"/>
    </row>
    <row r="3414" spans="1:11" x14ac:dyDescent="0.2">
      <c r="A3414" s="583"/>
      <c r="B3414" s="640"/>
      <c r="F3414" s="575"/>
      <c r="G3414" s="575"/>
      <c r="H3414" s="575"/>
      <c r="I3414" s="575"/>
      <c r="J3414" s="575"/>
      <c r="K3414" s="575"/>
    </row>
    <row r="3415" spans="1:11" x14ac:dyDescent="0.2">
      <c r="A3415" s="583"/>
      <c r="B3415" s="640"/>
      <c r="F3415" s="575"/>
      <c r="G3415" s="575"/>
      <c r="H3415" s="575"/>
      <c r="I3415" s="575"/>
      <c r="J3415" s="575"/>
      <c r="K3415" s="575"/>
    </row>
    <row r="3416" spans="1:11" x14ac:dyDescent="0.2">
      <c r="A3416" s="583"/>
      <c r="B3416" s="640"/>
      <c r="F3416" s="575"/>
      <c r="G3416" s="575"/>
      <c r="H3416" s="575"/>
      <c r="I3416" s="575"/>
      <c r="J3416" s="575"/>
      <c r="K3416" s="575"/>
    </row>
    <row r="3417" spans="1:11" x14ac:dyDescent="0.2">
      <c r="A3417" s="583"/>
      <c r="B3417" s="640"/>
      <c r="F3417" s="575"/>
      <c r="G3417" s="575"/>
      <c r="H3417" s="575"/>
      <c r="I3417" s="575"/>
      <c r="J3417" s="575"/>
      <c r="K3417" s="575"/>
    </row>
    <row r="3418" spans="1:11" x14ac:dyDescent="0.2">
      <c r="A3418" s="583"/>
      <c r="B3418" s="640"/>
      <c r="F3418" s="575"/>
      <c r="G3418" s="575"/>
      <c r="H3418" s="575"/>
      <c r="I3418" s="575"/>
      <c r="J3418" s="575"/>
      <c r="K3418" s="575"/>
    </row>
    <row r="3419" spans="1:11" x14ac:dyDescent="0.2">
      <c r="A3419" s="583"/>
      <c r="B3419" s="640"/>
      <c r="F3419" s="575"/>
      <c r="G3419" s="575"/>
      <c r="H3419" s="575"/>
      <c r="I3419" s="575"/>
      <c r="J3419" s="575"/>
      <c r="K3419" s="575"/>
    </row>
    <row r="3420" spans="1:11" x14ac:dyDescent="0.2">
      <c r="A3420" s="583"/>
      <c r="B3420" s="640"/>
      <c r="F3420" s="575"/>
      <c r="G3420" s="575"/>
      <c r="H3420" s="575"/>
      <c r="I3420" s="575"/>
      <c r="J3420" s="575"/>
      <c r="K3420" s="575"/>
    </row>
    <row r="3421" spans="1:11" x14ac:dyDescent="0.2">
      <c r="A3421" s="583"/>
      <c r="B3421" s="640"/>
      <c r="F3421" s="575"/>
      <c r="G3421" s="575"/>
      <c r="H3421" s="575"/>
      <c r="I3421" s="575"/>
      <c r="J3421" s="575"/>
      <c r="K3421" s="575"/>
    </row>
    <row r="3422" spans="1:11" x14ac:dyDescent="0.2">
      <c r="A3422" s="583"/>
      <c r="B3422" s="640"/>
      <c r="F3422" s="575"/>
      <c r="G3422" s="575"/>
      <c r="H3422" s="575"/>
      <c r="I3422" s="575"/>
      <c r="J3422" s="575"/>
      <c r="K3422" s="575"/>
    </row>
    <row r="3423" spans="1:11" x14ac:dyDescent="0.2">
      <c r="A3423" s="583"/>
      <c r="B3423" s="640"/>
      <c r="F3423" s="575"/>
      <c r="G3423" s="575"/>
      <c r="H3423" s="575"/>
      <c r="I3423" s="575"/>
      <c r="J3423" s="575"/>
      <c r="K3423" s="575"/>
    </row>
    <row r="3424" spans="1:11" x14ac:dyDescent="0.2">
      <c r="A3424" s="583"/>
      <c r="B3424" s="640"/>
      <c r="F3424" s="575"/>
      <c r="G3424" s="575"/>
      <c r="H3424" s="575"/>
      <c r="I3424" s="575"/>
      <c r="J3424" s="575"/>
      <c r="K3424" s="575"/>
    </row>
    <row r="3425" spans="1:11" x14ac:dyDescent="0.2">
      <c r="A3425" s="583"/>
      <c r="B3425" s="640"/>
      <c r="F3425" s="575"/>
      <c r="G3425" s="575"/>
      <c r="H3425" s="575"/>
      <c r="I3425" s="575"/>
      <c r="J3425" s="575"/>
      <c r="K3425" s="575"/>
    </row>
    <row r="3426" spans="1:11" x14ac:dyDescent="0.2">
      <c r="A3426" s="583"/>
      <c r="B3426" s="640"/>
      <c r="F3426" s="575"/>
      <c r="G3426" s="575"/>
      <c r="H3426" s="575"/>
      <c r="I3426" s="575"/>
      <c r="J3426" s="575"/>
      <c r="K3426" s="575"/>
    </row>
    <row r="3427" spans="1:11" x14ac:dyDescent="0.2">
      <c r="A3427" s="583"/>
      <c r="B3427" s="640"/>
      <c r="F3427" s="575"/>
      <c r="G3427" s="575"/>
      <c r="H3427" s="575"/>
      <c r="I3427" s="575"/>
      <c r="J3427" s="575"/>
      <c r="K3427" s="575"/>
    </row>
    <row r="3428" spans="1:11" x14ac:dyDescent="0.2">
      <c r="A3428" s="583"/>
      <c r="B3428" s="640"/>
      <c r="F3428" s="575"/>
      <c r="G3428" s="575"/>
      <c r="H3428" s="575"/>
      <c r="I3428" s="575"/>
      <c r="J3428" s="575"/>
      <c r="K3428" s="575"/>
    </row>
    <row r="3429" spans="1:11" x14ac:dyDescent="0.2">
      <c r="A3429" s="583"/>
      <c r="B3429" s="640"/>
      <c r="F3429" s="575"/>
      <c r="G3429" s="575"/>
      <c r="H3429" s="575"/>
      <c r="I3429" s="575"/>
      <c r="J3429" s="575"/>
      <c r="K3429" s="575"/>
    </row>
    <row r="3430" spans="1:11" x14ac:dyDescent="0.2">
      <c r="A3430" s="583"/>
      <c r="B3430" s="640"/>
      <c r="F3430" s="575"/>
      <c r="G3430" s="575"/>
      <c r="H3430" s="575"/>
      <c r="I3430" s="575"/>
      <c r="J3430" s="575"/>
      <c r="K3430" s="575"/>
    </row>
    <row r="3431" spans="1:11" x14ac:dyDescent="0.2">
      <c r="A3431" s="583"/>
      <c r="B3431" s="640"/>
      <c r="F3431" s="575"/>
      <c r="G3431" s="575"/>
      <c r="H3431" s="575"/>
      <c r="I3431" s="575"/>
      <c r="J3431" s="575"/>
      <c r="K3431" s="575"/>
    </row>
    <row r="3432" spans="1:11" x14ac:dyDescent="0.2">
      <c r="A3432" s="583"/>
      <c r="B3432" s="640"/>
      <c r="F3432" s="575"/>
      <c r="G3432" s="575"/>
      <c r="H3432" s="575"/>
      <c r="I3432" s="575"/>
      <c r="J3432" s="575"/>
      <c r="K3432" s="575"/>
    </row>
    <row r="3433" spans="1:11" x14ac:dyDescent="0.2">
      <c r="A3433" s="583"/>
      <c r="B3433" s="640"/>
      <c r="F3433" s="575"/>
      <c r="G3433" s="575"/>
      <c r="H3433" s="575"/>
      <c r="I3433" s="575"/>
      <c r="J3433" s="575"/>
      <c r="K3433" s="575"/>
    </row>
    <row r="3434" spans="1:11" x14ac:dyDescent="0.2">
      <c r="A3434" s="583"/>
      <c r="B3434" s="640"/>
      <c r="F3434" s="575"/>
      <c r="G3434" s="575"/>
      <c r="H3434" s="575"/>
      <c r="I3434" s="575"/>
      <c r="J3434" s="575"/>
      <c r="K3434" s="575"/>
    </row>
    <row r="3435" spans="1:11" x14ac:dyDescent="0.2">
      <c r="A3435" s="583"/>
      <c r="B3435" s="640"/>
      <c r="F3435" s="575"/>
      <c r="G3435" s="575"/>
      <c r="H3435" s="575"/>
      <c r="I3435" s="575"/>
      <c r="J3435" s="575"/>
      <c r="K3435" s="575"/>
    </row>
    <row r="3436" spans="1:11" x14ac:dyDescent="0.2">
      <c r="A3436" s="583"/>
      <c r="B3436" s="640"/>
      <c r="F3436" s="575"/>
      <c r="G3436" s="575"/>
      <c r="H3436" s="575"/>
      <c r="I3436" s="575"/>
      <c r="J3436" s="575"/>
      <c r="K3436" s="575"/>
    </row>
    <row r="3437" spans="1:11" x14ac:dyDescent="0.2">
      <c r="A3437" s="583"/>
      <c r="B3437" s="640"/>
      <c r="F3437" s="575"/>
      <c r="G3437" s="575"/>
      <c r="H3437" s="575"/>
      <c r="I3437" s="575"/>
      <c r="J3437" s="575"/>
      <c r="K3437" s="575"/>
    </row>
    <row r="3438" spans="1:11" x14ac:dyDescent="0.2">
      <c r="A3438" s="583"/>
      <c r="B3438" s="640"/>
      <c r="F3438" s="575"/>
      <c r="G3438" s="575"/>
      <c r="H3438" s="575"/>
      <c r="I3438" s="575"/>
      <c r="J3438" s="575"/>
      <c r="K3438" s="575"/>
    </row>
    <row r="3439" spans="1:11" x14ac:dyDescent="0.2">
      <c r="A3439" s="583"/>
      <c r="B3439" s="640"/>
      <c r="F3439" s="575"/>
      <c r="G3439" s="575"/>
      <c r="H3439" s="575"/>
      <c r="I3439" s="575"/>
      <c r="J3439" s="575"/>
      <c r="K3439" s="575"/>
    </row>
    <row r="3440" spans="1:11" x14ac:dyDescent="0.2">
      <c r="A3440" s="583"/>
      <c r="B3440" s="640"/>
      <c r="F3440" s="575"/>
      <c r="G3440" s="575"/>
      <c r="H3440" s="575"/>
      <c r="I3440" s="575"/>
      <c r="J3440" s="575"/>
      <c r="K3440" s="575"/>
    </row>
    <row r="3441" spans="1:11" x14ac:dyDescent="0.2">
      <c r="A3441" s="583"/>
      <c r="B3441" s="640"/>
      <c r="F3441" s="575"/>
      <c r="G3441" s="575"/>
      <c r="H3441" s="575"/>
      <c r="I3441" s="575"/>
      <c r="J3441" s="575"/>
      <c r="K3441" s="575"/>
    </row>
    <row r="3442" spans="1:11" x14ac:dyDescent="0.2">
      <c r="A3442" s="583"/>
      <c r="B3442" s="640"/>
      <c r="F3442" s="575"/>
      <c r="G3442" s="575"/>
      <c r="H3442" s="575"/>
      <c r="I3442" s="575"/>
      <c r="J3442" s="575"/>
      <c r="K3442" s="575"/>
    </row>
    <row r="3443" spans="1:11" x14ac:dyDescent="0.2">
      <c r="A3443" s="583"/>
      <c r="B3443" s="640"/>
      <c r="F3443" s="575"/>
      <c r="G3443" s="575"/>
      <c r="H3443" s="575"/>
      <c r="I3443" s="575"/>
      <c r="J3443" s="575"/>
      <c r="K3443" s="575"/>
    </row>
    <row r="3444" spans="1:11" x14ac:dyDescent="0.2">
      <c r="A3444" s="583"/>
      <c r="B3444" s="640"/>
      <c r="F3444" s="575"/>
      <c r="G3444" s="575"/>
      <c r="H3444" s="575"/>
      <c r="I3444" s="575"/>
      <c r="J3444" s="575"/>
      <c r="K3444" s="575"/>
    </row>
    <row r="3445" spans="1:11" x14ac:dyDescent="0.2">
      <c r="A3445" s="583"/>
      <c r="B3445" s="640"/>
      <c r="F3445" s="575"/>
      <c r="G3445" s="575"/>
      <c r="H3445" s="575"/>
      <c r="I3445" s="575"/>
      <c r="J3445" s="575"/>
      <c r="K3445" s="575"/>
    </row>
    <row r="3446" spans="1:11" x14ac:dyDescent="0.2">
      <c r="A3446" s="583"/>
      <c r="B3446" s="640"/>
      <c r="F3446" s="575"/>
      <c r="G3446" s="575"/>
      <c r="H3446" s="575"/>
      <c r="I3446" s="575"/>
      <c r="J3446" s="575"/>
      <c r="K3446" s="575"/>
    </row>
    <row r="3447" spans="1:11" x14ac:dyDescent="0.2">
      <c r="A3447" s="583"/>
      <c r="B3447" s="640"/>
      <c r="F3447" s="575"/>
      <c r="G3447" s="575"/>
      <c r="H3447" s="575"/>
      <c r="I3447" s="575"/>
      <c r="J3447" s="575"/>
      <c r="K3447" s="575"/>
    </row>
    <row r="3448" spans="1:11" x14ac:dyDescent="0.2">
      <c r="A3448" s="583"/>
      <c r="B3448" s="640"/>
      <c r="F3448" s="575"/>
      <c r="G3448" s="575"/>
      <c r="H3448" s="575"/>
      <c r="I3448" s="575"/>
      <c r="J3448" s="575"/>
      <c r="K3448" s="575"/>
    </row>
    <row r="3449" spans="1:11" x14ac:dyDescent="0.2">
      <c r="A3449" s="583"/>
      <c r="B3449" s="640"/>
      <c r="F3449" s="575"/>
      <c r="G3449" s="575"/>
      <c r="H3449" s="575"/>
      <c r="I3449" s="575"/>
      <c r="J3449" s="575"/>
      <c r="K3449" s="575"/>
    </row>
    <row r="3450" spans="1:11" x14ac:dyDescent="0.2">
      <c r="A3450" s="583"/>
      <c r="B3450" s="640"/>
      <c r="F3450" s="575"/>
      <c r="G3450" s="575"/>
      <c r="H3450" s="575"/>
      <c r="I3450" s="575"/>
      <c r="J3450" s="575"/>
      <c r="K3450" s="575"/>
    </row>
    <row r="3451" spans="1:11" x14ac:dyDescent="0.2">
      <c r="A3451" s="583"/>
      <c r="B3451" s="640"/>
      <c r="F3451" s="575"/>
      <c r="G3451" s="575"/>
      <c r="H3451" s="575"/>
      <c r="I3451" s="575"/>
      <c r="J3451" s="575"/>
      <c r="K3451" s="575"/>
    </row>
    <row r="3452" spans="1:11" x14ac:dyDescent="0.2">
      <c r="A3452" s="583"/>
      <c r="B3452" s="640"/>
      <c r="F3452" s="575"/>
      <c r="G3452" s="575"/>
      <c r="H3452" s="575"/>
      <c r="I3452" s="575"/>
      <c r="J3452" s="575"/>
      <c r="K3452" s="575"/>
    </row>
    <row r="3453" spans="1:11" x14ac:dyDescent="0.2">
      <c r="A3453" s="583"/>
      <c r="B3453" s="640"/>
      <c r="F3453" s="575"/>
      <c r="G3453" s="575"/>
      <c r="H3453" s="575"/>
      <c r="I3453" s="575"/>
      <c r="J3453" s="575"/>
      <c r="K3453" s="575"/>
    </row>
    <row r="3454" spans="1:11" x14ac:dyDescent="0.2">
      <c r="A3454" s="583"/>
      <c r="B3454" s="640"/>
      <c r="F3454" s="575"/>
      <c r="G3454" s="575"/>
      <c r="H3454" s="575"/>
      <c r="I3454" s="575"/>
      <c r="J3454" s="575"/>
      <c r="K3454" s="575"/>
    </row>
    <row r="3455" spans="1:11" x14ac:dyDescent="0.2">
      <c r="A3455" s="583"/>
      <c r="B3455" s="640"/>
      <c r="F3455" s="575"/>
      <c r="G3455" s="575"/>
      <c r="H3455" s="575"/>
      <c r="I3455" s="575"/>
      <c r="J3455" s="575"/>
      <c r="K3455" s="575"/>
    </row>
    <row r="3456" spans="1:11" x14ac:dyDescent="0.2">
      <c r="A3456" s="583"/>
      <c r="B3456" s="640"/>
      <c r="F3456" s="575"/>
      <c r="G3456" s="575"/>
      <c r="H3456" s="575"/>
      <c r="I3456" s="575"/>
      <c r="J3456" s="575"/>
      <c r="K3456" s="575"/>
    </row>
    <row r="3457" spans="1:11" x14ac:dyDescent="0.2">
      <c r="A3457" s="583"/>
      <c r="B3457" s="640"/>
      <c r="F3457" s="575"/>
      <c r="G3457" s="575"/>
      <c r="H3457" s="575"/>
      <c r="I3457" s="575"/>
      <c r="J3457" s="575"/>
      <c r="K3457" s="575"/>
    </row>
    <row r="3458" spans="1:11" x14ac:dyDescent="0.2">
      <c r="A3458" s="583"/>
      <c r="B3458" s="640"/>
      <c r="F3458" s="575"/>
      <c r="G3458" s="575"/>
      <c r="H3458" s="575"/>
      <c r="I3458" s="575"/>
      <c r="J3458" s="575"/>
      <c r="K3458" s="575"/>
    </row>
    <row r="3459" spans="1:11" x14ac:dyDescent="0.2">
      <c r="A3459" s="583"/>
      <c r="B3459" s="640"/>
      <c r="F3459" s="575"/>
      <c r="G3459" s="575"/>
      <c r="H3459" s="575"/>
      <c r="I3459" s="575"/>
      <c r="J3459" s="575"/>
      <c r="K3459" s="575"/>
    </row>
    <row r="3460" spans="1:11" x14ac:dyDescent="0.2">
      <c r="A3460" s="583"/>
      <c r="B3460" s="640"/>
      <c r="F3460" s="575"/>
      <c r="G3460" s="575"/>
      <c r="H3460" s="575"/>
      <c r="I3460" s="575"/>
      <c r="J3460" s="575"/>
      <c r="K3460" s="575"/>
    </row>
    <row r="3461" spans="1:11" x14ac:dyDescent="0.2">
      <c r="A3461" s="583"/>
      <c r="B3461" s="640"/>
      <c r="F3461" s="575"/>
      <c r="G3461" s="575"/>
      <c r="H3461" s="575"/>
      <c r="I3461" s="575"/>
      <c r="J3461" s="575"/>
      <c r="K3461" s="575"/>
    </row>
    <row r="3462" spans="1:11" x14ac:dyDescent="0.2">
      <c r="A3462" s="583"/>
      <c r="B3462" s="640"/>
      <c r="F3462" s="575"/>
      <c r="G3462" s="575"/>
      <c r="H3462" s="575"/>
      <c r="I3462" s="575"/>
      <c r="J3462" s="575"/>
      <c r="K3462" s="575"/>
    </row>
    <row r="3463" spans="1:11" x14ac:dyDescent="0.2">
      <c r="A3463" s="583"/>
      <c r="B3463" s="640"/>
      <c r="F3463" s="575"/>
      <c r="G3463" s="575"/>
      <c r="H3463" s="575"/>
      <c r="I3463" s="575"/>
      <c r="J3463" s="575"/>
      <c r="K3463" s="575"/>
    </row>
    <row r="3464" spans="1:11" x14ac:dyDescent="0.2">
      <c r="A3464" s="583"/>
      <c r="B3464" s="640"/>
      <c r="F3464" s="575"/>
      <c r="G3464" s="575"/>
      <c r="H3464" s="575"/>
      <c r="I3464" s="575"/>
      <c r="J3464" s="575"/>
      <c r="K3464" s="575"/>
    </row>
    <row r="3465" spans="1:11" x14ac:dyDescent="0.2">
      <c r="A3465" s="583"/>
      <c r="B3465" s="640"/>
      <c r="F3465" s="575"/>
      <c r="G3465" s="575"/>
      <c r="H3465" s="575"/>
      <c r="I3465" s="575"/>
      <c r="J3465" s="575"/>
      <c r="K3465" s="575"/>
    </row>
    <row r="3466" spans="1:11" x14ac:dyDescent="0.2">
      <c r="A3466" s="583"/>
      <c r="B3466" s="640"/>
      <c r="F3466" s="575"/>
      <c r="G3466" s="575"/>
      <c r="H3466" s="575"/>
      <c r="I3466" s="575"/>
      <c r="J3466" s="575"/>
      <c r="K3466" s="575"/>
    </row>
    <row r="3467" spans="1:11" x14ac:dyDescent="0.2">
      <c r="A3467" s="583"/>
      <c r="B3467" s="640"/>
      <c r="F3467" s="575"/>
      <c r="G3467" s="575"/>
      <c r="H3467" s="575"/>
      <c r="I3467" s="575"/>
      <c r="J3467" s="575"/>
      <c r="K3467" s="575"/>
    </row>
    <row r="3468" spans="1:11" x14ac:dyDescent="0.2">
      <c r="A3468" s="583"/>
      <c r="B3468" s="640"/>
      <c r="F3468" s="575"/>
      <c r="G3468" s="575"/>
      <c r="H3468" s="575"/>
      <c r="I3468" s="575"/>
      <c r="J3468" s="575"/>
      <c r="K3468" s="575"/>
    </row>
    <row r="3469" spans="1:11" x14ac:dyDescent="0.2">
      <c r="A3469" s="583"/>
      <c r="B3469" s="640"/>
      <c r="F3469" s="575"/>
      <c r="G3469" s="575"/>
      <c r="H3469" s="575"/>
      <c r="I3469" s="575"/>
      <c r="J3469" s="575"/>
      <c r="K3469" s="575"/>
    </row>
    <row r="3470" spans="1:11" x14ac:dyDescent="0.2">
      <c r="A3470" s="583"/>
      <c r="B3470" s="640"/>
      <c r="F3470" s="575"/>
      <c r="G3470" s="575"/>
      <c r="H3470" s="575"/>
      <c r="I3470" s="575"/>
      <c r="J3470" s="575"/>
      <c r="K3470" s="575"/>
    </row>
    <row r="3471" spans="1:11" x14ac:dyDescent="0.2">
      <c r="A3471" s="583"/>
      <c r="B3471" s="640"/>
      <c r="F3471" s="575"/>
      <c r="G3471" s="575"/>
      <c r="H3471" s="575"/>
      <c r="I3471" s="575"/>
      <c r="J3471" s="575"/>
      <c r="K3471" s="575"/>
    </row>
    <row r="3472" spans="1:11" x14ac:dyDescent="0.2">
      <c r="A3472" s="583"/>
      <c r="B3472" s="640"/>
      <c r="F3472" s="575"/>
      <c r="G3472" s="575"/>
      <c r="H3472" s="575"/>
      <c r="I3472" s="575"/>
      <c r="J3472" s="575"/>
      <c r="K3472" s="575"/>
    </row>
    <row r="3473" spans="1:11" x14ac:dyDescent="0.2">
      <c r="A3473" s="583"/>
      <c r="B3473" s="640"/>
      <c r="F3473" s="575"/>
      <c r="G3473" s="575"/>
      <c r="H3473" s="575"/>
      <c r="I3473" s="575"/>
      <c r="J3473" s="575"/>
      <c r="K3473" s="575"/>
    </row>
    <row r="3474" spans="1:11" x14ac:dyDescent="0.2">
      <c r="A3474" s="583"/>
      <c r="B3474" s="640"/>
      <c r="F3474" s="575"/>
      <c r="G3474" s="575"/>
      <c r="H3474" s="575"/>
      <c r="I3474" s="575"/>
      <c r="J3474" s="575"/>
      <c r="K3474" s="575"/>
    </row>
    <row r="3475" spans="1:11" x14ac:dyDescent="0.2">
      <c r="A3475" s="583"/>
      <c r="B3475" s="640"/>
      <c r="F3475" s="575"/>
      <c r="G3475" s="575"/>
      <c r="H3475" s="575"/>
      <c r="I3475" s="575"/>
      <c r="J3475" s="575"/>
      <c r="K3475" s="575"/>
    </row>
    <row r="3476" spans="1:11" x14ac:dyDescent="0.2">
      <c r="A3476" s="583"/>
      <c r="B3476" s="640"/>
      <c r="F3476" s="575"/>
      <c r="G3476" s="575"/>
      <c r="H3476" s="575"/>
      <c r="I3476" s="575"/>
      <c r="J3476" s="575"/>
      <c r="K3476" s="575"/>
    </row>
    <row r="3477" spans="1:11" x14ac:dyDescent="0.2">
      <c r="A3477" s="583"/>
      <c r="B3477" s="640"/>
      <c r="F3477" s="575"/>
      <c r="G3477" s="575"/>
      <c r="H3477" s="575"/>
      <c r="I3477" s="575"/>
      <c r="J3477" s="575"/>
      <c r="K3477" s="575"/>
    </row>
    <row r="3478" spans="1:11" x14ac:dyDescent="0.2">
      <c r="A3478" s="583"/>
      <c r="B3478" s="640"/>
      <c r="F3478" s="575"/>
      <c r="G3478" s="575"/>
      <c r="H3478" s="575"/>
      <c r="I3478" s="575"/>
      <c r="J3478" s="575"/>
      <c r="K3478" s="575"/>
    </row>
    <row r="3479" spans="1:11" x14ac:dyDescent="0.2">
      <c r="A3479" s="583"/>
      <c r="B3479" s="640"/>
      <c r="F3479" s="575"/>
      <c r="G3479" s="575"/>
      <c r="H3479" s="575"/>
      <c r="I3479" s="575"/>
      <c r="J3479" s="575"/>
      <c r="K3479" s="575"/>
    </row>
    <row r="3480" spans="1:11" x14ac:dyDescent="0.2">
      <c r="A3480" s="583"/>
      <c r="B3480" s="640"/>
      <c r="F3480" s="575"/>
      <c r="G3480" s="575"/>
      <c r="H3480" s="575"/>
      <c r="I3480" s="575"/>
      <c r="J3480" s="575"/>
      <c r="K3480" s="575"/>
    </row>
    <row r="3481" spans="1:11" x14ac:dyDescent="0.2">
      <c r="A3481" s="583"/>
      <c r="B3481" s="640"/>
      <c r="F3481" s="575"/>
      <c r="G3481" s="575"/>
      <c r="H3481" s="575"/>
      <c r="I3481" s="575"/>
      <c r="J3481" s="575"/>
      <c r="K3481" s="575"/>
    </row>
    <row r="3482" spans="1:11" x14ac:dyDescent="0.2">
      <c r="A3482" s="583"/>
      <c r="B3482" s="640"/>
      <c r="F3482" s="575"/>
      <c r="G3482" s="575"/>
      <c r="H3482" s="575"/>
      <c r="I3482" s="575"/>
      <c r="J3482" s="575"/>
      <c r="K3482" s="575"/>
    </row>
    <row r="3483" spans="1:11" x14ac:dyDescent="0.2">
      <c r="A3483" s="583"/>
      <c r="B3483" s="640"/>
      <c r="F3483" s="575"/>
      <c r="G3483" s="575"/>
      <c r="H3483" s="575"/>
      <c r="I3483" s="575"/>
      <c r="J3483" s="575"/>
      <c r="K3483" s="575"/>
    </row>
    <row r="3484" spans="1:11" x14ac:dyDescent="0.2">
      <c r="A3484" s="583"/>
      <c r="B3484" s="640"/>
      <c r="F3484" s="575"/>
      <c r="G3484" s="575"/>
      <c r="H3484" s="575"/>
      <c r="I3484" s="575"/>
      <c r="J3484" s="575"/>
      <c r="K3484" s="575"/>
    </row>
    <row r="3485" spans="1:11" x14ac:dyDescent="0.2">
      <c r="A3485" s="583"/>
      <c r="B3485" s="640"/>
      <c r="F3485" s="575"/>
      <c r="G3485" s="575"/>
      <c r="H3485" s="575"/>
      <c r="I3485" s="575"/>
      <c r="J3485" s="575"/>
      <c r="K3485" s="575"/>
    </row>
    <row r="3486" spans="1:11" x14ac:dyDescent="0.2">
      <c r="A3486" s="583"/>
      <c r="B3486" s="640"/>
      <c r="F3486" s="575"/>
      <c r="G3486" s="575"/>
      <c r="H3486" s="575"/>
      <c r="I3486" s="575"/>
      <c r="J3486" s="575"/>
      <c r="K3486" s="575"/>
    </row>
    <row r="3487" spans="1:11" x14ac:dyDescent="0.2">
      <c r="A3487" s="583"/>
      <c r="B3487" s="640"/>
      <c r="F3487" s="575"/>
      <c r="G3487" s="575"/>
      <c r="H3487" s="575"/>
      <c r="I3487" s="575"/>
      <c r="J3487" s="575"/>
      <c r="K3487" s="575"/>
    </row>
    <row r="3488" spans="1:11" x14ac:dyDescent="0.2">
      <c r="A3488" s="583"/>
      <c r="B3488" s="640"/>
      <c r="F3488" s="575"/>
      <c r="G3488" s="575"/>
      <c r="H3488" s="575"/>
      <c r="I3488" s="575"/>
      <c r="J3488" s="575"/>
      <c r="K3488" s="575"/>
    </row>
    <row r="3489" spans="1:11" x14ac:dyDescent="0.2">
      <c r="A3489" s="583"/>
      <c r="B3489" s="640"/>
      <c r="F3489" s="575"/>
      <c r="G3489" s="575"/>
      <c r="H3489" s="575"/>
      <c r="I3489" s="575"/>
      <c r="J3489" s="575"/>
      <c r="K3489" s="575"/>
    </row>
    <row r="3490" spans="1:11" x14ac:dyDescent="0.2">
      <c r="A3490" s="583"/>
      <c r="B3490" s="640"/>
      <c r="F3490" s="575"/>
      <c r="G3490" s="575"/>
      <c r="H3490" s="575"/>
      <c r="I3490" s="575"/>
      <c r="J3490" s="575"/>
      <c r="K3490" s="575"/>
    </row>
    <row r="3491" spans="1:11" x14ac:dyDescent="0.2">
      <c r="A3491" s="583"/>
      <c r="B3491" s="640"/>
      <c r="F3491" s="575"/>
      <c r="G3491" s="575"/>
      <c r="H3491" s="575"/>
      <c r="I3491" s="575"/>
      <c r="J3491" s="575"/>
      <c r="K3491" s="575"/>
    </row>
    <row r="3492" spans="1:11" x14ac:dyDescent="0.2">
      <c r="A3492" s="583"/>
      <c r="B3492" s="640"/>
      <c r="F3492" s="575"/>
      <c r="G3492" s="575"/>
      <c r="H3492" s="575"/>
      <c r="I3492" s="575"/>
      <c r="J3492" s="575"/>
      <c r="K3492" s="575"/>
    </row>
    <row r="3493" spans="1:11" x14ac:dyDescent="0.2">
      <c r="A3493" s="583"/>
      <c r="B3493" s="640"/>
      <c r="F3493" s="575"/>
      <c r="G3493" s="575"/>
      <c r="H3493" s="575"/>
      <c r="I3493" s="575"/>
      <c r="J3493" s="575"/>
      <c r="K3493" s="575"/>
    </row>
    <row r="3494" spans="1:11" x14ac:dyDescent="0.2">
      <c r="A3494" s="583"/>
      <c r="B3494" s="640"/>
      <c r="F3494" s="575"/>
      <c r="G3494" s="575"/>
      <c r="H3494" s="575"/>
      <c r="I3494" s="575"/>
      <c r="J3494" s="575"/>
      <c r="K3494" s="575"/>
    </row>
    <row r="3495" spans="1:11" x14ac:dyDescent="0.2">
      <c r="A3495" s="583"/>
      <c r="B3495" s="640"/>
      <c r="F3495" s="575"/>
      <c r="G3495" s="575"/>
      <c r="H3495" s="575"/>
      <c r="I3495" s="575"/>
      <c r="J3495" s="575"/>
      <c r="K3495" s="575"/>
    </row>
    <row r="3496" spans="1:11" x14ac:dyDescent="0.2">
      <c r="A3496" s="583"/>
      <c r="B3496" s="640"/>
      <c r="F3496" s="575"/>
      <c r="G3496" s="575"/>
      <c r="H3496" s="575"/>
      <c r="I3496" s="575"/>
      <c r="J3496" s="575"/>
      <c r="K3496" s="575"/>
    </row>
    <row r="3497" spans="1:11" x14ac:dyDescent="0.2">
      <c r="A3497" s="583"/>
      <c r="B3497" s="640"/>
      <c r="F3497" s="575"/>
      <c r="G3497" s="575"/>
      <c r="H3497" s="575"/>
      <c r="I3497" s="575"/>
      <c r="J3497" s="575"/>
      <c r="K3497" s="575"/>
    </row>
    <row r="3498" spans="1:11" x14ac:dyDescent="0.2">
      <c r="A3498" s="583"/>
      <c r="B3498" s="640"/>
      <c r="F3498" s="575"/>
      <c r="G3498" s="575"/>
      <c r="H3498" s="575"/>
      <c r="I3498" s="575"/>
      <c r="J3498" s="575"/>
      <c r="K3498" s="575"/>
    </row>
    <row r="3499" spans="1:11" x14ac:dyDescent="0.2">
      <c r="A3499" s="583"/>
      <c r="B3499" s="640"/>
      <c r="F3499" s="575"/>
      <c r="G3499" s="575"/>
      <c r="H3499" s="575"/>
      <c r="I3499" s="575"/>
      <c r="J3499" s="575"/>
      <c r="K3499" s="575"/>
    </row>
    <row r="3500" spans="1:11" x14ac:dyDescent="0.2">
      <c r="A3500" s="583"/>
      <c r="B3500" s="640"/>
      <c r="F3500" s="575"/>
      <c r="G3500" s="575"/>
      <c r="H3500" s="575"/>
      <c r="I3500" s="575"/>
      <c r="J3500" s="575"/>
      <c r="K3500" s="575"/>
    </row>
    <row r="3501" spans="1:11" x14ac:dyDescent="0.2">
      <c r="A3501" s="583"/>
      <c r="B3501" s="640"/>
      <c r="F3501" s="575"/>
      <c r="G3501" s="575"/>
      <c r="H3501" s="575"/>
      <c r="I3501" s="575"/>
      <c r="J3501" s="575"/>
      <c r="K3501" s="575"/>
    </row>
    <row r="3502" spans="1:11" x14ac:dyDescent="0.2">
      <c r="A3502" s="583"/>
      <c r="B3502" s="640"/>
      <c r="F3502" s="575"/>
      <c r="G3502" s="575"/>
      <c r="H3502" s="575"/>
      <c r="I3502" s="575"/>
      <c r="J3502" s="575"/>
      <c r="K3502" s="575"/>
    </row>
    <row r="3503" spans="1:11" x14ac:dyDescent="0.2">
      <c r="A3503" s="583"/>
      <c r="B3503" s="640"/>
      <c r="F3503" s="575"/>
      <c r="G3503" s="575"/>
      <c r="H3503" s="575"/>
      <c r="I3503" s="575"/>
      <c r="J3503" s="575"/>
      <c r="K3503" s="575"/>
    </row>
    <row r="3504" spans="1:11" x14ac:dyDescent="0.2">
      <c r="A3504" s="583"/>
      <c r="B3504" s="640"/>
      <c r="F3504" s="575"/>
      <c r="G3504" s="575"/>
      <c r="H3504" s="575"/>
      <c r="I3504" s="575"/>
      <c r="J3504" s="575"/>
      <c r="K3504" s="575"/>
    </row>
    <row r="3505" spans="1:11" x14ac:dyDescent="0.2">
      <c r="A3505" s="583"/>
      <c r="B3505" s="640"/>
      <c r="F3505" s="575"/>
      <c r="G3505" s="575"/>
      <c r="H3505" s="575"/>
      <c r="I3505" s="575"/>
      <c r="J3505" s="575"/>
      <c r="K3505" s="575"/>
    </row>
    <row r="3506" spans="1:11" x14ac:dyDescent="0.2">
      <c r="A3506" s="583"/>
      <c r="B3506" s="640"/>
      <c r="F3506" s="575"/>
      <c r="G3506" s="575"/>
      <c r="H3506" s="575"/>
      <c r="I3506" s="575"/>
      <c r="J3506" s="575"/>
      <c r="K3506" s="575"/>
    </row>
    <row r="3507" spans="1:11" x14ac:dyDescent="0.2">
      <c r="A3507" s="583"/>
      <c r="B3507" s="640"/>
      <c r="F3507" s="575"/>
      <c r="G3507" s="575"/>
      <c r="H3507" s="575"/>
      <c r="I3507" s="575"/>
      <c r="J3507" s="575"/>
      <c r="K3507" s="575"/>
    </row>
    <row r="3508" spans="1:11" x14ac:dyDescent="0.2">
      <c r="A3508" s="583"/>
      <c r="B3508" s="640"/>
      <c r="F3508" s="575"/>
      <c r="G3508" s="575"/>
      <c r="H3508" s="575"/>
      <c r="I3508" s="575"/>
      <c r="J3508" s="575"/>
      <c r="K3508" s="575"/>
    </row>
    <row r="3509" spans="1:11" x14ac:dyDescent="0.2">
      <c r="A3509" s="583"/>
      <c r="B3509" s="640"/>
      <c r="F3509" s="575"/>
      <c r="G3509" s="575"/>
      <c r="H3509" s="575"/>
      <c r="I3509" s="575"/>
      <c r="J3509" s="575"/>
      <c r="K3509" s="575"/>
    </row>
    <row r="3510" spans="1:11" x14ac:dyDescent="0.2">
      <c r="A3510" s="583"/>
      <c r="B3510" s="640"/>
      <c r="F3510" s="575"/>
      <c r="G3510" s="575"/>
      <c r="H3510" s="575"/>
      <c r="I3510" s="575"/>
      <c r="J3510" s="575"/>
      <c r="K3510" s="575"/>
    </row>
    <row r="3511" spans="1:11" x14ac:dyDescent="0.2">
      <c r="A3511" s="583"/>
      <c r="B3511" s="640"/>
      <c r="F3511" s="575"/>
      <c r="G3511" s="575"/>
      <c r="H3511" s="575"/>
      <c r="I3511" s="575"/>
      <c r="J3511" s="575"/>
      <c r="K3511" s="575"/>
    </row>
    <row r="3512" spans="1:11" x14ac:dyDescent="0.2">
      <c r="A3512" s="583"/>
      <c r="B3512" s="640"/>
      <c r="F3512" s="575"/>
      <c r="G3512" s="575"/>
      <c r="H3512" s="575"/>
      <c r="I3512" s="575"/>
      <c r="J3512" s="575"/>
      <c r="K3512" s="575"/>
    </row>
    <row r="3513" spans="1:11" x14ac:dyDescent="0.2">
      <c r="A3513" s="583"/>
      <c r="B3513" s="640"/>
      <c r="F3513" s="575"/>
      <c r="G3513" s="575"/>
      <c r="H3513" s="575"/>
      <c r="I3513" s="575"/>
      <c r="J3513" s="575"/>
      <c r="K3513" s="575"/>
    </row>
    <row r="3514" spans="1:11" x14ac:dyDescent="0.2">
      <c r="A3514" s="583"/>
      <c r="B3514" s="640"/>
      <c r="F3514" s="575"/>
      <c r="G3514" s="575"/>
      <c r="H3514" s="575"/>
      <c r="I3514" s="575"/>
      <c r="J3514" s="575"/>
      <c r="K3514" s="575"/>
    </row>
    <row r="3515" spans="1:11" x14ac:dyDescent="0.2">
      <c r="A3515" s="583"/>
      <c r="B3515" s="640"/>
      <c r="F3515" s="575"/>
      <c r="G3515" s="575"/>
      <c r="H3515" s="575"/>
      <c r="I3515" s="575"/>
      <c r="J3515" s="575"/>
      <c r="K3515" s="575"/>
    </row>
    <row r="3516" spans="1:11" x14ac:dyDescent="0.2">
      <c r="A3516" s="583"/>
      <c r="B3516" s="640"/>
      <c r="F3516" s="575"/>
      <c r="G3516" s="575"/>
      <c r="H3516" s="575"/>
      <c r="I3516" s="575"/>
      <c r="J3516" s="575"/>
      <c r="K3516" s="575"/>
    </row>
    <row r="3517" spans="1:11" x14ac:dyDescent="0.2">
      <c r="A3517" s="583"/>
      <c r="B3517" s="640"/>
      <c r="F3517" s="575"/>
      <c r="G3517" s="575"/>
      <c r="H3517" s="575"/>
      <c r="I3517" s="575"/>
      <c r="J3517" s="575"/>
      <c r="K3517" s="575"/>
    </row>
    <row r="3518" spans="1:11" x14ac:dyDescent="0.2">
      <c r="A3518" s="583"/>
      <c r="B3518" s="640"/>
      <c r="F3518" s="575"/>
      <c r="G3518" s="575"/>
      <c r="H3518" s="575"/>
      <c r="I3518" s="575"/>
      <c r="J3518" s="575"/>
      <c r="K3518" s="575"/>
    </row>
    <row r="3519" spans="1:11" x14ac:dyDescent="0.2">
      <c r="A3519" s="583"/>
      <c r="B3519" s="640"/>
      <c r="F3519" s="575"/>
      <c r="G3519" s="575"/>
      <c r="H3519" s="575"/>
      <c r="I3519" s="575"/>
      <c r="J3519" s="575"/>
      <c r="K3519" s="575"/>
    </row>
    <row r="3520" spans="1:11" x14ac:dyDescent="0.2">
      <c r="A3520" s="583"/>
      <c r="B3520" s="640"/>
      <c r="F3520" s="575"/>
      <c r="G3520" s="575"/>
      <c r="H3520" s="575"/>
      <c r="I3520" s="575"/>
      <c r="J3520" s="575"/>
      <c r="K3520" s="575"/>
    </row>
    <row r="3521" spans="1:11" x14ac:dyDescent="0.2">
      <c r="A3521" s="583"/>
      <c r="B3521" s="640"/>
      <c r="F3521" s="575"/>
      <c r="G3521" s="575"/>
      <c r="H3521" s="575"/>
      <c r="I3521" s="575"/>
      <c r="J3521" s="575"/>
      <c r="K3521" s="575"/>
    </row>
    <row r="3522" spans="1:11" x14ac:dyDescent="0.2">
      <c r="A3522" s="583"/>
      <c r="B3522" s="640"/>
      <c r="F3522" s="575"/>
      <c r="G3522" s="575"/>
      <c r="H3522" s="575"/>
      <c r="I3522" s="575"/>
      <c r="J3522" s="575"/>
      <c r="K3522" s="575"/>
    </row>
    <row r="3523" spans="1:11" x14ac:dyDescent="0.2">
      <c r="A3523" s="583"/>
      <c r="B3523" s="640"/>
      <c r="F3523" s="575"/>
      <c r="G3523" s="575"/>
      <c r="H3523" s="575"/>
      <c r="I3523" s="575"/>
      <c r="J3523" s="575"/>
      <c r="K3523" s="575"/>
    </row>
    <row r="3524" spans="1:11" x14ac:dyDescent="0.2">
      <c r="A3524" s="583"/>
      <c r="B3524" s="640"/>
      <c r="F3524" s="575"/>
      <c r="G3524" s="575"/>
      <c r="H3524" s="575"/>
      <c r="I3524" s="575"/>
      <c r="J3524" s="575"/>
      <c r="K3524" s="575"/>
    </row>
    <row r="3525" spans="1:11" x14ac:dyDescent="0.2">
      <c r="A3525" s="583"/>
      <c r="B3525" s="640"/>
      <c r="F3525" s="575"/>
      <c r="G3525" s="575"/>
      <c r="H3525" s="575"/>
      <c r="I3525" s="575"/>
      <c r="J3525" s="575"/>
      <c r="K3525" s="575"/>
    </row>
    <row r="3526" spans="1:11" x14ac:dyDescent="0.2">
      <c r="A3526" s="583"/>
      <c r="B3526" s="640"/>
      <c r="F3526" s="575"/>
      <c r="G3526" s="575"/>
      <c r="H3526" s="575"/>
      <c r="I3526" s="575"/>
      <c r="J3526" s="575"/>
      <c r="K3526" s="575"/>
    </row>
    <row r="3527" spans="1:11" x14ac:dyDescent="0.2">
      <c r="A3527" s="583"/>
      <c r="B3527" s="640"/>
      <c r="F3527" s="575"/>
      <c r="G3527" s="575"/>
      <c r="H3527" s="575"/>
      <c r="I3527" s="575"/>
      <c r="J3527" s="575"/>
      <c r="K3527" s="575"/>
    </row>
    <row r="3528" spans="1:11" x14ac:dyDescent="0.2">
      <c r="A3528" s="583"/>
      <c r="B3528" s="640"/>
      <c r="F3528" s="575"/>
      <c r="G3528" s="575"/>
      <c r="H3528" s="575"/>
      <c r="I3528" s="575"/>
      <c r="J3528" s="575"/>
      <c r="K3528" s="575"/>
    </row>
    <row r="3529" spans="1:11" x14ac:dyDescent="0.2">
      <c r="A3529" s="583"/>
      <c r="B3529" s="640"/>
      <c r="F3529" s="575"/>
      <c r="G3529" s="575"/>
      <c r="H3529" s="575"/>
      <c r="I3529" s="575"/>
      <c r="J3529" s="575"/>
      <c r="K3529" s="575"/>
    </row>
    <row r="3530" spans="1:11" x14ac:dyDescent="0.2">
      <c r="A3530" s="583"/>
      <c r="B3530" s="640"/>
      <c r="F3530" s="575"/>
      <c r="G3530" s="575"/>
      <c r="H3530" s="575"/>
      <c r="I3530" s="575"/>
      <c r="J3530" s="575"/>
      <c r="K3530" s="575"/>
    </row>
    <row r="3531" spans="1:11" x14ac:dyDescent="0.2">
      <c r="A3531" s="583"/>
      <c r="B3531" s="640"/>
      <c r="F3531" s="575"/>
      <c r="G3531" s="575"/>
      <c r="H3531" s="575"/>
      <c r="I3531" s="575"/>
      <c r="J3531" s="575"/>
      <c r="K3531" s="575"/>
    </row>
    <row r="3532" spans="1:11" x14ac:dyDescent="0.2">
      <c r="A3532" s="583"/>
      <c r="B3532" s="640"/>
      <c r="F3532" s="575"/>
      <c r="G3532" s="575"/>
      <c r="H3532" s="575"/>
      <c r="I3532" s="575"/>
      <c r="J3532" s="575"/>
      <c r="K3532" s="575"/>
    </row>
    <row r="3533" spans="1:11" x14ac:dyDescent="0.2">
      <c r="A3533" s="583"/>
      <c r="B3533" s="640"/>
      <c r="F3533" s="575"/>
      <c r="G3533" s="575"/>
      <c r="H3533" s="575"/>
      <c r="I3533" s="575"/>
      <c r="J3533" s="575"/>
      <c r="K3533" s="575"/>
    </row>
    <row r="3534" spans="1:11" x14ac:dyDescent="0.2">
      <c r="A3534" s="583"/>
      <c r="B3534" s="640"/>
      <c r="F3534" s="575"/>
      <c r="G3534" s="575"/>
      <c r="H3534" s="575"/>
      <c r="I3534" s="575"/>
      <c r="J3534" s="575"/>
      <c r="K3534" s="575"/>
    </row>
    <row r="3535" spans="1:11" x14ac:dyDescent="0.2">
      <c r="A3535" s="583"/>
      <c r="B3535" s="640"/>
      <c r="F3535" s="575"/>
      <c r="G3535" s="575"/>
      <c r="H3535" s="575"/>
      <c r="I3535" s="575"/>
      <c r="J3535" s="575"/>
      <c r="K3535" s="575"/>
    </row>
    <row r="3536" spans="1:11" x14ac:dyDescent="0.2">
      <c r="A3536" s="583"/>
      <c r="B3536" s="640"/>
      <c r="F3536" s="575"/>
      <c r="G3536" s="575"/>
      <c r="H3536" s="575"/>
      <c r="I3536" s="575"/>
      <c r="J3536" s="575"/>
      <c r="K3536" s="575"/>
    </row>
    <row r="3537" spans="1:11" x14ac:dyDescent="0.2">
      <c r="A3537" s="583"/>
      <c r="B3537" s="640"/>
      <c r="F3537" s="575"/>
      <c r="G3537" s="575"/>
      <c r="H3537" s="575"/>
      <c r="I3537" s="575"/>
      <c r="J3537" s="575"/>
      <c r="K3537" s="575"/>
    </row>
    <row r="3538" spans="1:11" x14ac:dyDescent="0.2">
      <c r="A3538" s="583"/>
      <c r="B3538" s="640"/>
      <c r="F3538" s="575"/>
      <c r="G3538" s="575"/>
      <c r="H3538" s="575"/>
      <c r="I3538" s="575"/>
      <c r="J3538" s="575"/>
      <c r="K3538" s="575"/>
    </row>
    <row r="3539" spans="1:11" x14ac:dyDescent="0.2">
      <c r="A3539" s="583"/>
      <c r="B3539" s="640"/>
      <c r="F3539" s="575"/>
      <c r="G3539" s="575"/>
      <c r="H3539" s="575"/>
      <c r="I3539" s="575"/>
      <c r="J3539" s="575"/>
      <c r="K3539" s="575"/>
    </row>
    <row r="3540" spans="1:11" x14ac:dyDescent="0.2">
      <c r="A3540" s="583"/>
      <c r="B3540" s="640"/>
      <c r="F3540" s="575"/>
      <c r="G3540" s="575"/>
      <c r="H3540" s="575"/>
      <c r="I3540" s="575"/>
      <c r="J3540" s="575"/>
      <c r="K3540" s="575"/>
    </row>
    <row r="3541" spans="1:11" x14ac:dyDescent="0.2">
      <c r="A3541" s="583"/>
      <c r="B3541" s="640"/>
      <c r="F3541" s="575"/>
      <c r="G3541" s="575"/>
      <c r="H3541" s="575"/>
      <c r="I3541" s="575"/>
      <c r="J3541" s="575"/>
      <c r="K3541" s="575"/>
    </row>
    <row r="3542" spans="1:11" x14ac:dyDescent="0.2">
      <c r="A3542" s="583"/>
      <c r="B3542" s="640"/>
      <c r="F3542" s="575"/>
      <c r="G3542" s="575"/>
      <c r="H3542" s="575"/>
      <c r="I3542" s="575"/>
      <c r="J3542" s="575"/>
      <c r="K3542" s="575"/>
    </row>
    <row r="3543" spans="1:11" x14ac:dyDescent="0.2">
      <c r="A3543" s="583"/>
      <c r="B3543" s="640"/>
      <c r="F3543" s="575"/>
      <c r="G3543" s="575"/>
      <c r="H3543" s="575"/>
      <c r="I3543" s="575"/>
      <c r="J3543" s="575"/>
      <c r="K3543" s="575"/>
    </row>
    <row r="3544" spans="1:11" x14ac:dyDescent="0.2">
      <c r="A3544" s="583"/>
      <c r="B3544" s="640"/>
      <c r="F3544" s="575"/>
      <c r="G3544" s="575"/>
      <c r="H3544" s="575"/>
      <c r="I3544" s="575"/>
      <c r="J3544" s="575"/>
      <c r="K3544" s="575"/>
    </row>
    <row r="3545" spans="1:11" x14ac:dyDescent="0.2">
      <c r="A3545" s="583"/>
      <c r="B3545" s="640"/>
      <c r="F3545" s="575"/>
      <c r="G3545" s="575"/>
      <c r="H3545" s="575"/>
      <c r="I3545" s="575"/>
      <c r="J3545" s="575"/>
      <c r="K3545" s="575"/>
    </row>
    <row r="3546" spans="1:11" x14ac:dyDescent="0.2">
      <c r="A3546" s="583"/>
      <c r="B3546" s="640"/>
      <c r="F3546" s="575"/>
      <c r="G3546" s="575"/>
      <c r="H3546" s="575"/>
      <c r="I3546" s="575"/>
      <c r="J3546" s="575"/>
      <c r="K3546" s="575"/>
    </row>
    <row r="3547" spans="1:11" x14ac:dyDescent="0.2">
      <c r="A3547" s="583"/>
      <c r="B3547" s="640"/>
      <c r="F3547" s="575"/>
      <c r="G3547" s="575"/>
      <c r="H3547" s="575"/>
      <c r="I3547" s="575"/>
      <c r="J3547" s="575"/>
      <c r="K3547" s="575"/>
    </row>
    <row r="3548" spans="1:11" x14ac:dyDescent="0.2">
      <c r="A3548" s="583"/>
      <c r="B3548" s="640"/>
      <c r="F3548" s="575"/>
      <c r="G3548" s="575"/>
      <c r="H3548" s="575"/>
      <c r="I3548" s="575"/>
      <c r="J3548" s="575"/>
      <c r="K3548" s="575"/>
    </row>
    <row r="3549" spans="1:11" x14ac:dyDescent="0.2">
      <c r="A3549" s="583"/>
      <c r="B3549" s="640"/>
      <c r="F3549" s="575"/>
      <c r="G3549" s="575"/>
      <c r="H3549" s="575"/>
      <c r="I3549" s="575"/>
      <c r="J3549" s="575"/>
      <c r="K3549" s="575"/>
    </row>
    <row r="3550" spans="1:11" x14ac:dyDescent="0.2">
      <c r="A3550" s="583"/>
      <c r="B3550" s="640"/>
      <c r="F3550" s="575"/>
      <c r="G3550" s="575"/>
      <c r="H3550" s="575"/>
      <c r="I3550" s="575"/>
      <c r="J3550" s="575"/>
      <c r="K3550" s="575"/>
    </row>
    <row r="3551" spans="1:11" x14ac:dyDescent="0.2">
      <c r="A3551" s="583"/>
      <c r="B3551" s="640"/>
      <c r="F3551" s="575"/>
      <c r="G3551" s="575"/>
      <c r="H3551" s="575"/>
      <c r="I3551" s="575"/>
      <c r="J3551" s="575"/>
      <c r="K3551" s="575"/>
    </row>
    <row r="3552" spans="1:11" x14ac:dyDescent="0.2">
      <c r="A3552" s="583"/>
      <c r="B3552" s="640"/>
      <c r="F3552" s="575"/>
      <c r="G3552" s="575"/>
      <c r="H3552" s="575"/>
      <c r="I3552" s="575"/>
      <c r="J3552" s="575"/>
      <c r="K3552" s="575"/>
    </row>
    <row r="3553" spans="1:11" x14ac:dyDescent="0.2">
      <c r="A3553" s="583"/>
      <c r="B3553" s="640"/>
      <c r="F3553" s="575"/>
      <c r="G3553" s="575"/>
      <c r="H3553" s="575"/>
      <c r="I3553" s="575"/>
      <c r="J3553" s="575"/>
      <c r="K3553" s="575"/>
    </row>
    <row r="3554" spans="1:11" x14ac:dyDescent="0.2">
      <c r="A3554" s="583"/>
      <c r="B3554" s="640"/>
      <c r="F3554" s="575"/>
      <c r="G3554" s="575"/>
      <c r="H3554" s="575"/>
      <c r="I3554" s="575"/>
      <c r="J3554" s="575"/>
      <c r="K3554" s="575"/>
    </row>
    <row r="3555" spans="1:11" x14ac:dyDescent="0.2">
      <c r="A3555" s="583"/>
      <c r="B3555" s="640"/>
      <c r="F3555" s="575"/>
      <c r="G3555" s="575"/>
      <c r="H3555" s="575"/>
      <c r="I3555" s="575"/>
      <c r="J3555" s="575"/>
      <c r="K3555" s="575"/>
    </row>
    <row r="3556" spans="1:11" x14ac:dyDescent="0.2">
      <c r="A3556" s="583"/>
      <c r="B3556" s="640"/>
      <c r="F3556" s="575"/>
      <c r="G3556" s="575"/>
      <c r="H3556" s="575"/>
      <c r="I3556" s="575"/>
      <c r="J3556" s="575"/>
      <c r="K3556" s="575"/>
    </row>
    <row r="3557" spans="1:11" x14ac:dyDescent="0.2">
      <c r="A3557" s="583"/>
      <c r="B3557" s="640"/>
      <c r="F3557" s="575"/>
      <c r="G3557" s="575"/>
      <c r="H3557" s="575"/>
      <c r="I3557" s="575"/>
      <c r="J3557" s="575"/>
      <c r="K3557" s="575"/>
    </row>
    <row r="3558" spans="1:11" x14ac:dyDescent="0.2">
      <c r="A3558" s="583"/>
      <c r="B3558" s="640"/>
      <c r="F3558" s="575"/>
      <c r="G3558" s="575"/>
      <c r="H3558" s="575"/>
      <c r="I3558" s="575"/>
      <c r="J3558" s="575"/>
      <c r="K3558" s="575"/>
    </row>
    <row r="3559" spans="1:11" x14ac:dyDescent="0.2">
      <c r="A3559" s="583"/>
      <c r="B3559" s="640"/>
      <c r="F3559" s="575"/>
      <c r="G3559" s="575"/>
      <c r="H3559" s="575"/>
      <c r="I3559" s="575"/>
      <c r="J3559" s="575"/>
      <c r="K3559" s="575"/>
    </row>
    <row r="3560" spans="1:11" x14ac:dyDescent="0.2">
      <c r="A3560" s="583"/>
      <c r="B3560" s="640"/>
      <c r="F3560" s="575"/>
      <c r="G3560" s="575"/>
      <c r="H3560" s="575"/>
      <c r="I3560" s="575"/>
      <c r="J3560" s="575"/>
      <c r="K3560" s="575"/>
    </row>
    <row r="3561" spans="1:11" x14ac:dyDescent="0.2">
      <c r="A3561" s="583"/>
      <c r="B3561" s="640"/>
      <c r="F3561" s="575"/>
      <c r="G3561" s="575"/>
      <c r="H3561" s="575"/>
      <c r="I3561" s="575"/>
      <c r="J3561" s="575"/>
      <c r="K3561" s="575"/>
    </row>
    <row r="3562" spans="1:11" x14ac:dyDescent="0.2">
      <c r="A3562" s="583"/>
      <c r="B3562" s="640"/>
      <c r="F3562" s="575"/>
      <c r="G3562" s="575"/>
      <c r="H3562" s="575"/>
      <c r="I3562" s="575"/>
      <c r="J3562" s="575"/>
      <c r="K3562" s="575"/>
    </row>
    <row r="3563" spans="1:11" x14ac:dyDescent="0.2">
      <c r="A3563" s="583"/>
      <c r="B3563" s="640"/>
      <c r="F3563" s="575"/>
      <c r="G3563" s="575"/>
      <c r="H3563" s="575"/>
      <c r="I3563" s="575"/>
      <c r="J3563" s="575"/>
      <c r="K3563" s="575"/>
    </row>
    <row r="3564" spans="1:11" x14ac:dyDescent="0.2">
      <c r="A3564" s="583"/>
      <c r="B3564" s="640"/>
      <c r="F3564" s="575"/>
      <c r="G3564" s="575"/>
      <c r="H3564" s="575"/>
      <c r="I3564" s="575"/>
      <c r="J3564" s="575"/>
      <c r="K3564" s="575"/>
    </row>
    <row r="3565" spans="1:11" x14ac:dyDescent="0.2">
      <c r="A3565" s="583"/>
      <c r="B3565" s="640"/>
      <c r="F3565" s="575"/>
      <c r="G3565" s="575"/>
      <c r="H3565" s="575"/>
      <c r="I3565" s="575"/>
      <c r="J3565" s="575"/>
      <c r="K3565" s="575"/>
    </row>
    <row r="3566" spans="1:11" x14ac:dyDescent="0.2">
      <c r="A3566" s="583"/>
      <c r="B3566" s="640"/>
      <c r="F3566" s="575"/>
      <c r="G3566" s="575"/>
      <c r="H3566" s="575"/>
      <c r="I3566" s="575"/>
      <c r="J3566" s="575"/>
      <c r="K3566" s="575"/>
    </row>
    <row r="3567" spans="1:11" x14ac:dyDescent="0.2">
      <c r="A3567" s="583"/>
      <c r="B3567" s="640"/>
      <c r="F3567" s="575"/>
      <c r="G3567" s="575"/>
      <c r="H3567" s="575"/>
      <c r="I3567" s="575"/>
      <c r="J3567" s="575"/>
      <c r="K3567" s="575"/>
    </row>
    <row r="3568" spans="1:11" x14ac:dyDescent="0.2">
      <c r="A3568" s="583"/>
      <c r="B3568" s="640"/>
      <c r="F3568" s="575"/>
      <c r="G3568" s="575"/>
      <c r="H3568" s="575"/>
      <c r="I3568" s="575"/>
      <c r="J3568" s="575"/>
      <c r="K3568" s="575"/>
    </row>
    <row r="3569" spans="1:11" x14ac:dyDescent="0.2">
      <c r="A3569" s="583"/>
      <c r="B3569" s="640"/>
      <c r="F3569" s="575"/>
      <c r="G3569" s="575"/>
      <c r="H3569" s="575"/>
      <c r="I3569" s="575"/>
      <c r="J3569" s="575"/>
      <c r="K3569" s="575"/>
    </row>
    <row r="3570" spans="1:11" x14ac:dyDescent="0.2">
      <c r="A3570" s="583"/>
      <c r="B3570" s="640"/>
      <c r="F3570" s="575"/>
      <c r="G3570" s="575"/>
      <c r="H3570" s="575"/>
      <c r="I3570" s="575"/>
      <c r="J3570" s="575"/>
      <c r="K3570" s="575"/>
    </row>
    <row r="3571" spans="1:11" x14ac:dyDescent="0.2">
      <c r="A3571" s="583"/>
      <c r="B3571" s="640"/>
      <c r="F3571" s="575"/>
      <c r="G3571" s="575"/>
      <c r="H3571" s="575"/>
      <c r="I3571" s="575"/>
      <c r="J3571" s="575"/>
      <c r="K3571" s="575"/>
    </row>
    <row r="3572" spans="1:11" x14ac:dyDescent="0.2">
      <c r="A3572" s="583"/>
      <c r="B3572" s="640"/>
      <c r="F3572" s="575"/>
      <c r="G3572" s="575"/>
      <c r="H3572" s="575"/>
      <c r="I3572" s="575"/>
      <c r="J3572" s="575"/>
      <c r="K3572" s="575"/>
    </row>
    <row r="3573" spans="1:11" x14ac:dyDescent="0.2">
      <c r="A3573" s="583"/>
      <c r="B3573" s="640"/>
      <c r="F3573" s="575"/>
      <c r="G3573" s="575"/>
      <c r="H3573" s="575"/>
      <c r="I3573" s="575"/>
      <c r="J3573" s="575"/>
      <c r="K3573" s="575"/>
    </row>
    <row r="3574" spans="1:11" x14ac:dyDescent="0.2">
      <c r="A3574" s="583"/>
      <c r="B3574" s="640"/>
      <c r="F3574" s="575"/>
      <c r="G3574" s="575"/>
      <c r="H3574" s="575"/>
      <c r="I3574" s="575"/>
      <c r="J3574" s="575"/>
      <c r="K3574" s="575"/>
    </row>
    <row r="3575" spans="1:11" x14ac:dyDescent="0.2">
      <c r="A3575" s="583"/>
      <c r="B3575" s="640"/>
      <c r="F3575" s="575"/>
      <c r="G3575" s="575"/>
      <c r="H3575" s="575"/>
      <c r="I3575" s="575"/>
      <c r="J3575" s="575"/>
      <c r="K3575" s="575"/>
    </row>
    <row r="3576" spans="1:11" x14ac:dyDescent="0.2">
      <c r="A3576" s="583"/>
      <c r="B3576" s="640"/>
      <c r="F3576" s="575"/>
      <c r="G3576" s="575"/>
      <c r="H3576" s="575"/>
      <c r="I3576" s="575"/>
      <c r="J3576" s="575"/>
      <c r="K3576" s="575"/>
    </row>
    <row r="3577" spans="1:11" x14ac:dyDescent="0.2">
      <c r="A3577" s="583"/>
      <c r="B3577" s="640"/>
      <c r="F3577" s="575"/>
      <c r="G3577" s="575"/>
      <c r="H3577" s="575"/>
      <c r="I3577" s="575"/>
      <c r="J3577" s="575"/>
      <c r="K3577" s="575"/>
    </row>
    <row r="3578" spans="1:11" x14ac:dyDescent="0.2">
      <c r="A3578" s="583"/>
      <c r="B3578" s="640"/>
      <c r="F3578" s="575"/>
      <c r="G3578" s="575"/>
      <c r="H3578" s="575"/>
      <c r="I3578" s="575"/>
      <c r="J3578" s="575"/>
      <c r="K3578" s="575"/>
    </row>
    <row r="3579" spans="1:11" x14ac:dyDescent="0.2">
      <c r="A3579" s="583"/>
      <c r="B3579" s="640"/>
      <c r="F3579" s="575"/>
      <c r="G3579" s="575"/>
      <c r="H3579" s="575"/>
      <c r="I3579" s="575"/>
      <c r="J3579" s="575"/>
      <c r="K3579" s="575"/>
    </row>
    <row r="3580" spans="1:11" x14ac:dyDescent="0.2">
      <c r="A3580" s="583"/>
      <c r="B3580" s="640"/>
      <c r="F3580" s="575"/>
      <c r="G3580" s="575"/>
      <c r="H3580" s="575"/>
      <c r="I3580" s="575"/>
      <c r="J3580" s="575"/>
      <c r="K3580" s="575"/>
    </row>
    <row r="3581" spans="1:11" x14ac:dyDescent="0.2">
      <c r="A3581" s="583"/>
      <c r="B3581" s="640"/>
      <c r="F3581" s="575"/>
      <c r="G3581" s="575"/>
      <c r="H3581" s="575"/>
      <c r="I3581" s="575"/>
      <c r="J3581" s="575"/>
      <c r="K3581" s="575"/>
    </row>
    <row r="3582" spans="1:11" x14ac:dyDescent="0.2">
      <c r="A3582" s="583"/>
      <c r="B3582" s="640"/>
      <c r="F3582" s="575"/>
      <c r="G3582" s="575"/>
      <c r="H3582" s="575"/>
      <c r="I3582" s="575"/>
      <c r="J3582" s="575"/>
      <c r="K3582" s="575"/>
    </row>
    <row r="3583" spans="1:11" x14ac:dyDescent="0.2">
      <c r="A3583" s="583"/>
      <c r="B3583" s="640"/>
      <c r="F3583" s="575"/>
      <c r="G3583" s="575"/>
      <c r="H3583" s="575"/>
      <c r="I3583" s="575"/>
      <c r="J3583" s="575"/>
      <c r="K3583" s="575"/>
    </row>
    <row r="3584" spans="1:11" x14ac:dyDescent="0.2">
      <c r="A3584" s="583"/>
      <c r="B3584" s="640"/>
      <c r="F3584" s="575"/>
      <c r="G3584" s="575"/>
      <c r="H3584" s="575"/>
      <c r="I3584" s="575"/>
      <c r="J3584" s="575"/>
      <c r="K3584" s="575"/>
    </row>
    <row r="3585" spans="1:11" x14ac:dyDescent="0.2">
      <c r="A3585" s="583"/>
      <c r="B3585" s="640"/>
      <c r="F3585" s="575"/>
      <c r="G3585" s="575"/>
      <c r="H3585" s="575"/>
      <c r="I3585" s="575"/>
      <c r="J3585" s="575"/>
      <c r="K3585" s="575"/>
    </row>
    <row r="3586" spans="1:11" x14ac:dyDescent="0.2">
      <c r="A3586" s="583"/>
      <c r="B3586" s="640"/>
      <c r="F3586" s="575"/>
      <c r="G3586" s="575"/>
      <c r="H3586" s="575"/>
      <c r="I3586" s="575"/>
      <c r="J3586" s="575"/>
      <c r="K3586" s="575"/>
    </row>
    <row r="3587" spans="1:11" x14ac:dyDescent="0.2">
      <c r="A3587" s="583"/>
      <c r="B3587" s="640"/>
      <c r="F3587" s="575"/>
      <c r="G3587" s="575"/>
      <c r="H3587" s="575"/>
      <c r="I3587" s="575"/>
      <c r="J3587" s="575"/>
      <c r="K3587" s="575"/>
    </row>
    <row r="3588" spans="1:11" x14ac:dyDescent="0.2">
      <c r="A3588" s="583"/>
      <c r="B3588" s="640"/>
      <c r="F3588" s="575"/>
      <c r="G3588" s="575"/>
      <c r="H3588" s="575"/>
      <c r="I3588" s="575"/>
      <c r="J3588" s="575"/>
      <c r="K3588" s="575"/>
    </row>
    <row r="3589" spans="1:11" x14ac:dyDescent="0.2">
      <c r="A3589" s="583"/>
      <c r="B3589" s="640"/>
      <c r="F3589" s="575"/>
      <c r="G3589" s="575"/>
      <c r="H3589" s="575"/>
      <c r="I3589" s="575"/>
      <c r="J3589" s="575"/>
      <c r="K3589" s="575"/>
    </row>
    <row r="3590" spans="1:11" x14ac:dyDescent="0.2">
      <c r="A3590" s="583"/>
      <c r="B3590" s="640"/>
      <c r="F3590" s="575"/>
      <c r="G3590" s="575"/>
      <c r="H3590" s="575"/>
      <c r="I3590" s="575"/>
      <c r="J3590" s="575"/>
      <c r="K3590" s="575"/>
    </row>
    <row r="3591" spans="1:11" x14ac:dyDescent="0.2">
      <c r="A3591" s="583"/>
      <c r="B3591" s="640"/>
      <c r="F3591" s="575"/>
      <c r="G3591" s="575"/>
      <c r="H3591" s="575"/>
      <c r="I3591" s="575"/>
      <c r="J3591" s="575"/>
      <c r="K3591" s="575"/>
    </row>
    <row r="3592" spans="1:11" x14ac:dyDescent="0.2">
      <c r="A3592" s="583"/>
      <c r="B3592" s="640"/>
      <c r="F3592" s="575"/>
      <c r="G3592" s="575"/>
      <c r="H3592" s="575"/>
      <c r="I3592" s="575"/>
      <c r="J3592" s="575"/>
      <c r="K3592" s="575"/>
    </row>
    <row r="3593" spans="1:11" x14ac:dyDescent="0.2">
      <c r="A3593" s="583"/>
      <c r="B3593" s="640"/>
      <c r="F3593" s="575"/>
      <c r="G3593" s="575"/>
      <c r="H3593" s="575"/>
      <c r="I3593" s="575"/>
      <c r="J3593" s="575"/>
      <c r="K3593" s="575"/>
    </row>
    <row r="3594" spans="1:11" x14ac:dyDescent="0.2">
      <c r="A3594" s="583"/>
      <c r="B3594" s="640"/>
      <c r="F3594" s="575"/>
      <c r="G3594" s="575"/>
      <c r="H3594" s="575"/>
      <c r="I3594" s="575"/>
      <c r="J3594" s="575"/>
      <c r="K3594" s="575"/>
    </row>
    <row r="3595" spans="1:11" x14ac:dyDescent="0.2">
      <c r="A3595" s="583"/>
      <c r="B3595" s="640"/>
      <c r="F3595" s="575"/>
      <c r="G3595" s="575"/>
      <c r="H3595" s="575"/>
      <c r="I3595" s="575"/>
      <c r="J3595" s="575"/>
      <c r="K3595" s="575"/>
    </row>
    <row r="3596" spans="1:11" x14ac:dyDescent="0.2">
      <c r="A3596" s="583"/>
      <c r="B3596" s="640"/>
      <c r="F3596" s="575"/>
      <c r="G3596" s="575"/>
      <c r="H3596" s="575"/>
      <c r="I3596" s="575"/>
      <c r="J3596" s="575"/>
      <c r="K3596" s="575"/>
    </row>
    <row r="3597" spans="1:11" x14ac:dyDescent="0.2">
      <c r="A3597" s="583"/>
      <c r="B3597" s="640"/>
      <c r="F3597" s="575"/>
      <c r="G3597" s="575"/>
      <c r="H3597" s="575"/>
      <c r="I3597" s="575"/>
      <c r="J3597" s="575"/>
      <c r="K3597" s="575"/>
    </row>
    <row r="3598" spans="1:11" x14ac:dyDescent="0.2">
      <c r="A3598" s="583"/>
      <c r="B3598" s="640"/>
      <c r="F3598" s="575"/>
      <c r="G3598" s="575"/>
      <c r="H3598" s="575"/>
      <c r="I3598" s="575"/>
      <c r="J3598" s="575"/>
      <c r="K3598" s="575"/>
    </row>
    <row r="3599" spans="1:11" x14ac:dyDescent="0.2">
      <c r="A3599" s="583"/>
      <c r="B3599" s="640"/>
      <c r="F3599" s="575"/>
      <c r="G3599" s="575"/>
      <c r="H3599" s="575"/>
      <c r="I3599" s="575"/>
      <c r="J3599" s="575"/>
      <c r="K3599" s="575"/>
    </row>
    <row r="3600" spans="1:11" x14ac:dyDescent="0.2">
      <c r="A3600" s="583"/>
      <c r="B3600" s="640"/>
      <c r="F3600" s="575"/>
      <c r="G3600" s="575"/>
      <c r="H3600" s="575"/>
      <c r="I3600" s="575"/>
      <c r="J3600" s="575"/>
      <c r="K3600" s="575"/>
    </row>
    <row r="3601" spans="1:11" x14ac:dyDescent="0.2">
      <c r="A3601" s="583"/>
      <c r="B3601" s="640"/>
      <c r="F3601" s="575"/>
      <c r="G3601" s="575"/>
      <c r="H3601" s="575"/>
      <c r="I3601" s="575"/>
      <c r="J3601" s="575"/>
      <c r="K3601" s="575"/>
    </row>
    <row r="3602" spans="1:11" x14ac:dyDescent="0.2">
      <c r="A3602" s="583"/>
      <c r="B3602" s="640"/>
      <c r="F3602" s="575"/>
      <c r="G3602" s="575"/>
      <c r="H3602" s="575"/>
      <c r="I3602" s="575"/>
      <c r="J3602" s="575"/>
      <c r="K3602" s="575"/>
    </row>
    <row r="3603" spans="1:11" x14ac:dyDescent="0.2">
      <c r="A3603" s="583"/>
      <c r="B3603" s="640"/>
      <c r="F3603" s="575"/>
      <c r="G3603" s="575"/>
      <c r="H3603" s="575"/>
      <c r="I3603" s="575"/>
      <c r="J3603" s="575"/>
      <c r="K3603" s="575"/>
    </row>
    <row r="3604" spans="1:11" x14ac:dyDescent="0.2">
      <c r="A3604" s="583"/>
      <c r="B3604" s="640"/>
      <c r="F3604" s="575"/>
      <c r="G3604" s="575"/>
      <c r="H3604" s="575"/>
      <c r="I3604" s="575"/>
      <c r="J3604" s="575"/>
      <c r="K3604" s="575"/>
    </row>
    <row r="3605" spans="1:11" x14ac:dyDescent="0.2">
      <c r="A3605" s="583"/>
      <c r="B3605" s="640"/>
      <c r="F3605" s="575"/>
      <c r="G3605" s="575"/>
      <c r="H3605" s="575"/>
      <c r="I3605" s="575"/>
      <c r="J3605" s="575"/>
      <c r="K3605" s="575"/>
    </row>
    <row r="3606" spans="1:11" x14ac:dyDescent="0.2">
      <c r="A3606" s="583"/>
      <c r="B3606" s="640"/>
      <c r="F3606" s="575"/>
      <c r="G3606" s="575"/>
      <c r="H3606" s="575"/>
      <c r="I3606" s="575"/>
      <c r="J3606" s="575"/>
      <c r="K3606" s="575"/>
    </row>
    <row r="3607" spans="1:11" x14ac:dyDescent="0.2">
      <c r="A3607" s="583"/>
      <c r="B3607" s="640"/>
      <c r="F3607" s="575"/>
      <c r="G3607" s="575"/>
      <c r="H3607" s="575"/>
      <c r="I3607" s="575"/>
      <c r="J3607" s="575"/>
      <c r="K3607" s="575"/>
    </row>
    <row r="3608" spans="1:11" x14ac:dyDescent="0.2">
      <c r="A3608" s="583"/>
      <c r="B3608" s="640"/>
      <c r="F3608" s="575"/>
      <c r="G3608" s="575"/>
      <c r="H3608" s="575"/>
      <c r="I3608" s="575"/>
      <c r="J3608" s="575"/>
      <c r="K3608" s="575"/>
    </row>
    <row r="3609" spans="1:11" x14ac:dyDescent="0.2">
      <c r="A3609" s="583"/>
      <c r="B3609" s="640"/>
      <c r="F3609" s="575"/>
      <c r="G3609" s="575"/>
      <c r="H3609" s="575"/>
      <c r="I3609" s="575"/>
      <c r="J3609" s="575"/>
      <c r="K3609" s="575"/>
    </row>
    <row r="3610" spans="1:11" x14ac:dyDescent="0.2">
      <c r="A3610" s="583"/>
      <c r="B3610" s="640"/>
      <c r="F3610" s="575"/>
      <c r="G3610" s="575"/>
      <c r="H3610" s="575"/>
      <c r="I3610" s="575"/>
      <c r="J3610" s="575"/>
      <c r="K3610" s="575"/>
    </row>
    <row r="3611" spans="1:11" x14ac:dyDescent="0.2">
      <c r="A3611" s="583"/>
      <c r="B3611" s="640"/>
      <c r="F3611" s="575"/>
      <c r="G3611" s="575"/>
      <c r="H3611" s="575"/>
      <c r="I3611" s="575"/>
      <c r="J3611" s="575"/>
      <c r="K3611" s="575"/>
    </row>
    <row r="3612" spans="1:11" x14ac:dyDescent="0.2">
      <c r="A3612" s="583"/>
      <c r="B3612" s="640"/>
      <c r="F3612" s="575"/>
      <c r="G3612" s="575"/>
      <c r="H3612" s="575"/>
      <c r="I3612" s="575"/>
      <c r="J3612" s="575"/>
      <c r="K3612" s="575"/>
    </row>
    <row r="3613" spans="1:11" x14ac:dyDescent="0.2">
      <c r="A3613" s="583"/>
      <c r="B3613" s="640"/>
      <c r="F3613" s="575"/>
      <c r="G3613" s="575"/>
      <c r="H3613" s="575"/>
      <c r="I3613" s="575"/>
      <c r="J3613" s="575"/>
      <c r="K3613" s="575"/>
    </row>
    <row r="3614" spans="1:11" x14ac:dyDescent="0.2">
      <c r="A3614" s="583"/>
      <c r="B3614" s="640"/>
      <c r="F3614" s="575"/>
      <c r="G3614" s="575"/>
      <c r="H3614" s="575"/>
      <c r="I3614" s="575"/>
      <c r="J3614" s="575"/>
      <c r="K3614" s="575"/>
    </row>
    <row r="3615" spans="1:11" x14ac:dyDescent="0.2">
      <c r="A3615" s="583"/>
      <c r="B3615" s="640"/>
      <c r="F3615" s="575"/>
      <c r="G3615" s="575"/>
      <c r="H3615" s="575"/>
      <c r="I3615" s="575"/>
      <c r="J3615" s="575"/>
      <c r="K3615" s="575"/>
    </row>
    <row r="3616" spans="1:11" x14ac:dyDescent="0.2">
      <c r="A3616" s="583"/>
      <c r="B3616" s="640"/>
      <c r="F3616" s="575"/>
      <c r="G3616" s="575"/>
      <c r="H3616" s="575"/>
      <c r="I3616" s="575"/>
      <c r="J3616" s="575"/>
      <c r="K3616" s="575"/>
    </row>
    <row r="3617" spans="1:11" x14ac:dyDescent="0.2">
      <c r="A3617" s="583"/>
      <c r="B3617" s="640"/>
      <c r="F3617" s="575"/>
      <c r="G3617" s="575"/>
      <c r="H3617" s="575"/>
      <c r="I3617" s="575"/>
      <c r="J3617" s="575"/>
      <c r="K3617" s="575"/>
    </row>
    <row r="3618" spans="1:11" x14ac:dyDescent="0.2">
      <c r="A3618" s="583"/>
      <c r="B3618" s="640"/>
      <c r="F3618" s="575"/>
      <c r="G3618" s="575"/>
      <c r="H3618" s="575"/>
      <c r="I3618" s="575"/>
      <c r="J3618" s="575"/>
      <c r="K3618" s="575"/>
    </row>
    <row r="3619" spans="1:11" x14ac:dyDescent="0.2">
      <c r="A3619" s="583"/>
      <c r="B3619" s="640"/>
      <c r="F3619" s="575"/>
      <c r="G3619" s="575"/>
      <c r="H3619" s="575"/>
      <c r="I3619" s="575"/>
      <c r="J3619" s="575"/>
      <c r="K3619" s="575"/>
    </row>
    <row r="3620" spans="1:11" x14ac:dyDescent="0.2">
      <c r="A3620" s="583"/>
      <c r="B3620" s="640"/>
      <c r="F3620" s="575"/>
      <c r="G3620" s="575"/>
      <c r="H3620" s="575"/>
      <c r="I3620" s="575"/>
      <c r="J3620" s="575"/>
      <c r="K3620" s="575"/>
    </row>
    <row r="3621" spans="1:11" x14ac:dyDescent="0.2">
      <c r="A3621" s="583"/>
      <c r="B3621" s="640"/>
      <c r="F3621" s="575"/>
      <c r="G3621" s="575"/>
      <c r="H3621" s="575"/>
      <c r="I3621" s="575"/>
      <c r="J3621" s="575"/>
      <c r="K3621" s="575"/>
    </row>
    <row r="3622" spans="1:11" x14ac:dyDescent="0.2">
      <c r="A3622" s="583"/>
      <c r="B3622" s="640"/>
      <c r="F3622" s="575"/>
      <c r="G3622" s="575"/>
      <c r="H3622" s="575"/>
      <c r="I3622" s="575"/>
      <c r="J3622" s="575"/>
      <c r="K3622" s="575"/>
    </row>
  </sheetData>
  <mergeCells count="65">
    <mergeCell ref="A221:F221"/>
    <mergeCell ref="A222:F222"/>
    <mergeCell ref="A223:F223"/>
    <mergeCell ref="A227:K227"/>
    <mergeCell ref="A228:K228"/>
    <mergeCell ref="A220:F220"/>
    <mergeCell ref="A209:K209"/>
    <mergeCell ref="A210:F210"/>
    <mergeCell ref="A211:F211"/>
    <mergeCell ref="A212:F212"/>
    <mergeCell ref="A213:F213"/>
    <mergeCell ref="A214:F214"/>
    <mergeCell ref="A215:F215"/>
    <mergeCell ref="A216:F216"/>
    <mergeCell ref="A217:F217"/>
    <mergeCell ref="A218:F218"/>
    <mergeCell ref="A219:F219"/>
    <mergeCell ref="A208:F208"/>
    <mergeCell ref="A188:F188"/>
    <mergeCell ref="A189:F189"/>
    <mergeCell ref="A190:F190"/>
    <mergeCell ref="A191:F191"/>
    <mergeCell ref="A192:K192"/>
    <mergeCell ref="A193:K193"/>
    <mergeCell ref="A196:K196"/>
    <mergeCell ref="A199:K199"/>
    <mergeCell ref="A205:F205"/>
    <mergeCell ref="A206:F206"/>
    <mergeCell ref="A207:F207"/>
    <mergeCell ref="A74:K74"/>
    <mergeCell ref="A88:K88"/>
    <mergeCell ref="A173:K173"/>
    <mergeCell ref="A109:F109"/>
    <mergeCell ref="A110:F110"/>
    <mergeCell ref="A111:F111"/>
    <mergeCell ref="A112:F112"/>
    <mergeCell ref="A113:K113"/>
    <mergeCell ref="A114:K114"/>
    <mergeCell ref="B115:K115"/>
    <mergeCell ref="B121:K121"/>
    <mergeCell ref="A131:K131"/>
    <mergeCell ref="A145:K145"/>
    <mergeCell ref="A159:K159"/>
    <mergeCell ref="A102:K102"/>
    <mergeCell ref="J24:K25"/>
    <mergeCell ref="G25:G26"/>
    <mergeCell ref="H25:H26"/>
    <mergeCell ref="A28:K28"/>
    <mergeCell ref="A29:K29"/>
    <mergeCell ref="B36:K36"/>
    <mergeCell ref="A46:K46"/>
    <mergeCell ref="A60:K60"/>
    <mergeCell ref="D20:E20"/>
    <mergeCell ref="A6:K6"/>
    <mergeCell ref="D16:E16"/>
    <mergeCell ref="D17:E17"/>
    <mergeCell ref="D18:E18"/>
    <mergeCell ref="D19:E19"/>
    <mergeCell ref="B30:K30"/>
    <mergeCell ref="A24:A26"/>
    <mergeCell ref="B24:B26"/>
    <mergeCell ref="C24:C26"/>
    <mergeCell ref="D24:D26"/>
    <mergeCell ref="E24:F24"/>
    <mergeCell ref="G24:I24"/>
  </mergeCells>
  <pageMargins left="0.23622047244094491" right="0.19685039370078741" top="0.51181102362204722" bottom="0.43307086614173229" header="0.31496062992125984" footer="0.23622047244094491"/>
  <pageSetup paperSize="9" scale="75" fitToHeight="10000" orientation="landscape" r:id="rId1"/>
  <headerFooter alignWithMargins="0">
    <oddHeader>&amp;LГранд-Смета (вер.8.1)</oddHeader>
    <oddFooter>&amp;R&amp;P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M1700"/>
  <sheetViews>
    <sheetView topLeftCell="A15" workbookViewId="0">
      <selection activeCell="I24" sqref="I24:K24"/>
    </sheetView>
  </sheetViews>
  <sheetFormatPr defaultColWidth="9.140625" defaultRowHeight="11.25" customHeight="1" x14ac:dyDescent="0.2"/>
  <cols>
    <col min="1" max="1" width="9" style="552" customWidth="1"/>
    <col min="2" max="2" width="20.140625" style="552" customWidth="1"/>
    <col min="3" max="4" width="10.42578125" style="552" customWidth="1"/>
    <col min="5" max="5" width="13.28515625" style="552" customWidth="1"/>
    <col min="6" max="8" width="11.7109375" style="552" customWidth="1"/>
    <col min="9" max="10" width="12.7109375" style="552" customWidth="1"/>
    <col min="11" max="12" width="11.7109375" style="552" customWidth="1"/>
    <col min="13" max="13" width="12.7109375" style="552" customWidth="1"/>
    <col min="14" max="14" width="11.140625" style="552" customWidth="1"/>
    <col min="15" max="16" width="9.140625" style="552"/>
    <col min="17" max="17" width="8.42578125" style="552" customWidth="1"/>
    <col min="18" max="18" width="8.7109375" style="552" customWidth="1"/>
    <col min="19" max="19" width="50" style="491" hidden="1" customWidth="1"/>
    <col min="20" max="20" width="61.5703125" style="491" hidden="1" customWidth="1"/>
    <col min="21" max="22" width="160" style="491" hidden="1" customWidth="1"/>
    <col min="23" max="23" width="96.7109375" style="491" hidden="1" customWidth="1"/>
    <col min="24" max="26" width="160" style="491" hidden="1" customWidth="1"/>
    <col min="27" max="27" width="34.140625" style="491" hidden="1" customWidth="1"/>
    <col min="28" max="28" width="130.85546875" style="491" hidden="1" customWidth="1"/>
    <col min="29" max="33" width="34.140625" style="491" hidden="1" customWidth="1"/>
    <col min="34" max="39" width="98.42578125" style="491" hidden="1" customWidth="1"/>
    <col min="40" max="16384" width="9.140625" style="552"/>
  </cols>
  <sheetData>
    <row r="1" spans="1:22" s="454" customFormat="1" ht="15" x14ac:dyDescent="0.25">
      <c r="A1" s="452"/>
      <c r="B1" s="452"/>
      <c r="C1" s="452"/>
      <c r="D1" s="452"/>
      <c r="E1" s="452"/>
      <c r="F1" s="452"/>
      <c r="G1" s="452"/>
      <c r="H1" s="452"/>
      <c r="I1" s="452"/>
      <c r="J1" s="452"/>
      <c r="K1" s="452"/>
      <c r="L1" s="452"/>
      <c r="M1" s="452"/>
      <c r="N1" s="642"/>
    </row>
    <row r="2" spans="1:22" s="454" customFormat="1" ht="11.25" customHeight="1" x14ac:dyDescent="0.25">
      <c r="A2" s="2666" t="s">
        <v>1145</v>
      </c>
      <c r="B2" s="2666"/>
      <c r="C2" s="2666"/>
      <c r="D2" s="643"/>
      <c r="E2" s="452"/>
      <c r="F2" s="452"/>
      <c r="G2" s="452"/>
      <c r="H2" s="452"/>
      <c r="I2" s="452"/>
      <c r="J2" s="2666" t="s">
        <v>1146</v>
      </c>
      <c r="K2" s="2666"/>
      <c r="L2" s="2666"/>
      <c r="M2" s="2666"/>
    </row>
    <row r="3" spans="1:22" s="454" customFormat="1" ht="11.25" customHeight="1" x14ac:dyDescent="0.25">
      <c r="A3" s="2667"/>
      <c r="B3" s="2667"/>
      <c r="C3" s="2667"/>
      <c r="D3" s="2667"/>
      <c r="E3" s="452"/>
      <c r="F3" s="452"/>
      <c r="G3" s="452"/>
      <c r="H3" s="452"/>
      <c r="I3" s="2668"/>
      <c r="J3" s="2668"/>
      <c r="K3" s="2668"/>
      <c r="L3" s="2668"/>
      <c r="M3" s="2668"/>
    </row>
    <row r="4" spans="1:22" s="454" customFormat="1" ht="15" x14ac:dyDescent="0.25">
      <c r="A4" s="2669"/>
      <c r="B4" s="2669"/>
      <c r="C4" s="2669"/>
      <c r="D4" s="2669"/>
      <c r="E4" s="452"/>
      <c r="F4" s="452"/>
      <c r="G4" s="452"/>
      <c r="H4" s="452"/>
      <c r="I4" s="2669"/>
      <c r="J4" s="2669"/>
      <c r="K4" s="2669"/>
      <c r="L4" s="2669"/>
      <c r="M4" s="2669"/>
      <c r="S4" s="491" t="s">
        <v>588</v>
      </c>
      <c r="T4" s="491" t="s">
        <v>588</v>
      </c>
    </row>
    <row r="5" spans="1:22" s="454" customFormat="1" ht="11.25" customHeight="1" x14ac:dyDescent="0.25">
      <c r="A5" s="644"/>
      <c r="B5" s="645"/>
      <c r="C5" s="646"/>
      <c r="D5" s="646"/>
      <c r="E5" s="452"/>
      <c r="F5" s="452"/>
      <c r="G5" s="452"/>
      <c r="H5" s="452"/>
      <c r="I5" s="644"/>
      <c r="J5" s="644"/>
      <c r="K5" s="644"/>
      <c r="L5" s="644"/>
      <c r="M5" s="645"/>
    </row>
    <row r="6" spans="1:22" s="454" customFormat="1" ht="11.25" customHeight="1" x14ac:dyDescent="0.25">
      <c r="A6" s="452" t="s">
        <v>1633</v>
      </c>
      <c r="B6" s="461"/>
      <c r="C6" s="461"/>
      <c r="D6" s="461"/>
      <c r="E6" s="452"/>
      <c r="F6" s="452"/>
      <c r="G6" s="452"/>
      <c r="H6" s="452"/>
      <c r="I6" s="452"/>
      <c r="J6" s="452"/>
      <c r="K6" s="461"/>
      <c r="L6" s="461"/>
      <c r="M6" s="477" t="s">
        <v>1633</v>
      </c>
    </row>
    <row r="7" spans="1:22" s="454" customFormat="1" ht="11.25" customHeight="1" x14ac:dyDescent="0.25">
      <c r="A7" s="452"/>
      <c r="B7" s="452"/>
      <c r="C7" s="452"/>
      <c r="D7" s="452"/>
      <c r="E7" s="452"/>
      <c r="F7" s="452"/>
      <c r="G7" s="452"/>
      <c r="H7" s="452"/>
      <c r="I7" s="452"/>
      <c r="J7" s="452"/>
      <c r="K7" s="452"/>
      <c r="L7" s="452"/>
      <c r="M7" s="452"/>
      <c r="N7" s="642"/>
    </row>
    <row r="8" spans="1:22" s="454" customFormat="1" ht="15" x14ac:dyDescent="0.25">
      <c r="A8" s="2663" t="s">
        <v>1151</v>
      </c>
      <c r="B8" s="2663"/>
      <c r="C8" s="2663"/>
      <c r="D8" s="2663"/>
      <c r="E8" s="2663"/>
      <c r="F8" s="2663"/>
      <c r="G8" s="2663"/>
      <c r="H8" s="2663"/>
      <c r="I8" s="2663"/>
      <c r="J8" s="2663"/>
      <c r="K8" s="2663"/>
      <c r="L8" s="2663"/>
      <c r="M8" s="2663"/>
      <c r="U8" s="647" t="s">
        <v>1151</v>
      </c>
    </row>
    <row r="9" spans="1:22" s="454" customFormat="1" ht="15" x14ac:dyDescent="0.25">
      <c r="A9" s="2664" t="s">
        <v>675</v>
      </c>
      <c r="B9" s="2664"/>
      <c r="C9" s="2664"/>
      <c r="D9" s="2664"/>
      <c r="E9" s="2664"/>
      <c r="F9" s="2664"/>
      <c r="G9" s="2664"/>
      <c r="H9" s="2664"/>
      <c r="I9" s="2664"/>
      <c r="J9" s="2664"/>
      <c r="K9" s="2664"/>
      <c r="L9" s="2664"/>
      <c r="M9" s="2664"/>
    </row>
    <row r="10" spans="1:22" s="454" customFormat="1" ht="15" x14ac:dyDescent="0.25">
      <c r="A10" s="463"/>
      <c r="B10" s="463"/>
      <c r="C10" s="463"/>
      <c r="D10" s="463"/>
      <c r="E10" s="463"/>
      <c r="F10" s="463"/>
      <c r="G10" s="463"/>
      <c r="H10" s="463"/>
      <c r="I10" s="463"/>
      <c r="J10" s="463"/>
      <c r="K10" s="463"/>
      <c r="L10" s="463"/>
      <c r="M10" s="463"/>
    </row>
    <row r="11" spans="1:22" s="454" customFormat="1" ht="28.5" customHeight="1" x14ac:dyDescent="0.25">
      <c r="A11" s="2665" t="s">
        <v>2685</v>
      </c>
      <c r="B11" s="2665"/>
      <c r="C11" s="2665"/>
      <c r="D11" s="2665"/>
      <c r="E11" s="2665"/>
      <c r="F11" s="2665"/>
      <c r="G11" s="2665"/>
      <c r="H11" s="2665"/>
      <c r="I11" s="2665"/>
      <c r="J11" s="2665"/>
      <c r="K11" s="2665"/>
      <c r="L11" s="2665"/>
      <c r="M11" s="2665"/>
    </row>
    <row r="12" spans="1:22" s="454" customFormat="1" ht="21" customHeight="1" x14ac:dyDescent="0.25">
      <c r="A12" s="2664" t="s">
        <v>1153</v>
      </c>
      <c r="B12" s="2664"/>
      <c r="C12" s="2664"/>
      <c r="D12" s="2664"/>
      <c r="E12" s="2664"/>
      <c r="F12" s="2664"/>
      <c r="G12" s="2664"/>
      <c r="H12" s="2664"/>
      <c r="I12" s="2664"/>
      <c r="J12" s="2664"/>
      <c r="K12" s="2664"/>
      <c r="L12" s="2664"/>
      <c r="M12" s="2664"/>
    </row>
    <row r="13" spans="1:22" s="454" customFormat="1" ht="15" x14ac:dyDescent="0.25">
      <c r="A13" s="2663" t="s">
        <v>1635</v>
      </c>
      <c r="B13" s="2663"/>
      <c r="C13" s="2663"/>
      <c r="D13" s="2663"/>
      <c r="E13" s="2663"/>
      <c r="F13" s="2663"/>
      <c r="G13" s="2663"/>
      <c r="H13" s="2663"/>
      <c r="I13" s="2663"/>
      <c r="J13" s="2663"/>
      <c r="K13" s="2663"/>
      <c r="L13" s="2663"/>
      <c r="M13" s="2663"/>
      <c r="V13" s="647" t="s">
        <v>1635</v>
      </c>
    </row>
    <row r="14" spans="1:22" s="454" customFormat="1" ht="15.75" customHeight="1" x14ac:dyDescent="0.25">
      <c r="A14" s="2664" t="s">
        <v>184</v>
      </c>
      <c r="B14" s="2664"/>
      <c r="C14" s="2664"/>
      <c r="D14" s="2664"/>
      <c r="E14" s="2664"/>
      <c r="F14" s="2664"/>
      <c r="G14" s="2664"/>
      <c r="H14" s="2664"/>
      <c r="I14" s="2664"/>
      <c r="J14" s="2664"/>
      <c r="K14" s="2664"/>
      <c r="L14" s="2664"/>
      <c r="M14" s="2664"/>
    </row>
    <row r="15" spans="1:22" s="454" customFormat="1" ht="30.75" customHeight="1" x14ac:dyDescent="0.25">
      <c r="A15" s="452"/>
      <c r="B15" s="455" t="s">
        <v>1636</v>
      </c>
      <c r="C15" s="2653" t="s">
        <v>2686</v>
      </c>
      <c r="D15" s="2653"/>
      <c r="E15" s="2653"/>
      <c r="F15" s="2653"/>
      <c r="G15" s="2653"/>
      <c r="H15" s="464"/>
      <c r="I15" s="464"/>
      <c r="J15" s="464"/>
      <c r="K15" s="464"/>
      <c r="L15" s="464"/>
      <c r="M15" s="464"/>
      <c r="N15" s="456"/>
      <c r="O15" s="456"/>
    </row>
    <row r="16" spans="1:22" s="454" customFormat="1" ht="12.75" customHeight="1" x14ac:dyDescent="0.25">
      <c r="B16" s="469" t="s">
        <v>1638</v>
      </c>
      <c r="C16" s="469"/>
      <c r="D16" s="648"/>
      <c r="E16" s="649">
        <v>15312.63</v>
      </c>
      <c r="F16" s="479" t="s">
        <v>782</v>
      </c>
      <c r="H16" s="469"/>
      <c r="I16" s="833" t="s">
        <v>4055</v>
      </c>
      <c r="J16" s="833"/>
      <c r="K16" s="833"/>
      <c r="L16" s="833"/>
      <c r="M16" s="834"/>
      <c r="N16" s="474"/>
      <c r="O16" s="469"/>
    </row>
    <row r="17" spans="1:27" s="454" customFormat="1" ht="12.75" customHeight="1" x14ac:dyDescent="0.25">
      <c r="B17" s="469" t="s">
        <v>1639</v>
      </c>
      <c r="D17" s="648"/>
      <c r="E17" s="649">
        <v>15304.51</v>
      </c>
      <c r="F17" s="479" t="s">
        <v>782</v>
      </c>
      <c r="H17" s="469"/>
      <c r="I17" s="833" t="s">
        <v>4053</v>
      </c>
      <c r="J17" s="833" t="s">
        <v>257</v>
      </c>
      <c r="K17" s="833" t="s">
        <v>638</v>
      </c>
      <c r="L17" s="833" t="s">
        <v>4054</v>
      </c>
      <c r="M17" s="834"/>
      <c r="N17" s="474"/>
      <c r="O17" s="469"/>
    </row>
    <row r="18" spans="1:27" s="454" customFormat="1" ht="12.75" customHeight="1" x14ac:dyDescent="0.25">
      <c r="B18" s="469" t="s">
        <v>1640</v>
      </c>
      <c r="D18" s="648"/>
      <c r="E18" s="649">
        <v>8.1199999999999992</v>
      </c>
      <c r="F18" s="479" t="s">
        <v>782</v>
      </c>
      <c r="H18" s="469"/>
      <c r="I18" s="833" t="s">
        <v>319</v>
      </c>
      <c r="J18" s="833">
        <f>29.5+33+33+33</f>
        <v>128.5</v>
      </c>
      <c r="K18" s="835">
        <f>(I788-I718-I700-I698-I675-I668-I647)*6.99</f>
        <v>80795900.159999996</v>
      </c>
      <c r="L18" s="836">
        <f>K18/J18</f>
        <v>628761.87</v>
      </c>
      <c r="M18" s="834"/>
      <c r="N18" s="474"/>
      <c r="O18" s="469"/>
    </row>
    <row r="19" spans="1:27" s="454" customFormat="1" ht="12.75" customHeight="1" x14ac:dyDescent="0.25">
      <c r="B19" s="469" t="s">
        <v>1641</v>
      </c>
      <c r="C19" s="469"/>
      <c r="D19" s="648"/>
      <c r="E19" s="649">
        <v>1140.03</v>
      </c>
      <c r="F19" s="479" t="s">
        <v>782</v>
      </c>
      <c r="H19" s="469"/>
      <c r="J19" s="469"/>
      <c r="K19" s="469"/>
      <c r="L19" s="469"/>
      <c r="M19" s="476"/>
      <c r="N19" s="453"/>
      <c r="O19" s="473"/>
    </row>
    <row r="20" spans="1:27" s="454" customFormat="1" ht="12.75" customHeight="1" x14ac:dyDescent="0.25">
      <c r="B20" s="469" t="s">
        <v>1642</v>
      </c>
      <c r="C20" s="469"/>
      <c r="D20" s="650"/>
      <c r="E20" s="649">
        <v>86562.2</v>
      </c>
      <c r="F20" s="479" t="s">
        <v>1167</v>
      </c>
      <c r="H20" s="469"/>
      <c r="J20" s="469"/>
      <c r="K20" s="469"/>
      <c r="L20" s="469"/>
      <c r="M20" s="480"/>
      <c r="N20" s="480"/>
      <c r="O20" s="479"/>
    </row>
    <row r="21" spans="1:27" s="454" customFormat="1" ht="15" x14ac:dyDescent="0.25">
      <c r="B21" s="469" t="s">
        <v>1643</v>
      </c>
      <c r="C21" s="469"/>
      <c r="E21" s="476"/>
      <c r="F21" s="2654" t="s">
        <v>2687</v>
      </c>
      <c r="G21" s="2654"/>
      <c r="H21" s="2654"/>
      <c r="I21" s="2654"/>
      <c r="J21" s="2654"/>
      <c r="K21" s="2654"/>
      <c r="L21" s="2654"/>
      <c r="M21" s="2654"/>
      <c r="N21" s="480"/>
      <c r="O21" s="479"/>
      <c r="W21" s="456" t="s">
        <v>2687</v>
      </c>
    </row>
    <row r="22" spans="1:27" s="454" customFormat="1" ht="12.75" customHeight="1" x14ac:dyDescent="0.25">
      <c r="A22" s="469"/>
      <c r="B22" s="469"/>
      <c r="D22" s="476"/>
      <c r="E22" s="473"/>
      <c r="F22" s="651"/>
      <c r="G22" s="470"/>
      <c r="H22" s="469"/>
      <c r="I22" s="469"/>
      <c r="J22" s="469"/>
      <c r="K22" s="469"/>
      <c r="L22" s="469"/>
      <c r="M22" s="469"/>
      <c r="N22" s="469"/>
    </row>
    <row r="23" spans="1:27" s="454" customFormat="1" ht="15" x14ac:dyDescent="0.25">
      <c r="A23" s="652"/>
    </row>
    <row r="24" spans="1:27" s="454" customFormat="1" ht="36" customHeight="1" x14ac:dyDescent="0.25">
      <c r="A24" s="2655" t="s">
        <v>5</v>
      </c>
      <c r="B24" s="2655" t="s">
        <v>1169</v>
      </c>
      <c r="C24" s="2655" t="s">
        <v>1170</v>
      </c>
      <c r="D24" s="2655"/>
      <c r="E24" s="2655"/>
      <c r="F24" s="2655" t="s">
        <v>188</v>
      </c>
      <c r="G24" s="2656" t="s">
        <v>1171</v>
      </c>
      <c r="H24" s="2657"/>
      <c r="I24" s="2656" t="s">
        <v>1172</v>
      </c>
      <c r="J24" s="2658"/>
      <c r="K24" s="2657"/>
      <c r="L24" s="2659" t="s">
        <v>1645</v>
      </c>
      <c r="M24" s="2660"/>
    </row>
    <row r="25" spans="1:27" s="454" customFormat="1" ht="46.5" customHeight="1" x14ac:dyDescent="0.25">
      <c r="A25" s="2655"/>
      <c r="B25" s="2655"/>
      <c r="C25" s="2655"/>
      <c r="D25" s="2655"/>
      <c r="E25" s="2655"/>
      <c r="F25" s="2655"/>
      <c r="G25" s="653" t="s">
        <v>631</v>
      </c>
      <c r="H25" s="653" t="s">
        <v>1646</v>
      </c>
      <c r="I25" s="2655" t="s">
        <v>631</v>
      </c>
      <c r="J25" s="2674" t="s">
        <v>1175</v>
      </c>
      <c r="K25" s="653" t="s">
        <v>1646</v>
      </c>
      <c r="L25" s="2661"/>
      <c r="M25" s="2662"/>
    </row>
    <row r="26" spans="1:27" s="454" customFormat="1" ht="24" x14ac:dyDescent="0.25">
      <c r="A26" s="2655"/>
      <c r="B26" s="2655"/>
      <c r="C26" s="2655"/>
      <c r="D26" s="2655"/>
      <c r="E26" s="2655"/>
      <c r="F26" s="2655"/>
      <c r="G26" s="653" t="s">
        <v>1175</v>
      </c>
      <c r="H26" s="654" t="s">
        <v>1177</v>
      </c>
      <c r="I26" s="2655"/>
      <c r="J26" s="2675"/>
      <c r="K26" s="654" t="s">
        <v>1177</v>
      </c>
      <c r="L26" s="653" t="s">
        <v>1178</v>
      </c>
      <c r="M26" s="653" t="s">
        <v>683</v>
      </c>
    </row>
    <row r="27" spans="1:27" s="454" customFormat="1" ht="15" x14ac:dyDescent="0.25">
      <c r="A27" s="655">
        <v>1</v>
      </c>
      <c r="B27" s="655">
        <v>2</v>
      </c>
      <c r="C27" s="2676">
        <v>3</v>
      </c>
      <c r="D27" s="2676"/>
      <c r="E27" s="2676"/>
      <c r="F27" s="655">
        <v>4</v>
      </c>
      <c r="G27" s="655">
        <v>5</v>
      </c>
      <c r="H27" s="655">
        <v>6</v>
      </c>
      <c r="I27" s="655">
        <v>7</v>
      </c>
      <c r="J27" s="655">
        <v>8</v>
      </c>
      <c r="K27" s="655">
        <v>9</v>
      </c>
      <c r="L27" s="655">
        <v>10</v>
      </c>
      <c r="M27" s="655">
        <v>11</v>
      </c>
    </row>
    <row r="28" spans="1:27" s="454" customFormat="1" ht="15" x14ac:dyDescent="0.25">
      <c r="A28" s="2677" t="s">
        <v>1179</v>
      </c>
      <c r="B28" s="2678"/>
      <c r="C28" s="2678"/>
      <c r="D28" s="2678"/>
      <c r="E28" s="2678"/>
      <c r="F28" s="2678"/>
      <c r="G28" s="2678"/>
      <c r="H28" s="2678"/>
      <c r="I28" s="2678"/>
      <c r="J28" s="2678"/>
      <c r="K28" s="2678"/>
      <c r="L28" s="2678"/>
      <c r="M28" s="2679"/>
      <c r="X28" s="656" t="s">
        <v>1179</v>
      </c>
    </row>
    <row r="29" spans="1:27" s="454" customFormat="1" ht="15" x14ac:dyDescent="0.25">
      <c r="A29" s="2680" t="s">
        <v>1180</v>
      </c>
      <c r="B29" s="2681"/>
      <c r="C29" s="2681"/>
      <c r="D29" s="2681"/>
      <c r="E29" s="2681"/>
      <c r="F29" s="2681"/>
      <c r="G29" s="2681"/>
      <c r="H29" s="2681"/>
      <c r="I29" s="2681"/>
      <c r="J29" s="2681"/>
      <c r="K29" s="2681"/>
      <c r="L29" s="2681"/>
      <c r="M29" s="2682"/>
      <c r="X29" s="656"/>
      <c r="Y29" s="657" t="s">
        <v>1180</v>
      </c>
    </row>
    <row r="30" spans="1:27" s="454" customFormat="1" ht="15" x14ac:dyDescent="0.25">
      <c r="A30" s="2680" t="s">
        <v>1181</v>
      </c>
      <c r="B30" s="2681"/>
      <c r="C30" s="2681"/>
      <c r="D30" s="2681"/>
      <c r="E30" s="2681"/>
      <c r="F30" s="2681"/>
      <c r="G30" s="2681"/>
      <c r="H30" s="2681"/>
      <c r="I30" s="2681"/>
      <c r="J30" s="2681"/>
      <c r="K30" s="2681"/>
      <c r="L30" s="2681"/>
      <c r="M30" s="2682"/>
      <c r="X30" s="656"/>
      <c r="Y30" s="657"/>
      <c r="Z30" s="657" t="s">
        <v>1181</v>
      </c>
    </row>
    <row r="31" spans="1:27" s="454" customFormat="1" ht="45.75" x14ac:dyDescent="0.25">
      <c r="A31" s="658" t="s">
        <v>190</v>
      </c>
      <c r="B31" s="659" t="s">
        <v>1703</v>
      </c>
      <c r="C31" s="2673" t="s">
        <v>1704</v>
      </c>
      <c r="D31" s="2673"/>
      <c r="E31" s="2673"/>
      <c r="F31" s="685">
        <v>5.9499999999999997E-2</v>
      </c>
      <c r="G31" s="661" t="s">
        <v>1705</v>
      </c>
      <c r="H31" s="661" t="s">
        <v>1706</v>
      </c>
      <c r="I31" s="661">
        <v>1525</v>
      </c>
      <c r="J31" s="661">
        <v>505</v>
      </c>
      <c r="K31" s="662" t="s">
        <v>2688</v>
      </c>
      <c r="L31" s="672">
        <v>1038.78</v>
      </c>
      <c r="M31" s="672">
        <v>61.81</v>
      </c>
      <c r="X31" s="656"/>
      <c r="Y31" s="657"/>
      <c r="Z31" s="657"/>
      <c r="AA31" s="481" t="s">
        <v>1704</v>
      </c>
    </row>
    <row r="32" spans="1:27" s="454" customFormat="1" ht="15" x14ac:dyDescent="0.25">
      <c r="A32" s="664"/>
      <c r="B32" s="665"/>
      <c r="C32" s="666" t="s">
        <v>2689</v>
      </c>
      <c r="D32" s="667"/>
      <c r="E32" s="667"/>
      <c r="F32" s="667"/>
      <c r="G32" s="667"/>
      <c r="H32" s="667"/>
      <c r="I32" s="667"/>
      <c r="J32" s="667"/>
      <c r="K32" s="667"/>
      <c r="L32" s="667"/>
      <c r="M32" s="668"/>
      <c r="X32" s="656"/>
      <c r="Y32" s="657"/>
      <c r="Z32" s="657"/>
      <c r="AA32" s="481"/>
    </row>
    <row r="33" spans="1:29" s="454" customFormat="1" ht="33.75" x14ac:dyDescent="0.25">
      <c r="A33" s="542"/>
      <c r="B33" s="673" t="s">
        <v>1655</v>
      </c>
      <c r="C33" s="2670" t="s">
        <v>1656</v>
      </c>
      <c r="D33" s="2670"/>
      <c r="E33" s="2670"/>
      <c r="F33" s="2670"/>
      <c r="G33" s="2670"/>
      <c r="H33" s="2670"/>
      <c r="I33" s="2670"/>
      <c r="J33" s="2670"/>
      <c r="K33" s="2670"/>
      <c r="L33" s="2670"/>
      <c r="M33" s="2671"/>
      <c r="X33" s="656"/>
      <c r="Y33" s="657"/>
      <c r="Z33" s="657"/>
      <c r="AA33" s="481"/>
      <c r="AB33" s="491" t="s">
        <v>1656</v>
      </c>
    </row>
    <row r="34" spans="1:29" s="454" customFormat="1" ht="15" x14ac:dyDescent="0.25">
      <c r="A34" s="823"/>
      <c r="B34" s="824"/>
      <c r="C34" s="824"/>
      <c r="D34" s="824"/>
      <c r="E34" s="825" t="s">
        <v>2690</v>
      </c>
      <c r="F34" s="826"/>
      <c r="G34" s="827"/>
      <c r="H34" s="648"/>
      <c r="I34" s="828">
        <v>490</v>
      </c>
      <c r="J34" s="829"/>
      <c r="K34" s="829"/>
      <c r="L34" s="830"/>
      <c r="M34" s="831"/>
      <c r="X34" s="656"/>
      <c r="Y34" s="657"/>
      <c r="Z34" s="657"/>
      <c r="AA34" s="481"/>
    </row>
    <row r="35" spans="1:29" s="454" customFormat="1" ht="15" x14ac:dyDescent="0.25">
      <c r="A35" s="823"/>
      <c r="B35" s="824"/>
      <c r="C35" s="824"/>
      <c r="D35" s="824"/>
      <c r="E35" s="825" t="s">
        <v>2691</v>
      </c>
      <c r="F35" s="826"/>
      <c r="G35" s="827"/>
      <c r="H35" s="648"/>
      <c r="I35" s="828">
        <v>275</v>
      </c>
      <c r="J35" s="829"/>
      <c r="K35" s="829"/>
      <c r="L35" s="830"/>
      <c r="M35" s="831"/>
      <c r="X35" s="656"/>
      <c r="Y35" s="657"/>
      <c r="Z35" s="657"/>
      <c r="AA35" s="481"/>
    </row>
    <row r="36" spans="1:29" s="454" customFormat="1" ht="15" x14ac:dyDescent="0.25">
      <c r="A36" s="823"/>
      <c r="B36" s="824"/>
      <c r="C36" s="824"/>
      <c r="D36" s="824"/>
      <c r="E36" s="825" t="s">
        <v>2692</v>
      </c>
      <c r="F36" s="826"/>
      <c r="G36" s="827"/>
      <c r="H36" s="648"/>
      <c r="I36" s="828">
        <v>2290</v>
      </c>
      <c r="J36" s="829"/>
      <c r="K36" s="829"/>
      <c r="L36" s="830"/>
      <c r="M36" s="831"/>
      <c r="X36" s="656"/>
      <c r="Y36" s="657"/>
      <c r="Z36" s="657"/>
      <c r="AA36" s="481"/>
    </row>
    <row r="37" spans="1:29" s="454" customFormat="1" ht="23.25" x14ac:dyDescent="0.25">
      <c r="A37" s="507"/>
      <c r="B37" s="674" t="s">
        <v>1657</v>
      </c>
      <c r="C37" s="2672" t="s">
        <v>1709</v>
      </c>
      <c r="D37" s="2672"/>
      <c r="E37" s="2672"/>
      <c r="F37" s="675" t="s">
        <v>2693</v>
      </c>
      <c r="G37" s="676" t="s">
        <v>1660</v>
      </c>
      <c r="H37" s="676"/>
      <c r="I37" s="676">
        <v>504.99</v>
      </c>
      <c r="J37" s="676">
        <v>504.99</v>
      </c>
      <c r="K37" s="676"/>
      <c r="L37" s="677"/>
      <c r="M37" s="678"/>
      <c r="X37" s="656"/>
      <c r="Y37" s="657"/>
      <c r="Z37" s="657"/>
      <c r="AA37" s="481"/>
      <c r="AC37" s="456" t="s">
        <v>1709</v>
      </c>
    </row>
    <row r="38" spans="1:29" s="454" customFormat="1" ht="23.25" x14ac:dyDescent="0.25">
      <c r="A38" s="507"/>
      <c r="B38" s="674" t="s">
        <v>639</v>
      </c>
      <c r="C38" s="2672" t="s">
        <v>1711</v>
      </c>
      <c r="D38" s="2672"/>
      <c r="E38" s="2672"/>
      <c r="F38" s="675" t="s">
        <v>2694</v>
      </c>
      <c r="G38" s="676">
        <v>0</v>
      </c>
      <c r="H38" s="676">
        <v>0</v>
      </c>
      <c r="I38" s="676">
        <v>0</v>
      </c>
      <c r="J38" s="676"/>
      <c r="K38" s="676">
        <v>0</v>
      </c>
      <c r="L38" s="677"/>
      <c r="M38" s="678"/>
      <c r="X38" s="656"/>
      <c r="Y38" s="657"/>
      <c r="Z38" s="657"/>
      <c r="AA38" s="481"/>
      <c r="AC38" s="456" t="s">
        <v>1711</v>
      </c>
    </row>
    <row r="39" spans="1:29" s="454" customFormat="1" ht="57" x14ac:dyDescent="0.25">
      <c r="A39" s="507"/>
      <c r="B39" s="674" t="s">
        <v>1713</v>
      </c>
      <c r="C39" s="2672" t="s">
        <v>1714</v>
      </c>
      <c r="D39" s="2672"/>
      <c r="E39" s="2672"/>
      <c r="F39" s="675" t="s">
        <v>2695</v>
      </c>
      <c r="G39" s="676">
        <v>90</v>
      </c>
      <c r="H39" s="676" t="s">
        <v>1716</v>
      </c>
      <c r="I39" s="676">
        <v>636.29999999999995</v>
      </c>
      <c r="J39" s="676"/>
      <c r="K39" s="676" t="s">
        <v>2696</v>
      </c>
      <c r="L39" s="677"/>
      <c r="M39" s="678"/>
      <c r="X39" s="656"/>
      <c r="Y39" s="657"/>
      <c r="Z39" s="657"/>
      <c r="AA39" s="481"/>
      <c r="AC39" s="456" t="s">
        <v>1714</v>
      </c>
    </row>
    <row r="40" spans="1:29" s="454" customFormat="1" ht="45.75" x14ac:dyDescent="0.25">
      <c r="A40" s="507"/>
      <c r="B40" s="674" t="s">
        <v>1718</v>
      </c>
      <c r="C40" s="2672" t="s">
        <v>1719</v>
      </c>
      <c r="D40" s="2672"/>
      <c r="E40" s="2672"/>
      <c r="F40" s="675" t="s">
        <v>2697</v>
      </c>
      <c r="G40" s="676">
        <v>1.53</v>
      </c>
      <c r="H40" s="676" t="s">
        <v>1721</v>
      </c>
      <c r="I40" s="676">
        <v>43.3</v>
      </c>
      <c r="J40" s="676"/>
      <c r="K40" s="676" t="s">
        <v>2698</v>
      </c>
      <c r="L40" s="677"/>
      <c r="M40" s="678"/>
      <c r="X40" s="656"/>
      <c r="Y40" s="657"/>
      <c r="Z40" s="657"/>
      <c r="AA40" s="481"/>
      <c r="AC40" s="456" t="s">
        <v>1719</v>
      </c>
    </row>
    <row r="41" spans="1:29" s="454" customFormat="1" ht="57" x14ac:dyDescent="0.25">
      <c r="A41" s="658" t="s">
        <v>639</v>
      </c>
      <c r="B41" s="659" t="s">
        <v>1723</v>
      </c>
      <c r="C41" s="2673" t="s">
        <v>1724</v>
      </c>
      <c r="D41" s="2673"/>
      <c r="E41" s="2673"/>
      <c r="F41" s="701">
        <v>4.3749999999999997E-2</v>
      </c>
      <c r="G41" s="661" t="s">
        <v>1725</v>
      </c>
      <c r="H41" s="661" t="s">
        <v>1726</v>
      </c>
      <c r="I41" s="661">
        <v>809</v>
      </c>
      <c r="J41" s="661">
        <v>440</v>
      </c>
      <c r="K41" s="662" t="s">
        <v>1193</v>
      </c>
      <c r="L41" s="672">
        <v>1178.82</v>
      </c>
      <c r="M41" s="672">
        <v>51.57</v>
      </c>
      <c r="X41" s="656"/>
      <c r="Y41" s="657"/>
      <c r="Z41" s="657"/>
      <c r="AA41" s="481" t="s">
        <v>1724</v>
      </c>
      <c r="AC41" s="456"/>
    </row>
    <row r="42" spans="1:29" s="454" customFormat="1" ht="15" x14ac:dyDescent="0.25">
      <c r="A42" s="664"/>
      <c r="B42" s="665"/>
      <c r="C42" s="666" t="s">
        <v>2699</v>
      </c>
      <c r="D42" s="667"/>
      <c r="E42" s="667"/>
      <c r="F42" s="667"/>
      <c r="G42" s="667"/>
      <c r="H42" s="667"/>
      <c r="I42" s="667"/>
      <c r="J42" s="667"/>
      <c r="K42" s="667"/>
      <c r="L42" s="667"/>
      <c r="M42" s="668"/>
      <c r="X42" s="656"/>
      <c r="Y42" s="657"/>
      <c r="Z42" s="657"/>
      <c r="AA42" s="481"/>
      <c r="AC42" s="456"/>
    </row>
    <row r="43" spans="1:29" s="454" customFormat="1" ht="33.75" x14ac:dyDescent="0.25">
      <c r="A43" s="542"/>
      <c r="B43" s="673" t="s">
        <v>1655</v>
      </c>
      <c r="C43" s="2670" t="s">
        <v>1656</v>
      </c>
      <c r="D43" s="2670"/>
      <c r="E43" s="2670"/>
      <c r="F43" s="2670"/>
      <c r="G43" s="2670"/>
      <c r="H43" s="2670"/>
      <c r="I43" s="2670"/>
      <c r="J43" s="2670"/>
      <c r="K43" s="2670"/>
      <c r="L43" s="2670"/>
      <c r="M43" s="2671"/>
      <c r="X43" s="656"/>
      <c r="Y43" s="657"/>
      <c r="Z43" s="657"/>
      <c r="AA43" s="481"/>
      <c r="AB43" s="491" t="s">
        <v>1656</v>
      </c>
      <c r="AC43" s="456"/>
    </row>
    <row r="44" spans="1:29" s="454" customFormat="1" ht="15" x14ac:dyDescent="0.25">
      <c r="A44" s="823"/>
      <c r="B44" s="824"/>
      <c r="C44" s="824"/>
      <c r="D44" s="824"/>
      <c r="E44" s="825" t="s">
        <v>2700</v>
      </c>
      <c r="F44" s="826"/>
      <c r="G44" s="827"/>
      <c r="H44" s="648"/>
      <c r="I44" s="828">
        <v>491</v>
      </c>
      <c r="J44" s="829"/>
      <c r="K44" s="829"/>
      <c r="L44" s="830"/>
      <c r="M44" s="831"/>
      <c r="X44" s="656"/>
      <c r="Y44" s="657"/>
      <c r="Z44" s="657"/>
      <c r="AA44" s="481"/>
      <c r="AC44" s="456"/>
    </row>
    <row r="45" spans="1:29" s="454" customFormat="1" ht="15" x14ac:dyDescent="0.25">
      <c r="A45" s="823"/>
      <c r="B45" s="824"/>
      <c r="C45" s="824"/>
      <c r="D45" s="824"/>
      <c r="E45" s="825" t="s">
        <v>2701</v>
      </c>
      <c r="F45" s="826"/>
      <c r="G45" s="827"/>
      <c r="H45" s="648"/>
      <c r="I45" s="828">
        <v>304</v>
      </c>
      <c r="J45" s="829"/>
      <c r="K45" s="829"/>
      <c r="L45" s="830"/>
      <c r="M45" s="831"/>
      <c r="X45" s="656"/>
      <c r="Y45" s="657"/>
      <c r="Z45" s="657"/>
      <c r="AA45" s="481"/>
      <c r="AC45" s="456"/>
    </row>
    <row r="46" spans="1:29" s="454" customFormat="1" ht="15" x14ac:dyDescent="0.25">
      <c r="A46" s="823"/>
      <c r="B46" s="824"/>
      <c r="C46" s="824"/>
      <c r="D46" s="824"/>
      <c r="E46" s="825" t="s">
        <v>2692</v>
      </c>
      <c r="F46" s="826"/>
      <c r="G46" s="827"/>
      <c r="H46" s="648"/>
      <c r="I46" s="828">
        <v>1604</v>
      </c>
      <c r="J46" s="829"/>
      <c r="K46" s="829"/>
      <c r="L46" s="830"/>
      <c r="M46" s="831"/>
      <c r="X46" s="656"/>
      <c r="Y46" s="657"/>
      <c r="Z46" s="657"/>
      <c r="AA46" s="481"/>
      <c r="AC46" s="456"/>
    </row>
    <row r="47" spans="1:29" s="454" customFormat="1" ht="23.25" x14ac:dyDescent="0.25">
      <c r="A47" s="507"/>
      <c r="B47" s="674" t="s">
        <v>1729</v>
      </c>
      <c r="C47" s="2672" t="s">
        <v>1730</v>
      </c>
      <c r="D47" s="2672"/>
      <c r="E47" s="2672"/>
      <c r="F47" s="675" t="s">
        <v>2702</v>
      </c>
      <c r="G47" s="676" t="s">
        <v>1732</v>
      </c>
      <c r="H47" s="676"/>
      <c r="I47" s="676">
        <v>439.89</v>
      </c>
      <c r="J47" s="676">
        <v>439.89</v>
      </c>
      <c r="K47" s="676"/>
      <c r="L47" s="677"/>
      <c r="M47" s="678"/>
      <c r="X47" s="656"/>
      <c r="Y47" s="657"/>
      <c r="Z47" s="657"/>
      <c r="AA47" s="481"/>
      <c r="AC47" s="456" t="s">
        <v>1730</v>
      </c>
    </row>
    <row r="48" spans="1:29" s="454" customFormat="1" ht="23.25" x14ac:dyDescent="0.25">
      <c r="A48" s="507"/>
      <c r="B48" s="674" t="s">
        <v>639</v>
      </c>
      <c r="C48" s="2672" t="s">
        <v>1711</v>
      </c>
      <c r="D48" s="2672"/>
      <c r="E48" s="2672"/>
      <c r="F48" s="675" t="s">
        <v>2703</v>
      </c>
      <c r="G48" s="676">
        <v>0</v>
      </c>
      <c r="H48" s="676">
        <v>0</v>
      </c>
      <c r="I48" s="676">
        <v>0</v>
      </c>
      <c r="J48" s="676"/>
      <c r="K48" s="676">
        <v>0</v>
      </c>
      <c r="L48" s="677"/>
      <c r="M48" s="678"/>
      <c r="X48" s="656"/>
      <c r="Y48" s="657"/>
      <c r="Z48" s="657"/>
      <c r="AA48" s="481"/>
      <c r="AC48" s="456" t="s">
        <v>1711</v>
      </c>
    </row>
    <row r="49" spans="1:30" s="454" customFormat="1" ht="23.25" x14ac:dyDescent="0.25">
      <c r="A49" s="507"/>
      <c r="B49" s="674" t="s">
        <v>1734</v>
      </c>
      <c r="C49" s="2672" t="s">
        <v>1735</v>
      </c>
      <c r="D49" s="2672"/>
      <c r="E49" s="2672"/>
      <c r="F49" s="675" t="s">
        <v>2704</v>
      </c>
      <c r="G49" s="676">
        <v>86.4</v>
      </c>
      <c r="H49" s="676" t="s">
        <v>1737</v>
      </c>
      <c r="I49" s="676">
        <v>114.91</v>
      </c>
      <c r="J49" s="676"/>
      <c r="K49" s="676" t="s">
        <v>2705</v>
      </c>
      <c r="L49" s="677"/>
      <c r="M49" s="678"/>
      <c r="X49" s="656"/>
      <c r="Y49" s="657"/>
      <c r="Z49" s="657"/>
      <c r="AA49" s="481"/>
      <c r="AC49" s="456" t="s">
        <v>1735</v>
      </c>
    </row>
    <row r="50" spans="1:30" s="454" customFormat="1" ht="34.5" x14ac:dyDescent="0.25">
      <c r="A50" s="507"/>
      <c r="B50" s="674" t="s">
        <v>1663</v>
      </c>
      <c r="C50" s="2672" t="s">
        <v>1664</v>
      </c>
      <c r="D50" s="2672"/>
      <c r="E50" s="2672"/>
      <c r="F50" s="675" t="s">
        <v>2706</v>
      </c>
      <c r="G50" s="676">
        <v>111.99</v>
      </c>
      <c r="H50" s="676" t="s">
        <v>1666</v>
      </c>
      <c r="I50" s="676">
        <v>3.36</v>
      </c>
      <c r="J50" s="676"/>
      <c r="K50" s="676" t="s">
        <v>2707</v>
      </c>
      <c r="L50" s="677"/>
      <c r="M50" s="678"/>
      <c r="X50" s="656"/>
      <c r="Y50" s="657"/>
      <c r="Z50" s="657"/>
      <c r="AA50" s="481"/>
      <c r="AC50" s="456" t="s">
        <v>1664</v>
      </c>
    </row>
    <row r="51" spans="1:30" s="454" customFormat="1" ht="23.25" x14ac:dyDescent="0.25">
      <c r="A51" s="507"/>
      <c r="B51" s="674" t="s">
        <v>1741</v>
      </c>
      <c r="C51" s="2672" t="s">
        <v>1742</v>
      </c>
      <c r="D51" s="2672"/>
      <c r="E51" s="2672"/>
      <c r="F51" s="675" t="s">
        <v>2708</v>
      </c>
      <c r="G51" s="676">
        <v>89.99</v>
      </c>
      <c r="H51" s="676" t="s">
        <v>1744</v>
      </c>
      <c r="I51" s="676">
        <v>0.9</v>
      </c>
      <c r="J51" s="676"/>
      <c r="K51" s="676" t="s">
        <v>2709</v>
      </c>
      <c r="L51" s="677"/>
      <c r="M51" s="678"/>
      <c r="X51" s="656"/>
      <c r="Y51" s="657"/>
      <c r="Z51" s="657"/>
      <c r="AA51" s="481"/>
      <c r="AC51" s="456" t="s">
        <v>1742</v>
      </c>
    </row>
    <row r="52" spans="1:30" s="454" customFormat="1" ht="23.25" x14ac:dyDescent="0.25">
      <c r="A52" s="507"/>
      <c r="B52" s="674" t="s">
        <v>1746</v>
      </c>
      <c r="C52" s="2672" t="s">
        <v>1747</v>
      </c>
      <c r="D52" s="2672"/>
      <c r="E52" s="2672"/>
      <c r="F52" s="675" t="s">
        <v>2710</v>
      </c>
      <c r="G52" s="676">
        <v>1.9</v>
      </c>
      <c r="H52" s="676" t="s">
        <v>1749</v>
      </c>
      <c r="I52" s="676">
        <v>3.14</v>
      </c>
      <c r="J52" s="676"/>
      <c r="K52" s="676" t="s">
        <v>2711</v>
      </c>
      <c r="L52" s="677"/>
      <c r="M52" s="678"/>
      <c r="X52" s="656"/>
      <c r="Y52" s="657"/>
      <c r="Z52" s="657"/>
      <c r="AA52" s="481"/>
      <c r="AC52" s="456" t="s">
        <v>1747</v>
      </c>
    </row>
    <row r="53" spans="1:30" s="454" customFormat="1" ht="34.5" x14ac:dyDescent="0.25">
      <c r="A53" s="507"/>
      <c r="B53" s="674" t="s">
        <v>821</v>
      </c>
      <c r="C53" s="2672" t="s">
        <v>1751</v>
      </c>
      <c r="D53" s="2672"/>
      <c r="E53" s="2672"/>
      <c r="F53" s="675" t="s">
        <v>2712</v>
      </c>
      <c r="G53" s="676">
        <v>65.709999999999994</v>
      </c>
      <c r="H53" s="676" t="s">
        <v>1753</v>
      </c>
      <c r="I53" s="676">
        <v>2.63</v>
      </c>
      <c r="J53" s="676"/>
      <c r="K53" s="676" t="s">
        <v>2713</v>
      </c>
      <c r="L53" s="677"/>
      <c r="M53" s="678"/>
      <c r="X53" s="656"/>
      <c r="Y53" s="657"/>
      <c r="Z53" s="657"/>
      <c r="AA53" s="481"/>
      <c r="AC53" s="456" t="s">
        <v>1751</v>
      </c>
    </row>
    <row r="54" spans="1:30" s="454" customFormat="1" ht="23.25" x14ac:dyDescent="0.25">
      <c r="A54" s="507"/>
      <c r="B54" s="674" t="s">
        <v>1755</v>
      </c>
      <c r="C54" s="2672" t="s">
        <v>1257</v>
      </c>
      <c r="D54" s="2672"/>
      <c r="E54" s="2672"/>
      <c r="F54" s="675" t="s">
        <v>2714</v>
      </c>
      <c r="G54" s="676">
        <v>2.44</v>
      </c>
      <c r="H54" s="676"/>
      <c r="I54" s="676">
        <v>0.05</v>
      </c>
      <c r="J54" s="676"/>
      <c r="K54" s="676"/>
      <c r="L54" s="677"/>
      <c r="M54" s="678"/>
      <c r="X54" s="656"/>
      <c r="Y54" s="657"/>
      <c r="Z54" s="657"/>
      <c r="AA54" s="481"/>
      <c r="AC54" s="456" t="s">
        <v>1257</v>
      </c>
    </row>
    <row r="55" spans="1:30" s="454" customFormat="1" ht="23.25" x14ac:dyDescent="0.25">
      <c r="A55" s="507"/>
      <c r="B55" s="674" t="s">
        <v>1757</v>
      </c>
      <c r="C55" s="2672" t="s">
        <v>1758</v>
      </c>
      <c r="D55" s="2672"/>
      <c r="E55" s="2672"/>
      <c r="F55" s="675" t="s">
        <v>2715</v>
      </c>
      <c r="G55" s="676">
        <v>3.62</v>
      </c>
      <c r="H55" s="676"/>
      <c r="I55" s="676">
        <v>24.23</v>
      </c>
      <c r="J55" s="676"/>
      <c r="K55" s="676"/>
      <c r="L55" s="677"/>
      <c r="M55" s="678"/>
      <c r="X55" s="656"/>
      <c r="Y55" s="657"/>
      <c r="Z55" s="657"/>
      <c r="AA55" s="481"/>
      <c r="AC55" s="456" t="s">
        <v>1758</v>
      </c>
    </row>
    <row r="56" spans="1:30" s="454" customFormat="1" ht="23.25" x14ac:dyDescent="0.25">
      <c r="A56" s="507"/>
      <c r="B56" s="674" t="s">
        <v>841</v>
      </c>
      <c r="C56" s="2672" t="s">
        <v>1760</v>
      </c>
      <c r="D56" s="2672"/>
      <c r="E56" s="2672"/>
      <c r="F56" s="675" t="s">
        <v>2716</v>
      </c>
      <c r="G56" s="676">
        <v>11978</v>
      </c>
      <c r="H56" s="676"/>
      <c r="I56" s="676">
        <v>11.98</v>
      </c>
      <c r="J56" s="676"/>
      <c r="K56" s="676"/>
      <c r="L56" s="677"/>
      <c r="M56" s="678"/>
      <c r="X56" s="656"/>
      <c r="Y56" s="657"/>
      <c r="Z56" s="657"/>
      <c r="AA56" s="481"/>
      <c r="AC56" s="456" t="s">
        <v>1760</v>
      </c>
    </row>
    <row r="57" spans="1:30" s="454" customFormat="1" ht="34.5" x14ac:dyDescent="0.25">
      <c r="A57" s="507"/>
      <c r="B57" s="674" t="s">
        <v>1762</v>
      </c>
      <c r="C57" s="2672" t="s">
        <v>1763</v>
      </c>
      <c r="D57" s="2672"/>
      <c r="E57" s="2672"/>
      <c r="F57" s="675" t="s">
        <v>2717</v>
      </c>
      <c r="G57" s="676">
        <v>734.5</v>
      </c>
      <c r="H57" s="676"/>
      <c r="I57" s="676">
        <v>0.88</v>
      </c>
      <c r="J57" s="676"/>
      <c r="K57" s="676"/>
      <c r="L57" s="677"/>
      <c r="M57" s="678"/>
      <c r="X57" s="656"/>
      <c r="Y57" s="657"/>
      <c r="Z57" s="657"/>
      <c r="AA57" s="481"/>
      <c r="AC57" s="456" t="s">
        <v>1763</v>
      </c>
    </row>
    <row r="58" spans="1:30" s="454" customFormat="1" ht="23.25" x14ac:dyDescent="0.25">
      <c r="A58" s="515" t="s">
        <v>863</v>
      </c>
      <c r="B58" s="686" t="s">
        <v>1765</v>
      </c>
      <c r="C58" s="2683" t="s">
        <v>1766</v>
      </c>
      <c r="D58" s="2683"/>
      <c r="E58" s="2683"/>
      <c r="F58" s="687" t="s">
        <v>2718</v>
      </c>
      <c r="G58" s="688">
        <v>0</v>
      </c>
      <c r="H58" s="688"/>
      <c r="I58" s="688">
        <v>0</v>
      </c>
      <c r="J58" s="688"/>
      <c r="K58" s="688"/>
      <c r="L58" s="689"/>
      <c r="M58" s="690"/>
      <c r="X58" s="656"/>
      <c r="Y58" s="657"/>
      <c r="Z58" s="657"/>
      <c r="AA58" s="481"/>
      <c r="AC58" s="456"/>
      <c r="AD58" s="522" t="s">
        <v>1766</v>
      </c>
    </row>
    <row r="59" spans="1:30" s="454" customFormat="1" ht="23.25" x14ac:dyDescent="0.25">
      <c r="A59" s="507"/>
      <c r="B59" s="674" t="s">
        <v>1768</v>
      </c>
      <c r="C59" s="2672" t="s">
        <v>1769</v>
      </c>
      <c r="D59" s="2672"/>
      <c r="E59" s="2672"/>
      <c r="F59" s="675" t="s">
        <v>2719</v>
      </c>
      <c r="G59" s="676">
        <v>10200</v>
      </c>
      <c r="H59" s="676"/>
      <c r="I59" s="676">
        <v>3.06</v>
      </c>
      <c r="J59" s="676"/>
      <c r="K59" s="676"/>
      <c r="L59" s="677"/>
      <c r="M59" s="678"/>
      <c r="X59" s="656"/>
      <c r="Y59" s="657"/>
      <c r="Z59" s="657"/>
      <c r="AA59" s="481"/>
      <c r="AC59" s="456" t="s">
        <v>1769</v>
      </c>
      <c r="AD59" s="522"/>
    </row>
    <row r="60" spans="1:30" s="454" customFormat="1" ht="34.5" x14ac:dyDescent="0.25">
      <c r="A60" s="507"/>
      <c r="B60" s="674" t="s">
        <v>850</v>
      </c>
      <c r="C60" s="2672" t="s">
        <v>1771</v>
      </c>
      <c r="D60" s="2672"/>
      <c r="E60" s="2672"/>
      <c r="F60" s="675" t="s">
        <v>2720</v>
      </c>
      <c r="G60" s="676">
        <v>4455.2</v>
      </c>
      <c r="H60" s="676"/>
      <c r="I60" s="676">
        <v>7.13</v>
      </c>
      <c r="J60" s="676"/>
      <c r="K60" s="676"/>
      <c r="L60" s="677"/>
      <c r="M60" s="678"/>
      <c r="X60" s="656"/>
      <c r="Y60" s="657"/>
      <c r="Z60" s="657"/>
      <c r="AA60" s="481"/>
      <c r="AC60" s="456" t="s">
        <v>1771</v>
      </c>
      <c r="AD60" s="522"/>
    </row>
    <row r="61" spans="1:30" s="454" customFormat="1" ht="23.25" x14ac:dyDescent="0.25">
      <c r="A61" s="515" t="s">
        <v>863</v>
      </c>
      <c r="B61" s="686" t="s">
        <v>1773</v>
      </c>
      <c r="C61" s="2683" t="s">
        <v>1774</v>
      </c>
      <c r="D61" s="2683"/>
      <c r="E61" s="2683"/>
      <c r="F61" s="687" t="s">
        <v>2721</v>
      </c>
      <c r="G61" s="688">
        <v>0</v>
      </c>
      <c r="H61" s="688"/>
      <c r="I61" s="688">
        <v>0</v>
      </c>
      <c r="J61" s="688"/>
      <c r="K61" s="688"/>
      <c r="L61" s="689"/>
      <c r="M61" s="690"/>
      <c r="X61" s="656"/>
      <c r="Y61" s="657"/>
      <c r="Z61" s="657"/>
      <c r="AA61" s="481"/>
      <c r="AC61" s="456"/>
      <c r="AD61" s="522" t="s">
        <v>1774</v>
      </c>
    </row>
    <row r="62" spans="1:30" s="454" customFormat="1" ht="45.75" x14ac:dyDescent="0.25">
      <c r="A62" s="507"/>
      <c r="B62" s="674" t="s">
        <v>1776</v>
      </c>
      <c r="C62" s="2672" t="s">
        <v>1777</v>
      </c>
      <c r="D62" s="2672"/>
      <c r="E62" s="2672"/>
      <c r="F62" s="675" t="s">
        <v>2722</v>
      </c>
      <c r="G62" s="676">
        <v>1056</v>
      </c>
      <c r="H62" s="676"/>
      <c r="I62" s="676">
        <v>34.21</v>
      </c>
      <c r="J62" s="676"/>
      <c r="K62" s="676"/>
      <c r="L62" s="677"/>
      <c r="M62" s="678"/>
      <c r="X62" s="656"/>
      <c r="Y62" s="657"/>
      <c r="Z62" s="657"/>
      <c r="AA62" s="481"/>
      <c r="AC62" s="456" t="s">
        <v>1777</v>
      </c>
      <c r="AD62" s="522"/>
    </row>
    <row r="63" spans="1:30" s="454" customFormat="1" ht="23.25" x14ac:dyDescent="0.25">
      <c r="A63" s="507"/>
      <c r="B63" s="674" t="s">
        <v>1779</v>
      </c>
      <c r="C63" s="2672" t="s">
        <v>1780</v>
      </c>
      <c r="D63" s="2672"/>
      <c r="E63" s="2672"/>
      <c r="F63" s="675" t="s">
        <v>2723</v>
      </c>
      <c r="G63" s="676">
        <v>35.53</v>
      </c>
      <c r="H63" s="676"/>
      <c r="I63" s="676">
        <v>99.63</v>
      </c>
      <c r="J63" s="676"/>
      <c r="K63" s="676"/>
      <c r="L63" s="677"/>
      <c r="M63" s="678"/>
      <c r="X63" s="656"/>
      <c r="Y63" s="657"/>
      <c r="Z63" s="657"/>
      <c r="AA63" s="481"/>
      <c r="AC63" s="456" t="s">
        <v>1780</v>
      </c>
      <c r="AD63" s="522"/>
    </row>
    <row r="64" spans="1:30" s="454" customFormat="1" ht="45" x14ac:dyDescent="0.25">
      <c r="A64" s="658" t="s">
        <v>640</v>
      </c>
      <c r="B64" s="659" t="s">
        <v>1647</v>
      </c>
      <c r="C64" s="2673" t="s">
        <v>1195</v>
      </c>
      <c r="D64" s="2673"/>
      <c r="E64" s="2673"/>
      <c r="F64" s="660">
        <v>4.4409999999999998</v>
      </c>
      <c r="G64" s="661">
        <v>725.69</v>
      </c>
      <c r="H64" s="661"/>
      <c r="I64" s="661">
        <v>3223</v>
      </c>
      <c r="J64" s="661"/>
      <c r="K64" s="662"/>
      <c r="L64" s="663">
        <v>0</v>
      </c>
      <c r="M64" s="663">
        <v>0</v>
      </c>
      <c r="X64" s="656"/>
      <c r="Y64" s="657"/>
      <c r="Z64" s="657"/>
      <c r="AA64" s="481" t="s">
        <v>1195</v>
      </c>
      <c r="AC64" s="456"/>
      <c r="AD64" s="522"/>
    </row>
    <row r="65" spans="1:30" s="454" customFormat="1" ht="15" x14ac:dyDescent="0.25">
      <c r="A65" s="664"/>
      <c r="B65" s="665"/>
      <c r="C65" s="666" t="s">
        <v>2724</v>
      </c>
      <c r="D65" s="667"/>
      <c r="E65" s="667"/>
      <c r="F65" s="667"/>
      <c r="G65" s="667"/>
      <c r="H65" s="667"/>
      <c r="I65" s="667"/>
      <c r="J65" s="667"/>
      <c r="K65" s="667"/>
      <c r="L65" s="667"/>
      <c r="M65" s="668"/>
      <c r="X65" s="656"/>
      <c r="Y65" s="657"/>
      <c r="Z65" s="657"/>
      <c r="AA65" s="481"/>
      <c r="AC65" s="456"/>
      <c r="AD65" s="522"/>
    </row>
    <row r="66" spans="1:30" s="454" customFormat="1" ht="34.5" x14ac:dyDescent="0.25">
      <c r="A66" s="658" t="s">
        <v>232</v>
      </c>
      <c r="B66" s="659" t="s">
        <v>1197</v>
      </c>
      <c r="C66" s="2673" t="s">
        <v>1198</v>
      </c>
      <c r="D66" s="2673"/>
      <c r="E66" s="2673"/>
      <c r="F66" s="660">
        <v>4.375</v>
      </c>
      <c r="G66" s="661" t="s">
        <v>1649</v>
      </c>
      <c r="H66" s="661"/>
      <c r="I66" s="661">
        <v>141</v>
      </c>
      <c r="J66" s="661"/>
      <c r="K66" s="662"/>
      <c r="L66" s="663">
        <v>0</v>
      </c>
      <c r="M66" s="663">
        <v>0</v>
      </c>
      <c r="X66" s="656"/>
      <c r="Y66" s="657"/>
      <c r="Z66" s="657"/>
      <c r="AA66" s="481" t="s">
        <v>1198</v>
      </c>
      <c r="AC66" s="456"/>
      <c r="AD66" s="522"/>
    </row>
    <row r="67" spans="1:30" s="454" customFormat="1" ht="15" x14ac:dyDescent="0.25">
      <c r="A67" s="542"/>
      <c r="B67" s="665"/>
      <c r="C67" s="666" t="s">
        <v>1650</v>
      </c>
      <c r="D67" s="667"/>
      <c r="E67" s="667"/>
      <c r="F67" s="667"/>
      <c r="G67" s="667"/>
      <c r="H67" s="667"/>
      <c r="I67" s="667"/>
      <c r="J67" s="667"/>
      <c r="K67" s="667"/>
      <c r="L67" s="667"/>
      <c r="M67" s="669"/>
      <c r="X67" s="656"/>
      <c r="Y67" s="657"/>
      <c r="Z67" s="657"/>
      <c r="AA67" s="481"/>
      <c r="AC67" s="456"/>
      <c r="AD67" s="522"/>
    </row>
    <row r="68" spans="1:30" s="454" customFormat="1" ht="45" x14ac:dyDescent="0.25">
      <c r="A68" s="658" t="s">
        <v>233</v>
      </c>
      <c r="B68" s="659" t="s">
        <v>1651</v>
      </c>
      <c r="C68" s="2673" t="s">
        <v>1201</v>
      </c>
      <c r="D68" s="2673"/>
      <c r="E68" s="2673"/>
      <c r="F68" s="660">
        <v>0.875</v>
      </c>
      <c r="G68" s="661">
        <v>5584.58</v>
      </c>
      <c r="H68" s="661"/>
      <c r="I68" s="661">
        <v>4887</v>
      </c>
      <c r="J68" s="661"/>
      <c r="K68" s="662"/>
      <c r="L68" s="663">
        <v>0</v>
      </c>
      <c r="M68" s="663">
        <v>0</v>
      </c>
      <c r="X68" s="656"/>
      <c r="Y68" s="657"/>
      <c r="Z68" s="657"/>
      <c r="AA68" s="481" t="s">
        <v>1201</v>
      </c>
      <c r="AC68" s="456"/>
      <c r="AD68" s="522"/>
    </row>
    <row r="69" spans="1:30" s="454" customFormat="1" ht="15" x14ac:dyDescent="0.25">
      <c r="A69" s="2680" t="s">
        <v>1202</v>
      </c>
      <c r="B69" s="2681"/>
      <c r="C69" s="2681"/>
      <c r="D69" s="2681"/>
      <c r="E69" s="2681"/>
      <c r="F69" s="2681"/>
      <c r="G69" s="2681"/>
      <c r="H69" s="2681"/>
      <c r="I69" s="2681"/>
      <c r="J69" s="2681"/>
      <c r="K69" s="2681"/>
      <c r="L69" s="2681"/>
      <c r="M69" s="2682"/>
      <c r="X69" s="656"/>
      <c r="Y69" s="657"/>
      <c r="Z69" s="657" t="s">
        <v>1202</v>
      </c>
      <c r="AA69" s="481"/>
      <c r="AC69" s="456"/>
      <c r="AD69" s="522"/>
    </row>
    <row r="70" spans="1:30" s="454" customFormat="1" ht="45" x14ac:dyDescent="0.25">
      <c r="A70" s="658" t="s">
        <v>238</v>
      </c>
      <c r="B70" s="659" t="s">
        <v>1783</v>
      </c>
      <c r="C70" s="2673" t="s">
        <v>1784</v>
      </c>
      <c r="D70" s="2673"/>
      <c r="E70" s="2673"/>
      <c r="F70" s="660">
        <v>1.3759999999999999</v>
      </c>
      <c r="G70" s="661" t="s">
        <v>1785</v>
      </c>
      <c r="H70" s="661" t="s">
        <v>1207</v>
      </c>
      <c r="I70" s="661">
        <v>1132</v>
      </c>
      <c r="J70" s="661">
        <v>443</v>
      </c>
      <c r="K70" s="662" t="s">
        <v>1208</v>
      </c>
      <c r="L70" s="691">
        <v>31.1355</v>
      </c>
      <c r="M70" s="672">
        <v>42.84</v>
      </c>
      <c r="X70" s="656"/>
      <c r="Y70" s="657"/>
      <c r="Z70" s="657"/>
      <c r="AA70" s="481" t="s">
        <v>1784</v>
      </c>
      <c r="AC70" s="456"/>
      <c r="AD70" s="522"/>
    </row>
    <row r="71" spans="1:30" s="454" customFormat="1" ht="15" x14ac:dyDescent="0.25">
      <c r="A71" s="664"/>
      <c r="B71" s="665"/>
      <c r="C71" s="666" t="s">
        <v>2725</v>
      </c>
      <c r="D71" s="667"/>
      <c r="E71" s="667"/>
      <c r="F71" s="667"/>
      <c r="G71" s="667"/>
      <c r="H71" s="667"/>
      <c r="I71" s="667"/>
      <c r="J71" s="667"/>
      <c r="K71" s="667"/>
      <c r="L71" s="667"/>
      <c r="M71" s="668"/>
      <c r="X71" s="656"/>
      <c r="Y71" s="657"/>
      <c r="Z71" s="657"/>
      <c r="AA71" s="481"/>
      <c r="AC71" s="456"/>
      <c r="AD71" s="522"/>
    </row>
    <row r="72" spans="1:30" s="454" customFormat="1" ht="15" x14ac:dyDescent="0.25">
      <c r="A72" s="542"/>
      <c r="B72" s="673" t="s">
        <v>1788</v>
      </c>
      <c r="C72" s="2670" t="s">
        <v>1789</v>
      </c>
      <c r="D72" s="2670"/>
      <c r="E72" s="2670"/>
      <c r="F72" s="2670"/>
      <c r="G72" s="2670"/>
      <c r="H72" s="2670"/>
      <c r="I72" s="2670"/>
      <c r="J72" s="2670"/>
      <c r="K72" s="2670"/>
      <c r="L72" s="2670"/>
      <c r="M72" s="2671"/>
      <c r="X72" s="656"/>
      <c r="Y72" s="657"/>
      <c r="Z72" s="657"/>
      <c r="AA72" s="481"/>
      <c r="AB72" s="491" t="s">
        <v>1789</v>
      </c>
      <c r="AC72" s="456"/>
      <c r="AD72" s="522"/>
    </row>
    <row r="73" spans="1:30" s="454" customFormat="1" ht="33.75" x14ac:dyDescent="0.25">
      <c r="A73" s="542"/>
      <c r="B73" s="673" t="s">
        <v>1655</v>
      </c>
      <c r="C73" s="2670" t="s">
        <v>1656</v>
      </c>
      <c r="D73" s="2670"/>
      <c r="E73" s="2670"/>
      <c r="F73" s="2670"/>
      <c r="G73" s="2670"/>
      <c r="H73" s="2670"/>
      <c r="I73" s="2670"/>
      <c r="J73" s="2670"/>
      <c r="K73" s="2670"/>
      <c r="L73" s="2670"/>
      <c r="M73" s="2671"/>
      <c r="X73" s="656"/>
      <c r="Y73" s="657"/>
      <c r="Z73" s="657"/>
      <c r="AA73" s="481"/>
      <c r="AB73" s="491" t="s">
        <v>1656</v>
      </c>
      <c r="AC73" s="456"/>
      <c r="AD73" s="522"/>
    </row>
    <row r="74" spans="1:30" s="454" customFormat="1" ht="15" x14ac:dyDescent="0.25">
      <c r="A74" s="823"/>
      <c r="B74" s="824"/>
      <c r="C74" s="824"/>
      <c r="D74" s="824"/>
      <c r="E74" s="825" t="s">
        <v>2726</v>
      </c>
      <c r="F74" s="826"/>
      <c r="G74" s="827"/>
      <c r="H74" s="648"/>
      <c r="I74" s="828">
        <v>452</v>
      </c>
      <c r="J74" s="829"/>
      <c r="K74" s="829"/>
      <c r="L74" s="830"/>
      <c r="M74" s="831"/>
      <c r="X74" s="656"/>
      <c r="Y74" s="657"/>
      <c r="Z74" s="657"/>
      <c r="AA74" s="481"/>
      <c r="AC74" s="456"/>
      <c r="AD74" s="522"/>
    </row>
    <row r="75" spans="1:30" s="454" customFormat="1" ht="15" x14ac:dyDescent="0.25">
      <c r="A75" s="823"/>
      <c r="B75" s="824"/>
      <c r="C75" s="824"/>
      <c r="D75" s="824"/>
      <c r="E75" s="825" t="s">
        <v>2727</v>
      </c>
      <c r="F75" s="826"/>
      <c r="G75" s="827"/>
      <c r="H75" s="648"/>
      <c r="I75" s="828">
        <v>427</v>
      </c>
      <c r="J75" s="829"/>
      <c r="K75" s="829"/>
      <c r="L75" s="830"/>
      <c r="M75" s="831"/>
      <c r="X75" s="656"/>
      <c r="Y75" s="657"/>
      <c r="Z75" s="657"/>
      <c r="AA75" s="481"/>
      <c r="AC75" s="456"/>
      <c r="AD75" s="522"/>
    </row>
    <row r="76" spans="1:30" s="454" customFormat="1" ht="15" x14ac:dyDescent="0.25">
      <c r="A76" s="823"/>
      <c r="B76" s="824"/>
      <c r="C76" s="824"/>
      <c r="D76" s="824"/>
      <c r="E76" s="825" t="s">
        <v>2692</v>
      </c>
      <c r="F76" s="826"/>
      <c r="G76" s="827"/>
      <c r="H76" s="648"/>
      <c r="I76" s="828">
        <v>2011</v>
      </c>
      <c r="J76" s="829"/>
      <c r="K76" s="829"/>
      <c r="L76" s="830"/>
      <c r="M76" s="831"/>
      <c r="X76" s="656"/>
      <c r="Y76" s="657"/>
      <c r="Z76" s="657"/>
      <c r="AA76" s="481"/>
      <c r="AC76" s="456"/>
      <c r="AD76" s="522"/>
    </row>
    <row r="77" spans="1:30" s="454" customFormat="1" ht="23.25" x14ac:dyDescent="0.25">
      <c r="A77" s="507"/>
      <c r="B77" s="674" t="s">
        <v>1790</v>
      </c>
      <c r="C77" s="2672" t="s">
        <v>1791</v>
      </c>
      <c r="D77" s="2672"/>
      <c r="E77" s="2672"/>
      <c r="F77" s="675" t="s">
        <v>2728</v>
      </c>
      <c r="G77" s="676" t="s">
        <v>1793</v>
      </c>
      <c r="H77" s="676"/>
      <c r="I77" s="676">
        <v>443.39</v>
      </c>
      <c r="J77" s="676">
        <v>443.39</v>
      </c>
      <c r="K77" s="676"/>
      <c r="L77" s="677"/>
      <c r="M77" s="678"/>
      <c r="X77" s="656"/>
      <c r="Y77" s="657"/>
      <c r="Z77" s="657"/>
      <c r="AA77" s="481"/>
      <c r="AC77" s="456" t="s">
        <v>1791</v>
      </c>
      <c r="AD77" s="522"/>
    </row>
    <row r="78" spans="1:30" s="454" customFormat="1" ht="23.25" x14ac:dyDescent="0.25">
      <c r="A78" s="507"/>
      <c r="B78" s="674" t="s">
        <v>639</v>
      </c>
      <c r="C78" s="2672" t="s">
        <v>1661</v>
      </c>
      <c r="D78" s="2672"/>
      <c r="E78" s="2672"/>
      <c r="F78" s="675" t="s">
        <v>2729</v>
      </c>
      <c r="G78" s="676">
        <v>0</v>
      </c>
      <c r="H78" s="676">
        <v>0</v>
      </c>
      <c r="I78" s="676">
        <v>0</v>
      </c>
      <c r="J78" s="676"/>
      <c r="K78" s="676">
        <v>0</v>
      </c>
      <c r="L78" s="677"/>
      <c r="M78" s="678"/>
      <c r="X78" s="656"/>
      <c r="Y78" s="657"/>
      <c r="Z78" s="657"/>
      <c r="AA78" s="481"/>
      <c r="AC78" s="456" t="s">
        <v>1661</v>
      </c>
      <c r="AD78" s="522"/>
    </row>
    <row r="79" spans="1:30" s="454" customFormat="1" ht="34.5" x14ac:dyDescent="0.25">
      <c r="A79" s="507"/>
      <c r="B79" s="674" t="s">
        <v>1663</v>
      </c>
      <c r="C79" s="2672" t="s">
        <v>1664</v>
      </c>
      <c r="D79" s="2672"/>
      <c r="E79" s="2672"/>
      <c r="F79" s="675" t="s">
        <v>2730</v>
      </c>
      <c r="G79" s="676">
        <v>111.99</v>
      </c>
      <c r="H79" s="676" t="s">
        <v>1666</v>
      </c>
      <c r="I79" s="676">
        <v>32.479999999999997</v>
      </c>
      <c r="J79" s="676"/>
      <c r="K79" s="676" t="s">
        <v>2731</v>
      </c>
      <c r="L79" s="677"/>
      <c r="M79" s="678"/>
      <c r="X79" s="656"/>
      <c r="Y79" s="657"/>
      <c r="Z79" s="657"/>
      <c r="AA79" s="481"/>
      <c r="AC79" s="456" t="s">
        <v>1664</v>
      </c>
      <c r="AD79" s="522"/>
    </row>
    <row r="80" spans="1:30" s="454" customFormat="1" ht="34.5" x14ac:dyDescent="0.25">
      <c r="A80" s="507"/>
      <c r="B80" s="674" t="s">
        <v>1797</v>
      </c>
      <c r="C80" s="2672" t="s">
        <v>1798</v>
      </c>
      <c r="D80" s="2672"/>
      <c r="E80" s="2672"/>
      <c r="F80" s="675" t="s">
        <v>2732</v>
      </c>
      <c r="G80" s="676">
        <v>120.04</v>
      </c>
      <c r="H80" s="676" t="s">
        <v>1800</v>
      </c>
      <c r="I80" s="676">
        <v>276.08999999999997</v>
      </c>
      <c r="J80" s="676"/>
      <c r="K80" s="676" t="s">
        <v>2733</v>
      </c>
      <c r="L80" s="677"/>
      <c r="M80" s="678"/>
      <c r="X80" s="656"/>
      <c r="Y80" s="657"/>
      <c r="Z80" s="657"/>
      <c r="AA80" s="481"/>
      <c r="AC80" s="456" t="s">
        <v>1798</v>
      </c>
      <c r="AD80" s="522"/>
    </row>
    <row r="81" spans="1:30" s="454" customFormat="1" ht="34.5" x14ac:dyDescent="0.25">
      <c r="A81" s="507"/>
      <c r="B81" s="674" t="s">
        <v>819</v>
      </c>
      <c r="C81" s="2672" t="s">
        <v>1802</v>
      </c>
      <c r="D81" s="2672"/>
      <c r="E81" s="2672"/>
      <c r="F81" s="675" t="s">
        <v>2734</v>
      </c>
      <c r="G81" s="676">
        <v>0.9</v>
      </c>
      <c r="H81" s="676" t="s">
        <v>1804</v>
      </c>
      <c r="I81" s="676">
        <v>0.11</v>
      </c>
      <c r="J81" s="676"/>
      <c r="K81" s="676" t="s">
        <v>2735</v>
      </c>
      <c r="L81" s="677"/>
      <c r="M81" s="678"/>
      <c r="X81" s="656"/>
      <c r="Y81" s="657"/>
      <c r="Z81" s="657"/>
      <c r="AA81" s="481"/>
      <c r="AC81" s="456" t="s">
        <v>1802</v>
      </c>
      <c r="AD81" s="522"/>
    </row>
    <row r="82" spans="1:30" s="454" customFormat="1" ht="34.5" x14ac:dyDescent="0.25">
      <c r="A82" s="507"/>
      <c r="B82" s="674" t="s">
        <v>821</v>
      </c>
      <c r="C82" s="2672" t="s">
        <v>1751</v>
      </c>
      <c r="D82" s="2672"/>
      <c r="E82" s="2672"/>
      <c r="F82" s="675" t="s">
        <v>2736</v>
      </c>
      <c r="G82" s="676">
        <v>65.709999999999994</v>
      </c>
      <c r="H82" s="676" t="s">
        <v>1753</v>
      </c>
      <c r="I82" s="676">
        <v>26.28</v>
      </c>
      <c r="J82" s="676"/>
      <c r="K82" s="676" t="s">
        <v>2737</v>
      </c>
      <c r="L82" s="677"/>
      <c r="M82" s="678"/>
      <c r="X82" s="656"/>
      <c r="Y82" s="657"/>
      <c r="Z82" s="657"/>
      <c r="AA82" s="481"/>
      <c r="AC82" s="456" t="s">
        <v>1751</v>
      </c>
      <c r="AD82" s="522"/>
    </row>
    <row r="83" spans="1:30" s="454" customFormat="1" ht="23.25" x14ac:dyDescent="0.25">
      <c r="A83" s="507"/>
      <c r="B83" s="674" t="s">
        <v>825</v>
      </c>
      <c r="C83" s="2672" t="s">
        <v>1808</v>
      </c>
      <c r="D83" s="2672"/>
      <c r="E83" s="2672"/>
      <c r="F83" s="675" t="s">
        <v>2738</v>
      </c>
      <c r="G83" s="676">
        <v>1.2</v>
      </c>
      <c r="H83" s="676" t="s">
        <v>1810</v>
      </c>
      <c r="I83" s="676">
        <v>3.7</v>
      </c>
      <c r="J83" s="676"/>
      <c r="K83" s="676" t="s">
        <v>2739</v>
      </c>
      <c r="L83" s="677"/>
      <c r="M83" s="678"/>
      <c r="X83" s="656"/>
      <c r="Y83" s="657"/>
      <c r="Z83" s="657"/>
      <c r="AA83" s="481"/>
      <c r="AC83" s="456" t="s">
        <v>1808</v>
      </c>
      <c r="AD83" s="522"/>
    </row>
    <row r="84" spans="1:30" s="454" customFormat="1" ht="34.5" x14ac:dyDescent="0.25">
      <c r="A84" s="507"/>
      <c r="B84" s="674" t="s">
        <v>827</v>
      </c>
      <c r="C84" s="2672" t="s">
        <v>1812</v>
      </c>
      <c r="D84" s="2672"/>
      <c r="E84" s="2672"/>
      <c r="F84" s="675" t="s">
        <v>2740</v>
      </c>
      <c r="G84" s="676">
        <v>12.31</v>
      </c>
      <c r="H84" s="676" t="s">
        <v>1814</v>
      </c>
      <c r="I84" s="676">
        <v>22.03</v>
      </c>
      <c r="J84" s="676"/>
      <c r="K84" s="676" t="s">
        <v>2741</v>
      </c>
      <c r="L84" s="677"/>
      <c r="M84" s="678"/>
      <c r="X84" s="656"/>
      <c r="Y84" s="657"/>
      <c r="Z84" s="657"/>
      <c r="AA84" s="481"/>
      <c r="AC84" s="456" t="s">
        <v>1812</v>
      </c>
      <c r="AD84" s="522"/>
    </row>
    <row r="85" spans="1:30" s="454" customFormat="1" ht="23.25" x14ac:dyDescent="0.25">
      <c r="A85" s="507"/>
      <c r="B85" s="674" t="s">
        <v>830</v>
      </c>
      <c r="C85" s="2672" t="s">
        <v>1816</v>
      </c>
      <c r="D85" s="2672"/>
      <c r="E85" s="2672"/>
      <c r="F85" s="675" t="s">
        <v>2742</v>
      </c>
      <c r="G85" s="676">
        <v>6.22</v>
      </c>
      <c r="H85" s="676"/>
      <c r="I85" s="676">
        <v>16.690000000000001</v>
      </c>
      <c r="J85" s="676"/>
      <c r="K85" s="676"/>
      <c r="L85" s="677"/>
      <c r="M85" s="678"/>
      <c r="X85" s="656"/>
      <c r="Y85" s="657"/>
      <c r="Z85" s="657"/>
      <c r="AA85" s="481"/>
      <c r="AC85" s="456" t="s">
        <v>1816</v>
      </c>
      <c r="AD85" s="522"/>
    </row>
    <row r="86" spans="1:30" s="454" customFormat="1" ht="23.25" x14ac:dyDescent="0.25">
      <c r="A86" s="507"/>
      <c r="B86" s="674" t="s">
        <v>833</v>
      </c>
      <c r="C86" s="2672" t="s">
        <v>1818</v>
      </c>
      <c r="D86" s="2672"/>
      <c r="E86" s="2672"/>
      <c r="F86" s="675" t="s">
        <v>2743</v>
      </c>
      <c r="G86" s="676">
        <v>6.09</v>
      </c>
      <c r="H86" s="676"/>
      <c r="I86" s="676">
        <v>4.9400000000000004</v>
      </c>
      <c r="J86" s="676"/>
      <c r="K86" s="676"/>
      <c r="L86" s="677"/>
      <c r="M86" s="678"/>
      <c r="X86" s="656"/>
      <c r="Y86" s="657"/>
      <c r="Z86" s="657"/>
      <c r="AA86" s="481"/>
      <c r="AC86" s="456" t="s">
        <v>1818</v>
      </c>
      <c r="AD86" s="522"/>
    </row>
    <row r="87" spans="1:30" s="454" customFormat="1" ht="23.25" x14ac:dyDescent="0.25">
      <c r="A87" s="507"/>
      <c r="B87" s="674" t="s">
        <v>1820</v>
      </c>
      <c r="C87" s="2672" t="s">
        <v>1821</v>
      </c>
      <c r="D87" s="2672"/>
      <c r="E87" s="2672"/>
      <c r="F87" s="675" t="s">
        <v>2744</v>
      </c>
      <c r="G87" s="676">
        <v>10749</v>
      </c>
      <c r="H87" s="676"/>
      <c r="I87" s="676">
        <v>15.05</v>
      </c>
      <c r="J87" s="676"/>
      <c r="K87" s="676"/>
      <c r="L87" s="677"/>
      <c r="M87" s="678"/>
      <c r="X87" s="656"/>
      <c r="Y87" s="657"/>
      <c r="Z87" s="657"/>
      <c r="AA87" s="481"/>
      <c r="AC87" s="456" t="s">
        <v>1821</v>
      </c>
      <c r="AD87" s="522"/>
    </row>
    <row r="88" spans="1:30" s="454" customFormat="1" ht="23.25" x14ac:dyDescent="0.25">
      <c r="A88" s="507"/>
      <c r="B88" s="674" t="s">
        <v>1823</v>
      </c>
      <c r="C88" s="2672" t="s">
        <v>1824</v>
      </c>
      <c r="D88" s="2672"/>
      <c r="E88" s="2672"/>
      <c r="F88" s="675" t="s">
        <v>2745</v>
      </c>
      <c r="G88" s="676">
        <v>9040.01</v>
      </c>
      <c r="H88" s="676"/>
      <c r="I88" s="676">
        <v>27.12</v>
      </c>
      <c r="J88" s="676"/>
      <c r="K88" s="676"/>
      <c r="L88" s="677"/>
      <c r="M88" s="678"/>
      <c r="X88" s="656"/>
      <c r="Y88" s="657"/>
      <c r="Z88" s="657"/>
      <c r="AA88" s="481"/>
      <c r="AC88" s="456" t="s">
        <v>1824</v>
      </c>
      <c r="AD88" s="522"/>
    </row>
    <row r="89" spans="1:30" s="454" customFormat="1" ht="23.25" x14ac:dyDescent="0.25">
      <c r="A89" s="507"/>
      <c r="B89" s="674" t="s">
        <v>841</v>
      </c>
      <c r="C89" s="2672" t="s">
        <v>1760</v>
      </c>
      <c r="D89" s="2672"/>
      <c r="E89" s="2672"/>
      <c r="F89" s="675" t="s">
        <v>1826</v>
      </c>
      <c r="G89" s="676">
        <v>11978</v>
      </c>
      <c r="H89" s="676"/>
      <c r="I89" s="676">
        <v>0</v>
      </c>
      <c r="J89" s="676"/>
      <c r="K89" s="676"/>
      <c r="L89" s="677"/>
      <c r="M89" s="678"/>
      <c r="X89" s="656"/>
      <c r="Y89" s="657"/>
      <c r="Z89" s="657"/>
      <c r="AA89" s="481"/>
      <c r="AC89" s="456" t="s">
        <v>1760</v>
      </c>
      <c r="AD89" s="522"/>
    </row>
    <row r="90" spans="1:30" s="454" customFormat="1" ht="23.25" x14ac:dyDescent="0.25">
      <c r="A90" s="507"/>
      <c r="B90" s="674" t="s">
        <v>843</v>
      </c>
      <c r="C90" s="2672" t="s">
        <v>1827</v>
      </c>
      <c r="D90" s="2672"/>
      <c r="E90" s="2672"/>
      <c r="F90" s="675" t="s">
        <v>2746</v>
      </c>
      <c r="G90" s="676">
        <v>37900</v>
      </c>
      <c r="H90" s="676"/>
      <c r="I90" s="676">
        <v>3.79</v>
      </c>
      <c r="J90" s="676"/>
      <c r="K90" s="676"/>
      <c r="L90" s="677"/>
      <c r="M90" s="678"/>
      <c r="X90" s="656"/>
      <c r="Y90" s="657"/>
      <c r="Z90" s="657"/>
      <c r="AA90" s="481"/>
      <c r="AC90" s="456" t="s">
        <v>1827</v>
      </c>
      <c r="AD90" s="522"/>
    </row>
    <row r="91" spans="1:30" s="454" customFormat="1" ht="57" x14ac:dyDescent="0.25">
      <c r="A91" s="507"/>
      <c r="B91" s="674" t="s">
        <v>1829</v>
      </c>
      <c r="C91" s="2672" t="s">
        <v>1830</v>
      </c>
      <c r="D91" s="2672"/>
      <c r="E91" s="2672"/>
      <c r="F91" s="675" t="s">
        <v>2747</v>
      </c>
      <c r="G91" s="676">
        <v>7712</v>
      </c>
      <c r="H91" s="676"/>
      <c r="I91" s="676">
        <v>47.81</v>
      </c>
      <c r="J91" s="676"/>
      <c r="K91" s="676"/>
      <c r="L91" s="677"/>
      <c r="M91" s="678"/>
      <c r="X91" s="656"/>
      <c r="Y91" s="657"/>
      <c r="Z91" s="657"/>
      <c r="AA91" s="481"/>
      <c r="AC91" s="456" t="s">
        <v>1830</v>
      </c>
      <c r="AD91" s="522"/>
    </row>
    <row r="92" spans="1:30" s="454" customFormat="1" ht="23.25" x14ac:dyDescent="0.25">
      <c r="A92" s="515" t="s">
        <v>863</v>
      </c>
      <c r="B92" s="686" t="s">
        <v>1832</v>
      </c>
      <c r="C92" s="2683" t="s">
        <v>1833</v>
      </c>
      <c r="D92" s="2683"/>
      <c r="E92" s="2683"/>
      <c r="F92" s="687" t="s">
        <v>2748</v>
      </c>
      <c r="G92" s="688">
        <v>0</v>
      </c>
      <c r="H92" s="688"/>
      <c r="I92" s="688">
        <v>0</v>
      </c>
      <c r="J92" s="688"/>
      <c r="K92" s="688"/>
      <c r="L92" s="689"/>
      <c r="M92" s="690"/>
      <c r="X92" s="656"/>
      <c r="Y92" s="657"/>
      <c r="Z92" s="657"/>
      <c r="AA92" s="481"/>
      <c r="AC92" s="456"/>
      <c r="AD92" s="522" t="s">
        <v>1833</v>
      </c>
    </row>
    <row r="93" spans="1:30" s="454" customFormat="1" ht="68.25" x14ac:dyDescent="0.25">
      <c r="A93" s="507"/>
      <c r="B93" s="674" t="s">
        <v>847</v>
      </c>
      <c r="C93" s="2672" t="s">
        <v>1835</v>
      </c>
      <c r="D93" s="2672"/>
      <c r="E93" s="2672"/>
      <c r="F93" s="675" t="s">
        <v>2749</v>
      </c>
      <c r="G93" s="676">
        <v>50.24</v>
      </c>
      <c r="H93" s="676"/>
      <c r="I93" s="676">
        <v>1.29</v>
      </c>
      <c r="J93" s="676"/>
      <c r="K93" s="676"/>
      <c r="L93" s="677"/>
      <c r="M93" s="678"/>
      <c r="X93" s="656"/>
      <c r="Y93" s="657"/>
      <c r="Z93" s="657"/>
      <c r="AA93" s="481"/>
      <c r="AC93" s="456" t="s">
        <v>1835</v>
      </c>
      <c r="AD93" s="522"/>
    </row>
    <row r="94" spans="1:30" s="454" customFormat="1" ht="34.5" x14ac:dyDescent="0.25">
      <c r="A94" s="507"/>
      <c r="B94" s="674" t="s">
        <v>850</v>
      </c>
      <c r="C94" s="2672" t="s">
        <v>1771</v>
      </c>
      <c r="D94" s="2672"/>
      <c r="E94" s="2672"/>
      <c r="F94" s="675" t="s">
        <v>1837</v>
      </c>
      <c r="G94" s="676">
        <v>4455.2</v>
      </c>
      <c r="H94" s="676"/>
      <c r="I94" s="676">
        <v>0</v>
      </c>
      <c r="J94" s="676"/>
      <c r="K94" s="676"/>
      <c r="L94" s="677"/>
      <c r="M94" s="678"/>
      <c r="X94" s="656"/>
      <c r="Y94" s="657"/>
      <c r="Z94" s="657"/>
      <c r="AA94" s="481"/>
      <c r="AC94" s="456" t="s">
        <v>1771</v>
      </c>
      <c r="AD94" s="522"/>
    </row>
    <row r="95" spans="1:30" s="454" customFormat="1" ht="23.25" x14ac:dyDescent="0.25">
      <c r="A95" s="507"/>
      <c r="B95" s="674" t="s">
        <v>1838</v>
      </c>
      <c r="C95" s="2672" t="s">
        <v>1839</v>
      </c>
      <c r="D95" s="2672"/>
      <c r="E95" s="2672"/>
      <c r="F95" s="675" t="s">
        <v>2750</v>
      </c>
      <c r="G95" s="676">
        <v>4920</v>
      </c>
      <c r="H95" s="676"/>
      <c r="I95" s="676">
        <v>13.28</v>
      </c>
      <c r="J95" s="676"/>
      <c r="K95" s="676"/>
      <c r="L95" s="677"/>
      <c r="M95" s="678"/>
      <c r="X95" s="656"/>
      <c r="Y95" s="657"/>
      <c r="Z95" s="657"/>
      <c r="AA95" s="481"/>
      <c r="AC95" s="456" t="s">
        <v>1839</v>
      </c>
      <c r="AD95" s="522"/>
    </row>
    <row r="96" spans="1:30" s="454" customFormat="1" ht="45.75" x14ac:dyDescent="0.25">
      <c r="A96" s="507"/>
      <c r="B96" s="674" t="s">
        <v>1841</v>
      </c>
      <c r="C96" s="2672" t="s">
        <v>1842</v>
      </c>
      <c r="D96" s="2672"/>
      <c r="E96" s="2672"/>
      <c r="F96" s="675" t="s">
        <v>2751</v>
      </c>
      <c r="G96" s="676">
        <v>1700</v>
      </c>
      <c r="H96" s="676"/>
      <c r="I96" s="676">
        <v>2.38</v>
      </c>
      <c r="J96" s="676"/>
      <c r="K96" s="676"/>
      <c r="L96" s="677"/>
      <c r="M96" s="678"/>
      <c r="X96" s="656"/>
      <c r="Y96" s="657"/>
      <c r="Z96" s="657"/>
      <c r="AA96" s="481"/>
      <c r="AC96" s="456" t="s">
        <v>1842</v>
      </c>
      <c r="AD96" s="522"/>
    </row>
    <row r="97" spans="1:30" s="454" customFormat="1" ht="23.25" x14ac:dyDescent="0.25">
      <c r="A97" s="507"/>
      <c r="B97" s="674" t="s">
        <v>856</v>
      </c>
      <c r="C97" s="2672" t="s">
        <v>1844</v>
      </c>
      <c r="D97" s="2672"/>
      <c r="E97" s="2672"/>
      <c r="F97" s="675" t="s">
        <v>2752</v>
      </c>
      <c r="G97" s="676">
        <v>15620</v>
      </c>
      <c r="H97" s="676"/>
      <c r="I97" s="676">
        <v>6.25</v>
      </c>
      <c r="J97" s="676"/>
      <c r="K97" s="676"/>
      <c r="L97" s="677"/>
      <c r="M97" s="678"/>
      <c r="X97" s="656"/>
      <c r="Y97" s="657"/>
      <c r="Z97" s="657"/>
      <c r="AA97" s="481"/>
      <c r="AC97" s="456" t="s">
        <v>1844</v>
      </c>
      <c r="AD97" s="522"/>
    </row>
    <row r="98" spans="1:30" s="454" customFormat="1" ht="23.25" x14ac:dyDescent="0.25">
      <c r="A98" s="507"/>
      <c r="B98" s="674" t="s">
        <v>1846</v>
      </c>
      <c r="C98" s="2672" t="s">
        <v>1847</v>
      </c>
      <c r="D98" s="2672"/>
      <c r="E98" s="2672"/>
      <c r="F98" s="675" t="s">
        <v>2753</v>
      </c>
      <c r="G98" s="676">
        <v>9420</v>
      </c>
      <c r="H98" s="676"/>
      <c r="I98" s="676">
        <v>7.54</v>
      </c>
      <c r="J98" s="676"/>
      <c r="K98" s="676"/>
      <c r="L98" s="677"/>
      <c r="M98" s="678"/>
      <c r="X98" s="656"/>
      <c r="Y98" s="657"/>
      <c r="Z98" s="657"/>
      <c r="AA98" s="481"/>
      <c r="AC98" s="456" t="s">
        <v>1847</v>
      </c>
      <c r="AD98" s="522"/>
    </row>
    <row r="99" spans="1:30" s="454" customFormat="1" ht="45" x14ac:dyDescent="0.25">
      <c r="A99" s="658" t="s">
        <v>641</v>
      </c>
      <c r="B99" s="659" t="s">
        <v>1783</v>
      </c>
      <c r="C99" s="2673" t="s">
        <v>1849</v>
      </c>
      <c r="D99" s="2673"/>
      <c r="E99" s="2673"/>
      <c r="F99" s="679">
        <v>3.24</v>
      </c>
      <c r="G99" s="661" t="s">
        <v>1785</v>
      </c>
      <c r="H99" s="661" t="s">
        <v>1207</v>
      </c>
      <c r="I99" s="661">
        <v>2666</v>
      </c>
      <c r="J99" s="661">
        <v>1044</v>
      </c>
      <c r="K99" s="662" t="s">
        <v>2754</v>
      </c>
      <c r="L99" s="691">
        <v>31.1355</v>
      </c>
      <c r="M99" s="672">
        <v>100.88</v>
      </c>
      <c r="X99" s="656"/>
      <c r="Y99" s="657"/>
      <c r="Z99" s="657"/>
      <c r="AA99" s="481" t="s">
        <v>1849</v>
      </c>
      <c r="AC99" s="456"/>
      <c r="AD99" s="522"/>
    </row>
    <row r="100" spans="1:30" s="454" customFormat="1" ht="15" x14ac:dyDescent="0.25">
      <c r="A100" s="664"/>
      <c r="B100" s="665"/>
      <c r="C100" s="666" t="s">
        <v>2755</v>
      </c>
      <c r="D100" s="667"/>
      <c r="E100" s="667"/>
      <c r="F100" s="667"/>
      <c r="G100" s="667"/>
      <c r="H100" s="667"/>
      <c r="I100" s="667"/>
      <c r="J100" s="667"/>
      <c r="K100" s="667"/>
      <c r="L100" s="667"/>
      <c r="M100" s="668"/>
      <c r="X100" s="656"/>
      <c r="Y100" s="657"/>
      <c r="Z100" s="657"/>
      <c r="AA100" s="481"/>
      <c r="AC100" s="456"/>
      <c r="AD100" s="522"/>
    </row>
    <row r="101" spans="1:30" s="454" customFormat="1" ht="15" x14ac:dyDescent="0.25">
      <c r="A101" s="542"/>
      <c r="B101" s="673" t="s">
        <v>1788</v>
      </c>
      <c r="C101" s="2670" t="s">
        <v>1789</v>
      </c>
      <c r="D101" s="2670"/>
      <c r="E101" s="2670"/>
      <c r="F101" s="2670"/>
      <c r="G101" s="2670"/>
      <c r="H101" s="2670"/>
      <c r="I101" s="2670"/>
      <c r="J101" s="2670"/>
      <c r="K101" s="2670"/>
      <c r="L101" s="2670"/>
      <c r="M101" s="2671"/>
      <c r="X101" s="656"/>
      <c r="Y101" s="657"/>
      <c r="Z101" s="657"/>
      <c r="AA101" s="481"/>
      <c r="AB101" s="491" t="s">
        <v>1789</v>
      </c>
      <c r="AC101" s="456"/>
      <c r="AD101" s="522"/>
    </row>
    <row r="102" spans="1:30" s="454" customFormat="1" ht="33.75" x14ac:dyDescent="0.25">
      <c r="A102" s="542"/>
      <c r="B102" s="673" t="s">
        <v>1655</v>
      </c>
      <c r="C102" s="2670" t="s">
        <v>1656</v>
      </c>
      <c r="D102" s="2670"/>
      <c r="E102" s="2670"/>
      <c r="F102" s="2670"/>
      <c r="G102" s="2670"/>
      <c r="H102" s="2670"/>
      <c r="I102" s="2670"/>
      <c r="J102" s="2670"/>
      <c r="K102" s="2670"/>
      <c r="L102" s="2670"/>
      <c r="M102" s="2671"/>
      <c r="X102" s="656"/>
      <c r="Y102" s="657"/>
      <c r="Z102" s="657"/>
      <c r="AA102" s="481"/>
      <c r="AB102" s="491" t="s">
        <v>1656</v>
      </c>
      <c r="AC102" s="456"/>
      <c r="AD102" s="522"/>
    </row>
    <row r="103" spans="1:30" s="454" customFormat="1" ht="15" x14ac:dyDescent="0.25">
      <c r="A103" s="823"/>
      <c r="B103" s="824"/>
      <c r="C103" s="824"/>
      <c r="D103" s="824"/>
      <c r="E103" s="825" t="s">
        <v>2756</v>
      </c>
      <c r="F103" s="826"/>
      <c r="G103" s="827"/>
      <c r="H103" s="648"/>
      <c r="I103" s="828">
        <v>1066</v>
      </c>
      <c r="J103" s="829"/>
      <c r="K103" s="829"/>
      <c r="L103" s="830"/>
      <c r="M103" s="831"/>
      <c r="X103" s="656"/>
      <c r="Y103" s="657"/>
      <c r="Z103" s="657"/>
      <c r="AA103" s="481"/>
      <c r="AC103" s="456"/>
      <c r="AD103" s="522"/>
    </row>
    <row r="104" spans="1:30" s="454" customFormat="1" ht="15" x14ac:dyDescent="0.25">
      <c r="A104" s="823"/>
      <c r="B104" s="824"/>
      <c r="C104" s="824"/>
      <c r="D104" s="824"/>
      <c r="E104" s="825" t="s">
        <v>2757</v>
      </c>
      <c r="F104" s="826"/>
      <c r="G104" s="827"/>
      <c r="H104" s="648"/>
      <c r="I104" s="828">
        <v>1006</v>
      </c>
      <c r="J104" s="829"/>
      <c r="K104" s="829"/>
      <c r="L104" s="830"/>
      <c r="M104" s="831"/>
      <c r="X104" s="656"/>
      <c r="Y104" s="657"/>
      <c r="Z104" s="657"/>
      <c r="AA104" s="481"/>
      <c r="AC104" s="456"/>
      <c r="AD104" s="522"/>
    </row>
    <row r="105" spans="1:30" s="454" customFormat="1" ht="15" x14ac:dyDescent="0.25">
      <c r="A105" s="823"/>
      <c r="B105" s="824"/>
      <c r="C105" s="824"/>
      <c r="D105" s="824"/>
      <c r="E105" s="825" t="s">
        <v>2692</v>
      </c>
      <c r="F105" s="826"/>
      <c r="G105" s="827"/>
      <c r="H105" s="648"/>
      <c r="I105" s="828">
        <v>4738</v>
      </c>
      <c r="J105" s="829"/>
      <c r="K105" s="829"/>
      <c r="L105" s="830"/>
      <c r="M105" s="831"/>
      <c r="X105" s="656"/>
      <c r="Y105" s="657"/>
      <c r="Z105" s="657"/>
      <c r="AA105" s="481"/>
      <c r="AC105" s="456"/>
      <c r="AD105" s="522"/>
    </row>
    <row r="106" spans="1:30" s="454" customFormat="1" ht="23.25" x14ac:dyDescent="0.25">
      <c r="A106" s="507"/>
      <c r="B106" s="674" t="s">
        <v>1790</v>
      </c>
      <c r="C106" s="2672" t="s">
        <v>1791</v>
      </c>
      <c r="D106" s="2672"/>
      <c r="E106" s="2672"/>
      <c r="F106" s="675" t="s">
        <v>2758</v>
      </c>
      <c r="G106" s="676" t="s">
        <v>1793</v>
      </c>
      <c r="H106" s="676"/>
      <c r="I106" s="676">
        <v>1044.1099999999999</v>
      </c>
      <c r="J106" s="676">
        <v>1044.1099999999999</v>
      </c>
      <c r="K106" s="676"/>
      <c r="L106" s="677"/>
      <c r="M106" s="678"/>
      <c r="X106" s="656"/>
      <c r="Y106" s="657"/>
      <c r="Z106" s="657"/>
      <c r="AA106" s="481"/>
      <c r="AC106" s="456" t="s">
        <v>1791</v>
      </c>
      <c r="AD106" s="522"/>
    </row>
    <row r="107" spans="1:30" s="454" customFormat="1" ht="23.25" x14ac:dyDescent="0.25">
      <c r="A107" s="507"/>
      <c r="B107" s="674" t="s">
        <v>639</v>
      </c>
      <c r="C107" s="2672" t="s">
        <v>1661</v>
      </c>
      <c r="D107" s="2672"/>
      <c r="E107" s="2672"/>
      <c r="F107" s="675" t="s">
        <v>2759</v>
      </c>
      <c r="G107" s="676">
        <v>0</v>
      </c>
      <c r="H107" s="676">
        <v>0</v>
      </c>
      <c r="I107" s="676">
        <v>0</v>
      </c>
      <c r="J107" s="676"/>
      <c r="K107" s="676">
        <v>0</v>
      </c>
      <c r="L107" s="677"/>
      <c r="M107" s="678"/>
      <c r="X107" s="656"/>
      <c r="Y107" s="657"/>
      <c r="Z107" s="657"/>
      <c r="AA107" s="481"/>
      <c r="AC107" s="456" t="s">
        <v>1661</v>
      </c>
      <c r="AD107" s="522"/>
    </row>
    <row r="108" spans="1:30" s="454" customFormat="1" ht="34.5" x14ac:dyDescent="0.25">
      <c r="A108" s="507"/>
      <c r="B108" s="674" t="s">
        <v>1663</v>
      </c>
      <c r="C108" s="2672" t="s">
        <v>1664</v>
      </c>
      <c r="D108" s="2672"/>
      <c r="E108" s="2672"/>
      <c r="F108" s="675" t="s">
        <v>2760</v>
      </c>
      <c r="G108" s="676">
        <v>111.99</v>
      </c>
      <c r="H108" s="676" t="s">
        <v>1666</v>
      </c>
      <c r="I108" s="676">
        <v>76.150000000000006</v>
      </c>
      <c r="J108" s="676"/>
      <c r="K108" s="676" t="s">
        <v>2761</v>
      </c>
      <c r="L108" s="677"/>
      <c r="M108" s="678"/>
      <c r="X108" s="656"/>
      <c r="Y108" s="657"/>
      <c r="Z108" s="657"/>
      <c r="AA108" s="481"/>
      <c r="AC108" s="456" t="s">
        <v>1664</v>
      </c>
      <c r="AD108" s="522"/>
    </row>
    <row r="109" spans="1:30" s="454" customFormat="1" ht="34.5" x14ac:dyDescent="0.25">
      <c r="A109" s="507"/>
      <c r="B109" s="674" t="s">
        <v>1797</v>
      </c>
      <c r="C109" s="2672" t="s">
        <v>1798</v>
      </c>
      <c r="D109" s="2672"/>
      <c r="E109" s="2672"/>
      <c r="F109" s="675" t="s">
        <v>2762</v>
      </c>
      <c r="G109" s="676">
        <v>120.04</v>
      </c>
      <c r="H109" s="676" t="s">
        <v>1800</v>
      </c>
      <c r="I109" s="676">
        <v>649.41999999999996</v>
      </c>
      <c r="J109" s="676"/>
      <c r="K109" s="676" t="s">
        <v>2763</v>
      </c>
      <c r="L109" s="677"/>
      <c r="M109" s="678"/>
      <c r="X109" s="656"/>
      <c r="Y109" s="657"/>
      <c r="Z109" s="657"/>
      <c r="AA109" s="481"/>
      <c r="AC109" s="456" t="s">
        <v>1798</v>
      </c>
      <c r="AD109" s="522"/>
    </row>
    <row r="110" spans="1:30" s="454" customFormat="1" ht="34.5" x14ac:dyDescent="0.25">
      <c r="A110" s="507"/>
      <c r="B110" s="674" t="s">
        <v>819</v>
      </c>
      <c r="C110" s="2672" t="s">
        <v>1802</v>
      </c>
      <c r="D110" s="2672"/>
      <c r="E110" s="2672"/>
      <c r="F110" s="675" t="s">
        <v>2764</v>
      </c>
      <c r="G110" s="676">
        <v>0.9</v>
      </c>
      <c r="H110" s="676" t="s">
        <v>1804</v>
      </c>
      <c r="I110" s="676">
        <v>0.26</v>
      </c>
      <c r="J110" s="676"/>
      <c r="K110" s="676" t="s">
        <v>2765</v>
      </c>
      <c r="L110" s="677"/>
      <c r="M110" s="678"/>
      <c r="X110" s="656"/>
      <c r="Y110" s="657"/>
      <c r="Z110" s="657"/>
      <c r="AA110" s="481"/>
      <c r="AC110" s="456" t="s">
        <v>1802</v>
      </c>
      <c r="AD110" s="522"/>
    </row>
    <row r="111" spans="1:30" s="454" customFormat="1" ht="34.5" x14ac:dyDescent="0.25">
      <c r="A111" s="507"/>
      <c r="B111" s="674" t="s">
        <v>821</v>
      </c>
      <c r="C111" s="2672" t="s">
        <v>1751</v>
      </c>
      <c r="D111" s="2672"/>
      <c r="E111" s="2672"/>
      <c r="F111" s="675" t="s">
        <v>2766</v>
      </c>
      <c r="G111" s="676">
        <v>65.709999999999994</v>
      </c>
      <c r="H111" s="676" t="s">
        <v>1753</v>
      </c>
      <c r="I111" s="676">
        <v>61.77</v>
      </c>
      <c r="J111" s="676"/>
      <c r="K111" s="676" t="s">
        <v>2767</v>
      </c>
      <c r="L111" s="677"/>
      <c r="M111" s="678"/>
      <c r="X111" s="656"/>
      <c r="Y111" s="657"/>
      <c r="Z111" s="657"/>
      <c r="AA111" s="481"/>
      <c r="AC111" s="456" t="s">
        <v>1751</v>
      </c>
      <c r="AD111" s="522"/>
    </row>
    <row r="112" spans="1:30" s="454" customFormat="1" ht="23.25" x14ac:dyDescent="0.25">
      <c r="A112" s="507"/>
      <c r="B112" s="674" t="s">
        <v>825</v>
      </c>
      <c r="C112" s="2672" t="s">
        <v>1808</v>
      </c>
      <c r="D112" s="2672"/>
      <c r="E112" s="2672"/>
      <c r="F112" s="675" t="s">
        <v>2768</v>
      </c>
      <c r="G112" s="676">
        <v>1.2</v>
      </c>
      <c r="H112" s="676" t="s">
        <v>1810</v>
      </c>
      <c r="I112" s="676">
        <v>8.7100000000000009</v>
      </c>
      <c r="J112" s="676"/>
      <c r="K112" s="676" t="s">
        <v>2769</v>
      </c>
      <c r="L112" s="677"/>
      <c r="M112" s="678"/>
      <c r="X112" s="656"/>
      <c r="Y112" s="657"/>
      <c r="Z112" s="657"/>
      <c r="AA112" s="481"/>
      <c r="AC112" s="456" t="s">
        <v>1808</v>
      </c>
      <c r="AD112" s="522"/>
    </row>
    <row r="113" spans="1:30" s="454" customFormat="1" ht="34.5" x14ac:dyDescent="0.25">
      <c r="A113" s="507"/>
      <c r="B113" s="674" t="s">
        <v>827</v>
      </c>
      <c r="C113" s="2672" t="s">
        <v>1812</v>
      </c>
      <c r="D113" s="2672"/>
      <c r="E113" s="2672"/>
      <c r="F113" s="675" t="s">
        <v>2770</v>
      </c>
      <c r="G113" s="676">
        <v>12.31</v>
      </c>
      <c r="H113" s="676" t="s">
        <v>1814</v>
      </c>
      <c r="I113" s="676">
        <v>51.83</v>
      </c>
      <c r="J113" s="676"/>
      <c r="K113" s="676" t="s">
        <v>2771</v>
      </c>
      <c r="L113" s="677"/>
      <c r="M113" s="678"/>
      <c r="X113" s="656"/>
      <c r="Y113" s="657"/>
      <c r="Z113" s="657"/>
      <c r="AA113" s="481"/>
      <c r="AC113" s="456" t="s">
        <v>1812</v>
      </c>
      <c r="AD113" s="522"/>
    </row>
    <row r="114" spans="1:30" s="454" customFormat="1" ht="23.25" x14ac:dyDescent="0.25">
      <c r="A114" s="507"/>
      <c r="B114" s="674" t="s">
        <v>830</v>
      </c>
      <c r="C114" s="2672" t="s">
        <v>1816</v>
      </c>
      <c r="D114" s="2672"/>
      <c r="E114" s="2672"/>
      <c r="F114" s="675" t="s">
        <v>2772</v>
      </c>
      <c r="G114" s="676">
        <v>6.22</v>
      </c>
      <c r="H114" s="676"/>
      <c r="I114" s="676">
        <v>39.299999999999997</v>
      </c>
      <c r="J114" s="676"/>
      <c r="K114" s="676"/>
      <c r="L114" s="677"/>
      <c r="M114" s="678"/>
      <c r="X114" s="656"/>
      <c r="Y114" s="657"/>
      <c r="Z114" s="657"/>
      <c r="AA114" s="481"/>
      <c r="AC114" s="456" t="s">
        <v>1816</v>
      </c>
      <c r="AD114" s="522"/>
    </row>
    <row r="115" spans="1:30" s="454" customFormat="1" ht="23.25" x14ac:dyDescent="0.25">
      <c r="A115" s="507"/>
      <c r="B115" s="674" t="s">
        <v>833</v>
      </c>
      <c r="C115" s="2672" t="s">
        <v>1818</v>
      </c>
      <c r="D115" s="2672"/>
      <c r="E115" s="2672"/>
      <c r="F115" s="675" t="s">
        <v>2773</v>
      </c>
      <c r="G115" s="676">
        <v>6.09</v>
      </c>
      <c r="H115" s="676"/>
      <c r="I115" s="676">
        <v>11.64</v>
      </c>
      <c r="J115" s="676"/>
      <c r="K115" s="676"/>
      <c r="L115" s="677"/>
      <c r="M115" s="678"/>
      <c r="X115" s="656"/>
      <c r="Y115" s="657"/>
      <c r="Z115" s="657"/>
      <c r="AA115" s="481"/>
      <c r="AC115" s="456" t="s">
        <v>1818</v>
      </c>
      <c r="AD115" s="522"/>
    </row>
    <row r="116" spans="1:30" s="454" customFormat="1" ht="23.25" x14ac:dyDescent="0.25">
      <c r="A116" s="507"/>
      <c r="B116" s="674" t="s">
        <v>1820</v>
      </c>
      <c r="C116" s="2672" t="s">
        <v>1821</v>
      </c>
      <c r="D116" s="2672"/>
      <c r="E116" s="2672"/>
      <c r="F116" s="675" t="s">
        <v>2774</v>
      </c>
      <c r="G116" s="676">
        <v>10749</v>
      </c>
      <c r="H116" s="676"/>
      <c r="I116" s="676">
        <v>34.4</v>
      </c>
      <c r="J116" s="676"/>
      <c r="K116" s="676"/>
      <c r="L116" s="677"/>
      <c r="M116" s="678"/>
      <c r="X116" s="656"/>
      <c r="Y116" s="657"/>
      <c r="Z116" s="657"/>
      <c r="AA116" s="481"/>
      <c r="AC116" s="456" t="s">
        <v>1821</v>
      </c>
      <c r="AD116" s="522"/>
    </row>
    <row r="117" spans="1:30" s="454" customFormat="1" ht="23.25" x14ac:dyDescent="0.25">
      <c r="A117" s="507"/>
      <c r="B117" s="674" t="s">
        <v>1823</v>
      </c>
      <c r="C117" s="2672" t="s">
        <v>1824</v>
      </c>
      <c r="D117" s="2672"/>
      <c r="E117" s="2672"/>
      <c r="F117" s="675" t="s">
        <v>2775</v>
      </c>
      <c r="G117" s="676">
        <v>9040.01</v>
      </c>
      <c r="H117" s="676"/>
      <c r="I117" s="676">
        <v>64.180000000000007</v>
      </c>
      <c r="J117" s="676"/>
      <c r="K117" s="676"/>
      <c r="L117" s="677"/>
      <c r="M117" s="678"/>
      <c r="X117" s="656"/>
      <c r="Y117" s="657"/>
      <c r="Z117" s="657"/>
      <c r="AA117" s="481"/>
      <c r="AC117" s="456" t="s">
        <v>1824</v>
      </c>
      <c r="AD117" s="522"/>
    </row>
    <row r="118" spans="1:30" s="454" customFormat="1" ht="23.25" x14ac:dyDescent="0.25">
      <c r="A118" s="507"/>
      <c r="B118" s="674" t="s">
        <v>841</v>
      </c>
      <c r="C118" s="2672" t="s">
        <v>1760</v>
      </c>
      <c r="D118" s="2672"/>
      <c r="E118" s="2672"/>
      <c r="F118" s="675" t="s">
        <v>1826</v>
      </c>
      <c r="G118" s="676">
        <v>11978</v>
      </c>
      <c r="H118" s="676"/>
      <c r="I118" s="676">
        <v>0</v>
      </c>
      <c r="J118" s="676"/>
      <c r="K118" s="676"/>
      <c r="L118" s="677"/>
      <c r="M118" s="678"/>
      <c r="X118" s="656"/>
      <c r="Y118" s="657"/>
      <c r="Z118" s="657"/>
      <c r="AA118" s="481"/>
      <c r="AC118" s="456" t="s">
        <v>1760</v>
      </c>
      <c r="AD118" s="522"/>
    </row>
    <row r="119" spans="1:30" s="454" customFormat="1" ht="23.25" x14ac:dyDescent="0.25">
      <c r="A119" s="507"/>
      <c r="B119" s="674" t="s">
        <v>843</v>
      </c>
      <c r="C119" s="2672" t="s">
        <v>1827</v>
      </c>
      <c r="D119" s="2672"/>
      <c r="E119" s="2672"/>
      <c r="F119" s="675" t="s">
        <v>2776</v>
      </c>
      <c r="G119" s="676">
        <v>37900</v>
      </c>
      <c r="H119" s="676"/>
      <c r="I119" s="676">
        <v>11.37</v>
      </c>
      <c r="J119" s="676"/>
      <c r="K119" s="676"/>
      <c r="L119" s="677"/>
      <c r="M119" s="678"/>
      <c r="X119" s="656"/>
      <c r="Y119" s="657"/>
      <c r="Z119" s="657"/>
      <c r="AA119" s="481"/>
      <c r="AC119" s="456" t="s">
        <v>1827</v>
      </c>
      <c r="AD119" s="522"/>
    </row>
    <row r="120" spans="1:30" s="454" customFormat="1" ht="57" x14ac:dyDescent="0.25">
      <c r="A120" s="507"/>
      <c r="B120" s="674" t="s">
        <v>1829</v>
      </c>
      <c r="C120" s="2672" t="s">
        <v>1830</v>
      </c>
      <c r="D120" s="2672"/>
      <c r="E120" s="2672"/>
      <c r="F120" s="675" t="s">
        <v>2777</v>
      </c>
      <c r="G120" s="676">
        <v>7712</v>
      </c>
      <c r="H120" s="676"/>
      <c r="I120" s="676">
        <v>112.6</v>
      </c>
      <c r="J120" s="676"/>
      <c r="K120" s="676"/>
      <c r="L120" s="677"/>
      <c r="M120" s="678"/>
      <c r="X120" s="656"/>
      <c r="Y120" s="657"/>
      <c r="Z120" s="657"/>
      <c r="AA120" s="481"/>
      <c r="AC120" s="456" t="s">
        <v>1830</v>
      </c>
      <c r="AD120" s="522"/>
    </row>
    <row r="121" spans="1:30" s="454" customFormat="1" ht="23.25" x14ac:dyDescent="0.25">
      <c r="A121" s="515" t="s">
        <v>863</v>
      </c>
      <c r="B121" s="686" t="s">
        <v>1832</v>
      </c>
      <c r="C121" s="2683" t="s">
        <v>1833</v>
      </c>
      <c r="D121" s="2683"/>
      <c r="E121" s="2683"/>
      <c r="F121" s="687" t="s">
        <v>2778</v>
      </c>
      <c r="G121" s="688">
        <v>0</v>
      </c>
      <c r="H121" s="688"/>
      <c r="I121" s="688">
        <v>0</v>
      </c>
      <c r="J121" s="688"/>
      <c r="K121" s="688"/>
      <c r="L121" s="689"/>
      <c r="M121" s="690"/>
      <c r="X121" s="656"/>
      <c r="Y121" s="657"/>
      <c r="Z121" s="657"/>
      <c r="AA121" s="481"/>
      <c r="AC121" s="456"/>
      <c r="AD121" s="522" t="s">
        <v>1833</v>
      </c>
    </row>
    <row r="122" spans="1:30" s="454" customFormat="1" ht="68.25" x14ac:dyDescent="0.25">
      <c r="A122" s="507"/>
      <c r="B122" s="674" t="s">
        <v>847</v>
      </c>
      <c r="C122" s="2672" t="s">
        <v>1835</v>
      </c>
      <c r="D122" s="2672"/>
      <c r="E122" s="2672"/>
      <c r="F122" s="675" t="s">
        <v>2779</v>
      </c>
      <c r="G122" s="676">
        <v>50.24</v>
      </c>
      <c r="H122" s="676"/>
      <c r="I122" s="676">
        <v>3.04</v>
      </c>
      <c r="J122" s="676"/>
      <c r="K122" s="676"/>
      <c r="L122" s="677"/>
      <c r="M122" s="678"/>
      <c r="X122" s="656"/>
      <c r="Y122" s="657"/>
      <c r="Z122" s="657"/>
      <c r="AA122" s="481"/>
      <c r="AC122" s="456" t="s">
        <v>1835</v>
      </c>
      <c r="AD122" s="522"/>
    </row>
    <row r="123" spans="1:30" s="454" customFormat="1" ht="34.5" x14ac:dyDescent="0.25">
      <c r="A123" s="507"/>
      <c r="B123" s="674" t="s">
        <v>850</v>
      </c>
      <c r="C123" s="2672" t="s">
        <v>1771</v>
      </c>
      <c r="D123" s="2672"/>
      <c r="E123" s="2672"/>
      <c r="F123" s="675" t="s">
        <v>2780</v>
      </c>
      <c r="G123" s="676">
        <v>4455.2</v>
      </c>
      <c r="H123" s="676"/>
      <c r="I123" s="676">
        <v>0.45</v>
      </c>
      <c r="J123" s="676"/>
      <c r="K123" s="676"/>
      <c r="L123" s="677"/>
      <c r="M123" s="678"/>
      <c r="X123" s="656"/>
      <c r="Y123" s="657"/>
      <c r="Z123" s="657"/>
      <c r="AA123" s="481"/>
      <c r="AC123" s="456" t="s">
        <v>1771</v>
      </c>
      <c r="AD123" s="522"/>
    </row>
    <row r="124" spans="1:30" s="454" customFormat="1" ht="23.25" x14ac:dyDescent="0.25">
      <c r="A124" s="507"/>
      <c r="B124" s="674" t="s">
        <v>1838</v>
      </c>
      <c r="C124" s="2672" t="s">
        <v>1839</v>
      </c>
      <c r="D124" s="2672"/>
      <c r="E124" s="2672"/>
      <c r="F124" s="675" t="s">
        <v>2781</v>
      </c>
      <c r="G124" s="676">
        <v>4920</v>
      </c>
      <c r="H124" s="676"/>
      <c r="I124" s="676">
        <v>31</v>
      </c>
      <c r="J124" s="676"/>
      <c r="K124" s="676"/>
      <c r="L124" s="677"/>
      <c r="M124" s="678"/>
      <c r="X124" s="656"/>
      <c r="Y124" s="657"/>
      <c r="Z124" s="657"/>
      <c r="AA124" s="481"/>
      <c r="AC124" s="456" t="s">
        <v>1839</v>
      </c>
      <c r="AD124" s="522"/>
    </row>
    <row r="125" spans="1:30" s="454" customFormat="1" ht="45.75" x14ac:dyDescent="0.25">
      <c r="A125" s="507"/>
      <c r="B125" s="674" t="s">
        <v>1841</v>
      </c>
      <c r="C125" s="2672" t="s">
        <v>1842</v>
      </c>
      <c r="D125" s="2672"/>
      <c r="E125" s="2672"/>
      <c r="F125" s="675" t="s">
        <v>2782</v>
      </c>
      <c r="G125" s="676">
        <v>1700</v>
      </c>
      <c r="H125" s="676"/>
      <c r="I125" s="676">
        <v>5.61</v>
      </c>
      <c r="J125" s="676"/>
      <c r="K125" s="676"/>
      <c r="L125" s="677"/>
      <c r="M125" s="678"/>
      <c r="X125" s="656"/>
      <c r="Y125" s="657"/>
      <c r="Z125" s="657"/>
      <c r="AA125" s="481"/>
      <c r="AC125" s="456" t="s">
        <v>1842</v>
      </c>
      <c r="AD125" s="522"/>
    </row>
    <row r="126" spans="1:30" s="454" customFormat="1" ht="23.25" x14ac:dyDescent="0.25">
      <c r="A126" s="507"/>
      <c r="B126" s="674" t="s">
        <v>856</v>
      </c>
      <c r="C126" s="2672" t="s">
        <v>1844</v>
      </c>
      <c r="D126" s="2672"/>
      <c r="E126" s="2672"/>
      <c r="F126" s="675" t="s">
        <v>2783</v>
      </c>
      <c r="G126" s="676">
        <v>15620</v>
      </c>
      <c r="H126" s="676"/>
      <c r="I126" s="676">
        <v>15.62</v>
      </c>
      <c r="J126" s="676"/>
      <c r="K126" s="676"/>
      <c r="L126" s="677"/>
      <c r="M126" s="678"/>
      <c r="X126" s="656"/>
      <c r="Y126" s="657"/>
      <c r="Z126" s="657"/>
      <c r="AA126" s="481"/>
      <c r="AC126" s="456" t="s">
        <v>1844</v>
      </c>
      <c r="AD126" s="522"/>
    </row>
    <row r="127" spans="1:30" s="454" customFormat="1" ht="23.25" x14ac:dyDescent="0.25">
      <c r="A127" s="507"/>
      <c r="B127" s="674" t="s">
        <v>1846</v>
      </c>
      <c r="C127" s="2672" t="s">
        <v>1847</v>
      </c>
      <c r="D127" s="2672"/>
      <c r="E127" s="2672"/>
      <c r="F127" s="675" t="s">
        <v>2784</v>
      </c>
      <c r="G127" s="676">
        <v>9420</v>
      </c>
      <c r="H127" s="676"/>
      <c r="I127" s="676">
        <v>17.899999999999999</v>
      </c>
      <c r="J127" s="676"/>
      <c r="K127" s="676"/>
      <c r="L127" s="677"/>
      <c r="M127" s="678"/>
      <c r="X127" s="656"/>
      <c r="Y127" s="657"/>
      <c r="Z127" s="657"/>
      <c r="AA127" s="481"/>
      <c r="AC127" s="456" t="s">
        <v>1847</v>
      </c>
      <c r="AD127" s="522"/>
    </row>
    <row r="128" spans="1:30" s="454" customFormat="1" ht="45" x14ac:dyDescent="0.25">
      <c r="A128" s="658" t="s">
        <v>650</v>
      </c>
      <c r="B128" s="659" t="s">
        <v>1877</v>
      </c>
      <c r="C128" s="2673" t="s">
        <v>1878</v>
      </c>
      <c r="D128" s="2673"/>
      <c r="E128" s="2673"/>
      <c r="F128" s="685">
        <v>0.47249999999999998</v>
      </c>
      <c r="G128" s="661" t="s">
        <v>1879</v>
      </c>
      <c r="H128" s="661" t="s">
        <v>1880</v>
      </c>
      <c r="I128" s="661">
        <v>1051</v>
      </c>
      <c r="J128" s="661">
        <v>172</v>
      </c>
      <c r="K128" s="662" t="s">
        <v>1217</v>
      </c>
      <c r="L128" s="671">
        <v>37.884</v>
      </c>
      <c r="M128" s="692">
        <v>17.899999999999999</v>
      </c>
      <c r="X128" s="656"/>
      <c r="Y128" s="657"/>
      <c r="Z128" s="657"/>
      <c r="AA128" s="481" t="s">
        <v>1878</v>
      </c>
      <c r="AC128" s="456"/>
      <c r="AD128" s="522"/>
    </row>
    <row r="129" spans="1:30" s="454" customFormat="1" ht="15" x14ac:dyDescent="0.25">
      <c r="A129" s="664"/>
      <c r="B129" s="665"/>
      <c r="C129" s="666" t="s">
        <v>2785</v>
      </c>
      <c r="D129" s="667"/>
      <c r="E129" s="667"/>
      <c r="F129" s="667"/>
      <c r="G129" s="667"/>
      <c r="H129" s="667"/>
      <c r="I129" s="667"/>
      <c r="J129" s="667"/>
      <c r="K129" s="667"/>
      <c r="L129" s="667"/>
      <c r="M129" s="668"/>
      <c r="X129" s="656"/>
      <c r="Y129" s="657"/>
      <c r="Z129" s="657"/>
      <c r="AA129" s="481"/>
      <c r="AC129" s="456"/>
      <c r="AD129" s="522"/>
    </row>
    <row r="130" spans="1:30" s="454" customFormat="1" ht="15" x14ac:dyDescent="0.25">
      <c r="A130" s="542"/>
      <c r="B130" s="673" t="s">
        <v>1788</v>
      </c>
      <c r="C130" s="2670" t="s">
        <v>1789</v>
      </c>
      <c r="D130" s="2670"/>
      <c r="E130" s="2670"/>
      <c r="F130" s="2670"/>
      <c r="G130" s="2670"/>
      <c r="H130" s="2670"/>
      <c r="I130" s="2670"/>
      <c r="J130" s="2670"/>
      <c r="K130" s="2670"/>
      <c r="L130" s="2670"/>
      <c r="M130" s="2671"/>
      <c r="X130" s="656"/>
      <c r="Y130" s="657"/>
      <c r="Z130" s="657"/>
      <c r="AA130" s="481"/>
      <c r="AB130" s="491" t="s">
        <v>1789</v>
      </c>
      <c r="AC130" s="456"/>
      <c r="AD130" s="522"/>
    </row>
    <row r="131" spans="1:30" s="454" customFormat="1" ht="33.75" x14ac:dyDescent="0.25">
      <c r="A131" s="542"/>
      <c r="B131" s="673" t="s">
        <v>1655</v>
      </c>
      <c r="C131" s="2670" t="s">
        <v>1656</v>
      </c>
      <c r="D131" s="2670"/>
      <c r="E131" s="2670"/>
      <c r="F131" s="2670"/>
      <c r="G131" s="2670"/>
      <c r="H131" s="2670"/>
      <c r="I131" s="2670"/>
      <c r="J131" s="2670"/>
      <c r="K131" s="2670"/>
      <c r="L131" s="2670"/>
      <c r="M131" s="2671"/>
      <c r="X131" s="656"/>
      <c r="Y131" s="657"/>
      <c r="Z131" s="657"/>
      <c r="AA131" s="481"/>
      <c r="AB131" s="491" t="s">
        <v>1656</v>
      </c>
      <c r="AC131" s="456"/>
      <c r="AD131" s="522"/>
    </row>
    <row r="132" spans="1:30" s="454" customFormat="1" ht="15" x14ac:dyDescent="0.25">
      <c r="A132" s="823"/>
      <c r="B132" s="824"/>
      <c r="C132" s="824"/>
      <c r="D132" s="824"/>
      <c r="E132" s="825" t="s">
        <v>2786</v>
      </c>
      <c r="F132" s="826"/>
      <c r="G132" s="827"/>
      <c r="H132" s="648"/>
      <c r="I132" s="828">
        <v>228</v>
      </c>
      <c r="J132" s="829"/>
      <c r="K132" s="829"/>
      <c r="L132" s="830"/>
      <c r="M132" s="831"/>
      <c r="X132" s="656"/>
      <c r="Y132" s="657"/>
      <c r="Z132" s="657"/>
      <c r="AA132" s="481"/>
      <c r="AC132" s="456"/>
      <c r="AD132" s="522"/>
    </row>
    <row r="133" spans="1:30" s="454" customFormat="1" ht="15" x14ac:dyDescent="0.25">
      <c r="A133" s="823"/>
      <c r="B133" s="824"/>
      <c r="C133" s="824"/>
      <c r="D133" s="824"/>
      <c r="E133" s="825" t="s">
        <v>2787</v>
      </c>
      <c r="F133" s="826"/>
      <c r="G133" s="827"/>
      <c r="H133" s="648"/>
      <c r="I133" s="828">
        <v>215</v>
      </c>
      <c r="J133" s="829"/>
      <c r="K133" s="829"/>
      <c r="L133" s="830"/>
      <c r="M133" s="831"/>
      <c r="X133" s="656"/>
      <c r="Y133" s="657"/>
      <c r="Z133" s="657"/>
      <c r="AA133" s="481"/>
      <c r="AC133" s="456"/>
      <c r="AD133" s="522"/>
    </row>
    <row r="134" spans="1:30" s="454" customFormat="1" ht="15" x14ac:dyDescent="0.25">
      <c r="A134" s="823"/>
      <c r="B134" s="824"/>
      <c r="C134" s="824"/>
      <c r="D134" s="824"/>
      <c r="E134" s="825" t="s">
        <v>2692</v>
      </c>
      <c r="F134" s="826"/>
      <c r="G134" s="827"/>
      <c r="H134" s="648"/>
      <c r="I134" s="828">
        <v>1494</v>
      </c>
      <c r="J134" s="829"/>
      <c r="K134" s="829"/>
      <c r="L134" s="830"/>
      <c r="M134" s="831"/>
      <c r="X134" s="656"/>
      <c r="Y134" s="657"/>
      <c r="Z134" s="657"/>
      <c r="AA134" s="481"/>
      <c r="AC134" s="456"/>
      <c r="AD134" s="522"/>
    </row>
    <row r="135" spans="1:30" s="454" customFormat="1" ht="23.25" x14ac:dyDescent="0.25">
      <c r="A135" s="507"/>
      <c r="B135" s="674" t="s">
        <v>1883</v>
      </c>
      <c r="C135" s="2672" t="s">
        <v>1884</v>
      </c>
      <c r="D135" s="2672"/>
      <c r="E135" s="2672"/>
      <c r="F135" s="675" t="s">
        <v>2788</v>
      </c>
      <c r="G135" s="676" t="s">
        <v>1886</v>
      </c>
      <c r="H135" s="676"/>
      <c r="I135" s="676">
        <v>172.2</v>
      </c>
      <c r="J135" s="676">
        <v>172.2</v>
      </c>
      <c r="K135" s="676"/>
      <c r="L135" s="677"/>
      <c r="M135" s="678"/>
      <c r="X135" s="656"/>
      <c r="Y135" s="657"/>
      <c r="Z135" s="657"/>
      <c r="AA135" s="481"/>
      <c r="AC135" s="456" t="s">
        <v>1884</v>
      </c>
      <c r="AD135" s="522"/>
    </row>
    <row r="136" spans="1:30" s="454" customFormat="1" ht="23.25" x14ac:dyDescent="0.25">
      <c r="A136" s="507"/>
      <c r="B136" s="674" t="s">
        <v>639</v>
      </c>
      <c r="C136" s="2672" t="s">
        <v>1661</v>
      </c>
      <c r="D136" s="2672"/>
      <c r="E136" s="2672"/>
      <c r="F136" s="675" t="s">
        <v>2789</v>
      </c>
      <c r="G136" s="676">
        <v>0</v>
      </c>
      <c r="H136" s="676">
        <v>0</v>
      </c>
      <c r="I136" s="676">
        <v>0</v>
      </c>
      <c r="J136" s="676"/>
      <c r="K136" s="676">
        <v>0</v>
      </c>
      <c r="L136" s="677"/>
      <c r="M136" s="678"/>
      <c r="X136" s="656"/>
      <c r="Y136" s="657"/>
      <c r="Z136" s="657"/>
      <c r="AA136" s="481"/>
      <c r="AC136" s="456" t="s">
        <v>1661</v>
      </c>
      <c r="AD136" s="522"/>
    </row>
    <row r="137" spans="1:30" s="454" customFormat="1" ht="23.25" x14ac:dyDescent="0.25">
      <c r="A137" s="507"/>
      <c r="B137" s="674" t="s">
        <v>812</v>
      </c>
      <c r="C137" s="2672" t="s">
        <v>1888</v>
      </c>
      <c r="D137" s="2672"/>
      <c r="E137" s="2672"/>
      <c r="F137" s="675" t="s">
        <v>2790</v>
      </c>
      <c r="G137" s="676">
        <v>120.24</v>
      </c>
      <c r="H137" s="676" t="s">
        <v>1890</v>
      </c>
      <c r="I137" s="676">
        <v>6.01</v>
      </c>
      <c r="J137" s="676"/>
      <c r="K137" s="676" t="s">
        <v>2791</v>
      </c>
      <c r="L137" s="677"/>
      <c r="M137" s="678"/>
      <c r="X137" s="656"/>
      <c r="Y137" s="657"/>
      <c r="Z137" s="657"/>
      <c r="AA137" s="481"/>
      <c r="AC137" s="456" t="s">
        <v>1888</v>
      </c>
      <c r="AD137" s="522"/>
    </row>
    <row r="138" spans="1:30" s="454" customFormat="1" ht="34.5" x14ac:dyDescent="0.25">
      <c r="A138" s="507"/>
      <c r="B138" s="674" t="s">
        <v>1663</v>
      </c>
      <c r="C138" s="2672" t="s">
        <v>1664</v>
      </c>
      <c r="D138" s="2672"/>
      <c r="E138" s="2672"/>
      <c r="F138" s="675" t="s">
        <v>2792</v>
      </c>
      <c r="G138" s="676">
        <v>111.99</v>
      </c>
      <c r="H138" s="676" t="s">
        <v>1666</v>
      </c>
      <c r="I138" s="676">
        <v>10.08</v>
      </c>
      <c r="J138" s="676"/>
      <c r="K138" s="676" t="s">
        <v>2793</v>
      </c>
      <c r="L138" s="677"/>
      <c r="M138" s="678"/>
      <c r="X138" s="656"/>
      <c r="Y138" s="657"/>
      <c r="Z138" s="657"/>
      <c r="AA138" s="481"/>
      <c r="AC138" s="456" t="s">
        <v>1664</v>
      </c>
      <c r="AD138" s="522"/>
    </row>
    <row r="139" spans="1:30" s="454" customFormat="1" ht="34.5" x14ac:dyDescent="0.25">
      <c r="A139" s="507"/>
      <c r="B139" s="674" t="s">
        <v>1797</v>
      </c>
      <c r="C139" s="2672" t="s">
        <v>1798</v>
      </c>
      <c r="D139" s="2672"/>
      <c r="E139" s="2672"/>
      <c r="F139" s="675" t="s">
        <v>2794</v>
      </c>
      <c r="G139" s="676">
        <v>120.04</v>
      </c>
      <c r="H139" s="676" t="s">
        <v>1800</v>
      </c>
      <c r="I139" s="676">
        <v>444.15</v>
      </c>
      <c r="J139" s="676"/>
      <c r="K139" s="676" t="s">
        <v>2795</v>
      </c>
      <c r="L139" s="677"/>
      <c r="M139" s="678"/>
      <c r="X139" s="656"/>
      <c r="Y139" s="657"/>
      <c r="Z139" s="657"/>
      <c r="AA139" s="481"/>
      <c r="AC139" s="456" t="s">
        <v>1798</v>
      </c>
      <c r="AD139" s="522"/>
    </row>
    <row r="140" spans="1:30" s="454" customFormat="1" ht="34.5" x14ac:dyDescent="0.25">
      <c r="A140" s="507"/>
      <c r="B140" s="674" t="s">
        <v>821</v>
      </c>
      <c r="C140" s="2672" t="s">
        <v>1751</v>
      </c>
      <c r="D140" s="2672"/>
      <c r="E140" s="2672"/>
      <c r="F140" s="675" t="s">
        <v>2796</v>
      </c>
      <c r="G140" s="676">
        <v>65.709999999999994</v>
      </c>
      <c r="H140" s="676" t="s">
        <v>1753</v>
      </c>
      <c r="I140" s="676">
        <v>9.1999999999999993</v>
      </c>
      <c r="J140" s="676"/>
      <c r="K140" s="676" t="s">
        <v>2797</v>
      </c>
      <c r="L140" s="677"/>
      <c r="M140" s="678"/>
      <c r="X140" s="656"/>
      <c r="Y140" s="657"/>
      <c r="Z140" s="657"/>
      <c r="AA140" s="481"/>
      <c r="AC140" s="456" t="s">
        <v>1751</v>
      </c>
      <c r="AD140" s="522"/>
    </row>
    <row r="141" spans="1:30" s="454" customFormat="1" ht="23.25" x14ac:dyDescent="0.25">
      <c r="A141" s="507"/>
      <c r="B141" s="674" t="s">
        <v>825</v>
      </c>
      <c r="C141" s="2672" t="s">
        <v>1808</v>
      </c>
      <c r="D141" s="2672"/>
      <c r="E141" s="2672"/>
      <c r="F141" s="675" t="s">
        <v>2798</v>
      </c>
      <c r="G141" s="676">
        <v>1.2</v>
      </c>
      <c r="H141" s="676" t="s">
        <v>1810</v>
      </c>
      <c r="I141" s="676">
        <v>1.91</v>
      </c>
      <c r="J141" s="676"/>
      <c r="K141" s="676" t="s">
        <v>2799</v>
      </c>
      <c r="L141" s="677"/>
      <c r="M141" s="678"/>
      <c r="X141" s="656"/>
      <c r="Y141" s="657"/>
      <c r="Z141" s="657"/>
      <c r="AA141" s="481"/>
      <c r="AC141" s="456" t="s">
        <v>1808</v>
      </c>
      <c r="AD141" s="522"/>
    </row>
    <row r="142" spans="1:30" s="454" customFormat="1" ht="34.5" x14ac:dyDescent="0.25">
      <c r="A142" s="507"/>
      <c r="B142" s="674" t="s">
        <v>827</v>
      </c>
      <c r="C142" s="2672" t="s">
        <v>1812</v>
      </c>
      <c r="D142" s="2672"/>
      <c r="E142" s="2672"/>
      <c r="F142" s="675" t="s">
        <v>2800</v>
      </c>
      <c r="G142" s="676">
        <v>12.31</v>
      </c>
      <c r="H142" s="676" t="s">
        <v>1814</v>
      </c>
      <c r="I142" s="676">
        <v>9.11</v>
      </c>
      <c r="J142" s="676"/>
      <c r="K142" s="676" t="s">
        <v>2801</v>
      </c>
      <c r="L142" s="677"/>
      <c r="M142" s="678"/>
      <c r="X142" s="656"/>
      <c r="Y142" s="657"/>
      <c r="Z142" s="657"/>
      <c r="AA142" s="481"/>
      <c r="AC142" s="456" t="s">
        <v>1812</v>
      </c>
      <c r="AD142" s="522"/>
    </row>
    <row r="143" spans="1:30" s="454" customFormat="1" ht="23.25" x14ac:dyDescent="0.25">
      <c r="A143" s="507"/>
      <c r="B143" s="674" t="s">
        <v>830</v>
      </c>
      <c r="C143" s="2672" t="s">
        <v>1816</v>
      </c>
      <c r="D143" s="2672"/>
      <c r="E143" s="2672"/>
      <c r="F143" s="675" t="s">
        <v>2802</v>
      </c>
      <c r="G143" s="676">
        <v>6.22</v>
      </c>
      <c r="H143" s="676"/>
      <c r="I143" s="676">
        <v>8.82</v>
      </c>
      <c r="J143" s="676"/>
      <c r="K143" s="676"/>
      <c r="L143" s="677"/>
      <c r="M143" s="678"/>
      <c r="X143" s="656"/>
      <c r="Y143" s="657"/>
      <c r="Z143" s="657"/>
      <c r="AA143" s="481"/>
      <c r="AC143" s="456" t="s">
        <v>1816</v>
      </c>
      <c r="AD143" s="522"/>
    </row>
    <row r="144" spans="1:30" s="454" customFormat="1" ht="23.25" x14ac:dyDescent="0.25">
      <c r="A144" s="507"/>
      <c r="B144" s="674" t="s">
        <v>833</v>
      </c>
      <c r="C144" s="2672" t="s">
        <v>1818</v>
      </c>
      <c r="D144" s="2672"/>
      <c r="E144" s="2672"/>
      <c r="F144" s="675" t="s">
        <v>2803</v>
      </c>
      <c r="G144" s="676">
        <v>6.09</v>
      </c>
      <c r="H144" s="676"/>
      <c r="I144" s="676">
        <v>2.59</v>
      </c>
      <c r="J144" s="676"/>
      <c r="K144" s="676"/>
      <c r="L144" s="677"/>
      <c r="M144" s="678"/>
      <c r="X144" s="656"/>
      <c r="Y144" s="657"/>
      <c r="Z144" s="657"/>
      <c r="AA144" s="481"/>
      <c r="AC144" s="456" t="s">
        <v>1818</v>
      </c>
      <c r="AD144" s="522"/>
    </row>
    <row r="145" spans="1:30" s="454" customFormat="1" ht="23.25" x14ac:dyDescent="0.25">
      <c r="A145" s="507"/>
      <c r="B145" s="674" t="s">
        <v>1904</v>
      </c>
      <c r="C145" s="2672" t="s">
        <v>1905</v>
      </c>
      <c r="D145" s="2672"/>
      <c r="E145" s="2672"/>
      <c r="F145" s="675" t="s">
        <v>2804</v>
      </c>
      <c r="G145" s="676">
        <v>10315.01</v>
      </c>
      <c r="H145" s="676"/>
      <c r="I145" s="676">
        <v>34.04</v>
      </c>
      <c r="J145" s="676"/>
      <c r="K145" s="676"/>
      <c r="L145" s="677"/>
      <c r="M145" s="678"/>
      <c r="X145" s="656"/>
      <c r="Y145" s="657"/>
      <c r="Z145" s="657"/>
      <c r="AA145" s="481"/>
      <c r="AC145" s="456" t="s">
        <v>1905</v>
      </c>
      <c r="AD145" s="522"/>
    </row>
    <row r="146" spans="1:30" s="454" customFormat="1" ht="23.25" x14ac:dyDescent="0.25">
      <c r="A146" s="507"/>
      <c r="B146" s="674" t="s">
        <v>1823</v>
      </c>
      <c r="C146" s="2672" t="s">
        <v>1824</v>
      </c>
      <c r="D146" s="2672"/>
      <c r="E146" s="2672"/>
      <c r="F146" s="675" t="s">
        <v>2805</v>
      </c>
      <c r="G146" s="676">
        <v>9040.01</v>
      </c>
      <c r="H146" s="676"/>
      <c r="I146" s="676">
        <v>38.869999999999997</v>
      </c>
      <c r="J146" s="676"/>
      <c r="K146" s="676"/>
      <c r="L146" s="677"/>
      <c r="M146" s="678"/>
      <c r="X146" s="656"/>
      <c r="Y146" s="657"/>
      <c r="Z146" s="657"/>
      <c r="AA146" s="481"/>
      <c r="AC146" s="456" t="s">
        <v>1824</v>
      </c>
      <c r="AD146" s="522"/>
    </row>
    <row r="147" spans="1:30" s="454" customFormat="1" ht="23.25" x14ac:dyDescent="0.25">
      <c r="A147" s="507"/>
      <c r="B147" s="674" t="s">
        <v>841</v>
      </c>
      <c r="C147" s="2672" t="s">
        <v>1760</v>
      </c>
      <c r="D147" s="2672"/>
      <c r="E147" s="2672"/>
      <c r="F147" s="675" t="s">
        <v>1826</v>
      </c>
      <c r="G147" s="676">
        <v>11978</v>
      </c>
      <c r="H147" s="676"/>
      <c r="I147" s="676">
        <v>0</v>
      </c>
      <c r="J147" s="676"/>
      <c r="K147" s="676"/>
      <c r="L147" s="677"/>
      <c r="M147" s="678"/>
      <c r="X147" s="656"/>
      <c r="Y147" s="657"/>
      <c r="Z147" s="657"/>
      <c r="AA147" s="481"/>
      <c r="AC147" s="456" t="s">
        <v>1760</v>
      </c>
      <c r="AD147" s="522"/>
    </row>
    <row r="148" spans="1:30" s="454" customFormat="1" ht="23.25" x14ac:dyDescent="0.25">
      <c r="A148" s="507"/>
      <c r="B148" s="674" t="s">
        <v>843</v>
      </c>
      <c r="C148" s="2672" t="s">
        <v>1827</v>
      </c>
      <c r="D148" s="2672"/>
      <c r="E148" s="2672"/>
      <c r="F148" s="675" t="s">
        <v>1908</v>
      </c>
      <c r="G148" s="676">
        <v>37900</v>
      </c>
      <c r="H148" s="676"/>
      <c r="I148" s="676">
        <v>0</v>
      </c>
      <c r="J148" s="676"/>
      <c r="K148" s="676"/>
      <c r="L148" s="677"/>
      <c r="M148" s="678"/>
      <c r="X148" s="656"/>
      <c r="Y148" s="657"/>
      <c r="Z148" s="657"/>
      <c r="AA148" s="481"/>
      <c r="AC148" s="456" t="s">
        <v>1827</v>
      </c>
      <c r="AD148" s="522"/>
    </row>
    <row r="149" spans="1:30" s="454" customFormat="1" ht="23.25" x14ac:dyDescent="0.25">
      <c r="A149" s="515" t="s">
        <v>863</v>
      </c>
      <c r="B149" s="686" t="s">
        <v>1832</v>
      </c>
      <c r="C149" s="2683" t="s">
        <v>1833</v>
      </c>
      <c r="D149" s="2683"/>
      <c r="E149" s="2683"/>
      <c r="F149" s="687" t="s">
        <v>2806</v>
      </c>
      <c r="G149" s="688">
        <v>0</v>
      </c>
      <c r="H149" s="688"/>
      <c r="I149" s="688">
        <v>0</v>
      </c>
      <c r="J149" s="688"/>
      <c r="K149" s="688"/>
      <c r="L149" s="689"/>
      <c r="M149" s="690"/>
      <c r="X149" s="656"/>
      <c r="Y149" s="657"/>
      <c r="Z149" s="657"/>
      <c r="AA149" s="481"/>
      <c r="AC149" s="456"/>
      <c r="AD149" s="522" t="s">
        <v>1833</v>
      </c>
    </row>
    <row r="150" spans="1:30" s="454" customFormat="1" ht="34.5" x14ac:dyDescent="0.25">
      <c r="A150" s="507"/>
      <c r="B150" s="674" t="s">
        <v>1910</v>
      </c>
      <c r="C150" s="2672" t="s">
        <v>1911</v>
      </c>
      <c r="D150" s="2672"/>
      <c r="E150" s="2672"/>
      <c r="F150" s="675" t="s">
        <v>2807</v>
      </c>
      <c r="G150" s="676">
        <v>5989</v>
      </c>
      <c r="H150" s="676"/>
      <c r="I150" s="676">
        <v>59.29</v>
      </c>
      <c r="J150" s="676"/>
      <c r="K150" s="676"/>
      <c r="L150" s="677"/>
      <c r="M150" s="678"/>
      <c r="X150" s="656"/>
      <c r="Y150" s="657"/>
      <c r="Z150" s="657"/>
      <c r="AA150" s="481"/>
      <c r="AC150" s="456" t="s">
        <v>1911</v>
      </c>
      <c r="AD150" s="522"/>
    </row>
    <row r="151" spans="1:30" s="454" customFormat="1" ht="68.25" x14ac:dyDescent="0.25">
      <c r="A151" s="507"/>
      <c r="B151" s="674" t="s">
        <v>847</v>
      </c>
      <c r="C151" s="2672" t="s">
        <v>1835</v>
      </c>
      <c r="D151" s="2672"/>
      <c r="E151" s="2672"/>
      <c r="F151" s="675" t="s">
        <v>2808</v>
      </c>
      <c r="G151" s="676">
        <v>50.24</v>
      </c>
      <c r="H151" s="676"/>
      <c r="I151" s="676">
        <v>0.44</v>
      </c>
      <c r="J151" s="676"/>
      <c r="K151" s="676"/>
      <c r="L151" s="677"/>
      <c r="M151" s="678"/>
      <c r="X151" s="656"/>
      <c r="Y151" s="657"/>
      <c r="Z151" s="657"/>
      <c r="AA151" s="481"/>
      <c r="AC151" s="456" t="s">
        <v>1835</v>
      </c>
      <c r="AD151" s="522"/>
    </row>
    <row r="152" spans="1:30" s="454" customFormat="1" ht="34.5" x14ac:dyDescent="0.25">
      <c r="A152" s="507"/>
      <c r="B152" s="674" t="s">
        <v>850</v>
      </c>
      <c r="C152" s="2672" t="s">
        <v>1771</v>
      </c>
      <c r="D152" s="2672"/>
      <c r="E152" s="2672"/>
      <c r="F152" s="675" t="s">
        <v>1837</v>
      </c>
      <c r="G152" s="676">
        <v>4455.2</v>
      </c>
      <c r="H152" s="676"/>
      <c r="I152" s="676">
        <v>0</v>
      </c>
      <c r="J152" s="676"/>
      <c r="K152" s="676"/>
      <c r="L152" s="677"/>
      <c r="M152" s="678"/>
      <c r="X152" s="656"/>
      <c r="Y152" s="657"/>
      <c r="Z152" s="657"/>
      <c r="AA152" s="481"/>
      <c r="AC152" s="456" t="s">
        <v>1771</v>
      </c>
      <c r="AD152" s="522"/>
    </row>
    <row r="153" spans="1:30" s="454" customFormat="1" ht="23.25" x14ac:dyDescent="0.25">
      <c r="A153" s="507"/>
      <c r="B153" s="674" t="s">
        <v>1838</v>
      </c>
      <c r="C153" s="2672" t="s">
        <v>1839</v>
      </c>
      <c r="D153" s="2672"/>
      <c r="E153" s="2672"/>
      <c r="F153" s="675" t="s">
        <v>2809</v>
      </c>
      <c r="G153" s="676">
        <v>4920</v>
      </c>
      <c r="H153" s="676"/>
      <c r="I153" s="676">
        <v>4.43</v>
      </c>
      <c r="J153" s="676"/>
      <c r="K153" s="676"/>
      <c r="L153" s="677"/>
      <c r="M153" s="678"/>
      <c r="X153" s="656"/>
      <c r="Y153" s="657"/>
      <c r="Z153" s="657"/>
      <c r="AA153" s="481"/>
      <c r="AC153" s="456" t="s">
        <v>1839</v>
      </c>
      <c r="AD153" s="522"/>
    </row>
    <row r="154" spans="1:30" s="454" customFormat="1" ht="45.75" x14ac:dyDescent="0.25">
      <c r="A154" s="507"/>
      <c r="B154" s="674" t="s">
        <v>1841</v>
      </c>
      <c r="C154" s="2672" t="s">
        <v>1842</v>
      </c>
      <c r="D154" s="2672"/>
      <c r="E154" s="2672"/>
      <c r="F154" s="675" t="s">
        <v>2810</v>
      </c>
      <c r="G154" s="676">
        <v>1700</v>
      </c>
      <c r="H154" s="676"/>
      <c r="I154" s="676">
        <v>0.85</v>
      </c>
      <c r="J154" s="676"/>
      <c r="K154" s="676"/>
      <c r="L154" s="677"/>
      <c r="M154" s="678"/>
      <c r="X154" s="656"/>
      <c r="Y154" s="657"/>
      <c r="Z154" s="657"/>
      <c r="AA154" s="481"/>
      <c r="AC154" s="456" t="s">
        <v>1842</v>
      </c>
      <c r="AD154" s="522"/>
    </row>
    <row r="155" spans="1:30" s="454" customFormat="1" ht="23.25" x14ac:dyDescent="0.25">
      <c r="A155" s="507"/>
      <c r="B155" s="674" t="s">
        <v>856</v>
      </c>
      <c r="C155" s="2672" t="s">
        <v>1844</v>
      </c>
      <c r="D155" s="2672"/>
      <c r="E155" s="2672"/>
      <c r="F155" s="675" t="s">
        <v>2811</v>
      </c>
      <c r="G155" s="676">
        <v>15620</v>
      </c>
      <c r="H155" s="676"/>
      <c r="I155" s="676">
        <v>1.56</v>
      </c>
      <c r="J155" s="676"/>
      <c r="K155" s="676"/>
      <c r="L155" s="677"/>
      <c r="M155" s="678"/>
      <c r="X155" s="656"/>
      <c r="Y155" s="657"/>
      <c r="Z155" s="657"/>
      <c r="AA155" s="481"/>
      <c r="AC155" s="456" t="s">
        <v>1844</v>
      </c>
      <c r="AD155" s="522"/>
    </row>
    <row r="156" spans="1:30" s="454" customFormat="1" ht="23.25" x14ac:dyDescent="0.25">
      <c r="A156" s="507"/>
      <c r="B156" s="674" t="s">
        <v>1846</v>
      </c>
      <c r="C156" s="2672" t="s">
        <v>1847</v>
      </c>
      <c r="D156" s="2672"/>
      <c r="E156" s="2672"/>
      <c r="F156" s="675" t="s">
        <v>2812</v>
      </c>
      <c r="G156" s="676">
        <v>9420</v>
      </c>
      <c r="H156" s="676"/>
      <c r="I156" s="676">
        <v>2.83</v>
      </c>
      <c r="J156" s="676"/>
      <c r="K156" s="676"/>
      <c r="L156" s="677"/>
      <c r="M156" s="678"/>
      <c r="X156" s="656"/>
      <c r="Y156" s="657"/>
      <c r="Z156" s="657"/>
      <c r="AA156" s="481"/>
      <c r="AC156" s="456" t="s">
        <v>1847</v>
      </c>
      <c r="AD156" s="522"/>
    </row>
    <row r="157" spans="1:30" s="454" customFormat="1" ht="57" x14ac:dyDescent="0.25">
      <c r="A157" s="658" t="s">
        <v>651</v>
      </c>
      <c r="B157" s="659" t="s">
        <v>1652</v>
      </c>
      <c r="C157" s="2673" t="s">
        <v>1653</v>
      </c>
      <c r="D157" s="2673"/>
      <c r="E157" s="2673"/>
      <c r="F157" s="670">
        <v>16</v>
      </c>
      <c r="G157" s="661" t="s">
        <v>1221</v>
      </c>
      <c r="H157" s="661" t="s">
        <v>1222</v>
      </c>
      <c r="I157" s="661">
        <v>969</v>
      </c>
      <c r="J157" s="661">
        <v>214</v>
      </c>
      <c r="K157" s="662" t="s">
        <v>1223</v>
      </c>
      <c r="L157" s="671">
        <v>1.635</v>
      </c>
      <c r="M157" s="672">
        <v>26.16</v>
      </c>
      <c r="X157" s="656"/>
      <c r="Y157" s="657"/>
      <c r="Z157" s="657"/>
      <c r="AA157" s="481" t="s">
        <v>1653</v>
      </c>
      <c r="AC157" s="456"/>
      <c r="AD157" s="522"/>
    </row>
    <row r="158" spans="1:30" s="454" customFormat="1" ht="15" x14ac:dyDescent="0.25">
      <c r="A158" s="664"/>
      <c r="B158" s="665"/>
      <c r="C158" s="666" t="s">
        <v>2813</v>
      </c>
      <c r="D158" s="667"/>
      <c r="E158" s="667"/>
      <c r="F158" s="667"/>
      <c r="G158" s="667"/>
      <c r="H158" s="667"/>
      <c r="I158" s="667"/>
      <c r="J158" s="667"/>
      <c r="K158" s="667"/>
      <c r="L158" s="667"/>
      <c r="M158" s="668"/>
      <c r="X158" s="656"/>
      <c r="Y158" s="657"/>
      <c r="Z158" s="657"/>
      <c r="AA158" s="481"/>
      <c r="AC158" s="456"/>
      <c r="AD158" s="522"/>
    </row>
    <row r="159" spans="1:30" s="454" customFormat="1" ht="33.75" x14ac:dyDescent="0.25">
      <c r="A159" s="542"/>
      <c r="B159" s="673" t="s">
        <v>1655</v>
      </c>
      <c r="C159" s="2670" t="s">
        <v>1656</v>
      </c>
      <c r="D159" s="2670"/>
      <c r="E159" s="2670"/>
      <c r="F159" s="2670"/>
      <c r="G159" s="2670"/>
      <c r="H159" s="2670"/>
      <c r="I159" s="2670"/>
      <c r="J159" s="2670"/>
      <c r="K159" s="2670"/>
      <c r="L159" s="2670"/>
      <c r="M159" s="2671"/>
      <c r="X159" s="656"/>
      <c r="Y159" s="657"/>
      <c r="Z159" s="657"/>
      <c r="AA159" s="481"/>
      <c r="AB159" s="491" t="s">
        <v>1656</v>
      </c>
      <c r="AC159" s="456"/>
      <c r="AD159" s="522"/>
    </row>
    <row r="160" spans="1:30" s="454" customFormat="1" ht="15" x14ac:dyDescent="0.25">
      <c r="A160" s="823"/>
      <c r="B160" s="824"/>
      <c r="C160" s="824"/>
      <c r="D160" s="824"/>
      <c r="E160" s="825" t="s">
        <v>2814</v>
      </c>
      <c r="F160" s="826"/>
      <c r="G160" s="827"/>
      <c r="H160" s="648"/>
      <c r="I160" s="828">
        <v>244</v>
      </c>
      <c r="J160" s="829"/>
      <c r="K160" s="829"/>
      <c r="L160" s="830"/>
      <c r="M160" s="831"/>
      <c r="X160" s="656"/>
      <c r="Y160" s="657"/>
      <c r="Z160" s="657"/>
      <c r="AA160" s="481"/>
      <c r="AC160" s="456"/>
      <c r="AD160" s="522"/>
    </row>
    <row r="161" spans="1:30" s="454" customFormat="1" ht="15" x14ac:dyDescent="0.25">
      <c r="A161" s="823"/>
      <c r="B161" s="824"/>
      <c r="C161" s="824"/>
      <c r="D161" s="824"/>
      <c r="E161" s="825" t="s">
        <v>2815</v>
      </c>
      <c r="F161" s="826"/>
      <c r="G161" s="827"/>
      <c r="H161" s="648"/>
      <c r="I161" s="828">
        <v>183</v>
      </c>
      <c r="J161" s="829"/>
      <c r="K161" s="829"/>
      <c r="L161" s="830"/>
      <c r="M161" s="831"/>
      <c r="X161" s="656"/>
      <c r="Y161" s="657"/>
      <c r="Z161" s="657"/>
      <c r="AA161" s="481"/>
      <c r="AC161" s="456"/>
      <c r="AD161" s="522"/>
    </row>
    <row r="162" spans="1:30" s="454" customFormat="1" ht="15" x14ac:dyDescent="0.25">
      <c r="A162" s="823"/>
      <c r="B162" s="824"/>
      <c r="C162" s="824"/>
      <c r="D162" s="824"/>
      <c r="E162" s="825" t="s">
        <v>2692</v>
      </c>
      <c r="F162" s="826"/>
      <c r="G162" s="827"/>
      <c r="H162" s="648"/>
      <c r="I162" s="828">
        <v>1396</v>
      </c>
      <c r="J162" s="829"/>
      <c r="K162" s="829"/>
      <c r="L162" s="830"/>
      <c r="M162" s="831"/>
      <c r="X162" s="656"/>
      <c r="Y162" s="657"/>
      <c r="Z162" s="657"/>
      <c r="AA162" s="481"/>
      <c r="AC162" s="456"/>
      <c r="AD162" s="522"/>
    </row>
    <row r="163" spans="1:30" s="454" customFormat="1" ht="23.25" x14ac:dyDescent="0.25">
      <c r="A163" s="507"/>
      <c r="B163" s="674" t="s">
        <v>1657</v>
      </c>
      <c r="C163" s="2672" t="s">
        <v>1658</v>
      </c>
      <c r="D163" s="2672"/>
      <c r="E163" s="2672"/>
      <c r="F163" s="675" t="s">
        <v>2816</v>
      </c>
      <c r="G163" s="676" t="s">
        <v>1660</v>
      </c>
      <c r="H163" s="676"/>
      <c r="I163" s="676">
        <v>213.73</v>
      </c>
      <c r="J163" s="676">
        <v>213.73</v>
      </c>
      <c r="K163" s="676"/>
      <c r="L163" s="677"/>
      <c r="M163" s="678"/>
      <c r="X163" s="656"/>
      <c r="Y163" s="657"/>
      <c r="Z163" s="657"/>
      <c r="AA163" s="481"/>
      <c r="AC163" s="456" t="s">
        <v>1658</v>
      </c>
      <c r="AD163" s="522"/>
    </row>
    <row r="164" spans="1:30" s="454" customFormat="1" ht="23.25" x14ac:dyDescent="0.25">
      <c r="A164" s="507"/>
      <c r="B164" s="674" t="s">
        <v>639</v>
      </c>
      <c r="C164" s="2672" t="s">
        <v>1661</v>
      </c>
      <c r="D164" s="2672"/>
      <c r="E164" s="2672"/>
      <c r="F164" s="675" t="s">
        <v>2817</v>
      </c>
      <c r="G164" s="676">
        <v>0</v>
      </c>
      <c r="H164" s="676">
        <v>0</v>
      </c>
      <c r="I164" s="676">
        <v>0</v>
      </c>
      <c r="J164" s="676"/>
      <c r="K164" s="676">
        <v>0</v>
      </c>
      <c r="L164" s="677"/>
      <c r="M164" s="678"/>
      <c r="X164" s="656"/>
      <c r="Y164" s="657"/>
      <c r="Z164" s="657"/>
      <c r="AA164" s="481"/>
      <c r="AC164" s="456" t="s">
        <v>1661</v>
      </c>
      <c r="AD164" s="522"/>
    </row>
    <row r="165" spans="1:30" s="454" customFormat="1" ht="34.5" x14ac:dyDescent="0.25">
      <c r="A165" s="507"/>
      <c r="B165" s="674" t="s">
        <v>1663</v>
      </c>
      <c r="C165" s="2672" t="s">
        <v>1664</v>
      </c>
      <c r="D165" s="2672"/>
      <c r="E165" s="2672"/>
      <c r="F165" s="675" t="s">
        <v>2818</v>
      </c>
      <c r="G165" s="676">
        <v>111.99</v>
      </c>
      <c r="H165" s="676" t="s">
        <v>1666</v>
      </c>
      <c r="I165" s="676">
        <v>501.72</v>
      </c>
      <c r="J165" s="676"/>
      <c r="K165" s="676" t="s">
        <v>2819</v>
      </c>
      <c r="L165" s="677"/>
      <c r="M165" s="678"/>
      <c r="X165" s="656"/>
      <c r="Y165" s="657"/>
      <c r="Z165" s="657"/>
      <c r="AA165" s="481"/>
      <c r="AC165" s="456" t="s">
        <v>1664</v>
      </c>
      <c r="AD165" s="522"/>
    </row>
    <row r="166" spans="1:30" s="454" customFormat="1" ht="34.5" x14ac:dyDescent="0.25">
      <c r="A166" s="507"/>
      <c r="B166" s="674" t="s">
        <v>1668</v>
      </c>
      <c r="C166" s="2672" t="s">
        <v>1669</v>
      </c>
      <c r="D166" s="2672"/>
      <c r="E166" s="2672"/>
      <c r="F166" s="675" t="s">
        <v>2820</v>
      </c>
      <c r="G166" s="676">
        <v>1</v>
      </c>
      <c r="H166" s="676"/>
      <c r="I166" s="676">
        <v>2.88</v>
      </c>
      <c r="J166" s="676"/>
      <c r="K166" s="676"/>
      <c r="L166" s="677"/>
      <c r="M166" s="678"/>
      <c r="X166" s="656"/>
      <c r="Y166" s="657"/>
      <c r="Z166" s="657"/>
      <c r="AA166" s="481"/>
      <c r="AC166" s="456" t="s">
        <v>1669</v>
      </c>
      <c r="AD166" s="522"/>
    </row>
    <row r="167" spans="1:30" s="454" customFormat="1" ht="57" x14ac:dyDescent="0.25">
      <c r="A167" s="658" t="s">
        <v>652</v>
      </c>
      <c r="B167" s="659" t="s">
        <v>1671</v>
      </c>
      <c r="C167" s="2673" t="s">
        <v>1672</v>
      </c>
      <c r="D167" s="2673"/>
      <c r="E167" s="2673"/>
      <c r="F167" s="670">
        <v>54</v>
      </c>
      <c r="G167" s="661" t="s">
        <v>1673</v>
      </c>
      <c r="H167" s="661"/>
      <c r="I167" s="661">
        <v>624</v>
      </c>
      <c r="J167" s="661">
        <v>616</v>
      </c>
      <c r="K167" s="662"/>
      <c r="L167" s="671">
        <v>1.395</v>
      </c>
      <c r="M167" s="672">
        <v>75.33</v>
      </c>
      <c r="X167" s="656"/>
      <c r="Y167" s="657"/>
      <c r="Z167" s="657"/>
      <c r="AA167" s="481" t="s">
        <v>1672</v>
      </c>
      <c r="AC167" s="456"/>
      <c r="AD167" s="522"/>
    </row>
    <row r="168" spans="1:30" s="454" customFormat="1" ht="15" x14ac:dyDescent="0.25">
      <c r="A168" s="664"/>
      <c r="B168" s="665"/>
      <c r="C168" s="666" t="s">
        <v>2821</v>
      </c>
      <c r="D168" s="667"/>
      <c r="E168" s="667"/>
      <c r="F168" s="667"/>
      <c r="G168" s="667"/>
      <c r="H168" s="667"/>
      <c r="I168" s="667"/>
      <c r="J168" s="667"/>
      <c r="K168" s="667"/>
      <c r="L168" s="667"/>
      <c r="M168" s="668"/>
      <c r="X168" s="656"/>
      <c r="Y168" s="657"/>
      <c r="Z168" s="657"/>
      <c r="AA168" s="481"/>
      <c r="AC168" s="456"/>
      <c r="AD168" s="522"/>
    </row>
    <row r="169" spans="1:30" s="454" customFormat="1" ht="33.75" x14ac:dyDescent="0.25">
      <c r="A169" s="542"/>
      <c r="B169" s="673" t="s">
        <v>1655</v>
      </c>
      <c r="C169" s="2670" t="s">
        <v>1656</v>
      </c>
      <c r="D169" s="2670"/>
      <c r="E169" s="2670"/>
      <c r="F169" s="2670"/>
      <c r="G169" s="2670"/>
      <c r="H169" s="2670"/>
      <c r="I169" s="2670"/>
      <c r="J169" s="2670"/>
      <c r="K169" s="2670"/>
      <c r="L169" s="2670"/>
      <c r="M169" s="2671"/>
      <c r="X169" s="656"/>
      <c r="Y169" s="657"/>
      <c r="Z169" s="657"/>
      <c r="AA169" s="481"/>
      <c r="AB169" s="491" t="s">
        <v>1656</v>
      </c>
      <c r="AC169" s="456"/>
      <c r="AD169" s="522"/>
    </row>
    <row r="170" spans="1:30" s="454" customFormat="1" ht="15" x14ac:dyDescent="0.25">
      <c r="A170" s="823"/>
      <c r="B170" s="824"/>
      <c r="C170" s="824"/>
      <c r="D170" s="824"/>
      <c r="E170" s="825" t="s">
        <v>2822</v>
      </c>
      <c r="F170" s="826"/>
      <c r="G170" s="827"/>
      <c r="H170" s="648"/>
      <c r="I170" s="828">
        <v>493</v>
      </c>
      <c r="J170" s="829"/>
      <c r="K170" s="829"/>
      <c r="L170" s="830"/>
      <c r="M170" s="831"/>
      <c r="X170" s="656"/>
      <c r="Y170" s="657"/>
      <c r="Z170" s="657"/>
      <c r="AA170" s="481"/>
      <c r="AC170" s="456"/>
      <c r="AD170" s="522"/>
    </row>
    <row r="171" spans="1:30" s="454" customFormat="1" ht="15" x14ac:dyDescent="0.25">
      <c r="A171" s="823"/>
      <c r="B171" s="824"/>
      <c r="C171" s="824"/>
      <c r="D171" s="824"/>
      <c r="E171" s="825" t="s">
        <v>2823</v>
      </c>
      <c r="F171" s="826"/>
      <c r="G171" s="827"/>
      <c r="H171" s="648"/>
      <c r="I171" s="828">
        <v>370</v>
      </c>
      <c r="J171" s="829"/>
      <c r="K171" s="829"/>
      <c r="L171" s="830"/>
      <c r="M171" s="831"/>
      <c r="X171" s="656"/>
      <c r="Y171" s="657"/>
      <c r="Z171" s="657"/>
      <c r="AA171" s="481"/>
      <c r="AC171" s="456"/>
      <c r="AD171" s="522"/>
    </row>
    <row r="172" spans="1:30" s="454" customFormat="1" ht="15" x14ac:dyDescent="0.25">
      <c r="A172" s="823"/>
      <c r="B172" s="824"/>
      <c r="C172" s="824"/>
      <c r="D172" s="824"/>
      <c r="E172" s="825" t="s">
        <v>2692</v>
      </c>
      <c r="F172" s="826"/>
      <c r="G172" s="827"/>
      <c r="H172" s="648"/>
      <c r="I172" s="828">
        <v>1487</v>
      </c>
      <c r="J172" s="829"/>
      <c r="K172" s="829"/>
      <c r="L172" s="830"/>
      <c r="M172" s="831"/>
      <c r="X172" s="656"/>
      <c r="Y172" s="657"/>
      <c r="Z172" s="657"/>
      <c r="AA172" s="481"/>
      <c r="AC172" s="456"/>
      <c r="AD172" s="522"/>
    </row>
    <row r="173" spans="1:30" s="454" customFormat="1" ht="23.25" x14ac:dyDescent="0.25">
      <c r="A173" s="507"/>
      <c r="B173" s="674" t="s">
        <v>1657</v>
      </c>
      <c r="C173" s="2672" t="s">
        <v>1658</v>
      </c>
      <c r="D173" s="2672"/>
      <c r="E173" s="2672"/>
      <c r="F173" s="675" t="s">
        <v>2824</v>
      </c>
      <c r="G173" s="676" t="s">
        <v>1660</v>
      </c>
      <c r="H173" s="676"/>
      <c r="I173" s="676">
        <v>615.45000000000005</v>
      </c>
      <c r="J173" s="676">
        <v>615.45000000000005</v>
      </c>
      <c r="K173" s="676"/>
      <c r="L173" s="677"/>
      <c r="M173" s="678"/>
      <c r="X173" s="656"/>
      <c r="Y173" s="657"/>
      <c r="Z173" s="657"/>
      <c r="AA173" s="481"/>
      <c r="AC173" s="456" t="s">
        <v>1658</v>
      </c>
      <c r="AD173" s="522"/>
    </row>
    <row r="174" spans="1:30" s="454" customFormat="1" ht="34.5" x14ac:dyDescent="0.25">
      <c r="A174" s="507"/>
      <c r="B174" s="674" t="s">
        <v>1668</v>
      </c>
      <c r="C174" s="2672" t="s">
        <v>1669</v>
      </c>
      <c r="D174" s="2672"/>
      <c r="E174" s="2672"/>
      <c r="F174" s="675" t="s">
        <v>2825</v>
      </c>
      <c r="G174" s="676">
        <v>1</v>
      </c>
      <c r="H174" s="676"/>
      <c r="I174" s="676">
        <v>8.1</v>
      </c>
      <c r="J174" s="676"/>
      <c r="K174" s="676"/>
      <c r="L174" s="677"/>
      <c r="M174" s="678"/>
      <c r="X174" s="656"/>
      <c r="Y174" s="657"/>
      <c r="Z174" s="657"/>
      <c r="AA174" s="481"/>
      <c r="AC174" s="456" t="s">
        <v>1669</v>
      </c>
      <c r="AD174" s="522"/>
    </row>
    <row r="175" spans="1:30" s="454" customFormat="1" ht="57" x14ac:dyDescent="0.25">
      <c r="A175" s="658" t="s">
        <v>653</v>
      </c>
      <c r="B175" s="659" t="s">
        <v>1652</v>
      </c>
      <c r="C175" s="2673" t="s">
        <v>1920</v>
      </c>
      <c r="D175" s="2673"/>
      <c r="E175" s="2673"/>
      <c r="F175" s="670">
        <v>8</v>
      </c>
      <c r="G175" s="661" t="s">
        <v>1221</v>
      </c>
      <c r="H175" s="661" t="s">
        <v>1222</v>
      </c>
      <c r="I175" s="661">
        <v>485</v>
      </c>
      <c r="J175" s="661">
        <v>107</v>
      </c>
      <c r="K175" s="662" t="s">
        <v>1229</v>
      </c>
      <c r="L175" s="671">
        <v>1.635</v>
      </c>
      <c r="M175" s="672">
        <v>13.08</v>
      </c>
      <c r="X175" s="656"/>
      <c r="Y175" s="657"/>
      <c r="Z175" s="657"/>
      <c r="AA175" s="481" t="s">
        <v>1920</v>
      </c>
      <c r="AC175" s="456"/>
      <c r="AD175" s="522"/>
    </row>
    <row r="176" spans="1:30" s="454" customFormat="1" ht="33.75" x14ac:dyDescent="0.25">
      <c r="A176" s="542"/>
      <c r="B176" s="673" t="s">
        <v>1655</v>
      </c>
      <c r="C176" s="2670" t="s">
        <v>1656</v>
      </c>
      <c r="D176" s="2670"/>
      <c r="E176" s="2670"/>
      <c r="F176" s="2670"/>
      <c r="G176" s="2670"/>
      <c r="H176" s="2670"/>
      <c r="I176" s="2670"/>
      <c r="J176" s="2670"/>
      <c r="K176" s="2670"/>
      <c r="L176" s="2670"/>
      <c r="M176" s="2671"/>
      <c r="X176" s="656"/>
      <c r="Y176" s="657"/>
      <c r="Z176" s="657"/>
      <c r="AA176" s="481"/>
      <c r="AB176" s="491" t="s">
        <v>1656</v>
      </c>
      <c r="AC176" s="456"/>
      <c r="AD176" s="522"/>
    </row>
    <row r="177" spans="1:30" s="454" customFormat="1" ht="15" x14ac:dyDescent="0.25">
      <c r="A177" s="823"/>
      <c r="B177" s="824"/>
      <c r="C177" s="824"/>
      <c r="D177" s="824"/>
      <c r="E177" s="825" t="s">
        <v>2826</v>
      </c>
      <c r="F177" s="826"/>
      <c r="G177" s="827"/>
      <c r="H177" s="648"/>
      <c r="I177" s="828">
        <v>122</v>
      </c>
      <c r="J177" s="829"/>
      <c r="K177" s="829"/>
      <c r="L177" s="830"/>
      <c r="M177" s="831"/>
      <c r="X177" s="656"/>
      <c r="Y177" s="657"/>
      <c r="Z177" s="657"/>
      <c r="AA177" s="481"/>
      <c r="AC177" s="456"/>
      <c r="AD177" s="522"/>
    </row>
    <row r="178" spans="1:30" s="454" customFormat="1" ht="15" x14ac:dyDescent="0.25">
      <c r="A178" s="823"/>
      <c r="B178" s="824"/>
      <c r="C178" s="824"/>
      <c r="D178" s="824"/>
      <c r="E178" s="825" t="s">
        <v>2827</v>
      </c>
      <c r="F178" s="826"/>
      <c r="G178" s="827"/>
      <c r="H178" s="648"/>
      <c r="I178" s="828">
        <v>91</v>
      </c>
      <c r="J178" s="829"/>
      <c r="K178" s="829"/>
      <c r="L178" s="830"/>
      <c r="M178" s="831"/>
      <c r="X178" s="656"/>
      <c r="Y178" s="657"/>
      <c r="Z178" s="657"/>
      <c r="AA178" s="481"/>
      <c r="AC178" s="456"/>
      <c r="AD178" s="522"/>
    </row>
    <row r="179" spans="1:30" s="454" customFormat="1" ht="15" x14ac:dyDescent="0.25">
      <c r="A179" s="823"/>
      <c r="B179" s="824"/>
      <c r="C179" s="824"/>
      <c r="D179" s="824"/>
      <c r="E179" s="825" t="s">
        <v>2692</v>
      </c>
      <c r="F179" s="826"/>
      <c r="G179" s="827"/>
      <c r="H179" s="648"/>
      <c r="I179" s="828">
        <v>698</v>
      </c>
      <c r="J179" s="829"/>
      <c r="K179" s="829"/>
      <c r="L179" s="830"/>
      <c r="M179" s="831"/>
      <c r="X179" s="656"/>
      <c r="Y179" s="657"/>
      <c r="Z179" s="657"/>
      <c r="AA179" s="481"/>
      <c r="AC179" s="456"/>
      <c r="AD179" s="522"/>
    </row>
    <row r="180" spans="1:30" s="454" customFormat="1" ht="23.25" x14ac:dyDescent="0.25">
      <c r="A180" s="507"/>
      <c r="B180" s="674" t="s">
        <v>1657</v>
      </c>
      <c r="C180" s="2672" t="s">
        <v>1658</v>
      </c>
      <c r="D180" s="2672"/>
      <c r="E180" s="2672"/>
      <c r="F180" s="675" t="s">
        <v>2828</v>
      </c>
      <c r="G180" s="676" t="s">
        <v>1660</v>
      </c>
      <c r="H180" s="676"/>
      <c r="I180" s="676">
        <v>106.86</v>
      </c>
      <c r="J180" s="676">
        <v>106.86</v>
      </c>
      <c r="K180" s="676"/>
      <c r="L180" s="677"/>
      <c r="M180" s="678"/>
      <c r="X180" s="656"/>
      <c r="Y180" s="657"/>
      <c r="Z180" s="657"/>
      <c r="AA180" s="481"/>
      <c r="AC180" s="456" t="s">
        <v>1658</v>
      </c>
      <c r="AD180" s="522"/>
    </row>
    <row r="181" spans="1:30" s="454" customFormat="1" ht="23.25" x14ac:dyDescent="0.25">
      <c r="A181" s="507"/>
      <c r="B181" s="674" t="s">
        <v>639</v>
      </c>
      <c r="C181" s="2672" t="s">
        <v>1661</v>
      </c>
      <c r="D181" s="2672"/>
      <c r="E181" s="2672"/>
      <c r="F181" s="675" t="s">
        <v>2829</v>
      </c>
      <c r="G181" s="676">
        <v>0</v>
      </c>
      <c r="H181" s="676">
        <v>0</v>
      </c>
      <c r="I181" s="676">
        <v>0</v>
      </c>
      <c r="J181" s="676"/>
      <c r="K181" s="676">
        <v>0</v>
      </c>
      <c r="L181" s="677"/>
      <c r="M181" s="678"/>
      <c r="X181" s="656"/>
      <c r="Y181" s="657"/>
      <c r="Z181" s="657"/>
      <c r="AA181" s="481"/>
      <c r="AC181" s="456" t="s">
        <v>1661</v>
      </c>
      <c r="AD181" s="522"/>
    </row>
    <row r="182" spans="1:30" s="454" customFormat="1" ht="34.5" x14ac:dyDescent="0.25">
      <c r="A182" s="507"/>
      <c r="B182" s="674" t="s">
        <v>1663</v>
      </c>
      <c r="C182" s="2672" t="s">
        <v>1664</v>
      </c>
      <c r="D182" s="2672"/>
      <c r="E182" s="2672"/>
      <c r="F182" s="675" t="s">
        <v>2830</v>
      </c>
      <c r="G182" s="676">
        <v>111.99</v>
      </c>
      <c r="H182" s="676" t="s">
        <v>1666</v>
      </c>
      <c r="I182" s="676">
        <v>250.86</v>
      </c>
      <c r="J182" s="676"/>
      <c r="K182" s="676" t="s">
        <v>2831</v>
      </c>
      <c r="L182" s="677"/>
      <c r="M182" s="678"/>
      <c r="X182" s="656"/>
      <c r="Y182" s="657"/>
      <c r="Z182" s="657"/>
      <c r="AA182" s="481"/>
      <c r="AC182" s="456" t="s">
        <v>1664</v>
      </c>
      <c r="AD182" s="522"/>
    </row>
    <row r="183" spans="1:30" s="454" customFormat="1" ht="34.5" x14ac:dyDescent="0.25">
      <c r="A183" s="507"/>
      <c r="B183" s="674" t="s">
        <v>1668</v>
      </c>
      <c r="C183" s="2672" t="s">
        <v>1669</v>
      </c>
      <c r="D183" s="2672"/>
      <c r="E183" s="2672"/>
      <c r="F183" s="675" t="s">
        <v>2832</v>
      </c>
      <c r="G183" s="676">
        <v>1</v>
      </c>
      <c r="H183" s="676"/>
      <c r="I183" s="676">
        <v>1.44</v>
      </c>
      <c r="J183" s="676"/>
      <c r="K183" s="676"/>
      <c r="L183" s="677"/>
      <c r="M183" s="678"/>
      <c r="X183" s="656"/>
      <c r="Y183" s="657"/>
      <c r="Z183" s="657"/>
      <c r="AA183" s="481"/>
      <c r="AC183" s="456" t="s">
        <v>1669</v>
      </c>
      <c r="AD183" s="522"/>
    </row>
    <row r="184" spans="1:30" s="454" customFormat="1" ht="68.25" x14ac:dyDescent="0.25">
      <c r="A184" s="658" t="s">
        <v>654</v>
      </c>
      <c r="B184" s="659" t="s">
        <v>1652</v>
      </c>
      <c r="C184" s="2673" t="s">
        <v>1927</v>
      </c>
      <c r="D184" s="2673"/>
      <c r="E184" s="2673"/>
      <c r="F184" s="670">
        <v>27</v>
      </c>
      <c r="G184" s="661" t="s">
        <v>1221</v>
      </c>
      <c r="H184" s="661" t="s">
        <v>1222</v>
      </c>
      <c r="I184" s="661">
        <v>1636</v>
      </c>
      <c r="J184" s="661">
        <v>361</v>
      </c>
      <c r="K184" s="662" t="s">
        <v>2833</v>
      </c>
      <c r="L184" s="671">
        <v>1.635</v>
      </c>
      <c r="M184" s="672">
        <v>44.15</v>
      </c>
      <c r="X184" s="656"/>
      <c r="Y184" s="657"/>
      <c r="Z184" s="657"/>
      <c r="AA184" s="481" t="s">
        <v>1927</v>
      </c>
      <c r="AC184" s="456"/>
      <c r="AD184" s="522"/>
    </row>
    <row r="185" spans="1:30" s="454" customFormat="1" ht="33.75" x14ac:dyDescent="0.25">
      <c r="A185" s="542"/>
      <c r="B185" s="673" t="s">
        <v>1655</v>
      </c>
      <c r="C185" s="2670" t="s">
        <v>1656</v>
      </c>
      <c r="D185" s="2670"/>
      <c r="E185" s="2670"/>
      <c r="F185" s="2670"/>
      <c r="G185" s="2670"/>
      <c r="H185" s="2670"/>
      <c r="I185" s="2670"/>
      <c r="J185" s="2670"/>
      <c r="K185" s="2670"/>
      <c r="L185" s="2670"/>
      <c r="M185" s="2671"/>
      <c r="X185" s="656"/>
      <c r="Y185" s="657"/>
      <c r="Z185" s="657"/>
      <c r="AA185" s="481"/>
      <c r="AB185" s="491" t="s">
        <v>1656</v>
      </c>
      <c r="AC185" s="456"/>
      <c r="AD185" s="522"/>
    </row>
    <row r="186" spans="1:30" s="454" customFormat="1" ht="15" x14ac:dyDescent="0.25">
      <c r="A186" s="823"/>
      <c r="B186" s="824"/>
      <c r="C186" s="824"/>
      <c r="D186" s="824"/>
      <c r="E186" s="825" t="s">
        <v>2834</v>
      </c>
      <c r="F186" s="826"/>
      <c r="G186" s="827"/>
      <c r="H186" s="648"/>
      <c r="I186" s="828">
        <v>411</v>
      </c>
      <c r="J186" s="829"/>
      <c r="K186" s="829"/>
      <c r="L186" s="830"/>
      <c r="M186" s="831"/>
      <c r="X186" s="656"/>
      <c r="Y186" s="657"/>
      <c r="Z186" s="657"/>
      <c r="AA186" s="481"/>
      <c r="AC186" s="456"/>
      <c r="AD186" s="522"/>
    </row>
    <row r="187" spans="1:30" s="454" customFormat="1" ht="15" x14ac:dyDescent="0.25">
      <c r="A187" s="823"/>
      <c r="B187" s="824"/>
      <c r="C187" s="824"/>
      <c r="D187" s="824"/>
      <c r="E187" s="825" t="s">
        <v>2835</v>
      </c>
      <c r="F187" s="826"/>
      <c r="G187" s="827"/>
      <c r="H187" s="648"/>
      <c r="I187" s="828">
        <v>308</v>
      </c>
      <c r="J187" s="829"/>
      <c r="K187" s="829"/>
      <c r="L187" s="830"/>
      <c r="M187" s="831"/>
      <c r="X187" s="656"/>
      <c r="Y187" s="657"/>
      <c r="Z187" s="657"/>
      <c r="AA187" s="481"/>
      <c r="AC187" s="456"/>
      <c r="AD187" s="522"/>
    </row>
    <row r="188" spans="1:30" s="454" customFormat="1" ht="15" x14ac:dyDescent="0.25">
      <c r="A188" s="823"/>
      <c r="B188" s="824"/>
      <c r="C188" s="824"/>
      <c r="D188" s="824"/>
      <c r="E188" s="825" t="s">
        <v>2692</v>
      </c>
      <c r="F188" s="826"/>
      <c r="G188" s="827"/>
      <c r="H188" s="648"/>
      <c r="I188" s="828">
        <v>2355</v>
      </c>
      <c r="J188" s="829"/>
      <c r="K188" s="829"/>
      <c r="L188" s="830"/>
      <c r="M188" s="831"/>
      <c r="X188" s="656"/>
      <c r="Y188" s="657"/>
      <c r="Z188" s="657"/>
      <c r="AA188" s="481"/>
      <c r="AC188" s="456"/>
      <c r="AD188" s="522"/>
    </row>
    <row r="189" spans="1:30" s="454" customFormat="1" ht="23.25" x14ac:dyDescent="0.25">
      <c r="A189" s="507"/>
      <c r="B189" s="674" t="s">
        <v>1657</v>
      </c>
      <c r="C189" s="2672" t="s">
        <v>1658</v>
      </c>
      <c r="D189" s="2672"/>
      <c r="E189" s="2672"/>
      <c r="F189" s="675" t="s">
        <v>2836</v>
      </c>
      <c r="G189" s="676" t="s">
        <v>1660</v>
      </c>
      <c r="H189" s="676"/>
      <c r="I189" s="676">
        <v>360.71</v>
      </c>
      <c r="J189" s="676">
        <v>360.71</v>
      </c>
      <c r="K189" s="676"/>
      <c r="L189" s="677"/>
      <c r="M189" s="678"/>
      <c r="X189" s="656"/>
      <c r="Y189" s="657"/>
      <c r="Z189" s="657"/>
      <c r="AA189" s="481"/>
      <c r="AC189" s="456" t="s">
        <v>1658</v>
      </c>
      <c r="AD189" s="522"/>
    </row>
    <row r="190" spans="1:30" s="454" customFormat="1" ht="23.25" x14ac:dyDescent="0.25">
      <c r="A190" s="507"/>
      <c r="B190" s="674" t="s">
        <v>639</v>
      </c>
      <c r="C190" s="2672" t="s">
        <v>1661</v>
      </c>
      <c r="D190" s="2672"/>
      <c r="E190" s="2672"/>
      <c r="F190" s="675" t="s">
        <v>2837</v>
      </c>
      <c r="G190" s="676">
        <v>0</v>
      </c>
      <c r="H190" s="676">
        <v>0</v>
      </c>
      <c r="I190" s="676">
        <v>0</v>
      </c>
      <c r="J190" s="676"/>
      <c r="K190" s="676">
        <v>0</v>
      </c>
      <c r="L190" s="677"/>
      <c r="M190" s="678"/>
      <c r="X190" s="656"/>
      <c r="Y190" s="657"/>
      <c r="Z190" s="657"/>
      <c r="AA190" s="481"/>
      <c r="AC190" s="456" t="s">
        <v>1661</v>
      </c>
      <c r="AD190" s="522"/>
    </row>
    <row r="191" spans="1:30" s="454" customFormat="1" ht="34.5" x14ac:dyDescent="0.25">
      <c r="A191" s="507"/>
      <c r="B191" s="674" t="s">
        <v>1663</v>
      </c>
      <c r="C191" s="2672" t="s">
        <v>1664</v>
      </c>
      <c r="D191" s="2672"/>
      <c r="E191" s="2672"/>
      <c r="F191" s="675" t="s">
        <v>2838</v>
      </c>
      <c r="G191" s="676">
        <v>111.99</v>
      </c>
      <c r="H191" s="676" t="s">
        <v>1666</v>
      </c>
      <c r="I191" s="676">
        <v>846.64</v>
      </c>
      <c r="J191" s="676"/>
      <c r="K191" s="676" t="s">
        <v>2839</v>
      </c>
      <c r="L191" s="677"/>
      <c r="M191" s="678"/>
      <c r="X191" s="656"/>
      <c r="Y191" s="657"/>
      <c r="Z191" s="657"/>
      <c r="AA191" s="481"/>
      <c r="AC191" s="456" t="s">
        <v>1664</v>
      </c>
      <c r="AD191" s="522"/>
    </row>
    <row r="192" spans="1:30" s="454" customFormat="1" ht="34.5" x14ac:dyDescent="0.25">
      <c r="A192" s="507"/>
      <c r="B192" s="674" t="s">
        <v>1668</v>
      </c>
      <c r="C192" s="2672" t="s">
        <v>1669</v>
      </c>
      <c r="D192" s="2672"/>
      <c r="E192" s="2672"/>
      <c r="F192" s="675" t="s">
        <v>2840</v>
      </c>
      <c r="G192" s="676">
        <v>1</v>
      </c>
      <c r="H192" s="676"/>
      <c r="I192" s="676">
        <v>4.8600000000000003</v>
      </c>
      <c r="J192" s="676"/>
      <c r="K192" s="676"/>
      <c r="L192" s="677"/>
      <c r="M192" s="678"/>
      <c r="X192" s="656"/>
      <c r="Y192" s="657"/>
      <c r="Z192" s="657"/>
      <c r="AA192" s="481"/>
      <c r="AC192" s="456" t="s">
        <v>1669</v>
      </c>
      <c r="AD192" s="522"/>
    </row>
    <row r="193" spans="1:31" s="454" customFormat="1" ht="45.75" x14ac:dyDescent="0.25">
      <c r="A193" s="658" t="s">
        <v>655</v>
      </c>
      <c r="B193" s="659" t="s">
        <v>1928</v>
      </c>
      <c r="C193" s="2673" t="s">
        <v>1929</v>
      </c>
      <c r="D193" s="2673"/>
      <c r="E193" s="2673"/>
      <c r="F193" s="670">
        <v>474</v>
      </c>
      <c r="G193" s="661" t="s">
        <v>1235</v>
      </c>
      <c r="H193" s="661"/>
      <c r="I193" s="661">
        <v>12461</v>
      </c>
      <c r="J193" s="661">
        <v>11902</v>
      </c>
      <c r="K193" s="662"/>
      <c r="L193" s="672">
        <v>2.61</v>
      </c>
      <c r="M193" s="672">
        <v>1237.1400000000001</v>
      </c>
      <c r="X193" s="656"/>
      <c r="Y193" s="657"/>
      <c r="Z193" s="657"/>
      <c r="AA193" s="481" t="s">
        <v>1929</v>
      </c>
      <c r="AC193" s="456"/>
      <c r="AD193" s="522"/>
    </row>
    <row r="194" spans="1:31" s="454" customFormat="1" ht="15" x14ac:dyDescent="0.25">
      <c r="A194" s="664"/>
      <c r="B194" s="665"/>
      <c r="C194" s="666" t="s">
        <v>2841</v>
      </c>
      <c r="D194" s="667"/>
      <c r="E194" s="667"/>
      <c r="F194" s="667"/>
      <c r="G194" s="667"/>
      <c r="H194" s="667"/>
      <c r="I194" s="667"/>
      <c r="J194" s="667"/>
      <c r="K194" s="667"/>
      <c r="L194" s="667"/>
      <c r="M194" s="668"/>
      <c r="X194" s="656"/>
      <c r="Y194" s="657"/>
      <c r="Z194" s="657"/>
      <c r="AA194" s="481"/>
      <c r="AC194" s="456"/>
      <c r="AD194" s="522"/>
    </row>
    <row r="195" spans="1:31" s="454" customFormat="1" ht="15" x14ac:dyDescent="0.25">
      <c r="A195" s="542"/>
      <c r="B195" s="665"/>
      <c r="C195" s="666" t="s">
        <v>1931</v>
      </c>
      <c r="D195" s="667"/>
      <c r="E195" s="667"/>
      <c r="F195" s="667"/>
      <c r="G195" s="667"/>
      <c r="H195" s="667"/>
      <c r="I195" s="667"/>
      <c r="J195" s="667"/>
      <c r="K195" s="667"/>
      <c r="L195" s="667"/>
      <c r="M195" s="669"/>
      <c r="X195" s="656"/>
      <c r="Y195" s="657"/>
      <c r="Z195" s="657"/>
      <c r="AA195" s="481"/>
      <c r="AC195" s="456"/>
      <c r="AD195" s="522"/>
    </row>
    <row r="196" spans="1:31" s="454" customFormat="1" ht="33.75" x14ac:dyDescent="0.25">
      <c r="A196" s="542"/>
      <c r="B196" s="673" t="s">
        <v>1655</v>
      </c>
      <c r="C196" s="2670" t="s">
        <v>1656</v>
      </c>
      <c r="D196" s="2670"/>
      <c r="E196" s="2670"/>
      <c r="F196" s="2670"/>
      <c r="G196" s="2670"/>
      <c r="H196" s="2670"/>
      <c r="I196" s="2670"/>
      <c r="J196" s="2670"/>
      <c r="K196" s="2670"/>
      <c r="L196" s="2670"/>
      <c r="M196" s="2671"/>
      <c r="X196" s="656"/>
      <c r="Y196" s="657"/>
      <c r="Z196" s="657"/>
      <c r="AA196" s="481"/>
      <c r="AB196" s="491" t="s">
        <v>1656</v>
      </c>
      <c r="AC196" s="456"/>
      <c r="AD196" s="522"/>
    </row>
    <row r="197" spans="1:31" s="454" customFormat="1" ht="15" x14ac:dyDescent="0.25">
      <c r="A197" s="823"/>
      <c r="B197" s="824"/>
      <c r="C197" s="824"/>
      <c r="D197" s="824"/>
      <c r="E197" s="825" t="s">
        <v>2842</v>
      </c>
      <c r="F197" s="826"/>
      <c r="G197" s="827"/>
      <c r="H197" s="648"/>
      <c r="I197" s="828">
        <v>9522</v>
      </c>
      <c r="J197" s="829"/>
      <c r="K197" s="829"/>
      <c r="L197" s="830"/>
      <c r="M197" s="831"/>
      <c r="X197" s="656"/>
      <c r="Y197" s="657"/>
      <c r="Z197" s="657"/>
      <c r="AA197" s="481"/>
      <c r="AC197" s="456"/>
      <c r="AD197" s="522"/>
    </row>
    <row r="198" spans="1:31" s="454" customFormat="1" ht="15" x14ac:dyDescent="0.25">
      <c r="A198" s="823"/>
      <c r="B198" s="824"/>
      <c r="C198" s="824"/>
      <c r="D198" s="824"/>
      <c r="E198" s="825" t="s">
        <v>2843</v>
      </c>
      <c r="F198" s="826"/>
      <c r="G198" s="827"/>
      <c r="H198" s="648"/>
      <c r="I198" s="828">
        <v>5356</v>
      </c>
      <c r="J198" s="829"/>
      <c r="K198" s="829"/>
      <c r="L198" s="830"/>
      <c r="M198" s="831"/>
      <c r="X198" s="656"/>
      <c r="Y198" s="657"/>
      <c r="Z198" s="657"/>
      <c r="AA198" s="481"/>
      <c r="AC198" s="456"/>
      <c r="AD198" s="522"/>
    </row>
    <row r="199" spans="1:31" s="454" customFormat="1" ht="15" x14ac:dyDescent="0.25">
      <c r="A199" s="823"/>
      <c r="B199" s="824"/>
      <c r="C199" s="824"/>
      <c r="D199" s="824"/>
      <c r="E199" s="825" t="s">
        <v>2692</v>
      </c>
      <c r="F199" s="826"/>
      <c r="G199" s="827"/>
      <c r="H199" s="648"/>
      <c r="I199" s="828">
        <v>27339</v>
      </c>
      <c r="J199" s="829"/>
      <c r="K199" s="829"/>
      <c r="L199" s="830"/>
      <c r="M199" s="831"/>
      <c r="X199" s="656"/>
      <c r="Y199" s="657"/>
      <c r="Z199" s="657"/>
      <c r="AA199" s="481"/>
      <c r="AC199" s="456"/>
      <c r="AD199" s="522"/>
    </row>
    <row r="200" spans="1:31" s="454" customFormat="1" ht="23.25" x14ac:dyDescent="0.25">
      <c r="A200" s="507"/>
      <c r="B200" s="674" t="s">
        <v>1883</v>
      </c>
      <c r="C200" s="2672" t="s">
        <v>1884</v>
      </c>
      <c r="D200" s="2672"/>
      <c r="E200" s="2672"/>
      <c r="F200" s="675" t="s">
        <v>2844</v>
      </c>
      <c r="G200" s="676" t="s">
        <v>1886</v>
      </c>
      <c r="H200" s="676"/>
      <c r="I200" s="676">
        <v>11901.29</v>
      </c>
      <c r="J200" s="676">
        <v>11901.29</v>
      </c>
      <c r="K200" s="676"/>
      <c r="L200" s="677"/>
      <c r="M200" s="678"/>
      <c r="X200" s="656"/>
      <c r="Y200" s="657"/>
      <c r="Z200" s="657"/>
      <c r="AA200" s="481"/>
      <c r="AC200" s="456" t="s">
        <v>1884</v>
      </c>
      <c r="AD200" s="522"/>
    </row>
    <row r="201" spans="1:31" s="454" customFormat="1" ht="23.25" x14ac:dyDescent="0.25">
      <c r="A201" s="515" t="s">
        <v>860</v>
      </c>
      <c r="B201" s="686" t="s">
        <v>1933</v>
      </c>
      <c r="C201" s="2683" t="s">
        <v>1934</v>
      </c>
      <c r="D201" s="2683"/>
      <c r="E201" s="2683"/>
      <c r="F201" s="687" t="s">
        <v>1935</v>
      </c>
      <c r="G201" s="688">
        <v>0</v>
      </c>
      <c r="H201" s="688"/>
      <c r="I201" s="688">
        <v>0</v>
      </c>
      <c r="J201" s="688"/>
      <c r="K201" s="688"/>
      <c r="L201" s="689"/>
      <c r="M201" s="690"/>
      <c r="X201" s="656"/>
      <c r="Y201" s="657"/>
      <c r="Z201" s="657"/>
      <c r="AA201" s="481"/>
      <c r="AC201" s="456"/>
      <c r="AD201" s="522" t="s">
        <v>1934</v>
      </c>
    </row>
    <row r="202" spans="1:31" s="454" customFormat="1" ht="34.5" x14ac:dyDescent="0.25">
      <c r="A202" s="693" t="s">
        <v>1936</v>
      </c>
      <c r="B202" s="694" t="s">
        <v>1937</v>
      </c>
      <c r="C202" s="2684" t="s">
        <v>1938</v>
      </c>
      <c r="D202" s="2684"/>
      <c r="E202" s="2684"/>
      <c r="F202" s="695" t="s">
        <v>2845</v>
      </c>
      <c r="G202" s="696">
        <v>25.97</v>
      </c>
      <c r="H202" s="696"/>
      <c r="I202" s="696">
        <v>24902.63</v>
      </c>
      <c r="J202" s="696"/>
      <c r="K202" s="696"/>
      <c r="L202" s="697"/>
      <c r="M202" s="698"/>
      <c r="X202" s="656"/>
      <c r="Y202" s="657"/>
      <c r="Z202" s="657"/>
      <c r="AA202" s="481"/>
      <c r="AC202" s="456"/>
      <c r="AD202" s="522"/>
      <c r="AE202" s="699" t="s">
        <v>1938</v>
      </c>
    </row>
    <row r="203" spans="1:31" s="454" customFormat="1" ht="23.25" x14ac:dyDescent="0.25">
      <c r="A203" s="507"/>
      <c r="B203" s="674" t="s">
        <v>1940</v>
      </c>
      <c r="C203" s="2672" t="s">
        <v>1941</v>
      </c>
      <c r="D203" s="2672"/>
      <c r="E203" s="2672"/>
      <c r="F203" s="675" t="s">
        <v>2846</v>
      </c>
      <c r="G203" s="676">
        <v>9.5</v>
      </c>
      <c r="H203" s="676"/>
      <c r="I203" s="676">
        <v>558.41</v>
      </c>
      <c r="J203" s="676"/>
      <c r="K203" s="676"/>
      <c r="L203" s="677"/>
      <c r="M203" s="678"/>
      <c r="X203" s="656"/>
      <c r="Y203" s="657"/>
      <c r="Z203" s="657"/>
      <c r="AA203" s="481"/>
      <c r="AC203" s="456" t="s">
        <v>1941</v>
      </c>
      <c r="AD203" s="522"/>
      <c r="AE203" s="699"/>
    </row>
    <row r="204" spans="1:31" s="454" customFormat="1" ht="23.25" x14ac:dyDescent="0.25">
      <c r="A204" s="515" t="s">
        <v>863</v>
      </c>
      <c r="B204" s="686" t="s">
        <v>1943</v>
      </c>
      <c r="C204" s="2683" t="s">
        <v>1944</v>
      </c>
      <c r="D204" s="2683"/>
      <c r="E204" s="2683"/>
      <c r="F204" s="687" t="s">
        <v>2847</v>
      </c>
      <c r="G204" s="688">
        <v>0</v>
      </c>
      <c r="H204" s="688"/>
      <c r="I204" s="688">
        <v>0</v>
      </c>
      <c r="J204" s="688"/>
      <c r="K204" s="688"/>
      <c r="L204" s="689"/>
      <c r="M204" s="690"/>
      <c r="X204" s="656"/>
      <c r="Y204" s="657"/>
      <c r="Z204" s="657"/>
      <c r="AA204" s="481"/>
      <c r="AC204" s="456"/>
      <c r="AD204" s="522" t="s">
        <v>1944</v>
      </c>
      <c r="AE204" s="699"/>
    </row>
    <row r="205" spans="1:31" s="454" customFormat="1" ht="23.25" x14ac:dyDescent="0.25">
      <c r="A205" s="515" t="s">
        <v>863</v>
      </c>
      <c r="B205" s="686" t="s">
        <v>1946</v>
      </c>
      <c r="C205" s="2683" t="s">
        <v>1947</v>
      </c>
      <c r="D205" s="2683"/>
      <c r="E205" s="2683"/>
      <c r="F205" s="687" t="s">
        <v>2848</v>
      </c>
      <c r="G205" s="688">
        <v>0</v>
      </c>
      <c r="H205" s="688"/>
      <c r="I205" s="688">
        <v>0</v>
      </c>
      <c r="J205" s="688"/>
      <c r="K205" s="688"/>
      <c r="L205" s="689"/>
      <c r="M205" s="690"/>
      <c r="X205" s="656"/>
      <c r="Y205" s="657"/>
      <c r="Z205" s="657"/>
      <c r="AA205" s="481"/>
      <c r="AC205" s="456"/>
      <c r="AD205" s="522" t="s">
        <v>1947</v>
      </c>
      <c r="AE205" s="699"/>
    </row>
    <row r="206" spans="1:31" s="454" customFormat="1" ht="23.25" x14ac:dyDescent="0.25">
      <c r="A206" s="515" t="s">
        <v>863</v>
      </c>
      <c r="B206" s="686" t="s">
        <v>1949</v>
      </c>
      <c r="C206" s="2683" t="s">
        <v>1950</v>
      </c>
      <c r="D206" s="2683"/>
      <c r="E206" s="2683"/>
      <c r="F206" s="687" t="s">
        <v>2849</v>
      </c>
      <c r="G206" s="688">
        <v>0</v>
      </c>
      <c r="H206" s="688"/>
      <c r="I206" s="688">
        <v>0</v>
      </c>
      <c r="J206" s="688"/>
      <c r="K206" s="688"/>
      <c r="L206" s="689"/>
      <c r="M206" s="690"/>
      <c r="X206" s="656"/>
      <c r="Y206" s="657"/>
      <c r="Z206" s="657"/>
      <c r="AA206" s="481"/>
      <c r="AC206" s="456"/>
      <c r="AD206" s="522" t="s">
        <v>1950</v>
      </c>
      <c r="AE206" s="699"/>
    </row>
    <row r="207" spans="1:31" s="454" customFormat="1" ht="33.75" x14ac:dyDescent="0.25">
      <c r="A207" s="658" t="s">
        <v>656</v>
      </c>
      <c r="B207" s="659" t="s">
        <v>1236</v>
      </c>
      <c r="C207" s="2673" t="s">
        <v>1237</v>
      </c>
      <c r="D207" s="2673"/>
      <c r="E207" s="2673"/>
      <c r="F207" s="680">
        <v>128.5</v>
      </c>
      <c r="G207" s="661" t="s">
        <v>1952</v>
      </c>
      <c r="H207" s="661"/>
      <c r="I207" s="661">
        <v>2748594</v>
      </c>
      <c r="J207" s="661"/>
      <c r="K207" s="662"/>
      <c r="L207" s="663">
        <v>0</v>
      </c>
      <c r="M207" s="663">
        <v>0</v>
      </c>
      <c r="X207" s="656"/>
      <c r="Y207" s="657"/>
      <c r="Z207" s="657"/>
      <c r="AA207" s="481" t="s">
        <v>1237</v>
      </c>
      <c r="AC207" s="456"/>
      <c r="AD207" s="522"/>
      <c r="AE207" s="699"/>
    </row>
    <row r="208" spans="1:31" s="454" customFormat="1" ht="15" x14ac:dyDescent="0.25">
      <c r="A208" s="542"/>
      <c r="B208" s="665"/>
      <c r="C208" s="666" t="s">
        <v>1953</v>
      </c>
      <c r="D208" s="667"/>
      <c r="E208" s="667"/>
      <c r="F208" s="667"/>
      <c r="G208" s="667"/>
      <c r="H208" s="667"/>
      <c r="I208" s="667"/>
      <c r="J208" s="667"/>
      <c r="K208" s="667"/>
      <c r="L208" s="667"/>
      <c r="M208" s="669"/>
      <c r="X208" s="656"/>
      <c r="Y208" s="657"/>
      <c r="Z208" s="657"/>
      <c r="AA208" s="481"/>
      <c r="AC208" s="456"/>
      <c r="AD208" s="522"/>
      <c r="AE208" s="699"/>
    </row>
    <row r="209" spans="1:31" s="454" customFormat="1" ht="15" x14ac:dyDescent="0.25">
      <c r="A209" s="2680" t="s">
        <v>1240</v>
      </c>
      <c r="B209" s="2681"/>
      <c r="C209" s="2681"/>
      <c r="D209" s="2681"/>
      <c r="E209" s="2681"/>
      <c r="F209" s="2681"/>
      <c r="G209" s="2681"/>
      <c r="H209" s="2681"/>
      <c r="I209" s="2681"/>
      <c r="J209" s="2681"/>
      <c r="K209" s="2681"/>
      <c r="L209" s="2681"/>
      <c r="M209" s="2682"/>
      <c r="X209" s="656"/>
      <c r="Y209" s="657" t="s">
        <v>1240</v>
      </c>
      <c r="Z209" s="657"/>
      <c r="AA209" s="481"/>
      <c r="AC209" s="456"/>
      <c r="AD209" s="522"/>
      <c r="AE209" s="699"/>
    </row>
    <row r="210" spans="1:31" s="454" customFormat="1" ht="57" x14ac:dyDescent="0.25">
      <c r="A210" s="658" t="s">
        <v>657</v>
      </c>
      <c r="B210" s="659" t="s">
        <v>1954</v>
      </c>
      <c r="C210" s="2673" t="s">
        <v>1955</v>
      </c>
      <c r="D210" s="2673"/>
      <c r="E210" s="2673"/>
      <c r="F210" s="685">
        <v>5.2731000000000003</v>
      </c>
      <c r="G210" s="661" t="s">
        <v>1956</v>
      </c>
      <c r="H210" s="661" t="s">
        <v>1957</v>
      </c>
      <c r="I210" s="661">
        <v>674421</v>
      </c>
      <c r="J210" s="661">
        <v>52743</v>
      </c>
      <c r="K210" s="662" t="s">
        <v>2850</v>
      </c>
      <c r="L210" s="691">
        <v>1039.7328</v>
      </c>
      <c r="M210" s="672">
        <v>5482.62</v>
      </c>
      <c r="X210" s="656"/>
      <c r="Y210" s="657"/>
      <c r="Z210" s="657"/>
      <c r="AA210" s="481" t="s">
        <v>1955</v>
      </c>
      <c r="AC210" s="456"/>
      <c r="AD210" s="522"/>
      <c r="AE210" s="699"/>
    </row>
    <row r="211" spans="1:31" s="454" customFormat="1" ht="15" x14ac:dyDescent="0.25">
      <c r="A211" s="664"/>
      <c r="B211" s="665"/>
      <c r="C211" s="666" t="s">
        <v>2851</v>
      </c>
      <c r="D211" s="667"/>
      <c r="E211" s="667"/>
      <c r="F211" s="667"/>
      <c r="G211" s="667"/>
      <c r="H211" s="667"/>
      <c r="I211" s="667"/>
      <c r="J211" s="667"/>
      <c r="K211" s="667"/>
      <c r="L211" s="667"/>
      <c r="M211" s="668"/>
      <c r="X211" s="656"/>
      <c r="Y211" s="657"/>
      <c r="Z211" s="657"/>
      <c r="AA211" s="481"/>
      <c r="AC211" s="456"/>
      <c r="AD211" s="522"/>
      <c r="AE211" s="699"/>
    </row>
    <row r="212" spans="1:31" s="454" customFormat="1" ht="15" x14ac:dyDescent="0.25">
      <c r="A212" s="542"/>
      <c r="B212" s="673" t="s">
        <v>1960</v>
      </c>
      <c r="C212" s="2670" t="s">
        <v>1961</v>
      </c>
      <c r="D212" s="2670"/>
      <c r="E212" s="2670"/>
      <c r="F212" s="2670"/>
      <c r="G212" s="2670"/>
      <c r="H212" s="2670"/>
      <c r="I212" s="2670"/>
      <c r="J212" s="2670"/>
      <c r="K212" s="2670"/>
      <c r="L212" s="2670"/>
      <c r="M212" s="2671"/>
      <c r="X212" s="656"/>
      <c r="Y212" s="657"/>
      <c r="Z212" s="657"/>
      <c r="AA212" s="481"/>
      <c r="AB212" s="491" t="s">
        <v>1961</v>
      </c>
      <c r="AC212" s="456"/>
      <c r="AD212" s="522"/>
      <c r="AE212" s="699"/>
    </row>
    <row r="213" spans="1:31" s="454" customFormat="1" ht="15" x14ac:dyDescent="0.25">
      <c r="A213" s="542"/>
      <c r="B213" s="673" t="s">
        <v>1962</v>
      </c>
      <c r="C213" s="2670" t="s">
        <v>1963</v>
      </c>
      <c r="D213" s="2670"/>
      <c r="E213" s="2670"/>
      <c r="F213" s="2670"/>
      <c r="G213" s="2670"/>
      <c r="H213" s="2670"/>
      <c r="I213" s="2670"/>
      <c r="J213" s="2670"/>
      <c r="K213" s="2670"/>
      <c r="L213" s="2670"/>
      <c r="M213" s="2671"/>
      <c r="X213" s="656"/>
      <c r="Y213" s="657"/>
      <c r="Z213" s="657"/>
      <c r="AA213" s="481"/>
      <c r="AB213" s="491" t="s">
        <v>1963</v>
      </c>
      <c r="AC213" s="456"/>
      <c r="AD213" s="522"/>
      <c r="AE213" s="699"/>
    </row>
    <row r="214" spans="1:31" s="454" customFormat="1" ht="15" x14ac:dyDescent="0.25">
      <c r="A214" s="542"/>
      <c r="B214" s="673" t="s">
        <v>1964</v>
      </c>
      <c r="C214" s="2670" t="s">
        <v>1965</v>
      </c>
      <c r="D214" s="2670"/>
      <c r="E214" s="2670"/>
      <c r="F214" s="2670"/>
      <c r="G214" s="2670"/>
      <c r="H214" s="2670"/>
      <c r="I214" s="2670"/>
      <c r="J214" s="2670"/>
      <c r="K214" s="2670"/>
      <c r="L214" s="2670"/>
      <c r="M214" s="2671"/>
      <c r="X214" s="656"/>
      <c r="Y214" s="657"/>
      <c r="Z214" s="657"/>
      <c r="AA214" s="481"/>
      <c r="AB214" s="491" t="s">
        <v>1965</v>
      </c>
      <c r="AC214" s="456"/>
      <c r="AD214" s="522"/>
      <c r="AE214" s="699"/>
    </row>
    <row r="215" spans="1:31" s="454" customFormat="1" ht="33.75" x14ac:dyDescent="0.25">
      <c r="A215" s="542"/>
      <c r="B215" s="673" t="s">
        <v>1655</v>
      </c>
      <c r="C215" s="2670" t="s">
        <v>1656</v>
      </c>
      <c r="D215" s="2670"/>
      <c r="E215" s="2670"/>
      <c r="F215" s="2670"/>
      <c r="G215" s="2670"/>
      <c r="H215" s="2670"/>
      <c r="I215" s="2670"/>
      <c r="J215" s="2670"/>
      <c r="K215" s="2670"/>
      <c r="L215" s="2670"/>
      <c r="M215" s="2671"/>
      <c r="X215" s="656"/>
      <c r="Y215" s="657"/>
      <c r="Z215" s="657"/>
      <c r="AA215" s="481"/>
      <c r="AB215" s="491" t="s">
        <v>1656</v>
      </c>
      <c r="AC215" s="456"/>
      <c r="AD215" s="522"/>
      <c r="AE215" s="699"/>
    </row>
    <row r="216" spans="1:31" s="454" customFormat="1" ht="15" x14ac:dyDescent="0.25">
      <c r="A216" s="823"/>
      <c r="B216" s="824"/>
      <c r="C216" s="824"/>
      <c r="D216" s="824"/>
      <c r="E216" s="825" t="s">
        <v>2852</v>
      </c>
      <c r="F216" s="826"/>
      <c r="G216" s="827"/>
      <c r="H216" s="648"/>
      <c r="I216" s="828">
        <v>92194</v>
      </c>
      <c r="J216" s="829"/>
      <c r="K216" s="829"/>
      <c r="L216" s="830"/>
      <c r="M216" s="831"/>
      <c r="X216" s="656"/>
      <c r="Y216" s="657"/>
      <c r="Z216" s="657"/>
      <c r="AA216" s="481"/>
      <c r="AC216" s="456"/>
      <c r="AD216" s="522"/>
      <c r="AE216" s="699"/>
    </row>
    <row r="217" spans="1:31" s="454" customFormat="1" ht="15" x14ac:dyDescent="0.25">
      <c r="A217" s="823"/>
      <c r="B217" s="824"/>
      <c r="C217" s="824"/>
      <c r="D217" s="824"/>
      <c r="E217" s="825" t="s">
        <v>2853</v>
      </c>
      <c r="F217" s="826"/>
      <c r="G217" s="827"/>
      <c r="H217" s="648"/>
      <c r="I217" s="828">
        <v>41981</v>
      </c>
      <c r="J217" s="829"/>
      <c r="K217" s="829"/>
      <c r="L217" s="830"/>
      <c r="M217" s="831"/>
      <c r="X217" s="656"/>
      <c r="Y217" s="657"/>
      <c r="Z217" s="657"/>
      <c r="AA217" s="481"/>
      <c r="AC217" s="456"/>
      <c r="AD217" s="522"/>
      <c r="AE217" s="699"/>
    </row>
    <row r="218" spans="1:31" s="454" customFormat="1" ht="15" x14ac:dyDescent="0.25">
      <c r="A218" s="823"/>
      <c r="B218" s="824"/>
      <c r="C218" s="824"/>
      <c r="D218" s="824"/>
      <c r="E218" s="825" t="s">
        <v>2692</v>
      </c>
      <c r="F218" s="826"/>
      <c r="G218" s="827"/>
      <c r="H218" s="648"/>
      <c r="I218" s="828">
        <v>808596</v>
      </c>
      <c r="J218" s="829"/>
      <c r="K218" s="829"/>
      <c r="L218" s="830"/>
      <c r="M218" s="831"/>
      <c r="X218" s="656"/>
      <c r="Y218" s="657"/>
      <c r="Z218" s="657"/>
      <c r="AA218" s="481"/>
      <c r="AC218" s="456"/>
      <c r="AD218" s="522"/>
      <c r="AE218" s="699"/>
    </row>
    <row r="219" spans="1:31" s="454" customFormat="1" ht="23.25" x14ac:dyDescent="0.25">
      <c r="A219" s="507"/>
      <c r="B219" s="674" t="s">
        <v>1883</v>
      </c>
      <c r="C219" s="2672" t="s">
        <v>1884</v>
      </c>
      <c r="D219" s="2672"/>
      <c r="E219" s="2672"/>
      <c r="F219" s="675" t="s">
        <v>2854</v>
      </c>
      <c r="G219" s="676" t="s">
        <v>1886</v>
      </c>
      <c r="H219" s="676"/>
      <c r="I219" s="676">
        <v>52742.8</v>
      </c>
      <c r="J219" s="676">
        <v>52742.8</v>
      </c>
      <c r="K219" s="676"/>
      <c r="L219" s="677"/>
      <c r="M219" s="678"/>
      <c r="X219" s="656"/>
      <c r="Y219" s="657"/>
      <c r="Z219" s="657"/>
      <c r="AA219" s="481"/>
      <c r="AC219" s="456" t="s">
        <v>1884</v>
      </c>
      <c r="AD219" s="522"/>
      <c r="AE219" s="699"/>
    </row>
    <row r="220" spans="1:31" s="454" customFormat="1" ht="23.25" x14ac:dyDescent="0.25">
      <c r="A220" s="507"/>
      <c r="B220" s="674" t="s">
        <v>639</v>
      </c>
      <c r="C220" s="2672" t="s">
        <v>1661</v>
      </c>
      <c r="D220" s="2672"/>
      <c r="E220" s="2672"/>
      <c r="F220" s="675" t="s">
        <v>2855</v>
      </c>
      <c r="G220" s="676">
        <v>0</v>
      </c>
      <c r="H220" s="676">
        <v>0</v>
      </c>
      <c r="I220" s="676">
        <v>0</v>
      </c>
      <c r="J220" s="676"/>
      <c r="K220" s="676">
        <v>0</v>
      </c>
      <c r="L220" s="677"/>
      <c r="M220" s="678"/>
      <c r="X220" s="656"/>
      <c r="Y220" s="657"/>
      <c r="Z220" s="657"/>
      <c r="AA220" s="481"/>
      <c r="AC220" s="456" t="s">
        <v>1661</v>
      </c>
      <c r="AD220" s="522"/>
      <c r="AE220" s="699"/>
    </row>
    <row r="221" spans="1:31" s="454" customFormat="1" ht="23.25" x14ac:dyDescent="0.25">
      <c r="A221" s="507"/>
      <c r="B221" s="674" t="s">
        <v>1968</v>
      </c>
      <c r="C221" s="2672" t="s">
        <v>1969</v>
      </c>
      <c r="D221" s="2672"/>
      <c r="E221" s="2672"/>
      <c r="F221" s="675" t="s">
        <v>2856</v>
      </c>
      <c r="G221" s="676">
        <v>79.069999999999993</v>
      </c>
      <c r="H221" s="676" t="s">
        <v>1971</v>
      </c>
      <c r="I221" s="676">
        <v>1220.8399999999999</v>
      </c>
      <c r="J221" s="676"/>
      <c r="K221" s="676" t="s">
        <v>2857</v>
      </c>
      <c r="L221" s="677"/>
      <c r="M221" s="678"/>
      <c r="X221" s="656"/>
      <c r="Y221" s="657"/>
      <c r="Z221" s="657"/>
      <c r="AA221" s="481"/>
      <c r="AC221" s="456" t="s">
        <v>1969</v>
      </c>
      <c r="AD221" s="522"/>
      <c r="AE221" s="699"/>
    </row>
    <row r="222" spans="1:31" s="454" customFormat="1" ht="45.75" x14ac:dyDescent="0.25">
      <c r="A222" s="507"/>
      <c r="B222" s="674" t="s">
        <v>1973</v>
      </c>
      <c r="C222" s="2672" t="s">
        <v>1974</v>
      </c>
      <c r="D222" s="2672"/>
      <c r="E222" s="2672"/>
      <c r="F222" s="675" t="s">
        <v>2858</v>
      </c>
      <c r="G222" s="676">
        <v>70.010000000000005</v>
      </c>
      <c r="H222" s="676" t="s">
        <v>1976</v>
      </c>
      <c r="I222" s="676">
        <v>1454.81</v>
      </c>
      <c r="J222" s="676"/>
      <c r="K222" s="676" t="s">
        <v>2859</v>
      </c>
      <c r="L222" s="677"/>
      <c r="M222" s="678"/>
      <c r="X222" s="656"/>
      <c r="Y222" s="657"/>
      <c r="Z222" s="657"/>
      <c r="AA222" s="481"/>
      <c r="AC222" s="456" t="s">
        <v>1974</v>
      </c>
      <c r="AD222" s="522"/>
      <c r="AE222" s="699"/>
    </row>
    <row r="223" spans="1:31" s="454" customFormat="1" ht="57" x14ac:dyDescent="0.25">
      <c r="A223" s="507"/>
      <c r="B223" s="674" t="s">
        <v>1978</v>
      </c>
      <c r="C223" s="2672" t="s">
        <v>1979</v>
      </c>
      <c r="D223" s="2672"/>
      <c r="E223" s="2672"/>
      <c r="F223" s="675" t="s">
        <v>2860</v>
      </c>
      <c r="G223" s="676">
        <v>340</v>
      </c>
      <c r="H223" s="676" t="s">
        <v>1981</v>
      </c>
      <c r="I223" s="676">
        <v>398762.2</v>
      </c>
      <c r="J223" s="676"/>
      <c r="K223" s="676" t="s">
        <v>2861</v>
      </c>
      <c r="L223" s="677"/>
      <c r="M223" s="678"/>
      <c r="X223" s="656"/>
      <c r="Y223" s="657"/>
      <c r="Z223" s="657"/>
      <c r="AA223" s="481"/>
      <c r="AC223" s="456" t="s">
        <v>1979</v>
      </c>
      <c r="AD223" s="522"/>
      <c r="AE223" s="699"/>
    </row>
    <row r="224" spans="1:31" s="454" customFormat="1" ht="34.5" x14ac:dyDescent="0.25">
      <c r="A224" s="507"/>
      <c r="B224" s="674" t="s">
        <v>1663</v>
      </c>
      <c r="C224" s="2672" t="s">
        <v>1664</v>
      </c>
      <c r="D224" s="2672"/>
      <c r="E224" s="2672"/>
      <c r="F224" s="675" t="s">
        <v>2862</v>
      </c>
      <c r="G224" s="676">
        <v>111.99</v>
      </c>
      <c r="H224" s="676" t="s">
        <v>1666</v>
      </c>
      <c r="I224" s="676">
        <v>2283.48</v>
      </c>
      <c r="J224" s="676"/>
      <c r="K224" s="676" t="s">
        <v>2863</v>
      </c>
      <c r="L224" s="677"/>
      <c r="M224" s="678"/>
      <c r="X224" s="656"/>
      <c r="Y224" s="657"/>
      <c r="Z224" s="657"/>
      <c r="AA224" s="481"/>
      <c r="AC224" s="456" t="s">
        <v>1664</v>
      </c>
      <c r="AD224" s="522"/>
      <c r="AE224" s="699"/>
    </row>
    <row r="225" spans="1:31" s="454" customFormat="1" ht="23.25" x14ac:dyDescent="0.25">
      <c r="A225" s="507"/>
      <c r="B225" s="674" t="s">
        <v>1985</v>
      </c>
      <c r="C225" s="2672" t="s">
        <v>1986</v>
      </c>
      <c r="D225" s="2672"/>
      <c r="E225" s="2672"/>
      <c r="F225" s="675" t="s">
        <v>2864</v>
      </c>
      <c r="G225" s="676">
        <v>26.5</v>
      </c>
      <c r="H225" s="676" t="s">
        <v>1988</v>
      </c>
      <c r="I225" s="676">
        <v>7383.43</v>
      </c>
      <c r="J225" s="676"/>
      <c r="K225" s="676" t="s">
        <v>2865</v>
      </c>
      <c r="L225" s="677"/>
      <c r="M225" s="678"/>
      <c r="X225" s="656"/>
      <c r="Y225" s="657"/>
      <c r="Z225" s="657"/>
      <c r="AA225" s="481"/>
      <c r="AC225" s="456" t="s">
        <v>1986</v>
      </c>
      <c r="AD225" s="522"/>
      <c r="AE225" s="699"/>
    </row>
    <row r="226" spans="1:31" s="454" customFormat="1" ht="34.5" x14ac:dyDescent="0.25">
      <c r="A226" s="507"/>
      <c r="B226" s="674" t="s">
        <v>821</v>
      </c>
      <c r="C226" s="2672" t="s">
        <v>1751</v>
      </c>
      <c r="D226" s="2672"/>
      <c r="E226" s="2672"/>
      <c r="F226" s="675" t="s">
        <v>2866</v>
      </c>
      <c r="G226" s="676">
        <v>65.709999999999994</v>
      </c>
      <c r="H226" s="676" t="s">
        <v>1753</v>
      </c>
      <c r="I226" s="676">
        <v>2008.1</v>
      </c>
      <c r="J226" s="676"/>
      <c r="K226" s="676" t="s">
        <v>2867</v>
      </c>
      <c r="L226" s="677"/>
      <c r="M226" s="678"/>
      <c r="X226" s="656"/>
      <c r="Y226" s="657"/>
      <c r="Z226" s="657"/>
      <c r="AA226" s="481"/>
      <c r="AC226" s="456" t="s">
        <v>1751</v>
      </c>
      <c r="AD226" s="522"/>
      <c r="AE226" s="699"/>
    </row>
    <row r="227" spans="1:31" s="454" customFormat="1" ht="23.25" x14ac:dyDescent="0.25">
      <c r="A227" s="515" t="s">
        <v>863</v>
      </c>
      <c r="B227" s="686" t="s">
        <v>1992</v>
      </c>
      <c r="C227" s="2683" t="s">
        <v>1993</v>
      </c>
      <c r="D227" s="2683"/>
      <c r="E227" s="2683"/>
      <c r="F227" s="687" t="s">
        <v>2868</v>
      </c>
      <c r="G227" s="688">
        <v>0</v>
      </c>
      <c r="H227" s="688"/>
      <c r="I227" s="688">
        <v>0</v>
      </c>
      <c r="J227" s="688"/>
      <c r="K227" s="688"/>
      <c r="L227" s="689"/>
      <c r="M227" s="690"/>
      <c r="X227" s="656"/>
      <c r="Y227" s="657"/>
      <c r="Z227" s="657"/>
      <c r="AA227" s="481"/>
      <c r="AC227" s="456"/>
      <c r="AD227" s="522" t="s">
        <v>1993</v>
      </c>
      <c r="AE227" s="699"/>
    </row>
    <row r="228" spans="1:31" s="454" customFormat="1" ht="57" x14ac:dyDescent="0.25">
      <c r="A228" s="507"/>
      <c r="B228" s="674" t="s">
        <v>1995</v>
      </c>
      <c r="C228" s="2672" t="s">
        <v>1996</v>
      </c>
      <c r="D228" s="2672"/>
      <c r="E228" s="2672"/>
      <c r="F228" s="675" t="s">
        <v>2869</v>
      </c>
      <c r="G228" s="676">
        <v>183.68</v>
      </c>
      <c r="H228" s="676"/>
      <c r="I228" s="676">
        <v>2007.62</v>
      </c>
      <c r="J228" s="676"/>
      <c r="K228" s="676"/>
      <c r="L228" s="677"/>
      <c r="M228" s="678"/>
      <c r="X228" s="656"/>
      <c r="Y228" s="657"/>
      <c r="Z228" s="657"/>
      <c r="AA228" s="481"/>
      <c r="AC228" s="456" t="s">
        <v>1996</v>
      </c>
      <c r="AD228" s="522"/>
      <c r="AE228" s="699"/>
    </row>
    <row r="229" spans="1:31" s="454" customFormat="1" ht="23.25" x14ac:dyDescent="0.25">
      <c r="A229" s="515" t="s">
        <v>863</v>
      </c>
      <c r="B229" s="686" t="s">
        <v>1998</v>
      </c>
      <c r="C229" s="2683" t="s">
        <v>1999</v>
      </c>
      <c r="D229" s="2683"/>
      <c r="E229" s="2683"/>
      <c r="F229" s="687" t="s">
        <v>2870</v>
      </c>
      <c r="G229" s="688">
        <v>0</v>
      </c>
      <c r="H229" s="688"/>
      <c r="I229" s="688">
        <v>0</v>
      </c>
      <c r="J229" s="688"/>
      <c r="K229" s="688"/>
      <c r="L229" s="689"/>
      <c r="M229" s="690"/>
      <c r="X229" s="656"/>
      <c r="Y229" s="657"/>
      <c r="Z229" s="657"/>
      <c r="AA229" s="481"/>
      <c r="AC229" s="456"/>
      <c r="AD229" s="522" t="s">
        <v>1999</v>
      </c>
      <c r="AE229" s="699"/>
    </row>
    <row r="230" spans="1:31" s="454" customFormat="1" ht="22.5" x14ac:dyDescent="0.25">
      <c r="A230" s="515" t="s">
        <v>860</v>
      </c>
      <c r="B230" s="686" t="s">
        <v>2001</v>
      </c>
      <c r="C230" s="2683" t="s">
        <v>2002</v>
      </c>
      <c r="D230" s="2683"/>
      <c r="E230" s="2683"/>
      <c r="F230" s="687" t="s">
        <v>1935</v>
      </c>
      <c r="G230" s="688">
        <v>0</v>
      </c>
      <c r="H230" s="688"/>
      <c r="I230" s="688">
        <v>0</v>
      </c>
      <c r="J230" s="688"/>
      <c r="K230" s="688"/>
      <c r="L230" s="689"/>
      <c r="M230" s="690"/>
      <c r="X230" s="656"/>
      <c r="Y230" s="657"/>
      <c r="Z230" s="657"/>
      <c r="AA230" s="481"/>
      <c r="AC230" s="456"/>
      <c r="AD230" s="522" t="s">
        <v>2002</v>
      </c>
      <c r="AE230" s="699"/>
    </row>
    <row r="231" spans="1:31" s="454" customFormat="1" ht="57" x14ac:dyDescent="0.25">
      <c r="A231" s="658" t="s">
        <v>658</v>
      </c>
      <c r="B231" s="659" t="s">
        <v>2003</v>
      </c>
      <c r="C231" s="2673" t="s">
        <v>2004</v>
      </c>
      <c r="D231" s="2673"/>
      <c r="E231" s="2673"/>
      <c r="F231" s="685">
        <v>0.39689999999999998</v>
      </c>
      <c r="G231" s="661" t="s">
        <v>2005</v>
      </c>
      <c r="H231" s="661" t="s">
        <v>2006</v>
      </c>
      <c r="I231" s="661">
        <v>154069</v>
      </c>
      <c r="J231" s="661">
        <v>11765</v>
      </c>
      <c r="K231" s="662" t="s">
        <v>2871</v>
      </c>
      <c r="L231" s="691">
        <v>3081.2808</v>
      </c>
      <c r="M231" s="672">
        <v>1222.96</v>
      </c>
      <c r="X231" s="656"/>
      <c r="Y231" s="657"/>
      <c r="Z231" s="657"/>
      <c r="AA231" s="481" t="s">
        <v>2004</v>
      </c>
      <c r="AC231" s="456"/>
      <c r="AD231" s="522"/>
      <c r="AE231" s="699"/>
    </row>
    <row r="232" spans="1:31" s="454" customFormat="1" ht="15" x14ac:dyDescent="0.25">
      <c r="A232" s="664"/>
      <c r="B232" s="665"/>
      <c r="C232" s="666" t="s">
        <v>2872</v>
      </c>
      <c r="D232" s="667"/>
      <c r="E232" s="667"/>
      <c r="F232" s="667"/>
      <c r="G232" s="667"/>
      <c r="H232" s="667"/>
      <c r="I232" s="667"/>
      <c r="J232" s="667"/>
      <c r="K232" s="667"/>
      <c r="L232" s="667"/>
      <c r="M232" s="668"/>
      <c r="X232" s="656"/>
      <c r="Y232" s="657"/>
      <c r="Z232" s="657"/>
      <c r="AA232" s="481"/>
      <c r="AC232" s="456"/>
      <c r="AD232" s="522"/>
      <c r="AE232" s="699"/>
    </row>
    <row r="233" spans="1:31" s="454" customFormat="1" ht="15" x14ac:dyDescent="0.25">
      <c r="A233" s="542"/>
      <c r="B233" s="673" t="s">
        <v>1960</v>
      </c>
      <c r="C233" s="2670" t="s">
        <v>1961</v>
      </c>
      <c r="D233" s="2670"/>
      <c r="E233" s="2670"/>
      <c r="F233" s="2670"/>
      <c r="G233" s="2670"/>
      <c r="H233" s="2670"/>
      <c r="I233" s="2670"/>
      <c r="J233" s="2670"/>
      <c r="K233" s="2670"/>
      <c r="L233" s="2670"/>
      <c r="M233" s="2671"/>
      <c r="X233" s="656"/>
      <c r="Y233" s="657"/>
      <c r="Z233" s="657"/>
      <c r="AA233" s="481"/>
      <c r="AB233" s="491" t="s">
        <v>1961</v>
      </c>
      <c r="AC233" s="456"/>
      <c r="AD233" s="522"/>
      <c r="AE233" s="699"/>
    </row>
    <row r="234" spans="1:31" s="454" customFormat="1" ht="15" x14ac:dyDescent="0.25">
      <c r="A234" s="542"/>
      <c r="B234" s="673" t="s">
        <v>1962</v>
      </c>
      <c r="C234" s="2670" t="s">
        <v>1963</v>
      </c>
      <c r="D234" s="2670"/>
      <c r="E234" s="2670"/>
      <c r="F234" s="2670"/>
      <c r="G234" s="2670"/>
      <c r="H234" s="2670"/>
      <c r="I234" s="2670"/>
      <c r="J234" s="2670"/>
      <c r="K234" s="2670"/>
      <c r="L234" s="2670"/>
      <c r="M234" s="2671"/>
      <c r="X234" s="656"/>
      <c r="Y234" s="657"/>
      <c r="Z234" s="657"/>
      <c r="AA234" s="481"/>
      <c r="AB234" s="491" t="s">
        <v>1963</v>
      </c>
      <c r="AC234" s="456"/>
      <c r="AD234" s="522"/>
      <c r="AE234" s="699"/>
    </row>
    <row r="235" spans="1:31" s="454" customFormat="1" ht="15" x14ac:dyDescent="0.25">
      <c r="A235" s="542"/>
      <c r="B235" s="673" t="s">
        <v>1964</v>
      </c>
      <c r="C235" s="2670" t="s">
        <v>1965</v>
      </c>
      <c r="D235" s="2670"/>
      <c r="E235" s="2670"/>
      <c r="F235" s="2670"/>
      <c r="G235" s="2670"/>
      <c r="H235" s="2670"/>
      <c r="I235" s="2670"/>
      <c r="J235" s="2670"/>
      <c r="K235" s="2670"/>
      <c r="L235" s="2670"/>
      <c r="M235" s="2671"/>
      <c r="X235" s="656"/>
      <c r="Y235" s="657"/>
      <c r="Z235" s="657"/>
      <c r="AA235" s="481"/>
      <c r="AB235" s="491" t="s">
        <v>1965</v>
      </c>
      <c r="AC235" s="456"/>
      <c r="AD235" s="522"/>
      <c r="AE235" s="699"/>
    </row>
    <row r="236" spans="1:31" s="454" customFormat="1" ht="33.75" x14ac:dyDescent="0.25">
      <c r="A236" s="542"/>
      <c r="B236" s="673" t="s">
        <v>1655</v>
      </c>
      <c r="C236" s="2670" t="s">
        <v>1656</v>
      </c>
      <c r="D236" s="2670"/>
      <c r="E236" s="2670"/>
      <c r="F236" s="2670"/>
      <c r="G236" s="2670"/>
      <c r="H236" s="2670"/>
      <c r="I236" s="2670"/>
      <c r="J236" s="2670"/>
      <c r="K236" s="2670"/>
      <c r="L236" s="2670"/>
      <c r="M236" s="2671"/>
      <c r="X236" s="656"/>
      <c r="Y236" s="657"/>
      <c r="Z236" s="657"/>
      <c r="AA236" s="481"/>
      <c r="AB236" s="491" t="s">
        <v>1656</v>
      </c>
      <c r="AC236" s="456"/>
      <c r="AD236" s="522"/>
      <c r="AE236" s="699"/>
    </row>
    <row r="237" spans="1:31" s="454" customFormat="1" ht="15" x14ac:dyDescent="0.25">
      <c r="A237" s="823"/>
      <c r="B237" s="824"/>
      <c r="C237" s="824"/>
      <c r="D237" s="824"/>
      <c r="E237" s="825" t="s">
        <v>2873</v>
      </c>
      <c r="F237" s="826"/>
      <c r="G237" s="827"/>
      <c r="H237" s="648"/>
      <c r="I237" s="828">
        <v>19910</v>
      </c>
      <c r="J237" s="829"/>
      <c r="K237" s="829"/>
      <c r="L237" s="830"/>
      <c r="M237" s="831"/>
      <c r="X237" s="656"/>
      <c r="Y237" s="657"/>
      <c r="Z237" s="657"/>
      <c r="AA237" s="481"/>
      <c r="AC237" s="456"/>
      <c r="AD237" s="522"/>
      <c r="AE237" s="699"/>
    </row>
    <row r="238" spans="1:31" s="454" customFormat="1" ht="15" x14ac:dyDescent="0.25">
      <c r="A238" s="823"/>
      <c r="B238" s="824"/>
      <c r="C238" s="824"/>
      <c r="D238" s="824"/>
      <c r="E238" s="825" t="s">
        <v>2874</v>
      </c>
      <c r="F238" s="826"/>
      <c r="G238" s="827"/>
      <c r="H238" s="648"/>
      <c r="I238" s="828">
        <v>9066</v>
      </c>
      <c r="J238" s="829"/>
      <c r="K238" s="829"/>
      <c r="L238" s="830"/>
      <c r="M238" s="831"/>
      <c r="X238" s="656"/>
      <c r="Y238" s="657"/>
      <c r="Z238" s="657"/>
      <c r="AA238" s="481"/>
      <c r="AC238" s="456"/>
      <c r="AD238" s="522"/>
      <c r="AE238" s="699"/>
    </row>
    <row r="239" spans="1:31" s="454" customFormat="1" ht="15" x14ac:dyDescent="0.25">
      <c r="A239" s="823"/>
      <c r="B239" s="824"/>
      <c r="C239" s="824"/>
      <c r="D239" s="824"/>
      <c r="E239" s="825" t="s">
        <v>2692</v>
      </c>
      <c r="F239" s="826"/>
      <c r="G239" s="827"/>
      <c r="H239" s="648"/>
      <c r="I239" s="828">
        <v>183045</v>
      </c>
      <c r="J239" s="829"/>
      <c r="K239" s="829"/>
      <c r="L239" s="830"/>
      <c r="M239" s="831"/>
      <c r="X239" s="656"/>
      <c r="Y239" s="657"/>
      <c r="Z239" s="657"/>
      <c r="AA239" s="481"/>
      <c r="AC239" s="456"/>
      <c r="AD239" s="522"/>
      <c r="AE239" s="699"/>
    </row>
    <row r="240" spans="1:31" s="454" customFormat="1" ht="23.25" x14ac:dyDescent="0.25">
      <c r="A240" s="507"/>
      <c r="B240" s="674" t="s">
        <v>1883</v>
      </c>
      <c r="C240" s="2672" t="s">
        <v>1884</v>
      </c>
      <c r="D240" s="2672"/>
      <c r="E240" s="2672"/>
      <c r="F240" s="675" t="s">
        <v>2875</v>
      </c>
      <c r="G240" s="676" t="s">
        <v>1886</v>
      </c>
      <c r="H240" s="676"/>
      <c r="I240" s="676">
        <v>11764.88</v>
      </c>
      <c r="J240" s="676">
        <v>11764.88</v>
      </c>
      <c r="K240" s="676"/>
      <c r="L240" s="677"/>
      <c r="M240" s="678"/>
      <c r="X240" s="656"/>
      <c r="Y240" s="657"/>
      <c r="Z240" s="657"/>
      <c r="AA240" s="481"/>
      <c r="AC240" s="456" t="s">
        <v>1884</v>
      </c>
      <c r="AD240" s="522"/>
      <c r="AE240" s="699"/>
    </row>
    <row r="241" spans="1:31" s="454" customFormat="1" ht="23.25" x14ac:dyDescent="0.25">
      <c r="A241" s="507"/>
      <c r="B241" s="674" t="s">
        <v>639</v>
      </c>
      <c r="C241" s="2672" t="s">
        <v>1661</v>
      </c>
      <c r="D241" s="2672"/>
      <c r="E241" s="2672"/>
      <c r="F241" s="675" t="s">
        <v>2876</v>
      </c>
      <c r="G241" s="676">
        <v>0</v>
      </c>
      <c r="H241" s="676">
        <v>0</v>
      </c>
      <c r="I241" s="676">
        <v>0</v>
      </c>
      <c r="J241" s="676"/>
      <c r="K241" s="676">
        <v>0</v>
      </c>
      <c r="L241" s="677"/>
      <c r="M241" s="678"/>
      <c r="X241" s="656"/>
      <c r="Y241" s="657"/>
      <c r="Z241" s="657"/>
      <c r="AA241" s="481"/>
      <c r="AC241" s="456" t="s">
        <v>1661</v>
      </c>
      <c r="AD241" s="522"/>
      <c r="AE241" s="699"/>
    </row>
    <row r="242" spans="1:31" s="454" customFormat="1" ht="23.25" x14ac:dyDescent="0.25">
      <c r="A242" s="507"/>
      <c r="B242" s="674" t="s">
        <v>1968</v>
      </c>
      <c r="C242" s="2672" t="s">
        <v>1969</v>
      </c>
      <c r="D242" s="2672"/>
      <c r="E242" s="2672"/>
      <c r="F242" s="675" t="s">
        <v>2877</v>
      </c>
      <c r="G242" s="676">
        <v>79.069999999999993</v>
      </c>
      <c r="H242" s="676" t="s">
        <v>1971</v>
      </c>
      <c r="I242" s="676">
        <v>91.72</v>
      </c>
      <c r="J242" s="676"/>
      <c r="K242" s="676" t="s">
        <v>2878</v>
      </c>
      <c r="L242" s="677"/>
      <c r="M242" s="678"/>
      <c r="X242" s="656"/>
      <c r="Y242" s="657"/>
      <c r="Z242" s="657"/>
      <c r="AA242" s="481"/>
      <c r="AC242" s="456" t="s">
        <v>1969</v>
      </c>
      <c r="AD242" s="522"/>
      <c r="AE242" s="699"/>
    </row>
    <row r="243" spans="1:31" s="454" customFormat="1" ht="45.75" x14ac:dyDescent="0.25">
      <c r="A243" s="507"/>
      <c r="B243" s="674" t="s">
        <v>1973</v>
      </c>
      <c r="C243" s="2672" t="s">
        <v>1974</v>
      </c>
      <c r="D243" s="2672"/>
      <c r="E243" s="2672"/>
      <c r="F243" s="675" t="s">
        <v>2879</v>
      </c>
      <c r="G243" s="676">
        <v>70.010000000000005</v>
      </c>
      <c r="H243" s="676" t="s">
        <v>1976</v>
      </c>
      <c r="I243" s="676">
        <v>109.22</v>
      </c>
      <c r="J243" s="676"/>
      <c r="K243" s="676" t="s">
        <v>2880</v>
      </c>
      <c r="L243" s="677"/>
      <c r="M243" s="678"/>
      <c r="X243" s="656"/>
      <c r="Y243" s="657"/>
      <c r="Z243" s="657"/>
      <c r="AA243" s="481"/>
      <c r="AC243" s="456" t="s">
        <v>1974</v>
      </c>
      <c r="AD243" s="522"/>
      <c r="AE243" s="699"/>
    </row>
    <row r="244" spans="1:31" s="454" customFormat="1" ht="57" x14ac:dyDescent="0.25">
      <c r="A244" s="507"/>
      <c r="B244" s="674" t="s">
        <v>1978</v>
      </c>
      <c r="C244" s="2672" t="s">
        <v>1979</v>
      </c>
      <c r="D244" s="2672"/>
      <c r="E244" s="2672"/>
      <c r="F244" s="675" t="s">
        <v>2881</v>
      </c>
      <c r="G244" s="676">
        <v>340</v>
      </c>
      <c r="H244" s="676" t="s">
        <v>1981</v>
      </c>
      <c r="I244" s="676">
        <v>93435.4</v>
      </c>
      <c r="J244" s="676"/>
      <c r="K244" s="676" t="s">
        <v>2882</v>
      </c>
      <c r="L244" s="677"/>
      <c r="M244" s="678"/>
      <c r="X244" s="656"/>
      <c r="Y244" s="657"/>
      <c r="Z244" s="657"/>
      <c r="AA244" s="481"/>
      <c r="AC244" s="456" t="s">
        <v>1979</v>
      </c>
      <c r="AD244" s="522"/>
      <c r="AE244" s="699"/>
    </row>
    <row r="245" spans="1:31" s="454" customFormat="1" ht="34.5" x14ac:dyDescent="0.25">
      <c r="A245" s="507"/>
      <c r="B245" s="674" t="s">
        <v>1663</v>
      </c>
      <c r="C245" s="2672" t="s">
        <v>1664</v>
      </c>
      <c r="D245" s="2672"/>
      <c r="E245" s="2672"/>
      <c r="F245" s="675" t="s">
        <v>2883</v>
      </c>
      <c r="G245" s="676">
        <v>111.99</v>
      </c>
      <c r="H245" s="676" t="s">
        <v>1666</v>
      </c>
      <c r="I245" s="676">
        <v>192.62</v>
      </c>
      <c r="J245" s="676"/>
      <c r="K245" s="676" t="s">
        <v>2884</v>
      </c>
      <c r="L245" s="677"/>
      <c r="M245" s="678"/>
      <c r="X245" s="656"/>
      <c r="Y245" s="657"/>
      <c r="Z245" s="657"/>
      <c r="AA245" s="481"/>
      <c r="AC245" s="456" t="s">
        <v>1664</v>
      </c>
      <c r="AD245" s="522"/>
      <c r="AE245" s="699"/>
    </row>
    <row r="246" spans="1:31" s="454" customFormat="1" ht="23.25" x14ac:dyDescent="0.25">
      <c r="A246" s="507"/>
      <c r="B246" s="674" t="s">
        <v>1985</v>
      </c>
      <c r="C246" s="2672" t="s">
        <v>1986</v>
      </c>
      <c r="D246" s="2672"/>
      <c r="E246" s="2672"/>
      <c r="F246" s="675" t="s">
        <v>2885</v>
      </c>
      <c r="G246" s="676">
        <v>26.5</v>
      </c>
      <c r="H246" s="676" t="s">
        <v>1988</v>
      </c>
      <c r="I246" s="676">
        <v>555.71</v>
      </c>
      <c r="J246" s="676"/>
      <c r="K246" s="676" t="s">
        <v>2886</v>
      </c>
      <c r="L246" s="677"/>
      <c r="M246" s="678"/>
      <c r="X246" s="656"/>
      <c r="Y246" s="657"/>
      <c r="Z246" s="657"/>
      <c r="AA246" s="481"/>
      <c r="AC246" s="456" t="s">
        <v>1986</v>
      </c>
      <c r="AD246" s="522"/>
      <c r="AE246" s="699"/>
    </row>
    <row r="247" spans="1:31" s="454" customFormat="1" ht="34.5" x14ac:dyDescent="0.25">
      <c r="A247" s="507"/>
      <c r="B247" s="674" t="s">
        <v>821</v>
      </c>
      <c r="C247" s="2672" t="s">
        <v>1751</v>
      </c>
      <c r="D247" s="2672"/>
      <c r="E247" s="2672"/>
      <c r="F247" s="675" t="s">
        <v>2887</v>
      </c>
      <c r="G247" s="676">
        <v>65.709999999999994</v>
      </c>
      <c r="H247" s="676" t="s">
        <v>1753</v>
      </c>
      <c r="I247" s="676">
        <v>169.53</v>
      </c>
      <c r="J247" s="676"/>
      <c r="K247" s="676" t="s">
        <v>2888</v>
      </c>
      <c r="L247" s="677"/>
      <c r="M247" s="678"/>
      <c r="X247" s="656"/>
      <c r="Y247" s="657"/>
      <c r="Z247" s="657"/>
      <c r="AA247" s="481"/>
      <c r="AC247" s="456" t="s">
        <v>1751</v>
      </c>
      <c r="AD247" s="522"/>
      <c r="AE247" s="699"/>
    </row>
    <row r="248" spans="1:31" s="454" customFormat="1" ht="23.25" x14ac:dyDescent="0.25">
      <c r="A248" s="515" t="s">
        <v>863</v>
      </c>
      <c r="B248" s="686" t="s">
        <v>1992</v>
      </c>
      <c r="C248" s="2683" t="s">
        <v>1993</v>
      </c>
      <c r="D248" s="2683"/>
      <c r="E248" s="2683"/>
      <c r="F248" s="687" t="s">
        <v>2889</v>
      </c>
      <c r="G248" s="688">
        <v>0</v>
      </c>
      <c r="H248" s="688"/>
      <c r="I248" s="688">
        <v>0</v>
      </c>
      <c r="J248" s="688"/>
      <c r="K248" s="688"/>
      <c r="L248" s="689"/>
      <c r="M248" s="690"/>
      <c r="X248" s="656"/>
      <c r="Y248" s="657"/>
      <c r="Z248" s="657"/>
      <c r="AA248" s="481"/>
      <c r="AC248" s="456"/>
      <c r="AD248" s="522" t="s">
        <v>1993</v>
      </c>
      <c r="AE248" s="699"/>
    </row>
    <row r="249" spans="1:31" s="454" customFormat="1" ht="57" x14ac:dyDescent="0.25">
      <c r="A249" s="507"/>
      <c r="B249" s="674" t="s">
        <v>1995</v>
      </c>
      <c r="C249" s="2672" t="s">
        <v>1996</v>
      </c>
      <c r="D249" s="2672"/>
      <c r="E249" s="2672"/>
      <c r="F249" s="675" t="s">
        <v>2890</v>
      </c>
      <c r="G249" s="676">
        <v>183.68</v>
      </c>
      <c r="H249" s="676"/>
      <c r="I249" s="676">
        <v>472.42</v>
      </c>
      <c r="J249" s="676"/>
      <c r="K249" s="676"/>
      <c r="L249" s="677"/>
      <c r="M249" s="678"/>
      <c r="X249" s="656"/>
      <c r="Y249" s="657"/>
      <c r="Z249" s="657"/>
      <c r="AA249" s="481"/>
      <c r="AC249" s="456" t="s">
        <v>1996</v>
      </c>
      <c r="AD249" s="522"/>
      <c r="AE249" s="699"/>
    </row>
    <row r="250" spans="1:31" s="454" customFormat="1" ht="23.25" x14ac:dyDescent="0.25">
      <c r="A250" s="515" t="s">
        <v>863</v>
      </c>
      <c r="B250" s="686" t="s">
        <v>1998</v>
      </c>
      <c r="C250" s="2683" t="s">
        <v>1999</v>
      </c>
      <c r="D250" s="2683"/>
      <c r="E250" s="2683"/>
      <c r="F250" s="687" t="s">
        <v>2891</v>
      </c>
      <c r="G250" s="688">
        <v>0</v>
      </c>
      <c r="H250" s="688"/>
      <c r="I250" s="688">
        <v>0</v>
      </c>
      <c r="J250" s="688"/>
      <c r="K250" s="688"/>
      <c r="L250" s="689"/>
      <c r="M250" s="690"/>
      <c r="X250" s="656"/>
      <c r="Y250" s="657"/>
      <c r="Z250" s="657"/>
      <c r="AA250" s="481"/>
      <c r="AC250" s="456"/>
      <c r="AD250" s="522" t="s">
        <v>1999</v>
      </c>
      <c r="AE250" s="699"/>
    </row>
    <row r="251" spans="1:31" s="454" customFormat="1" ht="22.5" x14ac:dyDescent="0.25">
      <c r="A251" s="515" t="s">
        <v>860</v>
      </c>
      <c r="B251" s="686" t="s">
        <v>2001</v>
      </c>
      <c r="C251" s="2683" t="s">
        <v>2002</v>
      </c>
      <c r="D251" s="2683"/>
      <c r="E251" s="2683"/>
      <c r="F251" s="687" t="s">
        <v>1935</v>
      </c>
      <c r="G251" s="688">
        <v>0</v>
      </c>
      <c r="H251" s="688"/>
      <c r="I251" s="688">
        <v>0</v>
      </c>
      <c r="J251" s="688"/>
      <c r="K251" s="688"/>
      <c r="L251" s="689"/>
      <c r="M251" s="690"/>
      <c r="X251" s="656"/>
      <c r="Y251" s="657"/>
      <c r="Z251" s="657"/>
      <c r="AA251" s="481"/>
      <c r="AC251" s="456"/>
      <c r="AD251" s="522" t="s">
        <v>2002</v>
      </c>
      <c r="AE251" s="699"/>
    </row>
    <row r="252" spans="1:31" s="454" customFormat="1" ht="45" x14ac:dyDescent="0.25">
      <c r="A252" s="658" t="s">
        <v>659</v>
      </c>
      <c r="B252" s="659" t="s">
        <v>2026</v>
      </c>
      <c r="C252" s="2673" t="s">
        <v>1254</v>
      </c>
      <c r="D252" s="2673"/>
      <c r="E252" s="2673"/>
      <c r="F252" s="679">
        <v>17.010000000000002</v>
      </c>
      <c r="G252" s="661">
        <v>480</v>
      </c>
      <c r="H252" s="661"/>
      <c r="I252" s="661">
        <v>8165</v>
      </c>
      <c r="J252" s="661"/>
      <c r="K252" s="662"/>
      <c r="L252" s="663">
        <v>0</v>
      </c>
      <c r="M252" s="663">
        <v>0</v>
      </c>
      <c r="X252" s="656"/>
      <c r="Y252" s="657"/>
      <c r="Z252" s="657"/>
      <c r="AA252" s="481" t="s">
        <v>1254</v>
      </c>
      <c r="AC252" s="456"/>
      <c r="AD252" s="522"/>
      <c r="AE252" s="699"/>
    </row>
    <row r="253" spans="1:31" s="454" customFormat="1" ht="15" x14ac:dyDescent="0.25">
      <c r="A253" s="664"/>
      <c r="B253" s="665"/>
      <c r="C253" s="666" t="s">
        <v>2892</v>
      </c>
      <c r="D253" s="667"/>
      <c r="E253" s="667"/>
      <c r="F253" s="667"/>
      <c r="G253" s="667"/>
      <c r="H253" s="667"/>
      <c r="I253" s="667"/>
      <c r="J253" s="667"/>
      <c r="K253" s="667"/>
      <c r="L253" s="667"/>
      <c r="M253" s="668"/>
      <c r="X253" s="656"/>
      <c r="Y253" s="657"/>
      <c r="Z253" s="657"/>
      <c r="AA253" s="481"/>
      <c r="AC253" s="456"/>
      <c r="AD253" s="522"/>
      <c r="AE253" s="699"/>
    </row>
    <row r="254" spans="1:31" s="454" customFormat="1" ht="45" x14ac:dyDescent="0.25">
      <c r="A254" s="658" t="s">
        <v>660</v>
      </c>
      <c r="B254" s="659" t="s">
        <v>2028</v>
      </c>
      <c r="C254" s="2673" t="s">
        <v>1257</v>
      </c>
      <c r="D254" s="2673"/>
      <c r="E254" s="2673"/>
      <c r="F254" s="680">
        <v>11.9</v>
      </c>
      <c r="G254" s="661">
        <v>2.44</v>
      </c>
      <c r="H254" s="661"/>
      <c r="I254" s="661">
        <v>29</v>
      </c>
      <c r="J254" s="661"/>
      <c r="K254" s="662"/>
      <c r="L254" s="663">
        <v>0</v>
      </c>
      <c r="M254" s="663">
        <v>0</v>
      </c>
      <c r="X254" s="656"/>
      <c r="Y254" s="657"/>
      <c r="Z254" s="657"/>
      <c r="AA254" s="481" t="s">
        <v>1257</v>
      </c>
      <c r="AC254" s="456"/>
      <c r="AD254" s="522"/>
      <c r="AE254" s="699"/>
    </row>
    <row r="255" spans="1:31" s="454" customFormat="1" ht="15" x14ac:dyDescent="0.25">
      <c r="A255" s="664"/>
      <c r="B255" s="665"/>
      <c r="C255" s="666" t="s">
        <v>2893</v>
      </c>
      <c r="D255" s="667"/>
      <c r="E255" s="667"/>
      <c r="F255" s="667"/>
      <c r="G255" s="667"/>
      <c r="H255" s="667"/>
      <c r="I255" s="667"/>
      <c r="J255" s="667"/>
      <c r="K255" s="667"/>
      <c r="L255" s="667"/>
      <c r="M255" s="668"/>
      <c r="X255" s="656"/>
      <c r="Y255" s="657"/>
      <c r="Z255" s="657"/>
      <c r="AA255" s="481"/>
      <c r="AC255" s="456"/>
      <c r="AD255" s="522"/>
      <c r="AE255" s="699"/>
    </row>
    <row r="256" spans="1:31" s="454" customFormat="1" ht="45.75" x14ac:dyDescent="0.25">
      <c r="A256" s="658" t="s">
        <v>915</v>
      </c>
      <c r="B256" s="659" t="s">
        <v>2030</v>
      </c>
      <c r="C256" s="2673" t="s">
        <v>2031</v>
      </c>
      <c r="D256" s="2673"/>
      <c r="E256" s="2673"/>
      <c r="F256" s="679">
        <v>5.67</v>
      </c>
      <c r="G256" s="661" t="s">
        <v>2032</v>
      </c>
      <c r="H256" s="661" t="s">
        <v>2033</v>
      </c>
      <c r="I256" s="661">
        <v>63467</v>
      </c>
      <c r="J256" s="661">
        <v>8512</v>
      </c>
      <c r="K256" s="662" t="s">
        <v>2894</v>
      </c>
      <c r="L256" s="671">
        <v>156.04499999999999</v>
      </c>
      <c r="M256" s="672">
        <v>884.78</v>
      </c>
      <c r="X256" s="656"/>
      <c r="Y256" s="657"/>
      <c r="Z256" s="657"/>
      <c r="AA256" s="481" t="s">
        <v>2031</v>
      </c>
      <c r="AC256" s="456"/>
      <c r="AD256" s="522"/>
      <c r="AE256" s="699"/>
    </row>
    <row r="257" spans="1:31" s="454" customFormat="1" ht="15" x14ac:dyDescent="0.25">
      <c r="A257" s="664"/>
      <c r="B257" s="665"/>
      <c r="C257" s="666" t="s">
        <v>2895</v>
      </c>
      <c r="D257" s="667"/>
      <c r="E257" s="667"/>
      <c r="F257" s="667"/>
      <c r="G257" s="667"/>
      <c r="H257" s="667"/>
      <c r="I257" s="667"/>
      <c r="J257" s="667"/>
      <c r="K257" s="667"/>
      <c r="L257" s="667"/>
      <c r="M257" s="668"/>
      <c r="X257" s="656"/>
      <c r="Y257" s="657"/>
      <c r="Z257" s="657"/>
      <c r="AA257" s="481"/>
      <c r="AC257" s="456"/>
      <c r="AD257" s="522"/>
      <c r="AE257" s="699"/>
    </row>
    <row r="258" spans="1:31" s="454" customFormat="1" ht="15" x14ac:dyDescent="0.25">
      <c r="A258" s="542"/>
      <c r="B258" s="665"/>
      <c r="C258" s="666" t="s">
        <v>2036</v>
      </c>
      <c r="D258" s="667"/>
      <c r="E258" s="667"/>
      <c r="F258" s="667"/>
      <c r="G258" s="667"/>
      <c r="H258" s="667"/>
      <c r="I258" s="667"/>
      <c r="J258" s="667"/>
      <c r="K258" s="667"/>
      <c r="L258" s="667"/>
      <c r="M258" s="669"/>
      <c r="X258" s="656"/>
      <c r="Y258" s="657"/>
      <c r="Z258" s="657"/>
      <c r="AA258" s="481"/>
      <c r="AC258" s="456"/>
      <c r="AD258" s="522"/>
      <c r="AE258" s="699"/>
    </row>
    <row r="259" spans="1:31" s="454" customFormat="1" ht="33.75" x14ac:dyDescent="0.25">
      <c r="A259" s="542"/>
      <c r="B259" s="673" t="s">
        <v>1655</v>
      </c>
      <c r="C259" s="2670" t="s">
        <v>1656</v>
      </c>
      <c r="D259" s="2670"/>
      <c r="E259" s="2670"/>
      <c r="F259" s="2670"/>
      <c r="G259" s="2670"/>
      <c r="H259" s="2670"/>
      <c r="I259" s="2670"/>
      <c r="J259" s="2670"/>
      <c r="K259" s="2670"/>
      <c r="L259" s="2670"/>
      <c r="M259" s="2671"/>
      <c r="X259" s="656"/>
      <c r="Y259" s="657"/>
      <c r="Z259" s="657"/>
      <c r="AA259" s="481"/>
      <c r="AB259" s="491" t="s">
        <v>1656</v>
      </c>
      <c r="AC259" s="456"/>
      <c r="AD259" s="522"/>
      <c r="AE259" s="699"/>
    </row>
    <row r="260" spans="1:31" s="454" customFormat="1" ht="15" x14ac:dyDescent="0.25">
      <c r="A260" s="823"/>
      <c r="B260" s="824"/>
      <c r="C260" s="824"/>
      <c r="D260" s="824"/>
      <c r="E260" s="825" t="s">
        <v>2896</v>
      </c>
      <c r="F260" s="826"/>
      <c r="G260" s="827"/>
      <c r="H260" s="648"/>
      <c r="I260" s="828">
        <v>11887</v>
      </c>
      <c r="J260" s="829"/>
      <c r="K260" s="829"/>
      <c r="L260" s="830"/>
      <c r="M260" s="831"/>
      <c r="X260" s="656"/>
      <c r="Y260" s="657"/>
      <c r="Z260" s="657"/>
      <c r="AA260" s="481"/>
      <c r="AC260" s="456"/>
      <c r="AD260" s="522"/>
      <c r="AE260" s="699"/>
    </row>
    <row r="261" spans="1:31" s="454" customFormat="1" ht="15" x14ac:dyDescent="0.25">
      <c r="A261" s="823"/>
      <c r="B261" s="824"/>
      <c r="C261" s="824"/>
      <c r="D261" s="824"/>
      <c r="E261" s="825" t="s">
        <v>2897</v>
      </c>
      <c r="F261" s="826"/>
      <c r="G261" s="827"/>
      <c r="H261" s="648"/>
      <c r="I261" s="828">
        <v>8198</v>
      </c>
      <c r="J261" s="829"/>
      <c r="K261" s="829"/>
      <c r="L261" s="830"/>
      <c r="M261" s="831"/>
      <c r="X261" s="656"/>
      <c r="Y261" s="657"/>
      <c r="Z261" s="657"/>
      <c r="AA261" s="481"/>
      <c r="AC261" s="456"/>
      <c r="AD261" s="522"/>
      <c r="AE261" s="699"/>
    </row>
    <row r="262" spans="1:31" s="454" customFormat="1" ht="15" x14ac:dyDescent="0.25">
      <c r="A262" s="823"/>
      <c r="B262" s="824"/>
      <c r="C262" s="824"/>
      <c r="D262" s="824"/>
      <c r="E262" s="825" t="s">
        <v>2692</v>
      </c>
      <c r="F262" s="826"/>
      <c r="G262" s="827"/>
      <c r="H262" s="648"/>
      <c r="I262" s="828">
        <v>83552</v>
      </c>
      <c r="J262" s="829"/>
      <c r="K262" s="829"/>
      <c r="L262" s="830"/>
      <c r="M262" s="831"/>
      <c r="X262" s="656"/>
      <c r="Y262" s="657"/>
      <c r="Z262" s="657"/>
      <c r="AA262" s="481"/>
      <c r="AC262" s="456"/>
      <c r="AD262" s="522"/>
      <c r="AE262" s="699"/>
    </row>
    <row r="263" spans="1:31" s="454" customFormat="1" ht="23.25" x14ac:dyDescent="0.25">
      <c r="A263" s="507"/>
      <c r="B263" s="674" t="s">
        <v>1883</v>
      </c>
      <c r="C263" s="2672" t="s">
        <v>1884</v>
      </c>
      <c r="D263" s="2672"/>
      <c r="E263" s="2672"/>
      <c r="F263" s="675" t="s">
        <v>2898</v>
      </c>
      <c r="G263" s="676" t="s">
        <v>1886</v>
      </c>
      <c r="H263" s="676"/>
      <c r="I263" s="676">
        <v>8511.58</v>
      </c>
      <c r="J263" s="676">
        <v>8511.58</v>
      </c>
      <c r="K263" s="676"/>
      <c r="L263" s="677"/>
      <c r="M263" s="678"/>
      <c r="X263" s="656"/>
      <c r="Y263" s="657"/>
      <c r="Z263" s="657"/>
      <c r="AA263" s="481"/>
      <c r="AC263" s="456" t="s">
        <v>1884</v>
      </c>
      <c r="AD263" s="522"/>
      <c r="AE263" s="699"/>
    </row>
    <row r="264" spans="1:31" s="454" customFormat="1" ht="23.25" x14ac:dyDescent="0.25">
      <c r="A264" s="507"/>
      <c r="B264" s="674" t="s">
        <v>639</v>
      </c>
      <c r="C264" s="2672" t="s">
        <v>1661</v>
      </c>
      <c r="D264" s="2672"/>
      <c r="E264" s="2672"/>
      <c r="F264" s="675" t="s">
        <v>2899</v>
      </c>
      <c r="G264" s="676">
        <v>0</v>
      </c>
      <c r="H264" s="676">
        <v>0</v>
      </c>
      <c r="I264" s="676">
        <v>0</v>
      </c>
      <c r="J264" s="676"/>
      <c r="K264" s="676">
        <v>0</v>
      </c>
      <c r="L264" s="677"/>
      <c r="M264" s="678"/>
      <c r="X264" s="656"/>
      <c r="Y264" s="657"/>
      <c r="Z264" s="657"/>
      <c r="AA264" s="481"/>
      <c r="AC264" s="456" t="s">
        <v>1661</v>
      </c>
      <c r="AD264" s="522"/>
      <c r="AE264" s="699"/>
    </row>
    <row r="265" spans="1:31" s="454" customFormat="1" ht="45.75" x14ac:dyDescent="0.25">
      <c r="A265" s="507"/>
      <c r="B265" s="674" t="s">
        <v>2039</v>
      </c>
      <c r="C265" s="2672" t="s">
        <v>2040</v>
      </c>
      <c r="D265" s="2672"/>
      <c r="E265" s="2672"/>
      <c r="F265" s="675" t="s">
        <v>2900</v>
      </c>
      <c r="G265" s="676">
        <v>179.46</v>
      </c>
      <c r="H265" s="676" t="s">
        <v>2042</v>
      </c>
      <c r="I265" s="676">
        <v>7336.32</v>
      </c>
      <c r="J265" s="676"/>
      <c r="K265" s="676" t="s">
        <v>2901</v>
      </c>
      <c r="L265" s="677"/>
      <c r="M265" s="678"/>
      <c r="X265" s="656"/>
      <c r="Y265" s="657"/>
      <c r="Z265" s="657"/>
      <c r="AA265" s="481"/>
      <c r="AC265" s="456" t="s">
        <v>2040</v>
      </c>
      <c r="AD265" s="522"/>
      <c r="AE265" s="699"/>
    </row>
    <row r="266" spans="1:31" s="454" customFormat="1" ht="34.5" x14ac:dyDescent="0.25">
      <c r="A266" s="507"/>
      <c r="B266" s="674" t="s">
        <v>1663</v>
      </c>
      <c r="C266" s="2672" t="s">
        <v>1664</v>
      </c>
      <c r="D266" s="2672"/>
      <c r="E266" s="2672"/>
      <c r="F266" s="675" t="s">
        <v>2902</v>
      </c>
      <c r="G266" s="676">
        <v>111.99</v>
      </c>
      <c r="H266" s="676" t="s">
        <v>1666</v>
      </c>
      <c r="I266" s="676">
        <v>120.95</v>
      </c>
      <c r="J266" s="676"/>
      <c r="K266" s="676" t="s">
        <v>2903</v>
      </c>
      <c r="L266" s="677"/>
      <c r="M266" s="678"/>
      <c r="X266" s="656"/>
      <c r="Y266" s="657"/>
      <c r="Z266" s="657"/>
      <c r="AA266" s="481"/>
      <c r="AC266" s="456" t="s">
        <v>1664</v>
      </c>
      <c r="AD266" s="522"/>
      <c r="AE266" s="699"/>
    </row>
    <row r="267" spans="1:31" s="454" customFormat="1" ht="34.5" x14ac:dyDescent="0.25">
      <c r="A267" s="507"/>
      <c r="B267" s="674" t="s">
        <v>2046</v>
      </c>
      <c r="C267" s="2672" t="s">
        <v>2047</v>
      </c>
      <c r="D267" s="2672"/>
      <c r="E267" s="2672"/>
      <c r="F267" s="675" t="s">
        <v>2904</v>
      </c>
      <c r="G267" s="676">
        <v>6.9</v>
      </c>
      <c r="H267" s="676" t="s">
        <v>2049</v>
      </c>
      <c r="I267" s="676">
        <v>146.35</v>
      </c>
      <c r="J267" s="676"/>
      <c r="K267" s="676" t="s">
        <v>2905</v>
      </c>
      <c r="L267" s="677"/>
      <c r="M267" s="678"/>
      <c r="X267" s="656"/>
      <c r="Y267" s="657"/>
      <c r="Z267" s="657"/>
      <c r="AA267" s="481"/>
      <c r="AC267" s="456" t="s">
        <v>2047</v>
      </c>
      <c r="AD267" s="522"/>
      <c r="AE267" s="699"/>
    </row>
    <row r="268" spans="1:31" s="454" customFormat="1" ht="34.5" x14ac:dyDescent="0.25">
      <c r="A268" s="507"/>
      <c r="B268" s="674" t="s">
        <v>2051</v>
      </c>
      <c r="C268" s="2672" t="s">
        <v>2052</v>
      </c>
      <c r="D268" s="2672"/>
      <c r="E268" s="2672"/>
      <c r="F268" s="675" t="s">
        <v>2906</v>
      </c>
      <c r="G268" s="676">
        <v>80.349999999999994</v>
      </c>
      <c r="H268" s="676" t="s">
        <v>2054</v>
      </c>
      <c r="I268" s="676">
        <v>16892.78</v>
      </c>
      <c r="J268" s="676"/>
      <c r="K268" s="676" t="s">
        <v>2907</v>
      </c>
      <c r="L268" s="677"/>
      <c r="M268" s="678"/>
      <c r="X268" s="656"/>
      <c r="Y268" s="657"/>
      <c r="Z268" s="657"/>
      <c r="AA268" s="481"/>
      <c r="AC268" s="456" t="s">
        <v>2052</v>
      </c>
      <c r="AD268" s="522"/>
      <c r="AE268" s="699"/>
    </row>
    <row r="269" spans="1:31" s="454" customFormat="1" ht="34.5" x14ac:dyDescent="0.25">
      <c r="A269" s="507"/>
      <c r="B269" s="674" t="s">
        <v>821</v>
      </c>
      <c r="C269" s="2672" t="s">
        <v>1751</v>
      </c>
      <c r="D269" s="2672"/>
      <c r="E269" s="2672"/>
      <c r="F269" s="675" t="s">
        <v>2908</v>
      </c>
      <c r="G269" s="676">
        <v>65.709999999999994</v>
      </c>
      <c r="H269" s="676" t="s">
        <v>1753</v>
      </c>
      <c r="I269" s="676">
        <v>163.62</v>
      </c>
      <c r="J269" s="676"/>
      <c r="K269" s="676" t="s">
        <v>2909</v>
      </c>
      <c r="L269" s="677"/>
      <c r="M269" s="678"/>
      <c r="X269" s="656"/>
      <c r="Y269" s="657"/>
      <c r="Z269" s="657"/>
      <c r="AA269" s="481"/>
      <c r="AC269" s="456" t="s">
        <v>1751</v>
      </c>
      <c r="AD269" s="522"/>
      <c r="AE269" s="699"/>
    </row>
    <row r="270" spans="1:31" s="454" customFormat="1" ht="23.25" x14ac:dyDescent="0.25">
      <c r="A270" s="515" t="s">
        <v>860</v>
      </c>
      <c r="B270" s="686" t="s">
        <v>1755</v>
      </c>
      <c r="C270" s="2683" t="s">
        <v>1257</v>
      </c>
      <c r="D270" s="2683"/>
      <c r="E270" s="2683"/>
      <c r="F270" s="687" t="s">
        <v>1935</v>
      </c>
      <c r="G270" s="688">
        <v>2.44</v>
      </c>
      <c r="H270" s="688"/>
      <c r="I270" s="688">
        <v>0</v>
      </c>
      <c r="J270" s="688"/>
      <c r="K270" s="688"/>
      <c r="L270" s="689"/>
      <c r="M270" s="690"/>
      <c r="X270" s="656"/>
      <c r="Y270" s="657"/>
      <c r="Z270" s="657"/>
      <c r="AA270" s="481"/>
      <c r="AC270" s="456"/>
      <c r="AD270" s="522" t="s">
        <v>1257</v>
      </c>
      <c r="AE270" s="699"/>
    </row>
    <row r="271" spans="1:31" s="454" customFormat="1" ht="23.25" x14ac:dyDescent="0.25">
      <c r="A271" s="507"/>
      <c r="B271" s="674" t="s">
        <v>2058</v>
      </c>
      <c r="C271" s="2672" t="s">
        <v>2059</v>
      </c>
      <c r="D271" s="2672"/>
      <c r="E271" s="2672"/>
      <c r="F271" s="675" t="s">
        <v>2910</v>
      </c>
      <c r="G271" s="676">
        <v>30030</v>
      </c>
      <c r="H271" s="676"/>
      <c r="I271" s="676">
        <v>15.02</v>
      </c>
      <c r="J271" s="676"/>
      <c r="K271" s="676"/>
      <c r="L271" s="677"/>
      <c r="M271" s="678"/>
      <c r="X271" s="656"/>
      <c r="Y271" s="657"/>
      <c r="Z271" s="657"/>
      <c r="AA271" s="481"/>
      <c r="AC271" s="456" t="s">
        <v>2059</v>
      </c>
      <c r="AD271" s="522"/>
      <c r="AE271" s="699"/>
    </row>
    <row r="272" spans="1:31" s="454" customFormat="1" ht="23.25" x14ac:dyDescent="0.25">
      <c r="A272" s="507"/>
      <c r="B272" s="674" t="s">
        <v>1823</v>
      </c>
      <c r="C272" s="2672" t="s">
        <v>1824</v>
      </c>
      <c r="D272" s="2672"/>
      <c r="E272" s="2672"/>
      <c r="F272" s="675" t="s">
        <v>2911</v>
      </c>
      <c r="G272" s="676">
        <v>9040.01</v>
      </c>
      <c r="H272" s="676"/>
      <c r="I272" s="676">
        <v>102.15</v>
      </c>
      <c r="J272" s="676"/>
      <c r="K272" s="676"/>
      <c r="L272" s="677"/>
      <c r="M272" s="678"/>
      <c r="X272" s="656"/>
      <c r="Y272" s="657"/>
      <c r="Z272" s="657"/>
      <c r="AA272" s="481"/>
      <c r="AC272" s="456" t="s">
        <v>1824</v>
      </c>
      <c r="AD272" s="522"/>
      <c r="AE272" s="699"/>
    </row>
    <row r="273" spans="1:33" s="454" customFormat="1" ht="45.75" x14ac:dyDescent="0.25">
      <c r="A273" s="507"/>
      <c r="B273" s="674" t="s">
        <v>2062</v>
      </c>
      <c r="C273" s="2672" t="s">
        <v>2063</v>
      </c>
      <c r="D273" s="2672"/>
      <c r="E273" s="2672"/>
      <c r="F273" s="675" t="s">
        <v>2912</v>
      </c>
      <c r="G273" s="676">
        <v>67.099999999999994</v>
      </c>
      <c r="H273" s="676"/>
      <c r="I273" s="676">
        <v>380.46</v>
      </c>
      <c r="J273" s="676"/>
      <c r="K273" s="676"/>
      <c r="L273" s="677"/>
      <c r="M273" s="678"/>
      <c r="X273" s="656"/>
      <c r="Y273" s="657"/>
      <c r="Z273" s="657"/>
      <c r="AA273" s="481"/>
      <c r="AC273" s="456" t="s">
        <v>2063</v>
      </c>
      <c r="AD273" s="522"/>
      <c r="AE273" s="699"/>
    </row>
    <row r="274" spans="1:33" s="454" customFormat="1" ht="23.25" x14ac:dyDescent="0.25">
      <c r="A274" s="515" t="s">
        <v>860</v>
      </c>
      <c r="B274" s="686" t="s">
        <v>2065</v>
      </c>
      <c r="C274" s="2683" t="s">
        <v>2066</v>
      </c>
      <c r="D274" s="2683"/>
      <c r="E274" s="2683"/>
      <c r="F274" s="687" t="s">
        <v>1935</v>
      </c>
      <c r="G274" s="688">
        <v>0</v>
      </c>
      <c r="H274" s="688"/>
      <c r="I274" s="688">
        <v>0</v>
      </c>
      <c r="J274" s="688"/>
      <c r="K274" s="688"/>
      <c r="L274" s="689"/>
      <c r="M274" s="690"/>
      <c r="X274" s="656"/>
      <c r="Y274" s="657"/>
      <c r="Z274" s="657"/>
      <c r="AA274" s="481"/>
      <c r="AC274" s="456"/>
      <c r="AD274" s="522" t="s">
        <v>2066</v>
      </c>
      <c r="AE274" s="699"/>
    </row>
    <row r="275" spans="1:33" s="454" customFormat="1" ht="34.5" x14ac:dyDescent="0.25">
      <c r="A275" s="515" t="s">
        <v>860</v>
      </c>
      <c r="B275" s="686" t="s">
        <v>2067</v>
      </c>
      <c r="C275" s="2683" t="s">
        <v>2068</v>
      </c>
      <c r="D275" s="2683"/>
      <c r="E275" s="2683"/>
      <c r="F275" s="687" t="s">
        <v>1935</v>
      </c>
      <c r="G275" s="688">
        <v>412</v>
      </c>
      <c r="H275" s="688"/>
      <c r="I275" s="688">
        <v>0</v>
      </c>
      <c r="J275" s="688"/>
      <c r="K275" s="688"/>
      <c r="L275" s="689"/>
      <c r="M275" s="690"/>
      <c r="X275" s="656"/>
      <c r="Y275" s="657"/>
      <c r="Z275" s="657"/>
      <c r="AA275" s="481"/>
      <c r="AC275" s="456"/>
      <c r="AD275" s="522" t="s">
        <v>2068</v>
      </c>
      <c r="AE275" s="699"/>
    </row>
    <row r="276" spans="1:33" s="454" customFormat="1" ht="45.75" x14ac:dyDescent="0.25">
      <c r="A276" s="507" t="s">
        <v>2069</v>
      </c>
      <c r="B276" s="674" t="s">
        <v>2070</v>
      </c>
      <c r="C276" s="2672" t="s">
        <v>2071</v>
      </c>
      <c r="D276" s="2672"/>
      <c r="E276" s="2672"/>
      <c r="F276" s="675" t="s">
        <v>2913</v>
      </c>
      <c r="G276" s="676">
        <v>1553</v>
      </c>
      <c r="H276" s="676"/>
      <c r="I276" s="676">
        <v>11447.16</v>
      </c>
      <c r="J276" s="676"/>
      <c r="K276" s="676"/>
      <c r="L276" s="677"/>
      <c r="M276" s="678"/>
      <c r="X276" s="656"/>
      <c r="Y276" s="657"/>
      <c r="Z276" s="657"/>
      <c r="AA276" s="481"/>
      <c r="AC276" s="456"/>
      <c r="AD276" s="522"/>
      <c r="AE276" s="699"/>
      <c r="AF276" s="456" t="s">
        <v>2071</v>
      </c>
    </row>
    <row r="277" spans="1:33" s="454" customFormat="1" ht="45.75" x14ac:dyDescent="0.25">
      <c r="A277" s="693" t="s">
        <v>1936</v>
      </c>
      <c r="B277" s="694" t="s">
        <v>2070</v>
      </c>
      <c r="C277" s="2684" t="s">
        <v>2071</v>
      </c>
      <c r="D277" s="2684"/>
      <c r="E277" s="2684"/>
      <c r="F277" s="695" t="s">
        <v>2914</v>
      </c>
      <c r="G277" s="696">
        <v>1553</v>
      </c>
      <c r="H277" s="696"/>
      <c r="I277" s="696">
        <v>114471.63</v>
      </c>
      <c r="J277" s="696"/>
      <c r="K277" s="696"/>
      <c r="L277" s="697"/>
      <c r="M277" s="698"/>
      <c r="X277" s="656"/>
      <c r="Y277" s="657"/>
      <c r="Z277" s="657"/>
      <c r="AA277" s="481"/>
      <c r="AC277" s="456"/>
      <c r="AD277" s="522"/>
      <c r="AE277" s="699"/>
      <c r="AF277" s="456"/>
      <c r="AG277" s="699" t="s">
        <v>2071</v>
      </c>
    </row>
    <row r="278" spans="1:33" s="454" customFormat="1" ht="23.25" x14ac:dyDescent="0.25">
      <c r="A278" s="515" t="s">
        <v>863</v>
      </c>
      <c r="B278" s="686" t="s">
        <v>2074</v>
      </c>
      <c r="C278" s="2683" t="s">
        <v>2075</v>
      </c>
      <c r="D278" s="2683"/>
      <c r="E278" s="2683"/>
      <c r="F278" s="687" t="s">
        <v>2915</v>
      </c>
      <c r="G278" s="688">
        <v>0</v>
      </c>
      <c r="H278" s="688"/>
      <c r="I278" s="688">
        <v>0</v>
      </c>
      <c r="J278" s="688"/>
      <c r="K278" s="688"/>
      <c r="L278" s="689"/>
      <c r="M278" s="690"/>
      <c r="X278" s="656"/>
      <c r="Y278" s="657"/>
      <c r="Z278" s="657"/>
      <c r="AA278" s="481"/>
      <c r="AC278" s="456"/>
      <c r="AD278" s="522" t="s">
        <v>2075</v>
      </c>
      <c r="AE278" s="699"/>
      <c r="AF278" s="456"/>
      <c r="AG278" s="699"/>
    </row>
    <row r="279" spans="1:33" s="454" customFormat="1" ht="23.25" x14ac:dyDescent="0.25">
      <c r="A279" s="507"/>
      <c r="B279" s="674" t="s">
        <v>2077</v>
      </c>
      <c r="C279" s="2672" t="s">
        <v>2078</v>
      </c>
      <c r="D279" s="2672"/>
      <c r="E279" s="2672"/>
      <c r="F279" s="675" t="s">
        <v>2916</v>
      </c>
      <c r="G279" s="676">
        <v>176.1</v>
      </c>
      <c r="H279" s="676"/>
      <c r="I279" s="676">
        <v>798.79</v>
      </c>
      <c r="J279" s="676"/>
      <c r="K279" s="676"/>
      <c r="L279" s="677"/>
      <c r="M279" s="678"/>
      <c r="X279" s="656"/>
      <c r="Y279" s="657"/>
      <c r="Z279" s="657"/>
      <c r="AA279" s="481"/>
      <c r="AC279" s="456" t="s">
        <v>2078</v>
      </c>
      <c r="AD279" s="522"/>
      <c r="AE279" s="699"/>
      <c r="AF279" s="456"/>
      <c r="AG279" s="699"/>
    </row>
    <row r="280" spans="1:33" s="454" customFormat="1" ht="23.25" x14ac:dyDescent="0.25">
      <c r="A280" s="507"/>
      <c r="B280" s="674" t="s">
        <v>2080</v>
      </c>
      <c r="C280" s="2672" t="s">
        <v>2081</v>
      </c>
      <c r="D280" s="2672"/>
      <c r="E280" s="2672"/>
      <c r="F280" s="675" t="s">
        <v>2917</v>
      </c>
      <c r="G280" s="676">
        <v>207.8</v>
      </c>
      <c r="H280" s="676"/>
      <c r="I280" s="676">
        <v>919.1</v>
      </c>
      <c r="J280" s="676"/>
      <c r="K280" s="676"/>
      <c r="L280" s="677"/>
      <c r="M280" s="678"/>
      <c r="X280" s="656"/>
      <c r="Y280" s="657"/>
      <c r="Z280" s="657"/>
      <c r="AA280" s="481"/>
      <c r="AC280" s="456" t="s">
        <v>2081</v>
      </c>
      <c r="AD280" s="522"/>
      <c r="AE280" s="699"/>
      <c r="AF280" s="456"/>
      <c r="AG280" s="699"/>
    </row>
    <row r="281" spans="1:33" s="454" customFormat="1" ht="23.25" x14ac:dyDescent="0.25">
      <c r="A281" s="507"/>
      <c r="B281" s="674" t="s">
        <v>2083</v>
      </c>
      <c r="C281" s="2672" t="s">
        <v>2084</v>
      </c>
      <c r="D281" s="2672"/>
      <c r="E281" s="2672"/>
      <c r="F281" s="675" t="s">
        <v>2918</v>
      </c>
      <c r="G281" s="676">
        <v>3468.64</v>
      </c>
      <c r="H281" s="676"/>
      <c r="I281" s="676">
        <v>3933.44</v>
      </c>
      <c r="J281" s="676"/>
      <c r="K281" s="676"/>
      <c r="L281" s="677"/>
      <c r="M281" s="678"/>
      <c r="X281" s="656"/>
      <c r="Y281" s="657"/>
      <c r="Z281" s="657"/>
      <c r="AA281" s="481"/>
      <c r="AC281" s="456" t="s">
        <v>2084</v>
      </c>
      <c r="AD281" s="522"/>
      <c r="AE281" s="699"/>
      <c r="AF281" s="456"/>
      <c r="AG281" s="699"/>
    </row>
    <row r="282" spans="1:33" s="454" customFormat="1" ht="23.25" x14ac:dyDescent="0.25">
      <c r="A282" s="515" t="s">
        <v>863</v>
      </c>
      <c r="B282" s="686" t="s">
        <v>2086</v>
      </c>
      <c r="C282" s="2683" t="s">
        <v>2087</v>
      </c>
      <c r="D282" s="2683"/>
      <c r="E282" s="2683"/>
      <c r="F282" s="687" t="s">
        <v>2919</v>
      </c>
      <c r="G282" s="688">
        <v>0</v>
      </c>
      <c r="H282" s="688"/>
      <c r="I282" s="688">
        <v>0</v>
      </c>
      <c r="J282" s="688"/>
      <c r="K282" s="688"/>
      <c r="L282" s="689"/>
      <c r="M282" s="690"/>
      <c r="X282" s="656"/>
      <c r="Y282" s="657"/>
      <c r="Z282" s="657"/>
      <c r="AA282" s="481"/>
      <c r="AC282" s="456"/>
      <c r="AD282" s="522" t="s">
        <v>2087</v>
      </c>
      <c r="AE282" s="699"/>
      <c r="AF282" s="456"/>
      <c r="AG282" s="699"/>
    </row>
    <row r="283" spans="1:33" s="454" customFormat="1" ht="34.5" x14ac:dyDescent="0.25">
      <c r="A283" s="507"/>
      <c r="B283" s="674" t="s">
        <v>2089</v>
      </c>
      <c r="C283" s="2672" t="s">
        <v>2090</v>
      </c>
      <c r="D283" s="2672"/>
      <c r="E283" s="2672"/>
      <c r="F283" s="675" t="s">
        <v>2920</v>
      </c>
      <c r="G283" s="676">
        <v>11.99</v>
      </c>
      <c r="H283" s="676"/>
      <c r="I283" s="676">
        <v>203.95</v>
      </c>
      <c r="J283" s="676"/>
      <c r="K283" s="676"/>
      <c r="L283" s="677"/>
      <c r="M283" s="678"/>
      <c r="X283" s="656"/>
      <c r="Y283" s="657"/>
      <c r="Z283" s="657"/>
      <c r="AA283" s="481"/>
      <c r="AC283" s="456" t="s">
        <v>2090</v>
      </c>
      <c r="AD283" s="522"/>
      <c r="AE283" s="699"/>
      <c r="AF283" s="456"/>
      <c r="AG283" s="699"/>
    </row>
    <row r="284" spans="1:33" s="454" customFormat="1" ht="45.75" x14ac:dyDescent="0.25">
      <c r="A284" s="507"/>
      <c r="B284" s="674" t="s">
        <v>2092</v>
      </c>
      <c r="C284" s="2672" t="s">
        <v>2093</v>
      </c>
      <c r="D284" s="2672"/>
      <c r="E284" s="2672"/>
      <c r="F284" s="675" t="s">
        <v>2921</v>
      </c>
      <c r="G284" s="676">
        <v>272.62</v>
      </c>
      <c r="H284" s="676"/>
      <c r="I284" s="676">
        <v>77.290000000000006</v>
      </c>
      <c r="J284" s="676"/>
      <c r="K284" s="676"/>
      <c r="L284" s="677"/>
      <c r="M284" s="678"/>
      <c r="X284" s="656"/>
      <c r="Y284" s="657"/>
      <c r="Z284" s="657"/>
      <c r="AA284" s="481"/>
      <c r="AC284" s="456" t="s">
        <v>2093</v>
      </c>
      <c r="AD284" s="522"/>
      <c r="AE284" s="699"/>
      <c r="AF284" s="456"/>
      <c r="AG284" s="699"/>
    </row>
    <row r="285" spans="1:33" s="454" customFormat="1" ht="57" x14ac:dyDescent="0.25">
      <c r="A285" s="507"/>
      <c r="B285" s="674" t="s">
        <v>2095</v>
      </c>
      <c r="C285" s="2672" t="s">
        <v>2096</v>
      </c>
      <c r="D285" s="2672"/>
      <c r="E285" s="2672"/>
      <c r="F285" s="675" t="s">
        <v>2922</v>
      </c>
      <c r="G285" s="676">
        <v>156.83000000000001</v>
      </c>
      <c r="H285" s="676"/>
      <c r="I285" s="676">
        <v>88.92</v>
      </c>
      <c r="J285" s="676"/>
      <c r="K285" s="676"/>
      <c r="L285" s="677"/>
      <c r="M285" s="678"/>
      <c r="X285" s="656"/>
      <c r="Y285" s="657"/>
      <c r="Z285" s="657"/>
      <c r="AA285" s="481"/>
      <c r="AC285" s="456" t="s">
        <v>2096</v>
      </c>
      <c r="AD285" s="522"/>
      <c r="AE285" s="699"/>
      <c r="AF285" s="456"/>
      <c r="AG285" s="699"/>
    </row>
    <row r="286" spans="1:33" s="454" customFormat="1" ht="23.25" x14ac:dyDescent="0.25">
      <c r="A286" s="515" t="s">
        <v>863</v>
      </c>
      <c r="B286" s="686" t="s">
        <v>2098</v>
      </c>
      <c r="C286" s="2683" t="s">
        <v>2099</v>
      </c>
      <c r="D286" s="2683"/>
      <c r="E286" s="2683"/>
      <c r="F286" s="687" t="s">
        <v>2923</v>
      </c>
      <c r="G286" s="688">
        <v>0</v>
      </c>
      <c r="H286" s="688"/>
      <c r="I286" s="688">
        <v>0</v>
      </c>
      <c r="J286" s="688"/>
      <c r="K286" s="688"/>
      <c r="L286" s="689"/>
      <c r="M286" s="690"/>
      <c r="X286" s="656"/>
      <c r="Y286" s="657"/>
      <c r="Z286" s="657"/>
      <c r="AA286" s="481"/>
      <c r="AC286" s="456"/>
      <c r="AD286" s="522" t="s">
        <v>2099</v>
      </c>
      <c r="AE286" s="699"/>
      <c r="AF286" s="456"/>
      <c r="AG286" s="699"/>
    </row>
    <row r="287" spans="1:33" s="454" customFormat="1" ht="45" x14ac:dyDescent="0.25">
      <c r="A287" s="658" t="s">
        <v>916</v>
      </c>
      <c r="B287" s="659" t="s">
        <v>2026</v>
      </c>
      <c r="C287" s="2673" t="s">
        <v>1254</v>
      </c>
      <c r="D287" s="2673"/>
      <c r="E287" s="2673"/>
      <c r="F287" s="679">
        <v>28.35</v>
      </c>
      <c r="G287" s="661">
        <v>480</v>
      </c>
      <c r="H287" s="661"/>
      <c r="I287" s="661">
        <v>13608</v>
      </c>
      <c r="J287" s="661"/>
      <c r="K287" s="662"/>
      <c r="L287" s="663">
        <v>0</v>
      </c>
      <c r="M287" s="663">
        <v>0</v>
      </c>
      <c r="X287" s="656"/>
      <c r="Y287" s="657"/>
      <c r="Z287" s="657"/>
      <c r="AA287" s="481" t="s">
        <v>1254</v>
      </c>
      <c r="AC287" s="456"/>
      <c r="AD287" s="522"/>
      <c r="AE287" s="699"/>
      <c r="AF287" s="456"/>
      <c r="AG287" s="699"/>
    </row>
    <row r="288" spans="1:33" s="454" customFormat="1" ht="15" x14ac:dyDescent="0.25">
      <c r="A288" s="664"/>
      <c r="B288" s="665"/>
      <c r="C288" s="666" t="s">
        <v>2924</v>
      </c>
      <c r="D288" s="667"/>
      <c r="E288" s="667"/>
      <c r="F288" s="667"/>
      <c r="G288" s="667"/>
      <c r="H288" s="667"/>
      <c r="I288" s="667"/>
      <c r="J288" s="667"/>
      <c r="K288" s="667"/>
      <c r="L288" s="667"/>
      <c r="M288" s="668"/>
      <c r="X288" s="656"/>
      <c r="Y288" s="657"/>
      <c r="Z288" s="657"/>
      <c r="AA288" s="481"/>
      <c r="AC288" s="456"/>
      <c r="AD288" s="522"/>
      <c r="AE288" s="699"/>
      <c r="AF288" s="456"/>
      <c r="AG288" s="699"/>
    </row>
    <row r="289" spans="1:33" s="454" customFormat="1" ht="45" x14ac:dyDescent="0.25">
      <c r="A289" s="658" t="s">
        <v>917</v>
      </c>
      <c r="B289" s="659" t="s">
        <v>2028</v>
      </c>
      <c r="C289" s="2673" t="s">
        <v>1257</v>
      </c>
      <c r="D289" s="2673"/>
      <c r="E289" s="2673"/>
      <c r="F289" s="680">
        <v>11.3</v>
      </c>
      <c r="G289" s="661">
        <v>2.44</v>
      </c>
      <c r="H289" s="661"/>
      <c r="I289" s="661">
        <v>28</v>
      </c>
      <c r="J289" s="661"/>
      <c r="K289" s="662"/>
      <c r="L289" s="663">
        <v>0</v>
      </c>
      <c r="M289" s="663">
        <v>0</v>
      </c>
      <c r="X289" s="656"/>
      <c r="Y289" s="657"/>
      <c r="Z289" s="657"/>
      <c r="AA289" s="481" t="s">
        <v>1257</v>
      </c>
      <c r="AC289" s="456"/>
      <c r="AD289" s="522"/>
      <c r="AE289" s="699"/>
      <c r="AF289" s="456"/>
      <c r="AG289" s="699"/>
    </row>
    <row r="290" spans="1:33" s="454" customFormat="1" ht="15" x14ac:dyDescent="0.25">
      <c r="A290" s="664"/>
      <c r="B290" s="665"/>
      <c r="C290" s="666" t="s">
        <v>2925</v>
      </c>
      <c r="D290" s="667"/>
      <c r="E290" s="667"/>
      <c r="F290" s="667"/>
      <c r="G290" s="667"/>
      <c r="H290" s="667"/>
      <c r="I290" s="667"/>
      <c r="J290" s="667"/>
      <c r="K290" s="667"/>
      <c r="L290" s="667"/>
      <c r="M290" s="668"/>
      <c r="X290" s="656"/>
      <c r="Y290" s="657"/>
      <c r="Z290" s="657"/>
      <c r="AA290" s="481"/>
      <c r="AC290" s="456"/>
      <c r="AD290" s="522"/>
      <c r="AE290" s="699"/>
      <c r="AF290" s="456"/>
      <c r="AG290" s="699"/>
    </row>
    <row r="291" spans="1:33" s="454" customFormat="1" ht="34.5" x14ac:dyDescent="0.25">
      <c r="A291" s="658" t="s">
        <v>918</v>
      </c>
      <c r="B291" s="659" t="s">
        <v>1267</v>
      </c>
      <c r="C291" s="2673" t="s">
        <v>1268</v>
      </c>
      <c r="D291" s="2673"/>
      <c r="E291" s="2673"/>
      <c r="F291" s="670">
        <v>27</v>
      </c>
      <c r="G291" s="661" t="s">
        <v>2103</v>
      </c>
      <c r="H291" s="661"/>
      <c r="I291" s="661">
        <v>64608</v>
      </c>
      <c r="J291" s="661"/>
      <c r="K291" s="662"/>
      <c r="L291" s="663">
        <v>0</v>
      </c>
      <c r="M291" s="663">
        <v>0</v>
      </c>
      <c r="X291" s="656"/>
      <c r="Y291" s="657"/>
      <c r="Z291" s="657"/>
      <c r="AA291" s="481" t="s">
        <v>1268</v>
      </c>
      <c r="AC291" s="456"/>
      <c r="AD291" s="522"/>
      <c r="AE291" s="699"/>
      <c r="AF291" s="456"/>
      <c r="AG291" s="699"/>
    </row>
    <row r="292" spans="1:33" s="454" customFormat="1" ht="15" x14ac:dyDescent="0.25">
      <c r="A292" s="664"/>
      <c r="B292" s="665"/>
      <c r="C292" s="666" t="s">
        <v>2926</v>
      </c>
      <c r="D292" s="667"/>
      <c r="E292" s="667"/>
      <c r="F292" s="667"/>
      <c r="G292" s="667"/>
      <c r="H292" s="667"/>
      <c r="I292" s="667"/>
      <c r="J292" s="667"/>
      <c r="K292" s="667"/>
      <c r="L292" s="667"/>
      <c r="M292" s="668"/>
      <c r="X292" s="656"/>
      <c r="Y292" s="657"/>
      <c r="Z292" s="657"/>
      <c r="AA292" s="481"/>
      <c r="AC292" s="456"/>
      <c r="AD292" s="522"/>
      <c r="AE292" s="699"/>
      <c r="AF292" s="456"/>
      <c r="AG292" s="699"/>
    </row>
    <row r="293" spans="1:33" s="454" customFormat="1" ht="15" x14ac:dyDescent="0.25">
      <c r="A293" s="542"/>
      <c r="B293" s="665"/>
      <c r="C293" s="666" t="s">
        <v>2105</v>
      </c>
      <c r="D293" s="667"/>
      <c r="E293" s="667"/>
      <c r="F293" s="667"/>
      <c r="G293" s="667"/>
      <c r="H293" s="667"/>
      <c r="I293" s="667"/>
      <c r="J293" s="667"/>
      <c r="K293" s="667"/>
      <c r="L293" s="667"/>
      <c r="M293" s="669"/>
      <c r="X293" s="656"/>
      <c r="Y293" s="657"/>
      <c r="Z293" s="657"/>
      <c r="AA293" s="481"/>
      <c r="AC293" s="456"/>
      <c r="AD293" s="522"/>
      <c r="AE293" s="699"/>
      <c r="AF293" s="456"/>
      <c r="AG293" s="699"/>
    </row>
    <row r="294" spans="1:33" s="454" customFormat="1" ht="34.5" x14ac:dyDescent="0.25">
      <c r="A294" s="658" t="s">
        <v>919</v>
      </c>
      <c r="B294" s="659" t="s">
        <v>1272</v>
      </c>
      <c r="C294" s="2673" t="s">
        <v>1273</v>
      </c>
      <c r="D294" s="2673"/>
      <c r="E294" s="2673"/>
      <c r="F294" s="670">
        <v>162</v>
      </c>
      <c r="G294" s="661" t="s">
        <v>2106</v>
      </c>
      <c r="H294" s="661"/>
      <c r="I294" s="661">
        <v>278925</v>
      </c>
      <c r="J294" s="661"/>
      <c r="K294" s="662"/>
      <c r="L294" s="663">
        <v>0</v>
      </c>
      <c r="M294" s="663">
        <v>0</v>
      </c>
      <c r="X294" s="656"/>
      <c r="Y294" s="657"/>
      <c r="Z294" s="657"/>
      <c r="AA294" s="481" t="s">
        <v>1273</v>
      </c>
      <c r="AC294" s="456"/>
      <c r="AD294" s="522"/>
      <c r="AE294" s="699"/>
      <c r="AF294" s="456"/>
      <c r="AG294" s="699"/>
    </row>
    <row r="295" spans="1:33" s="454" customFormat="1" ht="15" x14ac:dyDescent="0.25">
      <c r="A295" s="664"/>
      <c r="B295" s="665"/>
      <c r="C295" s="666" t="s">
        <v>2927</v>
      </c>
      <c r="D295" s="667"/>
      <c r="E295" s="667"/>
      <c r="F295" s="667"/>
      <c r="G295" s="667"/>
      <c r="H295" s="667"/>
      <c r="I295" s="667"/>
      <c r="J295" s="667"/>
      <c r="K295" s="667"/>
      <c r="L295" s="667"/>
      <c r="M295" s="668"/>
      <c r="X295" s="656"/>
      <c r="Y295" s="657"/>
      <c r="Z295" s="657"/>
      <c r="AA295" s="481"/>
      <c r="AC295" s="456"/>
      <c r="AD295" s="522"/>
      <c r="AE295" s="699"/>
      <c r="AF295" s="456"/>
      <c r="AG295" s="699"/>
    </row>
    <row r="296" spans="1:33" s="454" customFormat="1" ht="15" x14ac:dyDescent="0.25">
      <c r="A296" s="542"/>
      <c r="B296" s="665"/>
      <c r="C296" s="666" t="s">
        <v>2108</v>
      </c>
      <c r="D296" s="667"/>
      <c r="E296" s="667"/>
      <c r="F296" s="667"/>
      <c r="G296" s="667"/>
      <c r="H296" s="667"/>
      <c r="I296" s="667"/>
      <c r="J296" s="667"/>
      <c r="K296" s="667"/>
      <c r="L296" s="667"/>
      <c r="M296" s="669"/>
      <c r="X296" s="656"/>
      <c r="Y296" s="657"/>
      <c r="Z296" s="657"/>
      <c r="AA296" s="481"/>
      <c r="AC296" s="456"/>
      <c r="AD296" s="522"/>
      <c r="AE296" s="699"/>
      <c r="AF296" s="456"/>
      <c r="AG296" s="699"/>
    </row>
    <row r="297" spans="1:33" s="454" customFormat="1" ht="34.5" x14ac:dyDescent="0.25">
      <c r="A297" s="658" t="s">
        <v>920</v>
      </c>
      <c r="B297" s="659" t="s">
        <v>1276</v>
      </c>
      <c r="C297" s="2673" t="s">
        <v>1277</v>
      </c>
      <c r="D297" s="2673"/>
      <c r="E297" s="2673"/>
      <c r="F297" s="670">
        <v>351</v>
      </c>
      <c r="G297" s="661" t="s">
        <v>2109</v>
      </c>
      <c r="H297" s="661"/>
      <c r="I297" s="661">
        <v>161793</v>
      </c>
      <c r="J297" s="661"/>
      <c r="K297" s="662"/>
      <c r="L297" s="663">
        <v>0</v>
      </c>
      <c r="M297" s="663">
        <v>0</v>
      </c>
      <c r="X297" s="656"/>
      <c r="Y297" s="657"/>
      <c r="Z297" s="657"/>
      <c r="AA297" s="481" t="s">
        <v>1277</v>
      </c>
      <c r="AC297" s="456"/>
      <c r="AD297" s="522"/>
      <c r="AE297" s="699"/>
      <c r="AF297" s="456"/>
      <c r="AG297" s="699"/>
    </row>
    <row r="298" spans="1:33" s="454" customFormat="1" ht="15" x14ac:dyDescent="0.25">
      <c r="A298" s="664"/>
      <c r="B298" s="665"/>
      <c r="C298" s="666" t="s">
        <v>2928</v>
      </c>
      <c r="D298" s="667"/>
      <c r="E298" s="667"/>
      <c r="F298" s="667"/>
      <c r="G298" s="667"/>
      <c r="H298" s="667"/>
      <c r="I298" s="667"/>
      <c r="J298" s="667"/>
      <c r="K298" s="667"/>
      <c r="L298" s="667"/>
      <c r="M298" s="668"/>
      <c r="X298" s="656"/>
      <c r="Y298" s="657"/>
      <c r="Z298" s="657"/>
      <c r="AA298" s="481"/>
      <c r="AC298" s="456"/>
      <c r="AD298" s="522"/>
      <c r="AE298" s="699"/>
      <c r="AF298" s="456"/>
      <c r="AG298" s="699"/>
    </row>
    <row r="299" spans="1:33" s="454" customFormat="1" ht="15" x14ac:dyDescent="0.25">
      <c r="A299" s="542"/>
      <c r="B299" s="665"/>
      <c r="C299" s="666" t="s">
        <v>2111</v>
      </c>
      <c r="D299" s="667"/>
      <c r="E299" s="667"/>
      <c r="F299" s="667"/>
      <c r="G299" s="667"/>
      <c r="H299" s="667"/>
      <c r="I299" s="667"/>
      <c r="J299" s="667"/>
      <c r="K299" s="667"/>
      <c r="L299" s="667"/>
      <c r="M299" s="669"/>
      <c r="X299" s="656"/>
      <c r="Y299" s="657"/>
      <c r="Z299" s="657"/>
      <c r="AA299" s="481"/>
      <c r="AC299" s="456"/>
      <c r="AD299" s="522"/>
      <c r="AE299" s="699"/>
      <c r="AF299" s="456"/>
      <c r="AG299" s="699"/>
    </row>
    <row r="300" spans="1:33" s="454" customFormat="1" ht="33.75" x14ac:dyDescent="0.25">
      <c r="A300" s="658" t="s">
        <v>1048</v>
      </c>
      <c r="B300" s="659" t="s">
        <v>1280</v>
      </c>
      <c r="C300" s="2673" t="s">
        <v>1281</v>
      </c>
      <c r="D300" s="2673"/>
      <c r="E300" s="2673"/>
      <c r="F300" s="670">
        <v>162</v>
      </c>
      <c r="G300" s="661" t="s">
        <v>2112</v>
      </c>
      <c r="H300" s="661"/>
      <c r="I300" s="661">
        <v>22989</v>
      </c>
      <c r="J300" s="661"/>
      <c r="K300" s="662"/>
      <c r="L300" s="663">
        <v>0</v>
      </c>
      <c r="M300" s="663">
        <v>0</v>
      </c>
      <c r="X300" s="656"/>
      <c r="Y300" s="657"/>
      <c r="Z300" s="657"/>
      <c r="AA300" s="481" t="s">
        <v>1281</v>
      </c>
      <c r="AC300" s="456"/>
      <c r="AD300" s="522"/>
      <c r="AE300" s="699"/>
      <c r="AF300" s="456"/>
      <c r="AG300" s="699"/>
    </row>
    <row r="301" spans="1:33" s="454" customFormat="1" ht="15" x14ac:dyDescent="0.25">
      <c r="A301" s="664"/>
      <c r="B301" s="665"/>
      <c r="C301" s="666" t="s">
        <v>2927</v>
      </c>
      <c r="D301" s="667"/>
      <c r="E301" s="667"/>
      <c r="F301" s="667"/>
      <c r="G301" s="667"/>
      <c r="H301" s="667"/>
      <c r="I301" s="667"/>
      <c r="J301" s="667"/>
      <c r="K301" s="667"/>
      <c r="L301" s="667"/>
      <c r="M301" s="668"/>
      <c r="X301" s="656"/>
      <c r="Y301" s="657"/>
      <c r="Z301" s="657"/>
      <c r="AA301" s="481"/>
      <c r="AC301" s="456"/>
      <c r="AD301" s="522"/>
      <c r="AE301" s="699"/>
      <c r="AF301" s="456"/>
      <c r="AG301" s="699"/>
    </row>
    <row r="302" spans="1:33" s="454" customFormat="1" ht="15" x14ac:dyDescent="0.25">
      <c r="A302" s="542"/>
      <c r="B302" s="665"/>
      <c r="C302" s="666" t="s">
        <v>2113</v>
      </c>
      <c r="D302" s="667"/>
      <c r="E302" s="667"/>
      <c r="F302" s="667"/>
      <c r="G302" s="667"/>
      <c r="H302" s="667"/>
      <c r="I302" s="667"/>
      <c r="J302" s="667"/>
      <c r="K302" s="667"/>
      <c r="L302" s="667"/>
      <c r="M302" s="669"/>
      <c r="X302" s="656"/>
      <c r="Y302" s="657"/>
      <c r="Z302" s="657"/>
      <c r="AA302" s="481"/>
      <c r="AC302" s="456"/>
      <c r="AD302" s="522"/>
      <c r="AE302" s="699"/>
      <c r="AF302" s="456"/>
      <c r="AG302" s="699"/>
    </row>
    <row r="303" spans="1:33" s="454" customFormat="1" ht="34.5" x14ac:dyDescent="0.25">
      <c r="A303" s="658" t="s">
        <v>1053</v>
      </c>
      <c r="B303" s="659" t="s">
        <v>1283</v>
      </c>
      <c r="C303" s="2673" t="s">
        <v>1284</v>
      </c>
      <c r="D303" s="2673"/>
      <c r="E303" s="2673"/>
      <c r="F303" s="670">
        <v>27</v>
      </c>
      <c r="G303" s="661" t="s">
        <v>2114</v>
      </c>
      <c r="H303" s="661"/>
      <c r="I303" s="661">
        <v>46959</v>
      </c>
      <c r="J303" s="661"/>
      <c r="K303" s="662"/>
      <c r="L303" s="663">
        <v>0</v>
      </c>
      <c r="M303" s="663">
        <v>0</v>
      </c>
      <c r="X303" s="656"/>
      <c r="Y303" s="657"/>
      <c r="Z303" s="657"/>
      <c r="AA303" s="481" t="s">
        <v>1284</v>
      </c>
      <c r="AC303" s="456"/>
      <c r="AD303" s="522"/>
      <c r="AE303" s="699"/>
      <c r="AF303" s="456"/>
      <c r="AG303" s="699"/>
    </row>
    <row r="304" spans="1:33" s="454" customFormat="1" ht="15" x14ac:dyDescent="0.25">
      <c r="A304" s="664"/>
      <c r="B304" s="665"/>
      <c r="C304" s="666" t="s">
        <v>2926</v>
      </c>
      <c r="D304" s="667"/>
      <c r="E304" s="667"/>
      <c r="F304" s="667"/>
      <c r="G304" s="667"/>
      <c r="H304" s="667"/>
      <c r="I304" s="667"/>
      <c r="J304" s="667"/>
      <c r="K304" s="667"/>
      <c r="L304" s="667"/>
      <c r="M304" s="668"/>
      <c r="X304" s="656"/>
      <c r="Y304" s="657"/>
      <c r="Z304" s="657"/>
      <c r="AA304" s="481"/>
      <c r="AC304" s="456"/>
      <c r="AD304" s="522"/>
      <c r="AE304" s="699"/>
      <c r="AF304" s="456"/>
      <c r="AG304" s="699"/>
    </row>
    <row r="305" spans="1:33" s="454" customFormat="1" ht="15" x14ac:dyDescent="0.25">
      <c r="A305" s="542"/>
      <c r="B305" s="665"/>
      <c r="C305" s="666" t="s">
        <v>2115</v>
      </c>
      <c r="D305" s="667"/>
      <c r="E305" s="667"/>
      <c r="F305" s="667"/>
      <c r="G305" s="667"/>
      <c r="H305" s="667"/>
      <c r="I305" s="667"/>
      <c r="J305" s="667"/>
      <c r="K305" s="667"/>
      <c r="L305" s="667"/>
      <c r="M305" s="669"/>
      <c r="X305" s="656"/>
      <c r="Y305" s="657"/>
      <c r="Z305" s="657"/>
      <c r="AA305" s="481"/>
      <c r="AC305" s="456"/>
      <c r="AD305" s="522"/>
      <c r="AE305" s="699"/>
      <c r="AF305" s="456"/>
      <c r="AG305" s="699"/>
    </row>
    <row r="306" spans="1:33" s="454" customFormat="1" ht="45.75" x14ac:dyDescent="0.25">
      <c r="A306" s="658" t="s">
        <v>1058</v>
      </c>
      <c r="B306" s="659" t="s">
        <v>2116</v>
      </c>
      <c r="C306" s="2673" t="s">
        <v>2117</v>
      </c>
      <c r="D306" s="2673"/>
      <c r="E306" s="2673"/>
      <c r="F306" s="670">
        <v>189</v>
      </c>
      <c r="G306" s="661" t="s">
        <v>1288</v>
      </c>
      <c r="H306" s="661" t="s">
        <v>1289</v>
      </c>
      <c r="I306" s="661">
        <v>1070</v>
      </c>
      <c r="J306" s="661">
        <v>437</v>
      </c>
      <c r="K306" s="662" t="s">
        <v>1290</v>
      </c>
      <c r="L306" s="671">
        <v>0.255</v>
      </c>
      <c r="M306" s="692">
        <v>48.2</v>
      </c>
      <c r="X306" s="656"/>
      <c r="Y306" s="657"/>
      <c r="Z306" s="657"/>
      <c r="AA306" s="481" t="s">
        <v>2117</v>
      </c>
      <c r="AC306" s="456"/>
      <c r="AD306" s="522"/>
      <c r="AE306" s="699"/>
      <c r="AF306" s="456"/>
      <c r="AG306" s="699"/>
    </row>
    <row r="307" spans="1:33" s="454" customFormat="1" ht="33.75" x14ac:dyDescent="0.25">
      <c r="A307" s="542"/>
      <c r="B307" s="673" t="s">
        <v>1655</v>
      </c>
      <c r="C307" s="2670" t="s">
        <v>1656</v>
      </c>
      <c r="D307" s="2670"/>
      <c r="E307" s="2670"/>
      <c r="F307" s="2670"/>
      <c r="G307" s="2670"/>
      <c r="H307" s="2670"/>
      <c r="I307" s="2670"/>
      <c r="J307" s="2670"/>
      <c r="K307" s="2670"/>
      <c r="L307" s="2670"/>
      <c r="M307" s="2671"/>
      <c r="X307" s="656"/>
      <c r="Y307" s="657"/>
      <c r="Z307" s="657"/>
      <c r="AA307" s="481"/>
      <c r="AB307" s="491" t="s">
        <v>1656</v>
      </c>
      <c r="AC307" s="456"/>
      <c r="AD307" s="522"/>
      <c r="AE307" s="699"/>
      <c r="AF307" s="456"/>
      <c r="AG307" s="699"/>
    </row>
    <row r="308" spans="1:33" s="454" customFormat="1" ht="15" x14ac:dyDescent="0.25">
      <c r="A308" s="823"/>
      <c r="B308" s="824"/>
      <c r="C308" s="824"/>
      <c r="D308" s="824"/>
      <c r="E308" s="825" t="s">
        <v>2929</v>
      </c>
      <c r="F308" s="826"/>
      <c r="G308" s="827"/>
      <c r="H308" s="648"/>
      <c r="I308" s="828">
        <v>563</v>
      </c>
      <c r="J308" s="829"/>
      <c r="K308" s="829"/>
      <c r="L308" s="830"/>
      <c r="M308" s="831"/>
      <c r="X308" s="656"/>
      <c r="Y308" s="657"/>
      <c r="Z308" s="657"/>
      <c r="AA308" s="481"/>
      <c r="AC308" s="456"/>
      <c r="AD308" s="522"/>
      <c r="AE308" s="699"/>
      <c r="AF308" s="456"/>
      <c r="AG308" s="699"/>
    </row>
    <row r="309" spans="1:33" s="454" customFormat="1" ht="15" x14ac:dyDescent="0.25">
      <c r="A309" s="823"/>
      <c r="B309" s="824"/>
      <c r="C309" s="824"/>
      <c r="D309" s="824"/>
      <c r="E309" s="825" t="s">
        <v>2930</v>
      </c>
      <c r="F309" s="826"/>
      <c r="G309" s="827"/>
      <c r="H309" s="648"/>
      <c r="I309" s="828">
        <v>257</v>
      </c>
      <c r="J309" s="829"/>
      <c r="K309" s="829"/>
      <c r="L309" s="830"/>
      <c r="M309" s="831"/>
      <c r="X309" s="656"/>
      <c r="Y309" s="657"/>
      <c r="Z309" s="657"/>
      <c r="AA309" s="481"/>
      <c r="AC309" s="456"/>
      <c r="AD309" s="522"/>
      <c r="AE309" s="699"/>
      <c r="AF309" s="456"/>
      <c r="AG309" s="699"/>
    </row>
    <row r="310" spans="1:33" s="454" customFormat="1" ht="15" x14ac:dyDescent="0.25">
      <c r="A310" s="823"/>
      <c r="B310" s="824"/>
      <c r="C310" s="824"/>
      <c r="D310" s="824"/>
      <c r="E310" s="825" t="s">
        <v>2692</v>
      </c>
      <c r="F310" s="826"/>
      <c r="G310" s="827"/>
      <c r="H310" s="648"/>
      <c r="I310" s="828">
        <v>1890</v>
      </c>
      <c r="J310" s="829"/>
      <c r="K310" s="829"/>
      <c r="L310" s="830"/>
      <c r="M310" s="831"/>
      <c r="X310" s="656"/>
      <c r="Y310" s="657"/>
      <c r="Z310" s="657"/>
      <c r="AA310" s="481"/>
      <c r="AC310" s="456"/>
      <c r="AD310" s="522"/>
      <c r="AE310" s="699"/>
      <c r="AF310" s="456"/>
      <c r="AG310" s="699"/>
    </row>
    <row r="311" spans="1:33" s="454" customFormat="1" ht="23.25" x14ac:dyDescent="0.25">
      <c r="A311" s="507"/>
      <c r="B311" s="674" t="s">
        <v>2119</v>
      </c>
      <c r="C311" s="2672" t="s">
        <v>2120</v>
      </c>
      <c r="D311" s="2672"/>
      <c r="E311" s="2672"/>
      <c r="F311" s="675" t="s">
        <v>2931</v>
      </c>
      <c r="G311" s="676" t="s">
        <v>2122</v>
      </c>
      <c r="H311" s="676"/>
      <c r="I311" s="676">
        <v>437.17</v>
      </c>
      <c r="J311" s="676">
        <v>437.17</v>
      </c>
      <c r="K311" s="676"/>
      <c r="L311" s="677"/>
      <c r="M311" s="678"/>
      <c r="X311" s="656"/>
      <c r="Y311" s="657"/>
      <c r="Z311" s="657"/>
      <c r="AA311" s="481"/>
      <c r="AC311" s="456" t="s">
        <v>2120</v>
      </c>
      <c r="AD311" s="522"/>
      <c r="AE311" s="699"/>
      <c r="AF311" s="456"/>
      <c r="AG311" s="699"/>
    </row>
    <row r="312" spans="1:33" s="454" customFormat="1" ht="23.25" x14ac:dyDescent="0.25">
      <c r="A312" s="507"/>
      <c r="B312" s="674" t="s">
        <v>639</v>
      </c>
      <c r="C312" s="2672" t="s">
        <v>1661</v>
      </c>
      <c r="D312" s="2672"/>
      <c r="E312" s="2672"/>
      <c r="F312" s="675" t="s">
        <v>2932</v>
      </c>
      <c r="G312" s="676">
        <v>0</v>
      </c>
      <c r="H312" s="676">
        <v>0</v>
      </c>
      <c r="I312" s="676">
        <v>0</v>
      </c>
      <c r="J312" s="676"/>
      <c r="K312" s="676">
        <v>0</v>
      </c>
      <c r="L312" s="677"/>
      <c r="M312" s="678"/>
      <c r="X312" s="656"/>
      <c r="Y312" s="657"/>
      <c r="Z312" s="657"/>
      <c r="AA312" s="481"/>
      <c r="AC312" s="456" t="s">
        <v>1661</v>
      </c>
      <c r="AD312" s="522"/>
      <c r="AE312" s="699"/>
      <c r="AF312" s="456"/>
      <c r="AG312" s="699"/>
    </row>
    <row r="313" spans="1:33" s="454" customFormat="1" ht="34.5" x14ac:dyDescent="0.25">
      <c r="A313" s="507"/>
      <c r="B313" s="674" t="s">
        <v>821</v>
      </c>
      <c r="C313" s="2672" t="s">
        <v>1751</v>
      </c>
      <c r="D313" s="2672"/>
      <c r="E313" s="2672"/>
      <c r="F313" s="675" t="s">
        <v>2933</v>
      </c>
      <c r="G313" s="676">
        <v>65.709999999999994</v>
      </c>
      <c r="H313" s="676" t="s">
        <v>1753</v>
      </c>
      <c r="I313" s="676">
        <v>248.38</v>
      </c>
      <c r="J313" s="676"/>
      <c r="K313" s="676" t="s">
        <v>2934</v>
      </c>
      <c r="L313" s="677"/>
      <c r="M313" s="678"/>
      <c r="X313" s="656"/>
      <c r="Y313" s="657"/>
      <c r="Z313" s="657"/>
      <c r="AA313" s="481"/>
      <c r="AC313" s="456" t="s">
        <v>1751</v>
      </c>
      <c r="AD313" s="522"/>
      <c r="AE313" s="699"/>
      <c r="AF313" s="456"/>
      <c r="AG313" s="699"/>
    </row>
    <row r="314" spans="1:33" s="454" customFormat="1" ht="23.25" x14ac:dyDescent="0.25">
      <c r="A314" s="507"/>
      <c r="B314" s="674" t="s">
        <v>825</v>
      </c>
      <c r="C314" s="2672" t="s">
        <v>1808</v>
      </c>
      <c r="D314" s="2672"/>
      <c r="E314" s="2672"/>
      <c r="F314" s="675" t="s">
        <v>2935</v>
      </c>
      <c r="G314" s="676">
        <v>1.2</v>
      </c>
      <c r="H314" s="676" t="s">
        <v>1810</v>
      </c>
      <c r="I314" s="676">
        <v>34.020000000000003</v>
      </c>
      <c r="J314" s="676"/>
      <c r="K314" s="676" t="s">
        <v>2936</v>
      </c>
      <c r="L314" s="677"/>
      <c r="M314" s="678"/>
      <c r="X314" s="656"/>
      <c r="Y314" s="657"/>
      <c r="Z314" s="657"/>
      <c r="AA314" s="481"/>
      <c r="AC314" s="456" t="s">
        <v>1808</v>
      </c>
      <c r="AD314" s="522"/>
      <c r="AE314" s="699"/>
      <c r="AF314" s="456"/>
      <c r="AG314" s="699"/>
    </row>
    <row r="315" spans="1:33" s="454" customFormat="1" ht="23.25" x14ac:dyDescent="0.25">
      <c r="A315" s="507"/>
      <c r="B315" s="674" t="s">
        <v>830</v>
      </c>
      <c r="C315" s="2672" t="s">
        <v>1816</v>
      </c>
      <c r="D315" s="2672"/>
      <c r="E315" s="2672"/>
      <c r="F315" s="675" t="s">
        <v>2935</v>
      </c>
      <c r="G315" s="676">
        <v>6.22</v>
      </c>
      <c r="H315" s="676"/>
      <c r="I315" s="676">
        <v>176.34</v>
      </c>
      <c r="J315" s="676"/>
      <c r="K315" s="676"/>
      <c r="L315" s="677"/>
      <c r="M315" s="678"/>
      <c r="X315" s="656"/>
      <c r="Y315" s="657"/>
      <c r="Z315" s="657"/>
      <c r="AA315" s="481"/>
      <c r="AC315" s="456" t="s">
        <v>1816</v>
      </c>
      <c r="AD315" s="522"/>
      <c r="AE315" s="699"/>
      <c r="AF315" s="456"/>
      <c r="AG315" s="699"/>
    </row>
    <row r="316" spans="1:33" s="454" customFormat="1" ht="23.25" x14ac:dyDescent="0.25">
      <c r="A316" s="507"/>
      <c r="B316" s="674" t="s">
        <v>833</v>
      </c>
      <c r="C316" s="2672" t="s">
        <v>1818</v>
      </c>
      <c r="D316" s="2672"/>
      <c r="E316" s="2672"/>
      <c r="F316" s="675" t="s">
        <v>2932</v>
      </c>
      <c r="G316" s="676">
        <v>6.09</v>
      </c>
      <c r="H316" s="676"/>
      <c r="I316" s="676">
        <v>34.53</v>
      </c>
      <c r="J316" s="676"/>
      <c r="K316" s="676"/>
      <c r="L316" s="677"/>
      <c r="M316" s="678"/>
      <c r="X316" s="656"/>
      <c r="Y316" s="657"/>
      <c r="Z316" s="657"/>
      <c r="AA316" s="481"/>
      <c r="AC316" s="456" t="s">
        <v>1818</v>
      </c>
      <c r="AD316" s="522"/>
      <c r="AE316" s="699"/>
      <c r="AF316" s="456"/>
      <c r="AG316" s="699"/>
    </row>
    <row r="317" spans="1:33" s="454" customFormat="1" ht="15" x14ac:dyDescent="0.25">
      <c r="A317" s="2680" t="s">
        <v>1291</v>
      </c>
      <c r="B317" s="2681"/>
      <c r="C317" s="2681"/>
      <c r="D317" s="2681"/>
      <c r="E317" s="2681"/>
      <c r="F317" s="2681"/>
      <c r="G317" s="2681"/>
      <c r="H317" s="2681"/>
      <c r="I317" s="2681"/>
      <c r="J317" s="2681"/>
      <c r="K317" s="2681"/>
      <c r="L317" s="2681"/>
      <c r="M317" s="2682"/>
      <c r="X317" s="656"/>
      <c r="Y317" s="657" t="s">
        <v>1291</v>
      </c>
      <c r="Z317" s="657"/>
      <c r="AA317" s="481"/>
      <c r="AC317" s="456"/>
      <c r="AD317" s="522"/>
      <c r="AE317" s="699"/>
      <c r="AF317" s="456"/>
      <c r="AG317" s="699"/>
    </row>
    <row r="318" spans="1:33" s="454" customFormat="1" ht="57" x14ac:dyDescent="0.25">
      <c r="A318" s="658" t="s">
        <v>1063</v>
      </c>
      <c r="B318" s="659" t="s">
        <v>1954</v>
      </c>
      <c r="C318" s="2673" t="s">
        <v>1955</v>
      </c>
      <c r="D318" s="2673"/>
      <c r="E318" s="2673"/>
      <c r="F318" s="685">
        <v>0.13439999999999999</v>
      </c>
      <c r="G318" s="661" t="s">
        <v>1956</v>
      </c>
      <c r="H318" s="661" t="s">
        <v>1957</v>
      </c>
      <c r="I318" s="661">
        <v>17190</v>
      </c>
      <c r="J318" s="661">
        <v>1344</v>
      </c>
      <c r="K318" s="662" t="s">
        <v>2937</v>
      </c>
      <c r="L318" s="691">
        <v>1039.7328</v>
      </c>
      <c r="M318" s="672">
        <v>139.74</v>
      </c>
      <c r="X318" s="656"/>
      <c r="Y318" s="657"/>
      <c r="Z318" s="657"/>
      <c r="AA318" s="481" t="s">
        <v>1955</v>
      </c>
      <c r="AC318" s="456"/>
      <c r="AD318" s="522"/>
      <c r="AE318" s="699"/>
      <c r="AF318" s="456"/>
      <c r="AG318" s="699"/>
    </row>
    <row r="319" spans="1:33" s="454" customFormat="1" ht="15" x14ac:dyDescent="0.25">
      <c r="A319" s="664"/>
      <c r="B319" s="665"/>
      <c r="C319" s="666" t="s">
        <v>2938</v>
      </c>
      <c r="D319" s="667"/>
      <c r="E319" s="667"/>
      <c r="F319" s="667"/>
      <c r="G319" s="667"/>
      <c r="H319" s="667"/>
      <c r="I319" s="667"/>
      <c r="J319" s="667"/>
      <c r="K319" s="667"/>
      <c r="L319" s="667"/>
      <c r="M319" s="668"/>
      <c r="X319" s="656"/>
      <c r="Y319" s="657"/>
      <c r="Z319" s="657"/>
      <c r="AA319" s="481"/>
      <c r="AC319" s="456"/>
      <c r="AD319" s="522"/>
      <c r="AE319" s="699"/>
      <c r="AF319" s="456"/>
      <c r="AG319" s="699"/>
    </row>
    <row r="320" spans="1:33" s="454" customFormat="1" ht="15" x14ac:dyDescent="0.25">
      <c r="A320" s="542"/>
      <c r="B320" s="673" t="s">
        <v>1960</v>
      </c>
      <c r="C320" s="2670" t="s">
        <v>1961</v>
      </c>
      <c r="D320" s="2670"/>
      <c r="E320" s="2670"/>
      <c r="F320" s="2670"/>
      <c r="G320" s="2670"/>
      <c r="H320" s="2670"/>
      <c r="I320" s="2670"/>
      <c r="J320" s="2670"/>
      <c r="K320" s="2670"/>
      <c r="L320" s="2670"/>
      <c r="M320" s="2671"/>
      <c r="X320" s="656"/>
      <c r="Y320" s="657"/>
      <c r="Z320" s="657"/>
      <c r="AA320" s="481"/>
      <c r="AB320" s="491" t="s">
        <v>1961</v>
      </c>
      <c r="AC320" s="456"/>
      <c r="AD320" s="522"/>
      <c r="AE320" s="699"/>
      <c r="AF320" s="456"/>
      <c r="AG320" s="699"/>
    </row>
    <row r="321" spans="1:33" s="454" customFormat="1" ht="15" x14ac:dyDescent="0.25">
      <c r="A321" s="542"/>
      <c r="B321" s="673" t="s">
        <v>1962</v>
      </c>
      <c r="C321" s="2670" t="s">
        <v>1963</v>
      </c>
      <c r="D321" s="2670"/>
      <c r="E321" s="2670"/>
      <c r="F321" s="2670"/>
      <c r="G321" s="2670"/>
      <c r="H321" s="2670"/>
      <c r="I321" s="2670"/>
      <c r="J321" s="2670"/>
      <c r="K321" s="2670"/>
      <c r="L321" s="2670"/>
      <c r="M321" s="2671"/>
      <c r="X321" s="656"/>
      <c r="Y321" s="657"/>
      <c r="Z321" s="657"/>
      <c r="AA321" s="481"/>
      <c r="AB321" s="491" t="s">
        <v>1963</v>
      </c>
      <c r="AC321" s="456"/>
      <c r="AD321" s="522"/>
      <c r="AE321" s="699"/>
      <c r="AF321" s="456"/>
      <c r="AG321" s="699"/>
    </row>
    <row r="322" spans="1:33" s="454" customFormat="1" ht="15" x14ac:dyDescent="0.25">
      <c r="A322" s="542"/>
      <c r="B322" s="673" t="s">
        <v>1964</v>
      </c>
      <c r="C322" s="2670" t="s">
        <v>1965</v>
      </c>
      <c r="D322" s="2670"/>
      <c r="E322" s="2670"/>
      <c r="F322" s="2670"/>
      <c r="G322" s="2670"/>
      <c r="H322" s="2670"/>
      <c r="I322" s="2670"/>
      <c r="J322" s="2670"/>
      <c r="K322" s="2670"/>
      <c r="L322" s="2670"/>
      <c r="M322" s="2671"/>
      <c r="X322" s="656"/>
      <c r="Y322" s="657"/>
      <c r="Z322" s="657"/>
      <c r="AA322" s="481"/>
      <c r="AB322" s="491" t="s">
        <v>1965</v>
      </c>
      <c r="AC322" s="456"/>
      <c r="AD322" s="522"/>
      <c r="AE322" s="699"/>
      <c r="AF322" s="456"/>
      <c r="AG322" s="699"/>
    </row>
    <row r="323" spans="1:33" s="454" customFormat="1" ht="33.75" x14ac:dyDescent="0.25">
      <c r="A323" s="542"/>
      <c r="B323" s="673" t="s">
        <v>1655</v>
      </c>
      <c r="C323" s="2670" t="s">
        <v>1656</v>
      </c>
      <c r="D323" s="2670"/>
      <c r="E323" s="2670"/>
      <c r="F323" s="2670"/>
      <c r="G323" s="2670"/>
      <c r="H323" s="2670"/>
      <c r="I323" s="2670"/>
      <c r="J323" s="2670"/>
      <c r="K323" s="2670"/>
      <c r="L323" s="2670"/>
      <c r="M323" s="2671"/>
      <c r="X323" s="656"/>
      <c r="Y323" s="657"/>
      <c r="Z323" s="657"/>
      <c r="AA323" s="481"/>
      <c r="AB323" s="491" t="s">
        <v>1656</v>
      </c>
      <c r="AC323" s="456"/>
      <c r="AD323" s="522"/>
      <c r="AE323" s="699"/>
      <c r="AF323" s="456"/>
      <c r="AG323" s="699"/>
    </row>
    <row r="324" spans="1:33" s="454" customFormat="1" ht="15" x14ac:dyDescent="0.25">
      <c r="A324" s="823"/>
      <c r="B324" s="824"/>
      <c r="C324" s="824"/>
      <c r="D324" s="824"/>
      <c r="E324" s="825" t="s">
        <v>2939</v>
      </c>
      <c r="F324" s="826"/>
      <c r="G324" s="827"/>
      <c r="H324" s="648"/>
      <c r="I324" s="828">
        <v>2350</v>
      </c>
      <c r="J324" s="829"/>
      <c r="K324" s="829"/>
      <c r="L324" s="830"/>
      <c r="M324" s="831"/>
      <c r="X324" s="656"/>
      <c r="Y324" s="657"/>
      <c r="Z324" s="657"/>
      <c r="AA324" s="481"/>
      <c r="AC324" s="456"/>
      <c r="AD324" s="522"/>
      <c r="AE324" s="699"/>
      <c r="AF324" s="456"/>
      <c r="AG324" s="699"/>
    </row>
    <row r="325" spans="1:33" s="454" customFormat="1" ht="15" x14ac:dyDescent="0.25">
      <c r="A325" s="823"/>
      <c r="B325" s="824"/>
      <c r="C325" s="824"/>
      <c r="D325" s="824"/>
      <c r="E325" s="825" t="s">
        <v>2940</v>
      </c>
      <c r="F325" s="826"/>
      <c r="G325" s="827"/>
      <c r="H325" s="648"/>
      <c r="I325" s="828">
        <v>1070</v>
      </c>
      <c r="J325" s="829"/>
      <c r="K325" s="829"/>
      <c r="L325" s="830"/>
      <c r="M325" s="831"/>
      <c r="X325" s="656"/>
      <c r="Y325" s="657"/>
      <c r="Z325" s="657"/>
      <c r="AA325" s="481"/>
      <c r="AC325" s="456"/>
      <c r="AD325" s="522"/>
      <c r="AE325" s="699"/>
      <c r="AF325" s="456"/>
      <c r="AG325" s="699"/>
    </row>
    <row r="326" spans="1:33" s="454" customFormat="1" ht="15" x14ac:dyDescent="0.25">
      <c r="A326" s="823"/>
      <c r="B326" s="824"/>
      <c r="C326" s="824"/>
      <c r="D326" s="824"/>
      <c r="E326" s="825" t="s">
        <v>2692</v>
      </c>
      <c r="F326" s="826"/>
      <c r="G326" s="827"/>
      <c r="H326" s="648"/>
      <c r="I326" s="828">
        <v>20610</v>
      </c>
      <c r="J326" s="829"/>
      <c r="K326" s="829"/>
      <c r="L326" s="830"/>
      <c r="M326" s="831"/>
      <c r="X326" s="656"/>
      <c r="Y326" s="657"/>
      <c r="Z326" s="657"/>
      <c r="AA326" s="481"/>
      <c r="AC326" s="456"/>
      <c r="AD326" s="522"/>
      <c r="AE326" s="699"/>
      <c r="AF326" s="456"/>
      <c r="AG326" s="699"/>
    </row>
    <row r="327" spans="1:33" s="454" customFormat="1" ht="23.25" x14ac:dyDescent="0.25">
      <c r="A327" s="507"/>
      <c r="B327" s="674" t="s">
        <v>1883</v>
      </c>
      <c r="C327" s="2672" t="s">
        <v>1884</v>
      </c>
      <c r="D327" s="2672"/>
      <c r="E327" s="2672"/>
      <c r="F327" s="675" t="s">
        <v>2941</v>
      </c>
      <c r="G327" s="676" t="s">
        <v>1886</v>
      </c>
      <c r="H327" s="676"/>
      <c r="I327" s="676">
        <v>1344.3</v>
      </c>
      <c r="J327" s="676">
        <v>1344.3</v>
      </c>
      <c r="K327" s="676"/>
      <c r="L327" s="677"/>
      <c r="M327" s="678"/>
      <c r="X327" s="656"/>
      <c r="Y327" s="657"/>
      <c r="Z327" s="657"/>
      <c r="AA327" s="481"/>
      <c r="AC327" s="456" t="s">
        <v>1884</v>
      </c>
      <c r="AD327" s="522"/>
      <c r="AE327" s="699"/>
      <c r="AF327" s="456"/>
      <c r="AG327" s="699"/>
    </row>
    <row r="328" spans="1:33" s="454" customFormat="1" ht="23.25" x14ac:dyDescent="0.25">
      <c r="A328" s="507"/>
      <c r="B328" s="674" t="s">
        <v>639</v>
      </c>
      <c r="C328" s="2672" t="s">
        <v>1661</v>
      </c>
      <c r="D328" s="2672"/>
      <c r="E328" s="2672"/>
      <c r="F328" s="675" t="s">
        <v>2942</v>
      </c>
      <c r="G328" s="676">
        <v>0</v>
      </c>
      <c r="H328" s="676">
        <v>0</v>
      </c>
      <c r="I328" s="676">
        <v>0</v>
      </c>
      <c r="J328" s="676"/>
      <c r="K328" s="676">
        <v>0</v>
      </c>
      <c r="L328" s="677"/>
      <c r="M328" s="678"/>
      <c r="X328" s="656"/>
      <c r="Y328" s="657"/>
      <c r="Z328" s="657"/>
      <c r="AA328" s="481"/>
      <c r="AC328" s="456" t="s">
        <v>1661</v>
      </c>
      <c r="AD328" s="522"/>
      <c r="AE328" s="699"/>
      <c r="AF328" s="456"/>
      <c r="AG328" s="699"/>
    </row>
    <row r="329" spans="1:33" s="454" customFormat="1" ht="23.25" x14ac:dyDescent="0.25">
      <c r="A329" s="507"/>
      <c r="B329" s="674" t="s">
        <v>1968</v>
      </c>
      <c r="C329" s="2672" t="s">
        <v>1969</v>
      </c>
      <c r="D329" s="2672"/>
      <c r="E329" s="2672"/>
      <c r="F329" s="675" t="s">
        <v>2943</v>
      </c>
      <c r="G329" s="676">
        <v>79.069999999999993</v>
      </c>
      <c r="H329" s="676" t="s">
        <v>1971</v>
      </c>
      <c r="I329" s="676">
        <v>30.84</v>
      </c>
      <c r="J329" s="676"/>
      <c r="K329" s="676" t="s">
        <v>2944</v>
      </c>
      <c r="L329" s="677"/>
      <c r="M329" s="678"/>
      <c r="X329" s="656"/>
      <c r="Y329" s="657"/>
      <c r="Z329" s="657"/>
      <c r="AA329" s="481"/>
      <c r="AC329" s="456" t="s">
        <v>1969</v>
      </c>
      <c r="AD329" s="522"/>
      <c r="AE329" s="699"/>
      <c r="AF329" s="456"/>
      <c r="AG329" s="699"/>
    </row>
    <row r="330" spans="1:33" s="454" customFormat="1" ht="45.75" x14ac:dyDescent="0.25">
      <c r="A330" s="507"/>
      <c r="B330" s="674" t="s">
        <v>1973</v>
      </c>
      <c r="C330" s="2672" t="s">
        <v>1974</v>
      </c>
      <c r="D330" s="2672"/>
      <c r="E330" s="2672"/>
      <c r="F330" s="675" t="s">
        <v>2945</v>
      </c>
      <c r="G330" s="676">
        <v>70.010000000000005</v>
      </c>
      <c r="H330" s="676" t="s">
        <v>1976</v>
      </c>
      <c r="I330" s="676">
        <v>37.11</v>
      </c>
      <c r="J330" s="676"/>
      <c r="K330" s="676" t="s">
        <v>2946</v>
      </c>
      <c r="L330" s="677"/>
      <c r="M330" s="678"/>
      <c r="X330" s="656"/>
      <c r="Y330" s="657"/>
      <c r="Z330" s="657"/>
      <c r="AA330" s="481"/>
      <c r="AC330" s="456" t="s">
        <v>1974</v>
      </c>
      <c r="AD330" s="522"/>
      <c r="AE330" s="699"/>
      <c r="AF330" s="456"/>
      <c r="AG330" s="699"/>
    </row>
    <row r="331" spans="1:33" s="454" customFormat="1" ht="57" x14ac:dyDescent="0.25">
      <c r="A331" s="507"/>
      <c r="B331" s="674" t="s">
        <v>1978</v>
      </c>
      <c r="C331" s="2672" t="s">
        <v>1979</v>
      </c>
      <c r="D331" s="2672"/>
      <c r="E331" s="2672"/>
      <c r="F331" s="675" t="s">
        <v>2947</v>
      </c>
      <c r="G331" s="676">
        <v>340</v>
      </c>
      <c r="H331" s="676" t="s">
        <v>1981</v>
      </c>
      <c r="I331" s="676">
        <v>10162.6</v>
      </c>
      <c r="J331" s="676"/>
      <c r="K331" s="676" t="s">
        <v>2948</v>
      </c>
      <c r="L331" s="677"/>
      <c r="M331" s="678"/>
      <c r="X331" s="656"/>
      <c r="Y331" s="657"/>
      <c r="Z331" s="657"/>
      <c r="AA331" s="481"/>
      <c r="AC331" s="456" t="s">
        <v>1979</v>
      </c>
      <c r="AD331" s="522"/>
      <c r="AE331" s="699"/>
      <c r="AF331" s="456"/>
      <c r="AG331" s="699"/>
    </row>
    <row r="332" spans="1:33" s="454" customFormat="1" ht="34.5" x14ac:dyDescent="0.25">
      <c r="A332" s="507"/>
      <c r="B332" s="674" t="s">
        <v>1663</v>
      </c>
      <c r="C332" s="2672" t="s">
        <v>1664</v>
      </c>
      <c r="D332" s="2672"/>
      <c r="E332" s="2672"/>
      <c r="F332" s="675" t="s">
        <v>2949</v>
      </c>
      <c r="G332" s="676">
        <v>111.99</v>
      </c>
      <c r="H332" s="676" t="s">
        <v>1666</v>
      </c>
      <c r="I332" s="676">
        <v>58.23</v>
      </c>
      <c r="J332" s="676"/>
      <c r="K332" s="676" t="s">
        <v>2950</v>
      </c>
      <c r="L332" s="677"/>
      <c r="M332" s="678"/>
      <c r="X332" s="656"/>
      <c r="Y332" s="657"/>
      <c r="Z332" s="657"/>
      <c r="AA332" s="481"/>
      <c r="AC332" s="456" t="s">
        <v>1664</v>
      </c>
      <c r="AD332" s="522"/>
      <c r="AE332" s="699"/>
      <c r="AF332" s="456"/>
      <c r="AG332" s="699"/>
    </row>
    <row r="333" spans="1:33" s="454" customFormat="1" ht="23.25" x14ac:dyDescent="0.25">
      <c r="A333" s="507"/>
      <c r="B333" s="674" t="s">
        <v>1985</v>
      </c>
      <c r="C333" s="2672" t="s">
        <v>1986</v>
      </c>
      <c r="D333" s="2672"/>
      <c r="E333" s="2672"/>
      <c r="F333" s="675" t="s">
        <v>2951</v>
      </c>
      <c r="G333" s="676">
        <v>26.5</v>
      </c>
      <c r="H333" s="676" t="s">
        <v>1988</v>
      </c>
      <c r="I333" s="676">
        <v>188.15</v>
      </c>
      <c r="J333" s="676"/>
      <c r="K333" s="676" t="s">
        <v>2952</v>
      </c>
      <c r="L333" s="677"/>
      <c r="M333" s="678"/>
      <c r="X333" s="656"/>
      <c r="Y333" s="657"/>
      <c r="Z333" s="657"/>
      <c r="AA333" s="481"/>
      <c r="AC333" s="456" t="s">
        <v>1986</v>
      </c>
      <c r="AD333" s="522"/>
      <c r="AE333" s="699"/>
      <c r="AF333" s="456"/>
      <c r="AG333" s="699"/>
    </row>
    <row r="334" spans="1:33" s="454" customFormat="1" ht="34.5" x14ac:dyDescent="0.25">
      <c r="A334" s="507"/>
      <c r="B334" s="674" t="s">
        <v>821</v>
      </c>
      <c r="C334" s="2672" t="s">
        <v>1751</v>
      </c>
      <c r="D334" s="2672"/>
      <c r="E334" s="2672"/>
      <c r="F334" s="675" t="s">
        <v>2953</v>
      </c>
      <c r="G334" s="676">
        <v>65.709999999999994</v>
      </c>
      <c r="H334" s="676" t="s">
        <v>1753</v>
      </c>
      <c r="I334" s="676">
        <v>51.25</v>
      </c>
      <c r="J334" s="676"/>
      <c r="K334" s="676" t="s">
        <v>2954</v>
      </c>
      <c r="L334" s="677"/>
      <c r="M334" s="678"/>
      <c r="X334" s="656"/>
      <c r="Y334" s="657"/>
      <c r="Z334" s="657"/>
      <c r="AA334" s="481"/>
      <c r="AC334" s="456" t="s">
        <v>1751</v>
      </c>
      <c r="AD334" s="522"/>
      <c r="AE334" s="699"/>
      <c r="AF334" s="456"/>
      <c r="AG334" s="699"/>
    </row>
    <row r="335" spans="1:33" s="454" customFormat="1" ht="23.25" x14ac:dyDescent="0.25">
      <c r="A335" s="515" t="s">
        <v>863</v>
      </c>
      <c r="B335" s="686" t="s">
        <v>1992</v>
      </c>
      <c r="C335" s="2683" t="s">
        <v>1993</v>
      </c>
      <c r="D335" s="2683"/>
      <c r="E335" s="2683"/>
      <c r="F335" s="687" t="s">
        <v>2955</v>
      </c>
      <c r="G335" s="688">
        <v>0</v>
      </c>
      <c r="H335" s="688"/>
      <c r="I335" s="688">
        <v>0</v>
      </c>
      <c r="J335" s="688"/>
      <c r="K335" s="688"/>
      <c r="L335" s="689"/>
      <c r="M335" s="690"/>
      <c r="X335" s="656"/>
      <c r="Y335" s="657"/>
      <c r="Z335" s="657"/>
      <c r="AA335" s="481"/>
      <c r="AC335" s="456"/>
      <c r="AD335" s="522" t="s">
        <v>1993</v>
      </c>
      <c r="AE335" s="699"/>
      <c r="AF335" s="456"/>
      <c r="AG335" s="699"/>
    </row>
    <row r="336" spans="1:33" s="454" customFormat="1" ht="57" x14ac:dyDescent="0.25">
      <c r="A336" s="507"/>
      <c r="B336" s="674" t="s">
        <v>1995</v>
      </c>
      <c r="C336" s="2672" t="s">
        <v>1996</v>
      </c>
      <c r="D336" s="2672"/>
      <c r="E336" s="2672"/>
      <c r="F336" s="675" t="s">
        <v>2956</v>
      </c>
      <c r="G336" s="676">
        <v>183.68</v>
      </c>
      <c r="H336" s="676"/>
      <c r="I336" s="676">
        <v>51.15</v>
      </c>
      <c r="J336" s="676"/>
      <c r="K336" s="676"/>
      <c r="L336" s="677"/>
      <c r="M336" s="678"/>
      <c r="X336" s="656"/>
      <c r="Y336" s="657"/>
      <c r="Z336" s="657"/>
      <c r="AA336" s="481"/>
      <c r="AC336" s="456" t="s">
        <v>1996</v>
      </c>
      <c r="AD336" s="522"/>
      <c r="AE336" s="699"/>
      <c r="AF336" s="456"/>
      <c r="AG336" s="699"/>
    </row>
    <row r="337" spans="1:33" s="454" customFormat="1" ht="23.25" x14ac:dyDescent="0.25">
      <c r="A337" s="515" t="s">
        <v>863</v>
      </c>
      <c r="B337" s="686" t="s">
        <v>1998</v>
      </c>
      <c r="C337" s="2683" t="s">
        <v>1999</v>
      </c>
      <c r="D337" s="2683"/>
      <c r="E337" s="2683"/>
      <c r="F337" s="687" t="s">
        <v>2957</v>
      </c>
      <c r="G337" s="688">
        <v>0</v>
      </c>
      <c r="H337" s="688"/>
      <c r="I337" s="688">
        <v>0</v>
      </c>
      <c r="J337" s="688"/>
      <c r="K337" s="688"/>
      <c r="L337" s="689"/>
      <c r="M337" s="690"/>
      <c r="X337" s="656"/>
      <c r="Y337" s="657"/>
      <c r="Z337" s="657"/>
      <c r="AA337" s="481"/>
      <c r="AC337" s="456"/>
      <c r="AD337" s="522" t="s">
        <v>1999</v>
      </c>
      <c r="AE337" s="699"/>
      <c r="AF337" s="456"/>
      <c r="AG337" s="699"/>
    </row>
    <row r="338" spans="1:33" s="454" customFormat="1" ht="22.5" x14ac:dyDescent="0.25">
      <c r="A338" s="515" t="s">
        <v>860</v>
      </c>
      <c r="B338" s="686" t="s">
        <v>2001</v>
      </c>
      <c r="C338" s="2683" t="s">
        <v>2002</v>
      </c>
      <c r="D338" s="2683"/>
      <c r="E338" s="2683"/>
      <c r="F338" s="687" t="s">
        <v>1935</v>
      </c>
      <c r="G338" s="688">
        <v>0</v>
      </c>
      <c r="H338" s="688"/>
      <c r="I338" s="688">
        <v>0</v>
      </c>
      <c r="J338" s="688"/>
      <c r="K338" s="688"/>
      <c r="L338" s="689"/>
      <c r="M338" s="690"/>
      <c r="X338" s="656"/>
      <c r="Y338" s="657"/>
      <c r="Z338" s="657"/>
      <c r="AA338" s="481"/>
      <c r="AC338" s="456"/>
      <c r="AD338" s="522" t="s">
        <v>2002</v>
      </c>
      <c r="AE338" s="699"/>
      <c r="AF338" s="456"/>
      <c r="AG338" s="699"/>
    </row>
    <row r="339" spans="1:33" s="454" customFormat="1" ht="57" x14ac:dyDescent="0.25">
      <c r="A339" s="658" t="s">
        <v>1068</v>
      </c>
      <c r="B339" s="659" t="s">
        <v>2003</v>
      </c>
      <c r="C339" s="2673" t="s">
        <v>2004</v>
      </c>
      <c r="D339" s="2673"/>
      <c r="E339" s="2673"/>
      <c r="F339" s="685">
        <v>1.7856000000000001</v>
      </c>
      <c r="G339" s="661" t="s">
        <v>2005</v>
      </c>
      <c r="H339" s="661" t="s">
        <v>2006</v>
      </c>
      <c r="I339" s="661">
        <v>693136</v>
      </c>
      <c r="J339" s="661">
        <v>52929</v>
      </c>
      <c r="K339" s="662" t="s">
        <v>2958</v>
      </c>
      <c r="L339" s="691">
        <v>3081.2808</v>
      </c>
      <c r="M339" s="672">
        <v>5501.94</v>
      </c>
      <c r="X339" s="656"/>
      <c r="Y339" s="657"/>
      <c r="Z339" s="657"/>
      <c r="AA339" s="481" t="s">
        <v>2004</v>
      </c>
      <c r="AC339" s="456"/>
      <c r="AD339" s="522"/>
      <c r="AE339" s="699"/>
      <c r="AF339" s="456"/>
      <c r="AG339" s="699"/>
    </row>
    <row r="340" spans="1:33" s="454" customFormat="1" ht="15" x14ac:dyDescent="0.25">
      <c r="A340" s="664"/>
      <c r="B340" s="665"/>
      <c r="C340" s="666" t="s">
        <v>2959</v>
      </c>
      <c r="D340" s="667"/>
      <c r="E340" s="667"/>
      <c r="F340" s="667"/>
      <c r="G340" s="667"/>
      <c r="H340" s="667"/>
      <c r="I340" s="667"/>
      <c r="J340" s="667"/>
      <c r="K340" s="667"/>
      <c r="L340" s="667"/>
      <c r="M340" s="668"/>
      <c r="X340" s="656"/>
      <c r="Y340" s="657"/>
      <c r="Z340" s="657"/>
      <c r="AA340" s="481"/>
      <c r="AC340" s="456"/>
      <c r="AD340" s="522"/>
      <c r="AE340" s="699"/>
      <c r="AF340" s="456"/>
      <c r="AG340" s="699"/>
    </row>
    <row r="341" spans="1:33" s="454" customFormat="1" ht="15" x14ac:dyDescent="0.25">
      <c r="A341" s="542"/>
      <c r="B341" s="673" t="s">
        <v>1960</v>
      </c>
      <c r="C341" s="2670" t="s">
        <v>1961</v>
      </c>
      <c r="D341" s="2670"/>
      <c r="E341" s="2670"/>
      <c r="F341" s="2670"/>
      <c r="G341" s="2670"/>
      <c r="H341" s="2670"/>
      <c r="I341" s="2670"/>
      <c r="J341" s="2670"/>
      <c r="K341" s="2670"/>
      <c r="L341" s="2670"/>
      <c r="M341" s="2671"/>
      <c r="X341" s="656"/>
      <c r="Y341" s="657"/>
      <c r="Z341" s="657"/>
      <c r="AA341" s="481"/>
      <c r="AB341" s="491" t="s">
        <v>1961</v>
      </c>
      <c r="AC341" s="456"/>
      <c r="AD341" s="522"/>
      <c r="AE341" s="699"/>
      <c r="AF341" s="456"/>
      <c r="AG341" s="699"/>
    </row>
    <row r="342" spans="1:33" s="454" customFormat="1" ht="15" x14ac:dyDescent="0.25">
      <c r="A342" s="542"/>
      <c r="B342" s="673" t="s">
        <v>1962</v>
      </c>
      <c r="C342" s="2670" t="s">
        <v>1963</v>
      </c>
      <c r="D342" s="2670"/>
      <c r="E342" s="2670"/>
      <c r="F342" s="2670"/>
      <c r="G342" s="2670"/>
      <c r="H342" s="2670"/>
      <c r="I342" s="2670"/>
      <c r="J342" s="2670"/>
      <c r="K342" s="2670"/>
      <c r="L342" s="2670"/>
      <c r="M342" s="2671"/>
      <c r="X342" s="656"/>
      <c r="Y342" s="657"/>
      <c r="Z342" s="657"/>
      <c r="AA342" s="481"/>
      <c r="AB342" s="491" t="s">
        <v>1963</v>
      </c>
      <c r="AC342" s="456"/>
      <c r="AD342" s="522"/>
      <c r="AE342" s="699"/>
      <c r="AF342" s="456"/>
      <c r="AG342" s="699"/>
    </row>
    <row r="343" spans="1:33" s="454" customFormat="1" ht="15" x14ac:dyDescent="0.25">
      <c r="A343" s="542"/>
      <c r="B343" s="673" t="s">
        <v>1964</v>
      </c>
      <c r="C343" s="2670" t="s">
        <v>1965</v>
      </c>
      <c r="D343" s="2670"/>
      <c r="E343" s="2670"/>
      <c r="F343" s="2670"/>
      <c r="G343" s="2670"/>
      <c r="H343" s="2670"/>
      <c r="I343" s="2670"/>
      <c r="J343" s="2670"/>
      <c r="K343" s="2670"/>
      <c r="L343" s="2670"/>
      <c r="M343" s="2671"/>
      <c r="X343" s="656"/>
      <c r="Y343" s="657"/>
      <c r="Z343" s="657"/>
      <c r="AA343" s="481"/>
      <c r="AB343" s="491" t="s">
        <v>1965</v>
      </c>
      <c r="AC343" s="456"/>
      <c r="AD343" s="522"/>
      <c r="AE343" s="699"/>
      <c r="AF343" s="456"/>
      <c r="AG343" s="699"/>
    </row>
    <row r="344" spans="1:33" s="454" customFormat="1" ht="33.75" x14ac:dyDescent="0.25">
      <c r="A344" s="542"/>
      <c r="B344" s="673" t="s">
        <v>1655</v>
      </c>
      <c r="C344" s="2670" t="s">
        <v>1656</v>
      </c>
      <c r="D344" s="2670"/>
      <c r="E344" s="2670"/>
      <c r="F344" s="2670"/>
      <c r="G344" s="2670"/>
      <c r="H344" s="2670"/>
      <c r="I344" s="2670"/>
      <c r="J344" s="2670"/>
      <c r="K344" s="2670"/>
      <c r="L344" s="2670"/>
      <c r="M344" s="2671"/>
      <c r="X344" s="656"/>
      <c r="Y344" s="657"/>
      <c r="Z344" s="657"/>
      <c r="AA344" s="481"/>
      <c r="AB344" s="491" t="s">
        <v>1656</v>
      </c>
      <c r="AC344" s="456"/>
      <c r="AD344" s="522"/>
      <c r="AE344" s="699"/>
      <c r="AF344" s="456"/>
      <c r="AG344" s="699"/>
    </row>
    <row r="345" spans="1:33" s="454" customFormat="1" ht="15" x14ac:dyDescent="0.25">
      <c r="A345" s="823"/>
      <c r="B345" s="824"/>
      <c r="C345" s="824"/>
      <c r="D345" s="824"/>
      <c r="E345" s="825" t="s">
        <v>2960</v>
      </c>
      <c r="F345" s="826"/>
      <c r="G345" s="827"/>
      <c r="H345" s="648"/>
      <c r="I345" s="828">
        <v>89573</v>
      </c>
      <c r="J345" s="829"/>
      <c r="K345" s="829"/>
      <c r="L345" s="830"/>
      <c r="M345" s="831"/>
      <c r="X345" s="656"/>
      <c r="Y345" s="657"/>
      <c r="Z345" s="657"/>
      <c r="AA345" s="481"/>
      <c r="AC345" s="456"/>
      <c r="AD345" s="522"/>
      <c r="AE345" s="699"/>
      <c r="AF345" s="456"/>
      <c r="AG345" s="699"/>
    </row>
    <row r="346" spans="1:33" s="454" customFormat="1" ht="15" x14ac:dyDescent="0.25">
      <c r="A346" s="823"/>
      <c r="B346" s="824"/>
      <c r="C346" s="824"/>
      <c r="D346" s="824"/>
      <c r="E346" s="825" t="s">
        <v>2961</v>
      </c>
      <c r="F346" s="826"/>
      <c r="G346" s="827"/>
      <c r="H346" s="648"/>
      <c r="I346" s="828">
        <v>40788</v>
      </c>
      <c r="J346" s="829"/>
      <c r="K346" s="829"/>
      <c r="L346" s="830"/>
      <c r="M346" s="831"/>
      <c r="X346" s="656"/>
      <c r="Y346" s="657"/>
      <c r="Z346" s="657"/>
      <c r="AA346" s="481"/>
      <c r="AC346" s="456"/>
      <c r="AD346" s="522"/>
      <c r="AE346" s="699"/>
      <c r="AF346" s="456"/>
      <c r="AG346" s="699"/>
    </row>
    <row r="347" spans="1:33" s="454" customFormat="1" ht="15" x14ac:dyDescent="0.25">
      <c r="A347" s="823"/>
      <c r="B347" s="824"/>
      <c r="C347" s="824"/>
      <c r="D347" s="824"/>
      <c r="E347" s="825" t="s">
        <v>2692</v>
      </c>
      <c r="F347" s="826"/>
      <c r="G347" s="827"/>
      <c r="H347" s="648"/>
      <c r="I347" s="828">
        <v>823497</v>
      </c>
      <c r="J347" s="829"/>
      <c r="K347" s="829"/>
      <c r="L347" s="830"/>
      <c r="M347" s="831"/>
      <c r="X347" s="656"/>
      <c r="Y347" s="657"/>
      <c r="Z347" s="657"/>
      <c r="AA347" s="481"/>
      <c r="AC347" s="456"/>
      <c r="AD347" s="522"/>
      <c r="AE347" s="699"/>
      <c r="AF347" s="456"/>
      <c r="AG347" s="699"/>
    </row>
    <row r="348" spans="1:33" s="454" customFormat="1" ht="23.25" x14ac:dyDescent="0.25">
      <c r="A348" s="507"/>
      <c r="B348" s="674" t="s">
        <v>1883</v>
      </c>
      <c r="C348" s="2672" t="s">
        <v>1884</v>
      </c>
      <c r="D348" s="2672"/>
      <c r="E348" s="2672"/>
      <c r="F348" s="675" t="s">
        <v>2962</v>
      </c>
      <c r="G348" s="676" t="s">
        <v>1886</v>
      </c>
      <c r="H348" s="676"/>
      <c r="I348" s="676">
        <v>52928.57</v>
      </c>
      <c r="J348" s="676">
        <v>52928.57</v>
      </c>
      <c r="K348" s="676"/>
      <c r="L348" s="677"/>
      <c r="M348" s="678"/>
      <c r="X348" s="656"/>
      <c r="Y348" s="657"/>
      <c r="Z348" s="657"/>
      <c r="AA348" s="481"/>
      <c r="AC348" s="456" t="s">
        <v>1884</v>
      </c>
      <c r="AD348" s="522"/>
      <c r="AE348" s="699"/>
      <c r="AF348" s="456"/>
      <c r="AG348" s="699"/>
    </row>
    <row r="349" spans="1:33" s="454" customFormat="1" ht="23.25" x14ac:dyDescent="0.25">
      <c r="A349" s="507"/>
      <c r="B349" s="674" t="s">
        <v>639</v>
      </c>
      <c r="C349" s="2672" t="s">
        <v>1661</v>
      </c>
      <c r="D349" s="2672"/>
      <c r="E349" s="2672"/>
      <c r="F349" s="675" t="s">
        <v>2963</v>
      </c>
      <c r="G349" s="676">
        <v>0</v>
      </c>
      <c r="H349" s="676">
        <v>0</v>
      </c>
      <c r="I349" s="676">
        <v>0</v>
      </c>
      <c r="J349" s="676"/>
      <c r="K349" s="676">
        <v>0</v>
      </c>
      <c r="L349" s="677"/>
      <c r="M349" s="678"/>
      <c r="X349" s="656"/>
      <c r="Y349" s="657"/>
      <c r="Z349" s="657"/>
      <c r="AA349" s="481"/>
      <c r="AC349" s="456" t="s">
        <v>1661</v>
      </c>
      <c r="AD349" s="522"/>
      <c r="AE349" s="699"/>
      <c r="AF349" s="456"/>
      <c r="AG349" s="699"/>
    </row>
    <row r="350" spans="1:33" s="454" customFormat="1" ht="23.25" x14ac:dyDescent="0.25">
      <c r="A350" s="507"/>
      <c r="B350" s="674" t="s">
        <v>1968</v>
      </c>
      <c r="C350" s="2672" t="s">
        <v>1969</v>
      </c>
      <c r="D350" s="2672"/>
      <c r="E350" s="2672"/>
      <c r="F350" s="675" t="s">
        <v>2964</v>
      </c>
      <c r="G350" s="676">
        <v>79.069999999999993</v>
      </c>
      <c r="H350" s="676" t="s">
        <v>1971</v>
      </c>
      <c r="I350" s="676">
        <v>413.54</v>
      </c>
      <c r="J350" s="676"/>
      <c r="K350" s="676" t="s">
        <v>2965</v>
      </c>
      <c r="L350" s="677"/>
      <c r="M350" s="678"/>
      <c r="X350" s="656"/>
      <c r="Y350" s="657"/>
      <c r="Z350" s="657"/>
      <c r="AA350" s="481"/>
      <c r="AC350" s="456" t="s">
        <v>1969</v>
      </c>
      <c r="AD350" s="522"/>
      <c r="AE350" s="699"/>
      <c r="AF350" s="456"/>
      <c r="AG350" s="699"/>
    </row>
    <row r="351" spans="1:33" s="454" customFormat="1" ht="45.75" x14ac:dyDescent="0.25">
      <c r="A351" s="507"/>
      <c r="B351" s="674" t="s">
        <v>1973</v>
      </c>
      <c r="C351" s="2672" t="s">
        <v>1974</v>
      </c>
      <c r="D351" s="2672"/>
      <c r="E351" s="2672"/>
      <c r="F351" s="675" t="s">
        <v>2966</v>
      </c>
      <c r="G351" s="676">
        <v>70.010000000000005</v>
      </c>
      <c r="H351" s="676" t="s">
        <v>1976</v>
      </c>
      <c r="I351" s="676">
        <v>492.87</v>
      </c>
      <c r="J351" s="676"/>
      <c r="K351" s="676" t="s">
        <v>2967</v>
      </c>
      <c r="L351" s="677"/>
      <c r="M351" s="678"/>
      <c r="X351" s="656"/>
      <c r="Y351" s="657"/>
      <c r="Z351" s="657"/>
      <c r="AA351" s="481"/>
      <c r="AC351" s="456" t="s">
        <v>1974</v>
      </c>
      <c r="AD351" s="522"/>
      <c r="AE351" s="699"/>
      <c r="AF351" s="456"/>
      <c r="AG351" s="699"/>
    </row>
    <row r="352" spans="1:33" s="454" customFormat="1" ht="57" x14ac:dyDescent="0.25">
      <c r="A352" s="507"/>
      <c r="B352" s="674" t="s">
        <v>1978</v>
      </c>
      <c r="C352" s="2672" t="s">
        <v>1979</v>
      </c>
      <c r="D352" s="2672"/>
      <c r="E352" s="2672"/>
      <c r="F352" s="675" t="s">
        <v>2968</v>
      </c>
      <c r="G352" s="676">
        <v>340</v>
      </c>
      <c r="H352" s="676" t="s">
        <v>1981</v>
      </c>
      <c r="I352" s="676">
        <v>420352.2</v>
      </c>
      <c r="J352" s="676"/>
      <c r="K352" s="676" t="s">
        <v>2969</v>
      </c>
      <c r="L352" s="677"/>
      <c r="M352" s="678"/>
      <c r="X352" s="656"/>
      <c r="Y352" s="657"/>
      <c r="Z352" s="657"/>
      <c r="AA352" s="481"/>
      <c r="AC352" s="456" t="s">
        <v>1979</v>
      </c>
      <c r="AD352" s="522"/>
      <c r="AE352" s="699"/>
      <c r="AF352" s="456"/>
      <c r="AG352" s="699"/>
    </row>
    <row r="353" spans="1:33" s="454" customFormat="1" ht="34.5" x14ac:dyDescent="0.25">
      <c r="A353" s="507"/>
      <c r="B353" s="674" t="s">
        <v>1663</v>
      </c>
      <c r="C353" s="2672" t="s">
        <v>1664</v>
      </c>
      <c r="D353" s="2672"/>
      <c r="E353" s="2672"/>
      <c r="F353" s="675" t="s">
        <v>2970</v>
      </c>
      <c r="G353" s="676">
        <v>111.99</v>
      </c>
      <c r="H353" s="676" t="s">
        <v>1666</v>
      </c>
      <c r="I353" s="676">
        <v>869.04</v>
      </c>
      <c r="J353" s="676"/>
      <c r="K353" s="676" t="s">
        <v>2971</v>
      </c>
      <c r="L353" s="677"/>
      <c r="M353" s="678"/>
      <c r="X353" s="656"/>
      <c r="Y353" s="657"/>
      <c r="Z353" s="657"/>
      <c r="AA353" s="481"/>
      <c r="AC353" s="456" t="s">
        <v>1664</v>
      </c>
      <c r="AD353" s="522"/>
      <c r="AE353" s="699"/>
      <c r="AF353" s="456"/>
      <c r="AG353" s="699"/>
    </row>
    <row r="354" spans="1:33" s="454" customFormat="1" ht="23.25" x14ac:dyDescent="0.25">
      <c r="A354" s="507"/>
      <c r="B354" s="674" t="s">
        <v>1985</v>
      </c>
      <c r="C354" s="2672" t="s">
        <v>1986</v>
      </c>
      <c r="D354" s="2672"/>
      <c r="E354" s="2672"/>
      <c r="F354" s="675" t="s">
        <v>2972</v>
      </c>
      <c r="G354" s="676">
        <v>26.5</v>
      </c>
      <c r="H354" s="676" t="s">
        <v>1988</v>
      </c>
      <c r="I354" s="676">
        <v>2500.2800000000002</v>
      </c>
      <c r="J354" s="676"/>
      <c r="K354" s="676" t="s">
        <v>2973</v>
      </c>
      <c r="L354" s="677"/>
      <c r="M354" s="678"/>
      <c r="X354" s="656"/>
      <c r="Y354" s="657"/>
      <c r="Z354" s="657"/>
      <c r="AA354" s="481"/>
      <c r="AC354" s="456" t="s">
        <v>1986</v>
      </c>
      <c r="AD354" s="522"/>
      <c r="AE354" s="699"/>
      <c r="AF354" s="456"/>
      <c r="AG354" s="699"/>
    </row>
    <row r="355" spans="1:33" s="454" customFormat="1" ht="34.5" x14ac:dyDescent="0.25">
      <c r="A355" s="507"/>
      <c r="B355" s="674" t="s">
        <v>821</v>
      </c>
      <c r="C355" s="2672" t="s">
        <v>1751</v>
      </c>
      <c r="D355" s="2672"/>
      <c r="E355" s="2672"/>
      <c r="F355" s="675" t="s">
        <v>2974</v>
      </c>
      <c r="G355" s="676">
        <v>65.709999999999994</v>
      </c>
      <c r="H355" s="676" t="s">
        <v>1753</v>
      </c>
      <c r="I355" s="676">
        <v>762.89</v>
      </c>
      <c r="J355" s="676"/>
      <c r="K355" s="676" t="s">
        <v>2975</v>
      </c>
      <c r="L355" s="677"/>
      <c r="M355" s="678"/>
      <c r="X355" s="656"/>
      <c r="Y355" s="657"/>
      <c r="Z355" s="657"/>
      <c r="AA355" s="481"/>
      <c r="AC355" s="456" t="s">
        <v>1751</v>
      </c>
      <c r="AD355" s="522"/>
      <c r="AE355" s="699"/>
      <c r="AF355" s="456"/>
      <c r="AG355" s="699"/>
    </row>
    <row r="356" spans="1:33" s="454" customFormat="1" ht="23.25" x14ac:dyDescent="0.25">
      <c r="A356" s="515" t="s">
        <v>863</v>
      </c>
      <c r="B356" s="686" t="s">
        <v>1992</v>
      </c>
      <c r="C356" s="2683" t="s">
        <v>1993</v>
      </c>
      <c r="D356" s="2683"/>
      <c r="E356" s="2683"/>
      <c r="F356" s="687" t="s">
        <v>2976</v>
      </c>
      <c r="G356" s="688">
        <v>0</v>
      </c>
      <c r="H356" s="688"/>
      <c r="I356" s="688">
        <v>0</v>
      </c>
      <c r="J356" s="688"/>
      <c r="K356" s="688"/>
      <c r="L356" s="689"/>
      <c r="M356" s="690"/>
      <c r="X356" s="656"/>
      <c r="Y356" s="657"/>
      <c r="Z356" s="657"/>
      <c r="AA356" s="481"/>
      <c r="AC356" s="456"/>
      <c r="AD356" s="522" t="s">
        <v>1993</v>
      </c>
      <c r="AE356" s="699"/>
      <c r="AF356" s="456"/>
      <c r="AG356" s="699"/>
    </row>
    <row r="357" spans="1:33" s="454" customFormat="1" ht="57" x14ac:dyDescent="0.25">
      <c r="A357" s="507"/>
      <c r="B357" s="674" t="s">
        <v>1995</v>
      </c>
      <c r="C357" s="2672" t="s">
        <v>1996</v>
      </c>
      <c r="D357" s="2672"/>
      <c r="E357" s="2672"/>
      <c r="F357" s="675" t="s">
        <v>2977</v>
      </c>
      <c r="G357" s="676">
        <v>183.68</v>
      </c>
      <c r="H357" s="676"/>
      <c r="I357" s="676">
        <v>2125.1799999999998</v>
      </c>
      <c r="J357" s="676"/>
      <c r="K357" s="676"/>
      <c r="L357" s="677"/>
      <c r="M357" s="678"/>
      <c r="X357" s="656"/>
      <c r="Y357" s="657"/>
      <c r="Z357" s="657"/>
      <c r="AA357" s="481"/>
      <c r="AC357" s="456" t="s">
        <v>1996</v>
      </c>
      <c r="AD357" s="522"/>
      <c r="AE357" s="699"/>
      <c r="AF357" s="456"/>
      <c r="AG357" s="699"/>
    </row>
    <row r="358" spans="1:33" s="454" customFormat="1" ht="23.25" x14ac:dyDescent="0.25">
      <c r="A358" s="515" t="s">
        <v>863</v>
      </c>
      <c r="B358" s="686" t="s">
        <v>1998</v>
      </c>
      <c r="C358" s="2683" t="s">
        <v>1999</v>
      </c>
      <c r="D358" s="2683"/>
      <c r="E358" s="2683"/>
      <c r="F358" s="687" t="s">
        <v>2978</v>
      </c>
      <c r="G358" s="688">
        <v>0</v>
      </c>
      <c r="H358" s="688"/>
      <c r="I358" s="688">
        <v>0</v>
      </c>
      <c r="J358" s="688"/>
      <c r="K358" s="688"/>
      <c r="L358" s="689"/>
      <c r="M358" s="690"/>
      <c r="X358" s="656"/>
      <c r="Y358" s="657"/>
      <c r="Z358" s="657"/>
      <c r="AA358" s="481"/>
      <c r="AC358" s="456"/>
      <c r="AD358" s="522" t="s">
        <v>1999</v>
      </c>
      <c r="AE358" s="699"/>
      <c r="AF358" s="456"/>
      <c r="AG358" s="699"/>
    </row>
    <row r="359" spans="1:33" s="454" customFormat="1" ht="22.5" x14ac:dyDescent="0.25">
      <c r="A359" s="515" t="s">
        <v>860</v>
      </c>
      <c r="B359" s="686" t="s">
        <v>2001</v>
      </c>
      <c r="C359" s="2683" t="s">
        <v>2002</v>
      </c>
      <c r="D359" s="2683"/>
      <c r="E359" s="2683"/>
      <c r="F359" s="687" t="s">
        <v>1935</v>
      </c>
      <c r="G359" s="688">
        <v>0</v>
      </c>
      <c r="H359" s="688"/>
      <c r="I359" s="688">
        <v>0</v>
      </c>
      <c r="J359" s="688"/>
      <c r="K359" s="688"/>
      <c r="L359" s="689"/>
      <c r="M359" s="690"/>
      <c r="X359" s="656"/>
      <c r="Y359" s="657"/>
      <c r="Z359" s="657"/>
      <c r="AA359" s="481"/>
      <c r="AC359" s="456"/>
      <c r="AD359" s="522" t="s">
        <v>2002</v>
      </c>
      <c r="AE359" s="699"/>
      <c r="AF359" s="456"/>
      <c r="AG359" s="699"/>
    </row>
    <row r="360" spans="1:33" s="454" customFormat="1" ht="45" x14ac:dyDescent="0.25">
      <c r="A360" s="658" t="s">
        <v>1073</v>
      </c>
      <c r="B360" s="659" t="s">
        <v>2026</v>
      </c>
      <c r="C360" s="2673" t="s">
        <v>1254</v>
      </c>
      <c r="D360" s="2673"/>
      <c r="E360" s="2673"/>
      <c r="F360" s="679">
        <v>5.76</v>
      </c>
      <c r="G360" s="661">
        <v>480</v>
      </c>
      <c r="H360" s="661"/>
      <c r="I360" s="661">
        <v>2765</v>
      </c>
      <c r="J360" s="661"/>
      <c r="K360" s="662"/>
      <c r="L360" s="663">
        <v>0</v>
      </c>
      <c r="M360" s="663">
        <v>0</v>
      </c>
      <c r="X360" s="656"/>
      <c r="Y360" s="657"/>
      <c r="Z360" s="657"/>
      <c r="AA360" s="481" t="s">
        <v>1254</v>
      </c>
      <c r="AC360" s="456"/>
      <c r="AD360" s="522"/>
      <c r="AE360" s="699"/>
      <c r="AF360" s="456"/>
      <c r="AG360" s="699"/>
    </row>
    <row r="361" spans="1:33" s="454" customFormat="1" ht="15" x14ac:dyDescent="0.25">
      <c r="A361" s="664"/>
      <c r="B361" s="665"/>
      <c r="C361" s="666" t="s">
        <v>2979</v>
      </c>
      <c r="D361" s="667"/>
      <c r="E361" s="667"/>
      <c r="F361" s="667"/>
      <c r="G361" s="667"/>
      <c r="H361" s="667"/>
      <c r="I361" s="667"/>
      <c r="J361" s="667"/>
      <c r="K361" s="667"/>
      <c r="L361" s="667"/>
      <c r="M361" s="668"/>
      <c r="X361" s="656"/>
      <c r="Y361" s="657"/>
      <c r="Z361" s="657"/>
      <c r="AA361" s="481"/>
      <c r="AC361" s="456"/>
      <c r="AD361" s="522"/>
      <c r="AE361" s="699"/>
      <c r="AF361" s="456"/>
      <c r="AG361" s="699"/>
    </row>
    <row r="362" spans="1:33" s="454" customFormat="1" ht="45" x14ac:dyDescent="0.25">
      <c r="A362" s="658" t="s">
        <v>1078</v>
      </c>
      <c r="B362" s="659" t="s">
        <v>2028</v>
      </c>
      <c r="C362" s="2673" t="s">
        <v>1257</v>
      </c>
      <c r="D362" s="2673"/>
      <c r="E362" s="2673"/>
      <c r="F362" s="670">
        <v>4</v>
      </c>
      <c r="G362" s="661">
        <v>2.44</v>
      </c>
      <c r="H362" s="661"/>
      <c r="I362" s="661">
        <v>10</v>
      </c>
      <c r="J362" s="661"/>
      <c r="K362" s="662"/>
      <c r="L362" s="663">
        <v>0</v>
      </c>
      <c r="M362" s="663">
        <v>0</v>
      </c>
      <c r="X362" s="656"/>
      <c r="Y362" s="657"/>
      <c r="Z362" s="657"/>
      <c r="AA362" s="481" t="s">
        <v>1257</v>
      </c>
      <c r="AC362" s="456"/>
      <c r="AD362" s="522"/>
      <c r="AE362" s="699"/>
      <c r="AF362" s="456"/>
      <c r="AG362" s="699"/>
    </row>
    <row r="363" spans="1:33" s="454" customFormat="1" ht="15" x14ac:dyDescent="0.25">
      <c r="A363" s="664"/>
      <c r="B363" s="665"/>
      <c r="C363" s="666" t="s">
        <v>2980</v>
      </c>
      <c r="D363" s="667"/>
      <c r="E363" s="667"/>
      <c r="F363" s="667"/>
      <c r="G363" s="667"/>
      <c r="H363" s="667"/>
      <c r="I363" s="667"/>
      <c r="J363" s="667"/>
      <c r="K363" s="667"/>
      <c r="L363" s="667"/>
      <c r="M363" s="668"/>
      <c r="X363" s="656"/>
      <c r="Y363" s="657"/>
      <c r="Z363" s="657"/>
      <c r="AA363" s="481"/>
      <c r="AC363" s="456"/>
      <c r="AD363" s="522"/>
      <c r="AE363" s="699"/>
      <c r="AF363" s="456"/>
      <c r="AG363" s="699"/>
    </row>
    <row r="364" spans="1:33" s="454" customFormat="1" ht="45.75" x14ac:dyDescent="0.25">
      <c r="A364" s="658" t="s">
        <v>1088</v>
      </c>
      <c r="B364" s="659" t="s">
        <v>2030</v>
      </c>
      <c r="C364" s="2673" t="s">
        <v>2031</v>
      </c>
      <c r="D364" s="2673"/>
      <c r="E364" s="2673"/>
      <c r="F364" s="679">
        <v>1.92</v>
      </c>
      <c r="G364" s="661" t="s">
        <v>2032</v>
      </c>
      <c r="H364" s="661" t="s">
        <v>2033</v>
      </c>
      <c r="I364" s="661">
        <v>21492</v>
      </c>
      <c r="J364" s="661">
        <v>2882</v>
      </c>
      <c r="K364" s="662" t="s">
        <v>2981</v>
      </c>
      <c r="L364" s="671">
        <v>156.04499999999999</v>
      </c>
      <c r="M364" s="672">
        <v>299.61</v>
      </c>
      <c r="X364" s="656"/>
      <c r="Y364" s="657"/>
      <c r="Z364" s="657"/>
      <c r="AA364" s="481" t="s">
        <v>2031</v>
      </c>
      <c r="AC364" s="456"/>
      <c r="AD364" s="522"/>
      <c r="AE364" s="699"/>
      <c r="AF364" s="456"/>
      <c r="AG364" s="699"/>
    </row>
    <row r="365" spans="1:33" s="454" customFormat="1" ht="15" x14ac:dyDescent="0.25">
      <c r="A365" s="664"/>
      <c r="B365" s="665"/>
      <c r="C365" s="666" t="s">
        <v>2982</v>
      </c>
      <c r="D365" s="667"/>
      <c r="E365" s="667"/>
      <c r="F365" s="667"/>
      <c r="G365" s="667"/>
      <c r="H365" s="667"/>
      <c r="I365" s="667"/>
      <c r="J365" s="667"/>
      <c r="K365" s="667"/>
      <c r="L365" s="667"/>
      <c r="M365" s="668"/>
      <c r="X365" s="656"/>
      <c r="Y365" s="657"/>
      <c r="Z365" s="657"/>
      <c r="AA365" s="481"/>
      <c r="AC365" s="456"/>
      <c r="AD365" s="522"/>
      <c r="AE365" s="699"/>
      <c r="AF365" s="456"/>
      <c r="AG365" s="699"/>
    </row>
    <row r="366" spans="1:33" s="454" customFormat="1" ht="15" x14ac:dyDescent="0.25">
      <c r="A366" s="542"/>
      <c r="B366" s="665"/>
      <c r="C366" s="666" t="s">
        <v>2036</v>
      </c>
      <c r="D366" s="667"/>
      <c r="E366" s="667"/>
      <c r="F366" s="667"/>
      <c r="G366" s="667"/>
      <c r="H366" s="667"/>
      <c r="I366" s="667"/>
      <c r="J366" s="667"/>
      <c r="K366" s="667"/>
      <c r="L366" s="667"/>
      <c r="M366" s="669"/>
      <c r="X366" s="656"/>
      <c r="Y366" s="657"/>
      <c r="Z366" s="657"/>
      <c r="AA366" s="481"/>
      <c r="AC366" s="456"/>
      <c r="AD366" s="522"/>
      <c r="AE366" s="699"/>
      <c r="AF366" s="456"/>
      <c r="AG366" s="699"/>
    </row>
    <row r="367" spans="1:33" s="454" customFormat="1" ht="33.75" x14ac:dyDescent="0.25">
      <c r="A367" s="542"/>
      <c r="B367" s="673" t="s">
        <v>1655</v>
      </c>
      <c r="C367" s="2670" t="s">
        <v>1656</v>
      </c>
      <c r="D367" s="2670"/>
      <c r="E367" s="2670"/>
      <c r="F367" s="2670"/>
      <c r="G367" s="2670"/>
      <c r="H367" s="2670"/>
      <c r="I367" s="2670"/>
      <c r="J367" s="2670"/>
      <c r="K367" s="2670"/>
      <c r="L367" s="2670"/>
      <c r="M367" s="2671"/>
      <c r="X367" s="656"/>
      <c r="Y367" s="657"/>
      <c r="Z367" s="657"/>
      <c r="AA367" s="481"/>
      <c r="AB367" s="491" t="s">
        <v>1656</v>
      </c>
      <c r="AC367" s="456"/>
      <c r="AD367" s="522"/>
      <c r="AE367" s="699"/>
      <c r="AF367" s="456"/>
      <c r="AG367" s="699"/>
    </row>
    <row r="368" spans="1:33" s="454" customFormat="1" ht="15" x14ac:dyDescent="0.25">
      <c r="A368" s="823"/>
      <c r="B368" s="824"/>
      <c r="C368" s="824"/>
      <c r="D368" s="824"/>
      <c r="E368" s="825" t="s">
        <v>2983</v>
      </c>
      <c r="F368" s="826"/>
      <c r="G368" s="827"/>
      <c r="H368" s="648"/>
      <c r="I368" s="828">
        <v>4025</v>
      </c>
      <c r="J368" s="829"/>
      <c r="K368" s="829"/>
      <c r="L368" s="830"/>
      <c r="M368" s="831"/>
      <c r="X368" s="656"/>
      <c r="Y368" s="657"/>
      <c r="Z368" s="657"/>
      <c r="AA368" s="481"/>
      <c r="AC368" s="456"/>
      <c r="AD368" s="522"/>
      <c r="AE368" s="699"/>
      <c r="AF368" s="456"/>
      <c r="AG368" s="699"/>
    </row>
    <row r="369" spans="1:33" s="454" customFormat="1" ht="15" x14ac:dyDescent="0.25">
      <c r="A369" s="823"/>
      <c r="B369" s="824"/>
      <c r="C369" s="824"/>
      <c r="D369" s="824"/>
      <c r="E369" s="825" t="s">
        <v>2984</v>
      </c>
      <c r="F369" s="826"/>
      <c r="G369" s="827"/>
      <c r="H369" s="648"/>
      <c r="I369" s="828">
        <v>2776</v>
      </c>
      <c r="J369" s="829"/>
      <c r="K369" s="829"/>
      <c r="L369" s="830"/>
      <c r="M369" s="831"/>
      <c r="X369" s="656"/>
      <c r="Y369" s="657"/>
      <c r="Z369" s="657"/>
      <c r="AA369" s="481"/>
      <c r="AC369" s="456"/>
      <c r="AD369" s="522"/>
      <c r="AE369" s="699"/>
      <c r="AF369" s="456"/>
      <c r="AG369" s="699"/>
    </row>
    <row r="370" spans="1:33" s="454" customFormat="1" ht="15" x14ac:dyDescent="0.25">
      <c r="A370" s="823"/>
      <c r="B370" s="824"/>
      <c r="C370" s="824"/>
      <c r="D370" s="824"/>
      <c r="E370" s="825" t="s">
        <v>2692</v>
      </c>
      <c r="F370" s="826"/>
      <c r="G370" s="827"/>
      <c r="H370" s="648"/>
      <c r="I370" s="828">
        <v>28293</v>
      </c>
      <c r="J370" s="829"/>
      <c r="K370" s="829"/>
      <c r="L370" s="830"/>
      <c r="M370" s="831"/>
      <c r="X370" s="656"/>
      <c r="Y370" s="657"/>
      <c r="Z370" s="657"/>
      <c r="AA370" s="481"/>
      <c r="AC370" s="456"/>
      <c r="AD370" s="522"/>
      <c r="AE370" s="699"/>
      <c r="AF370" s="456"/>
      <c r="AG370" s="699"/>
    </row>
    <row r="371" spans="1:33" s="454" customFormat="1" ht="23.25" x14ac:dyDescent="0.25">
      <c r="A371" s="507"/>
      <c r="B371" s="674" t="s">
        <v>1883</v>
      </c>
      <c r="C371" s="2672" t="s">
        <v>1884</v>
      </c>
      <c r="D371" s="2672"/>
      <c r="E371" s="2672"/>
      <c r="F371" s="675" t="s">
        <v>2985</v>
      </c>
      <c r="G371" s="676" t="s">
        <v>1886</v>
      </c>
      <c r="H371" s="676"/>
      <c r="I371" s="676">
        <v>2882.25</v>
      </c>
      <c r="J371" s="676">
        <v>2882.25</v>
      </c>
      <c r="K371" s="676"/>
      <c r="L371" s="677"/>
      <c r="M371" s="678"/>
      <c r="X371" s="656"/>
      <c r="Y371" s="657"/>
      <c r="Z371" s="657"/>
      <c r="AA371" s="481"/>
      <c r="AC371" s="456" t="s">
        <v>1884</v>
      </c>
      <c r="AD371" s="522"/>
      <c r="AE371" s="699"/>
      <c r="AF371" s="456"/>
      <c r="AG371" s="699"/>
    </row>
    <row r="372" spans="1:33" s="454" customFormat="1" ht="23.25" x14ac:dyDescent="0.25">
      <c r="A372" s="507"/>
      <c r="B372" s="674" t="s">
        <v>639</v>
      </c>
      <c r="C372" s="2672" t="s">
        <v>1661</v>
      </c>
      <c r="D372" s="2672"/>
      <c r="E372" s="2672"/>
      <c r="F372" s="675" t="s">
        <v>2986</v>
      </c>
      <c r="G372" s="676">
        <v>0</v>
      </c>
      <c r="H372" s="676">
        <v>0</v>
      </c>
      <c r="I372" s="676">
        <v>0</v>
      </c>
      <c r="J372" s="676"/>
      <c r="K372" s="676">
        <v>0</v>
      </c>
      <c r="L372" s="677"/>
      <c r="M372" s="678"/>
      <c r="X372" s="656"/>
      <c r="Y372" s="657"/>
      <c r="Z372" s="657"/>
      <c r="AA372" s="481"/>
      <c r="AC372" s="456" t="s">
        <v>1661</v>
      </c>
      <c r="AD372" s="522"/>
      <c r="AE372" s="699"/>
      <c r="AF372" s="456"/>
      <c r="AG372" s="699"/>
    </row>
    <row r="373" spans="1:33" s="454" customFormat="1" ht="45.75" x14ac:dyDescent="0.25">
      <c r="A373" s="507"/>
      <c r="B373" s="674" t="s">
        <v>2039</v>
      </c>
      <c r="C373" s="2672" t="s">
        <v>2040</v>
      </c>
      <c r="D373" s="2672"/>
      <c r="E373" s="2672"/>
      <c r="F373" s="675" t="s">
        <v>2987</v>
      </c>
      <c r="G373" s="676">
        <v>179.46</v>
      </c>
      <c r="H373" s="676" t="s">
        <v>2042</v>
      </c>
      <c r="I373" s="676">
        <v>2483.73</v>
      </c>
      <c r="J373" s="676"/>
      <c r="K373" s="676" t="s">
        <v>2988</v>
      </c>
      <c r="L373" s="677"/>
      <c r="M373" s="678"/>
      <c r="X373" s="656"/>
      <c r="Y373" s="657"/>
      <c r="Z373" s="657"/>
      <c r="AA373" s="481"/>
      <c r="AC373" s="456" t="s">
        <v>2040</v>
      </c>
      <c r="AD373" s="522"/>
      <c r="AE373" s="699"/>
      <c r="AF373" s="456"/>
      <c r="AG373" s="699"/>
    </row>
    <row r="374" spans="1:33" s="454" customFormat="1" ht="34.5" x14ac:dyDescent="0.25">
      <c r="A374" s="507"/>
      <c r="B374" s="674" t="s">
        <v>1663</v>
      </c>
      <c r="C374" s="2672" t="s">
        <v>1664</v>
      </c>
      <c r="D374" s="2672"/>
      <c r="E374" s="2672"/>
      <c r="F374" s="675" t="s">
        <v>2989</v>
      </c>
      <c r="G374" s="676">
        <v>111.99</v>
      </c>
      <c r="H374" s="676" t="s">
        <v>1666</v>
      </c>
      <c r="I374" s="676">
        <v>40.32</v>
      </c>
      <c r="J374" s="676"/>
      <c r="K374" s="676" t="s">
        <v>2990</v>
      </c>
      <c r="L374" s="677"/>
      <c r="M374" s="678"/>
      <c r="X374" s="656"/>
      <c r="Y374" s="657"/>
      <c r="Z374" s="657"/>
      <c r="AA374" s="481"/>
      <c r="AC374" s="456" t="s">
        <v>1664</v>
      </c>
      <c r="AD374" s="522"/>
      <c r="AE374" s="699"/>
      <c r="AF374" s="456"/>
      <c r="AG374" s="699"/>
    </row>
    <row r="375" spans="1:33" s="454" customFormat="1" ht="34.5" x14ac:dyDescent="0.25">
      <c r="A375" s="507"/>
      <c r="B375" s="674" t="s">
        <v>2046</v>
      </c>
      <c r="C375" s="2672" t="s">
        <v>2047</v>
      </c>
      <c r="D375" s="2672"/>
      <c r="E375" s="2672"/>
      <c r="F375" s="675" t="s">
        <v>2991</v>
      </c>
      <c r="G375" s="676">
        <v>6.9</v>
      </c>
      <c r="H375" s="676" t="s">
        <v>2049</v>
      </c>
      <c r="I375" s="676">
        <v>49.54</v>
      </c>
      <c r="J375" s="676"/>
      <c r="K375" s="676" t="s">
        <v>2992</v>
      </c>
      <c r="L375" s="677"/>
      <c r="M375" s="678"/>
      <c r="X375" s="656"/>
      <c r="Y375" s="657"/>
      <c r="Z375" s="657"/>
      <c r="AA375" s="481"/>
      <c r="AC375" s="456" t="s">
        <v>2047</v>
      </c>
      <c r="AD375" s="522"/>
      <c r="AE375" s="699"/>
      <c r="AF375" s="456"/>
      <c r="AG375" s="699"/>
    </row>
    <row r="376" spans="1:33" s="454" customFormat="1" ht="34.5" x14ac:dyDescent="0.25">
      <c r="A376" s="507"/>
      <c r="B376" s="674" t="s">
        <v>2051</v>
      </c>
      <c r="C376" s="2672" t="s">
        <v>2052</v>
      </c>
      <c r="D376" s="2672"/>
      <c r="E376" s="2672"/>
      <c r="F376" s="675" t="s">
        <v>2993</v>
      </c>
      <c r="G376" s="676">
        <v>80.349999999999994</v>
      </c>
      <c r="H376" s="676" t="s">
        <v>2054</v>
      </c>
      <c r="I376" s="676">
        <v>5720.12</v>
      </c>
      <c r="J376" s="676"/>
      <c r="K376" s="676" t="s">
        <v>2994</v>
      </c>
      <c r="L376" s="677"/>
      <c r="M376" s="678"/>
      <c r="X376" s="656"/>
      <c r="Y376" s="657"/>
      <c r="Z376" s="657"/>
      <c r="AA376" s="481"/>
      <c r="AC376" s="456" t="s">
        <v>2052</v>
      </c>
      <c r="AD376" s="522"/>
      <c r="AE376" s="699"/>
      <c r="AF376" s="456"/>
      <c r="AG376" s="699"/>
    </row>
    <row r="377" spans="1:33" s="454" customFormat="1" ht="34.5" x14ac:dyDescent="0.25">
      <c r="A377" s="507"/>
      <c r="B377" s="674" t="s">
        <v>821</v>
      </c>
      <c r="C377" s="2672" t="s">
        <v>1751</v>
      </c>
      <c r="D377" s="2672"/>
      <c r="E377" s="2672"/>
      <c r="F377" s="675" t="s">
        <v>2995</v>
      </c>
      <c r="G377" s="676">
        <v>65.709999999999994</v>
      </c>
      <c r="H377" s="676" t="s">
        <v>1753</v>
      </c>
      <c r="I377" s="676">
        <v>55.2</v>
      </c>
      <c r="J377" s="676"/>
      <c r="K377" s="676" t="s">
        <v>2996</v>
      </c>
      <c r="L377" s="677"/>
      <c r="M377" s="678"/>
      <c r="X377" s="656"/>
      <c r="Y377" s="657"/>
      <c r="Z377" s="657"/>
      <c r="AA377" s="481"/>
      <c r="AC377" s="456" t="s">
        <v>1751</v>
      </c>
      <c r="AD377" s="522"/>
      <c r="AE377" s="699"/>
      <c r="AF377" s="456"/>
      <c r="AG377" s="699"/>
    </row>
    <row r="378" spans="1:33" s="454" customFormat="1" ht="23.25" x14ac:dyDescent="0.25">
      <c r="A378" s="515" t="s">
        <v>860</v>
      </c>
      <c r="B378" s="686" t="s">
        <v>1755</v>
      </c>
      <c r="C378" s="2683" t="s">
        <v>1257</v>
      </c>
      <c r="D378" s="2683"/>
      <c r="E378" s="2683"/>
      <c r="F378" s="687" t="s">
        <v>1935</v>
      </c>
      <c r="G378" s="688">
        <v>2.44</v>
      </c>
      <c r="H378" s="688"/>
      <c r="I378" s="688">
        <v>0</v>
      </c>
      <c r="J378" s="688"/>
      <c r="K378" s="688"/>
      <c r="L378" s="689"/>
      <c r="M378" s="690"/>
      <c r="X378" s="656"/>
      <c r="Y378" s="657"/>
      <c r="Z378" s="657"/>
      <c r="AA378" s="481"/>
      <c r="AC378" s="456"/>
      <c r="AD378" s="522" t="s">
        <v>1257</v>
      </c>
      <c r="AE378" s="699"/>
      <c r="AF378" s="456"/>
      <c r="AG378" s="699"/>
    </row>
    <row r="379" spans="1:33" s="454" customFormat="1" ht="23.25" x14ac:dyDescent="0.25">
      <c r="A379" s="507"/>
      <c r="B379" s="674" t="s">
        <v>2058</v>
      </c>
      <c r="C379" s="2672" t="s">
        <v>2059</v>
      </c>
      <c r="D379" s="2672"/>
      <c r="E379" s="2672"/>
      <c r="F379" s="675" t="s">
        <v>2997</v>
      </c>
      <c r="G379" s="676">
        <v>30030</v>
      </c>
      <c r="H379" s="676"/>
      <c r="I379" s="676">
        <v>6.01</v>
      </c>
      <c r="J379" s="676"/>
      <c r="K379" s="676"/>
      <c r="L379" s="677"/>
      <c r="M379" s="678"/>
      <c r="X379" s="656"/>
      <c r="Y379" s="657"/>
      <c r="Z379" s="657"/>
      <c r="AA379" s="481"/>
      <c r="AC379" s="456" t="s">
        <v>2059</v>
      </c>
      <c r="AD379" s="522"/>
      <c r="AE379" s="699"/>
      <c r="AF379" s="456"/>
      <c r="AG379" s="699"/>
    </row>
    <row r="380" spans="1:33" s="454" customFormat="1" ht="23.25" x14ac:dyDescent="0.25">
      <c r="A380" s="507"/>
      <c r="B380" s="674" t="s">
        <v>1823</v>
      </c>
      <c r="C380" s="2672" t="s">
        <v>1824</v>
      </c>
      <c r="D380" s="2672"/>
      <c r="E380" s="2672"/>
      <c r="F380" s="675" t="s">
        <v>2998</v>
      </c>
      <c r="G380" s="676">
        <v>9040.01</v>
      </c>
      <c r="H380" s="676"/>
      <c r="I380" s="676">
        <v>34.35</v>
      </c>
      <c r="J380" s="676"/>
      <c r="K380" s="676"/>
      <c r="L380" s="677"/>
      <c r="M380" s="678"/>
      <c r="X380" s="656"/>
      <c r="Y380" s="657"/>
      <c r="Z380" s="657"/>
      <c r="AA380" s="481"/>
      <c r="AC380" s="456" t="s">
        <v>1824</v>
      </c>
      <c r="AD380" s="522"/>
      <c r="AE380" s="699"/>
      <c r="AF380" s="456"/>
      <c r="AG380" s="699"/>
    </row>
    <row r="381" spans="1:33" s="454" customFormat="1" ht="45.75" x14ac:dyDescent="0.25">
      <c r="A381" s="507"/>
      <c r="B381" s="674" t="s">
        <v>2062</v>
      </c>
      <c r="C381" s="2672" t="s">
        <v>2063</v>
      </c>
      <c r="D381" s="2672"/>
      <c r="E381" s="2672"/>
      <c r="F381" s="675" t="s">
        <v>2999</v>
      </c>
      <c r="G381" s="676">
        <v>67.099999999999994</v>
      </c>
      <c r="H381" s="676"/>
      <c r="I381" s="676">
        <v>128.83000000000001</v>
      </c>
      <c r="J381" s="676"/>
      <c r="K381" s="676"/>
      <c r="L381" s="677"/>
      <c r="M381" s="678"/>
      <c r="X381" s="656"/>
      <c r="Y381" s="657"/>
      <c r="Z381" s="657"/>
      <c r="AA381" s="481"/>
      <c r="AC381" s="456" t="s">
        <v>2063</v>
      </c>
      <c r="AD381" s="522"/>
      <c r="AE381" s="699"/>
      <c r="AF381" s="456"/>
      <c r="AG381" s="699"/>
    </row>
    <row r="382" spans="1:33" s="454" customFormat="1" ht="23.25" x14ac:dyDescent="0.25">
      <c r="A382" s="515" t="s">
        <v>860</v>
      </c>
      <c r="B382" s="686" t="s">
        <v>2065</v>
      </c>
      <c r="C382" s="2683" t="s">
        <v>2066</v>
      </c>
      <c r="D382" s="2683"/>
      <c r="E382" s="2683"/>
      <c r="F382" s="687" t="s">
        <v>1935</v>
      </c>
      <c r="G382" s="688">
        <v>0</v>
      </c>
      <c r="H382" s="688"/>
      <c r="I382" s="688">
        <v>0</v>
      </c>
      <c r="J382" s="688"/>
      <c r="K382" s="688"/>
      <c r="L382" s="689"/>
      <c r="M382" s="690"/>
      <c r="X382" s="656"/>
      <c r="Y382" s="657"/>
      <c r="Z382" s="657"/>
      <c r="AA382" s="481"/>
      <c r="AC382" s="456"/>
      <c r="AD382" s="522" t="s">
        <v>2066</v>
      </c>
      <c r="AE382" s="699"/>
      <c r="AF382" s="456"/>
      <c r="AG382" s="699"/>
    </row>
    <row r="383" spans="1:33" s="454" customFormat="1" ht="34.5" x14ac:dyDescent="0.25">
      <c r="A383" s="515" t="s">
        <v>860</v>
      </c>
      <c r="B383" s="686" t="s">
        <v>2067</v>
      </c>
      <c r="C383" s="2683" t="s">
        <v>2068</v>
      </c>
      <c r="D383" s="2683"/>
      <c r="E383" s="2683"/>
      <c r="F383" s="687" t="s">
        <v>1935</v>
      </c>
      <c r="G383" s="688">
        <v>412</v>
      </c>
      <c r="H383" s="688"/>
      <c r="I383" s="688">
        <v>0</v>
      </c>
      <c r="J383" s="688"/>
      <c r="K383" s="688"/>
      <c r="L383" s="689"/>
      <c r="M383" s="690"/>
      <c r="X383" s="656"/>
      <c r="Y383" s="657"/>
      <c r="Z383" s="657"/>
      <c r="AA383" s="481"/>
      <c r="AC383" s="456"/>
      <c r="AD383" s="522" t="s">
        <v>2068</v>
      </c>
      <c r="AE383" s="699"/>
      <c r="AF383" s="456"/>
      <c r="AG383" s="699"/>
    </row>
    <row r="384" spans="1:33" s="454" customFormat="1" ht="45.75" x14ac:dyDescent="0.25">
      <c r="A384" s="507" t="s">
        <v>2069</v>
      </c>
      <c r="B384" s="674" t="s">
        <v>2070</v>
      </c>
      <c r="C384" s="2672" t="s">
        <v>2071</v>
      </c>
      <c r="D384" s="2672"/>
      <c r="E384" s="2672"/>
      <c r="F384" s="675" t="s">
        <v>3000</v>
      </c>
      <c r="G384" s="676">
        <v>1553</v>
      </c>
      <c r="H384" s="676"/>
      <c r="I384" s="676">
        <v>3876.29</v>
      </c>
      <c r="J384" s="676"/>
      <c r="K384" s="676"/>
      <c r="L384" s="677"/>
      <c r="M384" s="678"/>
      <c r="X384" s="656"/>
      <c r="Y384" s="657"/>
      <c r="Z384" s="657"/>
      <c r="AA384" s="481"/>
      <c r="AC384" s="456"/>
      <c r="AD384" s="522"/>
      <c r="AE384" s="699"/>
      <c r="AF384" s="456" t="s">
        <v>2071</v>
      </c>
      <c r="AG384" s="699"/>
    </row>
    <row r="385" spans="1:33" s="454" customFormat="1" ht="45.75" x14ac:dyDescent="0.25">
      <c r="A385" s="693" t="s">
        <v>1936</v>
      </c>
      <c r="B385" s="694" t="s">
        <v>2070</v>
      </c>
      <c r="C385" s="2684" t="s">
        <v>2071</v>
      </c>
      <c r="D385" s="2684"/>
      <c r="E385" s="2684"/>
      <c r="F385" s="695" t="s">
        <v>3001</v>
      </c>
      <c r="G385" s="696">
        <v>1553</v>
      </c>
      <c r="H385" s="696"/>
      <c r="I385" s="696">
        <v>38762.879999999997</v>
      </c>
      <c r="J385" s="696"/>
      <c r="K385" s="696"/>
      <c r="L385" s="697"/>
      <c r="M385" s="698"/>
      <c r="X385" s="656"/>
      <c r="Y385" s="657"/>
      <c r="Z385" s="657"/>
      <c r="AA385" s="481"/>
      <c r="AC385" s="456"/>
      <c r="AD385" s="522"/>
      <c r="AE385" s="699"/>
      <c r="AF385" s="456"/>
      <c r="AG385" s="699" t="s">
        <v>2071</v>
      </c>
    </row>
    <row r="386" spans="1:33" s="454" customFormat="1" ht="23.25" x14ac:dyDescent="0.25">
      <c r="A386" s="515" t="s">
        <v>863</v>
      </c>
      <c r="B386" s="686" t="s">
        <v>2074</v>
      </c>
      <c r="C386" s="2683" t="s">
        <v>2075</v>
      </c>
      <c r="D386" s="2683"/>
      <c r="E386" s="2683"/>
      <c r="F386" s="687" t="s">
        <v>3002</v>
      </c>
      <c r="G386" s="688">
        <v>0</v>
      </c>
      <c r="H386" s="688"/>
      <c r="I386" s="688">
        <v>0</v>
      </c>
      <c r="J386" s="688"/>
      <c r="K386" s="688"/>
      <c r="L386" s="689"/>
      <c r="M386" s="690"/>
      <c r="X386" s="656"/>
      <c r="Y386" s="657"/>
      <c r="Z386" s="657"/>
      <c r="AA386" s="481"/>
      <c r="AC386" s="456"/>
      <c r="AD386" s="522" t="s">
        <v>2075</v>
      </c>
      <c r="AE386" s="699"/>
      <c r="AF386" s="456"/>
      <c r="AG386" s="699"/>
    </row>
    <row r="387" spans="1:33" s="454" customFormat="1" ht="23.25" x14ac:dyDescent="0.25">
      <c r="A387" s="507"/>
      <c r="B387" s="674" t="s">
        <v>2077</v>
      </c>
      <c r="C387" s="2672" t="s">
        <v>2078</v>
      </c>
      <c r="D387" s="2672"/>
      <c r="E387" s="2672"/>
      <c r="F387" s="675" t="s">
        <v>3003</v>
      </c>
      <c r="G387" s="676">
        <v>176.1</v>
      </c>
      <c r="H387" s="676"/>
      <c r="I387" s="676">
        <v>270.49</v>
      </c>
      <c r="J387" s="676"/>
      <c r="K387" s="676"/>
      <c r="L387" s="677"/>
      <c r="M387" s="678"/>
      <c r="X387" s="656"/>
      <c r="Y387" s="657"/>
      <c r="Z387" s="657"/>
      <c r="AA387" s="481"/>
      <c r="AC387" s="456" t="s">
        <v>2078</v>
      </c>
      <c r="AD387" s="522"/>
      <c r="AE387" s="699"/>
      <c r="AF387" s="456"/>
      <c r="AG387" s="699"/>
    </row>
    <row r="388" spans="1:33" s="454" customFormat="1" ht="23.25" x14ac:dyDescent="0.25">
      <c r="A388" s="507"/>
      <c r="B388" s="674" t="s">
        <v>2080</v>
      </c>
      <c r="C388" s="2672" t="s">
        <v>2081</v>
      </c>
      <c r="D388" s="2672"/>
      <c r="E388" s="2672"/>
      <c r="F388" s="675" t="s">
        <v>3004</v>
      </c>
      <c r="G388" s="676">
        <v>207.8</v>
      </c>
      <c r="H388" s="676"/>
      <c r="I388" s="676">
        <v>311.27999999999997</v>
      </c>
      <c r="J388" s="676"/>
      <c r="K388" s="676"/>
      <c r="L388" s="677"/>
      <c r="M388" s="678"/>
      <c r="X388" s="656"/>
      <c r="Y388" s="657"/>
      <c r="Z388" s="657"/>
      <c r="AA388" s="481"/>
      <c r="AC388" s="456" t="s">
        <v>2081</v>
      </c>
      <c r="AD388" s="522"/>
      <c r="AE388" s="699"/>
      <c r="AF388" s="456"/>
      <c r="AG388" s="699"/>
    </row>
    <row r="389" spans="1:33" s="454" customFormat="1" ht="23.25" x14ac:dyDescent="0.25">
      <c r="A389" s="507"/>
      <c r="B389" s="674" t="s">
        <v>2083</v>
      </c>
      <c r="C389" s="2672" t="s">
        <v>2084</v>
      </c>
      <c r="D389" s="2672"/>
      <c r="E389" s="2672"/>
      <c r="F389" s="675" t="s">
        <v>3005</v>
      </c>
      <c r="G389" s="676">
        <v>3468.64</v>
      </c>
      <c r="H389" s="676"/>
      <c r="I389" s="676">
        <v>1331.96</v>
      </c>
      <c r="J389" s="676"/>
      <c r="K389" s="676"/>
      <c r="L389" s="677"/>
      <c r="M389" s="678"/>
      <c r="X389" s="656"/>
      <c r="Y389" s="657"/>
      <c r="Z389" s="657"/>
      <c r="AA389" s="481"/>
      <c r="AC389" s="456" t="s">
        <v>2084</v>
      </c>
      <c r="AD389" s="522"/>
      <c r="AE389" s="699"/>
      <c r="AF389" s="456"/>
      <c r="AG389" s="699"/>
    </row>
    <row r="390" spans="1:33" s="454" customFormat="1" ht="23.25" x14ac:dyDescent="0.25">
      <c r="A390" s="515" t="s">
        <v>863</v>
      </c>
      <c r="B390" s="686" t="s">
        <v>2086</v>
      </c>
      <c r="C390" s="2683" t="s">
        <v>2087</v>
      </c>
      <c r="D390" s="2683"/>
      <c r="E390" s="2683"/>
      <c r="F390" s="687" t="s">
        <v>3006</v>
      </c>
      <c r="G390" s="688">
        <v>0</v>
      </c>
      <c r="H390" s="688"/>
      <c r="I390" s="688">
        <v>0</v>
      </c>
      <c r="J390" s="688"/>
      <c r="K390" s="688"/>
      <c r="L390" s="689"/>
      <c r="M390" s="690"/>
      <c r="X390" s="656"/>
      <c r="Y390" s="657"/>
      <c r="Z390" s="657"/>
      <c r="AA390" s="481"/>
      <c r="AC390" s="456"/>
      <c r="AD390" s="522" t="s">
        <v>2087</v>
      </c>
      <c r="AE390" s="699"/>
      <c r="AF390" s="456"/>
      <c r="AG390" s="699"/>
    </row>
    <row r="391" spans="1:33" s="454" customFormat="1" ht="34.5" x14ac:dyDescent="0.25">
      <c r="A391" s="507"/>
      <c r="B391" s="674" t="s">
        <v>2089</v>
      </c>
      <c r="C391" s="2672" t="s">
        <v>2090</v>
      </c>
      <c r="D391" s="2672"/>
      <c r="E391" s="2672"/>
      <c r="F391" s="675" t="s">
        <v>3007</v>
      </c>
      <c r="G391" s="676">
        <v>11.99</v>
      </c>
      <c r="H391" s="676"/>
      <c r="I391" s="676">
        <v>69.06</v>
      </c>
      <c r="J391" s="676"/>
      <c r="K391" s="676"/>
      <c r="L391" s="677"/>
      <c r="M391" s="678"/>
      <c r="X391" s="656"/>
      <c r="Y391" s="657"/>
      <c r="Z391" s="657"/>
      <c r="AA391" s="481"/>
      <c r="AC391" s="456" t="s">
        <v>2090</v>
      </c>
      <c r="AD391" s="522"/>
      <c r="AE391" s="699"/>
      <c r="AF391" s="456"/>
      <c r="AG391" s="699"/>
    </row>
    <row r="392" spans="1:33" s="454" customFormat="1" ht="45.75" x14ac:dyDescent="0.25">
      <c r="A392" s="507"/>
      <c r="B392" s="674" t="s">
        <v>2092</v>
      </c>
      <c r="C392" s="2672" t="s">
        <v>2093</v>
      </c>
      <c r="D392" s="2672"/>
      <c r="E392" s="2672"/>
      <c r="F392" s="675" t="s">
        <v>3008</v>
      </c>
      <c r="G392" s="676">
        <v>272.62</v>
      </c>
      <c r="H392" s="676"/>
      <c r="I392" s="676">
        <v>26.17</v>
      </c>
      <c r="J392" s="676"/>
      <c r="K392" s="676"/>
      <c r="L392" s="677"/>
      <c r="M392" s="678"/>
      <c r="X392" s="656"/>
      <c r="Y392" s="657"/>
      <c r="Z392" s="657"/>
      <c r="AA392" s="481"/>
      <c r="AC392" s="456" t="s">
        <v>2093</v>
      </c>
      <c r="AD392" s="522"/>
      <c r="AE392" s="699"/>
      <c r="AF392" s="456"/>
      <c r="AG392" s="699"/>
    </row>
    <row r="393" spans="1:33" s="454" customFormat="1" ht="57" x14ac:dyDescent="0.25">
      <c r="A393" s="507"/>
      <c r="B393" s="674" t="s">
        <v>2095</v>
      </c>
      <c r="C393" s="2672" t="s">
        <v>2096</v>
      </c>
      <c r="D393" s="2672"/>
      <c r="E393" s="2672"/>
      <c r="F393" s="675" t="s">
        <v>3009</v>
      </c>
      <c r="G393" s="676">
        <v>156.83000000000001</v>
      </c>
      <c r="H393" s="676"/>
      <c r="I393" s="676">
        <v>30.11</v>
      </c>
      <c r="J393" s="676"/>
      <c r="K393" s="676"/>
      <c r="L393" s="677"/>
      <c r="M393" s="678"/>
      <c r="X393" s="656"/>
      <c r="Y393" s="657"/>
      <c r="Z393" s="657"/>
      <c r="AA393" s="481"/>
      <c r="AC393" s="456" t="s">
        <v>2096</v>
      </c>
      <c r="AD393" s="522"/>
      <c r="AE393" s="699"/>
      <c r="AF393" s="456"/>
      <c r="AG393" s="699"/>
    </row>
    <row r="394" spans="1:33" s="454" customFormat="1" ht="23.25" x14ac:dyDescent="0.25">
      <c r="A394" s="515" t="s">
        <v>863</v>
      </c>
      <c r="B394" s="686" t="s">
        <v>2098</v>
      </c>
      <c r="C394" s="2683" t="s">
        <v>2099</v>
      </c>
      <c r="D394" s="2683"/>
      <c r="E394" s="2683"/>
      <c r="F394" s="687" t="s">
        <v>3010</v>
      </c>
      <c r="G394" s="688">
        <v>0</v>
      </c>
      <c r="H394" s="688"/>
      <c r="I394" s="688">
        <v>0</v>
      </c>
      <c r="J394" s="688"/>
      <c r="K394" s="688"/>
      <c r="L394" s="689"/>
      <c r="M394" s="690"/>
      <c r="X394" s="656"/>
      <c r="Y394" s="657"/>
      <c r="Z394" s="657"/>
      <c r="AA394" s="481"/>
      <c r="AC394" s="456"/>
      <c r="AD394" s="522" t="s">
        <v>2099</v>
      </c>
      <c r="AE394" s="699"/>
      <c r="AF394" s="456"/>
      <c r="AG394" s="699"/>
    </row>
    <row r="395" spans="1:33" s="454" customFormat="1" ht="45" x14ac:dyDescent="0.25">
      <c r="A395" s="658" t="s">
        <v>1093</v>
      </c>
      <c r="B395" s="659" t="s">
        <v>2026</v>
      </c>
      <c r="C395" s="2673" t="s">
        <v>1254</v>
      </c>
      <c r="D395" s="2673"/>
      <c r="E395" s="2673"/>
      <c r="F395" s="680">
        <v>9.6</v>
      </c>
      <c r="G395" s="661">
        <v>480</v>
      </c>
      <c r="H395" s="661"/>
      <c r="I395" s="661">
        <v>4608</v>
      </c>
      <c r="J395" s="661"/>
      <c r="K395" s="662"/>
      <c r="L395" s="663">
        <v>0</v>
      </c>
      <c r="M395" s="663">
        <v>0</v>
      </c>
      <c r="X395" s="656"/>
      <c r="Y395" s="657"/>
      <c r="Z395" s="657"/>
      <c r="AA395" s="481" t="s">
        <v>1254</v>
      </c>
      <c r="AC395" s="456"/>
      <c r="AD395" s="522"/>
      <c r="AE395" s="699"/>
      <c r="AF395" s="456"/>
      <c r="AG395" s="699"/>
    </row>
    <row r="396" spans="1:33" s="454" customFormat="1" ht="15" x14ac:dyDescent="0.25">
      <c r="A396" s="664"/>
      <c r="B396" s="665"/>
      <c r="C396" s="666" t="s">
        <v>3011</v>
      </c>
      <c r="D396" s="667"/>
      <c r="E396" s="667"/>
      <c r="F396" s="667"/>
      <c r="G396" s="667"/>
      <c r="H396" s="667"/>
      <c r="I396" s="667"/>
      <c r="J396" s="667"/>
      <c r="K396" s="667"/>
      <c r="L396" s="667"/>
      <c r="M396" s="668"/>
      <c r="X396" s="656"/>
      <c r="Y396" s="657"/>
      <c r="Z396" s="657"/>
      <c r="AA396" s="481"/>
      <c r="AC396" s="456"/>
      <c r="AD396" s="522"/>
      <c r="AE396" s="699"/>
      <c r="AF396" s="456"/>
      <c r="AG396" s="699"/>
    </row>
    <row r="397" spans="1:33" s="454" customFormat="1" ht="45" x14ac:dyDescent="0.25">
      <c r="A397" s="658" t="s">
        <v>1098</v>
      </c>
      <c r="B397" s="659" t="s">
        <v>2028</v>
      </c>
      <c r="C397" s="2673" t="s">
        <v>1257</v>
      </c>
      <c r="D397" s="2673"/>
      <c r="E397" s="2673"/>
      <c r="F397" s="680">
        <v>3.8</v>
      </c>
      <c r="G397" s="661">
        <v>2.44</v>
      </c>
      <c r="H397" s="661"/>
      <c r="I397" s="661">
        <v>9</v>
      </c>
      <c r="J397" s="661"/>
      <c r="K397" s="662"/>
      <c r="L397" s="663">
        <v>0</v>
      </c>
      <c r="M397" s="663">
        <v>0</v>
      </c>
      <c r="X397" s="656"/>
      <c r="Y397" s="657"/>
      <c r="Z397" s="657"/>
      <c r="AA397" s="481" t="s">
        <v>1257</v>
      </c>
      <c r="AC397" s="456"/>
      <c r="AD397" s="522"/>
      <c r="AE397" s="699"/>
      <c r="AF397" s="456"/>
      <c r="AG397" s="699"/>
    </row>
    <row r="398" spans="1:33" s="454" customFormat="1" ht="15" x14ac:dyDescent="0.25">
      <c r="A398" s="664"/>
      <c r="B398" s="665"/>
      <c r="C398" s="666" t="s">
        <v>3012</v>
      </c>
      <c r="D398" s="667"/>
      <c r="E398" s="667"/>
      <c r="F398" s="667"/>
      <c r="G398" s="667"/>
      <c r="H398" s="667"/>
      <c r="I398" s="667"/>
      <c r="J398" s="667"/>
      <c r="K398" s="667"/>
      <c r="L398" s="667"/>
      <c r="M398" s="668"/>
      <c r="X398" s="656"/>
      <c r="Y398" s="657"/>
      <c r="Z398" s="657"/>
      <c r="AA398" s="481"/>
      <c r="AC398" s="456"/>
      <c r="AD398" s="522"/>
      <c r="AE398" s="699"/>
      <c r="AF398" s="456"/>
      <c r="AG398" s="699"/>
    </row>
    <row r="399" spans="1:33" s="454" customFormat="1" ht="34.5" x14ac:dyDescent="0.25">
      <c r="A399" s="658" t="s">
        <v>1302</v>
      </c>
      <c r="B399" s="659" t="s">
        <v>1303</v>
      </c>
      <c r="C399" s="2673" t="s">
        <v>1268</v>
      </c>
      <c r="D399" s="2673"/>
      <c r="E399" s="2673"/>
      <c r="F399" s="670">
        <v>8</v>
      </c>
      <c r="G399" s="661" t="s">
        <v>2103</v>
      </c>
      <c r="H399" s="661"/>
      <c r="I399" s="661">
        <v>19143</v>
      </c>
      <c r="J399" s="661"/>
      <c r="K399" s="662"/>
      <c r="L399" s="663">
        <v>0</v>
      </c>
      <c r="M399" s="663">
        <v>0</v>
      </c>
      <c r="X399" s="656"/>
      <c r="Y399" s="657"/>
      <c r="Z399" s="657"/>
      <c r="AA399" s="481" t="s">
        <v>1268</v>
      </c>
      <c r="AC399" s="456"/>
      <c r="AD399" s="522"/>
      <c r="AE399" s="699"/>
      <c r="AF399" s="456"/>
      <c r="AG399" s="699"/>
    </row>
    <row r="400" spans="1:33" s="454" customFormat="1" ht="15" x14ac:dyDescent="0.25">
      <c r="A400" s="664"/>
      <c r="B400" s="665"/>
      <c r="C400" s="666" t="s">
        <v>3013</v>
      </c>
      <c r="D400" s="667"/>
      <c r="E400" s="667"/>
      <c r="F400" s="667"/>
      <c r="G400" s="667"/>
      <c r="H400" s="667"/>
      <c r="I400" s="667"/>
      <c r="J400" s="667"/>
      <c r="K400" s="667"/>
      <c r="L400" s="667"/>
      <c r="M400" s="668"/>
      <c r="X400" s="656"/>
      <c r="Y400" s="657"/>
      <c r="Z400" s="657"/>
      <c r="AA400" s="481"/>
      <c r="AC400" s="456"/>
      <c r="AD400" s="522"/>
      <c r="AE400" s="699"/>
      <c r="AF400" s="456"/>
      <c r="AG400" s="699"/>
    </row>
    <row r="401" spans="1:33" s="454" customFormat="1" ht="15" x14ac:dyDescent="0.25">
      <c r="A401" s="542"/>
      <c r="B401" s="665"/>
      <c r="C401" s="666" t="s">
        <v>2105</v>
      </c>
      <c r="D401" s="667"/>
      <c r="E401" s="667"/>
      <c r="F401" s="667"/>
      <c r="G401" s="667"/>
      <c r="H401" s="667"/>
      <c r="I401" s="667"/>
      <c r="J401" s="667"/>
      <c r="K401" s="667"/>
      <c r="L401" s="667"/>
      <c r="M401" s="669"/>
      <c r="X401" s="656"/>
      <c r="Y401" s="657"/>
      <c r="Z401" s="657"/>
      <c r="AA401" s="481"/>
      <c r="AC401" s="456"/>
      <c r="AD401" s="522"/>
      <c r="AE401" s="699"/>
      <c r="AF401" s="456"/>
      <c r="AG401" s="699"/>
    </row>
    <row r="402" spans="1:33" s="454" customFormat="1" ht="34.5" x14ac:dyDescent="0.25">
      <c r="A402" s="658" t="s">
        <v>1306</v>
      </c>
      <c r="B402" s="659" t="s">
        <v>1307</v>
      </c>
      <c r="C402" s="2673" t="s">
        <v>1273</v>
      </c>
      <c r="D402" s="2673"/>
      <c r="E402" s="2673"/>
      <c r="F402" s="670">
        <v>56</v>
      </c>
      <c r="G402" s="661" t="s">
        <v>2106</v>
      </c>
      <c r="H402" s="661"/>
      <c r="I402" s="661">
        <v>96419</v>
      </c>
      <c r="J402" s="661"/>
      <c r="K402" s="662"/>
      <c r="L402" s="663">
        <v>0</v>
      </c>
      <c r="M402" s="663">
        <v>0</v>
      </c>
      <c r="X402" s="656"/>
      <c r="Y402" s="657"/>
      <c r="Z402" s="657"/>
      <c r="AA402" s="481" t="s">
        <v>1273</v>
      </c>
      <c r="AC402" s="456"/>
      <c r="AD402" s="522"/>
      <c r="AE402" s="699"/>
      <c r="AF402" s="456"/>
      <c r="AG402" s="699"/>
    </row>
    <row r="403" spans="1:33" s="454" customFormat="1" ht="15" x14ac:dyDescent="0.25">
      <c r="A403" s="664"/>
      <c r="B403" s="665"/>
      <c r="C403" s="666" t="s">
        <v>3014</v>
      </c>
      <c r="D403" s="667"/>
      <c r="E403" s="667"/>
      <c r="F403" s="667"/>
      <c r="G403" s="667"/>
      <c r="H403" s="667"/>
      <c r="I403" s="667"/>
      <c r="J403" s="667"/>
      <c r="K403" s="667"/>
      <c r="L403" s="667"/>
      <c r="M403" s="668"/>
      <c r="X403" s="656"/>
      <c r="Y403" s="657"/>
      <c r="Z403" s="657"/>
      <c r="AA403" s="481"/>
      <c r="AC403" s="456"/>
      <c r="AD403" s="522"/>
      <c r="AE403" s="699"/>
      <c r="AF403" s="456"/>
      <c r="AG403" s="699"/>
    </row>
    <row r="404" spans="1:33" s="454" customFormat="1" ht="15" x14ac:dyDescent="0.25">
      <c r="A404" s="542"/>
      <c r="B404" s="665"/>
      <c r="C404" s="666" t="s">
        <v>2108</v>
      </c>
      <c r="D404" s="667"/>
      <c r="E404" s="667"/>
      <c r="F404" s="667"/>
      <c r="G404" s="667"/>
      <c r="H404" s="667"/>
      <c r="I404" s="667"/>
      <c r="J404" s="667"/>
      <c r="K404" s="667"/>
      <c r="L404" s="667"/>
      <c r="M404" s="669"/>
      <c r="X404" s="656"/>
      <c r="Y404" s="657"/>
      <c r="Z404" s="657"/>
      <c r="AA404" s="481"/>
      <c r="AC404" s="456"/>
      <c r="AD404" s="522"/>
      <c r="AE404" s="699"/>
      <c r="AF404" s="456"/>
      <c r="AG404" s="699"/>
    </row>
    <row r="405" spans="1:33" s="454" customFormat="1" ht="34.5" x14ac:dyDescent="0.25">
      <c r="A405" s="658" t="s">
        <v>1309</v>
      </c>
      <c r="B405" s="659" t="s">
        <v>1310</v>
      </c>
      <c r="C405" s="2673" t="s">
        <v>1277</v>
      </c>
      <c r="D405" s="2673"/>
      <c r="E405" s="2673"/>
      <c r="F405" s="670">
        <v>120</v>
      </c>
      <c r="G405" s="661" t="s">
        <v>2109</v>
      </c>
      <c r="H405" s="661"/>
      <c r="I405" s="661">
        <v>55314</v>
      </c>
      <c r="J405" s="661"/>
      <c r="K405" s="662"/>
      <c r="L405" s="663">
        <v>0</v>
      </c>
      <c r="M405" s="663">
        <v>0</v>
      </c>
      <c r="X405" s="656"/>
      <c r="Y405" s="657"/>
      <c r="Z405" s="657"/>
      <c r="AA405" s="481" t="s">
        <v>1277</v>
      </c>
      <c r="AC405" s="456"/>
      <c r="AD405" s="522"/>
      <c r="AE405" s="699"/>
      <c r="AF405" s="456"/>
      <c r="AG405" s="699"/>
    </row>
    <row r="406" spans="1:33" s="454" customFormat="1" ht="15" x14ac:dyDescent="0.25">
      <c r="A406" s="664"/>
      <c r="B406" s="665"/>
      <c r="C406" s="666" t="s">
        <v>3015</v>
      </c>
      <c r="D406" s="667"/>
      <c r="E406" s="667"/>
      <c r="F406" s="667"/>
      <c r="G406" s="667"/>
      <c r="H406" s="667"/>
      <c r="I406" s="667"/>
      <c r="J406" s="667"/>
      <c r="K406" s="667"/>
      <c r="L406" s="667"/>
      <c r="M406" s="668"/>
      <c r="X406" s="656"/>
      <c r="Y406" s="657"/>
      <c r="Z406" s="657"/>
      <c r="AA406" s="481"/>
      <c r="AC406" s="456"/>
      <c r="AD406" s="522"/>
      <c r="AE406" s="699"/>
      <c r="AF406" s="456"/>
      <c r="AG406" s="699"/>
    </row>
    <row r="407" spans="1:33" s="454" customFormat="1" ht="15" x14ac:dyDescent="0.25">
      <c r="A407" s="542"/>
      <c r="B407" s="665"/>
      <c r="C407" s="666" t="s">
        <v>2111</v>
      </c>
      <c r="D407" s="667"/>
      <c r="E407" s="667"/>
      <c r="F407" s="667"/>
      <c r="G407" s="667"/>
      <c r="H407" s="667"/>
      <c r="I407" s="667"/>
      <c r="J407" s="667"/>
      <c r="K407" s="667"/>
      <c r="L407" s="667"/>
      <c r="M407" s="669"/>
      <c r="X407" s="656"/>
      <c r="Y407" s="657"/>
      <c r="Z407" s="657"/>
      <c r="AA407" s="481"/>
      <c r="AC407" s="456"/>
      <c r="AD407" s="522"/>
      <c r="AE407" s="699"/>
      <c r="AF407" s="456"/>
      <c r="AG407" s="699"/>
    </row>
    <row r="408" spans="1:33" s="454" customFormat="1" ht="33.75" x14ac:dyDescent="0.25">
      <c r="A408" s="658" t="s">
        <v>1312</v>
      </c>
      <c r="B408" s="659" t="s">
        <v>1313</v>
      </c>
      <c r="C408" s="2673" t="s">
        <v>1281</v>
      </c>
      <c r="D408" s="2673"/>
      <c r="E408" s="2673"/>
      <c r="F408" s="670">
        <v>56</v>
      </c>
      <c r="G408" s="661" t="s">
        <v>2112</v>
      </c>
      <c r="H408" s="661"/>
      <c r="I408" s="661">
        <v>7947</v>
      </c>
      <c r="J408" s="661"/>
      <c r="K408" s="662"/>
      <c r="L408" s="663">
        <v>0</v>
      </c>
      <c r="M408" s="663">
        <v>0</v>
      </c>
      <c r="X408" s="656"/>
      <c r="Y408" s="657"/>
      <c r="Z408" s="657"/>
      <c r="AA408" s="481" t="s">
        <v>1281</v>
      </c>
      <c r="AC408" s="456"/>
      <c r="AD408" s="522"/>
      <c r="AE408" s="699"/>
      <c r="AF408" s="456"/>
      <c r="AG408" s="699"/>
    </row>
    <row r="409" spans="1:33" s="454" customFormat="1" ht="15" x14ac:dyDescent="0.25">
      <c r="A409" s="664"/>
      <c r="B409" s="665"/>
      <c r="C409" s="666" t="s">
        <v>3014</v>
      </c>
      <c r="D409" s="667"/>
      <c r="E409" s="667"/>
      <c r="F409" s="667"/>
      <c r="G409" s="667"/>
      <c r="H409" s="667"/>
      <c r="I409" s="667"/>
      <c r="J409" s="667"/>
      <c r="K409" s="667"/>
      <c r="L409" s="667"/>
      <c r="M409" s="668"/>
      <c r="X409" s="656"/>
      <c r="Y409" s="657"/>
      <c r="Z409" s="657"/>
      <c r="AA409" s="481"/>
      <c r="AC409" s="456"/>
      <c r="AD409" s="522"/>
      <c r="AE409" s="699"/>
      <c r="AF409" s="456"/>
      <c r="AG409" s="699"/>
    </row>
    <row r="410" spans="1:33" s="454" customFormat="1" ht="15" x14ac:dyDescent="0.25">
      <c r="A410" s="542"/>
      <c r="B410" s="665"/>
      <c r="C410" s="666" t="s">
        <v>2113</v>
      </c>
      <c r="D410" s="667"/>
      <c r="E410" s="667"/>
      <c r="F410" s="667"/>
      <c r="G410" s="667"/>
      <c r="H410" s="667"/>
      <c r="I410" s="667"/>
      <c r="J410" s="667"/>
      <c r="K410" s="667"/>
      <c r="L410" s="667"/>
      <c r="M410" s="669"/>
      <c r="X410" s="656"/>
      <c r="Y410" s="657"/>
      <c r="Z410" s="657"/>
      <c r="AA410" s="481"/>
      <c r="AC410" s="456"/>
      <c r="AD410" s="522"/>
      <c r="AE410" s="699"/>
      <c r="AF410" s="456"/>
      <c r="AG410" s="699"/>
    </row>
    <row r="411" spans="1:33" s="454" customFormat="1" ht="34.5" x14ac:dyDescent="0.25">
      <c r="A411" s="658" t="s">
        <v>1314</v>
      </c>
      <c r="B411" s="659" t="s">
        <v>1315</v>
      </c>
      <c r="C411" s="2673" t="s">
        <v>1284</v>
      </c>
      <c r="D411" s="2673"/>
      <c r="E411" s="2673"/>
      <c r="F411" s="670">
        <v>8</v>
      </c>
      <c r="G411" s="661" t="s">
        <v>2114</v>
      </c>
      <c r="H411" s="661"/>
      <c r="I411" s="661">
        <v>13914</v>
      </c>
      <c r="J411" s="661"/>
      <c r="K411" s="662"/>
      <c r="L411" s="663">
        <v>0</v>
      </c>
      <c r="M411" s="663">
        <v>0</v>
      </c>
      <c r="X411" s="656"/>
      <c r="Y411" s="657"/>
      <c r="Z411" s="657"/>
      <c r="AA411" s="481" t="s">
        <v>1284</v>
      </c>
      <c r="AC411" s="456"/>
      <c r="AD411" s="522"/>
      <c r="AE411" s="699"/>
      <c r="AF411" s="456"/>
      <c r="AG411" s="699"/>
    </row>
    <row r="412" spans="1:33" s="454" customFormat="1" ht="15" x14ac:dyDescent="0.25">
      <c r="A412" s="664"/>
      <c r="B412" s="665"/>
      <c r="C412" s="666" t="s">
        <v>3013</v>
      </c>
      <c r="D412" s="667"/>
      <c r="E412" s="667"/>
      <c r="F412" s="667"/>
      <c r="G412" s="667"/>
      <c r="H412" s="667"/>
      <c r="I412" s="667"/>
      <c r="J412" s="667"/>
      <c r="K412" s="667"/>
      <c r="L412" s="667"/>
      <c r="M412" s="668"/>
      <c r="X412" s="656"/>
      <c r="Y412" s="657"/>
      <c r="Z412" s="657"/>
      <c r="AA412" s="481"/>
      <c r="AC412" s="456"/>
      <c r="AD412" s="522"/>
      <c r="AE412" s="699"/>
      <c r="AF412" s="456"/>
      <c r="AG412" s="699"/>
    </row>
    <row r="413" spans="1:33" s="454" customFormat="1" ht="15" x14ac:dyDescent="0.25">
      <c r="A413" s="542"/>
      <c r="B413" s="665"/>
      <c r="C413" s="666" t="s">
        <v>2115</v>
      </c>
      <c r="D413" s="667"/>
      <c r="E413" s="667"/>
      <c r="F413" s="667"/>
      <c r="G413" s="667"/>
      <c r="H413" s="667"/>
      <c r="I413" s="667"/>
      <c r="J413" s="667"/>
      <c r="K413" s="667"/>
      <c r="L413" s="667"/>
      <c r="M413" s="669"/>
      <c r="X413" s="656"/>
      <c r="Y413" s="657"/>
      <c r="Z413" s="657"/>
      <c r="AA413" s="481"/>
      <c r="AC413" s="456"/>
      <c r="AD413" s="522"/>
      <c r="AE413" s="699"/>
      <c r="AF413" s="456"/>
      <c r="AG413" s="699"/>
    </row>
    <row r="414" spans="1:33" s="454" customFormat="1" ht="45.75" x14ac:dyDescent="0.25">
      <c r="A414" s="658" t="s">
        <v>1316</v>
      </c>
      <c r="B414" s="659" t="s">
        <v>2116</v>
      </c>
      <c r="C414" s="2673" t="s">
        <v>2117</v>
      </c>
      <c r="D414" s="2673"/>
      <c r="E414" s="2673"/>
      <c r="F414" s="670">
        <v>64</v>
      </c>
      <c r="G414" s="661" t="s">
        <v>1288</v>
      </c>
      <c r="H414" s="661" t="s">
        <v>1289</v>
      </c>
      <c r="I414" s="661">
        <v>362</v>
      </c>
      <c r="J414" s="661">
        <v>148</v>
      </c>
      <c r="K414" s="662" t="s">
        <v>1317</v>
      </c>
      <c r="L414" s="671">
        <v>0.255</v>
      </c>
      <c r="M414" s="672">
        <v>16.32</v>
      </c>
      <c r="X414" s="656"/>
      <c r="Y414" s="657"/>
      <c r="Z414" s="657"/>
      <c r="AA414" s="481" t="s">
        <v>2117</v>
      </c>
      <c r="AC414" s="456"/>
      <c r="AD414" s="522"/>
      <c r="AE414" s="699"/>
      <c r="AF414" s="456"/>
      <c r="AG414" s="699"/>
    </row>
    <row r="415" spans="1:33" s="454" customFormat="1" ht="33.75" x14ac:dyDescent="0.25">
      <c r="A415" s="542"/>
      <c r="B415" s="673" t="s">
        <v>1655</v>
      </c>
      <c r="C415" s="2670" t="s">
        <v>1656</v>
      </c>
      <c r="D415" s="2670"/>
      <c r="E415" s="2670"/>
      <c r="F415" s="2670"/>
      <c r="G415" s="2670"/>
      <c r="H415" s="2670"/>
      <c r="I415" s="2670"/>
      <c r="J415" s="2670"/>
      <c r="K415" s="2670"/>
      <c r="L415" s="2670"/>
      <c r="M415" s="2671"/>
      <c r="X415" s="656"/>
      <c r="Y415" s="657"/>
      <c r="Z415" s="657"/>
      <c r="AA415" s="481"/>
      <c r="AB415" s="491" t="s">
        <v>1656</v>
      </c>
      <c r="AC415" s="456"/>
      <c r="AD415" s="522"/>
      <c r="AE415" s="699"/>
      <c r="AF415" s="456"/>
      <c r="AG415" s="699"/>
    </row>
    <row r="416" spans="1:33" s="454" customFormat="1" ht="15" x14ac:dyDescent="0.25">
      <c r="A416" s="823"/>
      <c r="B416" s="824"/>
      <c r="C416" s="824"/>
      <c r="D416" s="824"/>
      <c r="E416" s="825" t="s">
        <v>3016</v>
      </c>
      <c r="F416" s="826"/>
      <c r="G416" s="827"/>
      <c r="H416" s="648"/>
      <c r="I416" s="828">
        <v>190</v>
      </c>
      <c r="J416" s="829"/>
      <c r="K416" s="829"/>
      <c r="L416" s="830"/>
      <c r="M416" s="831"/>
      <c r="X416" s="656"/>
      <c r="Y416" s="657"/>
      <c r="Z416" s="657"/>
      <c r="AA416" s="481"/>
      <c r="AC416" s="456"/>
      <c r="AD416" s="522"/>
      <c r="AE416" s="699"/>
      <c r="AF416" s="456"/>
      <c r="AG416" s="699"/>
    </row>
    <row r="417" spans="1:33" s="454" customFormat="1" ht="15" x14ac:dyDescent="0.25">
      <c r="A417" s="823"/>
      <c r="B417" s="824"/>
      <c r="C417" s="824"/>
      <c r="D417" s="824"/>
      <c r="E417" s="825" t="s">
        <v>3017</v>
      </c>
      <c r="F417" s="826"/>
      <c r="G417" s="827"/>
      <c r="H417" s="648"/>
      <c r="I417" s="828">
        <v>87</v>
      </c>
      <c r="J417" s="829"/>
      <c r="K417" s="829"/>
      <c r="L417" s="830"/>
      <c r="M417" s="831"/>
      <c r="X417" s="656"/>
      <c r="Y417" s="657"/>
      <c r="Z417" s="657"/>
      <c r="AA417" s="481"/>
      <c r="AC417" s="456"/>
      <c r="AD417" s="522"/>
      <c r="AE417" s="699"/>
      <c r="AF417" s="456"/>
      <c r="AG417" s="699"/>
    </row>
    <row r="418" spans="1:33" s="454" customFormat="1" ht="15" x14ac:dyDescent="0.25">
      <c r="A418" s="823"/>
      <c r="B418" s="824"/>
      <c r="C418" s="824"/>
      <c r="D418" s="824"/>
      <c r="E418" s="825" t="s">
        <v>2692</v>
      </c>
      <c r="F418" s="826"/>
      <c r="G418" s="827"/>
      <c r="H418" s="648"/>
      <c r="I418" s="828">
        <v>639</v>
      </c>
      <c r="J418" s="829"/>
      <c r="K418" s="829"/>
      <c r="L418" s="830"/>
      <c r="M418" s="831"/>
      <c r="X418" s="656"/>
      <c r="Y418" s="657"/>
      <c r="Z418" s="657"/>
      <c r="AA418" s="481"/>
      <c r="AC418" s="456"/>
      <c r="AD418" s="522"/>
      <c r="AE418" s="699"/>
      <c r="AF418" s="456"/>
      <c r="AG418" s="699"/>
    </row>
    <row r="419" spans="1:33" s="454" customFormat="1" ht="23.25" x14ac:dyDescent="0.25">
      <c r="A419" s="507"/>
      <c r="B419" s="674" t="s">
        <v>2119</v>
      </c>
      <c r="C419" s="2672" t="s">
        <v>2120</v>
      </c>
      <c r="D419" s="2672"/>
      <c r="E419" s="2672"/>
      <c r="F419" s="675" t="s">
        <v>3018</v>
      </c>
      <c r="G419" s="676" t="s">
        <v>2122</v>
      </c>
      <c r="H419" s="676"/>
      <c r="I419" s="676">
        <v>148.02000000000001</v>
      </c>
      <c r="J419" s="676">
        <v>148.02000000000001</v>
      </c>
      <c r="K419" s="676"/>
      <c r="L419" s="677"/>
      <c r="M419" s="678"/>
      <c r="X419" s="656"/>
      <c r="Y419" s="657"/>
      <c r="Z419" s="657"/>
      <c r="AA419" s="481"/>
      <c r="AC419" s="456" t="s">
        <v>2120</v>
      </c>
      <c r="AD419" s="522"/>
      <c r="AE419" s="699"/>
      <c r="AF419" s="456"/>
      <c r="AG419" s="699"/>
    </row>
    <row r="420" spans="1:33" s="454" customFormat="1" ht="23.25" x14ac:dyDescent="0.25">
      <c r="A420" s="507"/>
      <c r="B420" s="674" t="s">
        <v>639</v>
      </c>
      <c r="C420" s="2672" t="s">
        <v>1661</v>
      </c>
      <c r="D420" s="2672"/>
      <c r="E420" s="2672"/>
      <c r="F420" s="675" t="s">
        <v>3019</v>
      </c>
      <c r="G420" s="676">
        <v>0</v>
      </c>
      <c r="H420" s="676">
        <v>0</v>
      </c>
      <c r="I420" s="676">
        <v>0</v>
      </c>
      <c r="J420" s="676"/>
      <c r="K420" s="676">
        <v>0</v>
      </c>
      <c r="L420" s="677"/>
      <c r="M420" s="678"/>
      <c r="X420" s="656"/>
      <c r="Y420" s="657"/>
      <c r="Z420" s="657"/>
      <c r="AA420" s="481"/>
      <c r="AC420" s="456" t="s">
        <v>1661</v>
      </c>
      <c r="AD420" s="522"/>
      <c r="AE420" s="699"/>
      <c r="AF420" s="456"/>
      <c r="AG420" s="699"/>
    </row>
    <row r="421" spans="1:33" s="454" customFormat="1" ht="34.5" x14ac:dyDescent="0.25">
      <c r="A421" s="507"/>
      <c r="B421" s="674" t="s">
        <v>821</v>
      </c>
      <c r="C421" s="2672" t="s">
        <v>1751</v>
      </c>
      <c r="D421" s="2672"/>
      <c r="E421" s="2672"/>
      <c r="F421" s="675" t="s">
        <v>3020</v>
      </c>
      <c r="G421" s="676">
        <v>65.709999999999994</v>
      </c>
      <c r="H421" s="676" t="s">
        <v>1753</v>
      </c>
      <c r="I421" s="676">
        <v>84.11</v>
      </c>
      <c r="J421" s="676"/>
      <c r="K421" s="676" t="s">
        <v>3021</v>
      </c>
      <c r="L421" s="677"/>
      <c r="M421" s="678"/>
      <c r="X421" s="656"/>
      <c r="Y421" s="657"/>
      <c r="Z421" s="657"/>
      <c r="AA421" s="481"/>
      <c r="AC421" s="456" t="s">
        <v>1751</v>
      </c>
      <c r="AD421" s="522"/>
      <c r="AE421" s="699"/>
      <c r="AF421" s="456"/>
      <c r="AG421" s="699"/>
    </row>
    <row r="422" spans="1:33" s="454" customFormat="1" ht="23.25" x14ac:dyDescent="0.25">
      <c r="A422" s="507"/>
      <c r="B422" s="674" t="s">
        <v>825</v>
      </c>
      <c r="C422" s="2672" t="s">
        <v>1808</v>
      </c>
      <c r="D422" s="2672"/>
      <c r="E422" s="2672"/>
      <c r="F422" s="675" t="s">
        <v>3022</v>
      </c>
      <c r="G422" s="676">
        <v>1.2</v>
      </c>
      <c r="H422" s="676" t="s">
        <v>1810</v>
      </c>
      <c r="I422" s="676">
        <v>11.52</v>
      </c>
      <c r="J422" s="676"/>
      <c r="K422" s="676" t="s">
        <v>3023</v>
      </c>
      <c r="L422" s="677"/>
      <c r="M422" s="678"/>
      <c r="X422" s="656"/>
      <c r="Y422" s="657"/>
      <c r="Z422" s="657"/>
      <c r="AA422" s="481"/>
      <c r="AC422" s="456" t="s">
        <v>1808</v>
      </c>
      <c r="AD422" s="522"/>
      <c r="AE422" s="699"/>
      <c r="AF422" s="456"/>
      <c r="AG422" s="699"/>
    </row>
    <row r="423" spans="1:33" s="454" customFormat="1" ht="23.25" x14ac:dyDescent="0.25">
      <c r="A423" s="507"/>
      <c r="B423" s="674" t="s">
        <v>830</v>
      </c>
      <c r="C423" s="2672" t="s">
        <v>1816</v>
      </c>
      <c r="D423" s="2672"/>
      <c r="E423" s="2672"/>
      <c r="F423" s="675" t="s">
        <v>3022</v>
      </c>
      <c r="G423" s="676">
        <v>6.22</v>
      </c>
      <c r="H423" s="676"/>
      <c r="I423" s="676">
        <v>59.71</v>
      </c>
      <c r="J423" s="676"/>
      <c r="K423" s="676"/>
      <c r="L423" s="677"/>
      <c r="M423" s="678"/>
      <c r="X423" s="656"/>
      <c r="Y423" s="657"/>
      <c r="Z423" s="657"/>
      <c r="AA423" s="481"/>
      <c r="AC423" s="456" t="s">
        <v>1816</v>
      </c>
      <c r="AD423" s="522"/>
      <c r="AE423" s="699"/>
      <c r="AF423" s="456"/>
      <c r="AG423" s="699"/>
    </row>
    <row r="424" spans="1:33" s="454" customFormat="1" ht="23.25" x14ac:dyDescent="0.25">
      <c r="A424" s="507"/>
      <c r="B424" s="674" t="s">
        <v>833</v>
      </c>
      <c r="C424" s="2672" t="s">
        <v>1818</v>
      </c>
      <c r="D424" s="2672"/>
      <c r="E424" s="2672"/>
      <c r="F424" s="675" t="s">
        <v>3019</v>
      </c>
      <c r="G424" s="676">
        <v>6.09</v>
      </c>
      <c r="H424" s="676"/>
      <c r="I424" s="676">
        <v>11.69</v>
      </c>
      <c r="J424" s="676"/>
      <c r="K424" s="676"/>
      <c r="L424" s="677"/>
      <c r="M424" s="678"/>
      <c r="X424" s="656"/>
      <c r="Y424" s="657"/>
      <c r="Z424" s="657"/>
      <c r="AA424" s="481"/>
      <c r="AC424" s="456" t="s">
        <v>1818</v>
      </c>
      <c r="AD424" s="522"/>
      <c r="AE424" s="699"/>
      <c r="AF424" s="456"/>
      <c r="AG424" s="699"/>
    </row>
    <row r="425" spans="1:33" s="454" customFormat="1" ht="15" x14ac:dyDescent="0.25">
      <c r="A425" s="2680" t="s">
        <v>1318</v>
      </c>
      <c r="B425" s="2681"/>
      <c r="C425" s="2681"/>
      <c r="D425" s="2681"/>
      <c r="E425" s="2681"/>
      <c r="F425" s="2681"/>
      <c r="G425" s="2681"/>
      <c r="H425" s="2681"/>
      <c r="I425" s="2681"/>
      <c r="J425" s="2681"/>
      <c r="K425" s="2681"/>
      <c r="L425" s="2681"/>
      <c r="M425" s="2682"/>
      <c r="X425" s="656"/>
      <c r="Y425" s="657" t="s">
        <v>1318</v>
      </c>
      <c r="Z425" s="657"/>
      <c r="AA425" s="481"/>
      <c r="AC425" s="456"/>
      <c r="AD425" s="522"/>
      <c r="AE425" s="699"/>
      <c r="AF425" s="456"/>
      <c r="AG425" s="699"/>
    </row>
    <row r="426" spans="1:33" s="454" customFormat="1" ht="57" x14ac:dyDescent="0.25">
      <c r="A426" s="658" t="s">
        <v>1319</v>
      </c>
      <c r="B426" s="659" t="s">
        <v>1954</v>
      </c>
      <c r="C426" s="2673" t="s">
        <v>1955</v>
      </c>
      <c r="D426" s="2673"/>
      <c r="E426" s="2673"/>
      <c r="F426" s="685">
        <v>0.58589999999999998</v>
      </c>
      <c r="G426" s="661" t="s">
        <v>1956</v>
      </c>
      <c r="H426" s="661" t="s">
        <v>1957</v>
      </c>
      <c r="I426" s="661">
        <v>74936</v>
      </c>
      <c r="J426" s="661">
        <v>5860</v>
      </c>
      <c r="K426" s="662" t="s">
        <v>3024</v>
      </c>
      <c r="L426" s="691">
        <v>1039.7328</v>
      </c>
      <c r="M426" s="672">
        <v>609.17999999999995</v>
      </c>
      <c r="X426" s="656"/>
      <c r="Y426" s="657"/>
      <c r="Z426" s="657"/>
      <c r="AA426" s="481" t="s">
        <v>1955</v>
      </c>
      <c r="AC426" s="456"/>
      <c r="AD426" s="522"/>
      <c r="AE426" s="699"/>
      <c r="AF426" s="456"/>
      <c r="AG426" s="699"/>
    </row>
    <row r="427" spans="1:33" s="454" customFormat="1" ht="15" x14ac:dyDescent="0.25">
      <c r="A427" s="664"/>
      <c r="B427" s="665"/>
      <c r="C427" s="666" t="s">
        <v>3025</v>
      </c>
      <c r="D427" s="667"/>
      <c r="E427" s="667"/>
      <c r="F427" s="667"/>
      <c r="G427" s="667"/>
      <c r="H427" s="667"/>
      <c r="I427" s="667"/>
      <c r="J427" s="667"/>
      <c r="K427" s="667"/>
      <c r="L427" s="667"/>
      <c r="M427" s="668"/>
      <c r="X427" s="656"/>
      <c r="Y427" s="657"/>
      <c r="Z427" s="657"/>
      <c r="AA427" s="481"/>
      <c r="AC427" s="456"/>
      <c r="AD427" s="522"/>
      <c r="AE427" s="699"/>
      <c r="AF427" s="456"/>
      <c r="AG427" s="699"/>
    </row>
    <row r="428" spans="1:33" s="454" customFormat="1" ht="15" x14ac:dyDescent="0.25">
      <c r="A428" s="542"/>
      <c r="B428" s="673" t="s">
        <v>1960</v>
      </c>
      <c r="C428" s="2670" t="s">
        <v>1961</v>
      </c>
      <c r="D428" s="2670"/>
      <c r="E428" s="2670"/>
      <c r="F428" s="2670"/>
      <c r="G428" s="2670"/>
      <c r="H428" s="2670"/>
      <c r="I428" s="2670"/>
      <c r="J428" s="2670"/>
      <c r="K428" s="2670"/>
      <c r="L428" s="2670"/>
      <c r="M428" s="2671"/>
      <c r="X428" s="656"/>
      <c r="Y428" s="657"/>
      <c r="Z428" s="657"/>
      <c r="AA428" s="481"/>
      <c r="AB428" s="491" t="s">
        <v>1961</v>
      </c>
      <c r="AC428" s="456"/>
      <c r="AD428" s="522"/>
      <c r="AE428" s="699"/>
      <c r="AF428" s="456"/>
      <c r="AG428" s="699"/>
    </row>
    <row r="429" spans="1:33" s="454" customFormat="1" ht="15" x14ac:dyDescent="0.25">
      <c r="A429" s="542"/>
      <c r="B429" s="673" t="s">
        <v>1962</v>
      </c>
      <c r="C429" s="2670" t="s">
        <v>1963</v>
      </c>
      <c r="D429" s="2670"/>
      <c r="E429" s="2670"/>
      <c r="F429" s="2670"/>
      <c r="G429" s="2670"/>
      <c r="H429" s="2670"/>
      <c r="I429" s="2670"/>
      <c r="J429" s="2670"/>
      <c r="K429" s="2670"/>
      <c r="L429" s="2670"/>
      <c r="M429" s="2671"/>
      <c r="X429" s="656"/>
      <c r="Y429" s="657"/>
      <c r="Z429" s="657"/>
      <c r="AA429" s="481"/>
      <c r="AB429" s="491" t="s">
        <v>1963</v>
      </c>
      <c r="AC429" s="456"/>
      <c r="AD429" s="522"/>
      <c r="AE429" s="699"/>
      <c r="AF429" s="456"/>
      <c r="AG429" s="699"/>
    </row>
    <row r="430" spans="1:33" s="454" customFormat="1" ht="15" x14ac:dyDescent="0.25">
      <c r="A430" s="542"/>
      <c r="B430" s="673" t="s">
        <v>1964</v>
      </c>
      <c r="C430" s="2670" t="s">
        <v>1965</v>
      </c>
      <c r="D430" s="2670"/>
      <c r="E430" s="2670"/>
      <c r="F430" s="2670"/>
      <c r="G430" s="2670"/>
      <c r="H430" s="2670"/>
      <c r="I430" s="2670"/>
      <c r="J430" s="2670"/>
      <c r="K430" s="2670"/>
      <c r="L430" s="2670"/>
      <c r="M430" s="2671"/>
      <c r="X430" s="656"/>
      <c r="Y430" s="657"/>
      <c r="Z430" s="657"/>
      <c r="AA430" s="481"/>
      <c r="AB430" s="491" t="s">
        <v>1965</v>
      </c>
      <c r="AC430" s="456"/>
      <c r="AD430" s="522"/>
      <c r="AE430" s="699"/>
      <c r="AF430" s="456"/>
      <c r="AG430" s="699"/>
    </row>
    <row r="431" spans="1:33" s="454" customFormat="1" ht="33.75" x14ac:dyDescent="0.25">
      <c r="A431" s="542"/>
      <c r="B431" s="673" t="s">
        <v>1655</v>
      </c>
      <c r="C431" s="2670" t="s">
        <v>1656</v>
      </c>
      <c r="D431" s="2670"/>
      <c r="E431" s="2670"/>
      <c r="F431" s="2670"/>
      <c r="G431" s="2670"/>
      <c r="H431" s="2670"/>
      <c r="I431" s="2670"/>
      <c r="J431" s="2670"/>
      <c r="K431" s="2670"/>
      <c r="L431" s="2670"/>
      <c r="M431" s="2671"/>
      <c r="X431" s="656"/>
      <c r="Y431" s="657"/>
      <c r="Z431" s="657"/>
      <c r="AA431" s="481"/>
      <c r="AB431" s="491" t="s">
        <v>1656</v>
      </c>
      <c r="AC431" s="456"/>
      <c r="AD431" s="522"/>
      <c r="AE431" s="699"/>
      <c r="AF431" s="456"/>
      <c r="AG431" s="699"/>
    </row>
    <row r="432" spans="1:33" s="454" customFormat="1" ht="15" x14ac:dyDescent="0.25">
      <c r="A432" s="823"/>
      <c r="B432" s="824"/>
      <c r="C432" s="824"/>
      <c r="D432" s="824"/>
      <c r="E432" s="825" t="s">
        <v>3026</v>
      </c>
      <c r="F432" s="826"/>
      <c r="G432" s="827"/>
      <c r="H432" s="648"/>
      <c r="I432" s="828">
        <v>10244</v>
      </c>
      <c r="J432" s="829"/>
      <c r="K432" s="829"/>
      <c r="L432" s="830"/>
      <c r="M432" s="831"/>
      <c r="X432" s="656"/>
      <c r="Y432" s="657"/>
      <c r="Z432" s="657"/>
      <c r="AA432" s="481"/>
      <c r="AC432" s="456"/>
      <c r="AD432" s="522"/>
      <c r="AE432" s="699"/>
      <c r="AF432" s="456"/>
      <c r="AG432" s="699"/>
    </row>
    <row r="433" spans="1:33" s="454" customFormat="1" ht="15" x14ac:dyDescent="0.25">
      <c r="A433" s="823"/>
      <c r="B433" s="824"/>
      <c r="C433" s="824"/>
      <c r="D433" s="824"/>
      <c r="E433" s="825" t="s">
        <v>3027</v>
      </c>
      <c r="F433" s="826"/>
      <c r="G433" s="827"/>
      <c r="H433" s="648"/>
      <c r="I433" s="828">
        <v>4664</v>
      </c>
      <c r="J433" s="829"/>
      <c r="K433" s="829"/>
      <c r="L433" s="830"/>
      <c r="M433" s="831"/>
      <c r="X433" s="656"/>
      <c r="Y433" s="657"/>
      <c r="Z433" s="657"/>
      <c r="AA433" s="481"/>
      <c r="AC433" s="456"/>
      <c r="AD433" s="522"/>
      <c r="AE433" s="699"/>
      <c r="AF433" s="456"/>
      <c r="AG433" s="699"/>
    </row>
    <row r="434" spans="1:33" s="454" customFormat="1" ht="15" x14ac:dyDescent="0.25">
      <c r="A434" s="823"/>
      <c r="B434" s="824"/>
      <c r="C434" s="824"/>
      <c r="D434" s="824"/>
      <c r="E434" s="825" t="s">
        <v>2692</v>
      </c>
      <c r="F434" s="826"/>
      <c r="G434" s="827"/>
      <c r="H434" s="648"/>
      <c r="I434" s="828">
        <v>89844</v>
      </c>
      <c r="J434" s="829"/>
      <c r="K434" s="829"/>
      <c r="L434" s="830"/>
      <c r="M434" s="831"/>
      <c r="X434" s="656"/>
      <c r="Y434" s="657"/>
      <c r="Z434" s="657"/>
      <c r="AA434" s="481"/>
      <c r="AC434" s="456"/>
      <c r="AD434" s="522"/>
      <c r="AE434" s="699"/>
      <c r="AF434" s="456"/>
      <c r="AG434" s="699"/>
    </row>
    <row r="435" spans="1:33" s="454" customFormat="1" ht="23.25" x14ac:dyDescent="0.25">
      <c r="A435" s="507"/>
      <c r="B435" s="674" t="s">
        <v>1883</v>
      </c>
      <c r="C435" s="2672" t="s">
        <v>1884</v>
      </c>
      <c r="D435" s="2672"/>
      <c r="E435" s="2672"/>
      <c r="F435" s="675" t="s">
        <v>3028</v>
      </c>
      <c r="G435" s="676" t="s">
        <v>1886</v>
      </c>
      <c r="H435" s="676"/>
      <c r="I435" s="676">
        <v>5860.31</v>
      </c>
      <c r="J435" s="676">
        <v>5860.31</v>
      </c>
      <c r="K435" s="676"/>
      <c r="L435" s="677"/>
      <c r="M435" s="678"/>
      <c r="X435" s="656"/>
      <c r="Y435" s="657"/>
      <c r="Z435" s="657"/>
      <c r="AA435" s="481"/>
      <c r="AC435" s="456" t="s">
        <v>1884</v>
      </c>
      <c r="AD435" s="522"/>
      <c r="AE435" s="699"/>
      <c r="AF435" s="456"/>
      <c r="AG435" s="699"/>
    </row>
    <row r="436" spans="1:33" s="454" customFormat="1" ht="23.25" x14ac:dyDescent="0.25">
      <c r="A436" s="507"/>
      <c r="B436" s="674" t="s">
        <v>639</v>
      </c>
      <c r="C436" s="2672" t="s">
        <v>1661</v>
      </c>
      <c r="D436" s="2672"/>
      <c r="E436" s="2672"/>
      <c r="F436" s="675" t="s">
        <v>3029</v>
      </c>
      <c r="G436" s="676">
        <v>0</v>
      </c>
      <c r="H436" s="676">
        <v>0</v>
      </c>
      <c r="I436" s="676">
        <v>0</v>
      </c>
      <c r="J436" s="676"/>
      <c r="K436" s="676">
        <v>0</v>
      </c>
      <c r="L436" s="677"/>
      <c r="M436" s="678"/>
      <c r="X436" s="656"/>
      <c r="Y436" s="657"/>
      <c r="Z436" s="657"/>
      <c r="AA436" s="481"/>
      <c r="AC436" s="456" t="s">
        <v>1661</v>
      </c>
      <c r="AD436" s="522"/>
      <c r="AE436" s="699"/>
      <c r="AF436" s="456"/>
      <c r="AG436" s="699"/>
    </row>
    <row r="437" spans="1:33" s="454" customFormat="1" ht="23.25" x14ac:dyDescent="0.25">
      <c r="A437" s="507"/>
      <c r="B437" s="674" t="s">
        <v>1968</v>
      </c>
      <c r="C437" s="2672" t="s">
        <v>1969</v>
      </c>
      <c r="D437" s="2672"/>
      <c r="E437" s="2672"/>
      <c r="F437" s="675" t="s">
        <v>3030</v>
      </c>
      <c r="G437" s="676">
        <v>79.069999999999993</v>
      </c>
      <c r="H437" s="676" t="s">
        <v>1971</v>
      </c>
      <c r="I437" s="676">
        <v>136</v>
      </c>
      <c r="J437" s="676"/>
      <c r="K437" s="676" t="s">
        <v>3031</v>
      </c>
      <c r="L437" s="677"/>
      <c r="M437" s="678"/>
      <c r="X437" s="656"/>
      <c r="Y437" s="657"/>
      <c r="Z437" s="657"/>
      <c r="AA437" s="481"/>
      <c r="AC437" s="456" t="s">
        <v>1969</v>
      </c>
      <c r="AD437" s="522"/>
      <c r="AE437" s="699"/>
      <c r="AF437" s="456"/>
      <c r="AG437" s="699"/>
    </row>
    <row r="438" spans="1:33" s="454" customFormat="1" ht="45.75" x14ac:dyDescent="0.25">
      <c r="A438" s="507"/>
      <c r="B438" s="674" t="s">
        <v>1973</v>
      </c>
      <c r="C438" s="2672" t="s">
        <v>1974</v>
      </c>
      <c r="D438" s="2672"/>
      <c r="E438" s="2672"/>
      <c r="F438" s="675" t="s">
        <v>3032</v>
      </c>
      <c r="G438" s="676">
        <v>70.010000000000005</v>
      </c>
      <c r="H438" s="676" t="s">
        <v>1976</v>
      </c>
      <c r="I438" s="676">
        <v>161.72</v>
      </c>
      <c r="J438" s="676"/>
      <c r="K438" s="676" t="s">
        <v>3033</v>
      </c>
      <c r="L438" s="677"/>
      <c r="M438" s="678"/>
      <c r="X438" s="656"/>
      <c r="Y438" s="657"/>
      <c r="Z438" s="657"/>
      <c r="AA438" s="481"/>
      <c r="AC438" s="456" t="s">
        <v>1974</v>
      </c>
      <c r="AD438" s="522"/>
      <c r="AE438" s="699"/>
      <c r="AF438" s="456"/>
      <c r="AG438" s="699"/>
    </row>
    <row r="439" spans="1:33" s="454" customFormat="1" ht="57" x14ac:dyDescent="0.25">
      <c r="A439" s="507"/>
      <c r="B439" s="674" t="s">
        <v>1978</v>
      </c>
      <c r="C439" s="2672" t="s">
        <v>1979</v>
      </c>
      <c r="D439" s="2672"/>
      <c r="E439" s="2672"/>
      <c r="F439" s="675" t="s">
        <v>3034</v>
      </c>
      <c r="G439" s="676">
        <v>340</v>
      </c>
      <c r="H439" s="676" t="s">
        <v>1981</v>
      </c>
      <c r="I439" s="676">
        <v>44305.4</v>
      </c>
      <c r="J439" s="676"/>
      <c r="K439" s="676" t="s">
        <v>3035</v>
      </c>
      <c r="L439" s="677"/>
      <c r="M439" s="678"/>
      <c r="X439" s="656"/>
      <c r="Y439" s="657"/>
      <c r="Z439" s="657"/>
      <c r="AA439" s="481"/>
      <c r="AC439" s="456" t="s">
        <v>1979</v>
      </c>
      <c r="AD439" s="522"/>
      <c r="AE439" s="699"/>
      <c r="AF439" s="456"/>
      <c r="AG439" s="699"/>
    </row>
    <row r="440" spans="1:33" s="454" customFormat="1" ht="34.5" x14ac:dyDescent="0.25">
      <c r="A440" s="507"/>
      <c r="B440" s="674" t="s">
        <v>1663</v>
      </c>
      <c r="C440" s="2672" t="s">
        <v>1664</v>
      </c>
      <c r="D440" s="2672"/>
      <c r="E440" s="2672"/>
      <c r="F440" s="675" t="s">
        <v>3036</v>
      </c>
      <c r="G440" s="676">
        <v>111.99</v>
      </c>
      <c r="H440" s="676" t="s">
        <v>1666</v>
      </c>
      <c r="I440" s="676">
        <v>254.22</v>
      </c>
      <c r="J440" s="676"/>
      <c r="K440" s="676" t="s">
        <v>3037</v>
      </c>
      <c r="L440" s="677"/>
      <c r="M440" s="678"/>
      <c r="X440" s="656"/>
      <c r="Y440" s="657"/>
      <c r="Z440" s="657"/>
      <c r="AA440" s="481"/>
      <c r="AC440" s="456" t="s">
        <v>1664</v>
      </c>
      <c r="AD440" s="522"/>
      <c r="AE440" s="699"/>
      <c r="AF440" s="456"/>
      <c r="AG440" s="699"/>
    </row>
    <row r="441" spans="1:33" s="454" customFormat="1" ht="23.25" x14ac:dyDescent="0.25">
      <c r="A441" s="507"/>
      <c r="B441" s="674" t="s">
        <v>1985</v>
      </c>
      <c r="C441" s="2672" t="s">
        <v>1986</v>
      </c>
      <c r="D441" s="2672"/>
      <c r="E441" s="2672"/>
      <c r="F441" s="675" t="s">
        <v>3038</v>
      </c>
      <c r="G441" s="676">
        <v>26.5</v>
      </c>
      <c r="H441" s="676" t="s">
        <v>1988</v>
      </c>
      <c r="I441" s="676">
        <v>820.44</v>
      </c>
      <c r="J441" s="676"/>
      <c r="K441" s="676" t="s">
        <v>3039</v>
      </c>
      <c r="L441" s="677"/>
      <c r="M441" s="678"/>
      <c r="X441" s="656"/>
      <c r="Y441" s="657"/>
      <c r="Z441" s="657"/>
      <c r="AA441" s="481"/>
      <c r="AC441" s="456" t="s">
        <v>1986</v>
      </c>
      <c r="AD441" s="522"/>
      <c r="AE441" s="699"/>
      <c r="AF441" s="456"/>
      <c r="AG441" s="699"/>
    </row>
    <row r="442" spans="1:33" s="454" customFormat="1" ht="34.5" x14ac:dyDescent="0.25">
      <c r="A442" s="507"/>
      <c r="B442" s="674" t="s">
        <v>821</v>
      </c>
      <c r="C442" s="2672" t="s">
        <v>1751</v>
      </c>
      <c r="D442" s="2672"/>
      <c r="E442" s="2672"/>
      <c r="F442" s="675" t="s">
        <v>3040</v>
      </c>
      <c r="G442" s="676">
        <v>65.709999999999994</v>
      </c>
      <c r="H442" s="676" t="s">
        <v>1753</v>
      </c>
      <c r="I442" s="676">
        <v>223.41</v>
      </c>
      <c r="J442" s="676"/>
      <c r="K442" s="676" t="s">
        <v>3041</v>
      </c>
      <c r="L442" s="677"/>
      <c r="M442" s="678"/>
      <c r="X442" s="656"/>
      <c r="Y442" s="657"/>
      <c r="Z442" s="657"/>
      <c r="AA442" s="481"/>
      <c r="AC442" s="456" t="s">
        <v>1751</v>
      </c>
      <c r="AD442" s="522"/>
      <c r="AE442" s="699"/>
      <c r="AF442" s="456"/>
      <c r="AG442" s="699"/>
    </row>
    <row r="443" spans="1:33" s="454" customFormat="1" ht="23.25" x14ac:dyDescent="0.25">
      <c r="A443" s="515" t="s">
        <v>863</v>
      </c>
      <c r="B443" s="686" t="s">
        <v>1992</v>
      </c>
      <c r="C443" s="2683" t="s">
        <v>1993</v>
      </c>
      <c r="D443" s="2683"/>
      <c r="E443" s="2683"/>
      <c r="F443" s="687" t="s">
        <v>3042</v>
      </c>
      <c r="G443" s="688">
        <v>0</v>
      </c>
      <c r="H443" s="688"/>
      <c r="I443" s="688">
        <v>0</v>
      </c>
      <c r="J443" s="688"/>
      <c r="K443" s="688"/>
      <c r="L443" s="689"/>
      <c r="M443" s="690"/>
      <c r="X443" s="656"/>
      <c r="Y443" s="657"/>
      <c r="Z443" s="657"/>
      <c r="AA443" s="481"/>
      <c r="AC443" s="456"/>
      <c r="AD443" s="522" t="s">
        <v>1993</v>
      </c>
      <c r="AE443" s="699"/>
      <c r="AF443" s="456"/>
      <c r="AG443" s="699"/>
    </row>
    <row r="444" spans="1:33" s="454" customFormat="1" ht="57" x14ac:dyDescent="0.25">
      <c r="A444" s="507"/>
      <c r="B444" s="674" t="s">
        <v>1995</v>
      </c>
      <c r="C444" s="2672" t="s">
        <v>1996</v>
      </c>
      <c r="D444" s="2672"/>
      <c r="E444" s="2672"/>
      <c r="F444" s="675" t="s">
        <v>3043</v>
      </c>
      <c r="G444" s="676">
        <v>183.68</v>
      </c>
      <c r="H444" s="676"/>
      <c r="I444" s="676">
        <v>222.99</v>
      </c>
      <c r="J444" s="676"/>
      <c r="K444" s="676"/>
      <c r="L444" s="677"/>
      <c r="M444" s="678"/>
      <c r="X444" s="656"/>
      <c r="Y444" s="657"/>
      <c r="Z444" s="657"/>
      <c r="AA444" s="481"/>
      <c r="AC444" s="456" t="s">
        <v>1996</v>
      </c>
      <c r="AD444" s="522"/>
      <c r="AE444" s="699"/>
      <c r="AF444" s="456"/>
      <c r="AG444" s="699"/>
    </row>
    <row r="445" spans="1:33" s="454" customFormat="1" ht="23.25" x14ac:dyDescent="0.25">
      <c r="A445" s="515" t="s">
        <v>863</v>
      </c>
      <c r="B445" s="686" t="s">
        <v>1998</v>
      </c>
      <c r="C445" s="2683" t="s">
        <v>1999</v>
      </c>
      <c r="D445" s="2683"/>
      <c r="E445" s="2683"/>
      <c r="F445" s="687" t="s">
        <v>3044</v>
      </c>
      <c r="G445" s="688">
        <v>0</v>
      </c>
      <c r="H445" s="688"/>
      <c r="I445" s="688">
        <v>0</v>
      </c>
      <c r="J445" s="688"/>
      <c r="K445" s="688"/>
      <c r="L445" s="689"/>
      <c r="M445" s="690"/>
      <c r="X445" s="656"/>
      <c r="Y445" s="657"/>
      <c r="Z445" s="657"/>
      <c r="AA445" s="481"/>
      <c r="AC445" s="456"/>
      <c r="AD445" s="522" t="s">
        <v>1999</v>
      </c>
      <c r="AE445" s="699"/>
      <c r="AF445" s="456"/>
      <c r="AG445" s="699"/>
    </row>
    <row r="446" spans="1:33" s="454" customFormat="1" ht="22.5" x14ac:dyDescent="0.25">
      <c r="A446" s="515" t="s">
        <v>860</v>
      </c>
      <c r="B446" s="686" t="s">
        <v>2001</v>
      </c>
      <c r="C446" s="2683" t="s">
        <v>2002</v>
      </c>
      <c r="D446" s="2683"/>
      <c r="E446" s="2683"/>
      <c r="F446" s="687" t="s">
        <v>1935</v>
      </c>
      <c r="G446" s="688">
        <v>0</v>
      </c>
      <c r="H446" s="688"/>
      <c r="I446" s="688">
        <v>0</v>
      </c>
      <c r="J446" s="688"/>
      <c r="K446" s="688"/>
      <c r="L446" s="689"/>
      <c r="M446" s="690"/>
      <c r="X446" s="656"/>
      <c r="Y446" s="657"/>
      <c r="Z446" s="657"/>
      <c r="AA446" s="481"/>
      <c r="AC446" s="456"/>
      <c r="AD446" s="522" t="s">
        <v>2002</v>
      </c>
      <c r="AE446" s="699"/>
      <c r="AF446" s="456"/>
      <c r="AG446" s="699"/>
    </row>
    <row r="447" spans="1:33" s="454" customFormat="1" ht="57" x14ac:dyDescent="0.25">
      <c r="A447" s="658" t="s">
        <v>1322</v>
      </c>
      <c r="B447" s="659" t="s">
        <v>2003</v>
      </c>
      <c r="C447" s="2673" t="s">
        <v>2004</v>
      </c>
      <c r="D447" s="2673"/>
      <c r="E447" s="2673"/>
      <c r="F447" s="685">
        <v>7.7840999999999996</v>
      </c>
      <c r="G447" s="661" t="s">
        <v>2005</v>
      </c>
      <c r="H447" s="661" t="s">
        <v>2006</v>
      </c>
      <c r="I447" s="661">
        <v>3021642</v>
      </c>
      <c r="J447" s="661">
        <v>230736</v>
      </c>
      <c r="K447" s="662" t="s">
        <v>3045</v>
      </c>
      <c r="L447" s="691">
        <v>3081.2808</v>
      </c>
      <c r="M447" s="663">
        <v>23985</v>
      </c>
      <c r="X447" s="656"/>
      <c r="Y447" s="657"/>
      <c r="Z447" s="657"/>
      <c r="AA447" s="481" t="s">
        <v>2004</v>
      </c>
      <c r="AC447" s="456"/>
      <c r="AD447" s="522"/>
      <c r="AE447" s="699"/>
      <c r="AF447" s="456"/>
      <c r="AG447" s="699"/>
    </row>
    <row r="448" spans="1:33" s="454" customFormat="1" ht="15" x14ac:dyDescent="0.25">
      <c r="A448" s="664"/>
      <c r="B448" s="665"/>
      <c r="C448" s="666" t="s">
        <v>3046</v>
      </c>
      <c r="D448" s="667"/>
      <c r="E448" s="667"/>
      <c r="F448" s="667"/>
      <c r="G448" s="667"/>
      <c r="H448" s="667"/>
      <c r="I448" s="667"/>
      <c r="J448" s="667"/>
      <c r="K448" s="667"/>
      <c r="L448" s="667"/>
      <c r="M448" s="668"/>
      <c r="X448" s="656"/>
      <c r="Y448" s="657"/>
      <c r="Z448" s="657"/>
      <c r="AA448" s="481"/>
      <c r="AC448" s="456"/>
      <c r="AD448" s="522"/>
      <c r="AE448" s="699"/>
      <c r="AF448" s="456"/>
      <c r="AG448" s="699"/>
    </row>
    <row r="449" spans="1:33" s="454" customFormat="1" ht="15" x14ac:dyDescent="0.25">
      <c r="A449" s="542"/>
      <c r="B449" s="673" t="s">
        <v>1960</v>
      </c>
      <c r="C449" s="2670" t="s">
        <v>1961</v>
      </c>
      <c r="D449" s="2670"/>
      <c r="E449" s="2670"/>
      <c r="F449" s="2670"/>
      <c r="G449" s="2670"/>
      <c r="H449" s="2670"/>
      <c r="I449" s="2670"/>
      <c r="J449" s="2670"/>
      <c r="K449" s="2670"/>
      <c r="L449" s="2670"/>
      <c r="M449" s="2671"/>
      <c r="X449" s="656"/>
      <c r="Y449" s="657"/>
      <c r="Z449" s="657"/>
      <c r="AA449" s="481"/>
      <c r="AB449" s="491" t="s">
        <v>1961</v>
      </c>
      <c r="AC449" s="456"/>
      <c r="AD449" s="522"/>
      <c r="AE449" s="699"/>
      <c r="AF449" s="456"/>
      <c r="AG449" s="699"/>
    </row>
    <row r="450" spans="1:33" s="454" customFormat="1" ht="15" x14ac:dyDescent="0.25">
      <c r="A450" s="542"/>
      <c r="B450" s="673" t="s">
        <v>1962</v>
      </c>
      <c r="C450" s="2670" t="s">
        <v>1963</v>
      </c>
      <c r="D450" s="2670"/>
      <c r="E450" s="2670"/>
      <c r="F450" s="2670"/>
      <c r="G450" s="2670"/>
      <c r="H450" s="2670"/>
      <c r="I450" s="2670"/>
      <c r="J450" s="2670"/>
      <c r="K450" s="2670"/>
      <c r="L450" s="2670"/>
      <c r="M450" s="2671"/>
      <c r="X450" s="656"/>
      <c r="Y450" s="657"/>
      <c r="Z450" s="657"/>
      <c r="AA450" s="481"/>
      <c r="AB450" s="491" t="s">
        <v>1963</v>
      </c>
      <c r="AC450" s="456"/>
      <c r="AD450" s="522"/>
      <c r="AE450" s="699"/>
      <c r="AF450" s="456"/>
      <c r="AG450" s="699"/>
    </row>
    <row r="451" spans="1:33" s="454" customFormat="1" ht="15" x14ac:dyDescent="0.25">
      <c r="A451" s="542"/>
      <c r="B451" s="673" t="s">
        <v>1964</v>
      </c>
      <c r="C451" s="2670" t="s">
        <v>1965</v>
      </c>
      <c r="D451" s="2670"/>
      <c r="E451" s="2670"/>
      <c r="F451" s="2670"/>
      <c r="G451" s="2670"/>
      <c r="H451" s="2670"/>
      <c r="I451" s="2670"/>
      <c r="J451" s="2670"/>
      <c r="K451" s="2670"/>
      <c r="L451" s="2670"/>
      <c r="M451" s="2671"/>
      <c r="X451" s="656"/>
      <c r="Y451" s="657"/>
      <c r="Z451" s="657"/>
      <c r="AA451" s="481"/>
      <c r="AB451" s="491" t="s">
        <v>1965</v>
      </c>
      <c r="AC451" s="456"/>
      <c r="AD451" s="522"/>
      <c r="AE451" s="699"/>
      <c r="AF451" s="456"/>
      <c r="AG451" s="699"/>
    </row>
    <row r="452" spans="1:33" s="454" customFormat="1" ht="33.75" x14ac:dyDescent="0.25">
      <c r="A452" s="542"/>
      <c r="B452" s="673" t="s">
        <v>1655</v>
      </c>
      <c r="C452" s="2670" t="s">
        <v>1656</v>
      </c>
      <c r="D452" s="2670"/>
      <c r="E452" s="2670"/>
      <c r="F452" s="2670"/>
      <c r="G452" s="2670"/>
      <c r="H452" s="2670"/>
      <c r="I452" s="2670"/>
      <c r="J452" s="2670"/>
      <c r="K452" s="2670"/>
      <c r="L452" s="2670"/>
      <c r="M452" s="2671"/>
      <c r="X452" s="656"/>
      <c r="Y452" s="657"/>
      <c r="Z452" s="657"/>
      <c r="AA452" s="481"/>
      <c r="AB452" s="491" t="s">
        <v>1656</v>
      </c>
      <c r="AC452" s="456"/>
      <c r="AD452" s="522"/>
      <c r="AE452" s="699"/>
      <c r="AF452" s="456"/>
      <c r="AG452" s="699"/>
    </row>
    <row r="453" spans="1:33" s="454" customFormat="1" ht="15" x14ac:dyDescent="0.25">
      <c r="A453" s="823"/>
      <c r="B453" s="824"/>
      <c r="C453" s="824"/>
      <c r="D453" s="824"/>
      <c r="E453" s="825" t="s">
        <v>3047</v>
      </c>
      <c r="F453" s="826"/>
      <c r="G453" s="827"/>
      <c r="H453" s="648"/>
      <c r="I453" s="828">
        <v>390480</v>
      </c>
      <c r="J453" s="829"/>
      <c r="K453" s="829"/>
      <c r="L453" s="830"/>
      <c r="M453" s="831"/>
      <c r="X453" s="656"/>
      <c r="Y453" s="657"/>
      <c r="Z453" s="657"/>
      <c r="AA453" s="481"/>
      <c r="AC453" s="456"/>
      <c r="AD453" s="522"/>
      <c r="AE453" s="699"/>
      <c r="AF453" s="456"/>
      <c r="AG453" s="699"/>
    </row>
    <row r="454" spans="1:33" s="454" customFormat="1" ht="15" x14ac:dyDescent="0.25">
      <c r="A454" s="823"/>
      <c r="B454" s="824"/>
      <c r="C454" s="824"/>
      <c r="D454" s="824"/>
      <c r="E454" s="825" t="s">
        <v>3048</v>
      </c>
      <c r="F454" s="826"/>
      <c r="G454" s="827"/>
      <c r="H454" s="648"/>
      <c r="I454" s="828">
        <v>177808</v>
      </c>
      <c r="J454" s="829"/>
      <c r="K454" s="829"/>
      <c r="L454" s="830"/>
      <c r="M454" s="831"/>
      <c r="X454" s="656"/>
      <c r="Y454" s="657"/>
      <c r="Z454" s="657"/>
      <c r="AA454" s="481"/>
      <c r="AC454" s="456"/>
      <c r="AD454" s="522"/>
      <c r="AE454" s="699"/>
      <c r="AF454" s="456"/>
      <c r="AG454" s="699"/>
    </row>
    <row r="455" spans="1:33" s="454" customFormat="1" ht="15" x14ac:dyDescent="0.25">
      <c r="A455" s="823"/>
      <c r="B455" s="824"/>
      <c r="C455" s="824"/>
      <c r="D455" s="824"/>
      <c r="E455" s="825" t="s">
        <v>2692</v>
      </c>
      <c r="F455" s="826"/>
      <c r="G455" s="827"/>
      <c r="H455" s="648"/>
      <c r="I455" s="828">
        <v>3589930</v>
      </c>
      <c r="J455" s="829"/>
      <c r="K455" s="829"/>
      <c r="L455" s="830"/>
      <c r="M455" s="831"/>
      <c r="X455" s="656"/>
      <c r="Y455" s="657"/>
      <c r="Z455" s="657"/>
      <c r="AA455" s="481"/>
      <c r="AC455" s="456"/>
      <c r="AD455" s="522"/>
      <c r="AE455" s="699"/>
      <c r="AF455" s="456"/>
      <c r="AG455" s="699"/>
    </row>
    <row r="456" spans="1:33" s="454" customFormat="1" ht="23.25" x14ac:dyDescent="0.25">
      <c r="A456" s="507"/>
      <c r="B456" s="674" t="s">
        <v>1883</v>
      </c>
      <c r="C456" s="2672" t="s">
        <v>1884</v>
      </c>
      <c r="D456" s="2672"/>
      <c r="E456" s="2672"/>
      <c r="F456" s="675" t="s">
        <v>3049</v>
      </c>
      <c r="G456" s="676" t="s">
        <v>1886</v>
      </c>
      <c r="H456" s="676"/>
      <c r="I456" s="676">
        <v>230735.7</v>
      </c>
      <c r="J456" s="676">
        <v>230735.7</v>
      </c>
      <c r="K456" s="676"/>
      <c r="L456" s="677"/>
      <c r="M456" s="678"/>
      <c r="X456" s="656"/>
      <c r="Y456" s="657"/>
      <c r="Z456" s="657"/>
      <c r="AA456" s="481"/>
      <c r="AC456" s="456" t="s">
        <v>1884</v>
      </c>
      <c r="AD456" s="522"/>
      <c r="AE456" s="699"/>
      <c r="AF456" s="456"/>
      <c r="AG456" s="699"/>
    </row>
    <row r="457" spans="1:33" s="454" customFormat="1" ht="23.25" x14ac:dyDescent="0.25">
      <c r="A457" s="507"/>
      <c r="B457" s="674" t="s">
        <v>639</v>
      </c>
      <c r="C457" s="2672" t="s">
        <v>1661</v>
      </c>
      <c r="D457" s="2672"/>
      <c r="E457" s="2672"/>
      <c r="F457" s="675" t="s">
        <v>3050</v>
      </c>
      <c r="G457" s="676">
        <v>0</v>
      </c>
      <c r="H457" s="676">
        <v>0</v>
      </c>
      <c r="I457" s="676">
        <v>0</v>
      </c>
      <c r="J457" s="676"/>
      <c r="K457" s="676">
        <v>0</v>
      </c>
      <c r="L457" s="677"/>
      <c r="M457" s="678"/>
      <c r="X457" s="656"/>
      <c r="Y457" s="657"/>
      <c r="Z457" s="657"/>
      <c r="AA457" s="481"/>
      <c r="AC457" s="456" t="s">
        <v>1661</v>
      </c>
      <c r="AD457" s="522"/>
      <c r="AE457" s="699"/>
      <c r="AF457" s="456"/>
      <c r="AG457" s="699"/>
    </row>
    <row r="458" spans="1:33" s="454" customFormat="1" ht="23.25" x14ac:dyDescent="0.25">
      <c r="A458" s="507"/>
      <c r="B458" s="674" t="s">
        <v>1968</v>
      </c>
      <c r="C458" s="2672" t="s">
        <v>1969</v>
      </c>
      <c r="D458" s="2672"/>
      <c r="E458" s="2672"/>
      <c r="F458" s="675" t="s">
        <v>3051</v>
      </c>
      <c r="G458" s="676">
        <v>79.069999999999993</v>
      </c>
      <c r="H458" s="676" t="s">
        <v>1971</v>
      </c>
      <c r="I458" s="676">
        <v>1802.01</v>
      </c>
      <c r="J458" s="676"/>
      <c r="K458" s="676" t="s">
        <v>3052</v>
      </c>
      <c r="L458" s="677"/>
      <c r="M458" s="678"/>
      <c r="X458" s="656"/>
      <c r="Y458" s="657"/>
      <c r="Z458" s="657"/>
      <c r="AA458" s="481"/>
      <c r="AC458" s="456" t="s">
        <v>1969</v>
      </c>
      <c r="AD458" s="522"/>
      <c r="AE458" s="699"/>
      <c r="AF458" s="456"/>
      <c r="AG458" s="699"/>
    </row>
    <row r="459" spans="1:33" s="454" customFormat="1" ht="45.75" x14ac:dyDescent="0.25">
      <c r="A459" s="507"/>
      <c r="B459" s="674" t="s">
        <v>1973</v>
      </c>
      <c r="C459" s="2672" t="s">
        <v>1974</v>
      </c>
      <c r="D459" s="2672"/>
      <c r="E459" s="2672"/>
      <c r="F459" s="675" t="s">
        <v>3053</v>
      </c>
      <c r="G459" s="676">
        <v>70.010000000000005</v>
      </c>
      <c r="H459" s="676" t="s">
        <v>1976</v>
      </c>
      <c r="I459" s="676">
        <v>2147.21</v>
      </c>
      <c r="J459" s="676"/>
      <c r="K459" s="676" t="s">
        <v>3054</v>
      </c>
      <c r="L459" s="677"/>
      <c r="M459" s="678"/>
      <c r="X459" s="656"/>
      <c r="Y459" s="657"/>
      <c r="Z459" s="657"/>
      <c r="AA459" s="481"/>
      <c r="AC459" s="456" t="s">
        <v>1974</v>
      </c>
      <c r="AD459" s="522"/>
      <c r="AE459" s="699"/>
      <c r="AF459" s="456"/>
      <c r="AG459" s="699"/>
    </row>
    <row r="460" spans="1:33" s="454" customFormat="1" ht="57" x14ac:dyDescent="0.25">
      <c r="A460" s="507"/>
      <c r="B460" s="674" t="s">
        <v>1978</v>
      </c>
      <c r="C460" s="2672" t="s">
        <v>1979</v>
      </c>
      <c r="D460" s="2672"/>
      <c r="E460" s="2672"/>
      <c r="F460" s="675" t="s">
        <v>3055</v>
      </c>
      <c r="G460" s="676">
        <v>340</v>
      </c>
      <c r="H460" s="676" t="s">
        <v>1981</v>
      </c>
      <c r="I460" s="676">
        <v>1832467.4</v>
      </c>
      <c r="J460" s="676"/>
      <c r="K460" s="676" t="s">
        <v>3056</v>
      </c>
      <c r="L460" s="677"/>
      <c r="M460" s="678"/>
      <c r="X460" s="656"/>
      <c r="Y460" s="657"/>
      <c r="Z460" s="657"/>
      <c r="AA460" s="481"/>
      <c r="AC460" s="456" t="s">
        <v>1979</v>
      </c>
      <c r="AD460" s="522"/>
      <c r="AE460" s="699"/>
      <c r="AF460" s="456"/>
      <c r="AG460" s="699"/>
    </row>
    <row r="461" spans="1:33" s="454" customFormat="1" ht="34.5" x14ac:dyDescent="0.25">
      <c r="A461" s="507"/>
      <c r="B461" s="674" t="s">
        <v>1663</v>
      </c>
      <c r="C461" s="2672" t="s">
        <v>1664</v>
      </c>
      <c r="D461" s="2672"/>
      <c r="E461" s="2672"/>
      <c r="F461" s="675" t="s">
        <v>3057</v>
      </c>
      <c r="G461" s="676">
        <v>111.99</v>
      </c>
      <c r="H461" s="676" t="s">
        <v>1666</v>
      </c>
      <c r="I461" s="676">
        <v>3786.38</v>
      </c>
      <c r="J461" s="676"/>
      <c r="K461" s="676" t="s">
        <v>3058</v>
      </c>
      <c r="L461" s="677"/>
      <c r="M461" s="678"/>
      <c r="X461" s="656"/>
      <c r="Y461" s="657"/>
      <c r="Z461" s="657"/>
      <c r="AA461" s="481"/>
      <c r="AC461" s="456" t="s">
        <v>1664</v>
      </c>
      <c r="AD461" s="522"/>
      <c r="AE461" s="699"/>
      <c r="AF461" s="456"/>
      <c r="AG461" s="699"/>
    </row>
    <row r="462" spans="1:33" s="454" customFormat="1" ht="23.25" x14ac:dyDescent="0.25">
      <c r="A462" s="507"/>
      <c r="B462" s="674" t="s">
        <v>1985</v>
      </c>
      <c r="C462" s="2672" t="s">
        <v>1986</v>
      </c>
      <c r="D462" s="2672"/>
      <c r="E462" s="2672"/>
      <c r="F462" s="675" t="s">
        <v>3059</v>
      </c>
      <c r="G462" s="676">
        <v>26.5</v>
      </c>
      <c r="H462" s="676" t="s">
        <v>1988</v>
      </c>
      <c r="I462" s="676">
        <v>10899.45</v>
      </c>
      <c r="J462" s="676"/>
      <c r="K462" s="676" t="s">
        <v>3060</v>
      </c>
      <c r="L462" s="677"/>
      <c r="M462" s="678"/>
      <c r="X462" s="656"/>
      <c r="Y462" s="657"/>
      <c r="Z462" s="657"/>
      <c r="AA462" s="481"/>
      <c r="AC462" s="456" t="s">
        <v>1986</v>
      </c>
      <c r="AD462" s="522"/>
      <c r="AE462" s="699"/>
      <c r="AF462" s="456"/>
      <c r="AG462" s="699"/>
    </row>
    <row r="463" spans="1:33" s="454" customFormat="1" ht="34.5" x14ac:dyDescent="0.25">
      <c r="A463" s="507"/>
      <c r="B463" s="674" t="s">
        <v>821</v>
      </c>
      <c r="C463" s="2672" t="s">
        <v>1751</v>
      </c>
      <c r="D463" s="2672"/>
      <c r="E463" s="2672"/>
      <c r="F463" s="675" t="s">
        <v>3061</v>
      </c>
      <c r="G463" s="676">
        <v>65.709999999999994</v>
      </c>
      <c r="H463" s="676" t="s">
        <v>1753</v>
      </c>
      <c r="I463" s="676">
        <v>3326.24</v>
      </c>
      <c r="J463" s="676"/>
      <c r="K463" s="676" t="s">
        <v>3062</v>
      </c>
      <c r="L463" s="677"/>
      <c r="M463" s="678"/>
      <c r="X463" s="656"/>
      <c r="Y463" s="657"/>
      <c r="Z463" s="657"/>
      <c r="AA463" s="481"/>
      <c r="AC463" s="456" t="s">
        <v>1751</v>
      </c>
      <c r="AD463" s="522"/>
      <c r="AE463" s="699"/>
      <c r="AF463" s="456"/>
      <c r="AG463" s="699"/>
    </row>
    <row r="464" spans="1:33" s="454" customFormat="1" ht="23.25" x14ac:dyDescent="0.25">
      <c r="A464" s="515" t="s">
        <v>863</v>
      </c>
      <c r="B464" s="686" t="s">
        <v>1992</v>
      </c>
      <c r="C464" s="2683" t="s">
        <v>1993</v>
      </c>
      <c r="D464" s="2683"/>
      <c r="E464" s="2683"/>
      <c r="F464" s="687" t="s">
        <v>3063</v>
      </c>
      <c r="G464" s="688">
        <v>0</v>
      </c>
      <c r="H464" s="688"/>
      <c r="I464" s="688">
        <v>0</v>
      </c>
      <c r="J464" s="688"/>
      <c r="K464" s="688"/>
      <c r="L464" s="689"/>
      <c r="M464" s="690"/>
      <c r="X464" s="656"/>
      <c r="Y464" s="657"/>
      <c r="Z464" s="657"/>
      <c r="AA464" s="481"/>
      <c r="AC464" s="456"/>
      <c r="AD464" s="522" t="s">
        <v>1993</v>
      </c>
      <c r="AE464" s="699"/>
      <c r="AF464" s="456"/>
      <c r="AG464" s="699"/>
    </row>
    <row r="465" spans="1:33" s="454" customFormat="1" ht="57" x14ac:dyDescent="0.25">
      <c r="A465" s="507"/>
      <c r="B465" s="674" t="s">
        <v>1995</v>
      </c>
      <c r="C465" s="2672" t="s">
        <v>1996</v>
      </c>
      <c r="D465" s="2672"/>
      <c r="E465" s="2672"/>
      <c r="F465" s="675" t="s">
        <v>3064</v>
      </c>
      <c r="G465" s="676">
        <v>183.68</v>
      </c>
      <c r="H465" s="676"/>
      <c r="I465" s="676">
        <v>9264.82</v>
      </c>
      <c r="J465" s="676"/>
      <c r="K465" s="676"/>
      <c r="L465" s="677"/>
      <c r="M465" s="678"/>
      <c r="X465" s="656"/>
      <c r="Y465" s="657"/>
      <c r="Z465" s="657"/>
      <c r="AA465" s="481"/>
      <c r="AC465" s="456" t="s">
        <v>1996</v>
      </c>
      <c r="AD465" s="522"/>
      <c r="AE465" s="699"/>
      <c r="AF465" s="456"/>
      <c r="AG465" s="699"/>
    </row>
    <row r="466" spans="1:33" s="454" customFormat="1" ht="23.25" x14ac:dyDescent="0.25">
      <c r="A466" s="515" t="s">
        <v>863</v>
      </c>
      <c r="B466" s="686" t="s">
        <v>1998</v>
      </c>
      <c r="C466" s="2683" t="s">
        <v>1999</v>
      </c>
      <c r="D466" s="2683"/>
      <c r="E466" s="2683"/>
      <c r="F466" s="687" t="s">
        <v>3065</v>
      </c>
      <c r="G466" s="688">
        <v>0</v>
      </c>
      <c r="H466" s="688"/>
      <c r="I466" s="688">
        <v>0</v>
      </c>
      <c r="J466" s="688"/>
      <c r="K466" s="688"/>
      <c r="L466" s="689"/>
      <c r="M466" s="690"/>
      <c r="X466" s="656"/>
      <c r="Y466" s="657"/>
      <c r="Z466" s="657"/>
      <c r="AA466" s="481"/>
      <c r="AC466" s="456"/>
      <c r="AD466" s="522" t="s">
        <v>1999</v>
      </c>
      <c r="AE466" s="699"/>
      <c r="AF466" s="456"/>
      <c r="AG466" s="699"/>
    </row>
    <row r="467" spans="1:33" s="454" customFormat="1" ht="22.5" x14ac:dyDescent="0.25">
      <c r="A467" s="515" t="s">
        <v>860</v>
      </c>
      <c r="B467" s="686" t="s">
        <v>2001</v>
      </c>
      <c r="C467" s="2683" t="s">
        <v>2002</v>
      </c>
      <c r="D467" s="2683"/>
      <c r="E467" s="2683"/>
      <c r="F467" s="687" t="s">
        <v>1935</v>
      </c>
      <c r="G467" s="688">
        <v>0</v>
      </c>
      <c r="H467" s="688"/>
      <c r="I467" s="688">
        <v>0</v>
      </c>
      <c r="J467" s="688"/>
      <c r="K467" s="688"/>
      <c r="L467" s="689"/>
      <c r="M467" s="690"/>
      <c r="X467" s="656"/>
      <c r="Y467" s="657"/>
      <c r="Z467" s="657"/>
      <c r="AA467" s="481"/>
      <c r="AC467" s="456"/>
      <c r="AD467" s="522" t="s">
        <v>2002</v>
      </c>
      <c r="AE467" s="699"/>
      <c r="AF467" s="456"/>
      <c r="AG467" s="699"/>
    </row>
    <row r="468" spans="1:33" s="454" customFormat="1" ht="45" x14ac:dyDescent="0.25">
      <c r="A468" s="658" t="s">
        <v>1325</v>
      </c>
      <c r="B468" s="659" t="s">
        <v>2026</v>
      </c>
      <c r="C468" s="2673" t="s">
        <v>1254</v>
      </c>
      <c r="D468" s="2673"/>
      <c r="E468" s="2673"/>
      <c r="F468" s="679">
        <v>25.11</v>
      </c>
      <c r="G468" s="661">
        <v>480</v>
      </c>
      <c r="H468" s="661"/>
      <c r="I468" s="661">
        <v>12053</v>
      </c>
      <c r="J468" s="661"/>
      <c r="K468" s="662"/>
      <c r="L468" s="663">
        <v>0</v>
      </c>
      <c r="M468" s="663">
        <v>0</v>
      </c>
      <c r="X468" s="656"/>
      <c r="Y468" s="657"/>
      <c r="Z468" s="657"/>
      <c r="AA468" s="481" t="s">
        <v>1254</v>
      </c>
      <c r="AC468" s="456"/>
      <c r="AD468" s="522"/>
      <c r="AE468" s="699"/>
      <c r="AF468" s="456"/>
      <c r="AG468" s="699"/>
    </row>
    <row r="469" spans="1:33" s="454" customFormat="1" ht="15" x14ac:dyDescent="0.25">
      <c r="A469" s="664"/>
      <c r="B469" s="665"/>
      <c r="C469" s="666" t="s">
        <v>3066</v>
      </c>
      <c r="D469" s="667"/>
      <c r="E469" s="667"/>
      <c r="F469" s="667"/>
      <c r="G469" s="667"/>
      <c r="H469" s="667"/>
      <c r="I469" s="667"/>
      <c r="J469" s="667"/>
      <c r="K469" s="667"/>
      <c r="L469" s="667"/>
      <c r="M469" s="668"/>
      <c r="X469" s="656"/>
      <c r="Y469" s="657"/>
      <c r="Z469" s="657"/>
      <c r="AA469" s="481"/>
      <c r="AC469" s="456"/>
      <c r="AD469" s="522"/>
      <c r="AE469" s="699"/>
      <c r="AF469" s="456"/>
      <c r="AG469" s="699"/>
    </row>
    <row r="470" spans="1:33" s="454" customFormat="1" ht="45" x14ac:dyDescent="0.25">
      <c r="A470" s="658" t="s">
        <v>1327</v>
      </c>
      <c r="B470" s="659" t="s">
        <v>2028</v>
      </c>
      <c r="C470" s="2673" t="s">
        <v>1257</v>
      </c>
      <c r="D470" s="2673"/>
      <c r="E470" s="2673"/>
      <c r="F470" s="680">
        <v>17.600000000000001</v>
      </c>
      <c r="G470" s="661">
        <v>2.44</v>
      </c>
      <c r="H470" s="661"/>
      <c r="I470" s="661">
        <v>43</v>
      </c>
      <c r="J470" s="661"/>
      <c r="K470" s="662"/>
      <c r="L470" s="663">
        <v>0</v>
      </c>
      <c r="M470" s="663">
        <v>0</v>
      </c>
      <c r="X470" s="656"/>
      <c r="Y470" s="657"/>
      <c r="Z470" s="657"/>
      <c r="AA470" s="481" t="s">
        <v>1257</v>
      </c>
      <c r="AC470" s="456"/>
      <c r="AD470" s="522"/>
      <c r="AE470" s="699"/>
      <c r="AF470" s="456"/>
      <c r="AG470" s="699"/>
    </row>
    <row r="471" spans="1:33" s="454" customFormat="1" ht="15" x14ac:dyDescent="0.25">
      <c r="A471" s="664"/>
      <c r="B471" s="665"/>
      <c r="C471" s="666" t="s">
        <v>3067</v>
      </c>
      <c r="D471" s="667"/>
      <c r="E471" s="667"/>
      <c r="F471" s="667"/>
      <c r="G471" s="667"/>
      <c r="H471" s="667"/>
      <c r="I471" s="667"/>
      <c r="J471" s="667"/>
      <c r="K471" s="667"/>
      <c r="L471" s="667"/>
      <c r="M471" s="668"/>
      <c r="X471" s="656"/>
      <c r="Y471" s="657"/>
      <c r="Z471" s="657"/>
      <c r="AA471" s="481"/>
      <c r="AC471" s="456"/>
      <c r="AD471" s="522"/>
      <c r="AE471" s="699"/>
      <c r="AF471" s="456"/>
      <c r="AG471" s="699"/>
    </row>
    <row r="472" spans="1:33" s="454" customFormat="1" ht="45.75" x14ac:dyDescent="0.25">
      <c r="A472" s="658" t="s">
        <v>1329</v>
      </c>
      <c r="B472" s="659" t="s">
        <v>2030</v>
      </c>
      <c r="C472" s="2673" t="s">
        <v>2031</v>
      </c>
      <c r="D472" s="2673"/>
      <c r="E472" s="2673"/>
      <c r="F472" s="679">
        <v>8.3699999999999992</v>
      </c>
      <c r="G472" s="661" t="s">
        <v>2032</v>
      </c>
      <c r="H472" s="661" t="s">
        <v>2033</v>
      </c>
      <c r="I472" s="661">
        <v>93690</v>
      </c>
      <c r="J472" s="661">
        <v>12565</v>
      </c>
      <c r="K472" s="662" t="s">
        <v>3068</v>
      </c>
      <c r="L472" s="671">
        <v>156.04499999999999</v>
      </c>
      <c r="M472" s="692">
        <v>1306.0999999999999</v>
      </c>
      <c r="X472" s="656"/>
      <c r="Y472" s="657"/>
      <c r="Z472" s="657"/>
      <c r="AA472" s="481" t="s">
        <v>2031</v>
      </c>
      <c r="AC472" s="456"/>
      <c r="AD472" s="522"/>
      <c r="AE472" s="699"/>
      <c r="AF472" s="456"/>
      <c r="AG472" s="699"/>
    </row>
    <row r="473" spans="1:33" s="454" customFormat="1" ht="15" x14ac:dyDescent="0.25">
      <c r="A473" s="664"/>
      <c r="B473" s="665"/>
      <c r="C473" s="666" t="s">
        <v>3069</v>
      </c>
      <c r="D473" s="667"/>
      <c r="E473" s="667"/>
      <c r="F473" s="667"/>
      <c r="G473" s="667"/>
      <c r="H473" s="667"/>
      <c r="I473" s="667"/>
      <c r="J473" s="667"/>
      <c r="K473" s="667"/>
      <c r="L473" s="667"/>
      <c r="M473" s="668"/>
      <c r="X473" s="656"/>
      <c r="Y473" s="657"/>
      <c r="Z473" s="657"/>
      <c r="AA473" s="481"/>
      <c r="AC473" s="456"/>
      <c r="AD473" s="522"/>
      <c r="AE473" s="699"/>
      <c r="AF473" s="456"/>
      <c r="AG473" s="699"/>
    </row>
    <row r="474" spans="1:33" s="454" customFormat="1" ht="15" x14ac:dyDescent="0.25">
      <c r="A474" s="542"/>
      <c r="B474" s="665"/>
      <c r="C474" s="666" t="s">
        <v>2036</v>
      </c>
      <c r="D474" s="667"/>
      <c r="E474" s="667"/>
      <c r="F474" s="667"/>
      <c r="G474" s="667"/>
      <c r="H474" s="667"/>
      <c r="I474" s="667"/>
      <c r="J474" s="667"/>
      <c r="K474" s="667"/>
      <c r="L474" s="667"/>
      <c r="M474" s="669"/>
      <c r="X474" s="656"/>
      <c r="Y474" s="657"/>
      <c r="Z474" s="657"/>
      <c r="AA474" s="481"/>
      <c r="AC474" s="456"/>
      <c r="AD474" s="522"/>
      <c r="AE474" s="699"/>
      <c r="AF474" s="456"/>
      <c r="AG474" s="699"/>
    </row>
    <row r="475" spans="1:33" s="454" customFormat="1" ht="33.75" x14ac:dyDescent="0.25">
      <c r="A475" s="542"/>
      <c r="B475" s="673" t="s">
        <v>1655</v>
      </c>
      <c r="C475" s="2670" t="s">
        <v>1656</v>
      </c>
      <c r="D475" s="2670"/>
      <c r="E475" s="2670"/>
      <c r="F475" s="2670"/>
      <c r="G475" s="2670"/>
      <c r="H475" s="2670"/>
      <c r="I475" s="2670"/>
      <c r="J475" s="2670"/>
      <c r="K475" s="2670"/>
      <c r="L475" s="2670"/>
      <c r="M475" s="2671"/>
      <c r="X475" s="656"/>
      <c r="Y475" s="657"/>
      <c r="Z475" s="657"/>
      <c r="AA475" s="481"/>
      <c r="AB475" s="491" t="s">
        <v>1656</v>
      </c>
      <c r="AC475" s="456"/>
      <c r="AD475" s="522"/>
      <c r="AE475" s="699"/>
      <c r="AF475" s="456"/>
      <c r="AG475" s="699"/>
    </row>
    <row r="476" spans="1:33" s="454" customFormat="1" ht="15" x14ac:dyDescent="0.25">
      <c r="A476" s="823"/>
      <c r="B476" s="824"/>
      <c r="C476" s="824"/>
      <c r="D476" s="824"/>
      <c r="E476" s="825" t="s">
        <v>3070</v>
      </c>
      <c r="F476" s="826"/>
      <c r="G476" s="827"/>
      <c r="H476" s="648"/>
      <c r="I476" s="828">
        <v>17546</v>
      </c>
      <c r="J476" s="829"/>
      <c r="K476" s="829"/>
      <c r="L476" s="830"/>
      <c r="M476" s="831"/>
      <c r="X476" s="656"/>
      <c r="Y476" s="657"/>
      <c r="Z476" s="657"/>
      <c r="AA476" s="481"/>
      <c r="AC476" s="456"/>
      <c r="AD476" s="522"/>
      <c r="AE476" s="699"/>
      <c r="AF476" s="456"/>
      <c r="AG476" s="699"/>
    </row>
    <row r="477" spans="1:33" s="454" customFormat="1" ht="15" x14ac:dyDescent="0.25">
      <c r="A477" s="823"/>
      <c r="B477" s="824"/>
      <c r="C477" s="824"/>
      <c r="D477" s="824"/>
      <c r="E477" s="825" t="s">
        <v>3071</v>
      </c>
      <c r="F477" s="826"/>
      <c r="G477" s="827"/>
      <c r="H477" s="648"/>
      <c r="I477" s="828">
        <v>12101</v>
      </c>
      <c r="J477" s="829"/>
      <c r="K477" s="829"/>
      <c r="L477" s="830"/>
      <c r="M477" s="831"/>
      <c r="X477" s="656"/>
      <c r="Y477" s="657"/>
      <c r="Z477" s="657"/>
      <c r="AA477" s="481"/>
      <c r="AC477" s="456"/>
      <c r="AD477" s="522"/>
      <c r="AE477" s="699"/>
      <c r="AF477" s="456"/>
      <c r="AG477" s="699"/>
    </row>
    <row r="478" spans="1:33" s="454" customFormat="1" ht="15" x14ac:dyDescent="0.25">
      <c r="A478" s="823"/>
      <c r="B478" s="824"/>
      <c r="C478" s="824"/>
      <c r="D478" s="824"/>
      <c r="E478" s="825" t="s">
        <v>2692</v>
      </c>
      <c r="F478" s="826"/>
      <c r="G478" s="827"/>
      <c r="H478" s="648"/>
      <c r="I478" s="828">
        <v>123337</v>
      </c>
      <c r="J478" s="829"/>
      <c r="K478" s="829"/>
      <c r="L478" s="830"/>
      <c r="M478" s="831"/>
      <c r="X478" s="656"/>
      <c r="Y478" s="657"/>
      <c r="Z478" s="657"/>
      <c r="AA478" s="481"/>
      <c r="AC478" s="456"/>
      <c r="AD478" s="522"/>
      <c r="AE478" s="699"/>
      <c r="AF478" s="456"/>
      <c r="AG478" s="699"/>
    </row>
    <row r="479" spans="1:33" s="454" customFormat="1" ht="23.25" x14ac:dyDescent="0.25">
      <c r="A479" s="507"/>
      <c r="B479" s="674" t="s">
        <v>1883</v>
      </c>
      <c r="C479" s="2672" t="s">
        <v>1884</v>
      </c>
      <c r="D479" s="2672"/>
      <c r="E479" s="2672"/>
      <c r="F479" s="675" t="s">
        <v>3072</v>
      </c>
      <c r="G479" s="676" t="s">
        <v>1886</v>
      </c>
      <c r="H479" s="676"/>
      <c r="I479" s="676">
        <v>12564.68</v>
      </c>
      <c r="J479" s="676">
        <v>12564.68</v>
      </c>
      <c r="K479" s="676"/>
      <c r="L479" s="677"/>
      <c r="M479" s="678"/>
      <c r="X479" s="656"/>
      <c r="Y479" s="657"/>
      <c r="Z479" s="657"/>
      <c r="AA479" s="481"/>
      <c r="AC479" s="456" t="s">
        <v>1884</v>
      </c>
      <c r="AD479" s="522"/>
      <c r="AE479" s="699"/>
      <c r="AF479" s="456"/>
      <c r="AG479" s="699"/>
    </row>
    <row r="480" spans="1:33" s="454" customFormat="1" ht="23.25" x14ac:dyDescent="0.25">
      <c r="A480" s="507"/>
      <c r="B480" s="674" t="s">
        <v>639</v>
      </c>
      <c r="C480" s="2672" t="s">
        <v>1661</v>
      </c>
      <c r="D480" s="2672"/>
      <c r="E480" s="2672"/>
      <c r="F480" s="675" t="s">
        <v>3073</v>
      </c>
      <c r="G480" s="676">
        <v>0</v>
      </c>
      <c r="H480" s="676">
        <v>0</v>
      </c>
      <c r="I480" s="676">
        <v>0</v>
      </c>
      <c r="J480" s="676"/>
      <c r="K480" s="676">
        <v>0</v>
      </c>
      <c r="L480" s="677"/>
      <c r="M480" s="678"/>
      <c r="X480" s="656"/>
      <c r="Y480" s="657"/>
      <c r="Z480" s="657"/>
      <c r="AA480" s="481"/>
      <c r="AC480" s="456" t="s">
        <v>1661</v>
      </c>
      <c r="AD480" s="522"/>
      <c r="AE480" s="699"/>
      <c r="AF480" s="456"/>
      <c r="AG480" s="699"/>
    </row>
    <row r="481" spans="1:33" s="454" customFormat="1" ht="45.75" x14ac:dyDescent="0.25">
      <c r="A481" s="507"/>
      <c r="B481" s="674" t="s">
        <v>2039</v>
      </c>
      <c r="C481" s="2672" t="s">
        <v>2040</v>
      </c>
      <c r="D481" s="2672"/>
      <c r="E481" s="2672"/>
      <c r="F481" s="675" t="s">
        <v>3074</v>
      </c>
      <c r="G481" s="676">
        <v>179.46</v>
      </c>
      <c r="H481" s="676" t="s">
        <v>2042</v>
      </c>
      <c r="I481" s="676">
        <v>10830.41</v>
      </c>
      <c r="J481" s="676"/>
      <c r="K481" s="676" t="s">
        <v>3075</v>
      </c>
      <c r="L481" s="677"/>
      <c r="M481" s="678"/>
      <c r="X481" s="656"/>
      <c r="Y481" s="657"/>
      <c r="Z481" s="657"/>
      <c r="AA481" s="481"/>
      <c r="AC481" s="456" t="s">
        <v>2040</v>
      </c>
      <c r="AD481" s="522"/>
      <c r="AE481" s="699"/>
      <c r="AF481" s="456"/>
      <c r="AG481" s="699"/>
    </row>
    <row r="482" spans="1:33" s="454" customFormat="1" ht="34.5" x14ac:dyDescent="0.25">
      <c r="A482" s="507"/>
      <c r="B482" s="674" t="s">
        <v>1663</v>
      </c>
      <c r="C482" s="2672" t="s">
        <v>1664</v>
      </c>
      <c r="D482" s="2672"/>
      <c r="E482" s="2672"/>
      <c r="F482" s="675" t="s">
        <v>3076</v>
      </c>
      <c r="G482" s="676">
        <v>111.99</v>
      </c>
      <c r="H482" s="676" t="s">
        <v>1666</v>
      </c>
      <c r="I482" s="676">
        <v>178.06</v>
      </c>
      <c r="J482" s="676"/>
      <c r="K482" s="676" t="s">
        <v>3077</v>
      </c>
      <c r="L482" s="677"/>
      <c r="M482" s="678"/>
      <c r="X482" s="656"/>
      <c r="Y482" s="657"/>
      <c r="Z482" s="657"/>
      <c r="AA482" s="481"/>
      <c r="AC482" s="456" t="s">
        <v>1664</v>
      </c>
      <c r="AD482" s="522"/>
      <c r="AE482" s="699"/>
      <c r="AF482" s="456"/>
      <c r="AG482" s="699"/>
    </row>
    <row r="483" spans="1:33" s="454" customFormat="1" ht="34.5" x14ac:dyDescent="0.25">
      <c r="A483" s="507"/>
      <c r="B483" s="674" t="s">
        <v>2046</v>
      </c>
      <c r="C483" s="2672" t="s">
        <v>2047</v>
      </c>
      <c r="D483" s="2672"/>
      <c r="E483" s="2672"/>
      <c r="F483" s="675" t="s">
        <v>3078</v>
      </c>
      <c r="G483" s="676">
        <v>6.9</v>
      </c>
      <c r="H483" s="676" t="s">
        <v>2049</v>
      </c>
      <c r="I483" s="676">
        <v>215.97</v>
      </c>
      <c r="J483" s="676"/>
      <c r="K483" s="676" t="s">
        <v>3079</v>
      </c>
      <c r="L483" s="677"/>
      <c r="M483" s="678"/>
      <c r="X483" s="656"/>
      <c r="Y483" s="657"/>
      <c r="Z483" s="657"/>
      <c r="AA483" s="481"/>
      <c r="AC483" s="456" t="s">
        <v>2047</v>
      </c>
      <c r="AD483" s="522"/>
      <c r="AE483" s="699"/>
      <c r="AF483" s="456"/>
      <c r="AG483" s="699"/>
    </row>
    <row r="484" spans="1:33" s="454" customFormat="1" ht="34.5" x14ac:dyDescent="0.25">
      <c r="A484" s="507"/>
      <c r="B484" s="674" t="s">
        <v>2051</v>
      </c>
      <c r="C484" s="2672" t="s">
        <v>2052</v>
      </c>
      <c r="D484" s="2672"/>
      <c r="E484" s="2672"/>
      <c r="F484" s="675" t="s">
        <v>3080</v>
      </c>
      <c r="G484" s="676">
        <v>80.349999999999994</v>
      </c>
      <c r="H484" s="676" t="s">
        <v>2054</v>
      </c>
      <c r="I484" s="676">
        <v>24937.43</v>
      </c>
      <c r="J484" s="676"/>
      <c r="K484" s="676" t="s">
        <v>3081</v>
      </c>
      <c r="L484" s="677"/>
      <c r="M484" s="678"/>
      <c r="X484" s="656"/>
      <c r="Y484" s="657"/>
      <c r="Z484" s="657"/>
      <c r="AA484" s="481"/>
      <c r="AC484" s="456" t="s">
        <v>2052</v>
      </c>
      <c r="AD484" s="522"/>
      <c r="AE484" s="699"/>
      <c r="AF484" s="456"/>
      <c r="AG484" s="699"/>
    </row>
    <row r="485" spans="1:33" s="454" customFormat="1" ht="34.5" x14ac:dyDescent="0.25">
      <c r="A485" s="507"/>
      <c r="B485" s="674" t="s">
        <v>821</v>
      </c>
      <c r="C485" s="2672" t="s">
        <v>1751</v>
      </c>
      <c r="D485" s="2672"/>
      <c r="E485" s="2672"/>
      <c r="F485" s="675" t="s">
        <v>3082</v>
      </c>
      <c r="G485" s="676">
        <v>65.709999999999994</v>
      </c>
      <c r="H485" s="676" t="s">
        <v>1753</v>
      </c>
      <c r="I485" s="676">
        <v>241.81</v>
      </c>
      <c r="J485" s="676"/>
      <c r="K485" s="676" t="s">
        <v>3083</v>
      </c>
      <c r="L485" s="677"/>
      <c r="M485" s="678"/>
      <c r="X485" s="656"/>
      <c r="Y485" s="657"/>
      <c r="Z485" s="657"/>
      <c r="AA485" s="481"/>
      <c r="AC485" s="456" t="s">
        <v>1751</v>
      </c>
      <c r="AD485" s="522"/>
      <c r="AE485" s="699"/>
      <c r="AF485" s="456"/>
      <c r="AG485" s="699"/>
    </row>
    <row r="486" spans="1:33" s="454" customFormat="1" ht="23.25" x14ac:dyDescent="0.25">
      <c r="A486" s="515" t="s">
        <v>860</v>
      </c>
      <c r="B486" s="686" t="s">
        <v>1755</v>
      </c>
      <c r="C486" s="2683" t="s">
        <v>1257</v>
      </c>
      <c r="D486" s="2683"/>
      <c r="E486" s="2683"/>
      <c r="F486" s="687" t="s">
        <v>1935</v>
      </c>
      <c r="G486" s="688">
        <v>2.44</v>
      </c>
      <c r="H486" s="688"/>
      <c r="I486" s="688">
        <v>0</v>
      </c>
      <c r="J486" s="688"/>
      <c r="K486" s="688"/>
      <c r="L486" s="689"/>
      <c r="M486" s="690"/>
      <c r="X486" s="656"/>
      <c r="Y486" s="657"/>
      <c r="Z486" s="657"/>
      <c r="AA486" s="481"/>
      <c r="AC486" s="456"/>
      <c r="AD486" s="522" t="s">
        <v>1257</v>
      </c>
      <c r="AE486" s="699"/>
      <c r="AF486" s="456"/>
      <c r="AG486" s="699"/>
    </row>
    <row r="487" spans="1:33" s="454" customFormat="1" ht="23.25" x14ac:dyDescent="0.25">
      <c r="A487" s="507"/>
      <c r="B487" s="674" t="s">
        <v>2058</v>
      </c>
      <c r="C487" s="2672" t="s">
        <v>2059</v>
      </c>
      <c r="D487" s="2672"/>
      <c r="E487" s="2672"/>
      <c r="F487" s="675" t="s">
        <v>3084</v>
      </c>
      <c r="G487" s="676">
        <v>30030</v>
      </c>
      <c r="H487" s="676"/>
      <c r="I487" s="676">
        <v>21.02</v>
      </c>
      <c r="J487" s="676"/>
      <c r="K487" s="676"/>
      <c r="L487" s="677"/>
      <c r="M487" s="678"/>
      <c r="X487" s="656"/>
      <c r="Y487" s="657"/>
      <c r="Z487" s="657"/>
      <c r="AA487" s="481"/>
      <c r="AC487" s="456" t="s">
        <v>2059</v>
      </c>
      <c r="AD487" s="522"/>
      <c r="AE487" s="699"/>
      <c r="AF487" s="456"/>
      <c r="AG487" s="699"/>
    </row>
    <row r="488" spans="1:33" s="454" customFormat="1" ht="23.25" x14ac:dyDescent="0.25">
      <c r="A488" s="507"/>
      <c r="B488" s="674" t="s">
        <v>1823</v>
      </c>
      <c r="C488" s="2672" t="s">
        <v>1824</v>
      </c>
      <c r="D488" s="2672"/>
      <c r="E488" s="2672"/>
      <c r="F488" s="675" t="s">
        <v>3085</v>
      </c>
      <c r="G488" s="676">
        <v>9040.01</v>
      </c>
      <c r="H488" s="676"/>
      <c r="I488" s="676">
        <v>150.97</v>
      </c>
      <c r="J488" s="676"/>
      <c r="K488" s="676"/>
      <c r="L488" s="677"/>
      <c r="M488" s="678"/>
      <c r="X488" s="656"/>
      <c r="Y488" s="657"/>
      <c r="Z488" s="657"/>
      <c r="AA488" s="481"/>
      <c r="AC488" s="456" t="s">
        <v>1824</v>
      </c>
      <c r="AD488" s="522"/>
      <c r="AE488" s="699"/>
      <c r="AF488" s="456"/>
      <c r="AG488" s="699"/>
    </row>
    <row r="489" spans="1:33" s="454" customFormat="1" ht="45.75" x14ac:dyDescent="0.25">
      <c r="A489" s="507"/>
      <c r="B489" s="674" t="s">
        <v>2062</v>
      </c>
      <c r="C489" s="2672" t="s">
        <v>2063</v>
      </c>
      <c r="D489" s="2672"/>
      <c r="E489" s="2672"/>
      <c r="F489" s="675" t="s">
        <v>3086</v>
      </c>
      <c r="G489" s="676">
        <v>67.099999999999994</v>
      </c>
      <c r="H489" s="676"/>
      <c r="I489" s="676">
        <v>561.63</v>
      </c>
      <c r="J489" s="676"/>
      <c r="K489" s="676"/>
      <c r="L489" s="677"/>
      <c r="M489" s="678"/>
      <c r="X489" s="656"/>
      <c r="Y489" s="657"/>
      <c r="Z489" s="657"/>
      <c r="AA489" s="481"/>
      <c r="AC489" s="456" t="s">
        <v>2063</v>
      </c>
      <c r="AD489" s="522"/>
      <c r="AE489" s="699"/>
      <c r="AF489" s="456"/>
      <c r="AG489" s="699"/>
    </row>
    <row r="490" spans="1:33" s="454" customFormat="1" ht="23.25" x14ac:dyDescent="0.25">
      <c r="A490" s="515" t="s">
        <v>860</v>
      </c>
      <c r="B490" s="686" t="s">
        <v>2065</v>
      </c>
      <c r="C490" s="2683" t="s">
        <v>2066</v>
      </c>
      <c r="D490" s="2683"/>
      <c r="E490" s="2683"/>
      <c r="F490" s="687" t="s">
        <v>1935</v>
      </c>
      <c r="G490" s="688">
        <v>0</v>
      </c>
      <c r="H490" s="688"/>
      <c r="I490" s="688">
        <v>0</v>
      </c>
      <c r="J490" s="688"/>
      <c r="K490" s="688"/>
      <c r="L490" s="689"/>
      <c r="M490" s="690"/>
      <c r="X490" s="656"/>
      <c r="Y490" s="657"/>
      <c r="Z490" s="657"/>
      <c r="AA490" s="481"/>
      <c r="AC490" s="456"/>
      <c r="AD490" s="522" t="s">
        <v>2066</v>
      </c>
      <c r="AE490" s="699"/>
      <c r="AF490" s="456"/>
      <c r="AG490" s="699"/>
    </row>
    <row r="491" spans="1:33" s="454" customFormat="1" ht="34.5" x14ac:dyDescent="0.25">
      <c r="A491" s="515" t="s">
        <v>860</v>
      </c>
      <c r="B491" s="686" t="s">
        <v>2067</v>
      </c>
      <c r="C491" s="2683" t="s">
        <v>2068</v>
      </c>
      <c r="D491" s="2683"/>
      <c r="E491" s="2683"/>
      <c r="F491" s="687" t="s">
        <v>1935</v>
      </c>
      <c r="G491" s="688">
        <v>412</v>
      </c>
      <c r="H491" s="688"/>
      <c r="I491" s="688">
        <v>0</v>
      </c>
      <c r="J491" s="688"/>
      <c r="K491" s="688"/>
      <c r="L491" s="689"/>
      <c r="M491" s="690"/>
      <c r="X491" s="656"/>
      <c r="Y491" s="657"/>
      <c r="Z491" s="657"/>
      <c r="AA491" s="481"/>
      <c r="AC491" s="456"/>
      <c r="AD491" s="522" t="s">
        <v>2068</v>
      </c>
      <c r="AE491" s="699"/>
      <c r="AF491" s="456"/>
      <c r="AG491" s="699"/>
    </row>
    <row r="492" spans="1:33" s="454" customFormat="1" ht="45.75" x14ac:dyDescent="0.25">
      <c r="A492" s="507" t="s">
        <v>2069</v>
      </c>
      <c r="B492" s="674" t="s">
        <v>2070</v>
      </c>
      <c r="C492" s="2672" t="s">
        <v>2071</v>
      </c>
      <c r="D492" s="2672"/>
      <c r="E492" s="2672"/>
      <c r="F492" s="675" t="s">
        <v>3087</v>
      </c>
      <c r="G492" s="676">
        <v>1553</v>
      </c>
      <c r="H492" s="676"/>
      <c r="I492" s="676">
        <v>16896.64</v>
      </c>
      <c r="J492" s="676"/>
      <c r="K492" s="676"/>
      <c r="L492" s="677"/>
      <c r="M492" s="678"/>
      <c r="X492" s="656"/>
      <c r="Y492" s="657"/>
      <c r="Z492" s="657"/>
      <c r="AA492" s="481"/>
      <c r="AC492" s="456"/>
      <c r="AD492" s="522"/>
      <c r="AE492" s="699"/>
      <c r="AF492" s="456" t="s">
        <v>2071</v>
      </c>
      <c r="AG492" s="699"/>
    </row>
    <row r="493" spans="1:33" s="454" customFormat="1" ht="45.75" x14ac:dyDescent="0.25">
      <c r="A493" s="693" t="s">
        <v>1936</v>
      </c>
      <c r="B493" s="694" t="s">
        <v>2070</v>
      </c>
      <c r="C493" s="2684" t="s">
        <v>2071</v>
      </c>
      <c r="D493" s="2684"/>
      <c r="E493" s="2684"/>
      <c r="F493" s="695" t="s">
        <v>3088</v>
      </c>
      <c r="G493" s="696">
        <v>1553</v>
      </c>
      <c r="H493" s="696"/>
      <c r="I493" s="696">
        <v>168966.39999999999</v>
      </c>
      <c r="J493" s="696"/>
      <c r="K493" s="696"/>
      <c r="L493" s="697"/>
      <c r="M493" s="698"/>
      <c r="X493" s="656"/>
      <c r="Y493" s="657"/>
      <c r="Z493" s="657"/>
      <c r="AA493" s="481"/>
      <c r="AC493" s="456"/>
      <c r="AD493" s="522"/>
      <c r="AE493" s="699"/>
      <c r="AF493" s="456"/>
      <c r="AG493" s="699" t="s">
        <v>2071</v>
      </c>
    </row>
    <row r="494" spans="1:33" s="454" customFormat="1" ht="23.25" x14ac:dyDescent="0.25">
      <c r="A494" s="515" t="s">
        <v>863</v>
      </c>
      <c r="B494" s="686" t="s">
        <v>2074</v>
      </c>
      <c r="C494" s="2683" t="s">
        <v>2075</v>
      </c>
      <c r="D494" s="2683"/>
      <c r="E494" s="2683"/>
      <c r="F494" s="687" t="s">
        <v>3089</v>
      </c>
      <c r="G494" s="688">
        <v>0</v>
      </c>
      <c r="H494" s="688"/>
      <c r="I494" s="688">
        <v>0</v>
      </c>
      <c r="J494" s="688"/>
      <c r="K494" s="688"/>
      <c r="L494" s="689"/>
      <c r="M494" s="690"/>
      <c r="X494" s="656"/>
      <c r="Y494" s="657"/>
      <c r="Z494" s="657"/>
      <c r="AA494" s="481"/>
      <c r="AC494" s="456"/>
      <c r="AD494" s="522" t="s">
        <v>2075</v>
      </c>
      <c r="AE494" s="699"/>
      <c r="AF494" s="456"/>
      <c r="AG494" s="699"/>
    </row>
    <row r="495" spans="1:33" s="454" customFormat="1" ht="23.25" x14ac:dyDescent="0.25">
      <c r="A495" s="507"/>
      <c r="B495" s="674" t="s">
        <v>2077</v>
      </c>
      <c r="C495" s="2672" t="s">
        <v>2078</v>
      </c>
      <c r="D495" s="2672"/>
      <c r="E495" s="2672"/>
      <c r="F495" s="675" t="s">
        <v>3090</v>
      </c>
      <c r="G495" s="676">
        <v>176.1</v>
      </c>
      <c r="H495" s="676"/>
      <c r="I495" s="676">
        <v>1179.17</v>
      </c>
      <c r="J495" s="676"/>
      <c r="K495" s="676"/>
      <c r="L495" s="677"/>
      <c r="M495" s="678"/>
      <c r="X495" s="656"/>
      <c r="Y495" s="657"/>
      <c r="Z495" s="657"/>
      <c r="AA495" s="481"/>
      <c r="AC495" s="456" t="s">
        <v>2078</v>
      </c>
      <c r="AD495" s="522"/>
      <c r="AE495" s="699"/>
      <c r="AF495" s="456"/>
      <c r="AG495" s="699"/>
    </row>
    <row r="496" spans="1:33" s="454" customFormat="1" ht="23.25" x14ac:dyDescent="0.25">
      <c r="A496" s="507"/>
      <c r="B496" s="674" t="s">
        <v>2080</v>
      </c>
      <c r="C496" s="2672" t="s">
        <v>2081</v>
      </c>
      <c r="D496" s="2672"/>
      <c r="E496" s="2672"/>
      <c r="F496" s="675" t="s">
        <v>3091</v>
      </c>
      <c r="G496" s="676">
        <v>207.8</v>
      </c>
      <c r="H496" s="676"/>
      <c r="I496" s="676">
        <v>1356.73</v>
      </c>
      <c r="J496" s="676"/>
      <c r="K496" s="676"/>
      <c r="L496" s="677"/>
      <c r="M496" s="678"/>
      <c r="X496" s="656"/>
      <c r="Y496" s="657"/>
      <c r="Z496" s="657"/>
      <c r="AA496" s="481"/>
      <c r="AC496" s="456" t="s">
        <v>2081</v>
      </c>
      <c r="AD496" s="522"/>
      <c r="AE496" s="699"/>
      <c r="AF496" s="456"/>
      <c r="AG496" s="699"/>
    </row>
    <row r="497" spans="1:33" s="454" customFormat="1" ht="23.25" x14ac:dyDescent="0.25">
      <c r="A497" s="507"/>
      <c r="B497" s="674" t="s">
        <v>2083</v>
      </c>
      <c r="C497" s="2672" t="s">
        <v>2084</v>
      </c>
      <c r="D497" s="2672"/>
      <c r="E497" s="2672"/>
      <c r="F497" s="675" t="s">
        <v>3092</v>
      </c>
      <c r="G497" s="676">
        <v>3468.64</v>
      </c>
      <c r="H497" s="676"/>
      <c r="I497" s="676">
        <v>5806.5</v>
      </c>
      <c r="J497" s="676"/>
      <c r="K497" s="676"/>
      <c r="L497" s="677"/>
      <c r="M497" s="678"/>
      <c r="X497" s="656"/>
      <c r="Y497" s="657"/>
      <c r="Z497" s="657"/>
      <c r="AA497" s="481"/>
      <c r="AC497" s="456" t="s">
        <v>2084</v>
      </c>
      <c r="AD497" s="522"/>
      <c r="AE497" s="699"/>
      <c r="AF497" s="456"/>
      <c r="AG497" s="699"/>
    </row>
    <row r="498" spans="1:33" s="454" customFormat="1" ht="23.25" x14ac:dyDescent="0.25">
      <c r="A498" s="515" t="s">
        <v>863</v>
      </c>
      <c r="B498" s="686" t="s">
        <v>2086</v>
      </c>
      <c r="C498" s="2683" t="s">
        <v>2087</v>
      </c>
      <c r="D498" s="2683"/>
      <c r="E498" s="2683"/>
      <c r="F498" s="687" t="s">
        <v>3093</v>
      </c>
      <c r="G498" s="688">
        <v>0</v>
      </c>
      <c r="H498" s="688"/>
      <c r="I498" s="688">
        <v>0</v>
      </c>
      <c r="J498" s="688"/>
      <c r="K498" s="688"/>
      <c r="L498" s="689"/>
      <c r="M498" s="690"/>
      <c r="X498" s="656"/>
      <c r="Y498" s="657"/>
      <c r="Z498" s="657"/>
      <c r="AA498" s="481"/>
      <c r="AC498" s="456"/>
      <c r="AD498" s="522" t="s">
        <v>2087</v>
      </c>
      <c r="AE498" s="699"/>
      <c r="AF498" s="456"/>
      <c r="AG498" s="699"/>
    </row>
    <row r="499" spans="1:33" s="454" customFormat="1" ht="34.5" x14ac:dyDescent="0.25">
      <c r="A499" s="507"/>
      <c r="B499" s="674" t="s">
        <v>2089</v>
      </c>
      <c r="C499" s="2672" t="s">
        <v>2090</v>
      </c>
      <c r="D499" s="2672"/>
      <c r="E499" s="2672"/>
      <c r="F499" s="675" t="s">
        <v>3094</v>
      </c>
      <c r="G499" s="676">
        <v>11.99</v>
      </c>
      <c r="H499" s="676"/>
      <c r="I499" s="676">
        <v>301.07</v>
      </c>
      <c r="J499" s="676"/>
      <c r="K499" s="676"/>
      <c r="L499" s="677"/>
      <c r="M499" s="678"/>
      <c r="X499" s="656"/>
      <c r="Y499" s="657"/>
      <c r="Z499" s="657"/>
      <c r="AA499" s="481"/>
      <c r="AC499" s="456" t="s">
        <v>2090</v>
      </c>
      <c r="AD499" s="522"/>
      <c r="AE499" s="699"/>
      <c r="AF499" s="456"/>
      <c r="AG499" s="699"/>
    </row>
    <row r="500" spans="1:33" s="454" customFormat="1" ht="45.75" x14ac:dyDescent="0.25">
      <c r="A500" s="507"/>
      <c r="B500" s="674" t="s">
        <v>2092</v>
      </c>
      <c r="C500" s="2672" t="s">
        <v>2093</v>
      </c>
      <c r="D500" s="2672"/>
      <c r="E500" s="2672"/>
      <c r="F500" s="675" t="s">
        <v>3095</v>
      </c>
      <c r="G500" s="676">
        <v>272.62</v>
      </c>
      <c r="H500" s="676"/>
      <c r="I500" s="676">
        <v>114.09</v>
      </c>
      <c r="J500" s="676"/>
      <c r="K500" s="676"/>
      <c r="L500" s="677"/>
      <c r="M500" s="678"/>
      <c r="X500" s="656"/>
      <c r="Y500" s="657"/>
      <c r="Z500" s="657"/>
      <c r="AA500" s="481"/>
      <c r="AC500" s="456" t="s">
        <v>2093</v>
      </c>
      <c r="AD500" s="522"/>
      <c r="AE500" s="699"/>
      <c r="AF500" s="456"/>
      <c r="AG500" s="699"/>
    </row>
    <row r="501" spans="1:33" s="454" customFormat="1" ht="57" x14ac:dyDescent="0.25">
      <c r="A501" s="507"/>
      <c r="B501" s="674" t="s">
        <v>2095</v>
      </c>
      <c r="C501" s="2672" t="s">
        <v>2096</v>
      </c>
      <c r="D501" s="2672"/>
      <c r="E501" s="2672"/>
      <c r="F501" s="675" t="s">
        <v>3096</v>
      </c>
      <c r="G501" s="676">
        <v>156.83000000000001</v>
      </c>
      <c r="H501" s="676"/>
      <c r="I501" s="676">
        <v>131.27000000000001</v>
      </c>
      <c r="J501" s="676"/>
      <c r="K501" s="676"/>
      <c r="L501" s="677"/>
      <c r="M501" s="678"/>
      <c r="X501" s="656"/>
      <c r="Y501" s="657"/>
      <c r="Z501" s="657"/>
      <c r="AA501" s="481"/>
      <c r="AC501" s="456" t="s">
        <v>2096</v>
      </c>
      <c r="AD501" s="522"/>
      <c r="AE501" s="699"/>
      <c r="AF501" s="456"/>
      <c r="AG501" s="699"/>
    </row>
    <row r="502" spans="1:33" s="454" customFormat="1" ht="23.25" x14ac:dyDescent="0.25">
      <c r="A502" s="515" t="s">
        <v>863</v>
      </c>
      <c r="B502" s="686" t="s">
        <v>2098</v>
      </c>
      <c r="C502" s="2683" t="s">
        <v>2099</v>
      </c>
      <c r="D502" s="2683"/>
      <c r="E502" s="2683"/>
      <c r="F502" s="687" t="s">
        <v>3097</v>
      </c>
      <c r="G502" s="688">
        <v>0</v>
      </c>
      <c r="H502" s="688"/>
      <c r="I502" s="688">
        <v>0</v>
      </c>
      <c r="J502" s="688"/>
      <c r="K502" s="688"/>
      <c r="L502" s="689"/>
      <c r="M502" s="690"/>
      <c r="X502" s="656"/>
      <c r="Y502" s="657"/>
      <c r="Z502" s="657"/>
      <c r="AA502" s="481"/>
      <c r="AC502" s="456"/>
      <c r="AD502" s="522" t="s">
        <v>2099</v>
      </c>
      <c r="AE502" s="699"/>
      <c r="AF502" s="456"/>
      <c r="AG502" s="699"/>
    </row>
    <row r="503" spans="1:33" s="454" customFormat="1" ht="45" x14ac:dyDescent="0.25">
      <c r="A503" s="658" t="s">
        <v>1332</v>
      </c>
      <c r="B503" s="659" t="s">
        <v>2026</v>
      </c>
      <c r="C503" s="2673" t="s">
        <v>1254</v>
      </c>
      <c r="D503" s="2673"/>
      <c r="E503" s="2673"/>
      <c r="F503" s="679">
        <v>41.85</v>
      </c>
      <c r="G503" s="661">
        <v>480</v>
      </c>
      <c r="H503" s="661"/>
      <c r="I503" s="661">
        <v>20088</v>
      </c>
      <c r="J503" s="661"/>
      <c r="K503" s="662"/>
      <c r="L503" s="663">
        <v>0</v>
      </c>
      <c r="M503" s="663">
        <v>0</v>
      </c>
      <c r="X503" s="656"/>
      <c r="Y503" s="657"/>
      <c r="Z503" s="657"/>
      <c r="AA503" s="481" t="s">
        <v>1254</v>
      </c>
      <c r="AC503" s="456"/>
      <c r="AD503" s="522"/>
      <c r="AE503" s="699"/>
      <c r="AF503" s="456"/>
      <c r="AG503" s="699"/>
    </row>
    <row r="504" spans="1:33" s="454" customFormat="1" ht="15" x14ac:dyDescent="0.25">
      <c r="A504" s="664"/>
      <c r="B504" s="665"/>
      <c r="C504" s="666" t="s">
        <v>3098</v>
      </c>
      <c r="D504" s="667"/>
      <c r="E504" s="667"/>
      <c r="F504" s="667"/>
      <c r="G504" s="667"/>
      <c r="H504" s="667"/>
      <c r="I504" s="667"/>
      <c r="J504" s="667"/>
      <c r="K504" s="667"/>
      <c r="L504" s="667"/>
      <c r="M504" s="668"/>
      <c r="X504" s="656"/>
      <c r="Y504" s="657"/>
      <c r="Z504" s="657"/>
      <c r="AA504" s="481"/>
      <c r="AC504" s="456"/>
      <c r="AD504" s="522"/>
      <c r="AE504" s="699"/>
      <c r="AF504" s="456"/>
      <c r="AG504" s="699"/>
    </row>
    <row r="505" spans="1:33" s="454" customFormat="1" ht="45" x14ac:dyDescent="0.25">
      <c r="A505" s="658" t="s">
        <v>1334</v>
      </c>
      <c r="B505" s="659" t="s">
        <v>2028</v>
      </c>
      <c r="C505" s="2673" t="s">
        <v>1257</v>
      </c>
      <c r="D505" s="2673"/>
      <c r="E505" s="2673"/>
      <c r="F505" s="680">
        <v>16.7</v>
      </c>
      <c r="G505" s="661">
        <v>2.44</v>
      </c>
      <c r="H505" s="661"/>
      <c r="I505" s="661">
        <v>41</v>
      </c>
      <c r="J505" s="661"/>
      <c r="K505" s="662"/>
      <c r="L505" s="663">
        <v>0</v>
      </c>
      <c r="M505" s="663">
        <v>0</v>
      </c>
      <c r="X505" s="656"/>
      <c r="Y505" s="657"/>
      <c r="Z505" s="657"/>
      <c r="AA505" s="481" t="s">
        <v>1257</v>
      </c>
      <c r="AC505" s="456"/>
      <c r="AD505" s="522"/>
      <c r="AE505" s="699"/>
      <c r="AF505" s="456"/>
      <c r="AG505" s="699"/>
    </row>
    <row r="506" spans="1:33" s="454" customFormat="1" ht="15" x14ac:dyDescent="0.25">
      <c r="A506" s="664"/>
      <c r="B506" s="665"/>
      <c r="C506" s="666" t="s">
        <v>3099</v>
      </c>
      <c r="D506" s="667"/>
      <c r="E506" s="667"/>
      <c r="F506" s="667"/>
      <c r="G506" s="667"/>
      <c r="H506" s="667"/>
      <c r="I506" s="667"/>
      <c r="J506" s="667"/>
      <c r="K506" s="667"/>
      <c r="L506" s="667"/>
      <c r="M506" s="668"/>
      <c r="X506" s="656"/>
      <c r="Y506" s="657"/>
      <c r="Z506" s="657"/>
      <c r="AA506" s="481"/>
      <c r="AC506" s="456"/>
      <c r="AD506" s="522"/>
      <c r="AE506" s="699"/>
      <c r="AF506" s="456"/>
      <c r="AG506" s="699"/>
    </row>
    <row r="507" spans="1:33" s="454" customFormat="1" ht="34.5" x14ac:dyDescent="0.25">
      <c r="A507" s="658" t="s">
        <v>1336</v>
      </c>
      <c r="B507" s="659" t="s">
        <v>1337</v>
      </c>
      <c r="C507" s="2673" t="s">
        <v>1268</v>
      </c>
      <c r="D507" s="2673"/>
      <c r="E507" s="2673"/>
      <c r="F507" s="670">
        <v>31</v>
      </c>
      <c r="G507" s="661" t="s">
        <v>2103</v>
      </c>
      <c r="H507" s="661"/>
      <c r="I507" s="661">
        <v>74180</v>
      </c>
      <c r="J507" s="661"/>
      <c r="K507" s="662"/>
      <c r="L507" s="663">
        <v>0</v>
      </c>
      <c r="M507" s="663">
        <v>0</v>
      </c>
      <c r="X507" s="656"/>
      <c r="Y507" s="657"/>
      <c r="Z507" s="657"/>
      <c r="AA507" s="481" t="s">
        <v>1268</v>
      </c>
      <c r="AC507" s="456"/>
      <c r="AD507" s="522"/>
      <c r="AE507" s="699"/>
      <c r="AF507" s="456"/>
      <c r="AG507" s="699"/>
    </row>
    <row r="508" spans="1:33" s="454" customFormat="1" ht="15" x14ac:dyDescent="0.25">
      <c r="A508" s="664"/>
      <c r="B508" s="665"/>
      <c r="C508" s="666" t="s">
        <v>3100</v>
      </c>
      <c r="D508" s="667"/>
      <c r="E508" s="667"/>
      <c r="F508" s="667"/>
      <c r="G508" s="667"/>
      <c r="H508" s="667"/>
      <c r="I508" s="667"/>
      <c r="J508" s="667"/>
      <c r="K508" s="667"/>
      <c r="L508" s="667"/>
      <c r="M508" s="668"/>
      <c r="X508" s="656"/>
      <c r="Y508" s="657"/>
      <c r="Z508" s="657"/>
      <c r="AA508" s="481"/>
      <c r="AC508" s="456"/>
      <c r="AD508" s="522"/>
      <c r="AE508" s="699"/>
      <c r="AF508" s="456"/>
      <c r="AG508" s="699"/>
    </row>
    <row r="509" spans="1:33" s="454" customFormat="1" ht="15" x14ac:dyDescent="0.25">
      <c r="A509" s="542"/>
      <c r="B509" s="665"/>
      <c r="C509" s="666" t="s">
        <v>2105</v>
      </c>
      <c r="D509" s="667"/>
      <c r="E509" s="667"/>
      <c r="F509" s="667"/>
      <c r="G509" s="667"/>
      <c r="H509" s="667"/>
      <c r="I509" s="667"/>
      <c r="J509" s="667"/>
      <c r="K509" s="667"/>
      <c r="L509" s="667"/>
      <c r="M509" s="669"/>
      <c r="X509" s="656"/>
      <c r="Y509" s="657"/>
      <c r="Z509" s="657"/>
      <c r="AA509" s="481"/>
      <c r="AC509" s="456"/>
      <c r="AD509" s="522"/>
      <c r="AE509" s="699"/>
      <c r="AF509" s="456"/>
      <c r="AG509" s="699"/>
    </row>
    <row r="510" spans="1:33" s="454" customFormat="1" ht="34.5" x14ac:dyDescent="0.25">
      <c r="A510" s="658" t="s">
        <v>1339</v>
      </c>
      <c r="B510" s="659" t="s">
        <v>1340</v>
      </c>
      <c r="C510" s="2673" t="s">
        <v>1273</v>
      </c>
      <c r="D510" s="2673"/>
      <c r="E510" s="2673"/>
      <c r="F510" s="670">
        <v>248</v>
      </c>
      <c r="G510" s="661" t="s">
        <v>2106</v>
      </c>
      <c r="H510" s="661"/>
      <c r="I510" s="661">
        <v>426996</v>
      </c>
      <c r="J510" s="661"/>
      <c r="K510" s="662"/>
      <c r="L510" s="663">
        <v>0</v>
      </c>
      <c r="M510" s="663">
        <v>0</v>
      </c>
      <c r="X510" s="656"/>
      <c r="Y510" s="657"/>
      <c r="Z510" s="657"/>
      <c r="AA510" s="481" t="s">
        <v>1273</v>
      </c>
      <c r="AC510" s="456"/>
      <c r="AD510" s="522"/>
      <c r="AE510" s="699"/>
      <c r="AF510" s="456"/>
      <c r="AG510" s="699"/>
    </row>
    <row r="511" spans="1:33" s="454" customFormat="1" ht="15" x14ac:dyDescent="0.25">
      <c r="A511" s="664"/>
      <c r="B511" s="665"/>
      <c r="C511" s="666" t="s">
        <v>3101</v>
      </c>
      <c r="D511" s="667"/>
      <c r="E511" s="667"/>
      <c r="F511" s="667"/>
      <c r="G511" s="667"/>
      <c r="H511" s="667"/>
      <c r="I511" s="667"/>
      <c r="J511" s="667"/>
      <c r="K511" s="667"/>
      <c r="L511" s="667"/>
      <c r="M511" s="668"/>
      <c r="X511" s="656"/>
      <c r="Y511" s="657"/>
      <c r="Z511" s="657"/>
      <c r="AA511" s="481"/>
      <c r="AC511" s="456"/>
      <c r="AD511" s="522"/>
      <c r="AE511" s="699"/>
      <c r="AF511" s="456"/>
      <c r="AG511" s="699"/>
    </row>
    <row r="512" spans="1:33" s="454" customFormat="1" ht="15" x14ac:dyDescent="0.25">
      <c r="A512" s="542"/>
      <c r="B512" s="665"/>
      <c r="C512" s="666" t="s">
        <v>2108</v>
      </c>
      <c r="D512" s="667"/>
      <c r="E512" s="667"/>
      <c r="F512" s="667"/>
      <c r="G512" s="667"/>
      <c r="H512" s="667"/>
      <c r="I512" s="667"/>
      <c r="J512" s="667"/>
      <c r="K512" s="667"/>
      <c r="L512" s="667"/>
      <c r="M512" s="669"/>
      <c r="X512" s="656"/>
      <c r="Y512" s="657"/>
      <c r="Z512" s="657"/>
      <c r="AA512" s="481"/>
      <c r="AC512" s="456"/>
      <c r="AD512" s="522"/>
      <c r="AE512" s="699"/>
      <c r="AF512" s="456"/>
      <c r="AG512" s="699"/>
    </row>
    <row r="513" spans="1:33" s="454" customFormat="1" ht="34.5" x14ac:dyDescent="0.25">
      <c r="A513" s="658" t="s">
        <v>1342</v>
      </c>
      <c r="B513" s="659" t="s">
        <v>1343</v>
      </c>
      <c r="C513" s="2673" t="s">
        <v>1277</v>
      </c>
      <c r="D513" s="2673"/>
      <c r="E513" s="2673"/>
      <c r="F513" s="670">
        <v>527</v>
      </c>
      <c r="G513" s="661" t="s">
        <v>2109</v>
      </c>
      <c r="H513" s="661"/>
      <c r="I513" s="661">
        <v>242921</v>
      </c>
      <c r="J513" s="661"/>
      <c r="K513" s="662"/>
      <c r="L513" s="663">
        <v>0</v>
      </c>
      <c r="M513" s="663">
        <v>0</v>
      </c>
      <c r="X513" s="656"/>
      <c r="Y513" s="657"/>
      <c r="Z513" s="657"/>
      <c r="AA513" s="481" t="s">
        <v>1277</v>
      </c>
      <c r="AC513" s="456"/>
      <c r="AD513" s="522"/>
      <c r="AE513" s="699"/>
      <c r="AF513" s="456"/>
      <c r="AG513" s="699"/>
    </row>
    <row r="514" spans="1:33" s="454" customFormat="1" ht="15" x14ac:dyDescent="0.25">
      <c r="A514" s="664"/>
      <c r="B514" s="665"/>
      <c r="C514" s="666" t="s">
        <v>3102</v>
      </c>
      <c r="D514" s="667"/>
      <c r="E514" s="667"/>
      <c r="F514" s="667"/>
      <c r="G514" s="667"/>
      <c r="H514" s="667"/>
      <c r="I514" s="667"/>
      <c r="J514" s="667"/>
      <c r="K514" s="667"/>
      <c r="L514" s="667"/>
      <c r="M514" s="668"/>
      <c r="X514" s="656"/>
      <c r="Y514" s="657"/>
      <c r="Z514" s="657"/>
      <c r="AA514" s="481"/>
      <c r="AC514" s="456"/>
      <c r="AD514" s="522"/>
      <c r="AE514" s="699"/>
      <c r="AF514" s="456"/>
      <c r="AG514" s="699"/>
    </row>
    <row r="515" spans="1:33" s="454" customFormat="1" ht="15" x14ac:dyDescent="0.25">
      <c r="A515" s="542"/>
      <c r="B515" s="665"/>
      <c r="C515" s="666" t="s">
        <v>2111</v>
      </c>
      <c r="D515" s="667"/>
      <c r="E515" s="667"/>
      <c r="F515" s="667"/>
      <c r="G515" s="667"/>
      <c r="H515" s="667"/>
      <c r="I515" s="667"/>
      <c r="J515" s="667"/>
      <c r="K515" s="667"/>
      <c r="L515" s="667"/>
      <c r="M515" s="669"/>
      <c r="X515" s="656"/>
      <c r="Y515" s="657"/>
      <c r="Z515" s="657"/>
      <c r="AA515" s="481"/>
      <c r="AC515" s="456"/>
      <c r="AD515" s="522"/>
      <c r="AE515" s="699"/>
      <c r="AF515" s="456"/>
      <c r="AG515" s="699"/>
    </row>
    <row r="516" spans="1:33" s="454" customFormat="1" ht="33.75" x14ac:dyDescent="0.25">
      <c r="A516" s="658" t="s">
        <v>1345</v>
      </c>
      <c r="B516" s="659" t="s">
        <v>1346</v>
      </c>
      <c r="C516" s="2673" t="s">
        <v>1281</v>
      </c>
      <c r="D516" s="2673"/>
      <c r="E516" s="2673"/>
      <c r="F516" s="670">
        <v>248</v>
      </c>
      <c r="G516" s="661" t="s">
        <v>2112</v>
      </c>
      <c r="H516" s="661"/>
      <c r="I516" s="661">
        <v>35194</v>
      </c>
      <c r="J516" s="661"/>
      <c r="K516" s="662"/>
      <c r="L516" s="663">
        <v>0</v>
      </c>
      <c r="M516" s="663">
        <v>0</v>
      </c>
      <c r="X516" s="656"/>
      <c r="Y516" s="657"/>
      <c r="Z516" s="657"/>
      <c r="AA516" s="481" t="s">
        <v>1281</v>
      </c>
      <c r="AC516" s="456"/>
      <c r="AD516" s="522"/>
      <c r="AE516" s="699"/>
      <c r="AF516" s="456"/>
      <c r="AG516" s="699"/>
    </row>
    <row r="517" spans="1:33" s="454" customFormat="1" ht="15" x14ac:dyDescent="0.25">
      <c r="A517" s="664"/>
      <c r="B517" s="665"/>
      <c r="C517" s="666" t="s">
        <v>3101</v>
      </c>
      <c r="D517" s="667"/>
      <c r="E517" s="667"/>
      <c r="F517" s="667"/>
      <c r="G517" s="667"/>
      <c r="H517" s="667"/>
      <c r="I517" s="667"/>
      <c r="J517" s="667"/>
      <c r="K517" s="667"/>
      <c r="L517" s="667"/>
      <c r="M517" s="668"/>
      <c r="X517" s="656"/>
      <c r="Y517" s="657"/>
      <c r="Z517" s="657"/>
      <c r="AA517" s="481"/>
      <c r="AC517" s="456"/>
      <c r="AD517" s="522"/>
      <c r="AE517" s="699"/>
      <c r="AF517" s="456"/>
      <c r="AG517" s="699"/>
    </row>
    <row r="518" spans="1:33" s="454" customFormat="1" ht="15" x14ac:dyDescent="0.25">
      <c r="A518" s="542"/>
      <c r="B518" s="665"/>
      <c r="C518" s="666" t="s">
        <v>2113</v>
      </c>
      <c r="D518" s="667"/>
      <c r="E518" s="667"/>
      <c r="F518" s="667"/>
      <c r="G518" s="667"/>
      <c r="H518" s="667"/>
      <c r="I518" s="667"/>
      <c r="J518" s="667"/>
      <c r="K518" s="667"/>
      <c r="L518" s="667"/>
      <c r="M518" s="669"/>
      <c r="X518" s="656"/>
      <c r="Y518" s="657"/>
      <c r="Z518" s="657"/>
      <c r="AA518" s="481"/>
      <c r="AC518" s="456"/>
      <c r="AD518" s="522"/>
      <c r="AE518" s="699"/>
      <c r="AF518" s="456"/>
      <c r="AG518" s="699"/>
    </row>
    <row r="519" spans="1:33" s="454" customFormat="1" ht="34.5" x14ac:dyDescent="0.25">
      <c r="A519" s="658" t="s">
        <v>1347</v>
      </c>
      <c r="B519" s="659" t="s">
        <v>1348</v>
      </c>
      <c r="C519" s="2673" t="s">
        <v>1284</v>
      </c>
      <c r="D519" s="2673"/>
      <c r="E519" s="2673"/>
      <c r="F519" s="670">
        <v>31</v>
      </c>
      <c r="G519" s="661" t="s">
        <v>2114</v>
      </c>
      <c r="H519" s="661"/>
      <c r="I519" s="661">
        <v>53916</v>
      </c>
      <c r="J519" s="661"/>
      <c r="K519" s="662"/>
      <c r="L519" s="663">
        <v>0</v>
      </c>
      <c r="M519" s="663">
        <v>0</v>
      </c>
      <c r="X519" s="656"/>
      <c r="Y519" s="657"/>
      <c r="Z519" s="657"/>
      <c r="AA519" s="481" t="s">
        <v>1284</v>
      </c>
      <c r="AC519" s="456"/>
      <c r="AD519" s="522"/>
      <c r="AE519" s="699"/>
      <c r="AF519" s="456"/>
      <c r="AG519" s="699"/>
    </row>
    <row r="520" spans="1:33" s="454" customFormat="1" ht="15" x14ac:dyDescent="0.25">
      <c r="A520" s="664"/>
      <c r="B520" s="665"/>
      <c r="C520" s="666" t="s">
        <v>3100</v>
      </c>
      <c r="D520" s="667"/>
      <c r="E520" s="667"/>
      <c r="F520" s="667"/>
      <c r="G520" s="667"/>
      <c r="H520" s="667"/>
      <c r="I520" s="667"/>
      <c r="J520" s="667"/>
      <c r="K520" s="667"/>
      <c r="L520" s="667"/>
      <c r="M520" s="668"/>
      <c r="X520" s="656"/>
      <c r="Y520" s="657"/>
      <c r="Z520" s="657"/>
      <c r="AA520" s="481"/>
      <c r="AC520" s="456"/>
      <c r="AD520" s="522"/>
      <c r="AE520" s="699"/>
      <c r="AF520" s="456"/>
      <c r="AG520" s="699"/>
    </row>
    <row r="521" spans="1:33" s="454" customFormat="1" ht="15" x14ac:dyDescent="0.25">
      <c r="A521" s="542"/>
      <c r="B521" s="665"/>
      <c r="C521" s="666" t="s">
        <v>2115</v>
      </c>
      <c r="D521" s="667"/>
      <c r="E521" s="667"/>
      <c r="F521" s="667"/>
      <c r="G521" s="667"/>
      <c r="H521" s="667"/>
      <c r="I521" s="667"/>
      <c r="J521" s="667"/>
      <c r="K521" s="667"/>
      <c r="L521" s="667"/>
      <c r="M521" s="669"/>
      <c r="X521" s="656"/>
      <c r="Y521" s="657"/>
      <c r="Z521" s="657"/>
      <c r="AA521" s="481"/>
      <c r="AC521" s="456"/>
      <c r="AD521" s="522"/>
      <c r="AE521" s="699"/>
      <c r="AF521" s="456"/>
      <c r="AG521" s="699"/>
    </row>
    <row r="522" spans="1:33" s="454" customFormat="1" ht="45.75" x14ac:dyDescent="0.25">
      <c r="A522" s="658" t="s">
        <v>1349</v>
      </c>
      <c r="B522" s="659" t="s">
        <v>2116</v>
      </c>
      <c r="C522" s="2673" t="s">
        <v>2117</v>
      </c>
      <c r="D522" s="2673"/>
      <c r="E522" s="2673"/>
      <c r="F522" s="670">
        <v>279</v>
      </c>
      <c r="G522" s="661" t="s">
        <v>1288</v>
      </c>
      <c r="H522" s="661" t="s">
        <v>1289</v>
      </c>
      <c r="I522" s="661">
        <v>1579</v>
      </c>
      <c r="J522" s="661">
        <v>644</v>
      </c>
      <c r="K522" s="662" t="s">
        <v>1350</v>
      </c>
      <c r="L522" s="671">
        <v>0.255</v>
      </c>
      <c r="M522" s="672">
        <v>71.150000000000006</v>
      </c>
      <c r="X522" s="656"/>
      <c r="Y522" s="657"/>
      <c r="Z522" s="657"/>
      <c r="AA522" s="481" t="s">
        <v>2117</v>
      </c>
      <c r="AC522" s="456"/>
      <c r="AD522" s="522"/>
      <c r="AE522" s="699"/>
      <c r="AF522" s="456"/>
      <c r="AG522" s="699"/>
    </row>
    <row r="523" spans="1:33" s="454" customFormat="1" ht="33.75" x14ac:dyDescent="0.25">
      <c r="A523" s="542"/>
      <c r="B523" s="673" t="s">
        <v>1655</v>
      </c>
      <c r="C523" s="2670" t="s">
        <v>1656</v>
      </c>
      <c r="D523" s="2670"/>
      <c r="E523" s="2670"/>
      <c r="F523" s="2670"/>
      <c r="G523" s="2670"/>
      <c r="H523" s="2670"/>
      <c r="I523" s="2670"/>
      <c r="J523" s="2670"/>
      <c r="K523" s="2670"/>
      <c r="L523" s="2670"/>
      <c r="M523" s="2671"/>
      <c r="X523" s="656"/>
      <c r="Y523" s="657"/>
      <c r="Z523" s="657"/>
      <c r="AA523" s="481"/>
      <c r="AB523" s="491" t="s">
        <v>1656</v>
      </c>
      <c r="AC523" s="456"/>
      <c r="AD523" s="522"/>
      <c r="AE523" s="699"/>
      <c r="AF523" s="456"/>
      <c r="AG523" s="699"/>
    </row>
    <row r="524" spans="1:33" s="454" customFormat="1" ht="15" x14ac:dyDescent="0.25">
      <c r="A524" s="823"/>
      <c r="B524" s="824"/>
      <c r="C524" s="824"/>
      <c r="D524" s="824"/>
      <c r="E524" s="825" t="s">
        <v>3103</v>
      </c>
      <c r="F524" s="826"/>
      <c r="G524" s="827"/>
      <c r="H524" s="648"/>
      <c r="I524" s="828">
        <v>831</v>
      </c>
      <c r="J524" s="829"/>
      <c r="K524" s="829"/>
      <c r="L524" s="830"/>
      <c r="M524" s="831"/>
      <c r="X524" s="656"/>
      <c r="Y524" s="657"/>
      <c r="Z524" s="657"/>
      <c r="AA524" s="481"/>
      <c r="AC524" s="456"/>
      <c r="AD524" s="522"/>
      <c r="AE524" s="699"/>
      <c r="AF524" s="456"/>
      <c r="AG524" s="699"/>
    </row>
    <row r="525" spans="1:33" s="454" customFormat="1" ht="15" x14ac:dyDescent="0.25">
      <c r="A525" s="823"/>
      <c r="B525" s="824"/>
      <c r="C525" s="824"/>
      <c r="D525" s="824"/>
      <c r="E525" s="825" t="s">
        <v>3104</v>
      </c>
      <c r="F525" s="826"/>
      <c r="G525" s="827"/>
      <c r="H525" s="648"/>
      <c r="I525" s="828">
        <v>378</v>
      </c>
      <c r="J525" s="829"/>
      <c r="K525" s="829"/>
      <c r="L525" s="830"/>
      <c r="M525" s="831"/>
      <c r="X525" s="656"/>
      <c r="Y525" s="657"/>
      <c r="Z525" s="657"/>
      <c r="AA525" s="481"/>
      <c r="AC525" s="456"/>
      <c r="AD525" s="522"/>
      <c r="AE525" s="699"/>
      <c r="AF525" s="456"/>
      <c r="AG525" s="699"/>
    </row>
    <row r="526" spans="1:33" s="454" customFormat="1" ht="15" x14ac:dyDescent="0.25">
      <c r="A526" s="823"/>
      <c r="B526" s="824"/>
      <c r="C526" s="824"/>
      <c r="D526" s="824"/>
      <c r="E526" s="825" t="s">
        <v>2692</v>
      </c>
      <c r="F526" s="826"/>
      <c r="G526" s="827"/>
      <c r="H526" s="648"/>
      <c r="I526" s="828">
        <v>2788</v>
      </c>
      <c r="J526" s="829"/>
      <c r="K526" s="829"/>
      <c r="L526" s="830"/>
      <c r="M526" s="831"/>
      <c r="X526" s="656"/>
      <c r="Y526" s="657"/>
      <c r="Z526" s="657"/>
      <c r="AA526" s="481"/>
      <c r="AC526" s="456"/>
      <c r="AD526" s="522"/>
      <c r="AE526" s="699"/>
      <c r="AF526" s="456"/>
      <c r="AG526" s="699"/>
    </row>
    <row r="527" spans="1:33" s="454" customFormat="1" ht="23.25" x14ac:dyDescent="0.25">
      <c r="A527" s="507"/>
      <c r="B527" s="674" t="s">
        <v>2119</v>
      </c>
      <c r="C527" s="2672" t="s">
        <v>2120</v>
      </c>
      <c r="D527" s="2672"/>
      <c r="E527" s="2672"/>
      <c r="F527" s="675" t="s">
        <v>3105</v>
      </c>
      <c r="G527" s="676" t="s">
        <v>2122</v>
      </c>
      <c r="H527" s="676"/>
      <c r="I527" s="676">
        <v>645.33000000000004</v>
      </c>
      <c r="J527" s="676">
        <v>645.33000000000004</v>
      </c>
      <c r="K527" s="676"/>
      <c r="L527" s="677"/>
      <c r="M527" s="678"/>
      <c r="X527" s="656"/>
      <c r="Y527" s="657"/>
      <c r="Z527" s="657"/>
      <c r="AA527" s="481"/>
      <c r="AC527" s="456" t="s">
        <v>2120</v>
      </c>
      <c r="AD527" s="522"/>
      <c r="AE527" s="699"/>
      <c r="AF527" s="456"/>
      <c r="AG527" s="699"/>
    </row>
    <row r="528" spans="1:33" s="454" customFormat="1" ht="23.25" x14ac:dyDescent="0.25">
      <c r="A528" s="507"/>
      <c r="B528" s="674" t="s">
        <v>639</v>
      </c>
      <c r="C528" s="2672" t="s">
        <v>1661</v>
      </c>
      <c r="D528" s="2672"/>
      <c r="E528" s="2672"/>
      <c r="F528" s="675" t="s">
        <v>3106</v>
      </c>
      <c r="G528" s="676">
        <v>0</v>
      </c>
      <c r="H528" s="676">
        <v>0</v>
      </c>
      <c r="I528" s="676">
        <v>0</v>
      </c>
      <c r="J528" s="676"/>
      <c r="K528" s="676">
        <v>0</v>
      </c>
      <c r="L528" s="677"/>
      <c r="M528" s="678"/>
      <c r="X528" s="656"/>
      <c r="Y528" s="657"/>
      <c r="Z528" s="657"/>
      <c r="AA528" s="481"/>
      <c r="AC528" s="456" t="s">
        <v>1661</v>
      </c>
      <c r="AD528" s="522"/>
      <c r="AE528" s="699"/>
      <c r="AF528" s="456"/>
      <c r="AG528" s="699"/>
    </row>
    <row r="529" spans="1:33" s="454" customFormat="1" ht="34.5" x14ac:dyDescent="0.25">
      <c r="A529" s="507"/>
      <c r="B529" s="674" t="s">
        <v>821</v>
      </c>
      <c r="C529" s="2672" t="s">
        <v>1751</v>
      </c>
      <c r="D529" s="2672"/>
      <c r="E529" s="2672"/>
      <c r="F529" s="675" t="s">
        <v>3107</v>
      </c>
      <c r="G529" s="676">
        <v>65.709999999999994</v>
      </c>
      <c r="H529" s="676" t="s">
        <v>1753</v>
      </c>
      <c r="I529" s="676">
        <v>366.66</v>
      </c>
      <c r="J529" s="676"/>
      <c r="K529" s="676" t="s">
        <v>3108</v>
      </c>
      <c r="L529" s="677"/>
      <c r="M529" s="678"/>
      <c r="X529" s="656"/>
      <c r="Y529" s="657"/>
      <c r="Z529" s="657"/>
      <c r="AA529" s="481"/>
      <c r="AC529" s="456" t="s">
        <v>1751</v>
      </c>
      <c r="AD529" s="522"/>
      <c r="AE529" s="699"/>
      <c r="AF529" s="456"/>
      <c r="AG529" s="699"/>
    </row>
    <row r="530" spans="1:33" s="454" customFormat="1" ht="23.25" x14ac:dyDescent="0.25">
      <c r="A530" s="507"/>
      <c r="B530" s="674" t="s">
        <v>825</v>
      </c>
      <c r="C530" s="2672" t="s">
        <v>1808</v>
      </c>
      <c r="D530" s="2672"/>
      <c r="E530" s="2672"/>
      <c r="F530" s="675" t="s">
        <v>3109</v>
      </c>
      <c r="G530" s="676">
        <v>1.2</v>
      </c>
      <c r="H530" s="676" t="s">
        <v>1810</v>
      </c>
      <c r="I530" s="676">
        <v>50.22</v>
      </c>
      <c r="J530" s="676"/>
      <c r="K530" s="676" t="s">
        <v>3110</v>
      </c>
      <c r="L530" s="677"/>
      <c r="M530" s="678"/>
      <c r="X530" s="656"/>
      <c r="Y530" s="657"/>
      <c r="Z530" s="657"/>
      <c r="AA530" s="481"/>
      <c r="AC530" s="456" t="s">
        <v>1808</v>
      </c>
      <c r="AD530" s="522"/>
      <c r="AE530" s="699"/>
      <c r="AF530" s="456"/>
      <c r="AG530" s="699"/>
    </row>
    <row r="531" spans="1:33" s="454" customFormat="1" ht="23.25" x14ac:dyDescent="0.25">
      <c r="A531" s="507"/>
      <c r="B531" s="674" t="s">
        <v>830</v>
      </c>
      <c r="C531" s="2672" t="s">
        <v>1816</v>
      </c>
      <c r="D531" s="2672"/>
      <c r="E531" s="2672"/>
      <c r="F531" s="675" t="s">
        <v>3109</v>
      </c>
      <c r="G531" s="676">
        <v>6.22</v>
      </c>
      <c r="H531" s="676"/>
      <c r="I531" s="676">
        <v>260.31</v>
      </c>
      <c r="J531" s="676"/>
      <c r="K531" s="676"/>
      <c r="L531" s="677"/>
      <c r="M531" s="678"/>
      <c r="X531" s="656"/>
      <c r="Y531" s="657"/>
      <c r="Z531" s="657"/>
      <c r="AA531" s="481"/>
      <c r="AC531" s="456" t="s">
        <v>1816</v>
      </c>
      <c r="AD531" s="522"/>
      <c r="AE531" s="699"/>
      <c r="AF531" s="456"/>
      <c r="AG531" s="699"/>
    </row>
    <row r="532" spans="1:33" s="454" customFormat="1" ht="23.25" x14ac:dyDescent="0.25">
      <c r="A532" s="507"/>
      <c r="B532" s="674" t="s">
        <v>833</v>
      </c>
      <c r="C532" s="2672" t="s">
        <v>1818</v>
      </c>
      <c r="D532" s="2672"/>
      <c r="E532" s="2672"/>
      <c r="F532" s="675" t="s">
        <v>3106</v>
      </c>
      <c r="G532" s="676">
        <v>6.09</v>
      </c>
      <c r="H532" s="676"/>
      <c r="I532" s="676">
        <v>50.97</v>
      </c>
      <c r="J532" s="676"/>
      <c r="K532" s="676"/>
      <c r="L532" s="677"/>
      <c r="M532" s="678"/>
      <c r="X532" s="656"/>
      <c r="Y532" s="657"/>
      <c r="Z532" s="657"/>
      <c r="AA532" s="481"/>
      <c r="AC532" s="456" t="s">
        <v>1818</v>
      </c>
      <c r="AD532" s="522"/>
      <c r="AE532" s="699"/>
      <c r="AF532" s="456"/>
      <c r="AG532" s="699"/>
    </row>
    <row r="533" spans="1:33" s="454" customFormat="1" ht="15" x14ac:dyDescent="0.25">
      <c r="A533" s="2680" t="s">
        <v>1351</v>
      </c>
      <c r="B533" s="2681"/>
      <c r="C533" s="2681"/>
      <c r="D533" s="2681"/>
      <c r="E533" s="2681"/>
      <c r="F533" s="2681"/>
      <c r="G533" s="2681"/>
      <c r="H533" s="2681"/>
      <c r="I533" s="2681"/>
      <c r="J533" s="2681"/>
      <c r="K533" s="2681"/>
      <c r="L533" s="2681"/>
      <c r="M533" s="2682"/>
      <c r="X533" s="656"/>
      <c r="Y533" s="657" t="s">
        <v>1351</v>
      </c>
      <c r="Z533" s="657"/>
      <c r="AA533" s="481"/>
      <c r="AC533" s="456"/>
      <c r="AD533" s="522"/>
      <c r="AE533" s="699"/>
      <c r="AF533" s="456"/>
      <c r="AG533" s="699"/>
    </row>
    <row r="534" spans="1:33" s="454" customFormat="1" ht="57" x14ac:dyDescent="0.25">
      <c r="A534" s="658" t="s">
        <v>1352</v>
      </c>
      <c r="B534" s="659" t="s">
        <v>1954</v>
      </c>
      <c r="C534" s="2673" t="s">
        <v>1955</v>
      </c>
      <c r="D534" s="2673"/>
      <c r="E534" s="2673"/>
      <c r="F534" s="660">
        <v>0.16800000000000001</v>
      </c>
      <c r="G534" s="661" t="s">
        <v>1956</v>
      </c>
      <c r="H534" s="661" t="s">
        <v>1957</v>
      </c>
      <c r="I534" s="661">
        <v>21487</v>
      </c>
      <c r="J534" s="661">
        <v>1680</v>
      </c>
      <c r="K534" s="662" t="s">
        <v>3111</v>
      </c>
      <c r="L534" s="691">
        <v>1039.7328</v>
      </c>
      <c r="M534" s="672">
        <v>174.68</v>
      </c>
      <c r="X534" s="656"/>
      <c r="Y534" s="657"/>
      <c r="Z534" s="657"/>
      <c r="AA534" s="481" t="s">
        <v>1955</v>
      </c>
      <c r="AC534" s="456"/>
      <c r="AD534" s="522"/>
      <c r="AE534" s="699"/>
      <c r="AF534" s="456"/>
      <c r="AG534" s="699"/>
    </row>
    <row r="535" spans="1:33" s="454" customFormat="1" ht="15" x14ac:dyDescent="0.25">
      <c r="A535" s="664"/>
      <c r="B535" s="665"/>
      <c r="C535" s="666" t="s">
        <v>3112</v>
      </c>
      <c r="D535" s="667"/>
      <c r="E535" s="667"/>
      <c r="F535" s="667"/>
      <c r="G535" s="667"/>
      <c r="H535" s="667"/>
      <c r="I535" s="667"/>
      <c r="J535" s="667"/>
      <c r="K535" s="667"/>
      <c r="L535" s="667"/>
      <c r="M535" s="668"/>
      <c r="X535" s="656"/>
      <c r="Y535" s="657"/>
      <c r="Z535" s="657"/>
      <c r="AA535" s="481"/>
      <c r="AC535" s="456"/>
      <c r="AD535" s="522"/>
      <c r="AE535" s="699"/>
      <c r="AF535" s="456"/>
      <c r="AG535" s="699"/>
    </row>
    <row r="536" spans="1:33" s="454" customFormat="1" ht="15" x14ac:dyDescent="0.25">
      <c r="A536" s="542"/>
      <c r="B536" s="673" t="s">
        <v>1960</v>
      </c>
      <c r="C536" s="2670" t="s">
        <v>1961</v>
      </c>
      <c r="D536" s="2670"/>
      <c r="E536" s="2670"/>
      <c r="F536" s="2670"/>
      <c r="G536" s="2670"/>
      <c r="H536" s="2670"/>
      <c r="I536" s="2670"/>
      <c r="J536" s="2670"/>
      <c r="K536" s="2670"/>
      <c r="L536" s="2670"/>
      <c r="M536" s="2671"/>
      <c r="X536" s="656"/>
      <c r="Y536" s="657"/>
      <c r="Z536" s="657"/>
      <c r="AA536" s="481"/>
      <c r="AB536" s="491" t="s">
        <v>1961</v>
      </c>
      <c r="AC536" s="456"/>
      <c r="AD536" s="522"/>
      <c r="AE536" s="699"/>
      <c r="AF536" s="456"/>
      <c r="AG536" s="699"/>
    </row>
    <row r="537" spans="1:33" s="454" customFormat="1" ht="15" x14ac:dyDescent="0.25">
      <c r="A537" s="542"/>
      <c r="B537" s="673" t="s">
        <v>1962</v>
      </c>
      <c r="C537" s="2670" t="s">
        <v>1963</v>
      </c>
      <c r="D537" s="2670"/>
      <c r="E537" s="2670"/>
      <c r="F537" s="2670"/>
      <c r="G537" s="2670"/>
      <c r="H537" s="2670"/>
      <c r="I537" s="2670"/>
      <c r="J537" s="2670"/>
      <c r="K537" s="2670"/>
      <c r="L537" s="2670"/>
      <c r="M537" s="2671"/>
      <c r="X537" s="656"/>
      <c r="Y537" s="657"/>
      <c r="Z537" s="657"/>
      <c r="AA537" s="481"/>
      <c r="AB537" s="491" t="s">
        <v>1963</v>
      </c>
      <c r="AC537" s="456"/>
      <c r="AD537" s="522"/>
      <c r="AE537" s="699"/>
      <c r="AF537" s="456"/>
      <c r="AG537" s="699"/>
    </row>
    <row r="538" spans="1:33" s="454" customFormat="1" ht="15" x14ac:dyDescent="0.25">
      <c r="A538" s="542"/>
      <c r="B538" s="673" t="s">
        <v>1964</v>
      </c>
      <c r="C538" s="2670" t="s">
        <v>1965</v>
      </c>
      <c r="D538" s="2670"/>
      <c r="E538" s="2670"/>
      <c r="F538" s="2670"/>
      <c r="G538" s="2670"/>
      <c r="H538" s="2670"/>
      <c r="I538" s="2670"/>
      <c r="J538" s="2670"/>
      <c r="K538" s="2670"/>
      <c r="L538" s="2670"/>
      <c r="M538" s="2671"/>
      <c r="X538" s="656"/>
      <c r="Y538" s="657"/>
      <c r="Z538" s="657"/>
      <c r="AA538" s="481"/>
      <c r="AB538" s="491" t="s">
        <v>1965</v>
      </c>
      <c r="AC538" s="456"/>
      <c r="AD538" s="522"/>
      <c r="AE538" s="699"/>
      <c r="AF538" s="456"/>
      <c r="AG538" s="699"/>
    </row>
    <row r="539" spans="1:33" s="454" customFormat="1" ht="33.75" x14ac:dyDescent="0.25">
      <c r="A539" s="542"/>
      <c r="B539" s="673" t="s">
        <v>1655</v>
      </c>
      <c r="C539" s="2670" t="s">
        <v>1656</v>
      </c>
      <c r="D539" s="2670"/>
      <c r="E539" s="2670"/>
      <c r="F539" s="2670"/>
      <c r="G539" s="2670"/>
      <c r="H539" s="2670"/>
      <c r="I539" s="2670"/>
      <c r="J539" s="2670"/>
      <c r="K539" s="2670"/>
      <c r="L539" s="2670"/>
      <c r="M539" s="2671"/>
      <c r="X539" s="656"/>
      <c r="Y539" s="657"/>
      <c r="Z539" s="657"/>
      <c r="AA539" s="481"/>
      <c r="AB539" s="491" t="s">
        <v>1656</v>
      </c>
      <c r="AC539" s="456"/>
      <c r="AD539" s="522"/>
      <c r="AE539" s="699"/>
      <c r="AF539" s="456"/>
      <c r="AG539" s="699"/>
    </row>
    <row r="540" spans="1:33" s="454" customFormat="1" ht="15" x14ac:dyDescent="0.25">
      <c r="A540" s="823"/>
      <c r="B540" s="824"/>
      <c r="C540" s="824"/>
      <c r="D540" s="824"/>
      <c r="E540" s="825" t="s">
        <v>3113</v>
      </c>
      <c r="F540" s="826"/>
      <c r="G540" s="827"/>
      <c r="H540" s="648"/>
      <c r="I540" s="828">
        <v>2937</v>
      </c>
      <c r="J540" s="829"/>
      <c r="K540" s="829"/>
      <c r="L540" s="830"/>
      <c r="M540" s="831"/>
      <c r="X540" s="656"/>
      <c r="Y540" s="657"/>
      <c r="Z540" s="657"/>
      <c r="AA540" s="481"/>
      <c r="AC540" s="456"/>
      <c r="AD540" s="522"/>
      <c r="AE540" s="699"/>
      <c r="AF540" s="456"/>
      <c r="AG540" s="699"/>
    </row>
    <row r="541" spans="1:33" s="454" customFormat="1" ht="15" x14ac:dyDescent="0.25">
      <c r="A541" s="823"/>
      <c r="B541" s="824"/>
      <c r="C541" s="824"/>
      <c r="D541" s="824"/>
      <c r="E541" s="825" t="s">
        <v>3114</v>
      </c>
      <c r="F541" s="826"/>
      <c r="G541" s="827"/>
      <c r="H541" s="648"/>
      <c r="I541" s="828">
        <v>1337</v>
      </c>
      <c r="J541" s="829"/>
      <c r="K541" s="829"/>
      <c r="L541" s="830"/>
      <c r="M541" s="831"/>
      <c r="X541" s="656"/>
      <c r="Y541" s="657"/>
      <c r="Z541" s="657"/>
      <c r="AA541" s="481"/>
      <c r="AC541" s="456"/>
      <c r="AD541" s="522"/>
      <c r="AE541" s="699"/>
      <c r="AF541" s="456"/>
      <c r="AG541" s="699"/>
    </row>
    <row r="542" spans="1:33" s="454" customFormat="1" ht="15" x14ac:dyDescent="0.25">
      <c r="A542" s="823"/>
      <c r="B542" s="824"/>
      <c r="C542" s="824"/>
      <c r="D542" s="824"/>
      <c r="E542" s="825" t="s">
        <v>2692</v>
      </c>
      <c r="F542" s="826"/>
      <c r="G542" s="827"/>
      <c r="H542" s="648"/>
      <c r="I542" s="828">
        <v>25761</v>
      </c>
      <c r="J542" s="829"/>
      <c r="K542" s="829"/>
      <c r="L542" s="830"/>
      <c r="M542" s="831"/>
      <c r="X542" s="656"/>
      <c r="Y542" s="657"/>
      <c r="Z542" s="657"/>
      <c r="AA542" s="481"/>
      <c r="AC542" s="456"/>
      <c r="AD542" s="522"/>
      <c r="AE542" s="699"/>
      <c r="AF542" s="456"/>
      <c r="AG542" s="699"/>
    </row>
    <row r="543" spans="1:33" s="454" customFormat="1" ht="23.25" x14ac:dyDescent="0.25">
      <c r="A543" s="507"/>
      <c r="B543" s="674" t="s">
        <v>1883</v>
      </c>
      <c r="C543" s="2672" t="s">
        <v>1884</v>
      </c>
      <c r="D543" s="2672"/>
      <c r="E543" s="2672"/>
      <c r="F543" s="675" t="s">
        <v>3115</v>
      </c>
      <c r="G543" s="676" t="s">
        <v>1886</v>
      </c>
      <c r="H543" s="676"/>
      <c r="I543" s="676">
        <v>1680.42</v>
      </c>
      <c r="J543" s="676">
        <v>1680.42</v>
      </c>
      <c r="K543" s="676"/>
      <c r="L543" s="677"/>
      <c r="M543" s="678"/>
      <c r="X543" s="656"/>
      <c r="Y543" s="657"/>
      <c r="Z543" s="657"/>
      <c r="AA543" s="481"/>
      <c r="AC543" s="456" t="s">
        <v>1884</v>
      </c>
      <c r="AD543" s="522"/>
      <c r="AE543" s="699"/>
      <c r="AF543" s="456"/>
      <c r="AG543" s="699"/>
    </row>
    <row r="544" spans="1:33" s="454" customFormat="1" ht="23.25" x14ac:dyDescent="0.25">
      <c r="A544" s="507"/>
      <c r="B544" s="674" t="s">
        <v>639</v>
      </c>
      <c r="C544" s="2672" t="s">
        <v>1661</v>
      </c>
      <c r="D544" s="2672"/>
      <c r="E544" s="2672"/>
      <c r="F544" s="675" t="s">
        <v>3116</v>
      </c>
      <c r="G544" s="676">
        <v>0</v>
      </c>
      <c r="H544" s="676">
        <v>0</v>
      </c>
      <c r="I544" s="676">
        <v>0</v>
      </c>
      <c r="J544" s="676"/>
      <c r="K544" s="676">
        <v>0</v>
      </c>
      <c r="L544" s="677"/>
      <c r="M544" s="678"/>
      <c r="X544" s="656"/>
      <c r="Y544" s="657"/>
      <c r="Z544" s="657"/>
      <c r="AA544" s="481"/>
      <c r="AC544" s="456" t="s">
        <v>1661</v>
      </c>
      <c r="AD544" s="522"/>
      <c r="AE544" s="699"/>
      <c r="AF544" s="456"/>
      <c r="AG544" s="699"/>
    </row>
    <row r="545" spans="1:33" s="454" customFormat="1" ht="23.25" x14ac:dyDescent="0.25">
      <c r="A545" s="507"/>
      <c r="B545" s="674" t="s">
        <v>1968</v>
      </c>
      <c r="C545" s="2672" t="s">
        <v>1969</v>
      </c>
      <c r="D545" s="2672"/>
      <c r="E545" s="2672"/>
      <c r="F545" s="675" t="s">
        <v>3117</v>
      </c>
      <c r="G545" s="676">
        <v>79.069999999999993</v>
      </c>
      <c r="H545" s="676" t="s">
        <v>1971</v>
      </c>
      <c r="I545" s="676">
        <v>38.74</v>
      </c>
      <c r="J545" s="676"/>
      <c r="K545" s="676" t="s">
        <v>3118</v>
      </c>
      <c r="L545" s="677"/>
      <c r="M545" s="678"/>
      <c r="X545" s="656"/>
      <c r="Y545" s="657"/>
      <c r="Z545" s="657"/>
      <c r="AA545" s="481"/>
      <c r="AC545" s="456" t="s">
        <v>1969</v>
      </c>
      <c r="AD545" s="522"/>
      <c r="AE545" s="699"/>
      <c r="AF545" s="456"/>
      <c r="AG545" s="699"/>
    </row>
    <row r="546" spans="1:33" s="454" customFormat="1" ht="45.75" x14ac:dyDescent="0.25">
      <c r="A546" s="507"/>
      <c r="B546" s="674" t="s">
        <v>1973</v>
      </c>
      <c r="C546" s="2672" t="s">
        <v>1974</v>
      </c>
      <c r="D546" s="2672"/>
      <c r="E546" s="2672"/>
      <c r="F546" s="675" t="s">
        <v>3119</v>
      </c>
      <c r="G546" s="676">
        <v>70.010000000000005</v>
      </c>
      <c r="H546" s="676" t="s">
        <v>1976</v>
      </c>
      <c r="I546" s="676">
        <v>46.21</v>
      </c>
      <c r="J546" s="676"/>
      <c r="K546" s="676" t="s">
        <v>3120</v>
      </c>
      <c r="L546" s="677"/>
      <c r="M546" s="678"/>
      <c r="X546" s="656"/>
      <c r="Y546" s="657"/>
      <c r="Z546" s="657"/>
      <c r="AA546" s="481"/>
      <c r="AC546" s="456" t="s">
        <v>1974</v>
      </c>
      <c r="AD546" s="522"/>
      <c r="AE546" s="699"/>
      <c r="AF546" s="456"/>
      <c r="AG546" s="699"/>
    </row>
    <row r="547" spans="1:33" s="454" customFormat="1" ht="57" x14ac:dyDescent="0.25">
      <c r="A547" s="507"/>
      <c r="B547" s="674" t="s">
        <v>1978</v>
      </c>
      <c r="C547" s="2672" t="s">
        <v>1979</v>
      </c>
      <c r="D547" s="2672"/>
      <c r="E547" s="2672"/>
      <c r="F547" s="675" t="s">
        <v>3121</v>
      </c>
      <c r="G547" s="676">
        <v>340</v>
      </c>
      <c r="H547" s="676" t="s">
        <v>1981</v>
      </c>
      <c r="I547" s="676">
        <v>12705.8</v>
      </c>
      <c r="J547" s="676"/>
      <c r="K547" s="676" t="s">
        <v>3122</v>
      </c>
      <c r="L547" s="677"/>
      <c r="M547" s="678"/>
      <c r="X547" s="656"/>
      <c r="Y547" s="657"/>
      <c r="Z547" s="657"/>
      <c r="AA547" s="481"/>
      <c r="AC547" s="456" t="s">
        <v>1979</v>
      </c>
      <c r="AD547" s="522"/>
      <c r="AE547" s="699"/>
      <c r="AF547" s="456"/>
      <c r="AG547" s="699"/>
    </row>
    <row r="548" spans="1:33" s="454" customFormat="1" ht="34.5" x14ac:dyDescent="0.25">
      <c r="A548" s="507"/>
      <c r="B548" s="674" t="s">
        <v>1663</v>
      </c>
      <c r="C548" s="2672" t="s">
        <v>1664</v>
      </c>
      <c r="D548" s="2672"/>
      <c r="E548" s="2672"/>
      <c r="F548" s="675" t="s">
        <v>3123</v>
      </c>
      <c r="G548" s="676">
        <v>111.99</v>
      </c>
      <c r="H548" s="676" t="s">
        <v>1666</v>
      </c>
      <c r="I548" s="676">
        <v>72.790000000000006</v>
      </c>
      <c r="J548" s="676"/>
      <c r="K548" s="676" t="s">
        <v>3124</v>
      </c>
      <c r="L548" s="677"/>
      <c r="M548" s="678"/>
      <c r="X548" s="656"/>
      <c r="Y548" s="657"/>
      <c r="Z548" s="657"/>
      <c r="AA548" s="481"/>
      <c r="AC548" s="456" t="s">
        <v>1664</v>
      </c>
      <c r="AD548" s="522"/>
      <c r="AE548" s="699"/>
      <c r="AF548" s="456"/>
      <c r="AG548" s="699"/>
    </row>
    <row r="549" spans="1:33" s="454" customFormat="1" ht="23.25" x14ac:dyDescent="0.25">
      <c r="A549" s="507"/>
      <c r="B549" s="674" t="s">
        <v>1985</v>
      </c>
      <c r="C549" s="2672" t="s">
        <v>1986</v>
      </c>
      <c r="D549" s="2672"/>
      <c r="E549" s="2672"/>
      <c r="F549" s="675" t="s">
        <v>3125</v>
      </c>
      <c r="G549" s="676">
        <v>26.5</v>
      </c>
      <c r="H549" s="676" t="s">
        <v>1988</v>
      </c>
      <c r="I549" s="676">
        <v>235.32</v>
      </c>
      <c r="J549" s="676"/>
      <c r="K549" s="676" t="s">
        <v>3126</v>
      </c>
      <c r="L549" s="677"/>
      <c r="M549" s="678"/>
      <c r="X549" s="656"/>
      <c r="Y549" s="657"/>
      <c r="Z549" s="657"/>
      <c r="AA549" s="481"/>
      <c r="AC549" s="456" t="s">
        <v>1986</v>
      </c>
      <c r="AD549" s="522"/>
      <c r="AE549" s="699"/>
      <c r="AF549" s="456"/>
      <c r="AG549" s="699"/>
    </row>
    <row r="550" spans="1:33" s="454" customFormat="1" ht="34.5" x14ac:dyDescent="0.25">
      <c r="A550" s="507"/>
      <c r="B550" s="674" t="s">
        <v>821</v>
      </c>
      <c r="C550" s="2672" t="s">
        <v>1751</v>
      </c>
      <c r="D550" s="2672"/>
      <c r="E550" s="2672"/>
      <c r="F550" s="675" t="s">
        <v>3127</v>
      </c>
      <c r="G550" s="676">
        <v>65.709999999999994</v>
      </c>
      <c r="H550" s="676" t="s">
        <v>1753</v>
      </c>
      <c r="I550" s="676">
        <v>63.74</v>
      </c>
      <c r="J550" s="676"/>
      <c r="K550" s="676" t="s">
        <v>3128</v>
      </c>
      <c r="L550" s="677"/>
      <c r="M550" s="678"/>
      <c r="X550" s="656"/>
      <c r="Y550" s="657"/>
      <c r="Z550" s="657"/>
      <c r="AA550" s="481"/>
      <c r="AC550" s="456" t="s">
        <v>1751</v>
      </c>
      <c r="AD550" s="522"/>
      <c r="AE550" s="699"/>
      <c r="AF550" s="456"/>
      <c r="AG550" s="699"/>
    </row>
    <row r="551" spans="1:33" s="454" customFormat="1" ht="23.25" x14ac:dyDescent="0.25">
      <c r="A551" s="515" t="s">
        <v>863</v>
      </c>
      <c r="B551" s="686" t="s">
        <v>1992</v>
      </c>
      <c r="C551" s="2683" t="s">
        <v>1993</v>
      </c>
      <c r="D551" s="2683"/>
      <c r="E551" s="2683"/>
      <c r="F551" s="687" t="s">
        <v>3129</v>
      </c>
      <c r="G551" s="688">
        <v>0</v>
      </c>
      <c r="H551" s="688"/>
      <c r="I551" s="688">
        <v>0</v>
      </c>
      <c r="J551" s="688"/>
      <c r="K551" s="688"/>
      <c r="L551" s="689"/>
      <c r="M551" s="690"/>
      <c r="X551" s="656"/>
      <c r="Y551" s="657"/>
      <c r="Z551" s="657"/>
      <c r="AA551" s="481"/>
      <c r="AC551" s="456"/>
      <c r="AD551" s="522" t="s">
        <v>1993</v>
      </c>
      <c r="AE551" s="699"/>
      <c r="AF551" s="456"/>
      <c r="AG551" s="699"/>
    </row>
    <row r="552" spans="1:33" s="454" customFormat="1" ht="57" x14ac:dyDescent="0.25">
      <c r="A552" s="507"/>
      <c r="B552" s="674" t="s">
        <v>1995</v>
      </c>
      <c r="C552" s="2672" t="s">
        <v>1996</v>
      </c>
      <c r="D552" s="2672"/>
      <c r="E552" s="2672"/>
      <c r="F552" s="675" t="s">
        <v>3130</v>
      </c>
      <c r="G552" s="676">
        <v>183.68</v>
      </c>
      <c r="H552" s="676"/>
      <c r="I552" s="676">
        <v>63.94</v>
      </c>
      <c r="J552" s="676"/>
      <c r="K552" s="676"/>
      <c r="L552" s="677"/>
      <c r="M552" s="678"/>
      <c r="X552" s="656"/>
      <c r="Y552" s="657"/>
      <c r="Z552" s="657"/>
      <c r="AA552" s="481"/>
      <c r="AC552" s="456" t="s">
        <v>1996</v>
      </c>
      <c r="AD552" s="522"/>
      <c r="AE552" s="699"/>
      <c r="AF552" s="456"/>
      <c r="AG552" s="699"/>
    </row>
    <row r="553" spans="1:33" s="454" customFormat="1" ht="23.25" x14ac:dyDescent="0.25">
      <c r="A553" s="515" t="s">
        <v>863</v>
      </c>
      <c r="B553" s="686" t="s">
        <v>1998</v>
      </c>
      <c r="C553" s="2683" t="s">
        <v>1999</v>
      </c>
      <c r="D553" s="2683"/>
      <c r="E553" s="2683"/>
      <c r="F553" s="687" t="s">
        <v>3131</v>
      </c>
      <c r="G553" s="688">
        <v>0</v>
      </c>
      <c r="H553" s="688"/>
      <c r="I553" s="688">
        <v>0</v>
      </c>
      <c r="J553" s="688"/>
      <c r="K553" s="688"/>
      <c r="L553" s="689"/>
      <c r="M553" s="690"/>
      <c r="X553" s="656"/>
      <c r="Y553" s="657"/>
      <c r="Z553" s="657"/>
      <c r="AA553" s="481"/>
      <c r="AC553" s="456"/>
      <c r="AD553" s="522" t="s">
        <v>1999</v>
      </c>
      <c r="AE553" s="699"/>
      <c r="AF553" s="456"/>
      <c r="AG553" s="699"/>
    </row>
    <row r="554" spans="1:33" s="454" customFormat="1" ht="22.5" x14ac:dyDescent="0.25">
      <c r="A554" s="515" t="s">
        <v>860</v>
      </c>
      <c r="B554" s="686" t="s">
        <v>2001</v>
      </c>
      <c r="C554" s="2683" t="s">
        <v>2002</v>
      </c>
      <c r="D554" s="2683"/>
      <c r="E554" s="2683"/>
      <c r="F554" s="687" t="s">
        <v>1935</v>
      </c>
      <c r="G554" s="688">
        <v>0</v>
      </c>
      <c r="H554" s="688"/>
      <c r="I554" s="688">
        <v>0</v>
      </c>
      <c r="J554" s="688"/>
      <c r="K554" s="688"/>
      <c r="L554" s="689"/>
      <c r="M554" s="690"/>
      <c r="X554" s="656"/>
      <c r="Y554" s="657"/>
      <c r="Z554" s="657"/>
      <c r="AA554" s="481"/>
      <c r="AC554" s="456"/>
      <c r="AD554" s="522" t="s">
        <v>2002</v>
      </c>
      <c r="AE554" s="699"/>
      <c r="AF554" s="456"/>
      <c r="AG554" s="699"/>
    </row>
    <row r="555" spans="1:33" s="454" customFormat="1" ht="57" x14ac:dyDescent="0.25">
      <c r="A555" s="658" t="s">
        <v>1355</v>
      </c>
      <c r="B555" s="659" t="s">
        <v>2003</v>
      </c>
      <c r="C555" s="2673" t="s">
        <v>2004</v>
      </c>
      <c r="D555" s="2673"/>
      <c r="E555" s="2673"/>
      <c r="F555" s="660">
        <v>2.2320000000000002</v>
      </c>
      <c r="G555" s="661" t="s">
        <v>2005</v>
      </c>
      <c r="H555" s="661" t="s">
        <v>2006</v>
      </c>
      <c r="I555" s="661">
        <v>866421</v>
      </c>
      <c r="J555" s="661">
        <v>66161</v>
      </c>
      <c r="K555" s="662" t="s">
        <v>3132</v>
      </c>
      <c r="L555" s="691">
        <v>3081.2808</v>
      </c>
      <c r="M555" s="672">
        <v>6877.42</v>
      </c>
      <c r="X555" s="656"/>
      <c r="Y555" s="657"/>
      <c r="Z555" s="657"/>
      <c r="AA555" s="481" t="s">
        <v>2004</v>
      </c>
      <c r="AC555" s="456"/>
      <c r="AD555" s="522"/>
      <c r="AE555" s="699"/>
      <c r="AF555" s="456"/>
      <c r="AG555" s="699"/>
    </row>
    <row r="556" spans="1:33" s="454" customFormat="1" ht="15" x14ac:dyDescent="0.25">
      <c r="A556" s="664"/>
      <c r="B556" s="665"/>
      <c r="C556" s="666" t="s">
        <v>3133</v>
      </c>
      <c r="D556" s="667"/>
      <c r="E556" s="667"/>
      <c r="F556" s="667"/>
      <c r="G556" s="667"/>
      <c r="H556" s="667"/>
      <c r="I556" s="667"/>
      <c r="J556" s="667"/>
      <c r="K556" s="667"/>
      <c r="L556" s="667"/>
      <c r="M556" s="668"/>
      <c r="X556" s="656"/>
      <c r="Y556" s="657"/>
      <c r="Z556" s="657"/>
      <c r="AA556" s="481"/>
      <c r="AC556" s="456"/>
      <c r="AD556" s="522"/>
      <c r="AE556" s="699"/>
      <c r="AF556" s="456"/>
      <c r="AG556" s="699"/>
    </row>
    <row r="557" spans="1:33" s="454" customFormat="1" ht="15" x14ac:dyDescent="0.25">
      <c r="A557" s="542"/>
      <c r="B557" s="673" t="s">
        <v>1960</v>
      </c>
      <c r="C557" s="2670" t="s">
        <v>1961</v>
      </c>
      <c r="D557" s="2670"/>
      <c r="E557" s="2670"/>
      <c r="F557" s="2670"/>
      <c r="G557" s="2670"/>
      <c r="H557" s="2670"/>
      <c r="I557" s="2670"/>
      <c r="J557" s="2670"/>
      <c r="K557" s="2670"/>
      <c r="L557" s="2670"/>
      <c r="M557" s="2671"/>
      <c r="X557" s="656"/>
      <c r="Y557" s="657"/>
      <c r="Z557" s="657"/>
      <c r="AA557" s="481"/>
      <c r="AB557" s="491" t="s">
        <v>1961</v>
      </c>
      <c r="AC557" s="456"/>
      <c r="AD557" s="522"/>
      <c r="AE557" s="699"/>
      <c r="AF557" s="456"/>
      <c r="AG557" s="699"/>
    </row>
    <row r="558" spans="1:33" s="454" customFormat="1" ht="15" x14ac:dyDescent="0.25">
      <c r="A558" s="542"/>
      <c r="B558" s="673" t="s">
        <v>1962</v>
      </c>
      <c r="C558" s="2670" t="s">
        <v>1963</v>
      </c>
      <c r="D558" s="2670"/>
      <c r="E558" s="2670"/>
      <c r="F558" s="2670"/>
      <c r="G558" s="2670"/>
      <c r="H558" s="2670"/>
      <c r="I558" s="2670"/>
      <c r="J558" s="2670"/>
      <c r="K558" s="2670"/>
      <c r="L558" s="2670"/>
      <c r="M558" s="2671"/>
      <c r="X558" s="656"/>
      <c r="Y558" s="657"/>
      <c r="Z558" s="657"/>
      <c r="AA558" s="481"/>
      <c r="AB558" s="491" t="s">
        <v>1963</v>
      </c>
      <c r="AC558" s="456"/>
      <c r="AD558" s="522"/>
      <c r="AE558" s="699"/>
      <c r="AF558" s="456"/>
      <c r="AG558" s="699"/>
    </row>
    <row r="559" spans="1:33" s="454" customFormat="1" ht="15" x14ac:dyDescent="0.25">
      <c r="A559" s="542"/>
      <c r="B559" s="673" t="s">
        <v>1964</v>
      </c>
      <c r="C559" s="2670" t="s">
        <v>1965</v>
      </c>
      <c r="D559" s="2670"/>
      <c r="E559" s="2670"/>
      <c r="F559" s="2670"/>
      <c r="G559" s="2670"/>
      <c r="H559" s="2670"/>
      <c r="I559" s="2670"/>
      <c r="J559" s="2670"/>
      <c r="K559" s="2670"/>
      <c r="L559" s="2670"/>
      <c r="M559" s="2671"/>
      <c r="X559" s="656"/>
      <c r="Y559" s="657"/>
      <c r="Z559" s="657"/>
      <c r="AA559" s="481"/>
      <c r="AB559" s="491" t="s">
        <v>1965</v>
      </c>
      <c r="AC559" s="456"/>
      <c r="AD559" s="522"/>
      <c r="AE559" s="699"/>
      <c r="AF559" s="456"/>
      <c r="AG559" s="699"/>
    </row>
    <row r="560" spans="1:33" s="454" customFormat="1" ht="33.75" x14ac:dyDescent="0.25">
      <c r="A560" s="542"/>
      <c r="B560" s="673" t="s">
        <v>1655</v>
      </c>
      <c r="C560" s="2670" t="s">
        <v>1656</v>
      </c>
      <c r="D560" s="2670"/>
      <c r="E560" s="2670"/>
      <c r="F560" s="2670"/>
      <c r="G560" s="2670"/>
      <c r="H560" s="2670"/>
      <c r="I560" s="2670"/>
      <c r="J560" s="2670"/>
      <c r="K560" s="2670"/>
      <c r="L560" s="2670"/>
      <c r="M560" s="2671"/>
      <c r="X560" s="656"/>
      <c r="Y560" s="657"/>
      <c r="Z560" s="657"/>
      <c r="AA560" s="481"/>
      <c r="AB560" s="491" t="s">
        <v>1656</v>
      </c>
      <c r="AC560" s="456"/>
      <c r="AD560" s="522"/>
      <c r="AE560" s="699"/>
      <c r="AF560" s="456"/>
      <c r="AG560" s="699"/>
    </row>
    <row r="561" spans="1:33" s="454" customFormat="1" ht="15" x14ac:dyDescent="0.25">
      <c r="A561" s="823"/>
      <c r="B561" s="824"/>
      <c r="C561" s="824"/>
      <c r="D561" s="824"/>
      <c r="E561" s="825" t="s">
        <v>3134</v>
      </c>
      <c r="F561" s="826"/>
      <c r="G561" s="827"/>
      <c r="H561" s="648"/>
      <c r="I561" s="828">
        <v>111965</v>
      </c>
      <c r="J561" s="829"/>
      <c r="K561" s="829"/>
      <c r="L561" s="830"/>
      <c r="M561" s="831"/>
      <c r="X561" s="656"/>
      <c r="Y561" s="657"/>
      <c r="Z561" s="657"/>
      <c r="AA561" s="481"/>
      <c r="AC561" s="456"/>
      <c r="AD561" s="522"/>
      <c r="AE561" s="699"/>
      <c r="AF561" s="456"/>
      <c r="AG561" s="699"/>
    </row>
    <row r="562" spans="1:33" s="454" customFormat="1" ht="15" x14ac:dyDescent="0.25">
      <c r="A562" s="823"/>
      <c r="B562" s="824"/>
      <c r="C562" s="824"/>
      <c r="D562" s="824"/>
      <c r="E562" s="825" t="s">
        <v>3135</v>
      </c>
      <c r="F562" s="826"/>
      <c r="G562" s="827"/>
      <c r="H562" s="648"/>
      <c r="I562" s="828">
        <v>50984</v>
      </c>
      <c r="J562" s="829"/>
      <c r="K562" s="829"/>
      <c r="L562" s="830"/>
      <c r="M562" s="831"/>
      <c r="X562" s="656"/>
      <c r="Y562" s="657"/>
      <c r="Z562" s="657"/>
      <c r="AA562" s="481"/>
      <c r="AC562" s="456"/>
      <c r="AD562" s="522"/>
      <c r="AE562" s="699"/>
      <c r="AF562" s="456"/>
      <c r="AG562" s="699"/>
    </row>
    <row r="563" spans="1:33" s="454" customFormat="1" ht="15" x14ac:dyDescent="0.25">
      <c r="A563" s="823"/>
      <c r="B563" s="824"/>
      <c r="C563" s="824"/>
      <c r="D563" s="824"/>
      <c r="E563" s="825" t="s">
        <v>2692</v>
      </c>
      <c r="F563" s="826"/>
      <c r="G563" s="827"/>
      <c r="H563" s="648"/>
      <c r="I563" s="828">
        <v>1029370</v>
      </c>
      <c r="J563" s="829"/>
      <c r="K563" s="829"/>
      <c r="L563" s="830"/>
      <c r="M563" s="831"/>
      <c r="X563" s="656"/>
      <c r="Y563" s="657"/>
      <c r="Z563" s="657"/>
      <c r="AA563" s="481"/>
      <c r="AC563" s="456"/>
      <c r="AD563" s="522"/>
      <c r="AE563" s="699"/>
      <c r="AF563" s="456"/>
      <c r="AG563" s="699"/>
    </row>
    <row r="564" spans="1:33" s="454" customFormat="1" ht="23.25" x14ac:dyDescent="0.25">
      <c r="A564" s="507"/>
      <c r="B564" s="674" t="s">
        <v>1883</v>
      </c>
      <c r="C564" s="2672" t="s">
        <v>1884</v>
      </c>
      <c r="D564" s="2672"/>
      <c r="E564" s="2672"/>
      <c r="F564" s="675" t="s">
        <v>3136</v>
      </c>
      <c r="G564" s="676" t="s">
        <v>1886</v>
      </c>
      <c r="H564" s="676"/>
      <c r="I564" s="676">
        <v>66160.78</v>
      </c>
      <c r="J564" s="676">
        <v>66160.78</v>
      </c>
      <c r="K564" s="676"/>
      <c r="L564" s="677"/>
      <c r="M564" s="678"/>
      <c r="X564" s="656"/>
      <c r="Y564" s="657"/>
      <c r="Z564" s="657"/>
      <c r="AA564" s="481"/>
      <c r="AC564" s="456" t="s">
        <v>1884</v>
      </c>
      <c r="AD564" s="522"/>
      <c r="AE564" s="699"/>
      <c r="AF564" s="456"/>
      <c r="AG564" s="699"/>
    </row>
    <row r="565" spans="1:33" s="454" customFormat="1" ht="23.25" x14ac:dyDescent="0.25">
      <c r="A565" s="507"/>
      <c r="B565" s="674" t="s">
        <v>639</v>
      </c>
      <c r="C565" s="2672" t="s">
        <v>1661</v>
      </c>
      <c r="D565" s="2672"/>
      <c r="E565" s="2672"/>
      <c r="F565" s="675" t="s">
        <v>3137</v>
      </c>
      <c r="G565" s="676">
        <v>0</v>
      </c>
      <c r="H565" s="676">
        <v>0</v>
      </c>
      <c r="I565" s="676">
        <v>0</v>
      </c>
      <c r="J565" s="676"/>
      <c r="K565" s="676">
        <v>0</v>
      </c>
      <c r="L565" s="677"/>
      <c r="M565" s="678"/>
      <c r="X565" s="656"/>
      <c r="Y565" s="657"/>
      <c r="Z565" s="657"/>
      <c r="AA565" s="481"/>
      <c r="AC565" s="456" t="s">
        <v>1661</v>
      </c>
      <c r="AD565" s="522"/>
      <c r="AE565" s="699"/>
      <c r="AF565" s="456"/>
      <c r="AG565" s="699"/>
    </row>
    <row r="566" spans="1:33" s="454" customFormat="1" ht="23.25" x14ac:dyDescent="0.25">
      <c r="A566" s="507"/>
      <c r="B566" s="674" t="s">
        <v>1968</v>
      </c>
      <c r="C566" s="2672" t="s">
        <v>1969</v>
      </c>
      <c r="D566" s="2672"/>
      <c r="E566" s="2672"/>
      <c r="F566" s="675" t="s">
        <v>3138</v>
      </c>
      <c r="G566" s="676">
        <v>79.069999999999993</v>
      </c>
      <c r="H566" s="676" t="s">
        <v>1971</v>
      </c>
      <c r="I566" s="676">
        <v>517.12</v>
      </c>
      <c r="J566" s="676"/>
      <c r="K566" s="676" t="s">
        <v>3139</v>
      </c>
      <c r="L566" s="677"/>
      <c r="M566" s="678"/>
      <c r="X566" s="656"/>
      <c r="Y566" s="657"/>
      <c r="Z566" s="657"/>
      <c r="AA566" s="481"/>
      <c r="AC566" s="456" t="s">
        <v>1969</v>
      </c>
      <c r="AD566" s="522"/>
      <c r="AE566" s="699"/>
      <c r="AF566" s="456"/>
      <c r="AG566" s="699"/>
    </row>
    <row r="567" spans="1:33" s="454" customFormat="1" ht="45.75" x14ac:dyDescent="0.25">
      <c r="A567" s="507"/>
      <c r="B567" s="674" t="s">
        <v>1973</v>
      </c>
      <c r="C567" s="2672" t="s">
        <v>1974</v>
      </c>
      <c r="D567" s="2672"/>
      <c r="E567" s="2672"/>
      <c r="F567" s="675" t="s">
        <v>3140</v>
      </c>
      <c r="G567" s="676">
        <v>70.010000000000005</v>
      </c>
      <c r="H567" s="676" t="s">
        <v>1976</v>
      </c>
      <c r="I567" s="676">
        <v>616.09</v>
      </c>
      <c r="J567" s="676"/>
      <c r="K567" s="676" t="s">
        <v>3141</v>
      </c>
      <c r="L567" s="677"/>
      <c r="M567" s="678"/>
      <c r="X567" s="656"/>
      <c r="Y567" s="657"/>
      <c r="Z567" s="657"/>
      <c r="AA567" s="481"/>
      <c r="AC567" s="456" t="s">
        <v>1974</v>
      </c>
      <c r="AD567" s="522"/>
      <c r="AE567" s="699"/>
      <c r="AF567" s="456"/>
      <c r="AG567" s="699"/>
    </row>
    <row r="568" spans="1:33" s="454" customFormat="1" ht="57" x14ac:dyDescent="0.25">
      <c r="A568" s="507"/>
      <c r="B568" s="674" t="s">
        <v>1978</v>
      </c>
      <c r="C568" s="2672" t="s">
        <v>1979</v>
      </c>
      <c r="D568" s="2672"/>
      <c r="E568" s="2672"/>
      <c r="F568" s="675" t="s">
        <v>3142</v>
      </c>
      <c r="G568" s="676">
        <v>340</v>
      </c>
      <c r="H568" s="676" t="s">
        <v>1981</v>
      </c>
      <c r="I568" s="676">
        <v>525439.4</v>
      </c>
      <c r="J568" s="676"/>
      <c r="K568" s="676" t="s">
        <v>3143</v>
      </c>
      <c r="L568" s="677"/>
      <c r="M568" s="678"/>
      <c r="X568" s="656"/>
      <c r="Y568" s="657"/>
      <c r="Z568" s="657"/>
      <c r="AA568" s="481"/>
      <c r="AC568" s="456" t="s">
        <v>1979</v>
      </c>
      <c r="AD568" s="522"/>
      <c r="AE568" s="699"/>
      <c r="AF568" s="456"/>
      <c r="AG568" s="699"/>
    </row>
    <row r="569" spans="1:33" s="454" customFormat="1" ht="34.5" x14ac:dyDescent="0.25">
      <c r="A569" s="507"/>
      <c r="B569" s="674" t="s">
        <v>1663</v>
      </c>
      <c r="C569" s="2672" t="s">
        <v>1664</v>
      </c>
      <c r="D569" s="2672"/>
      <c r="E569" s="2672"/>
      <c r="F569" s="675" t="s">
        <v>3144</v>
      </c>
      <c r="G569" s="676">
        <v>111.99</v>
      </c>
      <c r="H569" s="676" t="s">
        <v>1666</v>
      </c>
      <c r="I569" s="676">
        <v>1085.18</v>
      </c>
      <c r="J569" s="676"/>
      <c r="K569" s="676" t="s">
        <v>3145</v>
      </c>
      <c r="L569" s="677"/>
      <c r="M569" s="678"/>
      <c r="X569" s="656"/>
      <c r="Y569" s="657"/>
      <c r="Z569" s="657"/>
      <c r="AA569" s="481"/>
      <c r="AC569" s="456" t="s">
        <v>1664</v>
      </c>
      <c r="AD569" s="522"/>
      <c r="AE569" s="699"/>
      <c r="AF569" s="456"/>
      <c r="AG569" s="699"/>
    </row>
    <row r="570" spans="1:33" s="454" customFormat="1" ht="23.25" x14ac:dyDescent="0.25">
      <c r="A570" s="507"/>
      <c r="B570" s="674" t="s">
        <v>1985</v>
      </c>
      <c r="C570" s="2672" t="s">
        <v>1986</v>
      </c>
      <c r="D570" s="2672"/>
      <c r="E570" s="2672"/>
      <c r="F570" s="675" t="s">
        <v>3146</v>
      </c>
      <c r="G570" s="676">
        <v>26.5</v>
      </c>
      <c r="H570" s="676" t="s">
        <v>1988</v>
      </c>
      <c r="I570" s="676">
        <v>3125.15</v>
      </c>
      <c r="J570" s="676"/>
      <c r="K570" s="676" t="s">
        <v>3147</v>
      </c>
      <c r="L570" s="677"/>
      <c r="M570" s="678"/>
      <c r="X570" s="656"/>
      <c r="Y570" s="657"/>
      <c r="Z570" s="657"/>
      <c r="AA570" s="481"/>
      <c r="AC570" s="456" t="s">
        <v>1986</v>
      </c>
      <c r="AD570" s="522"/>
      <c r="AE570" s="699"/>
      <c r="AF570" s="456"/>
      <c r="AG570" s="699"/>
    </row>
    <row r="571" spans="1:33" s="454" customFormat="1" ht="34.5" x14ac:dyDescent="0.25">
      <c r="A571" s="507"/>
      <c r="B571" s="674" t="s">
        <v>821</v>
      </c>
      <c r="C571" s="2672" t="s">
        <v>1751</v>
      </c>
      <c r="D571" s="2672"/>
      <c r="E571" s="2672"/>
      <c r="F571" s="675" t="s">
        <v>3148</v>
      </c>
      <c r="G571" s="676">
        <v>65.709999999999994</v>
      </c>
      <c r="H571" s="676" t="s">
        <v>1753</v>
      </c>
      <c r="I571" s="676">
        <v>953.45</v>
      </c>
      <c r="J571" s="676"/>
      <c r="K571" s="676" t="s">
        <v>3149</v>
      </c>
      <c r="L571" s="677"/>
      <c r="M571" s="678"/>
      <c r="X571" s="656"/>
      <c r="Y571" s="657"/>
      <c r="Z571" s="657"/>
      <c r="AA571" s="481"/>
      <c r="AC571" s="456" t="s">
        <v>1751</v>
      </c>
      <c r="AD571" s="522"/>
      <c r="AE571" s="699"/>
      <c r="AF571" s="456"/>
      <c r="AG571" s="699"/>
    </row>
    <row r="572" spans="1:33" s="454" customFormat="1" ht="23.25" x14ac:dyDescent="0.25">
      <c r="A572" s="515" t="s">
        <v>863</v>
      </c>
      <c r="B572" s="686" t="s">
        <v>1992</v>
      </c>
      <c r="C572" s="2683" t="s">
        <v>1993</v>
      </c>
      <c r="D572" s="2683"/>
      <c r="E572" s="2683"/>
      <c r="F572" s="687" t="s">
        <v>3150</v>
      </c>
      <c r="G572" s="688">
        <v>0</v>
      </c>
      <c r="H572" s="688"/>
      <c r="I572" s="688">
        <v>0</v>
      </c>
      <c r="J572" s="688"/>
      <c r="K572" s="688"/>
      <c r="L572" s="689"/>
      <c r="M572" s="690"/>
      <c r="X572" s="656"/>
      <c r="Y572" s="657"/>
      <c r="Z572" s="657"/>
      <c r="AA572" s="481"/>
      <c r="AC572" s="456"/>
      <c r="AD572" s="522" t="s">
        <v>1993</v>
      </c>
      <c r="AE572" s="699"/>
      <c r="AF572" s="456"/>
      <c r="AG572" s="699"/>
    </row>
    <row r="573" spans="1:33" s="454" customFormat="1" ht="57" x14ac:dyDescent="0.25">
      <c r="A573" s="507"/>
      <c r="B573" s="674" t="s">
        <v>1995</v>
      </c>
      <c r="C573" s="2672" t="s">
        <v>1996</v>
      </c>
      <c r="D573" s="2672"/>
      <c r="E573" s="2672"/>
      <c r="F573" s="675" t="s">
        <v>3151</v>
      </c>
      <c r="G573" s="676">
        <v>183.68</v>
      </c>
      <c r="H573" s="676"/>
      <c r="I573" s="676">
        <v>2656.01</v>
      </c>
      <c r="J573" s="676"/>
      <c r="K573" s="676"/>
      <c r="L573" s="677"/>
      <c r="M573" s="678"/>
      <c r="X573" s="656"/>
      <c r="Y573" s="657"/>
      <c r="Z573" s="657"/>
      <c r="AA573" s="481"/>
      <c r="AC573" s="456" t="s">
        <v>1996</v>
      </c>
      <c r="AD573" s="522"/>
      <c r="AE573" s="699"/>
      <c r="AF573" s="456"/>
      <c r="AG573" s="699"/>
    </row>
    <row r="574" spans="1:33" s="454" customFormat="1" ht="23.25" x14ac:dyDescent="0.25">
      <c r="A574" s="515" t="s">
        <v>863</v>
      </c>
      <c r="B574" s="686" t="s">
        <v>1998</v>
      </c>
      <c r="C574" s="2683" t="s">
        <v>1999</v>
      </c>
      <c r="D574" s="2683"/>
      <c r="E574" s="2683"/>
      <c r="F574" s="687" t="s">
        <v>3152</v>
      </c>
      <c r="G574" s="688">
        <v>0</v>
      </c>
      <c r="H574" s="688"/>
      <c r="I574" s="688">
        <v>0</v>
      </c>
      <c r="J574" s="688"/>
      <c r="K574" s="688"/>
      <c r="L574" s="689"/>
      <c r="M574" s="690"/>
      <c r="X574" s="656"/>
      <c r="Y574" s="657"/>
      <c r="Z574" s="657"/>
      <c r="AA574" s="481"/>
      <c r="AC574" s="456"/>
      <c r="AD574" s="522" t="s">
        <v>1999</v>
      </c>
      <c r="AE574" s="699"/>
      <c r="AF574" s="456"/>
      <c r="AG574" s="699"/>
    </row>
    <row r="575" spans="1:33" s="454" customFormat="1" ht="22.5" x14ac:dyDescent="0.25">
      <c r="A575" s="515" t="s">
        <v>860</v>
      </c>
      <c r="B575" s="686" t="s">
        <v>2001</v>
      </c>
      <c r="C575" s="2683" t="s">
        <v>2002</v>
      </c>
      <c r="D575" s="2683"/>
      <c r="E575" s="2683"/>
      <c r="F575" s="687" t="s">
        <v>1935</v>
      </c>
      <c r="G575" s="688">
        <v>0</v>
      </c>
      <c r="H575" s="688"/>
      <c r="I575" s="688">
        <v>0</v>
      </c>
      <c r="J575" s="688"/>
      <c r="K575" s="688"/>
      <c r="L575" s="689"/>
      <c r="M575" s="690"/>
      <c r="X575" s="656"/>
      <c r="Y575" s="657"/>
      <c r="Z575" s="657"/>
      <c r="AA575" s="481"/>
      <c r="AC575" s="456"/>
      <c r="AD575" s="522" t="s">
        <v>2002</v>
      </c>
      <c r="AE575" s="699"/>
      <c r="AF575" s="456"/>
      <c r="AG575" s="699"/>
    </row>
    <row r="576" spans="1:33" s="454" customFormat="1" ht="45" x14ac:dyDescent="0.25">
      <c r="A576" s="658" t="s">
        <v>1358</v>
      </c>
      <c r="B576" s="659" t="s">
        <v>2026</v>
      </c>
      <c r="C576" s="2673" t="s">
        <v>1254</v>
      </c>
      <c r="D576" s="2673"/>
      <c r="E576" s="2673"/>
      <c r="F576" s="680">
        <v>7.2</v>
      </c>
      <c r="G576" s="661">
        <v>480</v>
      </c>
      <c r="H576" s="661"/>
      <c r="I576" s="661">
        <v>3456</v>
      </c>
      <c r="J576" s="661"/>
      <c r="K576" s="662"/>
      <c r="L576" s="663">
        <v>0</v>
      </c>
      <c r="M576" s="663">
        <v>0</v>
      </c>
      <c r="X576" s="656"/>
      <c r="Y576" s="657"/>
      <c r="Z576" s="657"/>
      <c r="AA576" s="481" t="s">
        <v>1254</v>
      </c>
      <c r="AC576" s="456"/>
      <c r="AD576" s="522"/>
      <c r="AE576" s="699"/>
      <c r="AF576" s="456"/>
      <c r="AG576" s="699"/>
    </row>
    <row r="577" spans="1:33" s="454" customFormat="1" ht="15" x14ac:dyDescent="0.25">
      <c r="A577" s="664"/>
      <c r="B577" s="665"/>
      <c r="C577" s="666" t="s">
        <v>3153</v>
      </c>
      <c r="D577" s="667"/>
      <c r="E577" s="667"/>
      <c r="F577" s="667"/>
      <c r="G577" s="667"/>
      <c r="H577" s="667"/>
      <c r="I577" s="667"/>
      <c r="J577" s="667"/>
      <c r="K577" s="667"/>
      <c r="L577" s="667"/>
      <c r="M577" s="668"/>
      <c r="X577" s="656"/>
      <c r="Y577" s="657"/>
      <c r="Z577" s="657"/>
      <c r="AA577" s="481"/>
      <c r="AC577" s="456"/>
      <c r="AD577" s="522"/>
      <c r="AE577" s="699"/>
      <c r="AF577" s="456"/>
      <c r="AG577" s="699"/>
    </row>
    <row r="578" spans="1:33" s="454" customFormat="1" ht="45" x14ac:dyDescent="0.25">
      <c r="A578" s="658" t="s">
        <v>1360</v>
      </c>
      <c r="B578" s="659" t="s">
        <v>2028</v>
      </c>
      <c r="C578" s="2673" t="s">
        <v>1257</v>
      </c>
      <c r="D578" s="2673"/>
      <c r="E578" s="2673"/>
      <c r="F578" s="670">
        <v>5</v>
      </c>
      <c r="G578" s="661">
        <v>2.44</v>
      </c>
      <c r="H578" s="661"/>
      <c r="I578" s="661">
        <v>12</v>
      </c>
      <c r="J578" s="661"/>
      <c r="K578" s="662"/>
      <c r="L578" s="663">
        <v>0</v>
      </c>
      <c r="M578" s="663">
        <v>0</v>
      </c>
      <c r="X578" s="656"/>
      <c r="Y578" s="657"/>
      <c r="Z578" s="657"/>
      <c r="AA578" s="481" t="s">
        <v>1257</v>
      </c>
      <c r="AC578" s="456"/>
      <c r="AD578" s="522"/>
      <c r="AE578" s="699"/>
      <c r="AF578" s="456"/>
      <c r="AG578" s="699"/>
    </row>
    <row r="579" spans="1:33" s="454" customFormat="1" ht="15" x14ac:dyDescent="0.25">
      <c r="A579" s="664"/>
      <c r="B579" s="665"/>
      <c r="C579" s="666" t="s">
        <v>3154</v>
      </c>
      <c r="D579" s="667"/>
      <c r="E579" s="667"/>
      <c r="F579" s="667"/>
      <c r="G579" s="667"/>
      <c r="H579" s="667"/>
      <c r="I579" s="667"/>
      <c r="J579" s="667"/>
      <c r="K579" s="667"/>
      <c r="L579" s="667"/>
      <c r="M579" s="668"/>
      <c r="X579" s="656"/>
      <c r="Y579" s="657"/>
      <c r="Z579" s="657"/>
      <c r="AA579" s="481"/>
      <c r="AC579" s="456"/>
      <c r="AD579" s="522"/>
      <c r="AE579" s="699"/>
      <c r="AF579" s="456"/>
      <c r="AG579" s="699"/>
    </row>
    <row r="580" spans="1:33" s="454" customFormat="1" ht="45.75" x14ac:dyDescent="0.25">
      <c r="A580" s="658" t="s">
        <v>1362</v>
      </c>
      <c r="B580" s="659" t="s">
        <v>2030</v>
      </c>
      <c r="C580" s="2673" t="s">
        <v>2031</v>
      </c>
      <c r="D580" s="2673"/>
      <c r="E580" s="2673"/>
      <c r="F580" s="680">
        <v>2.4</v>
      </c>
      <c r="G580" s="661" t="s">
        <v>2032</v>
      </c>
      <c r="H580" s="661" t="s">
        <v>2033</v>
      </c>
      <c r="I580" s="661">
        <v>26864</v>
      </c>
      <c r="J580" s="661">
        <v>3603</v>
      </c>
      <c r="K580" s="662" t="s">
        <v>3155</v>
      </c>
      <c r="L580" s="671">
        <v>156.04499999999999</v>
      </c>
      <c r="M580" s="672">
        <v>374.51</v>
      </c>
      <c r="X580" s="656"/>
      <c r="Y580" s="657"/>
      <c r="Z580" s="657"/>
      <c r="AA580" s="481" t="s">
        <v>2031</v>
      </c>
      <c r="AC580" s="456"/>
      <c r="AD580" s="522"/>
      <c r="AE580" s="699"/>
      <c r="AF580" s="456"/>
      <c r="AG580" s="699"/>
    </row>
    <row r="581" spans="1:33" s="454" customFormat="1" ht="15" x14ac:dyDescent="0.25">
      <c r="A581" s="664"/>
      <c r="B581" s="665"/>
      <c r="C581" s="666" t="s">
        <v>3156</v>
      </c>
      <c r="D581" s="667"/>
      <c r="E581" s="667"/>
      <c r="F581" s="667"/>
      <c r="G581" s="667"/>
      <c r="H581" s="667"/>
      <c r="I581" s="667"/>
      <c r="J581" s="667"/>
      <c r="K581" s="667"/>
      <c r="L581" s="667"/>
      <c r="M581" s="668"/>
      <c r="X581" s="656"/>
      <c r="Y581" s="657"/>
      <c r="Z581" s="657"/>
      <c r="AA581" s="481"/>
      <c r="AC581" s="456"/>
      <c r="AD581" s="522"/>
      <c r="AE581" s="699"/>
      <c r="AF581" s="456"/>
      <c r="AG581" s="699"/>
    </row>
    <row r="582" spans="1:33" s="454" customFormat="1" ht="15" x14ac:dyDescent="0.25">
      <c r="A582" s="542"/>
      <c r="B582" s="665"/>
      <c r="C582" s="666" t="s">
        <v>2036</v>
      </c>
      <c r="D582" s="667"/>
      <c r="E582" s="667"/>
      <c r="F582" s="667"/>
      <c r="G582" s="667"/>
      <c r="H582" s="667"/>
      <c r="I582" s="667"/>
      <c r="J582" s="667"/>
      <c r="K582" s="667"/>
      <c r="L582" s="667"/>
      <c r="M582" s="669"/>
      <c r="X582" s="656"/>
      <c r="Y582" s="657"/>
      <c r="Z582" s="657"/>
      <c r="AA582" s="481"/>
      <c r="AC582" s="456"/>
      <c r="AD582" s="522"/>
      <c r="AE582" s="699"/>
      <c r="AF582" s="456"/>
      <c r="AG582" s="699"/>
    </row>
    <row r="583" spans="1:33" s="454" customFormat="1" ht="33.75" x14ac:dyDescent="0.25">
      <c r="A583" s="542"/>
      <c r="B583" s="673" t="s">
        <v>1655</v>
      </c>
      <c r="C583" s="2670" t="s">
        <v>1656</v>
      </c>
      <c r="D583" s="2670"/>
      <c r="E583" s="2670"/>
      <c r="F583" s="2670"/>
      <c r="G583" s="2670"/>
      <c r="H583" s="2670"/>
      <c r="I583" s="2670"/>
      <c r="J583" s="2670"/>
      <c r="K583" s="2670"/>
      <c r="L583" s="2670"/>
      <c r="M583" s="2671"/>
      <c r="X583" s="656"/>
      <c r="Y583" s="657"/>
      <c r="Z583" s="657"/>
      <c r="AA583" s="481"/>
      <c r="AB583" s="491" t="s">
        <v>1656</v>
      </c>
      <c r="AC583" s="456"/>
      <c r="AD583" s="522"/>
      <c r="AE583" s="699"/>
      <c r="AF583" s="456"/>
      <c r="AG583" s="699"/>
    </row>
    <row r="584" spans="1:33" s="454" customFormat="1" ht="15" x14ac:dyDescent="0.25">
      <c r="A584" s="823"/>
      <c r="B584" s="824"/>
      <c r="C584" s="824"/>
      <c r="D584" s="824"/>
      <c r="E584" s="825" t="s">
        <v>3157</v>
      </c>
      <c r="F584" s="826"/>
      <c r="G584" s="827"/>
      <c r="H584" s="648"/>
      <c r="I584" s="828">
        <v>5031</v>
      </c>
      <c r="J584" s="829"/>
      <c r="K584" s="829"/>
      <c r="L584" s="830"/>
      <c r="M584" s="831"/>
      <c r="X584" s="656"/>
      <c r="Y584" s="657"/>
      <c r="Z584" s="657"/>
      <c r="AA584" s="481"/>
      <c r="AC584" s="456"/>
      <c r="AD584" s="522"/>
      <c r="AE584" s="699"/>
      <c r="AF584" s="456"/>
      <c r="AG584" s="699"/>
    </row>
    <row r="585" spans="1:33" s="454" customFormat="1" ht="15" x14ac:dyDescent="0.25">
      <c r="A585" s="823"/>
      <c r="B585" s="824"/>
      <c r="C585" s="824"/>
      <c r="D585" s="824"/>
      <c r="E585" s="825" t="s">
        <v>3158</v>
      </c>
      <c r="F585" s="826"/>
      <c r="G585" s="827"/>
      <c r="H585" s="648"/>
      <c r="I585" s="828">
        <v>3470</v>
      </c>
      <c r="J585" s="829"/>
      <c r="K585" s="829"/>
      <c r="L585" s="830"/>
      <c r="M585" s="831"/>
      <c r="X585" s="656"/>
      <c r="Y585" s="657"/>
      <c r="Z585" s="657"/>
      <c r="AA585" s="481"/>
      <c r="AC585" s="456"/>
      <c r="AD585" s="522"/>
      <c r="AE585" s="699"/>
      <c r="AF585" s="456"/>
      <c r="AG585" s="699"/>
    </row>
    <row r="586" spans="1:33" s="454" customFormat="1" ht="15" x14ac:dyDescent="0.25">
      <c r="A586" s="823"/>
      <c r="B586" s="824"/>
      <c r="C586" s="824"/>
      <c r="D586" s="824"/>
      <c r="E586" s="825" t="s">
        <v>2692</v>
      </c>
      <c r="F586" s="826"/>
      <c r="G586" s="827"/>
      <c r="H586" s="648"/>
      <c r="I586" s="828">
        <v>35365</v>
      </c>
      <c r="J586" s="829"/>
      <c r="K586" s="829"/>
      <c r="L586" s="830"/>
      <c r="M586" s="831"/>
      <c r="X586" s="656"/>
      <c r="Y586" s="657"/>
      <c r="Z586" s="657"/>
      <c r="AA586" s="481"/>
      <c r="AC586" s="456"/>
      <c r="AD586" s="522"/>
      <c r="AE586" s="699"/>
      <c r="AF586" s="456"/>
      <c r="AG586" s="699"/>
    </row>
    <row r="587" spans="1:33" s="454" customFormat="1" ht="23.25" x14ac:dyDescent="0.25">
      <c r="A587" s="507"/>
      <c r="B587" s="674" t="s">
        <v>1883</v>
      </c>
      <c r="C587" s="2672" t="s">
        <v>1884</v>
      </c>
      <c r="D587" s="2672"/>
      <c r="E587" s="2672"/>
      <c r="F587" s="675" t="s">
        <v>3159</v>
      </c>
      <c r="G587" s="676" t="s">
        <v>1886</v>
      </c>
      <c r="H587" s="676"/>
      <c r="I587" s="676">
        <v>3602.79</v>
      </c>
      <c r="J587" s="676">
        <v>3602.79</v>
      </c>
      <c r="K587" s="676"/>
      <c r="L587" s="677"/>
      <c r="M587" s="678"/>
      <c r="X587" s="656"/>
      <c r="Y587" s="657"/>
      <c r="Z587" s="657"/>
      <c r="AA587" s="481"/>
      <c r="AC587" s="456" t="s">
        <v>1884</v>
      </c>
      <c r="AD587" s="522"/>
      <c r="AE587" s="699"/>
      <c r="AF587" s="456"/>
      <c r="AG587" s="699"/>
    </row>
    <row r="588" spans="1:33" s="454" customFormat="1" ht="23.25" x14ac:dyDescent="0.25">
      <c r="A588" s="507"/>
      <c r="B588" s="674" t="s">
        <v>639</v>
      </c>
      <c r="C588" s="2672" t="s">
        <v>1661</v>
      </c>
      <c r="D588" s="2672"/>
      <c r="E588" s="2672"/>
      <c r="F588" s="675" t="s">
        <v>3160</v>
      </c>
      <c r="G588" s="676">
        <v>0</v>
      </c>
      <c r="H588" s="676">
        <v>0</v>
      </c>
      <c r="I588" s="676">
        <v>0</v>
      </c>
      <c r="J588" s="676"/>
      <c r="K588" s="676">
        <v>0</v>
      </c>
      <c r="L588" s="677"/>
      <c r="M588" s="678"/>
      <c r="X588" s="656"/>
      <c r="Y588" s="657"/>
      <c r="Z588" s="657"/>
      <c r="AA588" s="481"/>
      <c r="AC588" s="456" t="s">
        <v>1661</v>
      </c>
      <c r="AD588" s="522"/>
      <c r="AE588" s="699"/>
      <c r="AF588" s="456"/>
      <c r="AG588" s="699"/>
    </row>
    <row r="589" spans="1:33" s="454" customFormat="1" ht="45.75" x14ac:dyDescent="0.25">
      <c r="A589" s="507"/>
      <c r="B589" s="674" t="s">
        <v>2039</v>
      </c>
      <c r="C589" s="2672" t="s">
        <v>2040</v>
      </c>
      <c r="D589" s="2672"/>
      <c r="E589" s="2672"/>
      <c r="F589" s="675" t="s">
        <v>3161</v>
      </c>
      <c r="G589" s="676">
        <v>179.46</v>
      </c>
      <c r="H589" s="676" t="s">
        <v>2042</v>
      </c>
      <c r="I589" s="676">
        <v>3104.66</v>
      </c>
      <c r="J589" s="676"/>
      <c r="K589" s="676" t="s">
        <v>3162</v>
      </c>
      <c r="L589" s="677"/>
      <c r="M589" s="678"/>
      <c r="X589" s="656"/>
      <c r="Y589" s="657"/>
      <c r="Z589" s="657"/>
      <c r="AA589" s="481"/>
      <c r="AC589" s="456" t="s">
        <v>2040</v>
      </c>
      <c r="AD589" s="522"/>
      <c r="AE589" s="699"/>
      <c r="AF589" s="456"/>
      <c r="AG589" s="699"/>
    </row>
    <row r="590" spans="1:33" s="454" customFormat="1" ht="34.5" x14ac:dyDescent="0.25">
      <c r="A590" s="507"/>
      <c r="B590" s="674" t="s">
        <v>1663</v>
      </c>
      <c r="C590" s="2672" t="s">
        <v>1664</v>
      </c>
      <c r="D590" s="2672"/>
      <c r="E590" s="2672"/>
      <c r="F590" s="675" t="s">
        <v>3163</v>
      </c>
      <c r="G590" s="676">
        <v>111.99</v>
      </c>
      <c r="H590" s="676" t="s">
        <v>1666</v>
      </c>
      <c r="I590" s="676">
        <v>51.52</v>
      </c>
      <c r="J590" s="676"/>
      <c r="K590" s="676" t="s">
        <v>3164</v>
      </c>
      <c r="L590" s="677"/>
      <c r="M590" s="678"/>
      <c r="X590" s="656"/>
      <c r="Y590" s="657"/>
      <c r="Z590" s="657"/>
      <c r="AA590" s="481"/>
      <c r="AC590" s="456" t="s">
        <v>1664</v>
      </c>
      <c r="AD590" s="522"/>
      <c r="AE590" s="699"/>
      <c r="AF590" s="456"/>
      <c r="AG590" s="699"/>
    </row>
    <row r="591" spans="1:33" s="454" customFormat="1" ht="34.5" x14ac:dyDescent="0.25">
      <c r="A591" s="507"/>
      <c r="B591" s="674" t="s">
        <v>2046</v>
      </c>
      <c r="C591" s="2672" t="s">
        <v>2047</v>
      </c>
      <c r="D591" s="2672"/>
      <c r="E591" s="2672"/>
      <c r="F591" s="675" t="s">
        <v>3165</v>
      </c>
      <c r="G591" s="676">
        <v>6.9</v>
      </c>
      <c r="H591" s="676" t="s">
        <v>2049</v>
      </c>
      <c r="I591" s="676">
        <v>61.96</v>
      </c>
      <c r="J591" s="676"/>
      <c r="K591" s="676" t="s">
        <v>3166</v>
      </c>
      <c r="L591" s="677"/>
      <c r="M591" s="678"/>
      <c r="X591" s="656"/>
      <c r="Y591" s="657"/>
      <c r="Z591" s="657"/>
      <c r="AA591" s="481"/>
      <c r="AC591" s="456" t="s">
        <v>2047</v>
      </c>
      <c r="AD591" s="522"/>
      <c r="AE591" s="699"/>
      <c r="AF591" s="456"/>
      <c r="AG591" s="699"/>
    </row>
    <row r="592" spans="1:33" s="454" customFormat="1" ht="34.5" x14ac:dyDescent="0.25">
      <c r="A592" s="507"/>
      <c r="B592" s="674" t="s">
        <v>2051</v>
      </c>
      <c r="C592" s="2672" t="s">
        <v>2052</v>
      </c>
      <c r="D592" s="2672"/>
      <c r="E592" s="2672"/>
      <c r="F592" s="675" t="s">
        <v>3167</v>
      </c>
      <c r="G592" s="676">
        <v>80.349999999999994</v>
      </c>
      <c r="H592" s="676" t="s">
        <v>2054</v>
      </c>
      <c r="I592" s="676">
        <v>7150.35</v>
      </c>
      <c r="J592" s="676"/>
      <c r="K592" s="676" t="s">
        <v>3168</v>
      </c>
      <c r="L592" s="677"/>
      <c r="M592" s="678"/>
      <c r="X592" s="656"/>
      <c r="Y592" s="657"/>
      <c r="Z592" s="657"/>
      <c r="AA592" s="481"/>
      <c r="AC592" s="456" t="s">
        <v>2052</v>
      </c>
      <c r="AD592" s="522"/>
      <c r="AE592" s="699"/>
      <c r="AF592" s="456"/>
      <c r="AG592" s="699"/>
    </row>
    <row r="593" spans="1:33" s="454" customFormat="1" ht="34.5" x14ac:dyDescent="0.25">
      <c r="A593" s="507"/>
      <c r="B593" s="674" t="s">
        <v>821</v>
      </c>
      <c r="C593" s="2672" t="s">
        <v>1751</v>
      </c>
      <c r="D593" s="2672"/>
      <c r="E593" s="2672"/>
      <c r="F593" s="675" t="s">
        <v>3169</v>
      </c>
      <c r="G593" s="676">
        <v>65.709999999999994</v>
      </c>
      <c r="H593" s="676" t="s">
        <v>1753</v>
      </c>
      <c r="I593" s="676">
        <v>69.650000000000006</v>
      </c>
      <c r="J593" s="676"/>
      <c r="K593" s="676" t="s">
        <v>3170</v>
      </c>
      <c r="L593" s="677"/>
      <c r="M593" s="678"/>
      <c r="X593" s="656"/>
      <c r="Y593" s="657"/>
      <c r="Z593" s="657"/>
      <c r="AA593" s="481"/>
      <c r="AC593" s="456" t="s">
        <v>1751</v>
      </c>
      <c r="AD593" s="522"/>
      <c r="AE593" s="699"/>
      <c r="AF593" s="456"/>
      <c r="AG593" s="699"/>
    </row>
    <row r="594" spans="1:33" s="454" customFormat="1" ht="23.25" x14ac:dyDescent="0.25">
      <c r="A594" s="515" t="s">
        <v>860</v>
      </c>
      <c r="B594" s="686" t="s">
        <v>1755</v>
      </c>
      <c r="C594" s="2683" t="s">
        <v>1257</v>
      </c>
      <c r="D594" s="2683"/>
      <c r="E594" s="2683"/>
      <c r="F594" s="687" t="s">
        <v>1935</v>
      </c>
      <c r="G594" s="688">
        <v>2.44</v>
      </c>
      <c r="H594" s="688"/>
      <c r="I594" s="688">
        <v>0</v>
      </c>
      <c r="J594" s="688"/>
      <c r="K594" s="688"/>
      <c r="L594" s="689"/>
      <c r="M594" s="690"/>
      <c r="X594" s="656"/>
      <c r="Y594" s="657"/>
      <c r="Z594" s="657"/>
      <c r="AA594" s="481"/>
      <c r="AC594" s="456"/>
      <c r="AD594" s="522" t="s">
        <v>1257</v>
      </c>
      <c r="AE594" s="699"/>
      <c r="AF594" s="456"/>
      <c r="AG594" s="699"/>
    </row>
    <row r="595" spans="1:33" s="454" customFormat="1" ht="23.25" x14ac:dyDescent="0.25">
      <c r="A595" s="507"/>
      <c r="B595" s="674" t="s">
        <v>2058</v>
      </c>
      <c r="C595" s="2672" t="s">
        <v>2059</v>
      </c>
      <c r="D595" s="2672"/>
      <c r="E595" s="2672"/>
      <c r="F595" s="675" t="s">
        <v>2997</v>
      </c>
      <c r="G595" s="676">
        <v>30030</v>
      </c>
      <c r="H595" s="676"/>
      <c r="I595" s="676">
        <v>6.01</v>
      </c>
      <c r="J595" s="676"/>
      <c r="K595" s="676"/>
      <c r="L595" s="677"/>
      <c r="M595" s="678"/>
      <c r="X595" s="656"/>
      <c r="Y595" s="657"/>
      <c r="Z595" s="657"/>
      <c r="AA595" s="481"/>
      <c r="AC595" s="456" t="s">
        <v>2059</v>
      </c>
      <c r="AD595" s="522"/>
      <c r="AE595" s="699"/>
      <c r="AF595" s="456"/>
      <c r="AG595" s="699"/>
    </row>
    <row r="596" spans="1:33" s="454" customFormat="1" ht="23.25" x14ac:dyDescent="0.25">
      <c r="A596" s="507"/>
      <c r="B596" s="674" t="s">
        <v>1823</v>
      </c>
      <c r="C596" s="2672" t="s">
        <v>1824</v>
      </c>
      <c r="D596" s="2672"/>
      <c r="E596" s="2672"/>
      <c r="F596" s="675" t="s">
        <v>3171</v>
      </c>
      <c r="G596" s="676">
        <v>9040.01</v>
      </c>
      <c r="H596" s="676"/>
      <c r="I596" s="676">
        <v>43.39</v>
      </c>
      <c r="J596" s="676"/>
      <c r="K596" s="676"/>
      <c r="L596" s="677"/>
      <c r="M596" s="678"/>
      <c r="X596" s="656"/>
      <c r="Y596" s="657"/>
      <c r="Z596" s="657"/>
      <c r="AA596" s="481"/>
      <c r="AC596" s="456" t="s">
        <v>1824</v>
      </c>
      <c r="AD596" s="522"/>
      <c r="AE596" s="699"/>
      <c r="AF596" s="456"/>
      <c r="AG596" s="699"/>
    </row>
    <row r="597" spans="1:33" s="454" customFormat="1" ht="45.75" x14ac:dyDescent="0.25">
      <c r="A597" s="507"/>
      <c r="B597" s="674" t="s">
        <v>2062</v>
      </c>
      <c r="C597" s="2672" t="s">
        <v>2063</v>
      </c>
      <c r="D597" s="2672"/>
      <c r="E597" s="2672"/>
      <c r="F597" s="675" t="s">
        <v>3172</v>
      </c>
      <c r="G597" s="676">
        <v>67.099999999999994</v>
      </c>
      <c r="H597" s="676"/>
      <c r="I597" s="676">
        <v>161.04</v>
      </c>
      <c r="J597" s="676"/>
      <c r="K597" s="676"/>
      <c r="L597" s="677"/>
      <c r="M597" s="678"/>
      <c r="X597" s="656"/>
      <c r="Y597" s="657"/>
      <c r="Z597" s="657"/>
      <c r="AA597" s="481"/>
      <c r="AC597" s="456" t="s">
        <v>2063</v>
      </c>
      <c r="AD597" s="522"/>
      <c r="AE597" s="699"/>
      <c r="AF597" s="456"/>
      <c r="AG597" s="699"/>
    </row>
    <row r="598" spans="1:33" s="454" customFormat="1" ht="23.25" x14ac:dyDescent="0.25">
      <c r="A598" s="515" t="s">
        <v>860</v>
      </c>
      <c r="B598" s="686" t="s">
        <v>2065</v>
      </c>
      <c r="C598" s="2683" t="s">
        <v>2066</v>
      </c>
      <c r="D598" s="2683"/>
      <c r="E598" s="2683"/>
      <c r="F598" s="687" t="s">
        <v>1935</v>
      </c>
      <c r="G598" s="688">
        <v>0</v>
      </c>
      <c r="H598" s="688"/>
      <c r="I598" s="688">
        <v>0</v>
      </c>
      <c r="J598" s="688"/>
      <c r="K598" s="688"/>
      <c r="L598" s="689"/>
      <c r="M598" s="690"/>
      <c r="X598" s="656"/>
      <c r="Y598" s="657"/>
      <c r="Z598" s="657"/>
      <c r="AA598" s="481"/>
      <c r="AC598" s="456"/>
      <c r="AD598" s="522" t="s">
        <v>2066</v>
      </c>
      <c r="AE598" s="699"/>
      <c r="AF598" s="456"/>
      <c r="AG598" s="699"/>
    </row>
    <row r="599" spans="1:33" s="454" customFormat="1" ht="34.5" x14ac:dyDescent="0.25">
      <c r="A599" s="515" t="s">
        <v>860</v>
      </c>
      <c r="B599" s="686" t="s">
        <v>2067</v>
      </c>
      <c r="C599" s="2683" t="s">
        <v>2068</v>
      </c>
      <c r="D599" s="2683"/>
      <c r="E599" s="2683"/>
      <c r="F599" s="687" t="s">
        <v>1935</v>
      </c>
      <c r="G599" s="688">
        <v>412</v>
      </c>
      <c r="H599" s="688"/>
      <c r="I599" s="688">
        <v>0</v>
      </c>
      <c r="J599" s="688"/>
      <c r="K599" s="688"/>
      <c r="L599" s="689"/>
      <c r="M599" s="690"/>
      <c r="X599" s="656"/>
      <c r="Y599" s="657"/>
      <c r="Z599" s="657"/>
      <c r="AA599" s="481"/>
      <c r="AC599" s="456"/>
      <c r="AD599" s="522" t="s">
        <v>2068</v>
      </c>
      <c r="AE599" s="699"/>
      <c r="AF599" s="456"/>
      <c r="AG599" s="699"/>
    </row>
    <row r="600" spans="1:33" s="454" customFormat="1" ht="45.75" x14ac:dyDescent="0.25">
      <c r="A600" s="507" t="s">
        <v>2069</v>
      </c>
      <c r="B600" s="674" t="s">
        <v>2070</v>
      </c>
      <c r="C600" s="2672" t="s">
        <v>2071</v>
      </c>
      <c r="D600" s="2672"/>
      <c r="E600" s="2672"/>
      <c r="F600" s="675" t="s">
        <v>3173</v>
      </c>
      <c r="G600" s="676">
        <v>1553</v>
      </c>
      <c r="H600" s="676"/>
      <c r="I600" s="676">
        <v>4845.3599999999997</v>
      </c>
      <c r="J600" s="676"/>
      <c r="K600" s="676"/>
      <c r="L600" s="677"/>
      <c r="M600" s="678"/>
      <c r="X600" s="656"/>
      <c r="Y600" s="657"/>
      <c r="Z600" s="657"/>
      <c r="AA600" s="481"/>
      <c r="AC600" s="456"/>
      <c r="AD600" s="522"/>
      <c r="AE600" s="699"/>
      <c r="AF600" s="456" t="s">
        <v>2071</v>
      </c>
      <c r="AG600" s="699"/>
    </row>
    <row r="601" spans="1:33" s="454" customFormat="1" ht="45.75" x14ac:dyDescent="0.25">
      <c r="A601" s="693" t="s">
        <v>1936</v>
      </c>
      <c r="B601" s="694" t="s">
        <v>2070</v>
      </c>
      <c r="C601" s="2684" t="s">
        <v>2071</v>
      </c>
      <c r="D601" s="2684"/>
      <c r="E601" s="2684"/>
      <c r="F601" s="695" t="s">
        <v>3174</v>
      </c>
      <c r="G601" s="696">
        <v>1553</v>
      </c>
      <c r="H601" s="696"/>
      <c r="I601" s="696">
        <v>48453.599999999999</v>
      </c>
      <c r="J601" s="696"/>
      <c r="K601" s="696"/>
      <c r="L601" s="697"/>
      <c r="M601" s="698"/>
      <c r="X601" s="656"/>
      <c r="Y601" s="657"/>
      <c r="Z601" s="657"/>
      <c r="AA601" s="481"/>
      <c r="AC601" s="456"/>
      <c r="AD601" s="522"/>
      <c r="AE601" s="699"/>
      <c r="AF601" s="456"/>
      <c r="AG601" s="699" t="s">
        <v>2071</v>
      </c>
    </row>
    <row r="602" spans="1:33" s="454" customFormat="1" ht="23.25" x14ac:dyDescent="0.25">
      <c r="A602" s="515" t="s">
        <v>863</v>
      </c>
      <c r="B602" s="686" t="s">
        <v>2074</v>
      </c>
      <c r="C602" s="2683" t="s">
        <v>2075</v>
      </c>
      <c r="D602" s="2683"/>
      <c r="E602" s="2683"/>
      <c r="F602" s="687" t="s">
        <v>3175</v>
      </c>
      <c r="G602" s="688">
        <v>0</v>
      </c>
      <c r="H602" s="688"/>
      <c r="I602" s="688">
        <v>0</v>
      </c>
      <c r="J602" s="688"/>
      <c r="K602" s="688"/>
      <c r="L602" s="689"/>
      <c r="M602" s="690"/>
      <c r="X602" s="656"/>
      <c r="Y602" s="657"/>
      <c r="Z602" s="657"/>
      <c r="AA602" s="481"/>
      <c r="AC602" s="456"/>
      <c r="AD602" s="522" t="s">
        <v>2075</v>
      </c>
      <c r="AE602" s="699"/>
      <c r="AF602" s="456"/>
      <c r="AG602" s="699"/>
    </row>
    <row r="603" spans="1:33" s="454" customFormat="1" ht="23.25" x14ac:dyDescent="0.25">
      <c r="A603" s="507"/>
      <c r="B603" s="674" t="s">
        <v>2077</v>
      </c>
      <c r="C603" s="2672" t="s">
        <v>2078</v>
      </c>
      <c r="D603" s="2672"/>
      <c r="E603" s="2672"/>
      <c r="F603" s="675" t="s">
        <v>3176</v>
      </c>
      <c r="G603" s="676">
        <v>176.1</v>
      </c>
      <c r="H603" s="676"/>
      <c r="I603" s="676">
        <v>338.11</v>
      </c>
      <c r="J603" s="676"/>
      <c r="K603" s="676"/>
      <c r="L603" s="677"/>
      <c r="M603" s="678"/>
      <c r="X603" s="656"/>
      <c r="Y603" s="657"/>
      <c r="Z603" s="657"/>
      <c r="AA603" s="481"/>
      <c r="AC603" s="456" t="s">
        <v>2078</v>
      </c>
      <c r="AD603" s="522"/>
      <c r="AE603" s="699"/>
      <c r="AF603" s="456"/>
      <c r="AG603" s="699"/>
    </row>
    <row r="604" spans="1:33" s="454" customFormat="1" ht="23.25" x14ac:dyDescent="0.25">
      <c r="A604" s="507"/>
      <c r="B604" s="674" t="s">
        <v>2080</v>
      </c>
      <c r="C604" s="2672" t="s">
        <v>2081</v>
      </c>
      <c r="D604" s="2672"/>
      <c r="E604" s="2672"/>
      <c r="F604" s="675" t="s">
        <v>3177</v>
      </c>
      <c r="G604" s="676">
        <v>207.8</v>
      </c>
      <c r="H604" s="676"/>
      <c r="I604" s="676">
        <v>389</v>
      </c>
      <c r="J604" s="676"/>
      <c r="K604" s="676"/>
      <c r="L604" s="677"/>
      <c r="M604" s="678"/>
      <c r="X604" s="656"/>
      <c r="Y604" s="657"/>
      <c r="Z604" s="657"/>
      <c r="AA604" s="481"/>
      <c r="AC604" s="456" t="s">
        <v>2081</v>
      </c>
      <c r="AD604" s="522"/>
      <c r="AE604" s="699"/>
      <c r="AF604" s="456"/>
      <c r="AG604" s="699"/>
    </row>
    <row r="605" spans="1:33" s="454" customFormat="1" ht="23.25" x14ac:dyDescent="0.25">
      <c r="A605" s="507"/>
      <c r="B605" s="674" t="s">
        <v>2083</v>
      </c>
      <c r="C605" s="2672" t="s">
        <v>2084</v>
      </c>
      <c r="D605" s="2672"/>
      <c r="E605" s="2672"/>
      <c r="F605" s="675" t="s">
        <v>3178</v>
      </c>
      <c r="G605" s="676">
        <v>3468.64</v>
      </c>
      <c r="H605" s="676"/>
      <c r="I605" s="676">
        <v>1664.95</v>
      </c>
      <c r="J605" s="676"/>
      <c r="K605" s="676"/>
      <c r="L605" s="677"/>
      <c r="M605" s="678"/>
      <c r="X605" s="656"/>
      <c r="Y605" s="657"/>
      <c r="Z605" s="657"/>
      <c r="AA605" s="481"/>
      <c r="AC605" s="456" t="s">
        <v>2084</v>
      </c>
      <c r="AD605" s="522"/>
      <c r="AE605" s="699"/>
      <c r="AF605" s="456"/>
      <c r="AG605" s="699"/>
    </row>
    <row r="606" spans="1:33" s="454" customFormat="1" ht="23.25" x14ac:dyDescent="0.25">
      <c r="A606" s="515" t="s">
        <v>863</v>
      </c>
      <c r="B606" s="686" t="s">
        <v>2086</v>
      </c>
      <c r="C606" s="2683" t="s">
        <v>2087</v>
      </c>
      <c r="D606" s="2683"/>
      <c r="E606" s="2683"/>
      <c r="F606" s="687" t="s">
        <v>3179</v>
      </c>
      <c r="G606" s="688">
        <v>0</v>
      </c>
      <c r="H606" s="688"/>
      <c r="I606" s="688">
        <v>0</v>
      </c>
      <c r="J606" s="688"/>
      <c r="K606" s="688"/>
      <c r="L606" s="689"/>
      <c r="M606" s="690"/>
      <c r="X606" s="656"/>
      <c r="Y606" s="657"/>
      <c r="Z606" s="657"/>
      <c r="AA606" s="481"/>
      <c r="AC606" s="456"/>
      <c r="AD606" s="522" t="s">
        <v>2087</v>
      </c>
      <c r="AE606" s="699"/>
      <c r="AF606" s="456"/>
      <c r="AG606" s="699"/>
    </row>
    <row r="607" spans="1:33" s="454" customFormat="1" ht="34.5" x14ac:dyDescent="0.25">
      <c r="A607" s="507"/>
      <c r="B607" s="674" t="s">
        <v>2089</v>
      </c>
      <c r="C607" s="2672" t="s">
        <v>2090</v>
      </c>
      <c r="D607" s="2672"/>
      <c r="E607" s="2672"/>
      <c r="F607" s="675" t="s">
        <v>3180</v>
      </c>
      <c r="G607" s="676">
        <v>11.99</v>
      </c>
      <c r="H607" s="676"/>
      <c r="I607" s="676">
        <v>86.33</v>
      </c>
      <c r="J607" s="676"/>
      <c r="K607" s="676"/>
      <c r="L607" s="677"/>
      <c r="M607" s="678"/>
      <c r="X607" s="656"/>
      <c r="Y607" s="657"/>
      <c r="Z607" s="657"/>
      <c r="AA607" s="481"/>
      <c r="AC607" s="456" t="s">
        <v>2090</v>
      </c>
      <c r="AD607" s="522"/>
      <c r="AE607" s="699"/>
      <c r="AF607" s="456"/>
      <c r="AG607" s="699"/>
    </row>
    <row r="608" spans="1:33" s="454" customFormat="1" ht="45.75" x14ac:dyDescent="0.25">
      <c r="A608" s="507"/>
      <c r="B608" s="674" t="s">
        <v>2092</v>
      </c>
      <c r="C608" s="2672" t="s">
        <v>2093</v>
      </c>
      <c r="D608" s="2672"/>
      <c r="E608" s="2672"/>
      <c r="F608" s="675" t="s">
        <v>3181</v>
      </c>
      <c r="G608" s="676">
        <v>272.62</v>
      </c>
      <c r="H608" s="676"/>
      <c r="I608" s="676">
        <v>32.71</v>
      </c>
      <c r="J608" s="676"/>
      <c r="K608" s="676"/>
      <c r="L608" s="677"/>
      <c r="M608" s="678"/>
      <c r="X608" s="656"/>
      <c r="Y608" s="657"/>
      <c r="Z608" s="657"/>
      <c r="AA608" s="481"/>
      <c r="AC608" s="456" t="s">
        <v>2093</v>
      </c>
      <c r="AD608" s="522"/>
      <c r="AE608" s="699"/>
      <c r="AF608" s="456"/>
      <c r="AG608" s="699"/>
    </row>
    <row r="609" spans="1:33" s="454" customFormat="1" ht="57" x14ac:dyDescent="0.25">
      <c r="A609" s="507"/>
      <c r="B609" s="674" t="s">
        <v>2095</v>
      </c>
      <c r="C609" s="2672" t="s">
        <v>2096</v>
      </c>
      <c r="D609" s="2672"/>
      <c r="E609" s="2672"/>
      <c r="F609" s="675" t="s">
        <v>3182</v>
      </c>
      <c r="G609" s="676">
        <v>156.83000000000001</v>
      </c>
      <c r="H609" s="676"/>
      <c r="I609" s="676">
        <v>37.64</v>
      </c>
      <c r="J609" s="676"/>
      <c r="K609" s="676"/>
      <c r="L609" s="677"/>
      <c r="M609" s="678"/>
      <c r="X609" s="656"/>
      <c r="Y609" s="657"/>
      <c r="Z609" s="657"/>
      <c r="AA609" s="481"/>
      <c r="AC609" s="456" t="s">
        <v>2096</v>
      </c>
      <c r="AD609" s="522"/>
      <c r="AE609" s="699"/>
      <c r="AF609" s="456"/>
      <c r="AG609" s="699"/>
    </row>
    <row r="610" spans="1:33" s="454" customFormat="1" ht="23.25" x14ac:dyDescent="0.25">
      <c r="A610" s="515" t="s">
        <v>863</v>
      </c>
      <c r="B610" s="686" t="s">
        <v>2098</v>
      </c>
      <c r="C610" s="2683" t="s">
        <v>2099</v>
      </c>
      <c r="D610" s="2683"/>
      <c r="E610" s="2683"/>
      <c r="F610" s="687" t="s">
        <v>3183</v>
      </c>
      <c r="G610" s="688">
        <v>0</v>
      </c>
      <c r="H610" s="688"/>
      <c r="I610" s="688">
        <v>0</v>
      </c>
      <c r="J610" s="688"/>
      <c r="K610" s="688"/>
      <c r="L610" s="689"/>
      <c r="M610" s="690"/>
      <c r="X610" s="656"/>
      <c r="Y610" s="657"/>
      <c r="Z610" s="657"/>
      <c r="AA610" s="481"/>
      <c r="AC610" s="456"/>
      <c r="AD610" s="522" t="s">
        <v>2099</v>
      </c>
      <c r="AE610" s="699"/>
      <c r="AF610" s="456"/>
      <c r="AG610" s="699"/>
    </row>
    <row r="611" spans="1:33" s="454" customFormat="1" ht="45" x14ac:dyDescent="0.25">
      <c r="A611" s="658" t="s">
        <v>1365</v>
      </c>
      <c r="B611" s="659" t="s">
        <v>2026</v>
      </c>
      <c r="C611" s="2673" t="s">
        <v>1254</v>
      </c>
      <c r="D611" s="2673"/>
      <c r="E611" s="2673"/>
      <c r="F611" s="670">
        <v>12</v>
      </c>
      <c r="G611" s="661">
        <v>480</v>
      </c>
      <c r="H611" s="661"/>
      <c r="I611" s="661">
        <v>5760</v>
      </c>
      <c r="J611" s="661"/>
      <c r="K611" s="662"/>
      <c r="L611" s="663">
        <v>0</v>
      </c>
      <c r="M611" s="663">
        <v>0</v>
      </c>
      <c r="X611" s="656"/>
      <c r="Y611" s="657"/>
      <c r="Z611" s="657"/>
      <c r="AA611" s="481" t="s">
        <v>1254</v>
      </c>
      <c r="AC611" s="456"/>
      <c r="AD611" s="522"/>
      <c r="AE611" s="699"/>
      <c r="AF611" s="456"/>
      <c r="AG611" s="699"/>
    </row>
    <row r="612" spans="1:33" s="454" customFormat="1" ht="15" x14ac:dyDescent="0.25">
      <c r="A612" s="664"/>
      <c r="B612" s="665"/>
      <c r="C612" s="666" t="s">
        <v>3184</v>
      </c>
      <c r="D612" s="667"/>
      <c r="E612" s="667"/>
      <c r="F612" s="667"/>
      <c r="G612" s="667"/>
      <c r="H612" s="667"/>
      <c r="I612" s="667"/>
      <c r="J612" s="667"/>
      <c r="K612" s="667"/>
      <c r="L612" s="667"/>
      <c r="M612" s="668"/>
      <c r="X612" s="656"/>
      <c r="Y612" s="657"/>
      <c r="Z612" s="657"/>
      <c r="AA612" s="481"/>
      <c r="AC612" s="456"/>
      <c r="AD612" s="522"/>
      <c r="AE612" s="699"/>
      <c r="AF612" s="456"/>
      <c r="AG612" s="699"/>
    </row>
    <row r="613" spans="1:33" s="454" customFormat="1" ht="45" x14ac:dyDescent="0.25">
      <c r="A613" s="658" t="s">
        <v>1367</v>
      </c>
      <c r="B613" s="659" t="s">
        <v>2028</v>
      </c>
      <c r="C613" s="2673" t="s">
        <v>1257</v>
      </c>
      <c r="D613" s="2673"/>
      <c r="E613" s="2673"/>
      <c r="F613" s="680">
        <v>4.8</v>
      </c>
      <c r="G613" s="661">
        <v>2.44</v>
      </c>
      <c r="H613" s="661"/>
      <c r="I613" s="661">
        <v>12</v>
      </c>
      <c r="J613" s="661"/>
      <c r="K613" s="662"/>
      <c r="L613" s="663">
        <v>0</v>
      </c>
      <c r="M613" s="663">
        <v>0</v>
      </c>
      <c r="X613" s="656"/>
      <c r="Y613" s="657"/>
      <c r="Z613" s="657"/>
      <c r="AA613" s="481" t="s">
        <v>1257</v>
      </c>
      <c r="AC613" s="456"/>
      <c r="AD613" s="522"/>
      <c r="AE613" s="699"/>
      <c r="AF613" s="456"/>
      <c r="AG613" s="699"/>
    </row>
    <row r="614" spans="1:33" s="454" customFormat="1" ht="15" x14ac:dyDescent="0.25">
      <c r="A614" s="664"/>
      <c r="B614" s="665"/>
      <c r="C614" s="666" t="s">
        <v>3185</v>
      </c>
      <c r="D614" s="667"/>
      <c r="E614" s="667"/>
      <c r="F614" s="667"/>
      <c r="G614" s="667"/>
      <c r="H614" s="667"/>
      <c r="I614" s="667"/>
      <c r="J614" s="667"/>
      <c r="K614" s="667"/>
      <c r="L614" s="667"/>
      <c r="M614" s="668"/>
      <c r="X614" s="656"/>
      <c r="Y614" s="657"/>
      <c r="Z614" s="657"/>
      <c r="AA614" s="481"/>
      <c r="AC614" s="456"/>
      <c r="AD614" s="522"/>
      <c r="AE614" s="699"/>
      <c r="AF614" s="456"/>
      <c r="AG614" s="699"/>
    </row>
    <row r="615" spans="1:33" s="454" customFormat="1" ht="34.5" x14ac:dyDescent="0.25">
      <c r="A615" s="658" t="s">
        <v>1369</v>
      </c>
      <c r="B615" s="659" t="s">
        <v>1370</v>
      </c>
      <c r="C615" s="2673" t="s">
        <v>1268</v>
      </c>
      <c r="D615" s="2673"/>
      <c r="E615" s="2673"/>
      <c r="F615" s="670">
        <v>8</v>
      </c>
      <c r="G615" s="661" t="s">
        <v>2103</v>
      </c>
      <c r="H615" s="661"/>
      <c r="I615" s="661">
        <v>19143</v>
      </c>
      <c r="J615" s="661"/>
      <c r="K615" s="662"/>
      <c r="L615" s="663">
        <v>0</v>
      </c>
      <c r="M615" s="663">
        <v>0</v>
      </c>
      <c r="X615" s="656"/>
      <c r="Y615" s="657"/>
      <c r="Z615" s="657"/>
      <c r="AA615" s="481" t="s">
        <v>1268</v>
      </c>
      <c r="AC615" s="456"/>
      <c r="AD615" s="522"/>
      <c r="AE615" s="699"/>
      <c r="AF615" s="456"/>
      <c r="AG615" s="699"/>
    </row>
    <row r="616" spans="1:33" s="454" customFormat="1" ht="15" x14ac:dyDescent="0.25">
      <c r="A616" s="664"/>
      <c r="B616" s="665"/>
      <c r="C616" s="666" t="s">
        <v>3013</v>
      </c>
      <c r="D616" s="667"/>
      <c r="E616" s="667"/>
      <c r="F616" s="667"/>
      <c r="G616" s="667"/>
      <c r="H616" s="667"/>
      <c r="I616" s="667"/>
      <c r="J616" s="667"/>
      <c r="K616" s="667"/>
      <c r="L616" s="667"/>
      <c r="M616" s="668"/>
      <c r="X616" s="656"/>
      <c r="Y616" s="657"/>
      <c r="Z616" s="657"/>
      <c r="AA616" s="481"/>
      <c r="AC616" s="456"/>
      <c r="AD616" s="522"/>
      <c r="AE616" s="699"/>
      <c r="AF616" s="456"/>
      <c r="AG616" s="699"/>
    </row>
    <row r="617" spans="1:33" s="454" customFormat="1" ht="15" x14ac:dyDescent="0.25">
      <c r="A617" s="542"/>
      <c r="B617" s="665"/>
      <c r="C617" s="666" t="s">
        <v>2105</v>
      </c>
      <c r="D617" s="667"/>
      <c r="E617" s="667"/>
      <c r="F617" s="667"/>
      <c r="G617" s="667"/>
      <c r="H617" s="667"/>
      <c r="I617" s="667"/>
      <c r="J617" s="667"/>
      <c r="K617" s="667"/>
      <c r="L617" s="667"/>
      <c r="M617" s="669"/>
      <c r="X617" s="656"/>
      <c r="Y617" s="657"/>
      <c r="Z617" s="657"/>
      <c r="AA617" s="481"/>
      <c r="AC617" s="456"/>
      <c r="AD617" s="522"/>
      <c r="AE617" s="699"/>
      <c r="AF617" s="456"/>
      <c r="AG617" s="699"/>
    </row>
    <row r="618" spans="1:33" s="454" customFormat="1" ht="34.5" x14ac:dyDescent="0.25">
      <c r="A618" s="658" t="s">
        <v>1371</v>
      </c>
      <c r="B618" s="659" t="s">
        <v>1372</v>
      </c>
      <c r="C618" s="2673" t="s">
        <v>1273</v>
      </c>
      <c r="D618" s="2673"/>
      <c r="E618" s="2673"/>
      <c r="F618" s="670">
        <v>72</v>
      </c>
      <c r="G618" s="661" t="s">
        <v>2106</v>
      </c>
      <c r="H618" s="661"/>
      <c r="I618" s="661">
        <v>123967</v>
      </c>
      <c r="J618" s="661"/>
      <c r="K618" s="662"/>
      <c r="L618" s="663">
        <v>0</v>
      </c>
      <c r="M618" s="663">
        <v>0</v>
      </c>
      <c r="X618" s="656"/>
      <c r="Y618" s="657"/>
      <c r="Z618" s="657"/>
      <c r="AA618" s="481" t="s">
        <v>1273</v>
      </c>
      <c r="AC618" s="456"/>
      <c r="AD618" s="522"/>
      <c r="AE618" s="699"/>
      <c r="AF618" s="456"/>
      <c r="AG618" s="699"/>
    </row>
    <row r="619" spans="1:33" s="454" customFormat="1" ht="15" x14ac:dyDescent="0.25">
      <c r="A619" s="664"/>
      <c r="B619" s="665"/>
      <c r="C619" s="666" t="s">
        <v>3186</v>
      </c>
      <c r="D619" s="667"/>
      <c r="E619" s="667"/>
      <c r="F619" s="667"/>
      <c r="G619" s="667"/>
      <c r="H619" s="667"/>
      <c r="I619" s="667"/>
      <c r="J619" s="667"/>
      <c r="K619" s="667"/>
      <c r="L619" s="667"/>
      <c r="M619" s="668"/>
      <c r="X619" s="656"/>
      <c r="Y619" s="657"/>
      <c r="Z619" s="657"/>
      <c r="AA619" s="481"/>
      <c r="AC619" s="456"/>
      <c r="AD619" s="522"/>
      <c r="AE619" s="699"/>
      <c r="AF619" s="456"/>
      <c r="AG619" s="699"/>
    </row>
    <row r="620" spans="1:33" s="454" customFormat="1" ht="15" x14ac:dyDescent="0.25">
      <c r="A620" s="542"/>
      <c r="B620" s="665"/>
      <c r="C620" s="666" t="s">
        <v>2108</v>
      </c>
      <c r="D620" s="667"/>
      <c r="E620" s="667"/>
      <c r="F620" s="667"/>
      <c r="G620" s="667"/>
      <c r="H620" s="667"/>
      <c r="I620" s="667"/>
      <c r="J620" s="667"/>
      <c r="K620" s="667"/>
      <c r="L620" s="667"/>
      <c r="M620" s="669"/>
      <c r="X620" s="656"/>
      <c r="Y620" s="657"/>
      <c r="Z620" s="657"/>
      <c r="AA620" s="481"/>
      <c r="AC620" s="456"/>
      <c r="AD620" s="522"/>
      <c r="AE620" s="699"/>
      <c r="AF620" s="456"/>
      <c r="AG620" s="699"/>
    </row>
    <row r="621" spans="1:33" s="454" customFormat="1" ht="34.5" x14ac:dyDescent="0.25">
      <c r="A621" s="658" t="s">
        <v>1374</v>
      </c>
      <c r="B621" s="659" t="s">
        <v>1375</v>
      </c>
      <c r="C621" s="2673" t="s">
        <v>1277</v>
      </c>
      <c r="D621" s="2673"/>
      <c r="E621" s="2673"/>
      <c r="F621" s="670">
        <v>152</v>
      </c>
      <c r="G621" s="661" t="s">
        <v>2109</v>
      </c>
      <c r="H621" s="661"/>
      <c r="I621" s="661">
        <v>70064</v>
      </c>
      <c r="J621" s="661"/>
      <c r="K621" s="662"/>
      <c r="L621" s="663">
        <v>0</v>
      </c>
      <c r="M621" s="663">
        <v>0</v>
      </c>
      <c r="X621" s="656"/>
      <c r="Y621" s="657"/>
      <c r="Z621" s="657"/>
      <c r="AA621" s="481" t="s">
        <v>1277</v>
      </c>
      <c r="AC621" s="456"/>
      <c r="AD621" s="522"/>
      <c r="AE621" s="699"/>
      <c r="AF621" s="456"/>
      <c r="AG621" s="699"/>
    </row>
    <row r="622" spans="1:33" s="454" customFormat="1" ht="15" x14ac:dyDescent="0.25">
      <c r="A622" s="664"/>
      <c r="B622" s="665"/>
      <c r="C622" s="666" t="s">
        <v>3187</v>
      </c>
      <c r="D622" s="667"/>
      <c r="E622" s="667"/>
      <c r="F622" s="667"/>
      <c r="G622" s="667"/>
      <c r="H622" s="667"/>
      <c r="I622" s="667"/>
      <c r="J622" s="667"/>
      <c r="K622" s="667"/>
      <c r="L622" s="667"/>
      <c r="M622" s="668"/>
      <c r="X622" s="656"/>
      <c r="Y622" s="657"/>
      <c r="Z622" s="657"/>
      <c r="AA622" s="481"/>
      <c r="AC622" s="456"/>
      <c r="AD622" s="522"/>
      <c r="AE622" s="699"/>
      <c r="AF622" s="456"/>
      <c r="AG622" s="699"/>
    </row>
    <row r="623" spans="1:33" s="454" customFormat="1" ht="15" x14ac:dyDescent="0.25">
      <c r="A623" s="542"/>
      <c r="B623" s="665"/>
      <c r="C623" s="666" t="s">
        <v>2111</v>
      </c>
      <c r="D623" s="667"/>
      <c r="E623" s="667"/>
      <c r="F623" s="667"/>
      <c r="G623" s="667"/>
      <c r="H623" s="667"/>
      <c r="I623" s="667"/>
      <c r="J623" s="667"/>
      <c r="K623" s="667"/>
      <c r="L623" s="667"/>
      <c r="M623" s="669"/>
      <c r="X623" s="656"/>
      <c r="Y623" s="657"/>
      <c r="Z623" s="657"/>
      <c r="AA623" s="481"/>
      <c r="AC623" s="456"/>
      <c r="AD623" s="522"/>
      <c r="AE623" s="699"/>
      <c r="AF623" s="456"/>
      <c r="AG623" s="699"/>
    </row>
    <row r="624" spans="1:33" s="454" customFormat="1" ht="33.75" x14ac:dyDescent="0.25">
      <c r="A624" s="658" t="s">
        <v>1377</v>
      </c>
      <c r="B624" s="659" t="s">
        <v>1378</v>
      </c>
      <c r="C624" s="2673" t="s">
        <v>1281</v>
      </c>
      <c r="D624" s="2673"/>
      <c r="E624" s="2673"/>
      <c r="F624" s="670">
        <v>72</v>
      </c>
      <c r="G624" s="661" t="s">
        <v>2112</v>
      </c>
      <c r="H624" s="661"/>
      <c r="I624" s="661">
        <v>10218</v>
      </c>
      <c r="J624" s="661"/>
      <c r="K624" s="662"/>
      <c r="L624" s="663">
        <v>0</v>
      </c>
      <c r="M624" s="663">
        <v>0</v>
      </c>
      <c r="X624" s="656"/>
      <c r="Y624" s="657"/>
      <c r="Z624" s="657"/>
      <c r="AA624" s="481" t="s">
        <v>1281</v>
      </c>
      <c r="AC624" s="456"/>
      <c r="AD624" s="522"/>
      <c r="AE624" s="699"/>
      <c r="AF624" s="456"/>
      <c r="AG624" s="699"/>
    </row>
    <row r="625" spans="1:33" s="454" customFormat="1" ht="15" x14ac:dyDescent="0.25">
      <c r="A625" s="664"/>
      <c r="B625" s="665"/>
      <c r="C625" s="666" t="s">
        <v>3186</v>
      </c>
      <c r="D625" s="667"/>
      <c r="E625" s="667"/>
      <c r="F625" s="667"/>
      <c r="G625" s="667"/>
      <c r="H625" s="667"/>
      <c r="I625" s="667"/>
      <c r="J625" s="667"/>
      <c r="K625" s="667"/>
      <c r="L625" s="667"/>
      <c r="M625" s="668"/>
      <c r="X625" s="656"/>
      <c r="Y625" s="657"/>
      <c r="Z625" s="657"/>
      <c r="AA625" s="481"/>
      <c r="AC625" s="456"/>
      <c r="AD625" s="522"/>
      <c r="AE625" s="699"/>
      <c r="AF625" s="456"/>
      <c r="AG625" s="699"/>
    </row>
    <row r="626" spans="1:33" s="454" customFormat="1" ht="15" x14ac:dyDescent="0.25">
      <c r="A626" s="542"/>
      <c r="B626" s="665"/>
      <c r="C626" s="666" t="s">
        <v>2113</v>
      </c>
      <c r="D626" s="667"/>
      <c r="E626" s="667"/>
      <c r="F626" s="667"/>
      <c r="G626" s="667"/>
      <c r="H626" s="667"/>
      <c r="I626" s="667"/>
      <c r="J626" s="667"/>
      <c r="K626" s="667"/>
      <c r="L626" s="667"/>
      <c r="M626" s="669"/>
      <c r="X626" s="656"/>
      <c r="Y626" s="657"/>
      <c r="Z626" s="657"/>
      <c r="AA626" s="481"/>
      <c r="AC626" s="456"/>
      <c r="AD626" s="522"/>
      <c r="AE626" s="699"/>
      <c r="AF626" s="456"/>
      <c r="AG626" s="699"/>
    </row>
    <row r="627" spans="1:33" s="454" customFormat="1" ht="34.5" x14ac:dyDescent="0.25">
      <c r="A627" s="658" t="s">
        <v>1379</v>
      </c>
      <c r="B627" s="659" t="s">
        <v>1380</v>
      </c>
      <c r="C627" s="2673" t="s">
        <v>1284</v>
      </c>
      <c r="D627" s="2673"/>
      <c r="E627" s="2673"/>
      <c r="F627" s="670">
        <v>8</v>
      </c>
      <c r="G627" s="661" t="s">
        <v>2114</v>
      </c>
      <c r="H627" s="661"/>
      <c r="I627" s="661">
        <v>13914</v>
      </c>
      <c r="J627" s="661"/>
      <c r="K627" s="662"/>
      <c r="L627" s="663">
        <v>0</v>
      </c>
      <c r="M627" s="663">
        <v>0</v>
      </c>
      <c r="X627" s="656"/>
      <c r="Y627" s="657"/>
      <c r="Z627" s="657"/>
      <c r="AA627" s="481" t="s">
        <v>1284</v>
      </c>
      <c r="AC627" s="456"/>
      <c r="AD627" s="522"/>
      <c r="AE627" s="699"/>
      <c r="AF627" s="456"/>
      <c r="AG627" s="699"/>
    </row>
    <row r="628" spans="1:33" s="454" customFormat="1" ht="15" x14ac:dyDescent="0.25">
      <c r="A628" s="664"/>
      <c r="B628" s="665"/>
      <c r="C628" s="666" t="s">
        <v>3013</v>
      </c>
      <c r="D628" s="667"/>
      <c r="E628" s="667"/>
      <c r="F628" s="667"/>
      <c r="G628" s="667"/>
      <c r="H628" s="667"/>
      <c r="I628" s="667"/>
      <c r="J628" s="667"/>
      <c r="K628" s="667"/>
      <c r="L628" s="667"/>
      <c r="M628" s="668"/>
      <c r="X628" s="656"/>
      <c r="Y628" s="657"/>
      <c r="Z628" s="657"/>
      <c r="AA628" s="481"/>
      <c r="AC628" s="456"/>
      <c r="AD628" s="522"/>
      <c r="AE628" s="699"/>
      <c r="AF628" s="456"/>
      <c r="AG628" s="699"/>
    </row>
    <row r="629" spans="1:33" s="454" customFormat="1" ht="15" x14ac:dyDescent="0.25">
      <c r="A629" s="542"/>
      <c r="B629" s="665"/>
      <c r="C629" s="666" t="s">
        <v>2115</v>
      </c>
      <c r="D629" s="667"/>
      <c r="E629" s="667"/>
      <c r="F629" s="667"/>
      <c r="G629" s="667"/>
      <c r="H629" s="667"/>
      <c r="I629" s="667"/>
      <c r="J629" s="667"/>
      <c r="K629" s="667"/>
      <c r="L629" s="667"/>
      <c r="M629" s="669"/>
      <c r="X629" s="656"/>
      <c r="Y629" s="657"/>
      <c r="Z629" s="657"/>
      <c r="AA629" s="481"/>
      <c r="AC629" s="456"/>
      <c r="AD629" s="522"/>
      <c r="AE629" s="699"/>
      <c r="AF629" s="456"/>
      <c r="AG629" s="699"/>
    </row>
    <row r="630" spans="1:33" s="454" customFormat="1" ht="45.75" x14ac:dyDescent="0.25">
      <c r="A630" s="658" t="s">
        <v>1381</v>
      </c>
      <c r="B630" s="659" t="s">
        <v>2116</v>
      </c>
      <c r="C630" s="2673" t="s">
        <v>2117</v>
      </c>
      <c r="D630" s="2673"/>
      <c r="E630" s="2673"/>
      <c r="F630" s="670">
        <v>80</v>
      </c>
      <c r="G630" s="661" t="s">
        <v>1288</v>
      </c>
      <c r="H630" s="661" t="s">
        <v>1289</v>
      </c>
      <c r="I630" s="661">
        <v>453</v>
      </c>
      <c r="J630" s="661">
        <v>185</v>
      </c>
      <c r="K630" s="662" t="s">
        <v>1382</v>
      </c>
      <c r="L630" s="671">
        <v>0.255</v>
      </c>
      <c r="M630" s="692">
        <v>20.399999999999999</v>
      </c>
      <c r="X630" s="656"/>
      <c r="Y630" s="657"/>
      <c r="Z630" s="657"/>
      <c r="AA630" s="481" t="s">
        <v>2117</v>
      </c>
      <c r="AC630" s="456"/>
      <c r="AD630" s="522"/>
      <c r="AE630" s="699"/>
      <c r="AF630" s="456"/>
      <c r="AG630" s="699"/>
    </row>
    <row r="631" spans="1:33" s="454" customFormat="1" ht="33.75" x14ac:dyDescent="0.25">
      <c r="A631" s="542"/>
      <c r="B631" s="673" t="s">
        <v>1655</v>
      </c>
      <c r="C631" s="2670" t="s">
        <v>1656</v>
      </c>
      <c r="D631" s="2670"/>
      <c r="E631" s="2670"/>
      <c r="F631" s="2670"/>
      <c r="G631" s="2670"/>
      <c r="H631" s="2670"/>
      <c r="I631" s="2670"/>
      <c r="J631" s="2670"/>
      <c r="K631" s="2670"/>
      <c r="L631" s="2670"/>
      <c r="M631" s="2671"/>
      <c r="X631" s="656"/>
      <c r="Y631" s="657"/>
      <c r="Z631" s="657"/>
      <c r="AA631" s="481"/>
      <c r="AB631" s="491" t="s">
        <v>1656</v>
      </c>
      <c r="AC631" s="456"/>
      <c r="AD631" s="522"/>
      <c r="AE631" s="699"/>
      <c r="AF631" s="456"/>
      <c r="AG631" s="699"/>
    </row>
    <row r="632" spans="1:33" s="454" customFormat="1" ht="15" x14ac:dyDescent="0.25">
      <c r="A632" s="823"/>
      <c r="B632" s="824"/>
      <c r="C632" s="824"/>
      <c r="D632" s="824"/>
      <c r="E632" s="825" t="s">
        <v>3188</v>
      </c>
      <c r="F632" s="826"/>
      <c r="G632" s="827"/>
      <c r="H632" s="648"/>
      <c r="I632" s="828">
        <v>239</v>
      </c>
      <c r="J632" s="829"/>
      <c r="K632" s="829"/>
      <c r="L632" s="830"/>
      <c r="M632" s="831"/>
      <c r="X632" s="656"/>
      <c r="Y632" s="657"/>
      <c r="Z632" s="657"/>
      <c r="AA632" s="481"/>
      <c r="AC632" s="456"/>
      <c r="AD632" s="522"/>
      <c r="AE632" s="699"/>
      <c r="AF632" s="456"/>
      <c r="AG632" s="699"/>
    </row>
    <row r="633" spans="1:33" s="454" customFormat="1" ht="15" x14ac:dyDescent="0.25">
      <c r="A633" s="823"/>
      <c r="B633" s="824"/>
      <c r="C633" s="824"/>
      <c r="D633" s="824"/>
      <c r="E633" s="825" t="s">
        <v>3189</v>
      </c>
      <c r="F633" s="826"/>
      <c r="G633" s="827"/>
      <c r="H633" s="648"/>
      <c r="I633" s="828">
        <v>109</v>
      </c>
      <c r="J633" s="829"/>
      <c r="K633" s="829"/>
      <c r="L633" s="830"/>
      <c r="M633" s="831"/>
      <c r="X633" s="656"/>
      <c r="Y633" s="657"/>
      <c r="Z633" s="657"/>
      <c r="AA633" s="481"/>
      <c r="AC633" s="456"/>
      <c r="AD633" s="522"/>
      <c r="AE633" s="699"/>
      <c r="AF633" s="456"/>
      <c r="AG633" s="699"/>
    </row>
    <row r="634" spans="1:33" s="454" customFormat="1" ht="15" x14ac:dyDescent="0.25">
      <c r="A634" s="823"/>
      <c r="B634" s="824"/>
      <c r="C634" s="824"/>
      <c r="D634" s="824"/>
      <c r="E634" s="825" t="s">
        <v>2692</v>
      </c>
      <c r="F634" s="826"/>
      <c r="G634" s="827"/>
      <c r="H634" s="648"/>
      <c r="I634" s="828">
        <v>801</v>
      </c>
      <c r="J634" s="829"/>
      <c r="K634" s="829"/>
      <c r="L634" s="830"/>
      <c r="M634" s="831"/>
      <c r="X634" s="656"/>
      <c r="Y634" s="657"/>
      <c r="Z634" s="657"/>
      <c r="AA634" s="481"/>
      <c r="AC634" s="456"/>
      <c r="AD634" s="522"/>
      <c r="AE634" s="699"/>
      <c r="AF634" s="456"/>
      <c r="AG634" s="699"/>
    </row>
    <row r="635" spans="1:33" s="454" customFormat="1" ht="23.25" x14ac:dyDescent="0.25">
      <c r="A635" s="507"/>
      <c r="B635" s="674" t="s">
        <v>2119</v>
      </c>
      <c r="C635" s="2672" t="s">
        <v>2120</v>
      </c>
      <c r="D635" s="2672"/>
      <c r="E635" s="2672"/>
      <c r="F635" s="675" t="s">
        <v>3190</v>
      </c>
      <c r="G635" s="676" t="s">
        <v>2122</v>
      </c>
      <c r="H635" s="676"/>
      <c r="I635" s="676">
        <v>185.03</v>
      </c>
      <c r="J635" s="676">
        <v>185.03</v>
      </c>
      <c r="K635" s="676"/>
      <c r="L635" s="677"/>
      <c r="M635" s="678"/>
      <c r="X635" s="656"/>
      <c r="Y635" s="657"/>
      <c r="Z635" s="657"/>
      <c r="AA635" s="481"/>
      <c r="AC635" s="456" t="s">
        <v>2120</v>
      </c>
      <c r="AD635" s="522"/>
      <c r="AE635" s="699"/>
      <c r="AF635" s="456"/>
      <c r="AG635" s="699"/>
    </row>
    <row r="636" spans="1:33" s="454" customFormat="1" ht="23.25" x14ac:dyDescent="0.25">
      <c r="A636" s="507"/>
      <c r="B636" s="674" t="s">
        <v>639</v>
      </c>
      <c r="C636" s="2672" t="s">
        <v>1661</v>
      </c>
      <c r="D636" s="2672"/>
      <c r="E636" s="2672"/>
      <c r="F636" s="675" t="s">
        <v>3191</v>
      </c>
      <c r="G636" s="676">
        <v>0</v>
      </c>
      <c r="H636" s="676">
        <v>0</v>
      </c>
      <c r="I636" s="676">
        <v>0</v>
      </c>
      <c r="J636" s="676"/>
      <c r="K636" s="676">
        <v>0</v>
      </c>
      <c r="L636" s="677"/>
      <c r="M636" s="678"/>
      <c r="X636" s="656"/>
      <c r="Y636" s="657"/>
      <c r="Z636" s="657"/>
      <c r="AA636" s="481"/>
      <c r="AC636" s="456" t="s">
        <v>1661</v>
      </c>
      <c r="AD636" s="522"/>
      <c r="AE636" s="699"/>
      <c r="AF636" s="456"/>
      <c r="AG636" s="699"/>
    </row>
    <row r="637" spans="1:33" s="454" customFormat="1" ht="34.5" x14ac:dyDescent="0.25">
      <c r="A637" s="507"/>
      <c r="B637" s="674" t="s">
        <v>821</v>
      </c>
      <c r="C637" s="2672" t="s">
        <v>1751</v>
      </c>
      <c r="D637" s="2672"/>
      <c r="E637" s="2672"/>
      <c r="F637" s="675" t="s">
        <v>3192</v>
      </c>
      <c r="G637" s="676">
        <v>65.709999999999994</v>
      </c>
      <c r="H637" s="676" t="s">
        <v>1753</v>
      </c>
      <c r="I637" s="676">
        <v>105.14</v>
      </c>
      <c r="J637" s="676"/>
      <c r="K637" s="676" t="s">
        <v>3193</v>
      </c>
      <c r="L637" s="677"/>
      <c r="M637" s="678"/>
      <c r="X637" s="656"/>
      <c r="Y637" s="657"/>
      <c r="Z637" s="657"/>
      <c r="AA637" s="481"/>
      <c r="AC637" s="456" t="s">
        <v>1751</v>
      </c>
      <c r="AD637" s="522"/>
      <c r="AE637" s="699"/>
      <c r="AF637" s="456"/>
      <c r="AG637" s="699"/>
    </row>
    <row r="638" spans="1:33" s="454" customFormat="1" ht="23.25" x14ac:dyDescent="0.25">
      <c r="A638" s="507"/>
      <c r="B638" s="674" t="s">
        <v>825</v>
      </c>
      <c r="C638" s="2672" t="s">
        <v>1808</v>
      </c>
      <c r="D638" s="2672"/>
      <c r="E638" s="2672"/>
      <c r="F638" s="675" t="s">
        <v>3194</v>
      </c>
      <c r="G638" s="676">
        <v>1.2</v>
      </c>
      <c r="H638" s="676" t="s">
        <v>1810</v>
      </c>
      <c r="I638" s="676">
        <v>14.4</v>
      </c>
      <c r="J638" s="676"/>
      <c r="K638" s="676" t="s">
        <v>3195</v>
      </c>
      <c r="L638" s="677"/>
      <c r="M638" s="678"/>
      <c r="X638" s="656"/>
      <c r="Y638" s="657"/>
      <c r="Z638" s="657"/>
      <c r="AA638" s="481"/>
      <c r="AC638" s="456" t="s">
        <v>1808</v>
      </c>
      <c r="AD638" s="522"/>
      <c r="AE638" s="699"/>
      <c r="AF638" s="456"/>
      <c r="AG638" s="699"/>
    </row>
    <row r="639" spans="1:33" s="454" customFormat="1" ht="23.25" x14ac:dyDescent="0.25">
      <c r="A639" s="507"/>
      <c r="B639" s="674" t="s">
        <v>830</v>
      </c>
      <c r="C639" s="2672" t="s">
        <v>1816</v>
      </c>
      <c r="D639" s="2672"/>
      <c r="E639" s="2672"/>
      <c r="F639" s="675" t="s">
        <v>3194</v>
      </c>
      <c r="G639" s="676">
        <v>6.22</v>
      </c>
      <c r="H639" s="676"/>
      <c r="I639" s="676">
        <v>74.64</v>
      </c>
      <c r="J639" s="676"/>
      <c r="K639" s="676"/>
      <c r="L639" s="677"/>
      <c r="M639" s="678"/>
      <c r="X639" s="656"/>
      <c r="Y639" s="657"/>
      <c r="Z639" s="657"/>
      <c r="AA639" s="481"/>
      <c r="AC639" s="456" t="s">
        <v>1816</v>
      </c>
      <c r="AD639" s="522"/>
      <c r="AE639" s="699"/>
      <c r="AF639" s="456"/>
      <c r="AG639" s="699"/>
    </row>
    <row r="640" spans="1:33" s="454" customFormat="1" ht="23.25" x14ac:dyDescent="0.25">
      <c r="A640" s="507"/>
      <c r="B640" s="674" t="s">
        <v>833</v>
      </c>
      <c r="C640" s="2672" t="s">
        <v>1818</v>
      </c>
      <c r="D640" s="2672"/>
      <c r="E640" s="2672"/>
      <c r="F640" s="675" t="s">
        <v>3191</v>
      </c>
      <c r="G640" s="676">
        <v>6.09</v>
      </c>
      <c r="H640" s="676"/>
      <c r="I640" s="676">
        <v>14.62</v>
      </c>
      <c r="J640" s="676"/>
      <c r="K640" s="676"/>
      <c r="L640" s="677"/>
      <c r="M640" s="678"/>
      <c r="X640" s="656"/>
      <c r="Y640" s="657"/>
      <c r="Z640" s="657"/>
      <c r="AA640" s="481"/>
      <c r="AC640" s="456" t="s">
        <v>1818</v>
      </c>
      <c r="AD640" s="522"/>
      <c r="AE640" s="699"/>
      <c r="AF640" s="456"/>
      <c r="AG640" s="699"/>
    </row>
    <row r="641" spans="1:33" s="454" customFormat="1" ht="15" x14ac:dyDescent="0.25">
      <c r="A641" s="2680" t="s">
        <v>1383</v>
      </c>
      <c r="B641" s="2681"/>
      <c r="C641" s="2681"/>
      <c r="D641" s="2681"/>
      <c r="E641" s="2681"/>
      <c r="F641" s="2681"/>
      <c r="G641" s="2681"/>
      <c r="H641" s="2681"/>
      <c r="I641" s="2681"/>
      <c r="J641" s="2681"/>
      <c r="K641" s="2681"/>
      <c r="L641" s="2681"/>
      <c r="M641" s="2682"/>
      <c r="X641" s="656"/>
      <c r="Y641" s="657" t="s">
        <v>1383</v>
      </c>
      <c r="Z641" s="657"/>
      <c r="AA641" s="481"/>
      <c r="AC641" s="456"/>
      <c r="AD641" s="522"/>
      <c r="AE641" s="699"/>
      <c r="AF641" s="456"/>
      <c r="AG641" s="699"/>
    </row>
    <row r="642" spans="1:33" s="454" customFormat="1" ht="45.75" x14ac:dyDescent="0.25">
      <c r="A642" s="658" t="s">
        <v>1384</v>
      </c>
      <c r="B642" s="659" t="s">
        <v>3196</v>
      </c>
      <c r="C642" s="2673" t="s">
        <v>3197</v>
      </c>
      <c r="D642" s="2673"/>
      <c r="E642" s="2673"/>
      <c r="F642" s="670">
        <v>20</v>
      </c>
      <c r="G642" s="661" t="s">
        <v>3198</v>
      </c>
      <c r="H642" s="661" t="s">
        <v>3199</v>
      </c>
      <c r="I642" s="661">
        <v>34341</v>
      </c>
      <c r="J642" s="661">
        <v>19586</v>
      </c>
      <c r="K642" s="662" t="s">
        <v>3200</v>
      </c>
      <c r="L642" s="672">
        <v>112.05</v>
      </c>
      <c r="M642" s="663">
        <v>2241</v>
      </c>
      <c r="X642" s="656"/>
      <c r="Y642" s="657"/>
      <c r="Z642" s="657"/>
      <c r="AA642" s="481" t="s">
        <v>3197</v>
      </c>
      <c r="AC642" s="456"/>
      <c r="AD642" s="522"/>
      <c r="AE642" s="699"/>
      <c r="AF642" s="456"/>
      <c r="AG642" s="699"/>
    </row>
    <row r="643" spans="1:33" s="454" customFormat="1" ht="15" x14ac:dyDescent="0.25">
      <c r="A643" s="664"/>
      <c r="B643" s="665"/>
      <c r="C643" s="666" t="s">
        <v>3201</v>
      </c>
      <c r="D643" s="667"/>
      <c r="E643" s="667"/>
      <c r="F643" s="667"/>
      <c r="G643" s="667"/>
      <c r="H643" s="667"/>
      <c r="I643" s="667"/>
      <c r="J643" s="667"/>
      <c r="K643" s="667"/>
      <c r="L643" s="667"/>
      <c r="M643" s="668"/>
      <c r="X643" s="656"/>
      <c r="Y643" s="657"/>
      <c r="Z643" s="657"/>
      <c r="AA643" s="481"/>
      <c r="AC643" s="456"/>
      <c r="AD643" s="522"/>
      <c r="AE643" s="699"/>
      <c r="AF643" s="456"/>
      <c r="AG643" s="699"/>
    </row>
    <row r="644" spans="1:33" s="454" customFormat="1" ht="33.75" x14ac:dyDescent="0.25">
      <c r="A644" s="542"/>
      <c r="B644" s="673" t="s">
        <v>1655</v>
      </c>
      <c r="C644" s="2670" t="s">
        <v>1656</v>
      </c>
      <c r="D644" s="2670"/>
      <c r="E644" s="2670"/>
      <c r="F644" s="2670"/>
      <c r="G644" s="2670"/>
      <c r="H644" s="2670"/>
      <c r="I644" s="2670"/>
      <c r="J644" s="2670"/>
      <c r="K644" s="2670"/>
      <c r="L644" s="2670"/>
      <c r="M644" s="2671"/>
      <c r="X644" s="656"/>
      <c r="Y644" s="657"/>
      <c r="Z644" s="657"/>
      <c r="AA644" s="481"/>
      <c r="AB644" s="491" t="s">
        <v>1656</v>
      </c>
      <c r="AC644" s="456"/>
      <c r="AD644" s="522"/>
      <c r="AE644" s="699"/>
      <c r="AF644" s="456"/>
      <c r="AG644" s="699"/>
    </row>
    <row r="645" spans="1:33" s="454" customFormat="1" ht="15" x14ac:dyDescent="0.25">
      <c r="A645" s="823"/>
      <c r="B645" s="824"/>
      <c r="C645" s="824"/>
      <c r="D645" s="824"/>
      <c r="E645" s="825" t="s">
        <v>3202</v>
      </c>
      <c r="F645" s="826"/>
      <c r="G645" s="827"/>
      <c r="H645" s="648"/>
      <c r="I645" s="828">
        <v>22224</v>
      </c>
      <c r="J645" s="829"/>
      <c r="K645" s="829"/>
      <c r="L645" s="830"/>
      <c r="M645" s="831"/>
      <c r="X645" s="656"/>
      <c r="Y645" s="657"/>
      <c r="Z645" s="657"/>
      <c r="AA645" s="481"/>
      <c r="AC645" s="456"/>
      <c r="AD645" s="522"/>
      <c r="AE645" s="699"/>
      <c r="AF645" s="456"/>
      <c r="AG645" s="699"/>
    </row>
    <row r="646" spans="1:33" s="454" customFormat="1" ht="15" x14ac:dyDescent="0.25">
      <c r="A646" s="823"/>
      <c r="B646" s="824"/>
      <c r="C646" s="824"/>
      <c r="D646" s="824"/>
      <c r="E646" s="825" t="s">
        <v>3203</v>
      </c>
      <c r="F646" s="826"/>
      <c r="G646" s="827"/>
      <c r="H646" s="648"/>
      <c r="I646" s="828">
        <v>16163</v>
      </c>
      <c r="J646" s="829"/>
      <c r="K646" s="829"/>
      <c r="L646" s="830"/>
      <c r="M646" s="831"/>
      <c r="X646" s="656"/>
      <c r="Y646" s="657"/>
      <c r="Z646" s="657"/>
      <c r="AA646" s="481"/>
      <c r="AC646" s="456"/>
      <c r="AD646" s="522"/>
      <c r="AE646" s="699"/>
      <c r="AF646" s="456"/>
      <c r="AG646" s="699"/>
    </row>
    <row r="647" spans="1:33" s="454" customFormat="1" ht="15" x14ac:dyDescent="0.25">
      <c r="A647" s="823"/>
      <c r="B647" s="824"/>
      <c r="C647" s="824"/>
      <c r="D647" s="824"/>
      <c r="E647" s="825" t="s">
        <v>2692</v>
      </c>
      <c r="F647" s="826"/>
      <c r="G647" s="827"/>
      <c r="H647" s="648"/>
      <c r="I647" s="828">
        <v>72728</v>
      </c>
      <c r="J647" s="829"/>
      <c r="K647" s="829"/>
      <c r="L647" s="830"/>
      <c r="M647" s="831"/>
      <c r="X647" s="656"/>
      <c r="Y647" s="657"/>
      <c r="Z647" s="657"/>
      <c r="AA647" s="481"/>
      <c r="AC647" s="456"/>
      <c r="AD647" s="522"/>
      <c r="AE647" s="699"/>
      <c r="AF647" s="456"/>
      <c r="AG647" s="699"/>
    </row>
    <row r="648" spans="1:33" s="454" customFormat="1" ht="23.25" x14ac:dyDescent="0.25">
      <c r="A648" s="507"/>
      <c r="B648" s="674" t="s">
        <v>3204</v>
      </c>
      <c r="C648" s="2672" t="s">
        <v>3205</v>
      </c>
      <c r="D648" s="2672"/>
      <c r="E648" s="2672"/>
      <c r="F648" s="675" t="s">
        <v>3206</v>
      </c>
      <c r="G648" s="676" t="s">
        <v>3207</v>
      </c>
      <c r="H648" s="676"/>
      <c r="I648" s="676">
        <v>19586.34</v>
      </c>
      <c r="J648" s="676">
        <v>19586.34</v>
      </c>
      <c r="K648" s="676"/>
      <c r="L648" s="677"/>
      <c r="M648" s="678"/>
      <c r="X648" s="656"/>
      <c r="Y648" s="657"/>
      <c r="Z648" s="657"/>
      <c r="AA648" s="481"/>
      <c r="AC648" s="456" t="s">
        <v>3205</v>
      </c>
      <c r="AD648" s="522"/>
      <c r="AE648" s="699"/>
      <c r="AF648" s="456"/>
      <c r="AG648" s="699"/>
    </row>
    <row r="649" spans="1:33" s="454" customFormat="1" ht="23.25" x14ac:dyDescent="0.25">
      <c r="A649" s="507"/>
      <c r="B649" s="674" t="s">
        <v>639</v>
      </c>
      <c r="C649" s="2672" t="s">
        <v>1661</v>
      </c>
      <c r="D649" s="2672"/>
      <c r="E649" s="2672"/>
      <c r="F649" s="675" t="s">
        <v>3208</v>
      </c>
      <c r="G649" s="676">
        <v>0</v>
      </c>
      <c r="H649" s="676">
        <v>0</v>
      </c>
      <c r="I649" s="676">
        <v>0</v>
      </c>
      <c r="J649" s="676"/>
      <c r="K649" s="676">
        <v>0</v>
      </c>
      <c r="L649" s="677"/>
      <c r="M649" s="678"/>
      <c r="X649" s="656"/>
      <c r="Y649" s="657"/>
      <c r="Z649" s="657"/>
      <c r="AA649" s="481"/>
      <c r="AC649" s="456" t="s">
        <v>1661</v>
      </c>
      <c r="AD649" s="522"/>
      <c r="AE649" s="699"/>
      <c r="AF649" s="456"/>
      <c r="AG649" s="699"/>
    </row>
    <row r="650" spans="1:33" s="454" customFormat="1" ht="34.5" x14ac:dyDescent="0.25">
      <c r="A650" s="507"/>
      <c r="B650" s="674" t="s">
        <v>2431</v>
      </c>
      <c r="C650" s="2672" t="s">
        <v>2432</v>
      </c>
      <c r="D650" s="2672"/>
      <c r="E650" s="2672"/>
      <c r="F650" s="675" t="s">
        <v>3209</v>
      </c>
      <c r="G650" s="676">
        <v>100</v>
      </c>
      <c r="H650" s="676" t="s">
        <v>2434</v>
      </c>
      <c r="I650" s="676">
        <v>240</v>
      </c>
      <c r="J650" s="676"/>
      <c r="K650" s="676" t="s">
        <v>3210</v>
      </c>
      <c r="L650" s="677"/>
      <c r="M650" s="678"/>
      <c r="X650" s="656"/>
      <c r="Y650" s="657"/>
      <c r="Z650" s="657"/>
      <c r="AA650" s="481"/>
      <c r="AC650" s="456" t="s">
        <v>2432</v>
      </c>
      <c r="AD650" s="522"/>
      <c r="AE650" s="699"/>
      <c r="AF650" s="456"/>
      <c r="AG650" s="699"/>
    </row>
    <row r="651" spans="1:33" s="454" customFormat="1" ht="34.5" x14ac:dyDescent="0.25">
      <c r="A651" s="507"/>
      <c r="B651" s="674" t="s">
        <v>1663</v>
      </c>
      <c r="C651" s="2672" t="s">
        <v>1664</v>
      </c>
      <c r="D651" s="2672"/>
      <c r="E651" s="2672"/>
      <c r="F651" s="675" t="s">
        <v>3211</v>
      </c>
      <c r="G651" s="676">
        <v>111.99</v>
      </c>
      <c r="H651" s="676" t="s">
        <v>1666</v>
      </c>
      <c r="I651" s="676">
        <v>89.59</v>
      </c>
      <c r="J651" s="676"/>
      <c r="K651" s="676" t="s">
        <v>3212</v>
      </c>
      <c r="L651" s="677"/>
      <c r="M651" s="678"/>
      <c r="X651" s="656"/>
      <c r="Y651" s="657"/>
      <c r="Z651" s="657"/>
      <c r="AA651" s="481"/>
      <c r="AC651" s="456" t="s">
        <v>1664</v>
      </c>
      <c r="AD651" s="522"/>
      <c r="AE651" s="699"/>
      <c r="AF651" s="456"/>
      <c r="AG651" s="699"/>
    </row>
    <row r="652" spans="1:33" s="454" customFormat="1" ht="23.25" x14ac:dyDescent="0.25">
      <c r="A652" s="507"/>
      <c r="B652" s="674" t="s">
        <v>1741</v>
      </c>
      <c r="C652" s="2672" t="s">
        <v>1742</v>
      </c>
      <c r="D652" s="2672"/>
      <c r="E652" s="2672"/>
      <c r="F652" s="675" t="s">
        <v>3213</v>
      </c>
      <c r="G652" s="676">
        <v>89.99</v>
      </c>
      <c r="H652" s="676" t="s">
        <v>1744</v>
      </c>
      <c r="I652" s="676">
        <v>395.96</v>
      </c>
      <c r="J652" s="676"/>
      <c r="K652" s="676" t="s">
        <v>3214</v>
      </c>
      <c r="L652" s="677"/>
      <c r="M652" s="678"/>
      <c r="X652" s="656"/>
      <c r="Y652" s="657"/>
      <c r="Z652" s="657"/>
      <c r="AA652" s="481"/>
      <c r="AC652" s="456" t="s">
        <v>1742</v>
      </c>
      <c r="AD652" s="522"/>
      <c r="AE652" s="699"/>
      <c r="AF652" s="456"/>
      <c r="AG652" s="699"/>
    </row>
    <row r="653" spans="1:33" s="454" customFormat="1" ht="34.5" x14ac:dyDescent="0.25">
      <c r="A653" s="507"/>
      <c r="B653" s="674" t="s">
        <v>3215</v>
      </c>
      <c r="C653" s="2672" t="s">
        <v>3216</v>
      </c>
      <c r="D653" s="2672"/>
      <c r="E653" s="2672"/>
      <c r="F653" s="675" t="s">
        <v>3217</v>
      </c>
      <c r="G653" s="676">
        <v>0.55000000000000004</v>
      </c>
      <c r="H653" s="676" t="s">
        <v>3218</v>
      </c>
      <c r="I653" s="676">
        <v>28.16</v>
      </c>
      <c r="J653" s="676"/>
      <c r="K653" s="676" t="s">
        <v>3219</v>
      </c>
      <c r="L653" s="677"/>
      <c r="M653" s="678"/>
      <c r="X653" s="656"/>
      <c r="Y653" s="657"/>
      <c r="Z653" s="657"/>
      <c r="AA653" s="481"/>
      <c r="AC653" s="456" t="s">
        <v>3216</v>
      </c>
      <c r="AD653" s="522"/>
      <c r="AE653" s="699"/>
      <c r="AF653" s="456"/>
      <c r="AG653" s="699"/>
    </row>
    <row r="654" spans="1:33" s="454" customFormat="1" ht="23.25" x14ac:dyDescent="0.25">
      <c r="A654" s="507"/>
      <c r="B654" s="674" t="s">
        <v>3220</v>
      </c>
      <c r="C654" s="2672" t="s">
        <v>3221</v>
      </c>
      <c r="D654" s="2672"/>
      <c r="E654" s="2672"/>
      <c r="F654" s="675" t="s">
        <v>3222</v>
      </c>
      <c r="G654" s="676">
        <v>110</v>
      </c>
      <c r="H654" s="676" t="s">
        <v>3223</v>
      </c>
      <c r="I654" s="676">
        <v>242</v>
      </c>
      <c r="J654" s="676"/>
      <c r="K654" s="676" t="s">
        <v>3224</v>
      </c>
      <c r="L654" s="677"/>
      <c r="M654" s="678"/>
      <c r="X654" s="656"/>
      <c r="Y654" s="657"/>
      <c r="Z654" s="657"/>
      <c r="AA654" s="481"/>
      <c r="AC654" s="456" t="s">
        <v>3221</v>
      </c>
      <c r="AD654" s="522"/>
      <c r="AE654" s="699"/>
      <c r="AF654" s="456"/>
      <c r="AG654" s="699"/>
    </row>
    <row r="655" spans="1:33" s="454" customFormat="1" ht="34.5" x14ac:dyDescent="0.25">
      <c r="A655" s="507"/>
      <c r="B655" s="674" t="s">
        <v>821</v>
      </c>
      <c r="C655" s="2672" t="s">
        <v>1751</v>
      </c>
      <c r="D655" s="2672"/>
      <c r="E655" s="2672"/>
      <c r="F655" s="675" t="s">
        <v>3225</v>
      </c>
      <c r="G655" s="676">
        <v>65.709999999999994</v>
      </c>
      <c r="H655" s="676" t="s">
        <v>1753</v>
      </c>
      <c r="I655" s="676">
        <v>65.709999999999994</v>
      </c>
      <c r="J655" s="676"/>
      <c r="K655" s="676" t="s">
        <v>1753</v>
      </c>
      <c r="L655" s="677"/>
      <c r="M655" s="678"/>
      <c r="X655" s="656"/>
      <c r="Y655" s="657"/>
      <c r="Z655" s="657"/>
      <c r="AA655" s="481"/>
      <c r="AC655" s="456" t="s">
        <v>1751</v>
      </c>
      <c r="AD655" s="522"/>
      <c r="AE655" s="699"/>
      <c r="AF655" s="456"/>
      <c r="AG655" s="699"/>
    </row>
    <row r="656" spans="1:33" s="454" customFormat="1" ht="34.5" x14ac:dyDescent="0.25">
      <c r="A656" s="507"/>
      <c r="B656" s="674" t="s">
        <v>3226</v>
      </c>
      <c r="C656" s="2672" t="s">
        <v>3227</v>
      </c>
      <c r="D656" s="2672"/>
      <c r="E656" s="2672"/>
      <c r="F656" s="675" t="s">
        <v>3222</v>
      </c>
      <c r="G656" s="676">
        <v>87.49</v>
      </c>
      <c r="H656" s="676" t="s">
        <v>3228</v>
      </c>
      <c r="I656" s="676">
        <v>192.48</v>
      </c>
      <c r="J656" s="676"/>
      <c r="K656" s="676" t="s">
        <v>3229</v>
      </c>
      <c r="L656" s="677"/>
      <c r="M656" s="678"/>
      <c r="X656" s="656"/>
      <c r="Y656" s="657"/>
      <c r="Z656" s="657"/>
      <c r="AA656" s="481"/>
      <c r="AC656" s="456" t="s">
        <v>3227</v>
      </c>
      <c r="AD656" s="522"/>
      <c r="AE656" s="699"/>
      <c r="AF656" s="456"/>
      <c r="AG656" s="699"/>
    </row>
    <row r="657" spans="1:33" s="454" customFormat="1" ht="57" x14ac:dyDescent="0.25">
      <c r="A657" s="507"/>
      <c r="B657" s="674" t="s">
        <v>1713</v>
      </c>
      <c r="C657" s="2672" t="s">
        <v>1714</v>
      </c>
      <c r="D657" s="2672"/>
      <c r="E657" s="2672"/>
      <c r="F657" s="675" t="s">
        <v>3230</v>
      </c>
      <c r="G657" s="676">
        <v>90</v>
      </c>
      <c r="H657" s="676" t="s">
        <v>1716</v>
      </c>
      <c r="I657" s="676">
        <v>2304</v>
      </c>
      <c r="J657" s="676"/>
      <c r="K657" s="676" t="s">
        <v>3231</v>
      </c>
      <c r="L657" s="677"/>
      <c r="M657" s="678"/>
      <c r="X657" s="656"/>
      <c r="Y657" s="657"/>
      <c r="Z657" s="657"/>
      <c r="AA657" s="481"/>
      <c r="AC657" s="456" t="s">
        <v>1714</v>
      </c>
      <c r="AD657" s="522"/>
      <c r="AE657" s="699"/>
      <c r="AF657" s="456"/>
      <c r="AG657" s="699"/>
    </row>
    <row r="658" spans="1:33" s="454" customFormat="1" ht="23.25" x14ac:dyDescent="0.25">
      <c r="A658" s="507"/>
      <c r="B658" s="674" t="s">
        <v>1755</v>
      </c>
      <c r="C658" s="2672" t="s">
        <v>1257</v>
      </c>
      <c r="D658" s="2672"/>
      <c r="E658" s="2672"/>
      <c r="F658" s="675" t="s">
        <v>3232</v>
      </c>
      <c r="G658" s="676">
        <v>2.44</v>
      </c>
      <c r="H658" s="676"/>
      <c r="I658" s="676">
        <v>1.71</v>
      </c>
      <c r="J658" s="676"/>
      <c r="K658" s="676"/>
      <c r="L658" s="677"/>
      <c r="M658" s="678"/>
      <c r="X658" s="656"/>
      <c r="Y658" s="657"/>
      <c r="Z658" s="657"/>
      <c r="AA658" s="481"/>
      <c r="AC658" s="456" t="s">
        <v>1257</v>
      </c>
      <c r="AD658" s="522"/>
      <c r="AE658" s="699"/>
      <c r="AF658" s="456"/>
      <c r="AG658" s="699"/>
    </row>
    <row r="659" spans="1:33" s="454" customFormat="1" ht="34.5" x14ac:dyDescent="0.25">
      <c r="A659" s="507"/>
      <c r="B659" s="674" t="s">
        <v>3233</v>
      </c>
      <c r="C659" s="2672" t="s">
        <v>1679</v>
      </c>
      <c r="D659" s="2672"/>
      <c r="E659" s="2672"/>
      <c r="F659" s="675" t="s">
        <v>3234</v>
      </c>
      <c r="G659" s="676">
        <v>124.77</v>
      </c>
      <c r="H659" s="676"/>
      <c r="I659" s="676">
        <v>3468.61</v>
      </c>
      <c r="J659" s="676"/>
      <c r="K659" s="676"/>
      <c r="L659" s="677"/>
      <c r="M659" s="678"/>
      <c r="X659" s="656"/>
      <c r="Y659" s="657"/>
      <c r="Z659" s="657"/>
      <c r="AA659" s="481"/>
      <c r="AC659" s="456" t="s">
        <v>1679</v>
      </c>
      <c r="AD659" s="522"/>
      <c r="AE659" s="699"/>
      <c r="AF659" s="456"/>
      <c r="AG659" s="699"/>
    </row>
    <row r="660" spans="1:33" s="454" customFormat="1" ht="23.25" x14ac:dyDescent="0.25">
      <c r="A660" s="507"/>
      <c r="B660" s="674" t="s">
        <v>841</v>
      </c>
      <c r="C660" s="2672" t="s">
        <v>1760</v>
      </c>
      <c r="D660" s="2672"/>
      <c r="E660" s="2672"/>
      <c r="F660" s="675" t="s">
        <v>3235</v>
      </c>
      <c r="G660" s="676">
        <v>11978</v>
      </c>
      <c r="H660" s="676"/>
      <c r="I660" s="676">
        <v>95.82</v>
      </c>
      <c r="J660" s="676"/>
      <c r="K660" s="676"/>
      <c r="L660" s="677"/>
      <c r="M660" s="678"/>
      <c r="X660" s="656"/>
      <c r="Y660" s="657"/>
      <c r="Z660" s="657"/>
      <c r="AA660" s="481"/>
      <c r="AC660" s="456" t="s">
        <v>1760</v>
      </c>
      <c r="AD660" s="522"/>
      <c r="AE660" s="699"/>
      <c r="AF660" s="456"/>
      <c r="AG660" s="699"/>
    </row>
    <row r="661" spans="1:33" s="454" customFormat="1" ht="23.25" x14ac:dyDescent="0.25">
      <c r="A661" s="515" t="s">
        <v>860</v>
      </c>
      <c r="B661" s="686" t="s">
        <v>3236</v>
      </c>
      <c r="C661" s="2683" t="s">
        <v>3237</v>
      </c>
      <c r="D661" s="2683"/>
      <c r="E661" s="2683"/>
      <c r="F661" s="687" t="s">
        <v>1935</v>
      </c>
      <c r="G661" s="688">
        <v>60</v>
      </c>
      <c r="H661" s="688"/>
      <c r="I661" s="688">
        <v>0</v>
      </c>
      <c r="J661" s="688"/>
      <c r="K661" s="688"/>
      <c r="L661" s="689"/>
      <c r="M661" s="690"/>
      <c r="X661" s="656"/>
      <c r="Y661" s="657"/>
      <c r="Z661" s="657"/>
      <c r="AA661" s="481"/>
      <c r="AC661" s="456"/>
      <c r="AD661" s="522" t="s">
        <v>3237</v>
      </c>
      <c r="AE661" s="699"/>
      <c r="AF661" s="456"/>
      <c r="AG661" s="699"/>
    </row>
    <row r="662" spans="1:33" s="454" customFormat="1" ht="23.25" x14ac:dyDescent="0.25">
      <c r="A662" s="515" t="s">
        <v>860</v>
      </c>
      <c r="B662" s="686" t="s">
        <v>3238</v>
      </c>
      <c r="C662" s="2683" t="s">
        <v>3239</v>
      </c>
      <c r="D662" s="2683"/>
      <c r="E662" s="2683"/>
      <c r="F662" s="687" t="s">
        <v>1935</v>
      </c>
      <c r="G662" s="688">
        <v>0</v>
      </c>
      <c r="H662" s="688"/>
      <c r="I662" s="688">
        <v>0</v>
      </c>
      <c r="J662" s="688"/>
      <c r="K662" s="688"/>
      <c r="L662" s="689"/>
      <c r="M662" s="690"/>
      <c r="X662" s="656"/>
      <c r="Y662" s="657"/>
      <c r="Z662" s="657"/>
      <c r="AA662" s="481"/>
      <c r="AC662" s="456"/>
      <c r="AD662" s="522" t="s">
        <v>3239</v>
      </c>
      <c r="AE662" s="699"/>
      <c r="AF662" s="456"/>
      <c r="AG662" s="699"/>
    </row>
    <row r="663" spans="1:33" s="454" customFormat="1" ht="45.75" x14ac:dyDescent="0.25">
      <c r="A663" s="515" t="s">
        <v>860</v>
      </c>
      <c r="B663" s="686" t="s">
        <v>3240</v>
      </c>
      <c r="C663" s="2683" t="s">
        <v>3241</v>
      </c>
      <c r="D663" s="2683"/>
      <c r="E663" s="2683"/>
      <c r="F663" s="687" t="s">
        <v>1935</v>
      </c>
      <c r="G663" s="688">
        <v>13153.2</v>
      </c>
      <c r="H663" s="688"/>
      <c r="I663" s="688">
        <v>0</v>
      </c>
      <c r="J663" s="688"/>
      <c r="K663" s="688"/>
      <c r="L663" s="689"/>
      <c r="M663" s="690"/>
      <c r="X663" s="656"/>
      <c r="Y663" s="657"/>
      <c r="Z663" s="657"/>
      <c r="AA663" s="481"/>
      <c r="AC663" s="456"/>
      <c r="AD663" s="522" t="s">
        <v>3241</v>
      </c>
      <c r="AE663" s="699"/>
      <c r="AF663" s="456"/>
      <c r="AG663" s="699"/>
    </row>
    <row r="664" spans="1:33" s="454" customFormat="1" ht="45.75" x14ac:dyDescent="0.25">
      <c r="A664" s="507"/>
      <c r="B664" s="674" t="s">
        <v>3242</v>
      </c>
      <c r="C664" s="2672" t="s">
        <v>3243</v>
      </c>
      <c r="D664" s="2672"/>
      <c r="E664" s="2672"/>
      <c r="F664" s="675" t="s">
        <v>3244</v>
      </c>
      <c r="G664" s="676">
        <v>12110.78</v>
      </c>
      <c r="H664" s="676"/>
      <c r="I664" s="676">
        <v>1242.57</v>
      </c>
      <c r="J664" s="676"/>
      <c r="K664" s="676"/>
      <c r="L664" s="677"/>
      <c r="M664" s="678"/>
      <c r="X664" s="656"/>
      <c r="Y664" s="657"/>
      <c r="Z664" s="657"/>
      <c r="AA664" s="481"/>
      <c r="AC664" s="456" t="s">
        <v>3243</v>
      </c>
      <c r="AD664" s="522"/>
      <c r="AE664" s="699"/>
      <c r="AF664" s="456"/>
      <c r="AG664" s="699"/>
    </row>
    <row r="665" spans="1:33" s="454" customFormat="1" ht="45.75" x14ac:dyDescent="0.25">
      <c r="A665" s="507"/>
      <c r="B665" s="674" t="s">
        <v>3245</v>
      </c>
      <c r="C665" s="2672" t="s">
        <v>3246</v>
      </c>
      <c r="D665" s="2672"/>
      <c r="E665" s="2672"/>
      <c r="F665" s="675" t="s">
        <v>3247</v>
      </c>
      <c r="G665" s="676">
        <v>5950</v>
      </c>
      <c r="H665" s="676"/>
      <c r="I665" s="676">
        <v>1951.6</v>
      </c>
      <c r="J665" s="676"/>
      <c r="K665" s="676"/>
      <c r="L665" s="677"/>
      <c r="M665" s="678"/>
      <c r="X665" s="656"/>
      <c r="Y665" s="657"/>
      <c r="Z665" s="657"/>
      <c r="AA665" s="481"/>
      <c r="AC665" s="456" t="s">
        <v>3246</v>
      </c>
      <c r="AD665" s="522"/>
      <c r="AE665" s="699"/>
      <c r="AF665" s="456"/>
      <c r="AG665" s="699"/>
    </row>
    <row r="666" spans="1:33" s="454" customFormat="1" ht="45.75" x14ac:dyDescent="0.25">
      <c r="A666" s="507"/>
      <c r="B666" s="674" t="s">
        <v>3248</v>
      </c>
      <c r="C666" s="2672" t="s">
        <v>3249</v>
      </c>
      <c r="D666" s="2672"/>
      <c r="E666" s="2672"/>
      <c r="F666" s="675" t="s">
        <v>3250</v>
      </c>
      <c r="G666" s="676">
        <v>1081.68</v>
      </c>
      <c r="H666" s="676"/>
      <c r="I666" s="676">
        <v>735.54</v>
      </c>
      <c r="J666" s="676"/>
      <c r="K666" s="676"/>
      <c r="L666" s="677"/>
      <c r="M666" s="678"/>
      <c r="X666" s="656"/>
      <c r="Y666" s="657"/>
      <c r="Z666" s="657"/>
      <c r="AA666" s="481"/>
      <c r="AC666" s="456" t="s">
        <v>3249</v>
      </c>
      <c r="AD666" s="522"/>
      <c r="AE666" s="699"/>
      <c r="AF666" s="456"/>
      <c r="AG666" s="699"/>
    </row>
    <row r="667" spans="1:33" s="454" customFormat="1" ht="45.75" x14ac:dyDescent="0.25">
      <c r="A667" s="507"/>
      <c r="B667" s="674" t="s">
        <v>1776</v>
      </c>
      <c r="C667" s="2672" t="s">
        <v>1777</v>
      </c>
      <c r="D667" s="2672"/>
      <c r="E667" s="2672"/>
      <c r="F667" s="675" t="s">
        <v>3251</v>
      </c>
      <c r="G667" s="676">
        <v>1056</v>
      </c>
      <c r="H667" s="676"/>
      <c r="I667" s="676">
        <v>1921.92</v>
      </c>
      <c r="J667" s="676"/>
      <c r="K667" s="676"/>
      <c r="L667" s="677"/>
      <c r="M667" s="678"/>
      <c r="X667" s="656"/>
      <c r="Y667" s="657"/>
      <c r="Z667" s="657"/>
      <c r="AA667" s="481"/>
      <c r="AC667" s="456" t="s">
        <v>1777</v>
      </c>
      <c r="AD667" s="522"/>
      <c r="AE667" s="699"/>
      <c r="AF667" s="456"/>
      <c r="AG667" s="699"/>
    </row>
    <row r="668" spans="1:33" s="454" customFormat="1" ht="34.5" x14ac:dyDescent="0.25">
      <c r="A668" s="658" t="s">
        <v>1391</v>
      </c>
      <c r="B668" s="659" t="s">
        <v>1392</v>
      </c>
      <c r="C668" s="2673" t="s">
        <v>1393</v>
      </c>
      <c r="D668" s="2673"/>
      <c r="E668" s="2673"/>
      <c r="F668" s="670">
        <v>25</v>
      </c>
      <c r="G668" s="661" t="s">
        <v>3252</v>
      </c>
      <c r="H668" s="661"/>
      <c r="I668" s="661">
        <v>34215</v>
      </c>
      <c r="J668" s="661"/>
      <c r="K668" s="662"/>
      <c r="L668" s="663">
        <v>0</v>
      </c>
      <c r="M668" s="663">
        <v>0</v>
      </c>
      <c r="X668" s="656"/>
      <c r="Y668" s="657"/>
      <c r="Z668" s="657"/>
      <c r="AA668" s="481" t="s">
        <v>1393</v>
      </c>
      <c r="AC668" s="456"/>
      <c r="AD668" s="522"/>
      <c r="AE668" s="699"/>
      <c r="AF668" s="456"/>
      <c r="AG668" s="699"/>
    </row>
    <row r="669" spans="1:33" s="454" customFormat="1" ht="15" x14ac:dyDescent="0.25">
      <c r="A669" s="542"/>
      <c r="B669" s="665"/>
      <c r="C669" s="666" t="s">
        <v>3253</v>
      </c>
      <c r="D669" s="667"/>
      <c r="E669" s="667"/>
      <c r="F669" s="667"/>
      <c r="G669" s="667"/>
      <c r="H669" s="667"/>
      <c r="I669" s="667"/>
      <c r="J669" s="667"/>
      <c r="K669" s="667"/>
      <c r="L669" s="667"/>
      <c r="M669" s="669"/>
      <c r="X669" s="656"/>
      <c r="Y669" s="657"/>
      <c r="Z669" s="657"/>
      <c r="AA669" s="481"/>
      <c r="AC669" s="456"/>
      <c r="AD669" s="522"/>
      <c r="AE669" s="699"/>
      <c r="AF669" s="456"/>
      <c r="AG669" s="699"/>
    </row>
    <row r="670" spans="1:33" s="454" customFormat="1" ht="45" x14ac:dyDescent="0.25">
      <c r="A670" s="658" t="s">
        <v>1395</v>
      </c>
      <c r="B670" s="659" t="s">
        <v>3254</v>
      </c>
      <c r="C670" s="2673" t="s">
        <v>3255</v>
      </c>
      <c r="D670" s="2673"/>
      <c r="E670" s="2673"/>
      <c r="F670" s="680">
        <v>2.1</v>
      </c>
      <c r="G670" s="661" t="s">
        <v>3256</v>
      </c>
      <c r="H670" s="661" t="s">
        <v>1400</v>
      </c>
      <c r="I670" s="661">
        <v>7604</v>
      </c>
      <c r="J670" s="661">
        <v>5283</v>
      </c>
      <c r="K670" s="662" t="s">
        <v>1401</v>
      </c>
      <c r="L670" s="672">
        <v>274.05</v>
      </c>
      <c r="M670" s="672">
        <v>575.51</v>
      </c>
      <c r="X670" s="656"/>
      <c r="Y670" s="657"/>
      <c r="Z670" s="657"/>
      <c r="AA670" s="481" t="s">
        <v>3255</v>
      </c>
      <c r="AC670" s="456"/>
      <c r="AD670" s="522"/>
      <c r="AE670" s="699"/>
      <c r="AF670" s="456"/>
      <c r="AG670" s="699"/>
    </row>
    <row r="671" spans="1:33" s="454" customFormat="1" ht="15" x14ac:dyDescent="0.25">
      <c r="A671" s="664"/>
      <c r="B671" s="665"/>
      <c r="C671" s="666" t="s">
        <v>3257</v>
      </c>
      <c r="D671" s="667"/>
      <c r="E671" s="667"/>
      <c r="F671" s="667"/>
      <c r="G671" s="667"/>
      <c r="H671" s="667"/>
      <c r="I671" s="667"/>
      <c r="J671" s="667"/>
      <c r="K671" s="667"/>
      <c r="L671" s="667"/>
      <c r="M671" s="668"/>
      <c r="X671" s="656"/>
      <c r="Y671" s="657"/>
      <c r="Z671" s="657"/>
      <c r="AA671" s="481"/>
      <c r="AC671" s="456"/>
      <c r="AD671" s="522"/>
      <c r="AE671" s="699"/>
      <c r="AF671" s="456"/>
      <c r="AG671" s="699"/>
    </row>
    <row r="672" spans="1:33" s="454" customFormat="1" ht="33.75" x14ac:dyDescent="0.25">
      <c r="A672" s="542"/>
      <c r="B672" s="673" t="s">
        <v>1655</v>
      </c>
      <c r="C672" s="2670" t="s">
        <v>1656</v>
      </c>
      <c r="D672" s="2670"/>
      <c r="E672" s="2670"/>
      <c r="F672" s="2670"/>
      <c r="G672" s="2670"/>
      <c r="H672" s="2670"/>
      <c r="I672" s="2670"/>
      <c r="J672" s="2670"/>
      <c r="K672" s="2670"/>
      <c r="L672" s="2670"/>
      <c r="M672" s="2671"/>
      <c r="X672" s="656"/>
      <c r="Y672" s="657"/>
      <c r="Z672" s="657"/>
      <c r="AA672" s="481"/>
      <c r="AB672" s="491" t="s">
        <v>1656</v>
      </c>
      <c r="AC672" s="456"/>
      <c r="AD672" s="522"/>
      <c r="AE672" s="699"/>
      <c r="AF672" s="456"/>
      <c r="AG672" s="699"/>
    </row>
    <row r="673" spans="1:33" s="454" customFormat="1" ht="15" x14ac:dyDescent="0.25">
      <c r="A673" s="823"/>
      <c r="B673" s="824"/>
      <c r="C673" s="824"/>
      <c r="D673" s="824"/>
      <c r="E673" s="825" t="s">
        <v>3258</v>
      </c>
      <c r="F673" s="826"/>
      <c r="G673" s="827"/>
      <c r="H673" s="648"/>
      <c r="I673" s="828">
        <v>5927</v>
      </c>
      <c r="J673" s="829"/>
      <c r="K673" s="829"/>
      <c r="L673" s="830"/>
      <c r="M673" s="831"/>
      <c r="X673" s="656"/>
      <c r="Y673" s="657"/>
      <c r="Z673" s="657"/>
      <c r="AA673" s="481"/>
      <c r="AC673" s="456"/>
      <c r="AD673" s="522"/>
      <c r="AE673" s="699"/>
      <c r="AF673" s="456"/>
      <c r="AG673" s="699"/>
    </row>
    <row r="674" spans="1:33" s="454" customFormat="1" ht="15" x14ac:dyDescent="0.25">
      <c r="A674" s="823"/>
      <c r="B674" s="824"/>
      <c r="C674" s="824"/>
      <c r="D674" s="824"/>
      <c r="E674" s="825" t="s">
        <v>3259</v>
      </c>
      <c r="F674" s="826"/>
      <c r="G674" s="827"/>
      <c r="H674" s="648"/>
      <c r="I674" s="828">
        <v>4310</v>
      </c>
      <c r="J674" s="829"/>
      <c r="K674" s="829"/>
      <c r="L674" s="830"/>
      <c r="M674" s="831"/>
      <c r="X674" s="656"/>
      <c r="Y674" s="657"/>
      <c r="Z674" s="657"/>
      <c r="AA674" s="481"/>
      <c r="AC674" s="456"/>
      <c r="AD674" s="522"/>
      <c r="AE674" s="699"/>
      <c r="AF674" s="456"/>
      <c r="AG674" s="699"/>
    </row>
    <row r="675" spans="1:33" s="454" customFormat="1" ht="15" x14ac:dyDescent="0.25">
      <c r="A675" s="823"/>
      <c r="B675" s="824"/>
      <c r="C675" s="824"/>
      <c r="D675" s="824"/>
      <c r="E675" s="825" t="s">
        <v>2692</v>
      </c>
      <c r="F675" s="826"/>
      <c r="G675" s="827"/>
      <c r="H675" s="648"/>
      <c r="I675" s="828">
        <v>17841</v>
      </c>
      <c r="J675" s="829"/>
      <c r="K675" s="829"/>
      <c r="L675" s="830"/>
      <c r="M675" s="831"/>
      <c r="X675" s="656"/>
      <c r="Y675" s="657"/>
      <c r="Z675" s="657"/>
      <c r="AA675" s="481"/>
      <c r="AC675" s="456"/>
      <c r="AD675" s="522"/>
      <c r="AE675" s="699"/>
      <c r="AF675" s="456"/>
      <c r="AG675" s="699"/>
    </row>
    <row r="676" spans="1:33" s="454" customFormat="1" ht="23.25" x14ac:dyDescent="0.25">
      <c r="A676" s="507"/>
      <c r="B676" s="674" t="s">
        <v>3260</v>
      </c>
      <c r="C676" s="2672" t="s">
        <v>3261</v>
      </c>
      <c r="D676" s="2672"/>
      <c r="E676" s="2672"/>
      <c r="F676" s="675" t="s">
        <v>3262</v>
      </c>
      <c r="G676" s="676" t="s">
        <v>3263</v>
      </c>
      <c r="H676" s="676"/>
      <c r="I676" s="676">
        <v>5283.18</v>
      </c>
      <c r="J676" s="676">
        <v>5283.18</v>
      </c>
      <c r="K676" s="676"/>
      <c r="L676" s="677"/>
      <c r="M676" s="678"/>
      <c r="X676" s="656"/>
      <c r="Y676" s="657"/>
      <c r="Z676" s="657"/>
      <c r="AA676" s="481"/>
      <c r="AC676" s="456" t="s">
        <v>3261</v>
      </c>
      <c r="AD676" s="522"/>
      <c r="AE676" s="699"/>
      <c r="AF676" s="456"/>
      <c r="AG676" s="699"/>
    </row>
    <row r="677" spans="1:33" s="454" customFormat="1" ht="23.25" x14ac:dyDescent="0.25">
      <c r="A677" s="507"/>
      <c r="B677" s="674" t="s">
        <v>639</v>
      </c>
      <c r="C677" s="2672" t="s">
        <v>1661</v>
      </c>
      <c r="D677" s="2672"/>
      <c r="E677" s="2672"/>
      <c r="F677" s="675" t="s">
        <v>3264</v>
      </c>
      <c r="G677" s="676">
        <v>0</v>
      </c>
      <c r="H677" s="676">
        <v>0</v>
      </c>
      <c r="I677" s="676">
        <v>0</v>
      </c>
      <c r="J677" s="676"/>
      <c r="K677" s="676">
        <v>0</v>
      </c>
      <c r="L677" s="677"/>
      <c r="M677" s="678"/>
      <c r="X677" s="656"/>
      <c r="Y677" s="657"/>
      <c r="Z677" s="657"/>
      <c r="AA677" s="481"/>
      <c r="AC677" s="456" t="s">
        <v>1661</v>
      </c>
      <c r="AD677" s="522"/>
      <c r="AE677" s="699"/>
      <c r="AF677" s="456"/>
      <c r="AG677" s="699"/>
    </row>
    <row r="678" spans="1:33" s="454" customFormat="1" ht="34.5" x14ac:dyDescent="0.25">
      <c r="A678" s="507"/>
      <c r="B678" s="674" t="s">
        <v>2431</v>
      </c>
      <c r="C678" s="2672" t="s">
        <v>2432</v>
      </c>
      <c r="D678" s="2672"/>
      <c r="E678" s="2672"/>
      <c r="F678" s="675" t="s">
        <v>3265</v>
      </c>
      <c r="G678" s="676">
        <v>100</v>
      </c>
      <c r="H678" s="676" t="s">
        <v>2434</v>
      </c>
      <c r="I678" s="676">
        <v>65</v>
      </c>
      <c r="J678" s="676"/>
      <c r="K678" s="676" t="s">
        <v>3266</v>
      </c>
      <c r="L678" s="677"/>
      <c r="M678" s="678"/>
      <c r="X678" s="656"/>
      <c r="Y678" s="657"/>
      <c r="Z678" s="657"/>
      <c r="AA678" s="481"/>
      <c r="AC678" s="456" t="s">
        <v>2432</v>
      </c>
      <c r="AD678" s="522"/>
      <c r="AE678" s="699"/>
      <c r="AF678" s="456"/>
      <c r="AG678" s="699"/>
    </row>
    <row r="679" spans="1:33" s="454" customFormat="1" ht="34.5" x14ac:dyDescent="0.25">
      <c r="A679" s="507"/>
      <c r="B679" s="674" t="s">
        <v>1663</v>
      </c>
      <c r="C679" s="2672" t="s">
        <v>1664</v>
      </c>
      <c r="D679" s="2672"/>
      <c r="E679" s="2672"/>
      <c r="F679" s="675" t="s">
        <v>3267</v>
      </c>
      <c r="G679" s="676">
        <v>111.99</v>
      </c>
      <c r="H679" s="676" t="s">
        <v>1666</v>
      </c>
      <c r="I679" s="676">
        <v>51.52</v>
      </c>
      <c r="J679" s="676"/>
      <c r="K679" s="676" t="s">
        <v>3164</v>
      </c>
      <c r="L679" s="677"/>
      <c r="M679" s="678"/>
      <c r="X679" s="656"/>
      <c r="Y679" s="657"/>
      <c r="Z679" s="657"/>
      <c r="AA679" s="481"/>
      <c r="AC679" s="456" t="s">
        <v>1664</v>
      </c>
      <c r="AD679" s="522"/>
      <c r="AE679" s="699"/>
      <c r="AF679" s="456"/>
      <c r="AG679" s="699"/>
    </row>
    <row r="680" spans="1:33" s="454" customFormat="1" ht="23.25" x14ac:dyDescent="0.25">
      <c r="A680" s="507"/>
      <c r="B680" s="674" t="s">
        <v>1741</v>
      </c>
      <c r="C680" s="2672" t="s">
        <v>1742</v>
      </c>
      <c r="D680" s="2672"/>
      <c r="E680" s="2672"/>
      <c r="F680" s="675" t="s">
        <v>3268</v>
      </c>
      <c r="G680" s="676">
        <v>89.99</v>
      </c>
      <c r="H680" s="676" t="s">
        <v>1744</v>
      </c>
      <c r="I680" s="676">
        <v>104.39</v>
      </c>
      <c r="J680" s="676"/>
      <c r="K680" s="676" t="s">
        <v>3269</v>
      </c>
      <c r="L680" s="677"/>
      <c r="M680" s="678"/>
      <c r="X680" s="656"/>
      <c r="Y680" s="657"/>
      <c r="Z680" s="657"/>
      <c r="AA680" s="481"/>
      <c r="AC680" s="456" t="s">
        <v>1742</v>
      </c>
      <c r="AD680" s="522"/>
      <c r="AE680" s="699"/>
      <c r="AF680" s="456"/>
      <c r="AG680" s="699"/>
    </row>
    <row r="681" spans="1:33" s="454" customFormat="1" ht="34.5" x14ac:dyDescent="0.25">
      <c r="A681" s="507"/>
      <c r="B681" s="674" t="s">
        <v>3215</v>
      </c>
      <c r="C681" s="2672" t="s">
        <v>3216</v>
      </c>
      <c r="D681" s="2672"/>
      <c r="E681" s="2672"/>
      <c r="F681" s="675" t="s">
        <v>3270</v>
      </c>
      <c r="G681" s="676">
        <v>0.55000000000000004</v>
      </c>
      <c r="H681" s="676" t="s">
        <v>3218</v>
      </c>
      <c r="I681" s="676">
        <v>2.4</v>
      </c>
      <c r="J681" s="676"/>
      <c r="K681" s="676" t="s">
        <v>3271</v>
      </c>
      <c r="L681" s="677"/>
      <c r="M681" s="678"/>
      <c r="X681" s="656"/>
      <c r="Y681" s="657"/>
      <c r="Z681" s="657"/>
      <c r="AA681" s="481"/>
      <c r="AC681" s="456" t="s">
        <v>3216</v>
      </c>
      <c r="AD681" s="522"/>
      <c r="AE681" s="699"/>
      <c r="AF681" s="456"/>
      <c r="AG681" s="699"/>
    </row>
    <row r="682" spans="1:33" s="454" customFormat="1" ht="23.25" x14ac:dyDescent="0.25">
      <c r="A682" s="507"/>
      <c r="B682" s="674" t="s">
        <v>3220</v>
      </c>
      <c r="C682" s="2672" t="s">
        <v>3221</v>
      </c>
      <c r="D682" s="2672"/>
      <c r="E682" s="2672"/>
      <c r="F682" s="675" t="s">
        <v>3272</v>
      </c>
      <c r="G682" s="676">
        <v>110</v>
      </c>
      <c r="H682" s="676" t="s">
        <v>3223</v>
      </c>
      <c r="I682" s="676">
        <v>2.2000000000000002</v>
      </c>
      <c r="J682" s="676"/>
      <c r="K682" s="676" t="s">
        <v>3273</v>
      </c>
      <c r="L682" s="677"/>
      <c r="M682" s="678"/>
      <c r="X682" s="656"/>
      <c r="Y682" s="657"/>
      <c r="Z682" s="657"/>
      <c r="AA682" s="481"/>
      <c r="AC682" s="456" t="s">
        <v>3221</v>
      </c>
      <c r="AD682" s="522"/>
      <c r="AE682" s="699"/>
      <c r="AF682" s="456"/>
      <c r="AG682" s="699"/>
    </row>
    <row r="683" spans="1:33" s="454" customFormat="1" ht="34.5" x14ac:dyDescent="0.25">
      <c r="A683" s="507"/>
      <c r="B683" s="674" t="s">
        <v>821</v>
      </c>
      <c r="C683" s="2672" t="s">
        <v>1751</v>
      </c>
      <c r="D683" s="2672"/>
      <c r="E683" s="2672"/>
      <c r="F683" s="675" t="s">
        <v>3267</v>
      </c>
      <c r="G683" s="676">
        <v>65.709999999999994</v>
      </c>
      <c r="H683" s="676" t="s">
        <v>1753</v>
      </c>
      <c r="I683" s="676">
        <v>30.23</v>
      </c>
      <c r="J683" s="676"/>
      <c r="K683" s="676" t="s">
        <v>3274</v>
      </c>
      <c r="L683" s="677"/>
      <c r="M683" s="678"/>
      <c r="X683" s="656"/>
      <c r="Y683" s="657"/>
      <c r="Z683" s="657"/>
      <c r="AA683" s="481"/>
      <c r="AC683" s="456" t="s">
        <v>1751</v>
      </c>
      <c r="AD683" s="522"/>
      <c r="AE683" s="699"/>
      <c r="AF683" s="456"/>
      <c r="AG683" s="699"/>
    </row>
    <row r="684" spans="1:33" s="454" customFormat="1" ht="34.5" x14ac:dyDescent="0.25">
      <c r="A684" s="507"/>
      <c r="B684" s="674" t="s">
        <v>3226</v>
      </c>
      <c r="C684" s="2672" t="s">
        <v>3227</v>
      </c>
      <c r="D684" s="2672"/>
      <c r="E684" s="2672"/>
      <c r="F684" s="675" t="s">
        <v>3268</v>
      </c>
      <c r="G684" s="676">
        <v>87.49</v>
      </c>
      <c r="H684" s="676" t="s">
        <v>3228</v>
      </c>
      <c r="I684" s="676">
        <v>101.49</v>
      </c>
      <c r="J684" s="676"/>
      <c r="K684" s="676" t="s">
        <v>3275</v>
      </c>
      <c r="L684" s="677"/>
      <c r="M684" s="678"/>
      <c r="X684" s="656"/>
      <c r="Y684" s="657"/>
      <c r="Z684" s="657"/>
      <c r="AA684" s="481"/>
      <c r="AC684" s="456" t="s">
        <v>3227</v>
      </c>
      <c r="AD684" s="522"/>
      <c r="AE684" s="699"/>
      <c r="AF684" s="456"/>
      <c r="AG684" s="699"/>
    </row>
    <row r="685" spans="1:33" s="454" customFormat="1" ht="57" x14ac:dyDescent="0.25">
      <c r="A685" s="507"/>
      <c r="B685" s="674" t="s">
        <v>1713</v>
      </c>
      <c r="C685" s="2672" t="s">
        <v>1714</v>
      </c>
      <c r="D685" s="2672"/>
      <c r="E685" s="2672"/>
      <c r="F685" s="675" t="s">
        <v>3276</v>
      </c>
      <c r="G685" s="676">
        <v>90</v>
      </c>
      <c r="H685" s="676" t="s">
        <v>1716</v>
      </c>
      <c r="I685" s="676">
        <v>196.2</v>
      </c>
      <c r="J685" s="676"/>
      <c r="K685" s="676" t="s">
        <v>3277</v>
      </c>
      <c r="L685" s="677"/>
      <c r="M685" s="678"/>
      <c r="X685" s="656"/>
      <c r="Y685" s="657"/>
      <c r="Z685" s="657"/>
      <c r="AA685" s="481"/>
      <c r="AC685" s="456" t="s">
        <v>1714</v>
      </c>
      <c r="AD685" s="522"/>
      <c r="AE685" s="699"/>
      <c r="AF685" s="456"/>
      <c r="AG685" s="699"/>
    </row>
    <row r="686" spans="1:33" s="454" customFormat="1" ht="23.25" x14ac:dyDescent="0.25">
      <c r="A686" s="507"/>
      <c r="B686" s="674" t="s">
        <v>1755</v>
      </c>
      <c r="C686" s="2672" t="s">
        <v>1257</v>
      </c>
      <c r="D686" s="2672"/>
      <c r="E686" s="2672"/>
      <c r="F686" s="675" t="s">
        <v>3278</v>
      </c>
      <c r="G686" s="676">
        <v>2.44</v>
      </c>
      <c r="H686" s="676"/>
      <c r="I686" s="676">
        <v>0.12</v>
      </c>
      <c r="J686" s="676"/>
      <c r="K686" s="676"/>
      <c r="L686" s="677"/>
      <c r="M686" s="678"/>
      <c r="X686" s="656"/>
      <c r="Y686" s="657"/>
      <c r="Z686" s="657"/>
      <c r="AA686" s="481"/>
      <c r="AC686" s="456" t="s">
        <v>1257</v>
      </c>
      <c r="AD686" s="522"/>
      <c r="AE686" s="699"/>
      <c r="AF686" s="456"/>
      <c r="AG686" s="699"/>
    </row>
    <row r="687" spans="1:33" s="454" customFormat="1" ht="34.5" x14ac:dyDescent="0.25">
      <c r="A687" s="507"/>
      <c r="B687" s="674" t="s">
        <v>3233</v>
      </c>
      <c r="C687" s="2672" t="s">
        <v>1679</v>
      </c>
      <c r="D687" s="2672"/>
      <c r="E687" s="2672"/>
      <c r="F687" s="675" t="s">
        <v>3279</v>
      </c>
      <c r="G687" s="676">
        <v>124.77</v>
      </c>
      <c r="H687" s="676"/>
      <c r="I687" s="676">
        <v>348.48</v>
      </c>
      <c r="J687" s="676"/>
      <c r="K687" s="676"/>
      <c r="L687" s="677"/>
      <c r="M687" s="678"/>
      <c r="X687" s="656"/>
      <c r="Y687" s="657"/>
      <c r="Z687" s="657"/>
      <c r="AA687" s="481"/>
      <c r="AC687" s="456" t="s">
        <v>1679</v>
      </c>
      <c r="AD687" s="522"/>
      <c r="AE687" s="699"/>
      <c r="AF687" s="456"/>
      <c r="AG687" s="699"/>
    </row>
    <row r="688" spans="1:33" s="454" customFormat="1" ht="23.25" x14ac:dyDescent="0.25">
      <c r="A688" s="507"/>
      <c r="B688" s="674" t="s">
        <v>841</v>
      </c>
      <c r="C688" s="2672" t="s">
        <v>1760</v>
      </c>
      <c r="D688" s="2672"/>
      <c r="E688" s="2672"/>
      <c r="F688" s="675" t="s">
        <v>3280</v>
      </c>
      <c r="G688" s="676">
        <v>11978</v>
      </c>
      <c r="H688" s="676"/>
      <c r="I688" s="676">
        <v>50.31</v>
      </c>
      <c r="J688" s="676"/>
      <c r="K688" s="676"/>
      <c r="L688" s="677"/>
      <c r="M688" s="678"/>
      <c r="X688" s="656"/>
      <c r="Y688" s="657"/>
      <c r="Z688" s="657"/>
      <c r="AA688" s="481"/>
      <c r="AC688" s="456" t="s">
        <v>1760</v>
      </c>
      <c r="AD688" s="522"/>
      <c r="AE688" s="699"/>
      <c r="AF688" s="456"/>
      <c r="AG688" s="699"/>
    </row>
    <row r="689" spans="1:33" s="454" customFormat="1" ht="23.25" x14ac:dyDescent="0.25">
      <c r="A689" s="515" t="s">
        <v>860</v>
      </c>
      <c r="B689" s="686" t="s">
        <v>3236</v>
      </c>
      <c r="C689" s="2683" t="s">
        <v>3237</v>
      </c>
      <c r="D689" s="2683"/>
      <c r="E689" s="2683"/>
      <c r="F689" s="687" t="s">
        <v>1935</v>
      </c>
      <c r="G689" s="688">
        <v>60</v>
      </c>
      <c r="H689" s="688"/>
      <c r="I689" s="688">
        <v>0</v>
      </c>
      <c r="J689" s="688"/>
      <c r="K689" s="688"/>
      <c r="L689" s="689"/>
      <c r="M689" s="690"/>
      <c r="X689" s="656"/>
      <c r="Y689" s="657"/>
      <c r="Z689" s="657"/>
      <c r="AA689" s="481"/>
      <c r="AC689" s="456"/>
      <c r="AD689" s="522" t="s">
        <v>3237</v>
      </c>
      <c r="AE689" s="699"/>
      <c r="AF689" s="456"/>
      <c r="AG689" s="699"/>
    </row>
    <row r="690" spans="1:33" s="454" customFormat="1" ht="23.25" x14ac:dyDescent="0.25">
      <c r="A690" s="515" t="s">
        <v>860</v>
      </c>
      <c r="B690" s="686" t="s">
        <v>3238</v>
      </c>
      <c r="C690" s="2683" t="s">
        <v>3281</v>
      </c>
      <c r="D690" s="2683"/>
      <c r="E690" s="2683"/>
      <c r="F690" s="687" t="s">
        <v>1935</v>
      </c>
      <c r="G690" s="688">
        <v>0</v>
      </c>
      <c r="H690" s="688"/>
      <c r="I690" s="688">
        <v>0</v>
      </c>
      <c r="J690" s="688"/>
      <c r="K690" s="688"/>
      <c r="L690" s="689"/>
      <c r="M690" s="690"/>
      <c r="X690" s="656"/>
      <c r="Y690" s="657"/>
      <c r="Z690" s="657"/>
      <c r="AA690" s="481"/>
      <c r="AC690" s="456"/>
      <c r="AD690" s="522" t="s">
        <v>3281</v>
      </c>
      <c r="AE690" s="699"/>
      <c r="AF690" s="456"/>
      <c r="AG690" s="699"/>
    </row>
    <row r="691" spans="1:33" s="454" customFormat="1" ht="45.75" x14ac:dyDescent="0.25">
      <c r="A691" s="507"/>
      <c r="B691" s="674" t="s">
        <v>3282</v>
      </c>
      <c r="C691" s="2672" t="s">
        <v>3283</v>
      </c>
      <c r="D691" s="2672"/>
      <c r="E691" s="2672"/>
      <c r="F691" s="675" t="s">
        <v>3284</v>
      </c>
      <c r="G691" s="676">
        <v>139.4</v>
      </c>
      <c r="H691" s="676"/>
      <c r="I691" s="676">
        <v>177.18</v>
      </c>
      <c r="J691" s="676"/>
      <c r="K691" s="676"/>
      <c r="L691" s="677"/>
      <c r="M691" s="678"/>
      <c r="X691" s="656"/>
      <c r="Y691" s="657"/>
      <c r="Z691" s="657"/>
      <c r="AA691" s="481"/>
      <c r="AC691" s="456" t="s">
        <v>3283</v>
      </c>
      <c r="AD691" s="522"/>
      <c r="AE691" s="699"/>
      <c r="AF691" s="456"/>
      <c r="AG691" s="699"/>
    </row>
    <row r="692" spans="1:33" s="454" customFormat="1" ht="57" x14ac:dyDescent="0.25">
      <c r="A692" s="515" t="s">
        <v>860</v>
      </c>
      <c r="B692" s="686" t="s">
        <v>3285</v>
      </c>
      <c r="C692" s="2683" t="s">
        <v>3286</v>
      </c>
      <c r="D692" s="2683"/>
      <c r="E692" s="2683"/>
      <c r="F692" s="687" t="s">
        <v>1935</v>
      </c>
      <c r="G692" s="688">
        <v>12572.38</v>
      </c>
      <c r="H692" s="688"/>
      <c r="I692" s="688">
        <v>0</v>
      </c>
      <c r="J692" s="688"/>
      <c r="K692" s="688"/>
      <c r="L692" s="689"/>
      <c r="M692" s="690"/>
      <c r="X692" s="656"/>
      <c r="Y692" s="657"/>
      <c r="Z692" s="657"/>
      <c r="AA692" s="481"/>
      <c r="AC692" s="456"/>
      <c r="AD692" s="522" t="s">
        <v>3286</v>
      </c>
      <c r="AE692" s="699"/>
      <c r="AF692" s="456"/>
      <c r="AG692" s="699"/>
    </row>
    <row r="693" spans="1:33" s="454" customFormat="1" ht="45.75" x14ac:dyDescent="0.25">
      <c r="A693" s="507"/>
      <c r="B693" s="674" t="s">
        <v>3242</v>
      </c>
      <c r="C693" s="2672" t="s">
        <v>3243</v>
      </c>
      <c r="D693" s="2672"/>
      <c r="E693" s="2672"/>
      <c r="F693" s="675" t="s">
        <v>3287</v>
      </c>
      <c r="G693" s="676">
        <v>12110.78</v>
      </c>
      <c r="H693" s="676"/>
      <c r="I693" s="676">
        <v>293.08</v>
      </c>
      <c r="J693" s="676"/>
      <c r="K693" s="676"/>
      <c r="L693" s="677"/>
      <c r="M693" s="678"/>
      <c r="X693" s="656"/>
      <c r="Y693" s="657"/>
      <c r="Z693" s="657"/>
      <c r="AA693" s="481"/>
      <c r="AC693" s="456" t="s">
        <v>3243</v>
      </c>
      <c r="AD693" s="522"/>
      <c r="AE693" s="699"/>
      <c r="AF693" s="456"/>
      <c r="AG693" s="699"/>
    </row>
    <row r="694" spans="1:33" s="454" customFormat="1" ht="34.5" x14ac:dyDescent="0.25">
      <c r="A694" s="507"/>
      <c r="B694" s="674" t="s">
        <v>3288</v>
      </c>
      <c r="C694" s="2672" t="s">
        <v>3289</v>
      </c>
      <c r="D694" s="2672"/>
      <c r="E694" s="2672"/>
      <c r="F694" s="675" t="s">
        <v>3290</v>
      </c>
      <c r="G694" s="676">
        <v>6508.75</v>
      </c>
      <c r="H694" s="676"/>
      <c r="I694" s="676">
        <v>13.67</v>
      </c>
      <c r="J694" s="676"/>
      <c r="K694" s="676"/>
      <c r="L694" s="677"/>
      <c r="M694" s="678"/>
      <c r="X694" s="656"/>
      <c r="Y694" s="657"/>
      <c r="Z694" s="657"/>
      <c r="AA694" s="481"/>
      <c r="AC694" s="456" t="s">
        <v>3289</v>
      </c>
      <c r="AD694" s="522"/>
      <c r="AE694" s="699"/>
      <c r="AF694" s="456"/>
      <c r="AG694" s="699"/>
    </row>
    <row r="695" spans="1:33" s="454" customFormat="1" ht="45.75" x14ac:dyDescent="0.25">
      <c r="A695" s="507"/>
      <c r="B695" s="674" t="s">
        <v>3291</v>
      </c>
      <c r="C695" s="2672" t="s">
        <v>3292</v>
      </c>
      <c r="D695" s="2672"/>
      <c r="E695" s="2672"/>
      <c r="F695" s="675" t="s">
        <v>3293</v>
      </c>
      <c r="G695" s="676">
        <v>1056</v>
      </c>
      <c r="H695" s="676"/>
      <c r="I695" s="676">
        <v>15.52</v>
      </c>
      <c r="J695" s="676"/>
      <c r="K695" s="676"/>
      <c r="L695" s="677"/>
      <c r="M695" s="678"/>
      <c r="X695" s="656"/>
      <c r="Y695" s="657"/>
      <c r="Z695" s="657"/>
      <c r="AA695" s="481"/>
      <c r="AC695" s="456" t="s">
        <v>3292</v>
      </c>
      <c r="AD695" s="522"/>
      <c r="AE695" s="699"/>
      <c r="AF695" s="456"/>
      <c r="AG695" s="699"/>
    </row>
    <row r="696" spans="1:33" s="454" customFormat="1" ht="45.75" x14ac:dyDescent="0.25">
      <c r="A696" s="507"/>
      <c r="B696" s="674" t="s">
        <v>3248</v>
      </c>
      <c r="C696" s="2672" t="s">
        <v>3249</v>
      </c>
      <c r="D696" s="2672"/>
      <c r="E696" s="2672"/>
      <c r="F696" s="675" t="s">
        <v>3294</v>
      </c>
      <c r="G696" s="676">
        <v>1081.68</v>
      </c>
      <c r="H696" s="676"/>
      <c r="I696" s="676">
        <v>118.12</v>
      </c>
      <c r="J696" s="676"/>
      <c r="K696" s="676"/>
      <c r="L696" s="677"/>
      <c r="M696" s="678"/>
      <c r="X696" s="656"/>
      <c r="Y696" s="657"/>
      <c r="Z696" s="657"/>
      <c r="AA696" s="481"/>
      <c r="AC696" s="456" t="s">
        <v>3249</v>
      </c>
      <c r="AD696" s="522"/>
      <c r="AE696" s="699"/>
      <c r="AF696" s="456"/>
      <c r="AG696" s="699"/>
    </row>
    <row r="697" spans="1:33" s="454" customFormat="1" ht="45.75" x14ac:dyDescent="0.25">
      <c r="A697" s="507"/>
      <c r="B697" s="674" t="s">
        <v>1776</v>
      </c>
      <c r="C697" s="2672" t="s">
        <v>1777</v>
      </c>
      <c r="D697" s="2672"/>
      <c r="E697" s="2672"/>
      <c r="F697" s="675" t="s">
        <v>3295</v>
      </c>
      <c r="G697" s="676">
        <v>1056</v>
      </c>
      <c r="H697" s="676"/>
      <c r="I697" s="676">
        <v>474.57</v>
      </c>
      <c r="J697" s="676"/>
      <c r="K697" s="676"/>
      <c r="L697" s="677"/>
      <c r="M697" s="678"/>
      <c r="X697" s="656"/>
      <c r="Y697" s="657"/>
      <c r="Z697" s="657"/>
      <c r="AA697" s="481"/>
      <c r="AC697" s="456" t="s">
        <v>1777</v>
      </c>
      <c r="AD697" s="522"/>
      <c r="AE697" s="699"/>
      <c r="AF697" s="456"/>
      <c r="AG697" s="699"/>
    </row>
    <row r="698" spans="1:33" s="454" customFormat="1" ht="34.5" x14ac:dyDescent="0.25">
      <c r="A698" s="658" t="s">
        <v>1402</v>
      </c>
      <c r="B698" s="659" t="s">
        <v>1403</v>
      </c>
      <c r="C698" s="2673" t="s">
        <v>1404</v>
      </c>
      <c r="D698" s="2673"/>
      <c r="E698" s="2673"/>
      <c r="F698" s="670">
        <v>21</v>
      </c>
      <c r="G698" s="661" t="s">
        <v>3296</v>
      </c>
      <c r="H698" s="661"/>
      <c r="I698" s="661">
        <v>10613</v>
      </c>
      <c r="J698" s="661"/>
      <c r="K698" s="662"/>
      <c r="L698" s="663">
        <v>0</v>
      </c>
      <c r="M698" s="663">
        <v>0</v>
      </c>
      <c r="X698" s="656"/>
      <c r="Y698" s="657"/>
      <c r="Z698" s="657"/>
      <c r="AA698" s="481" t="s">
        <v>1404</v>
      </c>
      <c r="AC698" s="456"/>
      <c r="AD698" s="522"/>
      <c r="AE698" s="699"/>
      <c r="AF698" s="456"/>
      <c r="AG698" s="699"/>
    </row>
    <row r="699" spans="1:33" s="454" customFormat="1" ht="15" x14ac:dyDescent="0.25">
      <c r="A699" s="542"/>
      <c r="B699" s="665"/>
      <c r="C699" s="666" t="s">
        <v>3297</v>
      </c>
      <c r="D699" s="667"/>
      <c r="E699" s="667"/>
      <c r="F699" s="667"/>
      <c r="G699" s="667"/>
      <c r="H699" s="667"/>
      <c r="I699" s="667"/>
      <c r="J699" s="667"/>
      <c r="K699" s="667"/>
      <c r="L699" s="667"/>
      <c r="M699" s="669"/>
      <c r="X699" s="656"/>
      <c r="Y699" s="657"/>
      <c r="Z699" s="657"/>
      <c r="AA699" s="481"/>
      <c r="AC699" s="456"/>
      <c r="AD699" s="522"/>
      <c r="AE699" s="699"/>
      <c r="AF699" s="456"/>
      <c r="AG699" s="699"/>
    </row>
    <row r="700" spans="1:33" s="454" customFormat="1" ht="45" x14ac:dyDescent="0.25">
      <c r="A700" s="658" t="s">
        <v>1406</v>
      </c>
      <c r="B700" s="659" t="s">
        <v>1676</v>
      </c>
      <c r="C700" s="2673" t="s">
        <v>1408</v>
      </c>
      <c r="D700" s="2673"/>
      <c r="E700" s="2673"/>
      <c r="F700" s="679">
        <v>85.05</v>
      </c>
      <c r="G700" s="661">
        <v>196.49</v>
      </c>
      <c r="H700" s="661"/>
      <c r="I700" s="661">
        <v>16711</v>
      </c>
      <c r="J700" s="661"/>
      <c r="K700" s="662"/>
      <c r="L700" s="663">
        <v>0</v>
      </c>
      <c r="M700" s="663">
        <v>0</v>
      </c>
      <c r="X700" s="656"/>
      <c r="Y700" s="657"/>
      <c r="Z700" s="657"/>
      <c r="AA700" s="481" t="s">
        <v>1408</v>
      </c>
      <c r="AC700" s="456"/>
      <c r="AD700" s="522"/>
      <c r="AE700" s="699"/>
      <c r="AF700" s="456"/>
      <c r="AG700" s="699"/>
    </row>
    <row r="701" spans="1:33" s="454" customFormat="1" ht="15" x14ac:dyDescent="0.25">
      <c r="A701" s="664"/>
      <c r="B701" s="665"/>
      <c r="C701" s="666" t="s">
        <v>3298</v>
      </c>
      <c r="D701" s="667"/>
      <c r="E701" s="667"/>
      <c r="F701" s="667"/>
      <c r="G701" s="667"/>
      <c r="H701" s="667"/>
      <c r="I701" s="667"/>
      <c r="J701" s="667"/>
      <c r="K701" s="667"/>
      <c r="L701" s="667"/>
      <c r="M701" s="668"/>
      <c r="X701" s="656"/>
      <c r="Y701" s="657"/>
      <c r="Z701" s="657"/>
      <c r="AA701" s="481"/>
      <c r="AC701" s="456"/>
      <c r="AD701" s="522"/>
      <c r="AE701" s="699"/>
      <c r="AF701" s="456"/>
      <c r="AG701" s="699"/>
    </row>
    <row r="702" spans="1:33" s="454" customFormat="1" ht="45.75" x14ac:dyDescent="0.25">
      <c r="A702" s="658" t="s">
        <v>2357</v>
      </c>
      <c r="B702" s="659" t="s">
        <v>1928</v>
      </c>
      <c r="C702" s="2673" t="s">
        <v>1929</v>
      </c>
      <c r="D702" s="2673"/>
      <c r="E702" s="2673"/>
      <c r="F702" s="670">
        <v>0</v>
      </c>
      <c r="G702" s="661" t="s">
        <v>3299</v>
      </c>
      <c r="H702" s="661"/>
      <c r="I702" s="661"/>
      <c r="J702" s="661"/>
      <c r="K702" s="662"/>
      <c r="L702" s="672">
        <v>2.61</v>
      </c>
      <c r="M702" s="663">
        <v>0</v>
      </c>
      <c r="X702" s="656"/>
      <c r="Y702" s="657"/>
      <c r="Z702" s="657"/>
      <c r="AA702" s="481" t="s">
        <v>1929</v>
      </c>
      <c r="AC702" s="456"/>
      <c r="AD702" s="522"/>
      <c r="AE702" s="699"/>
      <c r="AF702" s="456"/>
      <c r="AG702" s="699"/>
    </row>
    <row r="703" spans="1:33" s="454" customFormat="1" ht="33.75" x14ac:dyDescent="0.25">
      <c r="A703" s="542"/>
      <c r="B703" s="673" t="s">
        <v>1655</v>
      </c>
      <c r="C703" s="2670" t="s">
        <v>1656</v>
      </c>
      <c r="D703" s="2670"/>
      <c r="E703" s="2670"/>
      <c r="F703" s="2670"/>
      <c r="G703" s="2670"/>
      <c r="H703" s="2670"/>
      <c r="I703" s="2670"/>
      <c r="J703" s="2670"/>
      <c r="K703" s="2670"/>
      <c r="L703" s="2670"/>
      <c r="M703" s="2671"/>
      <c r="X703" s="656"/>
      <c r="Y703" s="657"/>
      <c r="Z703" s="657"/>
      <c r="AA703" s="481"/>
      <c r="AB703" s="491" t="s">
        <v>1656</v>
      </c>
      <c r="AC703" s="456"/>
      <c r="AD703" s="522"/>
      <c r="AE703" s="699"/>
      <c r="AF703" s="456"/>
      <c r="AG703" s="699"/>
    </row>
    <row r="704" spans="1:33" s="454" customFormat="1" ht="15" x14ac:dyDescent="0.25">
      <c r="A704" s="823"/>
      <c r="B704" s="824"/>
      <c r="C704" s="824"/>
      <c r="D704" s="824"/>
      <c r="E704" s="825" t="s">
        <v>3300</v>
      </c>
      <c r="F704" s="826"/>
      <c r="G704" s="827"/>
      <c r="H704" s="648"/>
      <c r="I704" s="828"/>
      <c r="J704" s="829"/>
      <c r="K704" s="829"/>
      <c r="L704" s="830"/>
      <c r="M704" s="831"/>
      <c r="X704" s="656"/>
      <c r="Y704" s="657"/>
      <c r="Z704" s="657"/>
      <c r="AA704" s="481"/>
      <c r="AC704" s="456"/>
      <c r="AD704" s="522"/>
      <c r="AE704" s="699"/>
      <c r="AF704" s="456"/>
      <c r="AG704" s="699"/>
    </row>
    <row r="705" spans="1:34" s="454" customFormat="1" ht="15" x14ac:dyDescent="0.25">
      <c r="A705" s="823"/>
      <c r="B705" s="824"/>
      <c r="C705" s="824"/>
      <c r="D705" s="824"/>
      <c r="E705" s="825" t="s">
        <v>3301</v>
      </c>
      <c r="F705" s="826"/>
      <c r="G705" s="827"/>
      <c r="H705" s="648"/>
      <c r="I705" s="828"/>
      <c r="J705" s="829"/>
      <c r="K705" s="829"/>
      <c r="L705" s="830"/>
      <c r="M705" s="831"/>
      <c r="X705" s="656"/>
      <c r="Y705" s="657"/>
      <c r="Z705" s="657"/>
      <c r="AA705" s="481"/>
      <c r="AC705" s="456"/>
      <c r="AD705" s="522"/>
      <c r="AE705" s="699"/>
      <c r="AF705" s="456"/>
      <c r="AG705" s="699"/>
    </row>
    <row r="706" spans="1:34" s="454" customFormat="1" ht="15" x14ac:dyDescent="0.25">
      <c r="A706" s="823"/>
      <c r="B706" s="824"/>
      <c r="C706" s="824"/>
      <c r="D706" s="824"/>
      <c r="E706" s="825" t="s">
        <v>2692</v>
      </c>
      <c r="F706" s="826"/>
      <c r="G706" s="827"/>
      <c r="H706" s="648"/>
      <c r="I706" s="828"/>
      <c r="J706" s="829"/>
      <c r="K706" s="829"/>
      <c r="L706" s="830"/>
      <c r="M706" s="831"/>
      <c r="X706" s="656"/>
      <c r="Y706" s="657"/>
      <c r="Z706" s="657"/>
      <c r="AA706" s="481"/>
      <c r="AC706" s="456"/>
      <c r="AD706" s="522"/>
      <c r="AE706" s="699"/>
      <c r="AF706" s="456"/>
      <c r="AG706" s="699"/>
    </row>
    <row r="707" spans="1:34" s="454" customFormat="1" ht="23.25" x14ac:dyDescent="0.25">
      <c r="A707" s="507"/>
      <c r="B707" s="674" t="s">
        <v>1883</v>
      </c>
      <c r="C707" s="2672" t="s">
        <v>1884</v>
      </c>
      <c r="D707" s="2672"/>
      <c r="E707" s="2672"/>
      <c r="F707" s="675" t="s">
        <v>3302</v>
      </c>
      <c r="G707" s="676" t="s">
        <v>1886</v>
      </c>
      <c r="H707" s="676"/>
      <c r="I707" s="676">
        <v>0</v>
      </c>
      <c r="J707" s="676">
        <v>0</v>
      </c>
      <c r="K707" s="676"/>
      <c r="L707" s="677"/>
      <c r="M707" s="678"/>
      <c r="X707" s="656"/>
      <c r="Y707" s="657"/>
      <c r="Z707" s="657"/>
      <c r="AA707" s="481"/>
      <c r="AC707" s="456" t="s">
        <v>1884</v>
      </c>
      <c r="AD707" s="522"/>
      <c r="AE707" s="699"/>
      <c r="AF707" s="456"/>
      <c r="AG707" s="699"/>
    </row>
    <row r="708" spans="1:34" s="454" customFormat="1" ht="23.25" x14ac:dyDescent="0.25">
      <c r="A708" s="515" t="s">
        <v>860</v>
      </c>
      <c r="B708" s="686" t="s">
        <v>1933</v>
      </c>
      <c r="C708" s="2683" t="s">
        <v>1934</v>
      </c>
      <c r="D708" s="2683"/>
      <c r="E708" s="2683"/>
      <c r="F708" s="687" t="s">
        <v>1935</v>
      </c>
      <c r="G708" s="688">
        <v>0</v>
      </c>
      <c r="H708" s="688"/>
      <c r="I708" s="688">
        <v>0</v>
      </c>
      <c r="J708" s="688"/>
      <c r="K708" s="688"/>
      <c r="L708" s="689"/>
      <c r="M708" s="690"/>
      <c r="X708" s="656"/>
      <c r="Y708" s="657"/>
      <c r="Z708" s="657"/>
      <c r="AA708" s="481"/>
      <c r="AC708" s="456"/>
      <c r="AD708" s="522" t="s">
        <v>1934</v>
      </c>
      <c r="AE708" s="699"/>
      <c r="AF708" s="456"/>
      <c r="AG708" s="699"/>
    </row>
    <row r="709" spans="1:34" s="454" customFormat="1" ht="34.5" x14ac:dyDescent="0.25">
      <c r="A709" s="507"/>
      <c r="B709" s="674" t="s">
        <v>1937</v>
      </c>
      <c r="C709" s="2672" t="s">
        <v>1938</v>
      </c>
      <c r="D709" s="2672"/>
      <c r="E709" s="2672"/>
      <c r="F709" s="675" t="s">
        <v>3303</v>
      </c>
      <c r="G709" s="676">
        <v>25.97</v>
      </c>
      <c r="H709" s="676"/>
      <c r="I709" s="676">
        <v>0</v>
      </c>
      <c r="J709" s="676"/>
      <c r="K709" s="676"/>
      <c r="L709" s="677"/>
      <c r="M709" s="678"/>
      <c r="X709" s="656"/>
      <c r="Y709" s="657"/>
      <c r="Z709" s="657"/>
      <c r="AA709" s="481"/>
      <c r="AC709" s="456" t="s">
        <v>1938</v>
      </c>
      <c r="AD709" s="522"/>
      <c r="AE709" s="699"/>
      <c r="AF709" s="456"/>
      <c r="AG709" s="699"/>
    </row>
    <row r="710" spans="1:34" s="454" customFormat="1" ht="23.25" x14ac:dyDescent="0.25">
      <c r="A710" s="507"/>
      <c r="B710" s="674" t="s">
        <v>1940</v>
      </c>
      <c r="C710" s="2672" t="s">
        <v>1941</v>
      </c>
      <c r="D710" s="2672"/>
      <c r="E710" s="2672"/>
      <c r="F710" s="675" t="s">
        <v>3304</v>
      </c>
      <c r="G710" s="676">
        <v>9.5</v>
      </c>
      <c r="H710" s="676"/>
      <c r="I710" s="676">
        <v>0</v>
      </c>
      <c r="J710" s="676"/>
      <c r="K710" s="676"/>
      <c r="L710" s="677"/>
      <c r="M710" s="678"/>
      <c r="X710" s="656"/>
      <c r="Y710" s="657"/>
      <c r="Z710" s="657"/>
      <c r="AA710" s="481"/>
      <c r="AC710" s="456" t="s">
        <v>1941</v>
      </c>
      <c r="AD710" s="522"/>
      <c r="AE710" s="699"/>
      <c r="AF710" s="456"/>
      <c r="AG710" s="699"/>
    </row>
    <row r="711" spans="1:34" s="454" customFormat="1" ht="23.25" x14ac:dyDescent="0.25">
      <c r="A711" s="515" t="s">
        <v>863</v>
      </c>
      <c r="B711" s="686" t="s">
        <v>1943</v>
      </c>
      <c r="C711" s="2683" t="s">
        <v>1944</v>
      </c>
      <c r="D711" s="2683"/>
      <c r="E711" s="2683"/>
      <c r="F711" s="687" t="s">
        <v>3305</v>
      </c>
      <c r="G711" s="688">
        <v>0</v>
      </c>
      <c r="H711" s="688"/>
      <c r="I711" s="688">
        <v>0</v>
      </c>
      <c r="J711" s="688"/>
      <c r="K711" s="688"/>
      <c r="L711" s="689"/>
      <c r="M711" s="690"/>
      <c r="X711" s="656"/>
      <c r="Y711" s="657"/>
      <c r="Z711" s="657"/>
      <c r="AA711" s="481"/>
      <c r="AC711" s="456"/>
      <c r="AD711" s="522" t="s">
        <v>1944</v>
      </c>
      <c r="AE711" s="699"/>
      <c r="AF711" s="456"/>
      <c r="AG711" s="699"/>
    </row>
    <row r="712" spans="1:34" s="454" customFormat="1" ht="23.25" x14ac:dyDescent="0.25">
      <c r="A712" s="515" t="s">
        <v>863</v>
      </c>
      <c r="B712" s="686" t="s">
        <v>1946</v>
      </c>
      <c r="C712" s="2683" t="s">
        <v>1947</v>
      </c>
      <c r="D712" s="2683"/>
      <c r="E712" s="2683"/>
      <c r="F712" s="687" t="s">
        <v>3306</v>
      </c>
      <c r="G712" s="688">
        <v>0</v>
      </c>
      <c r="H712" s="688"/>
      <c r="I712" s="688">
        <v>0</v>
      </c>
      <c r="J712" s="688"/>
      <c r="K712" s="688"/>
      <c r="L712" s="689"/>
      <c r="M712" s="690"/>
      <c r="X712" s="656"/>
      <c r="Y712" s="657"/>
      <c r="Z712" s="657"/>
      <c r="AA712" s="481"/>
      <c r="AC712" s="456"/>
      <c r="AD712" s="522" t="s">
        <v>1947</v>
      </c>
      <c r="AE712" s="699"/>
      <c r="AF712" s="456"/>
      <c r="AG712" s="699"/>
    </row>
    <row r="713" spans="1:34" s="454" customFormat="1" ht="23.25" x14ac:dyDescent="0.25">
      <c r="A713" s="515" t="s">
        <v>863</v>
      </c>
      <c r="B713" s="686" t="s">
        <v>1949</v>
      </c>
      <c r="C713" s="2683" t="s">
        <v>1950</v>
      </c>
      <c r="D713" s="2683"/>
      <c r="E713" s="2683"/>
      <c r="F713" s="687" t="s">
        <v>3307</v>
      </c>
      <c r="G713" s="688">
        <v>0</v>
      </c>
      <c r="H713" s="688"/>
      <c r="I713" s="688">
        <v>0</v>
      </c>
      <c r="J713" s="688"/>
      <c r="K713" s="688"/>
      <c r="L713" s="689"/>
      <c r="M713" s="690"/>
      <c r="X713" s="656"/>
      <c r="Y713" s="657"/>
      <c r="Z713" s="657"/>
      <c r="AA713" s="481"/>
      <c r="AC713" s="456"/>
      <c r="AD713" s="522" t="s">
        <v>1950</v>
      </c>
      <c r="AE713" s="699"/>
      <c r="AF713" s="456"/>
      <c r="AG713" s="699"/>
    </row>
    <row r="714" spans="1:34" s="454" customFormat="1" ht="45" x14ac:dyDescent="0.25">
      <c r="A714" s="658" t="s">
        <v>1410</v>
      </c>
      <c r="B714" s="659" t="s">
        <v>2364</v>
      </c>
      <c r="C714" s="2673" t="s">
        <v>2365</v>
      </c>
      <c r="D714" s="2673"/>
      <c r="E714" s="2673"/>
      <c r="F714" s="670">
        <v>5740</v>
      </c>
      <c r="G714" s="661" t="s">
        <v>1413</v>
      </c>
      <c r="H714" s="661"/>
      <c r="I714" s="661">
        <v>116407</v>
      </c>
      <c r="J714" s="661">
        <v>116407</v>
      </c>
      <c r="K714" s="662"/>
      <c r="L714" s="692">
        <v>1.8</v>
      </c>
      <c r="M714" s="663">
        <v>10332</v>
      </c>
      <c r="X714" s="656"/>
      <c r="Y714" s="657"/>
      <c r="Z714" s="657"/>
      <c r="AA714" s="481" t="s">
        <v>2365</v>
      </c>
      <c r="AC714" s="456"/>
      <c r="AD714" s="522"/>
      <c r="AE714" s="699"/>
      <c r="AF714" s="456"/>
      <c r="AG714" s="699"/>
    </row>
    <row r="715" spans="1:34" s="454" customFormat="1" ht="33.75" x14ac:dyDescent="0.25">
      <c r="A715" s="542"/>
      <c r="B715" s="673" t="s">
        <v>1655</v>
      </c>
      <c r="C715" s="2670" t="s">
        <v>1656</v>
      </c>
      <c r="D715" s="2670"/>
      <c r="E715" s="2670"/>
      <c r="F715" s="2670"/>
      <c r="G715" s="2670"/>
      <c r="H715" s="2670"/>
      <c r="I715" s="2670"/>
      <c r="J715" s="2670"/>
      <c r="K715" s="2670"/>
      <c r="L715" s="2670"/>
      <c r="M715" s="2671"/>
      <c r="X715" s="656"/>
      <c r="Y715" s="657"/>
      <c r="Z715" s="657"/>
      <c r="AA715" s="481"/>
      <c r="AB715" s="491" t="s">
        <v>1656</v>
      </c>
      <c r="AC715" s="456"/>
      <c r="AD715" s="522"/>
      <c r="AE715" s="699"/>
      <c r="AF715" s="456"/>
      <c r="AG715" s="699"/>
    </row>
    <row r="716" spans="1:34" s="454" customFormat="1" ht="15" x14ac:dyDescent="0.25">
      <c r="A716" s="823"/>
      <c r="B716" s="824"/>
      <c r="C716" s="824"/>
      <c r="D716" s="824"/>
      <c r="E716" s="825" t="s">
        <v>3308</v>
      </c>
      <c r="F716" s="826"/>
      <c r="G716" s="827"/>
      <c r="H716" s="648"/>
      <c r="I716" s="828">
        <v>93126</v>
      </c>
      <c r="J716" s="829"/>
      <c r="K716" s="829"/>
      <c r="L716" s="830"/>
      <c r="M716" s="831"/>
      <c r="X716" s="656"/>
      <c r="Y716" s="657"/>
      <c r="Z716" s="657"/>
      <c r="AA716" s="481"/>
      <c r="AC716" s="456"/>
      <c r="AD716" s="522"/>
      <c r="AE716" s="699"/>
      <c r="AF716" s="456"/>
      <c r="AG716" s="699"/>
    </row>
    <row r="717" spans="1:34" s="454" customFormat="1" ht="15" x14ac:dyDescent="0.25">
      <c r="A717" s="823"/>
      <c r="B717" s="824"/>
      <c r="C717" s="824"/>
      <c r="D717" s="824"/>
      <c r="E717" s="825" t="s">
        <v>3309</v>
      </c>
      <c r="F717" s="826"/>
      <c r="G717" s="827"/>
      <c r="H717" s="648"/>
      <c r="I717" s="828">
        <v>52383</v>
      </c>
      <c r="J717" s="829"/>
      <c r="K717" s="829"/>
      <c r="L717" s="830"/>
      <c r="M717" s="831"/>
      <c r="X717" s="656"/>
      <c r="Y717" s="657"/>
      <c r="Z717" s="657"/>
      <c r="AA717" s="481"/>
      <c r="AC717" s="456"/>
      <c r="AD717" s="522"/>
      <c r="AE717" s="699"/>
      <c r="AF717" s="456"/>
      <c r="AG717" s="699"/>
    </row>
    <row r="718" spans="1:34" s="454" customFormat="1" ht="15" x14ac:dyDescent="0.25">
      <c r="A718" s="823"/>
      <c r="B718" s="824"/>
      <c r="C718" s="824"/>
      <c r="D718" s="824"/>
      <c r="E718" s="825" t="s">
        <v>2692</v>
      </c>
      <c r="F718" s="826"/>
      <c r="G718" s="827"/>
      <c r="H718" s="648"/>
      <c r="I718" s="828">
        <v>261916</v>
      </c>
      <c r="J718" s="829"/>
      <c r="K718" s="829"/>
      <c r="L718" s="830"/>
      <c r="M718" s="831"/>
      <c r="X718" s="656"/>
      <c r="Y718" s="657"/>
      <c r="Z718" s="657"/>
      <c r="AA718" s="481"/>
      <c r="AC718" s="456"/>
      <c r="AD718" s="522"/>
      <c r="AE718" s="699"/>
      <c r="AF718" s="456"/>
      <c r="AG718" s="699"/>
    </row>
    <row r="719" spans="1:34" s="454" customFormat="1" ht="23.25" x14ac:dyDescent="0.25">
      <c r="A719" s="507"/>
      <c r="B719" s="674" t="s">
        <v>2366</v>
      </c>
      <c r="C719" s="2672" t="s">
        <v>2367</v>
      </c>
      <c r="D719" s="2672"/>
      <c r="E719" s="2672"/>
      <c r="F719" s="675" t="s">
        <v>3310</v>
      </c>
      <c r="G719" s="676" t="s">
        <v>2369</v>
      </c>
      <c r="H719" s="676"/>
      <c r="I719" s="676">
        <v>116441.64</v>
      </c>
      <c r="J719" s="676">
        <v>116441.64</v>
      </c>
      <c r="K719" s="676"/>
      <c r="L719" s="677"/>
      <c r="M719" s="678"/>
      <c r="X719" s="656"/>
      <c r="Y719" s="657"/>
      <c r="Z719" s="657"/>
      <c r="AA719" s="481"/>
      <c r="AC719" s="456" t="s">
        <v>2367</v>
      </c>
      <c r="AD719" s="522"/>
      <c r="AE719" s="699"/>
      <c r="AF719" s="456"/>
      <c r="AG719" s="699"/>
    </row>
    <row r="720" spans="1:34" s="454" customFormat="1" ht="22.5" x14ac:dyDescent="0.25">
      <c r="A720" s="2685" t="s">
        <v>1414</v>
      </c>
      <c r="B720" s="2686"/>
      <c r="C720" s="2686"/>
      <c r="D720" s="2686"/>
      <c r="E720" s="2686"/>
      <c r="F720" s="2686"/>
      <c r="G720" s="2686"/>
      <c r="H720" s="2687"/>
      <c r="I720" s="661">
        <v>10641584</v>
      </c>
      <c r="J720" s="661">
        <v>609274</v>
      </c>
      <c r="K720" s="661" t="s">
        <v>3311</v>
      </c>
      <c r="L720" s="681"/>
      <c r="M720" s="672">
        <v>61833.98</v>
      </c>
      <c r="X720" s="656"/>
      <c r="Y720" s="657"/>
      <c r="Z720" s="657"/>
      <c r="AA720" s="481"/>
      <c r="AC720" s="456"/>
      <c r="AD720" s="522"/>
      <c r="AE720" s="699"/>
      <c r="AF720" s="456"/>
      <c r="AG720" s="699"/>
      <c r="AH720" s="481" t="s">
        <v>1414</v>
      </c>
    </row>
    <row r="721" spans="1:35" s="454" customFormat="1" ht="15" x14ac:dyDescent="0.25">
      <c r="A721" s="2685" t="s">
        <v>1416</v>
      </c>
      <c r="B721" s="2686"/>
      <c r="C721" s="2686"/>
      <c r="D721" s="2686"/>
      <c r="E721" s="2686"/>
      <c r="F721" s="2686"/>
      <c r="G721" s="2686"/>
      <c r="H721" s="2687"/>
      <c r="I721" s="661">
        <v>894759</v>
      </c>
      <c r="J721" s="661"/>
      <c r="K721" s="661"/>
      <c r="L721" s="681"/>
      <c r="M721" s="681"/>
      <c r="X721" s="656"/>
      <c r="Y721" s="657"/>
      <c r="Z721" s="657"/>
      <c r="AA721" s="481"/>
      <c r="AC721" s="456"/>
      <c r="AD721" s="522"/>
      <c r="AE721" s="699"/>
      <c r="AF721" s="456"/>
      <c r="AG721" s="699"/>
      <c r="AH721" s="481" t="s">
        <v>1416</v>
      </c>
    </row>
    <row r="722" spans="1:35" s="454" customFormat="1" ht="15" x14ac:dyDescent="0.25">
      <c r="A722" s="2688" t="s">
        <v>1681</v>
      </c>
      <c r="B722" s="2689"/>
      <c r="C722" s="2689"/>
      <c r="D722" s="2689"/>
      <c r="E722" s="2689"/>
      <c r="F722" s="2689"/>
      <c r="G722" s="2689"/>
      <c r="H722" s="2690"/>
      <c r="I722" s="682"/>
      <c r="J722" s="682"/>
      <c r="K722" s="682"/>
      <c r="L722" s="683"/>
      <c r="M722" s="683"/>
      <c r="X722" s="656"/>
      <c r="Y722" s="657"/>
      <c r="Z722" s="657"/>
      <c r="AA722" s="481"/>
      <c r="AC722" s="456"/>
      <c r="AD722" s="522"/>
      <c r="AE722" s="699"/>
      <c r="AF722" s="456"/>
      <c r="AG722" s="699"/>
      <c r="AH722" s="481"/>
      <c r="AI722" s="491" t="s">
        <v>1681</v>
      </c>
    </row>
    <row r="723" spans="1:35" s="454" customFormat="1" ht="15" x14ac:dyDescent="0.25">
      <c r="A723" s="2688" t="s">
        <v>3312</v>
      </c>
      <c r="B723" s="2689"/>
      <c r="C723" s="2689"/>
      <c r="D723" s="2689"/>
      <c r="E723" s="2689"/>
      <c r="F723" s="2689"/>
      <c r="G723" s="2689"/>
      <c r="H723" s="2690"/>
      <c r="I723" s="682">
        <v>104407</v>
      </c>
      <c r="J723" s="682"/>
      <c r="K723" s="682"/>
      <c r="L723" s="683"/>
      <c r="M723" s="683"/>
      <c r="X723" s="656"/>
      <c r="Y723" s="657"/>
      <c r="Z723" s="657"/>
      <c r="AA723" s="481"/>
      <c r="AC723" s="456"/>
      <c r="AD723" s="522"/>
      <c r="AE723" s="699"/>
      <c r="AF723" s="456"/>
      <c r="AG723" s="699"/>
      <c r="AH723" s="481"/>
      <c r="AI723" s="491" t="s">
        <v>3312</v>
      </c>
    </row>
    <row r="724" spans="1:35" s="454" customFormat="1" ht="15" x14ac:dyDescent="0.25">
      <c r="A724" s="2688" t="s">
        <v>3313</v>
      </c>
      <c r="B724" s="2689"/>
      <c r="C724" s="2689"/>
      <c r="D724" s="2689"/>
      <c r="E724" s="2689"/>
      <c r="F724" s="2689"/>
      <c r="G724" s="2689"/>
      <c r="H724" s="2690"/>
      <c r="I724" s="682">
        <v>38489</v>
      </c>
      <c r="J724" s="682"/>
      <c r="K724" s="682"/>
      <c r="L724" s="683"/>
      <c r="M724" s="683"/>
      <c r="X724" s="656"/>
      <c r="Y724" s="657"/>
      <c r="Z724" s="657"/>
      <c r="AA724" s="481"/>
      <c r="AC724" s="456"/>
      <c r="AD724" s="522"/>
      <c r="AE724" s="699"/>
      <c r="AF724" s="456"/>
      <c r="AG724" s="699"/>
      <c r="AH724" s="481"/>
      <c r="AI724" s="491" t="s">
        <v>3313</v>
      </c>
    </row>
    <row r="725" spans="1:35" s="454" customFormat="1" ht="15" x14ac:dyDescent="0.25">
      <c r="A725" s="2688" t="s">
        <v>3314</v>
      </c>
      <c r="B725" s="2689"/>
      <c r="C725" s="2689"/>
      <c r="D725" s="2689"/>
      <c r="E725" s="2689"/>
      <c r="F725" s="2689"/>
      <c r="G725" s="2689"/>
      <c r="H725" s="2690"/>
      <c r="I725" s="682">
        <v>1745</v>
      </c>
      <c r="J725" s="682"/>
      <c r="K725" s="682"/>
      <c r="L725" s="683"/>
      <c r="M725" s="683"/>
      <c r="X725" s="656"/>
      <c r="Y725" s="657"/>
      <c r="Z725" s="657"/>
      <c r="AA725" s="481"/>
      <c r="AC725" s="456"/>
      <c r="AD725" s="522"/>
      <c r="AE725" s="699"/>
      <c r="AF725" s="456"/>
      <c r="AG725" s="699"/>
      <c r="AH725" s="481"/>
      <c r="AI725" s="491" t="s">
        <v>3314</v>
      </c>
    </row>
    <row r="726" spans="1:35" s="454" customFormat="1" ht="15" x14ac:dyDescent="0.25">
      <c r="A726" s="2688" t="s">
        <v>3315</v>
      </c>
      <c r="B726" s="2689"/>
      <c r="C726" s="2689"/>
      <c r="D726" s="2689"/>
      <c r="E726" s="2689"/>
      <c r="F726" s="2689"/>
      <c r="G726" s="2689"/>
      <c r="H726" s="2690"/>
      <c r="I726" s="682">
        <v>491</v>
      </c>
      <c r="J726" s="682"/>
      <c r="K726" s="682"/>
      <c r="L726" s="683"/>
      <c r="M726" s="683"/>
      <c r="X726" s="656"/>
      <c r="Y726" s="657"/>
      <c r="Z726" s="657"/>
      <c r="AA726" s="481"/>
      <c r="AC726" s="456"/>
      <c r="AD726" s="522"/>
      <c r="AE726" s="699"/>
      <c r="AF726" s="456"/>
      <c r="AG726" s="699"/>
      <c r="AH726" s="481"/>
      <c r="AI726" s="491" t="s">
        <v>3315</v>
      </c>
    </row>
    <row r="727" spans="1:35" s="454" customFormat="1" ht="15" x14ac:dyDescent="0.25">
      <c r="A727" s="2688" t="s">
        <v>3316</v>
      </c>
      <c r="B727" s="2689"/>
      <c r="C727" s="2689"/>
      <c r="D727" s="2689"/>
      <c r="E727" s="2689"/>
      <c r="F727" s="2689"/>
      <c r="G727" s="2689"/>
      <c r="H727" s="2690"/>
      <c r="I727" s="682">
        <v>28151</v>
      </c>
      <c r="J727" s="682"/>
      <c r="K727" s="682"/>
      <c r="L727" s="683"/>
      <c r="M727" s="683"/>
      <c r="X727" s="656"/>
      <c r="Y727" s="657"/>
      <c r="Z727" s="657"/>
      <c r="AA727" s="481"/>
      <c r="AC727" s="456"/>
      <c r="AD727" s="522"/>
      <c r="AE727" s="699"/>
      <c r="AF727" s="456"/>
      <c r="AG727" s="699"/>
      <c r="AH727" s="481"/>
      <c r="AI727" s="491" t="s">
        <v>3316</v>
      </c>
    </row>
    <row r="728" spans="1:35" s="454" customFormat="1" ht="15" x14ac:dyDescent="0.25">
      <c r="A728" s="2688" t="s">
        <v>3317</v>
      </c>
      <c r="B728" s="2689"/>
      <c r="C728" s="2689"/>
      <c r="D728" s="2689"/>
      <c r="E728" s="2689"/>
      <c r="F728" s="2689"/>
      <c r="G728" s="2689"/>
      <c r="H728" s="2690"/>
      <c r="I728" s="682">
        <v>721476</v>
      </c>
      <c r="J728" s="682"/>
      <c r="K728" s="682"/>
      <c r="L728" s="683"/>
      <c r="M728" s="683"/>
      <c r="X728" s="656"/>
      <c r="Y728" s="657"/>
      <c r="Z728" s="657"/>
      <c r="AA728" s="481"/>
      <c r="AC728" s="456"/>
      <c r="AD728" s="522"/>
      <c r="AE728" s="699"/>
      <c r="AF728" s="456"/>
      <c r="AG728" s="699"/>
      <c r="AH728" s="481"/>
      <c r="AI728" s="491" t="s">
        <v>3317</v>
      </c>
    </row>
    <row r="729" spans="1:35" s="454" customFormat="1" ht="15" x14ac:dyDescent="0.25">
      <c r="A729" s="2685" t="s">
        <v>1417</v>
      </c>
      <c r="B729" s="2686"/>
      <c r="C729" s="2686"/>
      <c r="D729" s="2686"/>
      <c r="E729" s="2686"/>
      <c r="F729" s="2686"/>
      <c r="G729" s="2686"/>
      <c r="H729" s="2687"/>
      <c r="I729" s="661">
        <v>436465</v>
      </c>
      <c r="J729" s="661"/>
      <c r="K729" s="661"/>
      <c r="L729" s="681"/>
      <c r="M729" s="681"/>
      <c r="X729" s="656"/>
      <c r="Y729" s="657"/>
      <c r="Z729" s="657"/>
      <c r="AA729" s="481"/>
      <c r="AC729" s="456"/>
      <c r="AD729" s="522"/>
      <c r="AE729" s="699"/>
      <c r="AF729" s="456"/>
      <c r="AG729" s="699"/>
      <c r="AH729" s="481" t="s">
        <v>1417</v>
      </c>
    </row>
    <row r="730" spans="1:35" s="454" customFormat="1" ht="15" x14ac:dyDescent="0.25">
      <c r="A730" s="2688" t="s">
        <v>1681</v>
      </c>
      <c r="B730" s="2689"/>
      <c r="C730" s="2689"/>
      <c r="D730" s="2689"/>
      <c r="E730" s="2689"/>
      <c r="F730" s="2689"/>
      <c r="G730" s="2689"/>
      <c r="H730" s="2690"/>
      <c r="I730" s="682"/>
      <c r="J730" s="682"/>
      <c r="K730" s="682"/>
      <c r="L730" s="683"/>
      <c r="M730" s="683"/>
      <c r="X730" s="656"/>
      <c r="Y730" s="657"/>
      <c r="Z730" s="657"/>
      <c r="AA730" s="481"/>
      <c r="AC730" s="456"/>
      <c r="AD730" s="522"/>
      <c r="AE730" s="699"/>
      <c r="AF730" s="456"/>
      <c r="AG730" s="699"/>
      <c r="AH730" s="481"/>
      <c r="AI730" s="491" t="s">
        <v>1681</v>
      </c>
    </row>
    <row r="731" spans="1:35" s="454" customFormat="1" ht="15" x14ac:dyDescent="0.25">
      <c r="A731" s="2688" t="s">
        <v>3318</v>
      </c>
      <c r="B731" s="2689"/>
      <c r="C731" s="2689"/>
      <c r="D731" s="2689"/>
      <c r="E731" s="2689"/>
      <c r="F731" s="2689"/>
      <c r="G731" s="2689"/>
      <c r="H731" s="2690"/>
      <c r="I731" s="682">
        <v>58014</v>
      </c>
      <c r="J731" s="682"/>
      <c r="K731" s="682"/>
      <c r="L731" s="683"/>
      <c r="M731" s="683"/>
      <c r="X731" s="656"/>
      <c r="Y731" s="657"/>
      <c r="Z731" s="657"/>
      <c r="AA731" s="481"/>
      <c r="AC731" s="456"/>
      <c r="AD731" s="522"/>
      <c r="AE731" s="699"/>
      <c r="AF731" s="456"/>
      <c r="AG731" s="699"/>
      <c r="AH731" s="481"/>
      <c r="AI731" s="491" t="s">
        <v>3318</v>
      </c>
    </row>
    <row r="732" spans="1:35" s="454" customFormat="1" ht="15" x14ac:dyDescent="0.25">
      <c r="A732" s="2688" t="s">
        <v>3319</v>
      </c>
      <c r="B732" s="2689"/>
      <c r="C732" s="2689"/>
      <c r="D732" s="2689"/>
      <c r="E732" s="2689"/>
      <c r="F732" s="2689"/>
      <c r="G732" s="2689"/>
      <c r="H732" s="2690"/>
      <c r="I732" s="682">
        <v>328529</v>
      </c>
      <c r="J732" s="682"/>
      <c r="K732" s="682"/>
      <c r="L732" s="683"/>
      <c r="M732" s="683"/>
      <c r="X732" s="656"/>
      <c r="Y732" s="657"/>
      <c r="Z732" s="657"/>
      <c r="AA732" s="481"/>
      <c r="AC732" s="456"/>
      <c r="AD732" s="522"/>
      <c r="AE732" s="699"/>
      <c r="AF732" s="456"/>
      <c r="AG732" s="699"/>
      <c r="AH732" s="481"/>
      <c r="AI732" s="491" t="s">
        <v>3319</v>
      </c>
    </row>
    <row r="733" spans="1:35" s="454" customFormat="1" ht="15" x14ac:dyDescent="0.25">
      <c r="A733" s="2688" t="s">
        <v>3320</v>
      </c>
      <c r="B733" s="2689"/>
      <c r="C733" s="2689"/>
      <c r="D733" s="2689"/>
      <c r="E733" s="2689"/>
      <c r="F733" s="2689"/>
      <c r="G733" s="2689"/>
      <c r="H733" s="2690"/>
      <c r="I733" s="682">
        <v>27496</v>
      </c>
      <c r="J733" s="682"/>
      <c r="K733" s="682"/>
      <c r="L733" s="683"/>
      <c r="M733" s="683"/>
      <c r="X733" s="656"/>
      <c r="Y733" s="657"/>
      <c r="Z733" s="657"/>
      <c r="AA733" s="481"/>
      <c r="AC733" s="456"/>
      <c r="AD733" s="522"/>
      <c r="AE733" s="699"/>
      <c r="AF733" s="456"/>
      <c r="AG733" s="699"/>
      <c r="AH733" s="481"/>
      <c r="AI733" s="491" t="s">
        <v>3320</v>
      </c>
    </row>
    <row r="734" spans="1:35" s="454" customFormat="1" ht="15" x14ac:dyDescent="0.25">
      <c r="A734" s="2688" t="s">
        <v>3321</v>
      </c>
      <c r="B734" s="2689"/>
      <c r="C734" s="2689"/>
      <c r="D734" s="2689"/>
      <c r="E734" s="2689"/>
      <c r="F734" s="2689"/>
      <c r="G734" s="2689"/>
      <c r="H734" s="2690"/>
      <c r="I734" s="682">
        <v>304</v>
      </c>
      <c r="J734" s="682"/>
      <c r="K734" s="682"/>
      <c r="L734" s="683"/>
      <c r="M734" s="683"/>
      <c r="X734" s="656"/>
      <c r="Y734" s="657"/>
      <c r="Z734" s="657"/>
      <c r="AA734" s="481"/>
      <c r="AC734" s="456"/>
      <c r="AD734" s="522"/>
      <c r="AE734" s="699"/>
      <c r="AF734" s="456"/>
      <c r="AG734" s="699"/>
      <c r="AH734" s="481"/>
      <c r="AI734" s="491" t="s">
        <v>3321</v>
      </c>
    </row>
    <row r="735" spans="1:35" s="454" customFormat="1" ht="15" x14ac:dyDescent="0.25">
      <c r="A735" s="2688" t="s">
        <v>3322</v>
      </c>
      <c r="B735" s="2689"/>
      <c r="C735" s="2689"/>
      <c r="D735" s="2689"/>
      <c r="E735" s="2689"/>
      <c r="F735" s="2689"/>
      <c r="G735" s="2689"/>
      <c r="H735" s="2690"/>
      <c r="I735" s="682">
        <v>20474</v>
      </c>
      <c r="J735" s="682"/>
      <c r="K735" s="682"/>
      <c r="L735" s="683"/>
      <c r="M735" s="683"/>
      <c r="X735" s="656"/>
      <c r="Y735" s="657"/>
      <c r="Z735" s="657"/>
      <c r="AA735" s="481"/>
      <c r="AC735" s="456"/>
      <c r="AD735" s="522"/>
      <c r="AE735" s="699"/>
      <c r="AF735" s="456"/>
      <c r="AG735" s="699"/>
      <c r="AH735" s="481"/>
      <c r="AI735" s="491" t="s">
        <v>3322</v>
      </c>
    </row>
    <row r="736" spans="1:35" s="454" customFormat="1" ht="15" x14ac:dyDescent="0.25">
      <c r="A736" s="2688" t="s">
        <v>3323</v>
      </c>
      <c r="B736" s="2689"/>
      <c r="C736" s="2689"/>
      <c r="D736" s="2689"/>
      <c r="E736" s="2689"/>
      <c r="F736" s="2689"/>
      <c r="G736" s="2689"/>
      <c r="H736" s="2690"/>
      <c r="I736" s="682">
        <v>1648</v>
      </c>
      <c r="J736" s="682"/>
      <c r="K736" s="682"/>
      <c r="L736" s="683"/>
      <c r="M736" s="683"/>
      <c r="X736" s="656"/>
      <c r="Y736" s="657"/>
      <c r="Z736" s="657"/>
      <c r="AA736" s="481"/>
      <c r="AC736" s="456"/>
      <c r="AD736" s="522"/>
      <c r="AE736" s="699"/>
      <c r="AF736" s="456"/>
      <c r="AG736" s="699"/>
      <c r="AH736" s="481"/>
      <c r="AI736" s="491" t="s">
        <v>3323</v>
      </c>
    </row>
    <row r="737" spans="1:35" s="454" customFormat="1" ht="15" x14ac:dyDescent="0.25">
      <c r="A737" s="2685" t="s">
        <v>1684</v>
      </c>
      <c r="B737" s="2686"/>
      <c r="C737" s="2686"/>
      <c r="D737" s="2686"/>
      <c r="E737" s="2686"/>
      <c r="F737" s="2686"/>
      <c r="G737" s="2686"/>
      <c r="H737" s="2687"/>
      <c r="I737" s="661"/>
      <c r="J737" s="661"/>
      <c r="K737" s="661"/>
      <c r="L737" s="681"/>
      <c r="M737" s="681"/>
      <c r="X737" s="656"/>
      <c r="Y737" s="657"/>
      <c r="Z737" s="657"/>
      <c r="AA737" s="481"/>
      <c r="AC737" s="456"/>
      <c r="AD737" s="522"/>
      <c r="AE737" s="699"/>
      <c r="AF737" s="456"/>
      <c r="AG737" s="699"/>
      <c r="AH737" s="481" t="s">
        <v>1684</v>
      </c>
    </row>
    <row r="738" spans="1:35" s="454" customFormat="1" ht="15" x14ac:dyDescent="0.25">
      <c r="A738" s="2688" t="s">
        <v>1685</v>
      </c>
      <c r="B738" s="2689"/>
      <c r="C738" s="2689"/>
      <c r="D738" s="2689"/>
      <c r="E738" s="2689"/>
      <c r="F738" s="2689"/>
      <c r="G738" s="2689"/>
      <c r="H738" s="2690"/>
      <c r="I738" s="682"/>
      <c r="J738" s="682"/>
      <c r="K738" s="682"/>
      <c r="L738" s="683"/>
      <c r="M738" s="683"/>
      <c r="X738" s="656"/>
      <c r="Y738" s="657"/>
      <c r="Z738" s="657"/>
      <c r="AA738" s="481"/>
      <c r="AC738" s="456"/>
      <c r="AD738" s="522"/>
      <c r="AE738" s="699"/>
      <c r="AF738" s="456"/>
      <c r="AG738" s="699"/>
      <c r="AH738" s="481"/>
      <c r="AI738" s="491" t="s">
        <v>1685</v>
      </c>
    </row>
    <row r="739" spans="1:35" s="454" customFormat="1" ht="15" x14ac:dyDescent="0.25">
      <c r="A739" s="2688" t="s">
        <v>2382</v>
      </c>
      <c r="B739" s="2689"/>
      <c r="C739" s="2689"/>
      <c r="D739" s="2689"/>
      <c r="E739" s="2689"/>
      <c r="F739" s="2689"/>
      <c r="G739" s="2689"/>
      <c r="H739" s="2690"/>
      <c r="I739" s="682"/>
      <c r="J739" s="682"/>
      <c r="K739" s="682"/>
      <c r="L739" s="683"/>
      <c r="M739" s="683"/>
      <c r="X739" s="656"/>
      <c r="Y739" s="657"/>
      <c r="Z739" s="657"/>
      <c r="AA739" s="481"/>
      <c r="AC739" s="456"/>
      <c r="AD739" s="522"/>
      <c r="AE739" s="699"/>
      <c r="AF739" s="456"/>
      <c r="AG739" s="699"/>
      <c r="AH739" s="481"/>
      <c r="AI739" s="491" t="s">
        <v>2382</v>
      </c>
    </row>
    <row r="740" spans="1:35" s="454" customFormat="1" ht="22.5" x14ac:dyDescent="0.25">
      <c r="A740" s="2688" t="s">
        <v>3324</v>
      </c>
      <c r="B740" s="2689"/>
      <c r="C740" s="2689"/>
      <c r="D740" s="2689"/>
      <c r="E740" s="2689"/>
      <c r="F740" s="2689"/>
      <c r="G740" s="2689"/>
      <c r="H740" s="2690"/>
      <c r="I740" s="682">
        <v>130393</v>
      </c>
      <c r="J740" s="682">
        <v>128814</v>
      </c>
      <c r="K740" s="682" t="s">
        <v>2688</v>
      </c>
      <c r="L740" s="683"/>
      <c r="M740" s="684">
        <v>11630.95</v>
      </c>
      <c r="X740" s="656"/>
      <c r="Y740" s="657"/>
      <c r="Z740" s="657"/>
      <c r="AA740" s="481"/>
      <c r="AC740" s="456"/>
      <c r="AD740" s="522"/>
      <c r="AE740" s="699"/>
      <c r="AF740" s="456"/>
      <c r="AG740" s="699"/>
      <c r="AH740" s="481"/>
      <c r="AI740" s="491" t="s">
        <v>3324</v>
      </c>
    </row>
    <row r="741" spans="1:35" s="454" customFormat="1" ht="15" x14ac:dyDescent="0.25">
      <c r="A741" s="2688" t="s">
        <v>3325</v>
      </c>
      <c r="B741" s="2689"/>
      <c r="C741" s="2689"/>
      <c r="D741" s="2689"/>
      <c r="E741" s="2689"/>
      <c r="F741" s="2689"/>
      <c r="G741" s="2689"/>
      <c r="H741" s="2690"/>
      <c r="I741" s="682">
        <v>103137</v>
      </c>
      <c r="J741" s="682"/>
      <c r="K741" s="682"/>
      <c r="L741" s="683"/>
      <c r="M741" s="683"/>
      <c r="X741" s="656"/>
      <c r="Y741" s="657"/>
      <c r="Z741" s="657"/>
      <c r="AA741" s="481"/>
      <c r="AC741" s="456"/>
      <c r="AD741" s="522"/>
      <c r="AE741" s="699"/>
      <c r="AF741" s="456"/>
      <c r="AG741" s="699"/>
      <c r="AH741" s="481"/>
      <c r="AI741" s="491" t="s">
        <v>3325</v>
      </c>
    </row>
    <row r="742" spans="1:35" s="454" customFormat="1" ht="15" x14ac:dyDescent="0.25">
      <c r="A742" s="2688" t="s">
        <v>3326</v>
      </c>
      <c r="B742" s="2689"/>
      <c r="C742" s="2689"/>
      <c r="D742" s="2689"/>
      <c r="E742" s="2689"/>
      <c r="F742" s="2689"/>
      <c r="G742" s="2689"/>
      <c r="H742" s="2690"/>
      <c r="I742" s="682">
        <v>58014</v>
      </c>
      <c r="J742" s="682"/>
      <c r="K742" s="682"/>
      <c r="L742" s="683"/>
      <c r="M742" s="683"/>
      <c r="X742" s="656"/>
      <c r="Y742" s="657"/>
      <c r="Z742" s="657"/>
      <c r="AA742" s="481"/>
      <c r="AC742" s="456"/>
      <c r="AD742" s="522"/>
      <c r="AE742" s="699"/>
      <c r="AF742" s="456"/>
      <c r="AG742" s="699"/>
      <c r="AH742" s="481"/>
      <c r="AI742" s="491" t="s">
        <v>3326</v>
      </c>
    </row>
    <row r="743" spans="1:35" s="454" customFormat="1" ht="15" x14ac:dyDescent="0.25">
      <c r="A743" s="2688" t="s">
        <v>1694</v>
      </c>
      <c r="B743" s="2689"/>
      <c r="C743" s="2689"/>
      <c r="D743" s="2689"/>
      <c r="E743" s="2689"/>
      <c r="F743" s="2689"/>
      <c r="G743" s="2689"/>
      <c r="H743" s="2690"/>
      <c r="I743" s="682">
        <v>291544</v>
      </c>
      <c r="J743" s="682"/>
      <c r="K743" s="682"/>
      <c r="L743" s="683"/>
      <c r="M743" s="684">
        <v>11630.95</v>
      </c>
      <c r="X743" s="656"/>
      <c r="Y743" s="657"/>
      <c r="Z743" s="657"/>
      <c r="AA743" s="481"/>
      <c r="AC743" s="456"/>
      <c r="AD743" s="522"/>
      <c r="AE743" s="699"/>
      <c r="AF743" s="456"/>
      <c r="AG743" s="699"/>
      <c r="AH743" s="481"/>
      <c r="AI743" s="491" t="s">
        <v>1694</v>
      </c>
    </row>
    <row r="744" spans="1:35" s="454" customFormat="1" ht="15" x14ac:dyDescent="0.25">
      <c r="A744" s="2688" t="s">
        <v>2386</v>
      </c>
      <c r="B744" s="2689"/>
      <c r="C744" s="2689"/>
      <c r="D744" s="2689"/>
      <c r="E744" s="2689"/>
      <c r="F744" s="2689"/>
      <c r="G744" s="2689"/>
      <c r="H744" s="2690"/>
      <c r="I744" s="682"/>
      <c r="J744" s="682"/>
      <c r="K744" s="682"/>
      <c r="L744" s="683"/>
      <c r="M744" s="683"/>
      <c r="X744" s="656"/>
      <c r="Y744" s="657"/>
      <c r="Z744" s="657"/>
      <c r="AA744" s="481"/>
      <c r="AC744" s="456"/>
      <c r="AD744" s="522"/>
      <c r="AE744" s="699"/>
      <c r="AF744" s="456"/>
      <c r="AG744" s="699"/>
      <c r="AH744" s="481"/>
      <c r="AI744" s="491" t="s">
        <v>2386</v>
      </c>
    </row>
    <row r="745" spans="1:35" s="454" customFormat="1" ht="22.5" x14ac:dyDescent="0.25">
      <c r="A745" s="2688" t="s">
        <v>3327</v>
      </c>
      <c r="B745" s="2689"/>
      <c r="C745" s="2689"/>
      <c r="D745" s="2689"/>
      <c r="E745" s="2689"/>
      <c r="F745" s="2689"/>
      <c r="G745" s="2689"/>
      <c r="H745" s="2690"/>
      <c r="I745" s="682">
        <v>809</v>
      </c>
      <c r="J745" s="682">
        <v>440</v>
      </c>
      <c r="K745" s="682" t="s">
        <v>1193</v>
      </c>
      <c r="L745" s="683"/>
      <c r="M745" s="684">
        <v>51.57</v>
      </c>
      <c r="X745" s="656"/>
      <c r="Y745" s="657"/>
      <c r="Z745" s="657"/>
      <c r="AA745" s="481"/>
      <c r="AC745" s="456"/>
      <c r="AD745" s="522"/>
      <c r="AE745" s="699"/>
      <c r="AF745" s="456"/>
      <c r="AG745" s="699"/>
      <c r="AH745" s="481"/>
      <c r="AI745" s="491" t="s">
        <v>3327</v>
      </c>
    </row>
    <row r="746" spans="1:35" s="454" customFormat="1" ht="15" x14ac:dyDescent="0.25">
      <c r="A746" s="2688" t="s">
        <v>3328</v>
      </c>
      <c r="B746" s="2689"/>
      <c r="C746" s="2689"/>
      <c r="D746" s="2689"/>
      <c r="E746" s="2689"/>
      <c r="F746" s="2689"/>
      <c r="G746" s="2689"/>
      <c r="H746" s="2690"/>
      <c r="I746" s="682">
        <v>491</v>
      </c>
      <c r="J746" s="682"/>
      <c r="K746" s="682"/>
      <c r="L746" s="683"/>
      <c r="M746" s="683"/>
      <c r="X746" s="656"/>
      <c r="Y746" s="657"/>
      <c r="Z746" s="657"/>
      <c r="AA746" s="481"/>
      <c r="AC746" s="456"/>
      <c r="AD746" s="522"/>
      <c r="AE746" s="699"/>
      <c r="AF746" s="456"/>
      <c r="AG746" s="699"/>
      <c r="AH746" s="481"/>
      <c r="AI746" s="491" t="s">
        <v>3328</v>
      </c>
    </row>
    <row r="747" spans="1:35" s="454" customFormat="1" ht="15" x14ac:dyDescent="0.25">
      <c r="A747" s="2688" t="s">
        <v>3329</v>
      </c>
      <c r="B747" s="2689"/>
      <c r="C747" s="2689"/>
      <c r="D747" s="2689"/>
      <c r="E747" s="2689"/>
      <c r="F747" s="2689"/>
      <c r="G747" s="2689"/>
      <c r="H747" s="2690"/>
      <c r="I747" s="682">
        <v>304</v>
      </c>
      <c r="J747" s="682"/>
      <c r="K747" s="682"/>
      <c r="L747" s="683"/>
      <c r="M747" s="683"/>
      <c r="X747" s="656"/>
      <c r="Y747" s="657"/>
      <c r="Z747" s="657"/>
      <c r="AA747" s="481"/>
      <c r="AC747" s="456"/>
      <c r="AD747" s="522"/>
      <c r="AE747" s="699"/>
      <c r="AF747" s="456"/>
      <c r="AG747" s="699"/>
      <c r="AH747" s="481"/>
      <c r="AI747" s="491" t="s">
        <v>3329</v>
      </c>
    </row>
    <row r="748" spans="1:35" s="454" customFormat="1" ht="15" x14ac:dyDescent="0.25">
      <c r="A748" s="2688" t="s">
        <v>1694</v>
      </c>
      <c r="B748" s="2689"/>
      <c r="C748" s="2689"/>
      <c r="D748" s="2689"/>
      <c r="E748" s="2689"/>
      <c r="F748" s="2689"/>
      <c r="G748" s="2689"/>
      <c r="H748" s="2690"/>
      <c r="I748" s="682">
        <v>1604</v>
      </c>
      <c r="J748" s="682"/>
      <c r="K748" s="682"/>
      <c r="L748" s="683"/>
      <c r="M748" s="684">
        <v>51.57</v>
      </c>
      <c r="X748" s="656"/>
      <c r="Y748" s="657"/>
      <c r="Z748" s="657"/>
      <c r="AA748" s="481"/>
      <c r="AC748" s="456"/>
      <c r="AD748" s="522"/>
      <c r="AE748" s="699"/>
      <c r="AF748" s="456"/>
      <c r="AG748" s="699"/>
      <c r="AH748" s="481"/>
      <c r="AI748" s="491" t="s">
        <v>1694</v>
      </c>
    </row>
    <row r="749" spans="1:35" s="454" customFormat="1" ht="15" x14ac:dyDescent="0.25">
      <c r="A749" s="2688" t="s">
        <v>1686</v>
      </c>
      <c r="B749" s="2689"/>
      <c r="C749" s="2689"/>
      <c r="D749" s="2689"/>
      <c r="E749" s="2689"/>
      <c r="F749" s="2689"/>
      <c r="G749" s="2689"/>
      <c r="H749" s="2690"/>
      <c r="I749" s="682"/>
      <c r="J749" s="682"/>
      <c r="K749" s="682"/>
      <c r="L749" s="683"/>
      <c r="M749" s="683"/>
      <c r="X749" s="656"/>
      <c r="Y749" s="657"/>
      <c r="Z749" s="657"/>
      <c r="AA749" s="481"/>
      <c r="AC749" s="456"/>
      <c r="AD749" s="522"/>
      <c r="AE749" s="699"/>
      <c r="AF749" s="456"/>
      <c r="AG749" s="699"/>
      <c r="AH749" s="481"/>
      <c r="AI749" s="491" t="s">
        <v>1686</v>
      </c>
    </row>
    <row r="750" spans="1:35" s="454" customFormat="1" ht="15" x14ac:dyDescent="0.25">
      <c r="A750" s="2688" t="s">
        <v>3330</v>
      </c>
      <c r="B750" s="2689"/>
      <c r="C750" s="2689"/>
      <c r="D750" s="2689"/>
      <c r="E750" s="2689"/>
      <c r="F750" s="2689"/>
      <c r="G750" s="2689"/>
      <c r="H750" s="2690"/>
      <c r="I750" s="682">
        <v>95649</v>
      </c>
      <c r="J750" s="682"/>
      <c r="K750" s="682"/>
      <c r="L750" s="683"/>
      <c r="M750" s="683"/>
      <c r="X750" s="656"/>
      <c r="Y750" s="657"/>
      <c r="Z750" s="657"/>
      <c r="AA750" s="481"/>
      <c r="AC750" s="456"/>
      <c r="AD750" s="522"/>
      <c r="AE750" s="699"/>
      <c r="AF750" s="456"/>
      <c r="AG750" s="699"/>
      <c r="AH750" s="481"/>
      <c r="AI750" s="491" t="s">
        <v>3330</v>
      </c>
    </row>
    <row r="751" spans="1:35" s="454" customFormat="1" ht="15" x14ac:dyDescent="0.25">
      <c r="A751" s="2688" t="s">
        <v>2391</v>
      </c>
      <c r="B751" s="2689"/>
      <c r="C751" s="2689"/>
      <c r="D751" s="2689"/>
      <c r="E751" s="2689"/>
      <c r="F751" s="2689"/>
      <c r="G751" s="2689"/>
      <c r="H751" s="2690"/>
      <c r="I751" s="682"/>
      <c r="J751" s="682"/>
      <c r="K751" s="682"/>
      <c r="L751" s="683"/>
      <c r="M751" s="683"/>
      <c r="X751" s="656"/>
      <c r="Y751" s="657"/>
      <c r="Z751" s="657"/>
      <c r="AA751" s="481"/>
      <c r="AC751" s="456"/>
      <c r="AD751" s="522"/>
      <c r="AE751" s="699"/>
      <c r="AF751" s="456"/>
      <c r="AG751" s="699"/>
      <c r="AH751" s="481"/>
      <c r="AI751" s="491" t="s">
        <v>2391</v>
      </c>
    </row>
    <row r="752" spans="1:35" s="454" customFormat="1" ht="22.5" x14ac:dyDescent="0.25">
      <c r="A752" s="2688" t="s">
        <v>3331</v>
      </c>
      <c r="B752" s="2689"/>
      <c r="C752" s="2689"/>
      <c r="D752" s="2689"/>
      <c r="E752" s="2689"/>
      <c r="F752" s="2689"/>
      <c r="G752" s="2689"/>
      <c r="H752" s="2690"/>
      <c r="I752" s="682">
        <v>4849</v>
      </c>
      <c r="J752" s="682">
        <v>1659</v>
      </c>
      <c r="K752" s="682" t="s">
        <v>3332</v>
      </c>
      <c r="L752" s="683"/>
      <c r="M752" s="684">
        <v>161.62</v>
      </c>
      <c r="X752" s="656"/>
      <c r="Y752" s="657"/>
      <c r="Z752" s="657"/>
      <c r="AA752" s="481"/>
      <c r="AC752" s="456"/>
      <c r="AD752" s="522"/>
      <c r="AE752" s="699"/>
      <c r="AF752" s="456"/>
      <c r="AG752" s="699"/>
      <c r="AH752" s="481"/>
      <c r="AI752" s="491" t="s">
        <v>3331</v>
      </c>
    </row>
    <row r="753" spans="1:35" s="454" customFormat="1" ht="15" x14ac:dyDescent="0.25">
      <c r="A753" s="2688" t="s">
        <v>3333</v>
      </c>
      <c r="B753" s="2689"/>
      <c r="C753" s="2689"/>
      <c r="D753" s="2689"/>
      <c r="E753" s="2689"/>
      <c r="F753" s="2689"/>
      <c r="G753" s="2689"/>
      <c r="H753" s="2690"/>
      <c r="I753" s="682">
        <v>1745</v>
      </c>
      <c r="J753" s="682"/>
      <c r="K753" s="682"/>
      <c r="L753" s="683"/>
      <c r="M753" s="683"/>
      <c r="X753" s="656"/>
      <c r="Y753" s="657"/>
      <c r="Z753" s="657"/>
      <c r="AA753" s="481"/>
      <c r="AC753" s="456"/>
      <c r="AD753" s="522"/>
      <c r="AE753" s="699"/>
      <c r="AF753" s="456"/>
      <c r="AG753" s="699"/>
      <c r="AH753" s="481"/>
      <c r="AI753" s="491" t="s">
        <v>3333</v>
      </c>
    </row>
    <row r="754" spans="1:35" s="454" customFormat="1" ht="15" x14ac:dyDescent="0.25">
      <c r="A754" s="2688" t="s">
        <v>3334</v>
      </c>
      <c r="B754" s="2689"/>
      <c r="C754" s="2689"/>
      <c r="D754" s="2689"/>
      <c r="E754" s="2689"/>
      <c r="F754" s="2689"/>
      <c r="G754" s="2689"/>
      <c r="H754" s="2690"/>
      <c r="I754" s="682">
        <v>1648</v>
      </c>
      <c r="J754" s="682"/>
      <c r="K754" s="682"/>
      <c r="L754" s="683"/>
      <c r="M754" s="683"/>
      <c r="X754" s="656"/>
      <c r="Y754" s="657"/>
      <c r="Z754" s="657"/>
      <c r="AA754" s="481"/>
      <c r="AC754" s="456"/>
      <c r="AD754" s="522"/>
      <c r="AE754" s="699"/>
      <c r="AF754" s="456"/>
      <c r="AG754" s="699"/>
      <c r="AH754" s="481"/>
      <c r="AI754" s="491" t="s">
        <v>3334</v>
      </c>
    </row>
    <row r="755" spans="1:35" s="454" customFormat="1" ht="15" x14ac:dyDescent="0.25">
      <c r="A755" s="2688" t="s">
        <v>1694</v>
      </c>
      <c r="B755" s="2689"/>
      <c r="C755" s="2689"/>
      <c r="D755" s="2689"/>
      <c r="E755" s="2689"/>
      <c r="F755" s="2689"/>
      <c r="G755" s="2689"/>
      <c r="H755" s="2690"/>
      <c r="I755" s="682">
        <v>8242</v>
      </c>
      <c r="J755" s="682"/>
      <c r="K755" s="682"/>
      <c r="L755" s="683"/>
      <c r="M755" s="684">
        <v>161.62</v>
      </c>
      <c r="X755" s="656"/>
      <c r="Y755" s="657"/>
      <c r="Z755" s="657"/>
      <c r="AA755" s="481"/>
      <c r="AC755" s="456"/>
      <c r="AD755" s="522"/>
      <c r="AE755" s="699"/>
      <c r="AF755" s="456"/>
      <c r="AG755" s="699"/>
      <c r="AH755" s="481"/>
      <c r="AI755" s="491" t="s">
        <v>1694</v>
      </c>
    </row>
    <row r="756" spans="1:35" s="454" customFormat="1" ht="15" x14ac:dyDescent="0.25">
      <c r="A756" s="2688" t="s">
        <v>2396</v>
      </c>
      <c r="B756" s="2689"/>
      <c r="C756" s="2689"/>
      <c r="D756" s="2689"/>
      <c r="E756" s="2689"/>
      <c r="F756" s="2689"/>
      <c r="G756" s="2689"/>
      <c r="H756" s="2690"/>
      <c r="I756" s="682"/>
      <c r="J756" s="682"/>
      <c r="K756" s="682"/>
      <c r="L756" s="683"/>
      <c r="M756" s="683"/>
      <c r="X756" s="656"/>
      <c r="Y756" s="657"/>
      <c r="Z756" s="657"/>
      <c r="AA756" s="481"/>
      <c r="AC756" s="456"/>
      <c r="AD756" s="522"/>
      <c r="AE756" s="699"/>
      <c r="AF756" s="456"/>
      <c r="AG756" s="699"/>
      <c r="AH756" s="481"/>
      <c r="AI756" s="491" t="s">
        <v>2396</v>
      </c>
    </row>
    <row r="757" spans="1:35" s="454" customFormat="1" ht="15" x14ac:dyDescent="0.25">
      <c r="A757" s="2688" t="s">
        <v>3335</v>
      </c>
      <c r="B757" s="2689"/>
      <c r="C757" s="2689"/>
      <c r="D757" s="2689"/>
      <c r="E757" s="2689"/>
      <c r="F757" s="2689"/>
      <c r="G757" s="2689"/>
      <c r="H757" s="2690"/>
      <c r="I757" s="682">
        <v>4631946</v>
      </c>
      <c r="J757" s="682"/>
      <c r="K757" s="682"/>
      <c r="L757" s="683"/>
      <c r="M757" s="683"/>
      <c r="X757" s="656"/>
      <c r="Y757" s="657"/>
      <c r="Z757" s="657"/>
      <c r="AA757" s="481"/>
      <c r="AC757" s="456"/>
      <c r="AD757" s="522"/>
      <c r="AE757" s="699"/>
      <c r="AF757" s="456"/>
      <c r="AG757" s="699"/>
      <c r="AH757" s="481"/>
      <c r="AI757" s="491" t="s">
        <v>3335</v>
      </c>
    </row>
    <row r="758" spans="1:35" s="454" customFormat="1" ht="15" x14ac:dyDescent="0.25">
      <c r="A758" s="2688" t="s">
        <v>2398</v>
      </c>
      <c r="B758" s="2689"/>
      <c r="C758" s="2689"/>
      <c r="D758" s="2689"/>
      <c r="E758" s="2689"/>
      <c r="F758" s="2689"/>
      <c r="G758" s="2689"/>
      <c r="H758" s="2690"/>
      <c r="I758" s="682"/>
      <c r="J758" s="682"/>
      <c r="K758" s="682"/>
      <c r="L758" s="683"/>
      <c r="M758" s="683"/>
      <c r="X758" s="656"/>
      <c r="Y758" s="657"/>
      <c r="Z758" s="657"/>
      <c r="AA758" s="481"/>
      <c r="AC758" s="456"/>
      <c r="AD758" s="522"/>
      <c r="AE758" s="699"/>
      <c r="AF758" s="456"/>
      <c r="AG758" s="699"/>
      <c r="AH758" s="481"/>
      <c r="AI758" s="491" t="s">
        <v>2398</v>
      </c>
    </row>
    <row r="759" spans="1:35" s="454" customFormat="1" ht="22.5" x14ac:dyDescent="0.25">
      <c r="A759" s="2688" t="s">
        <v>3336</v>
      </c>
      <c r="B759" s="2689"/>
      <c r="C759" s="2689"/>
      <c r="D759" s="2689"/>
      <c r="E759" s="2689"/>
      <c r="F759" s="2689"/>
      <c r="G759" s="2689"/>
      <c r="H759" s="2690"/>
      <c r="I759" s="682">
        <v>5526766</v>
      </c>
      <c r="J759" s="682">
        <v>424632</v>
      </c>
      <c r="K759" s="682" t="s">
        <v>3337</v>
      </c>
      <c r="L759" s="683"/>
      <c r="M759" s="684">
        <v>44149.61</v>
      </c>
      <c r="X759" s="656"/>
      <c r="Y759" s="657"/>
      <c r="Z759" s="657"/>
      <c r="AA759" s="481"/>
      <c r="AC759" s="456"/>
      <c r="AD759" s="522"/>
      <c r="AE759" s="699"/>
      <c r="AF759" s="456"/>
      <c r="AG759" s="699"/>
      <c r="AH759" s="481"/>
      <c r="AI759" s="491" t="s">
        <v>3336</v>
      </c>
    </row>
    <row r="760" spans="1:35" s="454" customFormat="1" ht="15" x14ac:dyDescent="0.25">
      <c r="A760" s="2688" t="s">
        <v>3338</v>
      </c>
      <c r="B760" s="2689"/>
      <c r="C760" s="2689"/>
      <c r="D760" s="2689"/>
      <c r="E760" s="2689"/>
      <c r="F760" s="2689"/>
      <c r="G760" s="2689"/>
      <c r="H760" s="2690"/>
      <c r="I760" s="682">
        <v>721476</v>
      </c>
      <c r="J760" s="682"/>
      <c r="K760" s="682"/>
      <c r="L760" s="683"/>
      <c r="M760" s="683"/>
      <c r="X760" s="656"/>
      <c r="Y760" s="657"/>
      <c r="Z760" s="657"/>
      <c r="AA760" s="481"/>
      <c r="AC760" s="456"/>
      <c r="AD760" s="522"/>
      <c r="AE760" s="699"/>
      <c r="AF760" s="456"/>
      <c r="AG760" s="699"/>
      <c r="AH760" s="481"/>
      <c r="AI760" s="491" t="s">
        <v>3338</v>
      </c>
    </row>
    <row r="761" spans="1:35" s="454" customFormat="1" ht="15" x14ac:dyDescent="0.25">
      <c r="A761" s="2688" t="s">
        <v>3339</v>
      </c>
      <c r="B761" s="2689"/>
      <c r="C761" s="2689"/>
      <c r="D761" s="2689"/>
      <c r="E761" s="2689"/>
      <c r="F761" s="2689"/>
      <c r="G761" s="2689"/>
      <c r="H761" s="2690"/>
      <c r="I761" s="682">
        <v>328529</v>
      </c>
      <c r="J761" s="682"/>
      <c r="K761" s="682"/>
      <c r="L761" s="683"/>
      <c r="M761" s="683"/>
      <c r="X761" s="656"/>
      <c r="Y761" s="657"/>
      <c r="Z761" s="657"/>
      <c r="AA761" s="481"/>
      <c r="AC761" s="456"/>
      <c r="AD761" s="522"/>
      <c r="AE761" s="699"/>
      <c r="AF761" s="456"/>
      <c r="AG761" s="699"/>
      <c r="AH761" s="481"/>
      <c r="AI761" s="491" t="s">
        <v>3339</v>
      </c>
    </row>
    <row r="762" spans="1:35" s="454" customFormat="1" ht="15" x14ac:dyDescent="0.25">
      <c r="A762" s="2688" t="s">
        <v>1694</v>
      </c>
      <c r="B762" s="2689"/>
      <c r="C762" s="2689"/>
      <c r="D762" s="2689"/>
      <c r="E762" s="2689"/>
      <c r="F762" s="2689"/>
      <c r="G762" s="2689"/>
      <c r="H762" s="2690"/>
      <c r="I762" s="682">
        <v>6576771</v>
      </c>
      <c r="J762" s="682"/>
      <c r="K762" s="682"/>
      <c r="L762" s="683"/>
      <c r="M762" s="684">
        <v>44149.61</v>
      </c>
      <c r="X762" s="656"/>
      <c r="Y762" s="657"/>
      <c r="Z762" s="657"/>
      <c r="AA762" s="481"/>
      <c r="AC762" s="456"/>
      <c r="AD762" s="522"/>
      <c r="AE762" s="699"/>
      <c r="AF762" s="456"/>
      <c r="AG762" s="699"/>
      <c r="AH762" s="481"/>
      <c r="AI762" s="491" t="s">
        <v>1694</v>
      </c>
    </row>
    <row r="763" spans="1:35" s="454" customFormat="1" ht="15" x14ac:dyDescent="0.25">
      <c r="A763" s="2688" t="s">
        <v>2403</v>
      </c>
      <c r="B763" s="2689"/>
      <c r="C763" s="2689"/>
      <c r="D763" s="2689"/>
      <c r="E763" s="2689"/>
      <c r="F763" s="2689"/>
      <c r="G763" s="2689"/>
      <c r="H763" s="2690"/>
      <c r="I763" s="682"/>
      <c r="J763" s="682"/>
      <c r="K763" s="682"/>
      <c r="L763" s="683"/>
      <c r="M763" s="683"/>
      <c r="X763" s="656"/>
      <c r="Y763" s="657"/>
      <c r="Z763" s="657"/>
      <c r="AA763" s="481"/>
      <c r="AC763" s="456"/>
      <c r="AD763" s="522"/>
      <c r="AE763" s="699"/>
      <c r="AF763" s="456"/>
      <c r="AG763" s="699"/>
      <c r="AH763" s="481"/>
      <c r="AI763" s="491" t="s">
        <v>2403</v>
      </c>
    </row>
    <row r="764" spans="1:35" s="454" customFormat="1" ht="22.5" x14ac:dyDescent="0.25">
      <c r="A764" s="2688" t="s">
        <v>3340</v>
      </c>
      <c r="B764" s="2689"/>
      <c r="C764" s="2689"/>
      <c r="D764" s="2689"/>
      <c r="E764" s="2689"/>
      <c r="F764" s="2689"/>
      <c r="G764" s="2689"/>
      <c r="H764" s="2690"/>
      <c r="I764" s="682">
        <v>205513</v>
      </c>
      <c r="J764" s="682">
        <v>27562</v>
      </c>
      <c r="K764" s="682" t="s">
        <v>3341</v>
      </c>
      <c r="L764" s="683"/>
      <c r="M764" s="832">
        <v>2865</v>
      </c>
      <c r="X764" s="656"/>
      <c r="Y764" s="657"/>
      <c r="Z764" s="657"/>
      <c r="AA764" s="481"/>
      <c r="AC764" s="456"/>
      <c r="AD764" s="522"/>
      <c r="AE764" s="699"/>
      <c r="AF764" s="456"/>
      <c r="AG764" s="699"/>
      <c r="AH764" s="481"/>
      <c r="AI764" s="491" t="s">
        <v>3340</v>
      </c>
    </row>
    <row r="765" spans="1:35" s="454" customFormat="1" ht="15" x14ac:dyDescent="0.25">
      <c r="A765" s="2688" t="s">
        <v>3342</v>
      </c>
      <c r="B765" s="2689"/>
      <c r="C765" s="2689"/>
      <c r="D765" s="2689"/>
      <c r="E765" s="2689"/>
      <c r="F765" s="2689"/>
      <c r="G765" s="2689"/>
      <c r="H765" s="2690"/>
      <c r="I765" s="682">
        <v>38489</v>
      </c>
      <c r="J765" s="682"/>
      <c r="K765" s="682"/>
      <c r="L765" s="683"/>
      <c r="M765" s="683"/>
      <c r="X765" s="656"/>
      <c r="Y765" s="657"/>
      <c r="Z765" s="657"/>
      <c r="AA765" s="481"/>
      <c r="AC765" s="456"/>
      <c r="AD765" s="522"/>
      <c r="AE765" s="699"/>
      <c r="AF765" s="456"/>
      <c r="AG765" s="699"/>
      <c r="AH765" s="481"/>
      <c r="AI765" s="491" t="s">
        <v>3342</v>
      </c>
    </row>
    <row r="766" spans="1:35" s="454" customFormat="1" ht="15" x14ac:dyDescent="0.25">
      <c r="A766" s="2688" t="s">
        <v>3343</v>
      </c>
      <c r="B766" s="2689"/>
      <c r="C766" s="2689"/>
      <c r="D766" s="2689"/>
      <c r="E766" s="2689"/>
      <c r="F766" s="2689"/>
      <c r="G766" s="2689"/>
      <c r="H766" s="2690"/>
      <c r="I766" s="682">
        <v>26544</v>
      </c>
      <c r="J766" s="682"/>
      <c r="K766" s="682"/>
      <c r="L766" s="683"/>
      <c r="M766" s="683"/>
      <c r="X766" s="656"/>
      <c r="Y766" s="657"/>
      <c r="Z766" s="657"/>
      <c r="AA766" s="481"/>
      <c r="AC766" s="456"/>
      <c r="AD766" s="522"/>
      <c r="AE766" s="699"/>
      <c r="AF766" s="456"/>
      <c r="AG766" s="699"/>
      <c r="AH766" s="481"/>
      <c r="AI766" s="491" t="s">
        <v>3343</v>
      </c>
    </row>
    <row r="767" spans="1:35" s="454" customFormat="1" ht="15" x14ac:dyDescent="0.25">
      <c r="A767" s="2688" t="s">
        <v>1694</v>
      </c>
      <c r="B767" s="2689"/>
      <c r="C767" s="2689"/>
      <c r="D767" s="2689"/>
      <c r="E767" s="2689"/>
      <c r="F767" s="2689"/>
      <c r="G767" s="2689"/>
      <c r="H767" s="2690"/>
      <c r="I767" s="682">
        <v>270546</v>
      </c>
      <c r="J767" s="682"/>
      <c r="K767" s="682"/>
      <c r="L767" s="683"/>
      <c r="M767" s="832">
        <v>2865</v>
      </c>
      <c r="X767" s="656"/>
      <c r="Y767" s="657"/>
      <c r="Z767" s="657"/>
      <c r="AA767" s="481"/>
      <c r="AC767" s="456"/>
      <c r="AD767" s="522"/>
      <c r="AE767" s="699"/>
      <c r="AF767" s="456"/>
      <c r="AG767" s="699"/>
      <c r="AH767" s="481"/>
      <c r="AI767" s="491" t="s">
        <v>1694</v>
      </c>
    </row>
    <row r="768" spans="1:35" s="454" customFormat="1" ht="15" x14ac:dyDescent="0.25">
      <c r="A768" s="2688" t="s">
        <v>3344</v>
      </c>
      <c r="B768" s="2689"/>
      <c r="C768" s="2689"/>
      <c r="D768" s="2689"/>
      <c r="E768" s="2689"/>
      <c r="F768" s="2689"/>
      <c r="G768" s="2689"/>
      <c r="H768" s="2690"/>
      <c r="I768" s="682"/>
      <c r="J768" s="682"/>
      <c r="K768" s="682"/>
      <c r="L768" s="683"/>
      <c r="M768" s="683"/>
      <c r="X768" s="656"/>
      <c r="Y768" s="657"/>
      <c r="Z768" s="657"/>
      <c r="AA768" s="481"/>
      <c r="AC768" s="456"/>
      <c r="AD768" s="522"/>
      <c r="AE768" s="699"/>
      <c r="AF768" s="456"/>
      <c r="AG768" s="699"/>
      <c r="AH768" s="481"/>
      <c r="AI768" s="491" t="s">
        <v>3344</v>
      </c>
    </row>
    <row r="769" spans="1:35" s="454" customFormat="1" ht="22.5" x14ac:dyDescent="0.25">
      <c r="A769" s="2688" t="s">
        <v>3345</v>
      </c>
      <c r="B769" s="2689"/>
      <c r="C769" s="2689"/>
      <c r="D769" s="2689"/>
      <c r="E769" s="2689"/>
      <c r="F769" s="2689"/>
      <c r="G769" s="2689"/>
      <c r="H769" s="2690"/>
      <c r="I769" s="682">
        <v>41945</v>
      </c>
      <c r="J769" s="682">
        <v>24869</v>
      </c>
      <c r="K769" s="682" t="s">
        <v>3346</v>
      </c>
      <c r="L769" s="683"/>
      <c r="M769" s="684">
        <v>2816.51</v>
      </c>
      <c r="X769" s="656"/>
      <c r="Y769" s="657"/>
      <c r="Z769" s="657"/>
      <c r="AA769" s="481"/>
      <c r="AC769" s="456"/>
      <c r="AD769" s="522"/>
      <c r="AE769" s="699"/>
      <c r="AF769" s="456"/>
      <c r="AG769" s="699"/>
      <c r="AH769" s="481"/>
      <c r="AI769" s="491" t="s">
        <v>3345</v>
      </c>
    </row>
    <row r="770" spans="1:35" s="454" customFormat="1" ht="15" x14ac:dyDescent="0.25">
      <c r="A770" s="2688" t="s">
        <v>3347</v>
      </c>
      <c r="B770" s="2689"/>
      <c r="C770" s="2689"/>
      <c r="D770" s="2689"/>
      <c r="E770" s="2689"/>
      <c r="F770" s="2689"/>
      <c r="G770" s="2689"/>
      <c r="H770" s="2690"/>
      <c r="I770" s="682">
        <v>28151</v>
      </c>
      <c r="J770" s="682"/>
      <c r="K770" s="682"/>
      <c r="L770" s="683"/>
      <c r="M770" s="683"/>
      <c r="X770" s="656"/>
      <c r="Y770" s="657"/>
      <c r="Z770" s="657"/>
      <c r="AA770" s="481"/>
      <c r="AC770" s="456"/>
      <c r="AD770" s="522"/>
      <c r="AE770" s="699"/>
      <c r="AF770" s="456"/>
      <c r="AG770" s="699"/>
      <c r="AH770" s="481"/>
      <c r="AI770" s="491" t="s">
        <v>3347</v>
      </c>
    </row>
    <row r="771" spans="1:35" s="454" customFormat="1" ht="15" x14ac:dyDescent="0.25">
      <c r="A771" s="2688" t="s">
        <v>3348</v>
      </c>
      <c r="B771" s="2689"/>
      <c r="C771" s="2689"/>
      <c r="D771" s="2689"/>
      <c r="E771" s="2689"/>
      <c r="F771" s="2689"/>
      <c r="G771" s="2689"/>
      <c r="H771" s="2690"/>
      <c r="I771" s="682">
        <v>20474</v>
      </c>
      <c r="J771" s="682"/>
      <c r="K771" s="682"/>
      <c r="L771" s="683"/>
      <c r="M771" s="683"/>
      <c r="X771" s="656"/>
      <c r="Y771" s="657"/>
      <c r="Z771" s="657"/>
      <c r="AA771" s="481"/>
      <c r="AC771" s="456"/>
      <c r="AD771" s="522"/>
      <c r="AE771" s="699"/>
      <c r="AF771" s="456"/>
      <c r="AG771" s="699"/>
      <c r="AH771" s="481"/>
      <c r="AI771" s="491" t="s">
        <v>3348</v>
      </c>
    </row>
    <row r="772" spans="1:35" s="454" customFormat="1" ht="15" x14ac:dyDescent="0.25">
      <c r="A772" s="2688" t="s">
        <v>1694</v>
      </c>
      <c r="B772" s="2689"/>
      <c r="C772" s="2689"/>
      <c r="D772" s="2689"/>
      <c r="E772" s="2689"/>
      <c r="F772" s="2689"/>
      <c r="G772" s="2689"/>
      <c r="H772" s="2690"/>
      <c r="I772" s="682">
        <v>90570</v>
      </c>
      <c r="J772" s="682"/>
      <c r="K772" s="682"/>
      <c r="L772" s="683"/>
      <c r="M772" s="684">
        <v>2816.51</v>
      </c>
      <c r="X772" s="656"/>
      <c r="Y772" s="657"/>
      <c r="Z772" s="657"/>
      <c r="AA772" s="481"/>
      <c r="AC772" s="456"/>
      <c r="AD772" s="522"/>
      <c r="AE772" s="699"/>
      <c r="AF772" s="456"/>
      <c r="AG772" s="699"/>
      <c r="AH772" s="481"/>
      <c r="AI772" s="491" t="s">
        <v>1694</v>
      </c>
    </row>
    <row r="773" spans="1:35" s="454" customFormat="1" ht="15" x14ac:dyDescent="0.25">
      <c r="A773" s="2688" t="s">
        <v>1688</v>
      </c>
      <c r="B773" s="2689"/>
      <c r="C773" s="2689"/>
      <c r="D773" s="2689"/>
      <c r="E773" s="2689"/>
      <c r="F773" s="2689"/>
      <c r="G773" s="2689"/>
      <c r="H773" s="2690"/>
      <c r="I773" s="682">
        <v>11966872</v>
      </c>
      <c r="J773" s="682"/>
      <c r="K773" s="682"/>
      <c r="L773" s="683"/>
      <c r="M773" s="684">
        <v>61675.26</v>
      </c>
      <c r="X773" s="656"/>
      <c r="Y773" s="657"/>
      <c r="Z773" s="657"/>
      <c r="AA773" s="481"/>
      <c r="AC773" s="456"/>
      <c r="AD773" s="522"/>
      <c r="AE773" s="699"/>
      <c r="AF773" s="456"/>
      <c r="AG773" s="699"/>
      <c r="AH773" s="481"/>
      <c r="AI773" s="491" t="s">
        <v>1688</v>
      </c>
    </row>
    <row r="774" spans="1:35" s="454" customFormat="1" ht="15" x14ac:dyDescent="0.25">
      <c r="A774" s="2688" t="s">
        <v>1689</v>
      </c>
      <c r="B774" s="2689"/>
      <c r="C774" s="2689"/>
      <c r="D774" s="2689"/>
      <c r="E774" s="2689"/>
      <c r="F774" s="2689"/>
      <c r="G774" s="2689"/>
      <c r="H774" s="2690"/>
      <c r="I774" s="682"/>
      <c r="J774" s="682"/>
      <c r="K774" s="682"/>
      <c r="L774" s="683"/>
      <c r="M774" s="683"/>
      <c r="X774" s="656"/>
      <c r="Y774" s="657"/>
      <c r="Z774" s="657"/>
      <c r="AA774" s="481"/>
      <c r="AC774" s="456"/>
      <c r="AD774" s="522"/>
      <c r="AE774" s="699"/>
      <c r="AF774" s="456"/>
      <c r="AG774" s="699"/>
      <c r="AH774" s="481"/>
      <c r="AI774" s="491" t="s">
        <v>1689</v>
      </c>
    </row>
    <row r="775" spans="1:35" s="454" customFormat="1" ht="15" x14ac:dyDescent="0.25">
      <c r="A775" s="2688" t="s">
        <v>1690</v>
      </c>
      <c r="B775" s="2689"/>
      <c r="C775" s="2689"/>
      <c r="D775" s="2689"/>
      <c r="E775" s="2689"/>
      <c r="F775" s="2689"/>
      <c r="G775" s="2689"/>
      <c r="H775" s="2690"/>
      <c r="I775" s="682"/>
      <c r="J775" s="682"/>
      <c r="K775" s="682"/>
      <c r="L775" s="683"/>
      <c r="M775" s="683"/>
      <c r="X775" s="656"/>
      <c r="Y775" s="657"/>
      <c r="Z775" s="657"/>
      <c r="AA775" s="481"/>
      <c r="AC775" s="456"/>
      <c r="AD775" s="522"/>
      <c r="AE775" s="699"/>
      <c r="AF775" s="456"/>
      <c r="AG775" s="699"/>
      <c r="AH775" s="481"/>
      <c r="AI775" s="491" t="s">
        <v>1690</v>
      </c>
    </row>
    <row r="776" spans="1:35" s="454" customFormat="1" ht="22.5" x14ac:dyDescent="0.25">
      <c r="A776" s="2688" t="s">
        <v>3349</v>
      </c>
      <c r="B776" s="2689"/>
      <c r="C776" s="2689"/>
      <c r="D776" s="2689"/>
      <c r="E776" s="2689"/>
      <c r="F776" s="2689"/>
      <c r="G776" s="2689"/>
      <c r="H776" s="2690"/>
      <c r="I776" s="682">
        <v>3714</v>
      </c>
      <c r="J776" s="682">
        <v>1298</v>
      </c>
      <c r="K776" s="682" t="s">
        <v>3350</v>
      </c>
      <c r="L776" s="683"/>
      <c r="M776" s="684">
        <v>158.72</v>
      </c>
      <c r="X776" s="656"/>
      <c r="Y776" s="657"/>
      <c r="Z776" s="657"/>
      <c r="AA776" s="481"/>
      <c r="AC776" s="456"/>
      <c r="AD776" s="522"/>
      <c r="AE776" s="699"/>
      <c r="AF776" s="456"/>
      <c r="AG776" s="699"/>
      <c r="AH776" s="481"/>
      <c r="AI776" s="491" t="s">
        <v>3349</v>
      </c>
    </row>
    <row r="777" spans="1:35" s="454" customFormat="1" ht="15" x14ac:dyDescent="0.25">
      <c r="A777" s="2688" t="s">
        <v>3351</v>
      </c>
      <c r="B777" s="2689"/>
      <c r="C777" s="2689"/>
      <c r="D777" s="2689"/>
      <c r="E777" s="2689"/>
      <c r="F777" s="2689"/>
      <c r="G777" s="2689"/>
      <c r="H777" s="2690"/>
      <c r="I777" s="682">
        <v>1270</v>
      </c>
      <c r="J777" s="682"/>
      <c r="K777" s="682"/>
      <c r="L777" s="683"/>
      <c r="M777" s="683"/>
      <c r="X777" s="656"/>
      <c r="Y777" s="657"/>
      <c r="Z777" s="657"/>
      <c r="AA777" s="481"/>
      <c r="AC777" s="456"/>
      <c r="AD777" s="522"/>
      <c r="AE777" s="699"/>
      <c r="AF777" s="456"/>
      <c r="AG777" s="699"/>
      <c r="AH777" s="481"/>
      <c r="AI777" s="491" t="s">
        <v>3351</v>
      </c>
    </row>
    <row r="778" spans="1:35" s="454" customFormat="1" ht="15" x14ac:dyDescent="0.25">
      <c r="A778" s="2688" t="s">
        <v>3352</v>
      </c>
      <c r="B778" s="2689"/>
      <c r="C778" s="2689"/>
      <c r="D778" s="2689"/>
      <c r="E778" s="2689"/>
      <c r="F778" s="2689"/>
      <c r="G778" s="2689"/>
      <c r="H778" s="2690"/>
      <c r="I778" s="682">
        <v>952</v>
      </c>
      <c r="J778" s="682"/>
      <c r="K778" s="682"/>
      <c r="L778" s="683"/>
      <c r="M778" s="683"/>
      <c r="X778" s="656"/>
      <c r="Y778" s="657"/>
      <c r="Z778" s="657"/>
      <c r="AA778" s="481"/>
      <c r="AC778" s="456"/>
      <c r="AD778" s="522"/>
      <c r="AE778" s="699"/>
      <c r="AF778" s="456"/>
      <c r="AG778" s="699"/>
      <c r="AH778" s="481"/>
      <c r="AI778" s="491" t="s">
        <v>3352</v>
      </c>
    </row>
    <row r="779" spans="1:35" s="454" customFormat="1" ht="15" x14ac:dyDescent="0.25">
      <c r="A779" s="2688" t="s">
        <v>1694</v>
      </c>
      <c r="B779" s="2689"/>
      <c r="C779" s="2689"/>
      <c r="D779" s="2689"/>
      <c r="E779" s="2689"/>
      <c r="F779" s="2689"/>
      <c r="G779" s="2689"/>
      <c r="H779" s="2690"/>
      <c r="I779" s="682">
        <v>5936</v>
      </c>
      <c r="J779" s="682"/>
      <c r="K779" s="682"/>
      <c r="L779" s="683"/>
      <c r="M779" s="684">
        <v>158.72</v>
      </c>
      <c r="X779" s="656"/>
      <c r="Y779" s="657"/>
      <c r="Z779" s="657"/>
      <c r="AA779" s="481"/>
      <c r="AC779" s="456"/>
      <c r="AD779" s="522"/>
      <c r="AE779" s="699"/>
      <c r="AF779" s="456"/>
      <c r="AG779" s="699"/>
      <c r="AH779" s="481"/>
      <c r="AI779" s="491" t="s">
        <v>1694</v>
      </c>
    </row>
    <row r="780" spans="1:35" s="454" customFormat="1" ht="15" x14ac:dyDescent="0.25">
      <c r="A780" s="2688" t="s">
        <v>1688</v>
      </c>
      <c r="B780" s="2689"/>
      <c r="C780" s="2689"/>
      <c r="D780" s="2689"/>
      <c r="E780" s="2689"/>
      <c r="F780" s="2689"/>
      <c r="G780" s="2689"/>
      <c r="H780" s="2690"/>
      <c r="I780" s="682">
        <v>5936</v>
      </c>
      <c r="J780" s="682"/>
      <c r="K780" s="682"/>
      <c r="L780" s="683"/>
      <c r="M780" s="684">
        <v>158.72</v>
      </c>
      <c r="X780" s="656"/>
      <c r="Y780" s="657"/>
      <c r="Z780" s="657"/>
      <c r="AA780" s="481"/>
      <c r="AC780" s="456"/>
      <c r="AD780" s="522"/>
      <c r="AE780" s="699"/>
      <c r="AF780" s="456"/>
      <c r="AG780" s="699"/>
      <c r="AH780" s="481"/>
      <c r="AI780" s="491" t="s">
        <v>1688</v>
      </c>
    </row>
    <row r="781" spans="1:35" s="454" customFormat="1" ht="15" x14ac:dyDescent="0.25">
      <c r="A781" s="2688" t="s">
        <v>1695</v>
      </c>
      <c r="B781" s="2689"/>
      <c r="C781" s="2689"/>
      <c r="D781" s="2689"/>
      <c r="E781" s="2689"/>
      <c r="F781" s="2689"/>
      <c r="G781" s="2689"/>
      <c r="H781" s="2690"/>
      <c r="I781" s="682">
        <v>11972808</v>
      </c>
      <c r="J781" s="682"/>
      <c r="K781" s="682"/>
      <c r="L781" s="683"/>
      <c r="M781" s="684">
        <v>61833.98</v>
      </c>
      <c r="X781" s="656"/>
      <c r="Y781" s="657"/>
      <c r="Z781" s="657"/>
      <c r="AA781" s="481"/>
      <c r="AC781" s="456"/>
      <c r="AD781" s="522"/>
      <c r="AE781" s="699"/>
      <c r="AF781" s="456"/>
      <c r="AG781" s="699"/>
      <c r="AH781" s="481"/>
      <c r="AI781" s="491" t="s">
        <v>1695</v>
      </c>
    </row>
    <row r="782" spans="1:35" s="454" customFormat="1" ht="15" x14ac:dyDescent="0.25">
      <c r="A782" s="2688" t="s">
        <v>1696</v>
      </c>
      <c r="B782" s="2689"/>
      <c r="C782" s="2689"/>
      <c r="D782" s="2689"/>
      <c r="E782" s="2689"/>
      <c r="F782" s="2689"/>
      <c r="G782" s="2689"/>
      <c r="H782" s="2690"/>
      <c r="I782" s="682"/>
      <c r="J782" s="682"/>
      <c r="K782" s="682"/>
      <c r="L782" s="683"/>
      <c r="M782" s="683"/>
      <c r="X782" s="656"/>
      <c r="Y782" s="657"/>
      <c r="Z782" s="657"/>
      <c r="AA782" s="481"/>
      <c r="AC782" s="456"/>
      <c r="AD782" s="522"/>
      <c r="AE782" s="699"/>
      <c r="AF782" s="456"/>
      <c r="AG782" s="699"/>
      <c r="AH782" s="481"/>
      <c r="AI782" s="491" t="s">
        <v>1696</v>
      </c>
    </row>
    <row r="783" spans="1:35" s="454" customFormat="1" ht="15" x14ac:dyDescent="0.25">
      <c r="A783" s="2688" t="s">
        <v>1697</v>
      </c>
      <c r="B783" s="2689"/>
      <c r="C783" s="2689"/>
      <c r="D783" s="2689"/>
      <c r="E783" s="2689"/>
      <c r="F783" s="2689"/>
      <c r="G783" s="2689"/>
      <c r="H783" s="2690"/>
      <c r="I783" s="682">
        <v>4815634</v>
      </c>
      <c r="J783" s="682"/>
      <c r="K783" s="682"/>
      <c r="L783" s="683"/>
      <c r="M783" s="683"/>
      <c r="X783" s="656"/>
      <c r="Y783" s="657"/>
      <c r="Z783" s="657"/>
      <c r="AA783" s="481"/>
      <c r="AC783" s="456"/>
      <c r="AD783" s="522"/>
      <c r="AE783" s="699"/>
      <c r="AF783" s="456"/>
      <c r="AG783" s="699"/>
      <c r="AH783" s="481"/>
      <c r="AI783" s="491" t="s">
        <v>1697</v>
      </c>
    </row>
    <row r="784" spans="1:35" s="454" customFormat="1" ht="15" x14ac:dyDescent="0.25">
      <c r="A784" s="2688" t="s">
        <v>1698</v>
      </c>
      <c r="B784" s="2689"/>
      <c r="C784" s="2689"/>
      <c r="D784" s="2689"/>
      <c r="E784" s="2689"/>
      <c r="F784" s="2689"/>
      <c r="G784" s="2689"/>
      <c r="H784" s="2690"/>
      <c r="I784" s="682">
        <v>5216676</v>
      </c>
      <c r="J784" s="682"/>
      <c r="K784" s="682"/>
      <c r="L784" s="683"/>
      <c r="M784" s="683"/>
      <c r="X784" s="656"/>
      <c r="Y784" s="657"/>
      <c r="Z784" s="657"/>
      <c r="AA784" s="481"/>
      <c r="AC784" s="456"/>
      <c r="AD784" s="522"/>
      <c r="AE784" s="699"/>
      <c r="AF784" s="456"/>
      <c r="AG784" s="699"/>
      <c r="AH784" s="481"/>
      <c r="AI784" s="491" t="s">
        <v>1698</v>
      </c>
    </row>
    <row r="785" spans="1:36" s="454" customFormat="1" ht="15" x14ac:dyDescent="0.25">
      <c r="A785" s="2688" t="s">
        <v>1699</v>
      </c>
      <c r="B785" s="2689"/>
      <c r="C785" s="2689"/>
      <c r="D785" s="2689"/>
      <c r="E785" s="2689"/>
      <c r="F785" s="2689"/>
      <c r="G785" s="2689"/>
      <c r="H785" s="2690"/>
      <c r="I785" s="682">
        <v>846922</v>
      </c>
      <c r="J785" s="682"/>
      <c r="K785" s="682"/>
      <c r="L785" s="683"/>
      <c r="M785" s="683"/>
      <c r="X785" s="656"/>
      <c r="Y785" s="657"/>
      <c r="Z785" s="657"/>
      <c r="AA785" s="481"/>
      <c r="AC785" s="456"/>
      <c r="AD785" s="522"/>
      <c r="AE785" s="699"/>
      <c r="AF785" s="456"/>
      <c r="AG785" s="699"/>
      <c r="AH785" s="481"/>
      <c r="AI785" s="491" t="s">
        <v>1699</v>
      </c>
    </row>
    <row r="786" spans="1:36" s="454" customFormat="1" ht="15" x14ac:dyDescent="0.25">
      <c r="A786" s="2688" t="s">
        <v>1700</v>
      </c>
      <c r="B786" s="2689"/>
      <c r="C786" s="2689"/>
      <c r="D786" s="2689"/>
      <c r="E786" s="2689"/>
      <c r="F786" s="2689"/>
      <c r="G786" s="2689"/>
      <c r="H786" s="2690"/>
      <c r="I786" s="682">
        <v>894759</v>
      </c>
      <c r="J786" s="682"/>
      <c r="K786" s="682"/>
      <c r="L786" s="683"/>
      <c r="M786" s="683"/>
      <c r="X786" s="656"/>
      <c r="Y786" s="657"/>
      <c r="Z786" s="657"/>
      <c r="AA786" s="481"/>
      <c r="AC786" s="456"/>
      <c r="AD786" s="522"/>
      <c r="AE786" s="699"/>
      <c r="AF786" s="456"/>
      <c r="AG786" s="699"/>
      <c r="AH786" s="481"/>
      <c r="AI786" s="491" t="s">
        <v>1700</v>
      </c>
    </row>
    <row r="787" spans="1:36" s="454" customFormat="1" ht="15" x14ac:dyDescent="0.25">
      <c r="A787" s="2688" t="s">
        <v>1701</v>
      </c>
      <c r="B787" s="2689"/>
      <c r="C787" s="2689"/>
      <c r="D787" s="2689"/>
      <c r="E787" s="2689"/>
      <c r="F787" s="2689"/>
      <c r="G787" s="2689"/>
      <c r="H787" s="2690"/>
      <c r="I787" s="682">
        <v>436465</v>
      </c>
      <c r="J787" s="682"/>
      <c r="K787" s="682"/>
      <c r="L787" s="683"/>
      <c r="M787" s="683"/>
      <c r="X787" s="656"/>
      <c r="Y787" s="657"/>
      <c r="Z787" s="657"/>
      <c r="AA787" s="481"/>
      <c r="AC787" s="456"/>
      <c r="AD787" s="522"/>
      <c r="AE787" s="699"/>
      <c r="AF787" s="456"/>
      <c r="AG787" s="699"/>
      <c r="AH787" s="481"/>
      <c r="AI787" s="491" t="s">
        <v>1701</v>
      </c>
    </row>
    <row r="788" spans="1:36" s="454" customFormat="1" ht="15" x14ac:dyDescent="0.25">
      <c r="A788" s="2685" t="s">
        <v>1702</v>
      </c>
      <c r="B788" s="2686"/>
      <c r="C788" s="2686"/>
      <c r="D788" s="2686"/>
      <c r="E788" s="2686"/>
      <c r="F788" s="2686"/>
      <c r="G788" s="2686"/>
      <c r="H788" s="2687"/>
      <c r="I788" s="661">
        <v>11972808</v>
      </c>
      <c r="J788" s="661"/>
      <c r="K788" s="661"/>
      <c r="L788" s="681"/>
      <c r="M788" s="672">
        <v>61833.98</v>
      </c>
      <c r="X788" s="656"/>
      <c r="Y788" s="657"/>
      <c r="Z788" s="657"/>
      <c r="AA788" s="481"/>
      <c r="AC788" s="456"/>
      <c r="AD788" s="522"/>
      <c r="AE788" s="699"/>
      <c r="AF788" s="456"/>
      <c r="AG788" s="699"/>
      <c r="AH788" s="481"/>
      <c r="AJ788" s="481" t="s">
        <v>1702</v>
      </c>
    </row>
    <row r="789" spans="1:36" s="454" customFormat="1" ht="15" x14ac:dyDescent="0.25">
      <c r="A789" s="2677" t="s">
        <v>1419</v>
      </c>
      <c r="B789" s="2678"/>
      <c r="C789" s="2678"/>
      <c r="D789" s="2678"/>
      <c r="E789" s="2678"/>
      <c r="F789" s="2678"/>
      <c r="G789" s="2678"/>
      <c r="H789" s="2678"/>
      <c r="I789" s="2678"/>
      <c r="J789" s="2678"/>
      <c r="K789" s="2678"/>
      <c r="L789" s="2678"/>
      <c r="M789" s="2679"/>
      <c r="X789" s="656" t="s">
        <v>1419</v>
      </c>
      <c r="Y789" s="657"/>
      <c r="Z789" s="657"/>
      <c r="AA789" s="481"/>
      <c r="AC789" s="456"/>
      <c r="AD789" s="522"/>
      <c r="AE789" s="699"/>
      <c r="AF789" s="456"/>
      <c r="AG789" s="699"/>
      <c r="AH789" s="481"/>
      <c r="AJ789" s="481"/>
    </row>
    <row r="790" spans="1:36" s="454" customFormat="1" ht="15" x14ac:dyDescent="0.25">
      <c r="A790" s="2680" t="s">
        <v>1420</v>
      </c>
      <c r="B790" s="2681"/>
      <c r="C790" s="2681"/>
      <c r="D790" s="2681"/>
      <c r="E790" s="2681"/>
      <c r="F790" s="2681"/>
      <c r="G790" s="2681"/>
      <c r="H790" s="2681"/>
      <c r="I790" s="2681"/>
      <c r="J790" s="2681"/>
      <c r="K790" s="2681"/>
      <c r="L790" s="2681"/>
      <c r="M790" s="2682"/>
      <c r="X790" s="656"/>
      <c r="Y790" s="657" t="s">
        <v>1420</v>
      </c>
      <c r="Z790" s="657"/>
      <c r="AA790" s="481"/>
      <c r="AC790" s="456"/>
      <c r="AD790" s="522"/>
      <c r="AE790" s="699"/>
      <c r="AF790" s="456"/>
      <c r="AG790" s="699"/>
      <c r="AH790" s="481"/>
      <c r="AJ790" s="481"/>
    </row>
    <row r="791" spans="1:36" s="454" customFormat="1" ht="15" x14ac:dyDescent="0.25">
      <c r="A791" s="2680" t="s">
        <v>1181</v>
      </c>
      <c r="B791" s="2681"/>
      <c r="C791" s="2681"/>
      <c r="D791" s="2681"/>
      <c r="E791" s="2681"/>
      <c r="F791" s="2681"/>
      <c r="G791" s="2681"/>
      <c r="H791" s="2681"/>
      <c r="I791" s="2681"/>
      <c r="J791" s="2681"/>
      <c r="K791" s="2681"/>
      <c r="L791" s="2681"/>
      <c r="M791" s="2682"/>
      <c r="X791" s="656"/>
      <c r="Y791" s="657"/>
      <c r="Z791" s="657" t="s">
        <v>1181</v>
      </c>
      <c r="AA791" s="481"/>
      <c r="AC791" s="456"/>
      <c r="AD791" s="522"/>
      <c r="AE791" s="699"/>
      <c r="AF791" s="456"/>
      <c r="AG791" s="699"/>
      <c r="AH791" s="481"/>
      <c r="AJ791" s="481"/>
    </row>
    <row r="792" spans="1:36" s="454" customFormat="1" ht="45.75" x14ac:dyDescent="0.25">
      <c r="A792" s="658" t="s">
        <v>1421</v>
      </c>
      <c r="B792" s="659" t="s">
        <v>1703</v>
      </c>
      <c r="C792" s="2673" t="s">
        <v>1704</v>
      </c>
      <c r="D792" s="2673"/>
      <c r="E792" s="2673"/>
      <c r="F792" s="685">
        <v>2.0400000000000001E-2</v>
      </c>
      <c r="G792" s="661" t="s">
        <v>1705</v>
      </c>
      <c r="H792" s="661" t="s">
        <v>1706</v>
      </c>
      <c r="I792" s="661">
        <v>523</v>
      </c>
      <c r="J792" s="661">
        <v>173</v>
      </c>
      <c r="K792" s="662" t="s">
        <v>1423</v>
      </c>
      <c r="L792" s="672">
        <v>1038.78</v>
      </c>
      <c r="M792" s="672">
        <v>21.19</v>
      </c>
      <c r="X792" s="656"/>
      <c r="Y792" s="657"/>
      <c r="Z792" s="657"/>
      <c r="AA792" s="481" t="s">
        <v>1704</v>
      </c>
      <c r="AC792" s="456"/>
      <c r="AD792" s="522"/>
      <c r="AE792" s="699"/>
      <c r="AF792" s="456"/>
      <c r="AG792" s="699"/>
      <c r="AH792" s="481"/>
      <c r="AJ792" s="481"/>
    </row>
    <row r="793" spans="1:36" s="454" customFormat="1" ht="15" x14ac:dyDescent="0.25">
      <c r="A793" s="664"/>
      <c r="B793" s="665"/>
      <c r="C793" s="666" t="s">
        <v>3353</v>
      </c>
      <c r="D793" s="667"/>
      <c r="E793" s="667"/>
      <c r="F793" s="667"/>
      <c r="G793" s="667"/>
      <c r="H793" s="667"/>
      <c r="I793" s="667"/>
      <c r="J793" s="667"/>
      <c r="K793" s="667"/>
      <c r="L793" s="667"/>
      <c r="M793" s="668"/>
      <c r="X793" s="656"/>
      <c r="Y793" s="657"/>
      <c r="Z793" s="657"/>
      <c r="AA793" s="481"/>
      <c r="AC793" s="456"/>
      <c r="AD793" s="522"/>
      <c r="AE793" s="699"/>
      <c r="AF793" s="456"/>
      <c r="AG793" s="699"/>
      <c r="AH793" s="481"/>
      <c r="AJ793" s="481"/>
    </row>
    <row r="794" spans="1:36" s="454" customFormat="1" ht="33.75" x14ac:dyDescent="0.25">
      <c r="A794" s="542"/>
      <c r="B794" s="673" t="s">
        <v>1655</v>
      </c>
      <c r="C794" s="2670" t="s">
        <v>1656</v>
      </c>
      <c r="D794" s="2670"/>
      <c r="E794" s="2670"/>
      <c r="F794" s="2670"/>
      <c r="G794" s="2670"/>
      <c r="H794" s="2670"/>
      <c r="I794" s="2670"/>
      <c r="J794" s="2670"/>
      <c r="K794" s="2670"/>
      <c r="L794" s="2670"/>
      <c r="M794" s="2671"/>
      <c r="X794" s="656"/>
      <c r="Y794" s="657"/>
      <c r="Z794" s="657"/>
      <c r="AA794" s="481"/>
      <c r="AB794" s="491" t="s">
        <v>1656</v>
      </c>
      <c r="AC794" s="456"/>
      <c r="AD794" s="522"/>
      <c r="AE794" s="699"/>
      <c r="AF794" s="456"/>
      <c r="AG794" s="699"/>
      <c r="AH794" s="481"/>
      <c r="AJ794" s="481"/>
    </row>
    <row r="795" spans="1:36" s="454" customFormat="1" ht="15" x14ac:dyDescent="0.25">
      <c r="A795" s="823"/>
      <c r="B795" s="824"/>
      <c r="C795" s="824"/>
      <c r="D795" s="824"/>
      <c r="E795" s="825" t="s">
        <v>3354</v>
      </c>
      <c r="F795" s="826"/>
      <c r="G795" s="827"/>
      <c r="H795" s="648"/>
      <c r="I795" s="828">
        <v>168</v>
      </c>
      <c r="J795" s="829"/>
      <c r="K795" s="829"/>
      <c r="L795" s="830"/>
      <c r="M795" s="831"/>
      <c r="X795" s="656"/>
      <c r="Y795" s="657"/>
      <c r="Z795" s="657"/>
      <c r="AA795" s="481"/>
      <c r="AC795" s="456"/>
      <c r="AD795" s="522"/>
      <c r="AE795" s="699"/>
      <c r="AF795" s="456"/>
      <c r="AG795" s="699"/>
      <c r="AH795" s="481"/>
      <c r="AJ795" s="481"/>
    </row>
    <row r="796" spans="1:36" s="454" customFormat="1" ht="15" x14ac:dyDescent="0.25">
      <c r="A796" s="823"/>
      <c r="B796" s="824"/>
      <c r="C796" s="824"/>
      <c r="D796" s="824"/>
      <c r="E796" s="825" t="s">
        <v>3355</v>
      </c>
      <c r="F796" s="826"/>
      <c r="G796" s="827"/>
      <c r="H796" s="648"/>
      <c r="I796" s="828">
        <v>95</v>
      </c>
      <c r="J796" s="829"/>
      <c r="K796" s="829"/>
      <c r="L796" s="830"/>
      <c r="M796" s="831"/>
      <c r="X796" s="656"/>
      <c r="Y796" s="657"/>
      <c r="Z796" s="657"/>
      <c r="AA796" s="481"/>
      <c r="AC796" s="456"/>
      <c r="AD796" s="522"/>
      <c r="AE796" s="699"/>
      <c r="AF796" s="456"/>
      <c r="AG796" s="699"/>
      <c r="AH796" s="481"/>
      <c r="AJ796" s="481"/>
    </row>
    <row r="797" spans="1:36" s="454" customFormat="1" ht="15" x14ac:dyDescent="0.25">
      <c r="A797" s="823"/>
      <c r="B797" s="824"/>
      <c r="C797" s="824"/>
      <c r="D797" s="824"/>
      <c r="E797" s="825" t="s">
        <v>2692</v>
      </c>
      <c r="F797" s="826"/>
      <c r="G797" s="827"/>
      <c r="H797" s="648"/>
      <c r="I797" s="828">
        <v>786</v>
      </c>
      <c r="J797" s="829"/>
      <c r="K797" s="829"/>
      <c r="L797" s="830"/>
      <c r="M797" s="831"/>
      <c r="X797" s="656"/>
      <c r="Y797" s="657"/>
      <c r="Z797" s="657"/>
      <c r="AA797" s="481"/>
      <c r="AC797" s="456"/>
      <c r="AD797" s="522"/>
      <c r="AE797" s="699"/>
      <c r="AF797" s="456"/>
      <c r="AG797" s="699"/>
      <c r="AH797" s="481"/>
      <c r="AJ797" s="481"/>
    </row>
    <row r="798" spans="1:36" s="454" customFormat="1" ht="23.25" x14ac:dyDescent="0.25">
      <c r="A798" s="507"/>
      <c r="B798" s="674" t="s">
        <v>1657</v>
      </c>
      <c r="C798" s="2672" t="s">
        <v>1709</v>
      </c>
      <c r="D798" s="2672"/>
      <c r="E798" s="2672"/>
      <c r="F798" s="675" t="s">
        <v>3356</v>
      </c>
      <c r="G798" s="676" t="s">
        <v>1660</v>
      </c>
      <c r="H798" s="676"/>
      <c r="I798" s="676">
        <v>173.12</v>
      </c>
      <c r="J798" s="676">
        <v>173.12</v>
      </c>
      <c r="K798" s="676"/>
      <c r="L798" s="677"/>
      <c r="M798" s="678"/>
      <c r="X798" s="656"/>
      <c r="Y798" s="657"/>
      <c r="Z798" s="657"/>
      <c r="AA798" s="481"/>
      <c r="AC798" s="456" t="s">
        <v>1709</v>
      </c>
      <c r="AD798" s="522"/>
      <c r="AE798" s="699"/>
      <c r="AF798" s="456"/>
      <c r="AG798" s="699"/>
      <c r="AH798" s="481"/>
      <c r="AJ798" s="481"/>
    </row>
    <row r="799" spans="1:36" s="454" customFormat="1" ht="23.25" x14ac:dyDescent="0.25">
      <c r="A799" s="507"/>
      <c r="B799" s="674" t="s">
        <v>639</v>
      </c>
      <c r="C799" s="2672" t="s">
        <v>1711</v>
      </c>
      <c r="D799" s="2672"/>
      <c r="E799" s="2672"/>
      <c r="F799" s="675" t="s">
        <v>3357</v>
      </c>
      <c r="G799" s="676">
        <v>0</v>
      </c>
      <c r="H799" s="676">
        <v>0</v>
      </c>
      <c r="I799" s="676">
        <v>0</v>
      </c>
      <c r="J799" s="676"/>
      <c r="K799" s="676">
        <v>0</v>
      </c>
      <c r="L799" s="677"/>
      <c r="M799" s="678"/>
      <c r="X799" s="656"/>
      <c r="Y799" s="657"/>
      <c r="Z799" s="657"/>
      <c r="AA799" s="481"/>
      <c r="AC799" s="456" t="s">
        <v>1711</v>
      </c>
      <c r="AD799" s="522"/>
      <c r="AE799" s="699"/>
      <c r="AF799" s="456"/>
      <c r="AG799" s="699"/>
      <c r="AH799" s="481"/>
      <c r="AJ799" s="481"/>
    </row>
    <row r="800" spans="1:36" s="454" customFormat="1" ht="57" x14ac:dyDescent="0.25">
      <c r="A800" s="507"/>
      <c r="B800" s="674" t="s">
        <v>1713</v>
      </c>
      <c r="C800" s="2672" t="s">
        <v>1714</v>
      </c>
      <c r="D800" s="2672"/>
      <c r="E800" s="2672"/>
      <c r="F800" s="675" t="s">
        <v>3358</v>
      </c>
      <c r="G800" s="676">
        <v>90</v>
      </c>
      <c r="H800" s="676" t="s">
        <v>1716</v>
      </c>
      <c r="I800" s="676">
        <v>218.7</v>
      </c>
      <c r="J800" s="676"/>
      <c r="K800" s="676" t="s">
        <v>3359</v>
      </c>
      <c r="L800" s="677"/>
      <c r="M800" s="678"/>
      <c r="X800" s="656"/>
      <c r="Y800" s="657"/>
      <c r="Z800" s="657"/>
      <c r="AA800" s="481"/>
      <c r="AC800" s="456" t="s">
        <v>1714</v>
      </c>
      <c r="AD800" s="522"/>
      <c r="AE800" s="699"/>
      <c r="AF800" s="456"/>
      <c r="AG800" s="699"/>
      <c r="AH800" s="481"/>
      <c r="AJ800" s="481"/>
    </row>
    <row r="801" spans="1:36" s="454" customFormat="1" ht="45.75" x14ac:dyDescent="0.25">
      <c r="A801" s="507"/>
      <c r="B801" s="674" t="s">
        <v>1718</v>
      </c>
      <c r="C801" s="2672" t="s">
        <v>1719</v>
      </c>
      <c r="D801" s="2672"/>
      <c r="E801" s="2672"/>
      <c r="F801" s="675" t="s">
        <v>3360</v>
      </c>
      <c r="G801" s="676">
        <v>1.53</v>
      </c>
      <c r="H801" s="676" t="s">
        <v>1721</v>
      </c>
      <c r="I801" s="676">
        <v>14.84</v>
      </c>
      <c r="J801" s="676"/>
      <c r="K801" s="676" t="s">
        <v>3361</v>
      </c>
      <c r="L801" s="677"/>
      <c r="M801" s="678"/>
      <c r="X801" s="656"/>
      <c r="Y801" s="657"/>
      <c r="Z801" s="657"/>
      <c r="AA801" s="481"/>
      <c r="AC801" s="456" t="s">
        <v>1719</v>
      </c>
      <c r="AD801" s="522"/>
      <c r="AE801" s="699"/>
      <c r="AF801" s="456"/>
      <c r="AG801" s="699"/>
      <c r="AH801" s="481"/>
      <c r="AJ801" s="481"/>
    </row>
    <row r="802" spans="1:36" s="454" customFormat="1" ht="57" x14ac:dyDescent="0.25">
      <c r="A802" s="658" t="s">
        <v>1424</v>
      </c>
      <c r="B802" s="659" t="s">
        <v>1723</v>
      </c>
      <c r="C802" s="2673" t="s">
        <v>1724</v>
      </c>
      <c r="D802" s="2673"/>
      <c r="E802" s="2673"/>
      <c r="F802" s="660">
        <v>2.1000000000000001E-2</v>
      </c>
      <c r="G802" s="661" t="s">
        <v>1725</v>
      </c>
      <c r="H802" s="661" t="s">
        <v>1726</v>
      </c>
      <c r="I802" s="661">
        <v>388</v>
      </c>
      <c r="J802" s="661">
        <v>211</v>
      </c>
      <c r="K802" s="662" t="s">
        <v>1426</v>
      </c>
      <c r="L802" s="672">
        <v>1178.82</v>
      </c>
      <c r="M802" s="672">
        <v>24.76</v>
      </c>
      <c r="X802" s="656"/>
      <c r="Y802" s="657"/>
      <c r="Z802" s="657"/>
      <c r="AA802" s="481" t="s">
        <v>1724</v>
      </c>
      <c r="AC802" s="456"/>
      <c r="AD802" s="522"/>
      <c r="AE802" s="699"/>
      <c r="AF802" s="456"/>
      <c r="AG802" s="699"/>
      <c r="AH802" s="481"/>
      <c r="AJ802" s="481"/>
    </row>
    <row r="803" spans="1:36" s="454" customFormat="1" ht="15" x14ac:dyDescent="0.25">
      <c r="A803" s="664"/>
      <c r="B803" s="665"/>
      <c r="C803" s="666" t="s">
        <v>3362</v>
      </c>
      <c r="D803" s="667"/>
      <c r="E803" s="667"/>
      <c r="F803" s="667"/>
      <c r="G803" s="667"/>
      <c r="H803" s="667"/>
      <c r="I803" s="667"/>
      <c r="J803" s="667"/>
      <c r="K803" s="667"/>
      <c r="L803" s="667"/>
      <c r="M803" s="668"/>
      <c r="X803" s="656"/>
      <c r="Y803" s="657"/>
      <c r="Z803" s="657"/>
      <c r="AA803" s="481"/>
      <c r="AC803" s="456"/>
      <c r="AD803" s="522"/>
      <c r="AE803" s="699"/>
      <c r="AF803" s="456"/>
      <c r="AG803" s="699"/>
      <c r="AH803" s="481"/>
      <c r="AJ803" s="481"/>
    </row>
    <row r="804" spans="1:36" s="454" customFormat="1" ht="33.75" x14ac:dyDescent="0.25">
      <c r="A804" s="542"/>
      <c r="B804" s="673" t="s">
        <v>1655</v>
      </c>
      <c r="C804" s="2670" t="s">
        <v>1656</v>
      </c>
      <c r="D804" s="2670"/>
      <c r="E804" s="2670"/>
      <c r="F804" s="2670"/>
      <c r="G804" s="2670"/>
      <c r="H804" s="2670"/>
      <c r="I804" s="2670"/>
      <c r="J804" s="2670"/>
      <c r="K804" s="2670"/>
      <c r="L804" s="2670"/>
      <c r="M804" s="2671"/>
      <c r="X804" s="656"/>
      <c r="Y804" s="657"/>
      <c r="Z804" s="657"/>
      <c r="AA804" s="481"/>
      <c r="AB804" s="491" t="s">
        <v>1656</v>
      </c>
      <c r="AC804" s="456"/>
      <c r="AD804" s="522"/>
      <c r="AE804" s="699"/>
      <c r="AF804" s="456"/>
      <c r="AG804" s="699"/>
      <c r="AH804" s="481"/>
      <c r="AJ804" s="481"/>
    </row>
    <row r="805" spans="1:36" s="454" customFormat="1" ht="15" x14ac:dyDescent="0.25">
      <c r="A805" s="823"/>
      <c r="B805" s="824"/>
      <c r="C805" s="824"/>
      <c r="D805" s="824"/>
      <c r="E805" s="825" t="s">
        <v>3363</v>
      </c>
      <c r="F805" s="826"/>
      <c r="G805" s="827"/>
      <c r="H805" s="648"/>
      <c r="I805" s="828">
        <v>236</v>
      </c>
      <c r="J805" s="829"/>
      <c r="K805" s="829"/>
      <c r="L805" s="830"/>
      <c r="M805" s="831"/>
      <c r="X805" s="656"/>
      <c r="Y805" s="657"/>
      <c r="Z805" s="657"/>
      <c r="AA805" s="481"/>
      <c r="AC805" s="456"/>
      <c r="AD805" s="522"/>
      <c r="AE805" s="699"/>
      <c r="AF805" s="456"/>
      <c r="AG805" s="699"/>
      <c r="AH805" s="481"/>
      <c r="AJ805" s="481"/>
    </row>
    <row r="806" spans="1:36" s="454" customFormat="1" ht="15" x14ac:dyDescent="0.25">
      <c r="A806" s="823"/>
      <c r="B806" s="824"/>
      <c r="C806" s="824"/>
      <c r="D806" s="824"/>
      <c r="E806" s="825" t="s">
        <v>3364</v>
      </c>
      <c r="F806" s="826"/>
      <c r="G806" s="827"/>
      <c r="H806" s="648"/>
      <c r="I806" s="828">
        <v>146</v>
      </c>
      <c r="J806" s="829"/>
      <c r="K806" s="829"/>
      <c r="L806" s="830"/>
      <c r="M806" s="831"/>
      <c r="X806" s="656"/>
      <c r="Y806" s="657"/>
      <c r="Z806" s="657"/>
      <c r="AA806" s="481"/>
      <c r="AC806" s="456"/>
      <c r="AD806" s="522"/>
      <c r="AE806" s="699"/>
      <c r="AF806" s="456"/>
      <c r="AG806" s="699"/>
      <c r="AH806" s="481"/>
      <c r="AJ806" s="481"/>
    </row>
    <row r="807" spans="1:36" s="454" customFormat="1" ht="15" x14ac:dyDescent="0.25">
      <c r="A807" s="823"/>
      <c r="B807" s="824"/>
      <c r="C807" s="824"/>
      <c r="D807" s="824"/>
      <c r="E807" s="825" t="s">
        <v>2692</v>
      </c>
      <c r="F807" s="826"/>
      <c r="G807" s="827"/>
      <c r="H807" s="648"/>
      <c r="I807" s="828">
        <v>770</v>
      </c>
      <c r="J807" s="829"/>
      <c r="K807" s="829"/>
      <c r="L807" s="830"/>
      <c r="M807" s="831"/>
      <c r="X807" s="656"/>
      <c r="Y807" s="657"/>
      <c r="Z807" s="657"/>
      <c r="AA807" s="481"/>
      <c r="AC807" s="456"/>
      <c r="AD807" s="522"/>
      <c r="AE807" s="699"/>
      <c r="AF807" s="456"/>
      <c r="AG807" s="699"/>
      <c r="AH807" s="481"/>
      <c r="AJ807" s="481"/>
    </row>
    <row r="808" spans="1:36" s="454" customFormat="1" ht="23.25" x14ac:dyDescent="0.25">
      <c r="A808" s="507"/>
      <c r="B808" s="674" t="s">
        <v>1729</v>
      </c>
      <c r="C808" s="2672" t="s">
        <v>1730</v>
      </c>
      <c r="D808" s="2672"/>
      <c r="E808" s="2672"/>
      <c r="F808" s="675" t="s">
        <v>3365</v>
      </c>
      <c r="G808" s="676" t="s">
        <v>1732</v>
      </c>
      <c r="H808" s="676"/>
      <c r="I808" s="676">
        <v>211.2</v>
      </c>
      <c r="J808" s="676">
        <v>211.2</v>
      </c>
      <c r="K808" s="676"/>
      <c r="L808" s="677"/>
      <c r="M808" s="678"/>
      <c r="X808" s="656"/>
      <c r="Y808" s="657"/>
      <c r="Z808" s="657"/>
      <c r="AA808" s="481"/>
      <c r="AC808" s="456" t="s">
        <v>1730</v>
      </c>
      <c r="AD808" s="522"/>
      <c r="AE808" s="699"/>
      <c r="AF808" s="456"/>
      <c r="AG808" s="699"/>
      <c r="AH808" s="481"/>
      <c r="AJ808" s="481"/>
    </row>
    <row r="809" spans="1:36" s="454" customFormat="1" ht="23.25" x14ac:dyDescent="0.25">
      <c r="A809" s="507"/>
      <c r="B809" s="674" t="s">
        <v>639</v>
      </c>
      <c r="C809" s="2672" t="s">
        <v>1711</v>
      </c>
      <c r="D809" s="2672"/>
      <c r="E809" s="2672"/>
      <c r="F809" s="675" t="s">
        <v>3366</v>
      </c>
      <c r="G809" s="676">
        <v>0</v>
      </c>
      <c r="H809" s="676">
        <v>0</v>
      </c>
      <c r="I809" s="676">
        <v>0</v>
      </c>
      <c r="J809" s="676"/>
      <c r="K809" s="676">
        <v>0</v>
      </c>
      <c r="L809" s="677"/>
      <c r="M809" s="678"/>
      <c r="X809" s="656"/>
      <c r="Y809" s="657"/>
      <c r="Z809" s="657"/>
      <c r="AA809" s="481"/>
      <c r="AC809" s="456" t="s">
        <v>1711</v>
      </c>
      <c r="AD809" s="522"/>
      <c r="AE809" s="699"/>
      <c r="AF809" s="456"/>
      <c r="AG809" s="699"/>
      <c r="AH809" s="481"/>
      <c r="AJ809" s="481"/>
    </row>
    <row r="810" spans="1:36" s="454" customFormat="1" ht="23.25" x14ac:dyDescent="0.25">
      <c r="A810" s="507"/>
      <c r="B810" s="674" t="s">
        <v>1734</v>
      </c>
      <c r="C810" s="2672" t="s">
        <v>1735</v>
      </c>
      <c r="D810" s="2672"/>
      <c r="E810" s="2672"/>
      <c r="F810" s="675" t="s">
        <v>3367</v>
      </c>
      <c r="G810" s="676">
        <v>86.4</v>
      </c>
      <c r="H810" s="676" t="s">
        <v>1737</v>
      </c>
      <c r="I810" s="676">
        <v>55.3</v>
      </c>
      <c r="J810" s="676"/>
      <c r="K810" s="676" t="s">
        <v>3368</v>
      </c>
      <c r="L810" s="677"/>
      <c r="M810" s="678"/>
      <c r="X810" s="656"/>
      <c r="Y810" s="657"/>
      <c r="Z810" s="657"/>
      <c r="AA810" s="481"/>
      <c r="AC810" s="456" t="s">
        <v>1735</v>
      </c>
      <c r="AD810" s="522"/>
      <c r="AE810" s="699"/>
      <c r="AF810" s="456"/>
      <c r="AG810" s="699"/>
      <c r="AH810" s="481"/>
      <c r="AJ810" s="481"/>
    </row>
    <row r="811" spans="1:36" s="454" customFormat="1" ht="34.5" x14ac:dyDescent="0.25">
      <c r="A811" s="507"/>
      <c r="B811" s="674" t="s">
        <v>1663</v>
      </c>
      <c r="C811" s="2672" t="s">
        <v>1664</v>
      </c>
      <c r="D811" s="2672"/>
      <c r="E811" s="2672"/>
      <c r="F811" s="675" t="s">
        <v>3369</v>
      </c>
      <c r="G811" s="676">
        <v>111.99</v>
      </c>
      <c r="H811" s="676" t="s">
        <v>1666</v>
      </c>
      <c r="I811" s="676">
        <v>1.1200000000000001</v>
      </c>
      <c r="J811" s="676"/>
      <c r="K811" s="676" t="s">
        <v>3370</v>
      </c>
      <c r="L811" s="677"/>
      <c r="M811" s="678"/>
      <c r="X811" s="656"/>
      <c r="Y811" s="657"/>
      <c r="Z811" s="657"/>
      <c r="AA811" s="481"/>
      <c r="AC811" s="456" t="s">
        <v>1664</v>
      </c>
      <c r="AD811" s="522"/>
      <c r="AE811" s="699"/>
      <c r="AF811" s="456"/>
      <c r="AG811" s="699"/>
      <c r="AH811" s="481"/>
      <c r="AJ811" s="481"/>
    </row>
    <row r="812" spans="1:36" s="454" customFormat="1" ht="23.25" x14ac:dyDescent="0.25">
      <c r="A812" s="507"/>
      <c r="B812" s="674" t="s">
        <v>1741</v>
      </c>
      <c r="C812" s="2672" t="s">
        <v>1742</v>
      </c>
      <c r="D812" s="2672"/>
      <c r="E812" s="2672"/>
      <c r="F812" s="675" t="s">
        <v>2708</v>
      </c>
      <c r="G812" s="676">
        <v>89.99</v>
      </c>
      <c r="H812" s="676" t="s">
        <v>1744</v>
      </c>
      <c r="I812" s="676">
        <v>0.9</v>
      </c>
      <c r="J812" s="676"/>
      <c r="K812" s="676" t="s">
        <v>2709</v>
      </c>
      <c r="L812" s="677"/>
      <c r="M812" s="678"/>
      <c r="X812" s="656"/>
      <c r="Y812" s="657"/>
      <c r="Z812" s="657"/>
      <c r="AA812" s="481"/>
      <c r="AC812" s="456" t="s">
        <v>1742</v>
      </c>
      <c r="AD812" s="522"/>
      <c r="AE812" s="699"/>
      <c r="AF812" s="456"/>
      <c r="AG812" s="699"/>
      <c r="AH812" s="481"/>
      <c r="AJ812" s="481"/>
    </row>
    <row r="813" spans="1:36" s="454" customFormat="1" ht="23.25" x14ac:dyDescent="0.25">
      <c r="A813" s="507"/>
      <c r="B813" s="674" t="s">
        <v>1746</v>
      </c>
      <c r="C813" s="2672" t="s">
        <v>1747</v>
      </c>
      <c r="D813" s="2672"/>
      <c r="E813" s="2672"/>
      <c r="F813" s="675" t="s">
        <v>3371</v>
      </c>
      <c r="G813" s="676">
        <v>1.9</v>
      </c>
      <c r="H813" s="676" t="s">
        <v>1749</v>
      </c>
      <c r="I813" s="676">
        <v>1.5</v>
      </c>
      <c r="J813" s="676"/>
      <c r="K813" s="676" t="s">
        <v>3372</v>
      </c>
      <c r="L813" s="677"/>
      <c r="M813" s="678"/>
      <c r="X813" s="656"/>
      <c r="Y813" s="657"/>
      <c r="Z813" s="657"/>
      <c r="AA813" s="481"/>
      <c r="AC813" s="456" t="s">
        <v>1747</v>
      </c>
      <c r="AD813" s="522"/>
      <c r="AE813" s="699"/>
      <c r="AF813" s="456"/>
      <c r="AG813" s="699"/>
      <c r="AH813" s="481"/>
      <c r="AJ813" s="481"/>
    </row>
    <row r="814" spans="1:36" s="454" customFormat="1" ht="34.5" x14ac:dyDescent="0.25">
      <c r="A814" s="507"/>
      <c r="B814" s="674" t="s">
        <v>821</v>
      </c>
      <c r="C814" s="2672" t="s">
        <v>1751</v>
      </c>
      <c r="D814" s="2672"/>
      <c r="E814" s="2672"/>
      <c r="F814" s="675" t="s">
        <v>3373</v>
      </c>
      <c r="G814" s="676">
        <v>65.709999999999994</v>
      </c>
      <c r="H814" s="676" t="s">
        <v>1753</v>
      </c>
      <c r="I814" s="676">
        <v>1.31</v>
      </c>
      <c r="J814" s="676"/>
      <c r="K814" s="676" t="s">
        <v>3374</v>
      </c>
      <c r="L814" s="677"/>
      <c r="M814" s="678"/>
      <c r="X814" s="656"/>
      <c r="Y814" s="657"/>
      <c r="Z814" s="657"/>
      <c r="AA814" s="481"/>
      <c r="AC814" s="456" t="s">
        <v>1751</v>
      </c>
      <c r="AD814" s="522"/>
      <c r="AE814" s="699"/>
      <c r="AF814" s="456"/>
      <c r="AG814" s="699"/>
      <c r="AH814" s="481"/>
      <c r="AJ814" s="481"/>
    </row>
    <row r="815" spans="1:36" s="454" customFormat="1" ht="23.25" x14ac:dyDescent="0.25">
      <c r="A815" s="507"/>
      <c r="B815" s="674" t="s">
        <v>1755</v>
      </c>
      <c r="C815" s="2672" t="s">
        <v>1257</v>
      </c>
      <c r="D815" s="2672"/>
      <c r="E815" s="2672"/>
      <c r="F815" s="675" t="s">
        <v>3375</v>
      </c>
      <c r="G815" s="676">
        <v>2.44</v>
      </c>
      <c r="H815" s="676"/>
      <c r="I815" s="676">
        <v>0.02</v>
      </c>
      <c r="J815" s="676"/>
      <c r="K815" s="676"/>
      <c r="L815" s="677"/>
      <c r="M815" s="678"/>
      <c r="X815" s="656"/>
      <c r="Y815" s="657"/>
      <c r="Z815" s="657"/>
      <c r="AA815" s="481"/>
      <c r="AC815" s="456" t="s">
        <v>1257</v>
      </c>
      <c r="AD815" s="522"/>
      <c r="AE815" s="699"/>
      <c r="AF815" s="456"/>
      <c r="AG815" s="699"/>
      <c r="AH815" s="481"/>
      <c r="AJ815" s="481"/>
    </row>
    <row r="816" spans="1:36" s="454" customFormat="1" ht="23.25" x14ac:dyDescent="0.25">
      <c r="A816" s="507"/>
      <c r="B816" s="674" t="s">
        <v>1757</v>
      </c>
      <c r="C816" s="2672" t="s">
        <v>1758</v>
      </c>
      <c r="D816" s="2672"/>
      <c r="E816" s="2672"/>
      <c r="F816" s="675" t="s">
        <v>3376</v>
      </c>
      <c r="G816" s="676">
        <v>3.62</v>
      </c>
      <c r="H816" s="676"/>
      <c r="I816" s="676">
        <v>11.63</v>
      </c>
      <c r="J816" s="676"/>
      <c r="K816" s="676"/>
      <c r="L816" s="677"/>
      <c r="M816" s="678"/>
      <c r="X816" s="656"/>
      <c r="Y816" s="657"/>
      <c r="Z816" s="657"/>
      <c r="AA816" s="481"/>
      <c r="AC816" s="456" t="s">
        <v>1758</v>
      </c>
      <c r="AD816" s="522"/>
      <c r="AE816" s="699"/>
      <c r="AF816" s="456"/>
      <c r="AG816" s="699"/>
      <c r="AH816" s="481"/>
      <c r="AJ816" s="481"/>
    </row>
    <row r="817" spans="1:36" s="454" customFormat="1" ht="23.25" x14ac:dyDescent="0.25">
      <c r="A817" s="507"/>
      <c r="B817" s="674" t="s">
        <v>841</v>
      </c>
      <c r="C817" s="2672" t="s">
        <v>1760</v>
      </c>
      <c r="D817" s="2672"/>
      <c r="E817" s="2672"/>
      <c r="F817" s="675" t="s">
        <v>3377</v>
      </c>
      <c r="G817" s="676">
        <v>11978</v>
      </c>
      <c r="H817" s="676"/>
      <c r="I817" s="676">
        <v>5.99</v>
      </c>
      <c r="J817" s="676"/>
      <c r="K817" s="676"/>
      <c r="L817" s="677"/>
      <c r="M817" s="678"/>
      <c r="X817" s="656"/>
      <c r="Y817" s="657"/>
      <c r="Z817" s="657"/>
      <c r="AA817" s="481"/>
      <c r="AC817" s="456" t="s">
        <v>1760</v>
      </c>
      <c r="AD817" s="522"/>
      <c r="AE817" s="699"/>
      <c r="AF817" s="456"/>
      <c r="AG817" s="699"/>
      <c r="AH817" s="481"/>
      <c r="AJ817" s="481"/>
    </row>
    <row r="818" spans="1:36" s="454" customFormat="1" ht="34.5" x14ac:dyDescent="0.25">
      <c r="A818" s="507"/>
      <c r="B818" s="674" t="s">
        <v>1762</v>
      </c>
      <c r="C818" s="2672" t="s">
        <v>1763</v>
      </c>
      <c r="D818" s="2672"/>
      <c r="E818" s="2672"/>
      <c r="F818" s="675" t="s">
        <v>3378</v>
      </c>
      <c r="G818" s="676">
        <v>734.5</v>
      </c>
      <c r="H818" s="676"/>
      <c r="I818" s="676">
        <v>0.44</v>
      </c>
      <c r="J818" s="676"/>
      <c r="K818" s="676"/>
      <c r="L818" s="677"/>
      <c r="M818" s="678"/>
      <c r="X818" s="656"/>
      <c r="Y818" s="657"/>
      <c r="Z818" s="657"/>
      <c r="AA818" s="481"/>
      <c r="AC818" s="456" t="s">
        <v>1763</v>
      </c>
      <c r="AD818" s="522"/>
      <c r="AE818" s="699"/>
      <c r="AF818" s="456"/>
      <c r="AG818" s="699"/>
      <c r="AH818" s="481"/>
      <c r="AJ818" s="481"/>
    </row>
    <row r="819" spans="1:36" s="454" customFormat="1" ht="23.25" x14ac:dyDescent="0.25">
      <c r="A819" s="515" t="s">
        <v>863</v>
      </c>
      <c r="B819" s="686" t="s">
        <v>1765</v>
      </c>
      <c r="C819" s="2683" t="s">
        <v>1766</v>
      </c>
      <c r="D819" s="2683"/>
      <c r="E819" s="2683"/>
      <c r="F819" s="687" t="s">
        <v>3379</v>
      </c>
      <c r="G819" s="688">
        <v>0</v>
      </c>
      <c r="H819" s="688"/>
      <c r="I819" s="688">
        <v>0</v>
      </c>
      <c r="J819" s="688"/>
      <c r="K819" s="688"/>
      <c r="L819" s="689"/>
      <c r="M819" s="690"/>
      <c r="X819" s="656"/>
      <c r="Y819" s="657"/>
      <c r="Z819" s="657"/>
      <c r="AA819" s="481"/>
      <c r="AC819" s="456"/>
      <c r="AD819" s="522" t="s">
        <v>1766</v>
      </c>
      <c r="AE819" s="699"/>
      <c r="AF819" s="456"/>
      <c r="AG819" s="699"/>
      <c r="AH819" s="481"/>
      <c r="AJ819" s="481"/>
    </row>
    <row r="820" spans="1:36" s="454" customFormat="1" ht="23.25" x14ac:dyDescent="0.25">
      <c r="A820" s="507"/>
      <c r="B820" s="674" t="s">
        <v>1768</v>
      </c>
      <c r="C820" s="2672" t="s">
        <v>1769</v>
      </c>
      <c r="D820" s="2672"/>
      <c r="E820" s="2672"/>
      <c r="F820" s="675" t="s">
        <v>3380</v>
      </c>
      <c r="G820" s="676">
        <v>10200</v>
      </c>
      <c r="H820" s="676"/>
      <c r="I820" s="676">
        <v>1.02</v>
      </c>
      <c r="J820" s="676"/>
      <c r="K820" s="676"/>
      <c r="L820" s="677"/>
      <c r="M820" s="678"/>
      <c r="X820" s="656"/>
      <c r="Y820" s="657"/>
      <c r="Z820" s="657"/>
      <c r="AA820" s="481"/>
      <c r="AC820" s="456" t="s">
        <v>1769</v>
      </c>
      <c r="AD820" s="522"/>
      <c r="AE820" s="699"/>
      <c r="AF820" s="456"/>
      <c r="AG820" s="699"/>
      <c r="AH820" s="481"/>
      <c r="AJ820" s="481"/>
    </row>
    <row r="821" spans="1:36" s="454" customFormat="1" ht="34.5" x14ac:dyDescent="0.25">
      <c r="A821" s="507"/>
      <c r="B821" s="674" t="s">
        <v>850</v>
      </c>
      <c r="C821" s="2672" t="s">
        <v>1771</v>
      </c>
      <c r="D821" s="2672"/>
      <c r="E821" s="2672"/>
      <c r="F821" s="675" t="s">
        <v>3381</v>
      </c>
      <c r="G821" s="676">
        <v>4455.2</v>
      </c>
      <c r="H821" s="676"/>
      <c r="I821" s="676">
        <v>3.56</v>
      </c>
      <c r="J821" s="676"/>
      <c r="K821" s="676"/>
      <c r="L821" s="677"/>
      <c r="M821" s="678"/>
      <c r="X821" s="656"/>
      <c r="Y821" s="657"/>
      <c r="Z821" s="657"/>
      <c r="AA821" s="481"/>
      <c r="AC821" s="456" t="s">
        <v>1771</v>
      </c>
      <c r="AD821" s="522"/>
      <c r="AE821" s="699"/>
      <c r="AF821" s="456"/>
      <c r="AG821" s="699"/>
      <c r="AH821" s="481"/>
      <c r="AJ821" s="481"/>
    </row>
    <row r="822" spans="1:36" s="454" customFormat="1" ht="23.25" x14ac:dyDescent="0.25">
      <c r="A822" s="515" t="s">
        <v>863</v>
      </c>
      <c r="B822" s="686" t="s">
        <v>1773</v>
      </c>
      <c r="C822" s="2683" t="s">
        <v>1774</v>
      </c>
      <c r="D822" s="2683"/>
      <c r="E822" s="2683"/>
      <c r="F822" s="687" t="s">
        <v>3382</v>
      </c>
      <c r="G822" s="688">
        <v>0</v>
      </c>
      <c r="H822" s="688"/>
      <c r="I822" s="688">
        <v>0</v>
      </c>
      <c r="J822" s="688"/>
      <c r="K822" s="688"/>
      <c r="L822" s="689"/>
      <c r="M822" s="690"/>
      <c r="X822" s="656"/>
      <c r="Y822" s="657"/>
      <c r="Z822" s="657"/>
      <c r="AA822" s="481"/>
      <c r="AC822" s="456"/>
      <c r="AD822" s="522" t="s">
        <v>1774</v>
      </c>
      <c r="AE822" s="699"/>
      <c r="AF822" s="456"/>
      <c r="AG822" s="699"/>
      <c r="AH822" s="481"/>
      <c r="AJ822" s="481"/>
    </row>
    <row r="823" spans="1:36" s="454" customFormat="1" ht="45.75" x14ac:dyDescent="0.25">
      <c r="A823" s="507"/>
      <c r="B823" s="674" t="s">
        <v>1776</v>
      </c>
      <c r="C823" s="2672" t="s">
        <v>1777</v>
      </c>
      <c r="D823" s="2672"/>
      <c r="E823" s="2672"/>
      <c r="F823" s="675" t="s">
        <v>3383</v>
      </c>
      <c r="G823" s="676">
        <v>1056</v>
      </c>
      <c r="H823" s="676"/>
      <c r="I823" s="676">
        <v>16.37</v>
      </c>
      <c r="J823" s="676"/>
      <c r="K823" s="676"/>
      <c r="L823" s="677"/>
      <c r="M823" s="678"/>
      <c r="X823" s="656"/>
      <c r="Y823" s="657"/>
      <c r="Z823" s="657"/>
      <c r="AA823" s="481"/>
      <c r="AC823" s="456" t="s">
        <v>1777</v>
      </c>
      <c r="AD823" s="522"/>
      <c r="AE823" s="699"/>
      <c r="AF823" s="456"/>
      <c r="AG823" s="699"/>
      <c r="AH823" s="481"/>
      <c r="AJ823" s="481"/>
    </row>
    <row r="824" spans="1:36" s="454" customFormat="1" ht="23.25" x14ac:dyDescent="0.25">
      <c r="A824" s="507"/>
      <c r="B824" s="674" t="s">
        <v>1779</v>
      </c>
      <c r="C824" s="2672" t="s">
        <v>1780</v>
      </c>
      <c r="D824" s="2672"/>
      <c r="E824" s="2672"/>
      <c r="F824" s="675" t="s">
        <v>3384</v>
      </c>
      <c r="G824" s="676">
        <v>35.53</v>
      </c>
      <c r="H824" s="676"/>
      <c r="I824" s="676">
        <v>47.82</v>
      </c>
      <c r="J824" s="676"/>
      <c r="K824" s="676"/>
      <c r="L824" s="677"/>
      <c r="M824" s="678"/>
      <c r="X824" s="656"/>
      <c r="Y824" s="657"/>
      <c r="Z824" s="657"/>
      <c r="AA824" s="481"/>
      <c r="AC824" s="456" t="s">
        <v>1780</v>
      </c>
      <c r="AD824" s="522"/>
      <c r="AE824" s="699"/>
      <c r="AF824" s="456"/>
      <c r="AG824" s="699"/>
      <c r="AH824" s="481"/>
      <c r="AJ824" s="481"/>
    </row>
    <row r="825" spans="1:36" s="454" customFormat="1" ht="45" x14ac:dyDescent="0.25">
      <c r="A825" s="658" t="s">
        <v>1427</v>
      </c>
      <c r="B825" s="659" t="s">
        <v>1647</v>
      </c>
      <c r="C825" s="2673" t="s">
        <v>1195</v>
      </c>
      <c r="D825" s="2673"/>
      <c r="E825" s="2673"/>
      <c r="F825" s="660">
        <v>2.1320000000000001</v>
      </c>
      <c r="G825" s="661">
        <v>725.69</v>
      </c>
      <c r="H825" s="661"/>
      <c r="I825" s="661">
        <v>1547</v>
      </c>
      <c r="J825" s="661"/>
      <c r="K825" s="662"/>
      <c r="L825" s="663">
        <v>0</v>
      </c>
      <c r="M825" s="663">
        <v>0</v>
      </c>
      <c r="X825" s="656"/>
      <c r="Y825" s="657"/>
      <c r="Z825" s="657"/>
      <c r="AA825" s="481" t="s">
        <v>1195</v>
      </c>
      <c r="AC825" s="456"/>
      <c r="AD825" s="522"/>
      <c r="AE825" s="699"/>
      <c r="AF825" s="456"/>
      <c r="AG825" s="699"/>
      <c r="AH825" s="481"/>
      <c r="AJ825" s="481"/>
    </row>
    <row r="826" spans="1:36" s="454" customFormat="1" ht="15" x14ac:dyDescent="0.25">
      <c r="A826" s="664"/>
      <c r="B826" s="665"/>
      <c r="C826" s="666" t="s">
        <v>3385</v>
      </c>
      <c r="D826" s="667"/>
      <c r="E826" s="667"/>
      <c r="F826" s="667"/>
      <c r="G826" s="667"/>
      <c r="H826" s="667"/>
      <c r="I826" s="667"/>
      <c r="J826" s="667"/>
      <c r="K826" s="667"/>
      <c r="L826" s="667"/>
      <c r="M826" s="668"/>
      <c r="X826" s="656"/>
      <c r="Y826" s="657"/>
      <c r="Z826" s="657"/>
      <c r="AA826" s="481"/>
      <c r="AC826" s="456"/>
      <c r="AD826" s="522"/>
      <c r="AE826" s="699"/>
      <c r="AF826" s="456"/>
      <c r="AG826" s="699"/>
      <c r="AH826" s="481"/>
      <c r="AJ826" s="481"/>
    </row>
    <row r="827" spans="1:36" s="454" customFormat="1" ht="34.5" x14ac:dyDescent="0.25">
      <c r="A827" s="658" t="s">
        <v>1429</v>
      </c>
      <c r="B827" s="659" t="s">
        <v>1197</v>
      </c>
      <c r="C827" s="2673" t="s">
        <v>1198</v>
      </c>
      <c r="D827" s="2673"/>
      <c r="E827" s="2673"/>
      <c r="F827" s="680">
        <v>2.1</v>
      </c>
      <c r="G827" s="661" t="s">
        <v>1649</v>
      </c>
      <c r="H827" s="661"/>
      <c r="I827" s="661">
        <v>68</v>
      </c>
      <c r="J827" s="661"/>
      <c r="K827" s="662"/>
      <c r="L827" s="663">
        <v>0</v>
      </c>
      <c r="M827" s="663">
        <v>0</v>
      </c>
      <c r="X827" s="656"/>
      <c r="Y827" s="657"/>
      <c r="Z827" s="657"/>
      <c r="AA827" s="481" t="s">
        <v>1198</v>
      </c>
      <c r="AC827" s="456"/>
      <c r="AD827" s="522"/>
      <c r="AE827" s="699"/>
      <c r="AF827" s="456"/>
      <c r="AG827" s="699"/>
      <c r="AH827" s="481"/>
      <c r="AJ827" s="481"/>
    </row>
    <row r="828" spans="1:36" s="454" customFormat="1" ht="15" x14ac:dyDescent="0.25">
      <c r="A828" s="542"/>
      <c r="B828" s="665"/>
      <c r="C828" s="666" t="s">
        <v>1650</v>
      </c>
      <c r="D828" s="667"/>
      <c r="E828" s="667"/>
      <c r="F828" s="667"/>
      <c r="G828" s="667"/>
      <c r="H828" s="667"/>
      <c r="I828" s="667"/>
      <c r="J828" s="667"/>
      <c r="K828" s="667"/>
      <c r="L828" s="667"/>
      <c r="M828" s="669"/>
      <c r="X828" s="656"/>
      <c r="Y828" s="657"/>
      <c r="Z828" s="657"/>
      <c r="AA828" s="481"/>
      <c r="AC828" s="456"/>
      <c r="AD828" s="522"/>
      <c r="AE828" s="699"/>
      <c r="AF828" s="456"/>
      <c r="AG828" s="699"/>
      <c r="AH828" s="481"/>
      <c r="AJ828" s="481"/>
    </row>
    <row r="829" spans="1:36" s="454" customFormat="1" ht="45" x14ac:dyDescent="0.25">
      <c r="A829" s="658" t="s">
        <v>1430</v>
      </c>
      <c r="B829" s="659" t="s">
        <v>1651</v>
      </c>
      <c r="C829" s="2673" t="s">
        <v>1201</v>
      </c>
      <c r="D829" s="2673"/>
      <c r="E829" s="2673"/>
      <c r="F829" s="680">
        <v>0.3</v>
      </c>
      <c r="G829" s="661">
        <v>5584.58</v>
      </c>
      <c r="H829" s="661"/>
      <c r="I829" s="661">
        <v>1675</v>
      </c>
      <c r="J829" s="661"/>
      <c r="K829" s="662"/>
      <c r="L829" s="663">
        <v>0</v>
      </c>
      <c r="M829" s="663">
        <v>0</v>
      </c>
      <c r="X829" s="656"/>
      <c r="Y829" s="657"/>
      <c r="Z829" s="657"/>
      <c r="AA829" s="481" t="s">
        <v>1201</v>
      </c>
      <c r="AC829" s="456"/>
      <c r="AD829" s="522"/>
      <c r="AE829" s="699"/>
      <c r="AF829" s="456"/>
      <c r="AG829" s="699"/>
      <c r="AH829" s="481"/>
      <c r="AJ829" s="481"/>
    </row>
    <row r="830" spans="1:36" s="454" customFormat="1" ht="15" x14ac:dyDescent="0.25">
      <c r="A830" s="2680" t="s">
        <v>1202</v>
      </c>
      <c r="B830" s="2681"/>
      <c r="C830" s="2681"/>
      <c r="D830" s="2681"/>
      <c r="E830" s="2681"/>
      <c r="F830" s="2681"/>
      <c r="G830" s="2681"/>
      <c r="H830" s="2681"/>
      <c r="I830" s="2681"/>
      <c r="J830" s="2681"/>
      <c r="K830" s="2681"/>
      <c r="L830" s="2681"/>
      <c r="M830" s="2682"/>
      <c r="X830" s="656"/>
      <c r="Y830" s="657"/>
      <c r="Z830" s="657" t="s">
        <v>1202</v>
      </c>
      <c r="AA830" s="481"/>
      <c r="AC830" s="456"/>
      <c r="AD830" s="522"/>
      <c r="AE830" s="699"/>
      <c r="AF830" s="456"/>
      <c r="AG830" s="699"/>
      <c r="AH830" s="481"/>
      <c r="AJ830" s="481"/>
    </row>
    <row r="831" spans="1:36" s="454" customFormat="1" ht="45" x14ac:dyDescent="0.25">
      <c r="A831" s="658" t="s">
        <v>1431</v>
      </c>
      <c r="B831" s="659" t="s">
        <v>1783</v>
      </c>
      <c r="C831" s="2673" t="s">
        <v>1784</v>
      </c>
      <c r="D831" s="2673"/>
      <c r="E831" s="2673"/>
      <c r="F831" s="660">
        <v>0.68799999999999994</v>
      </c>
      <c r="G831" s="661" t="s">
        <v>1785</v>
      </c>
      <c r="H831" s="661" t="s">
        <v>1207</v>
      </c>
      <c r="I831" s="661">
        <v>566</v>
      </c>
      <c r="J831" s="661">
        <v>222</v>
      </c>
      <c r="K831" s="662" t="s">
        <v>1433</v>
      </c>
      <c r="L831" s="691">
        <v>31.1355</v>
      </c>
      <c r="M831" s="672">
        <v>21.42</v>
      </c>
      <c r="X831" s="656"/>
      <c r="Y831" s="657"/>
      <c r="Z831" s="657"/>
      <c r="AA831" s="481" t="s">
        <v>1784</v>
      </c>
      <c r="AC831" s="456"/>
      <c r="AD831" s="522"/>
      <c r="AE831" s="699"/>
      <c r="AF831" s="456"/>
      <c r="AG831" s="699"/>
      <c r="AH831" s="481"/>
      <c r="AJ831" s="481"/>
    </row>
    <row r="832" spans="1:36" s="454" customFormat="1" ht="15" x14ac:dyDescent="0.25">
      <c r="A832" s="664"/>
      <c r="B832" s="665"/>
      <c r="C832" s="666" t="s">
        <v>3386</v>
      </c>
      <c r="D832" s="667"/>
      <c r="E832" s="667"/>
      <c r="F832" s="667"/>
      <c r="G832" s="667"/>
      <c r="H832" s="667"/>
      <c r="I832" s="667"/>
      <c r="J832" s="667"/>
      <c r="K832" s="667"/>
      <c r="L832" s="667"/>
      <c r="M832" s="668"/>
      <c r="X832" s="656"/>
      <c r="Y832" s="657"/>
      <c r="Z832" s="657"/>
      <c r="AA832" s="481"/>
      <c r="AC832" s="456"/>
      <c r="AD832" s="522"/>
      <c r="AE832" s="699"/>
      <c r="AF832" s="456"/>
      <c r="AG832" s="699"/>
      <c r="AH832" s="481"/>
      <c r="AJ832" s="481"/>
    </row>
    <row r="833" spans="1:36" s="454" customFormat="1" ht="15" x14ac:dyDescent="0.25">
      <c r="A833" s="542"/>
      <c r="B833" s="673" t="s">
        <v>1788</v>
      </c>
      <c r="C833" s="2670" t="s">
        <v>1789</v>
      </c>
      <c r="D833" s="2670"/>
      <c r="E833" s="2670"/>
      <c r="F833" s="2670"/>
      <c r="G833" s="2670"/>
      <c r="H833" s="2670"/>
      <c r="I833" s="2670"/>
      <c r="J833" s="2670"/>
      <c r="K833" s="2670"/>
      <c r="L833" s="2670"/>
      <c r="M833" s="2671"/>
      <c r="X833" s="656"/>
      <c r="Y833" s="657"/>
      <c r="Z833" s="657"/>
      <c r="AA833" s="481"/>
      <c r="AB833" s="491" t="s">
        <v>1789</v>
      </c>
      <c r="AC833" s="456"/>
      <c r="AD833" s="522"/>
      <c r="AE833" s="699"/>
      <c r="AF833" s="456"/>
      <c r="AG833" s="699"/>
      <c r="AH833" s="481"/>
      <c r="AJ833" s="481"/>
    </row>
    <row r="834" spans="1:36" s="454" customFormat="1" ht="33.75" x14ac:dyDescent="0.25">
      <c r="A834" s="542"/>
      <c r="B834" s="673" t="s">
        <v>1655</v>
      </c>
      <c r="C834" s="2670" t="s">
        <v>1656</v>
      </c>
      <c r="D834" s="2670"/>
      <c r="E834" s="2670"/>
      <c r="F834" s="2670"/>
      <c r="G834" s="2670"/>
      <c r="H834" s="2670"/>
      <c r="I834" s="2670"/>
      <c r="J834" s="2670"/>
      <c r="K834" s="2670"/>
      <c r="L834" s="2670"/>
      <c r="M834" s="2671"/>
      <c r="X834" s="656"/>
      <c r="Y834" s="657"/>
      <c r="Z834" s="657"/>
      <c r="AA834" s="481"/>
      <c r="AB834" s="491" t="s">
        <v>1656</v>
      </c>
      <c r="AC834" s="456"/>
      <c r="AD834" s="522"/>
      <c r="AE834" s="699"/>
      <c r="AF834" s="456"/>
      <c r="AG834" s="699"/>
      <c r="AH834" s="481"/>
      <c r="AJ834" s="481"/>
    </row>
    <row r="835" spans="1:36" s="454" customFormat="1" ht="15" x14ac:dyDescent="0.25">
      <c r="A835" s="823"/>
      <c r="B835" s="824"/>
      <c r="C835" s="824"/>
      <c r="D835" s="824"/>
      <c r="E835" s="825" t="s">
        <v>3387</v>
      </c>
      <c r="F835" s="826"/>
      <c r="G835" s="827"/>
      <c r="H835" s="648"/>
      <c r="I835" s="828">
        <v>227</v>
      </c>
      <c r="J835" s="829"/>
      <c r="K835" s="829"/>
      <c r="L835" s="830"/>
      <c r="M835" s="831"/>
      <c r="X835" s="656"/>
      <c r="Y835" s="657"/>
      <c r="Z835" s="657"/>
      <c r="AA835" s="481"/>
      <c r="AC835" s="456"/>
      <c r="AD835" s="522"/>
      <c r="AE835" s="699"/>
      <c r="AF835" s="456"/>
      <c r="AG835" s="699"/>
      <c r="AH835" s="481"/>
      <c r="AJ835" s="481"/>
    </row>
    <row r="836" spans="1:36" s="454" customFormat="1" ht="15" x14ac:dyDescent="0.25">
      <c r="A836" s="823"/>
      <c r="B836" s="824"/>
      <c r="C836" s="824"/>
      <c r="D836" s="824"/>
      <c r="E836" s="825" t="s">
        <v>3388</v>
      </c>
      <c r="F836" s="826"/>
      <c r="G836" s="827"/>
      <c r="H836" s="648"/>
      <c r="I836" s="828">
        <v>214</v>
      </c>
      <c r="J836" s="829"/>
      <c r="K836" s="829"/>
      <c r="L836" s="830"/>
      <c r="M836" s="831"/>
      <c r="X836" s="656"/>
      <c r="Y836" s="657"/>
      <c r="Z836" s="657"/>
      <c r="AA836" s="481"/>
      <c r="AC836" s="456"/>
      <c r="AD836" s="522"/>
      <c r="AE836" s="699"/>
      <c r="AF836" s="456"/>
      <c r="AG836" s="699"/>
      <c r="AH836" s="481"/>
      <c r="AJ836" s="481"/>
    </row>
    <row r="837" spans="1:36" s="454" customFormat="1" ht="15" x14ac:dyDescent="0.25">
      <c r="A837" s="823"/>
      <c r="B837" s="824"/>
      <c r="C837" s="824"/>
      <c r="D837" s="824"/>
      <c r="E837" s="825" t="s">
        <v>2692</v>
      </c>
      <c r="F837" s="826"/>
      <c r="G837" s="827"/>
      <c r="H837" s="648"/>
      <c r="I837" s="828">
        <v>1007</v>
      </c>
      <c r="J837" s="829"/>
      <c r="K837" s="829"/>
      <c r="L837" s="830"/>
      <c r="M837" s="831"/>
      <c r="X837" s="656"/>
      <c r="Y837" s="657"/>
      <c r="Z837" s="657"/>
      <c r="AA837" s="481"/>
      <c r="AC837" s="456"/>
      <c r="AD837" s="522"/>
      <c r="AE837" s="699"/>
      <c r="AF837" s="456"/>
      <c r="AG837" s="699"/>
      <c r="AH837" s="481"/>
      <c r="AJ837" s="481"/>
    </row>
    <row r="838" spans="1:36" s="454" customFormat="1" ht="23.25" x14ac:dyDescent="0.25">
      <c r="A838" s="507"/>
      <c r="B838" s="674" t="s">
        <v>1790</v>
      </c>
      <c r="C838" s="2672" t="s">
        <v>1791</v>
      </c>
      <c r="D838" s="2672"/>
      <c r="E838" s="2672"/>
      <c r="F838" s="675" t="s">
        <v>3389</v>
      </c>
      <c r="G838" s="676" t="s">
        <v>1793</v>
      </c>
      <c r="H838" s="676"/>
      <c r="I838" s="676">
        <v>221.7</v>
      </c>
      <c r="J838" s="676">
        <v>221.7</v>
      </c>
      <c r="K838" s="676"/>
      <c r="L838" s="677"/>
      <c r="M838" s="678"/>
      <c r="X838" s="656"/>
      <c r="Y838" s="657"/>
      <c r="Z838" s="657"/>
      <c r="AA838" s="481"/>
      <c r="AC838" s="456" t="s">
        <v>1791</v>
      </c>
      <c r="AD838" s="522"/>
      <c r="AE838" s="699"/>
      <c r="AF838" s="456"/>
      <c r="AG838" s="699"/>
      <c r="AH838" s="481"/>
      <c r="AJ838" s="481"/>
    </row>
    <row r="839" spans="1:36" s="454" customFormat="1" ht="23.25" x14ac:dyDescent="0.25">
      <c r="A839" s="507"/>
      <c r="B839" s="674" t="s">
        <v>639</v>
      </c>
      <c r="C839" s="2672" t="s">
        <v>1661</v>
      </c>
      <c r="D839" s="2672"/>
      <c r="E839" s="2672"/>
      <c r="F839" s="675" t="s">
        <v>3390</v>
      </c>
      <c r="G839" s="676">
        <v>0</v>
      </c>
      <c r="H839" s="676">
        <v>0</v>
      </c>
      <c r="I839" s="676">
        <v>0</v>
      </c>
      <c r="J839" s="676"/>
      <c r="K839" s="676">
        <v>0</v>
      </c>
      <c r="L839" s="677"/>
      <c r="M839" s="678"/>
      <c r="X839" s="656"/>
      <c r="Y839" s="657"/>
      <c r="Z839" s="657"/>
      <c r="AA839" s="481"/>
      <c r="AC839" s="456" t="s">
        <v>1661</v>
      </c>
      <c r="AD839" s="522"/>
      <c r="AE839" s="699"/>
      <c r="AF839" s="456"/>
      <c r="AG839" s="699"/>
      <c r="AH839" s="481"/>
      <c r="AJ839" s="481"/>
    </row>
    <row r="840" spans="1:36" s="454" customFormat="1" ht="34.5" x14ac:dyDescent="0.25">
      <c r="A840" s="507"/>
      <c r="B840" s="674" t="s">
        <v>1663</v>
      </c>
      <c r="C840" s="2672" t="s">
        <v>1664</v>
      </c>
      <c r="D840" s="2672"/>
      <c r="E840" s="2672"/>
      <c r="F840" s="675" t="s">
        <v>3391</v>
      </c>
      <c r="G840" s="676">
        <v>111.99</v>
      </c>
      <c r="H840" s="676" t="s">
        <v>1666</v>
      </c>
      <c r="I840" s="676">
        <v>15.68</v>
      </c>
      <c r="J840" s="676"/>
      <c r="K840" s="676" t="s">
        <v>3392</v>
      </c>
      <c r="L840" s="677"/>
      <c r="M840" s="678"/>
      <c r="X840" s="656"/>
      <c r="Y840" s="657"/>
      <c r="Z840" s="657"/>
      <c r="AA840" s="481"/>
      <c r="AC840" s="456" t="s">
        <v>1664</v>
      </c>
      <c r="AD840" s="522"/>
      <c r="AE840" s="699"/>
      <c r="AF840" s="456"/>
      <c r="AG840" s="699"/>
      <c r="AH840" s="481"/>
      <c r="AJ840" s="481"/>
    </row>
    <row r="841" spans="1:36" s="454" customFormat="1" ht="34.5" x14ac:dyDescent="0.25">
      <c r="A841" s="507"/>
      <c r="B841" s="674" t="s">
        <v>1797</v>
      </c>
      <c r="C841" s="2672" t="s">
        <v>1798</v>
      </c>
      <c r="D841" s="2672"/>
      <c r="E841" s="2672"/>
      <c r="F841" s="675" t="s">
        <v>3393</v>
      </c>
      <c r="G841" s="676">
        <v>120.04</v>
      </c>
      <c r="H841" s="676" t="s">
        <v>1800</v>
      </c>
      <c r="I841" s="676">
        <v>138.05000000000001</v>
      </c>
      <c r="J841" s="676"/>
      <c r="K841" s="676" t="s">
        <v>3394</v>
      </c>
      <c r="L841" s="677"/>
      <c r="M841" s="678"/>
      <c r="X841" s="656"/>
      <c r="Y841" s="657"/>
      <c r="Z841" s="657"/>
      <c r="AA841" s="481"/>
      <c r="AC841" s="456" t="s">
        <v>1798</v>
      </c>
      <c r="AD841" s="522"/>
      <c r="AE841" s="699"/>
      <c r="AF841" s="456"/>
      <c r="AG841" s="699"/>
      <c r="AH841" s="481"/>
      <c r="AJ841" s="481"/>
    </row>
    <row r="842" spans="1:36" s="454" customFormat="1" ht="34.5" x14ac:dyDescent="0.25">
      <c r="A842" s="507"/>
      <c r="B842" s="674" t="s">
        <v>819</v>
      </c>
      <c r="C842" s="2672" t="s">
        <v>1802</v>
      </c>
      <c r="D842" s="2672"/>
      <c r="E842" s="2672"/>
      <c r="F842" s="675" t="s">
        <v>3395</v>
      </c>
      <c r="G842" s="676">
        <v>0.9</v>
      </c>
      <c r="H842" s="676" t="s">
        <v>1804</v>
      </c>
      <c r="I842" s="676">
        <v>0.05</v>
      </c>
      <c r="J842" s="676"/>
      <c r="K842" s="676" t="s">
        <v>3396</v>
      </c>
      <c r="L842" s="677"/>
      <c r="M842" s="678"/>
      <c r="X842" s="656"/>
      <c r="Y842" s="657"/>
      <c r="Z842" s="657"/>
      <c r="AA842" s="481"/>
      <c r="AC842" s="456" t="s">
        <v>1802</v>
      </c>
      <c r="AD842" s="522"/>
      <c r="AE842" s="699"/>
      <c r="AF842" s="456"/>
      <c r="AG842" s="699"/>
      <c r="AH842" s="481"/>
      <c r="AJ842" s="481"/>
    </row>
    <row r="843" spans="1:36" s="454" customFormat="1" ht="34.5" x14ac:dyDescent="0.25">
      <c r="A843" s="507"/>
      <c r="B843" s="674" t="s">
        <v>821</v>
      </c>
      <c r="C843" s="2672" t="s">
        <v>1751</v>
      </c>
      <c r="D843" s="2672"/>
      <c r="E843" s="2672"/>
      <c r="F843" s="675" t="s">
        <v>3397</v>
      </c>
      <c r="G843" s="676">
        <v>65.709999999999994</v>
      </c>
      <c r="H843" s="676" t="s">
        <v>1753</v>
      </c>
      <c r="I843" s="676">
        <v>13.14</v>
      </c>
      <c r="J843" s="676"/>
      <c r="K843" s="676" t="s">
        <v>3398</v>
      </c>
      <c r="L843" s="677"/>
      <c r="M843" s="678"/>
      <c r="X843" s="656"/>
      <c r="Y843" s="657"/>
      <c r="Z843" s="657"/>
      <c r="AA843" s="481"/>
      <c r="AC843" s="456" t="s">
        <v>1751</v>
      </c>
      <c r="AD843" s="522"/>
      <c r="AE843" s="699"/>
      <c r="AF843" s="456"/>
      <c r="AG843" s="699"/>
      <c r="AH843" s="481"/>
      <c r="AJ843" s="481"/>
    </row>
    <row r="844" spans="1:36" s="454" customFormat="1" ht="23.25" x14ac:dyDescent="0.25">
      <c r="A844" s="507"/>
      <c r="B844" s="674" t="s">
        <v>825</v>
      </c>
      <c r="C844" s="2672" t="s">
        <v>1808</v>
      </c>
      <c r="D844" s="2672"/>
      <c r="E844" s="2672"/>
      <c r="F844" s="675" t="s">
        <v>3399</v>
      </c>
      <c r="G844" s="676">
        <v>1.2</v>
      </c>
      <c r="H844" s="676" t="s">
        <v>1810</v>
      </c>
      <c r="I844" s="676">
        <v>1.85</v>
      </c>
      <c r="J844" s="676"/>
      <c r="K844" s="676" t="s">
        <v>3400</v>
      </c>
      <c r="L844" s="677"/>
      <c r="M844" s="678"/>
      <c r="X844" s="656"/>
      <c r="Y844" s="657"/>
      <c r="Z844" s="657"/>
      <c r="AA844" s="481"/>
      <c r="AC844" s="456" t="s">
        <v>1808</v>
      </c>
      <c r="AD844" s="522"/>
      <c r="AE844" s="699"/>
      <c r="AF844" s="456"/>
      <c r="AG844" s="699"/>
      <c r="AH844" s="481"/>
      <c r="AJ844" s="481"/>
    </row>
    <row r="845" spans="1:36" s="454" customFormat="1" ht="34.5" x14ac:dyDescent="0.25">
      <c r="A845" s="507"/>
      <c r="B845" s="674" t="s">
        <v>827</v>
      </c>
      <c r="C845" s="2672" t="s">
        <v>1812</v>
      </c>
      <c r="D845" s="2672"/>
      <c r="E845" s="2672"/>
      <c r="F845" s="675" t="s">
        <v>3401</v>
      </c>
      <c r="G845" s="676">
        <v>12.31</v>
      </c>
      <c r="H845" s="676" t="s">
        <v>1814</v>
      </c>
      <c r="I845" s="676">
        <v>10.96</v>
      </c>
      <c r="J845" s="676"/>
      <c r="K845" s="676" t="s">
        <v>3402</v>
      </c>
      <c r="L845" s="677"/>
      <c r="M845" s="678"/>
      <c r="X845" s="656"/>
      <c r="Y845" s="657"/>
      <c r="Z845" s="657"/>
      <c r="AA845" s="481"/>
      <c r="AC845" s="456" t="s">
        <v>1812</v>
      </c>
      <c r="AD845" s="522"/>
      <c r="AE845" s="699"/>
      <c r="AF845" s="456"/>
      <c r="AG845" s="699"/>
      <c r="AH845" s="481"/>
      <c r="AJ845" s="481"/>
    </row>
    <row r="846" spans="1:36" s="454" customFormat="1" ht="23.25" x14ac:dyDescent="0.25">
      <c r="A846" s="507"/>
      <c r="B846" s="674" t="s">
        <v>830</v>
      </c>
      <c r="C846" s="2672" t="s">
        <v>1816</v>
      </c>
      <c r="D846" s="2672"/>
      <c r="E846" s="2672"/>
      <c r="F846" s="675" t="s">
        <v>3403</v>
      </c>
      <c r="G846" s="676">
        <v>6.22</v>
      </c>
      <c r="H846" s="676"/>
      <c r="I846" s="676">
        <v>8.35</v>
      </c>
      <c r="J846" s="676"/>
      <c r="K846" s="676"/>
      <c r="L846" s="677"/>
      <c r="M846" s="678"/>
      <c r="X846" s="656"/>
      <c r="Y846" s="657"/>
      <c r="Z846" s="657"/>
      <c r="AA846" s="481"/>
      <c r="AC846" s="456" t="s">
        <v>1816</v>
      </c>
      <c r="AD846" s="522"/>
      <c r="AE846" s="699"/>
      <c r="AF846" s="456"/>
      <c r="AG846" s="699"/>
      <c r="AH846" s="481"/>
      <c r="AJ846" s="481"/>
    </row>
    <row r="847" spans="1:36" s="454" customFormat="1" ht="23.25" x14ac:dyDescent="0.25">
      <c r="A847" s="507"/>
      <c r="B847" s="674" t="s">
        <v>833</v>
      </c>
      <c r="C847" s="2672" t="s">
        <v>1818</v>
      </c>
      <c r="D847" s="2672"/>
      <c r="E847" s="2672"/>
      <c r="F847" s="675" t="s">
        <v>3404</v>
      </c>
      <c r="G847" s="676">
        <v>6.09</v>
      </c>
      <c r="H847" s="676"/>
      <c r="I847" s="676">
        <v>2.4700000000000002</v>
      </c>
      <c r="J847" s="676"/>
      <c r="K847" s="676"/>
      <c r="L847" s="677"/>
      <c r="M847" s="678"/>
      <c r="X847" s="656"/>
      <c r="Y847" s="657"/>
      <c r="Z847" s="657"/>
      <c r="AA847" s="481"/>
      <c r="AC847" s="456" t="s">
        <v>1818</v>
      </c>
      <c r="AD847" s="522"/>
      <c r="AE847" s="699"/>
      <c r="AF847" s="456"/>
      <c r="AG847" s="699"/>
      <c r="AH847" s="481"/>
      <c r="AJ847" s="481"/>
    </row>
    <row r="848" spans="1:36" s="454" customFormat="1" ht="23.25" x14ac:dyDescent="0.25">
      <c r="A848" s="507"/>
      <c r="B848" s="674" t="s">
        <v>1820</v>
      </c>
      <c r="C848" s="2672" t="s">
        <v>1821</v>
      </c>
      <c r="D848" s="2672"/>
      <c r="E848" s="2672"/>
      <c r="F848" s="675" t="s">
        <v>3405</v>
      </c>
      <c r="G848" s="676">
        <v>10749</v>
      </c>
      <c r="H848" s="676"/>
      <c r="I848" s="676">
        <v>7.52</v>
      </c>
      <c r="J848" s="676"/>
      <c r="K848" s="676"/>
      <c r="L848" s="677"/>
      <c r="M848" s="678"/>
      <c r="X848" s="656"/>
      <c r="Y848" s="657"/>
      <c r="Z848" s="657"/>
      <c r="AA848" s="481"/>
      <c r="AC848" s="456" t="s">
        <v>1821</v>
      </c>
      <c r="AD848" s="522"/>
      <c r="AE848" s="699"/>
      <c r="AF848" s="456"/>
      <c r="AG848" s="699"/>
      <c r="AH848" s="481"/>
      <c r="AJ848" s="481"/>
    </row>
    <row r="849" spans="1:36" s="454" customFormat="1" ht="23.25" x14ac:dyDescent="0.25">
      <c r="A849" s="507"/>
      <c r="B849" s="674" t="s">
        <v>1823</v>
      </c>
      <c r="C849" s="2672" t="s">
        <v>1824</v>
      </c>
      <c r="D849" s="2672"/>
      <c r="E849" s="2672"/>
      <c r="F849" s="675" t="s">
        <v>3406</v>
      </c>
      <c r="G849" s="676">
        <v>9040.01</v>
      </c>
      <c r="H849" s="676"/>
      <c r="I849" s="676">
        <v>13.56</v>
      </c>
      <c r="J849" s="676"/>
      <c r="K849" s="676"/>
      <c r="L849" s="677"/>
      <c r="M849" s="678"/>
      <c r="X849" s="656"/>
      <c r="Y849" s="657"/>
      <c r="Z849" s="657"/>
      <c r="AA849" s="481"/>
      <c r="AC849" s="456" t="s">
        <v>1824</v>
      </c>
      <c r="AD849" s="522"/>
      <c r="AE849" s="699"/>
      <c r="AF849" s="456"/>
      <c r="AG849" s="699"/>
      <c r="AH849" s="481"/>
      <c r="AJ849" s="481"/>
    </row>
    <row r="850" spans="1:36" s="454" customFormat="1" ht="23.25" x14ac:dyDescent="0.25">
      <c r="A850" s="507"/>
      <c r="B850" s="674" t="s">
        <v>841</v>
      </c>
      <c r="C850" s="2672" t="s">
        <v>1760</v>
      </c>
      <c r="D850" s="2672"/>
      <c r="E850" s="2672"/>
      <c r="F850" s="675" t="s">
        <v>1826</v>
      </c>
      <c r="G850" s="676">
        <v>11978</v>
      </c>
      <c r="H850" s="676"/>
      <c r="I850" s="676">
        <v>0</v>
      </c>
      <c r="J850" s="676"/>
      <c r="K850" s="676"/>
      <c r="L850" s="677"/>
      <c r="M850" s="678"/>
      <c r="X850" s="656"/>
      <c r="Y850" s="657"/>
      <c r="Z850" s="657"/>
      <c r="AA850" s="481"/>
      <c r="AC850" s="456" t="s">
        <v>1760</v>
      </c>
      <c r="AD850" s="522"/>
      <c r="AE850" s="699"/>
      <c r="AF850" s="456"/>
      <c r="AG850" s="699"/>
      <c r="AH850" s="481"/>
      <c r="AJ850" s="481"/>
    </row>
    <row r="851" spans="1:36" s="454" customFormat="1" ht="23.25" x14ac:dyDescent="0.25">
      <c r="A851" s="507"/>
      <c r="B851" s="674" t="s">
        <v>843</v>
      </c>
      <c r="C851" s="2672" t="s">
        <v>1827</v>
      </c>
      <c r="D851" s="2672"/>
      <c r="E851" s="2672"/>
      <c r="F851" s="675" t="s">
        <v>2746</v>
      </c>
      <c r="G851" s="676">
        <v>37900</v>
      </c>
      <c r="H851" s="676"/>
      <c r="I851" s="676">
        <v>3.79</v>
      </c>
      <c r="J851" s="676"/>
      <c r="K851" s="676"/>
      <c r="L851" s="677"/>
      <c r="M851" s="678"/>
      <c r="X851" s="656"/>
      <c r="Y851" s="657"/>
      <c r="Z851" s="657"/>
      <c r="AA851" s="481"/>
      <c r="AC851" s="456" t="s">
        <v>1827</v>
      </c>
      <c r="AD851" s="522"/>
      <c r="AE851" s="699"/>
      <c r="AF851" s="456"/>
      <c r="AG851" s="699"/>
      <c r="AH851" s="481"/>
      <c r="AJ851" s="481"/>
    </row>
    <row r="852" spans="1:36" s="454" customFormat="1" ht="57" x14ac:dyDescent="0.25">
      <c r="A852" s="507"/>
      <c r="B852" s="674" t="s">
        <v>1829</v>
      </c>
      <c r="C852" s="2672" t="s">
        <v>1830</v>
      </c>
      <c r="D852" s="2672"/>
      <c r="E852" s="2672"/>
      <c r="F852" s="675" t="s">
        <v>3407</v>
      </c>
      <c r="G852" s="676">
        <v>7712</v>
      </c>
      <c r="H852" s="676"/>
      <c r="I852" s="676">
        <v>23.91</v>
      </c>
      <c r="J852" s="676"/>
      <c r="K852" s="676"/>
      <c r="L852" s="677"/>
      <c r="M852" s="678"/>
      <c r="X852" s="656"/>
      <c r="Y852" s="657"/>
      <c r="Z852" s="657"/>
      <c r="AA852" s="481"/>
      <c r="AC852" s="456" t="s">
        <v>1830</v>
      </c>
      <c r="AD852" s="522"/>
      <c r="AE852" s="699"/>
      <c r="AF852" s="456"/>
      <c r="AG852" s="699"/>
      <c r="AH852" s="481"/>
      <c r="AJ852" s="481"/>
    </row>
    <row r="853" spans="1:36" s="454" customFormat="1" ht="23.25" x14ac:dyDescent="0.25">
      <c r="A853" s="515" t="s">
        <v>863</v>
      </c>
      <c r="B853" s="686" t="s">
        <v>1832</v>
      </c>
      <c r="C853" s="2683" t="s">
        <v>1833</v>
      </c>
      <c r="D853" s="2683"/>
      <c r="E853" s="2683"/>
      <c r="F853" s="687" t="s">
        <v>3408</v>
      </c>
      <c r="G853" s="688">
        <v>0</v>
      </c>
      <c r="H853" s="688"/>
      <c r="I853" s="688">
        <v>0</v>
      </c>
      <c r="J853" s="688"/>
      <c r="K853" s="688"/>
      <c r="L853" s="689"/>
      <c r="M853" s="690"/>
      <c r="X853" s="656"/>
      <c r="Y853" s="657"/>
      <c r="Z853" s="657"/>
      <c r="AA853" s="481"/>
      <c r="AC853" s="456"/>
      <c r="AD853" s="522" t="s">
        <v>1833</v>
      </c>
      <c r="AE853" s="699"/>
      <c r="AF853" s="456"/>
      <c r="AG853" s="699"/>
      <c r="AH853" s="481"/>
      <c r="AJ853" s="481"/>
    </row>
    <row r="854" spans="1:36" s="454" customFormat="1" ht="68.25" x14ac:dyDescent="0.25">
      <c r="A854" s="507"/>
      <c r="B854" s="674" t="s">
        <v>847</v>
      </c>
      <c r="C854" s="2672" t="s">
        <v>1835</v>
      </c>
      <c r="D854" s="2672"/>
      <c r="E854" s="2672"/>
      <c r="F854" s="675" t="s">
        <v>3409</v>
      </c>
      <c r="G854" s="676">
        <v>50.24</v>
      </c>
      <c r="H854" s="676"/>
      <c r="I854" s="676">
        <v>0.65</v>
      </c>
      <c r="J854" s="676"/>
      <c r="K854" s="676"/>
      <c r="L854" s="677"/>
      <c r="M854" s="678"/>
      <c r="X854" s="656"/>
      <c r="Y854" s="657"/>
      <c r="Z854" s="657"/>
      <c r="AA854" s="481"/>
      <c r="AC854" s="456" t="s">
        <v>1835</v>
      </c>
      <c r="AD854" s="522"/>
      <c r="AE854" s="699"/>
      <c r="AF854" s="456"/>
      <c r="AG854" s="699"/>
      <c r="AH854" s="481"/>
      <c r="AJ854" s="481"/>
    </row>
    <row r="855" spans="1:36" s="454" customFormat="1" ht="34.5" x14ac:dyDescent="0.25">
      <c r="A855" s="507"/>
      <c r="B855" s="674" t="s">
        <v>850</v>
      </c>
      <c r="C855" s="2672" t="s">
        <v>1771</v>
      </c>
      <c r="D855" s="2672"/>
      <c r="E855" s="2672"/>
      <c r="F855" s="675" t="s">
        <v>1837</v>
      </c>
      <c r="G855" s="676">
        <v>4455.2</v>
      </c>
      <c r="H855" s="676"/>
      <c r="I855" s="676">
        <v>0</v>
      </c>
      <c r="J855" s="676"/>
      <c r="K855" s="676"/>
      <c r="L855" s="677"/>
      <c r="M855" s="678"/>
      <c r="X855" s="656"/>
      <c r="Y855" s="657"/>
      <c r="Z855" s="657"/>
      <c r="AA855" s="481"/>
      <c r="AC855" s="456" t="s">
        <v>1771</v>
      </c>
      <c r="AD855" s="522"/>
      <c r="AE855" s="699"/>
      <c r="AF855" s="456"/>
      <c r="AG855" s="699"/>
      <c r="AH855" s="481"/>
      <c r="AJ855" s="481"/>
    </row>
    <row r="856" spans="1:36" s="454" customFormat="1" ht="23.25" x14ac:dyDescent="0.25">
      <c r="A856" s="507"/>
      <c r="B856" s="674" t="s">
        <v>1838</v>
      </c>
      <c r="C856" s="2672" t="s">
        <v>1839</v>
      </c>
      <c r="D856" s="2672"/>
      <c r="E856" s="2672"/>
      <c r="F856" s="675" t="s">
        <v>3410</v>
      </c>
      <c r="G856" s="676">
        <v>4920</v>
      </c>
      <c r="H856" s="676"/>
      <c r="I856" s="676">
        <v>6.4</v>
      </c>
      <c r="J856" s="676"/>
      <c r="K856" s="676"/>
      <c r="L856" s="677"/>
      <c r="M856" s="678"/>
      <c r="X856" s="656"/>
      <c r="Y856" s="657"/>
      <c r="Z856" s="657"/>
      <c r="AA856" s="481"/>
      <c r="AC856" s="456" t="s">
        <v>1839</v>
      </c>
      <c r="AD856" s="522"/>
      <c r="AE856" s="699"/>
      <c r="AF856" s="456"/>
      <c r="AG856" s="699"/>
      <c r="AH856" s="481"/>
      <c r="AJ856" s="481"/>
    </row>
    <row r="857" spans="1:36" s="454" customFormat="1" ht="45.75" x14ac:dyDescent="0.25">
      <c r="A857" s="507"/>
      <c r="B857" s="674" t="s">
        <v>1841</v>
      </c>
      <c r="C857" s="2672" t="s">
        <v>1842</v>
      </c>
      <c r="D857" s="2672"/>
      <c r="E857" s="2672"/>
      <c r="F857" s="675" t="s">
        <v>3411</v>
      </c>
      <c r="G857" s="676">
        <v>1700</v>
      </c>
      <c r="H857" s="676"/>
      <c r="I857" s="676">
        <v>1.19</v>
      </c>
      <c r="J857" s="676"/>
      <c r="K857" s="676"/>
      <c r="L857" s="677"/>
      <c r="M857" s="678"/>
      <c r="X857" s="656"/>
      <c r="Y857" s="657"/>
      <c r="Z857" s="657"/>
      <c r="AA857" s="481"/>
      <c r="AC857" s="456" t="s">
        <v>1842</v>
      </c>
      <c r="AD857" s="522"/>
      <c r="AE857" s="699"/>
      <c r="AF857" s="456"/>
      <c r="AG857" s="699"/>
      <c r="AH857" s="481"/>
      <c r="AJ857" s="481"/>
    </row>
    <row r="858" spans="1:36" s="454" customFormat="1" ht="23.25" x14ac:dyDescent="0.25">
      <c r="A858" s="507"/>
      <c r="B858" s="674" t="s">
        <v>856</v>
      </c>
      <c r="C858" s="2672" t="s">
        <v>1844</v>
      </c>
      <c r="D858" s="2672"/>
      <c r="E858" s="2672"/>
      <c r="F858" s="675" t="s">
        <v>3412</v>
      </c>
      <c r="G858" s="676">
        <v>15620</v>
      </c>
      <c r="H858" s="676"/>
      <c r="I858" s="676">
        <v>3.12</v>
      </c>
      <c r="J858" s="676"/>
      <c r="K858" s="676"/>
      <c r="L858" s="677"/>
      <c r="M858" s="678"/>
      <c r="X858" s="656"/>
      <c r="Y858" s="657"/>
      <c r="Z858" s="657"/>
      <c r="AA858" s="481"/>
      <c r="AC858" s="456" t="s">
        <v>1844</v>
      </c>
      <c r="AD858" s="522"/>
      <c r="AE858" s="699"/>
      <c r="AF858" s="456"/>
      <c r="AG858" s="699"/>
      <c r="AH858" s="481"/>
      <c r="AJ858" s="481"/>
    </row>
    <row r="859" spans="1:36" s="454" customFormat="1" ht="23.25" x14ac:dyDescent="0.25">
      <c r="A859" s="507"/>
      <c r="B859" s="674" t="s">
        <v>1846</v>
      </c>
      <c r="C859" s="2672" t="s">
        <v>1847</v>
      </c>
      <c r="D859" s="2672"/>
      <c r="E859" s="2672"/>
      <c r="F859" s="675" t="s">
        <v>3413</v>
      </c>
      <c r="G859" s="676">
        <v>9420</v>
      </c>
      <c r="H859" s="676"/>
      <c r="I859" s="676">
        <v>3.77</v>
      </c>
      <c r="J859" s="676"/>
      <c r="K859" s="676"/>
      <c r="L859" s="677"/>
      <c r="M859" s="678"/>
      <c r="X859" s="656"/>
      <c r="Y859" s="657"/>
      <c r="Z859" s="657"/>
      <c r="AA859" s="481"/>
      <c r="AC859" s="456" t="s">
        <v>1847</v>
      </c>
      <c r="AD859" s="522"/>
      <c r="AE859" s="699"/>
      <c r="AF859" s="456"/>
      <c r="AG859" s="699"/>
      <c r="AH859" s="481"/>
      <c r="AJ859" s="481"/>
    </row>
    <row r="860" spans="1:36" s="454" customFormat="1" ht="45" x14ac:dyDescent="0.25">
      <c r="A860" s="658" t="s">
        <v>1434</v>
      </c>
      <c r="B860" s="659" t="s">
        <v>1783</v>
      </c>
      <c r="C860" s="2673" t="s">
        <v>1849</v>
      </c>
      <c r="D860" s="2673"/>
      <c r="E860" s="2673"/>
      <c r="F860" s="679">
        <v>0.96</v>
      </c>
      <c r="G860" s="661" t="s">
        <v>1785</v>
      </c>
      <c r="H860" s="661" t="s">
        <v>1207</v>
      </c>
      <c r="I860" s="661">
        <v>790</v>
      </c>
      <c r="J860" s="661">
        <v>309</v>
      </c>
      <c r="K860" s="662" t="s">
        <v>1436</v>
      </c>
      <c r="L860" s="691">
        <v>31.1355</v>
      </c>
      <c r="M860" s="672">
        <v>29.89</v>
      </c>
      <c r="X860" s="656"/>
      <c r="Y860" s="657"/>
      <c r="Z860" s="657"/>
      <c r="AA860" s="481" t="s">
        <v>1849</v>
      </c>
      <c r="AC860" s="456"/>
      <c r="AD860" s="522"/>
      <c r="AE860" s="699"/>
      <c r="AF860" s="456"/>
      <c r="AG860" s="699"/>
      <c r="AH860" s="481"/>
      <c r="AJ860" s="481"/>
    </row>
    <row r="861" spans="1:36" s="454" customFormat="1" ht="15" x14ac:dyDescent="0.25">
      <c r="A861" s="664"/>
      <c r="B861" s="665"/>
      <c r="C861" s="666" t="s">
        <v>3414</v>
      </c>
      <c r="D861" s="667"/>
      <c r="E861" s="667"/>
      <c r="F861" s="667"/>
      <c r="G861" s="667"/>
      <c r="H861" s="667"/>
      <c r="I861" s="667"/>
      <c r="J861" s="667"/>
      <c r="K861" s="667"/>
      <c r="L861" s="667"/>
      <c r="M861" s="668"/>
      <c r="X861" s="656"/>
      <c r="Y861" s="657"/>
      <c r="Z861" s="657"/>
      <c r="AA861" s="481"/>
      <c r="AC861" s="456"/>
      <c r="AD861" s="522"/>
      <c r="AE861" s="699"/>
      <c r="AF861" s="456"/>
      <c r="AG861" s="699"/>
      <c r="AH861" s="481"/>
      <c r="AJ861" s="481"/>
    </row>
    <row r="862" spans="1:36" s="454" customFormat="1" ht="15" x14ac:dyDescent="0.25">
      <c r="A862" s="542"/>
      <c r="B862" s="673" t="s">
        <v>1788</v>
      </c>
      <c r="C862" s="2670" t="s">
        <v>1789</v>
      </c>
      <c r="D862" s="2670"/>
      <c r="E862" s="2670"/>
      <c r="F862" s="2670"/>
      <c r="G862" s="2670"/>
      <c r="H862" s="2670"/>
      <c r="I862" s="2670"/>
      <c r="J862" s="2670"/>
      <c r="K862" s="2670"/>
      <c r="L862" s="2670"/>
      <c r="M862" s="2671"/>
      <c r="X862" s="656"/>
      <c r="Y862" s="657"/>
      <c r="Z862" s="657"/>
      <c r="AA862" s="481"/>
      <c r="AB862" s="491" t="s">
        <v>1789</v>
      </c>
      <c r="AC862" s="456"/>
      <c r="AD862" s="522"/>
      <c r="AE862" s="699"/>
      <c r="AF862" s="456"/>
      <c r="AG862" s="699"/>
      <c r="AH862" s="481"/>
      <c r="AJ862" s="481"/>
    </row>
    <row r="863" spans="1:36" s="454" customFormat="1" ht="33.75" x14ac:dyDescent="0.25">
      <c r="A863" s="542"/>
      <c r="B863" s="673" t="s">
        <v>1655</v>
      </c>
      <c r="C863" s="2670" t="s">
        <v>1656</v>
      </c>
      <c r="D863" s="2670"/>
      <c r="E863" s="2670"/>
      <c r="F863" s="2670"/>
      <c r="G863" s="2670"/>
      <c r="H863" s="2670"/>
      <c r="I863" s="2670"/>
      <c r="J863" s="2670"/>
      <c r="K863" s="2670"/>
      <c r="L863" s="2670"/>
      <c r="M863" s="2671"/>
      <c r="X863" s="656"/>
      <c r="Y863" s="657"/>
      <c r="Z863" s="657"/>
      <c r="AA863" s="481"/>
      <c r="AB863" s="491" t="s">
        <v>1656</v>
      </c>
      <c r="AC863" s="456"/>
      <c r="AD863" s="522"/>
      <c r="AE863" s="699"/>
      <c r="AF863" s="456"/>
      <c r="AG863" s="699"/>
      <c r="AH863" s="481"/>
      <c r="AJ863" s="481"/>
    </row>
    <row r="864" spans="1:36" s="454" customFormat="1" ht="15" x14ac:dyDescent="0.25">
      <c r="A864" s="823"/>
      <c r="B864" s="824"/>
      <c r="C864" s="824"/>
      <c r="D864" s="824"/>
      <c r="E864" s="825" t="s">
        <v>3415</v>
      </c>
      <c r="F864" s="826"/>
      <c r="G864" s="827"/>
      <c r="H864" s="648"/>
      <c r="I864" s="828">
        <v>315</v>
      </c>
      <c r="J864" s="829"/>
      <c r="K864" s="829"/>
      <c r="L864" s="830"/>
      <c r="M864" s="831"/>
      <c r="X864" s="656"/>
      <c r="Y864" s="657"/>
      <c r="Z864" s="657"/>
      <c r="AA864" s="481"/>
      <c r="AC864" s="456"/>
      <c r="AD864" s="522"/>
      <c r="AE864" s="699"/>
      <c r="AF864" s="456"/>
      <c r="AG864" s="699"/>
      <c r="AH864" s="481"/>
      <c r="AJ864" s="481"/>
    </row>
    <row r="865" spans="1:36" s="454" customFormat="1" ht="15" x14ac:dyDescent="0.25">
      <c r="A865" s="823"/>
      <c r="B865" s="824"/>
      <c r="C865" s="824"/>
      <c r="D865" s="824"/>
      <c r="E865" s="825" t="s">
        <v>3416</v>
      </c>
      <c r="F865" s="826"/>
      <c r="G865" s="827"/>
      <c r="H865" s="648"/>
      <c r="I865" s="828">
        <v>298</v>
      </c>
      <c r="J865" s="829"/>
      <c r="K865" s="829"/>
      <c r="L865" s="830"/>
      <c r="M865" s="831"/>
      <c r="X865" s="656"/>
      <c r="Y865" s="657"/>
      <c r="Z865" s="657"/>
      <c r="AA865" s="481"/>
      <c r="AC865" s="456"/>
      <c r="AD865" s="522"/>
      <c r="AE865" s="699"/>
      <c r="AF865" s="456"/>
      <c r="AG865" s="699"/>
      <c r="AH865" s="481"/>
      <c r="AJ865" s="481"/>
    </row>
    <row r="866" spans="1:36" s="454" customFormat="1" ht="15" x14ac:dyDescent="0.25">
      <c r="A866" s="823"/>
      <c r="B866" s="824"/>
      <c r="C866" s="824"/>
      <c r="D866" s="824"/>
      <c r="E866" s="825" t="s">
        <v>2692</v>
      </c>
      <c r="F866" s="826"/>
      <c r="G866" s="827"/>
      <c r="H866" s="648"/>
      <c r="I866" s="828">
        <v>1403</v>
      </c>
      <c r="J866" s="829"/>
      <c r="K866" s="829"/>
      <c r="L866" s="830"/>
      <c r="M866" s="831"/>
      <c r="X866" s="656"/>
      <c r="Y866" s="657"/>
      <c r="Z866" s="657"/>
      <c r="AA866" s="481"/>
      <c r="AC866" s="456"/>
      <c r="AD866" s="522"/>
      <c r="AE866" s="699"/>
      <c r="AF866" s="456"/>
      <c r="AG866" s="699"/>
      <c r="AH866" s="481"/>
      <c r="AJ866" s="481"/>
    </row>
    <row r="867" spans="1:36" s="454" customFormat="1" ht="23.25" x14ac:dyDescent="0.25">
      <c r="A867" s="507"/>
      <c r="B867" s="674" t="s">
        <v>1790</v>
      </c>
      <c r="C867" s="2672" t="s">
        <v>1791</v>
      </c>
      <c r="D867" s="2672"/>
      <c r="E867" s="2672"/>
      <c r="F867" s="675" t="s">
        <v>3417</v>
      </c>
      <c r="G867" s="676" t="s">
        <v>1793</v>
      </c>
      <c r="H867" s="676"/>
      <c r="I867" s="676">
        <v>309.36</v>
      </c>
      <c r="J867" s="676">
        <v>309.36</v>
      </c>
      <c r="K867" s="676"/>
      <c r="L867" s="677"/>
      <c r="M867" s="678"/>
      <c r="X867" s="656"/>
      <c r="Y867" s="657"/>
      <c r="Z867" s="657"/>
      <c r="AA867" s="481"/>
      <c r="AC867" s="456" t="s">
        <v>1791</v>
      </c>
      <c r="AD867" s="522"/>
      <c r="AE867" s="699"/>
      <c r="AF867" s="456"/>
      <c r="AG867" s="699"/>
      <c r="AH867" s="481"/>
      <c r="AJ867" s="481"/>
    </row>
    <row r="868" spans="1:36" s="454" customFormat="1" ht="23.25" x14ac:dyDescent="0.25">
      <c r="A868" s="507"/>
      <c r="B868" s="674" t="s">
        <v>639</v>
      </c>
      <c r="C868" s="2672" t="s">
        <v>1661</v>
      </c>
      <c r="D868" s="2672"/>
      <c r="E868" s="2672"/>
      <c r="F868" s="675" t="s">
        <v>3418</v>
      </c>
      <c r="G868" s="676">
        <v>0</v>
      </c>
      <c r="H868" s="676">
        <v>0</v>
      </c>
      <c r="I868" s="676">
        <v>0</v>
      </c>
      <c r="J868" s="676"/>
      <c r="K868" s="676">
        <v>0</v>
      </c>
      <c r="L868" s="677"/>
      <c r="M868" s="678"/>
      <c r="X868" s="656"/>
      <c r="Y868" s="657"/>
      <c r="Z868" s="657"/>
      <c r="AA868" s="481"/>
      <c r="AC868" s="456" t="s">
        <v>1661</v>
      </c>
      <c r="AD868" s="522"/>
      <c r="AE868" s="699"/>
      <c r="AF868" s="456"/>
      <c r="AG868" s="699"/>
      <c r="AH868" s="481"/>
      <c r="AJ868" s="481"/>
    </row>
    <row r="869" spans="1:36" s="454" customFormat="1" ht="34.5" x14ac:dyDescent="0.25">
      <c r="A869" s="507"/>
      <c r="B869" s="674" t="s">
        <v>1663</v>
      </c>
      <c r="C869" s="2672" t="s">
        <v>1664</v>
      </c>
      <c r="D869" s="2672"/>
      <c r="E869" s="2672"/>
      <c r="F869" s="675" t="s">
        <v>3419</v>
      </c>
      <c r="G869" s="676">
        <v>111.99</v>
      </c>
      <c r="H869" s="676" t="s">
        <v>1666</v>
      </c>
      <c r="I869" s="676">
        <v>22.4</v>
      </c>
      <c r="J869" s="676"/>
      <c r="K869" s="676" t="s">
        <v>3420</v>
      </c>
      <c r="L869" s="677"/>
      <c r="M869" s="678"/>
      <c r="X869" s="656"/>
      <c r="Y869" s="657"/>
      <c r="Z869" s="657"/>
      <c r="AA869" s="481"/>
      <c r="AC869" s="456" t="s">
        <v>1664</v>
      </c>
      <c r="AD869" s="522"/>
      <c r="AE869" s="699"/>
      <c r="AF869" s="456"/>
      <c r="AG869" s="699"/>
      <c r="AH869" s="481"/>
      <c r="AJ869" s="481"/>
    </row>
    <row r="870" spans="1:36" s="454" customFormat="1" ht="34.5" x14ac:dyDescent="0.25">
      <c r="A870" s="507"/>
      <c r="B870" s="674" t="s">
        <v>1797</v>
      </c>
      <c r="C870" s="2672" t="s">
        <v>1798</v>
      </c>
      <c r="D870" s="2672"/>
      <c r="E870" s="2672"/>
      <c r="F870" s="675" t="s">
        <v>3421</v>
      </c>
      <c r="G870" s="676">
        <v>120.04</v>
      </c>
      <c r="H870" s="676" t="s">
        <v>1800</v>
      </c>
      <c r="I870" s="676">
        <v>192.06</v>
      </c>
      <c r="J870" s="676"/>
      <c r="K870" s="676" t="s">
        <v>3422</v>
      </c>
      <c r="L870" s="677"/>
      <c r="M870" s="678"/>
      <c r="X870" s="656"/>
      <c r="Y870" s="657"/>
      <c r="Z870" s="657"/>
      <c r="AA870" s="481"/>
      <c r="AC870" s="456" t="s">
        <v>1798</v>
      </c>
      <c r="AD870" s="522"/>
      <c r="AE870" s="699"/>
      <c r="AF870" s="456"/>
      <c r="AG870" s="699"/>
      <c r="AH870" s="481"/>
      <c r="AJ870" s="481"/>
    </row>
    <row r="871" spans="1:36" s="454" customFormat="1" ht="34.5" x14ac:dyDescent="0.25">
      <c r="A871" s="507"/>
      <c r="B871" s="674" t="s">
        <v>819</v>
      </c>
      <c r="C871" s="2672" t="s">
        <v>1802</v>
      </c>
      <c r="D871" s="2672"/>
      <c r="E871" s="2672"/>
      <c r="F871" s="675" t="s">
        <v>3423</v>
      </c>
      <c r="G871" s="676">
        <v>0.9</v>
      </c>
      <c r="H871" s="676" t="s">
        <v>1804</v>
      </c>
      <c r="I871" s="676">
        <v>0.08</v>
      </c>
      <c r="J871" s="676"/>
      <c r="K871" s="676" t="s">
        <v>3424</v>
      </c>
      <c r="L871" s="677"/>
      <c r="M871" s="678"/>
      <c r="X871" s="656"/>
      <c r="Y871" s="657"/>
      <c r="Z871" s="657"/>
      <c r="AA871" s="481"/>
      <c r="AC871" s="456" t="s">
        <v>1802</v>
      </c>
      <c r="AD871" s="522"/>
      <c r="AE871" s="699"/>
      <c r="AF871" s="456"/>
      <c r="AG871" s="699"/>
      <c r="AH871" s="481"/>
      <c r="AJ871" s="481"/>
    </row>
    <row r="872" spans="1:36" s="454" customFormat="1" ht="34.5" x14ac:dyDescent="0.25">
      <c r="A872" s="507"/>
      <c r="B872" s="674" t="s">
        <v>821</v>
      </c>
      <c r="C872" s="2672" t="s">
        <v>1751</v>
      </c>
      <c r="D872" s="2672"/>
      <c r="E872" s="2672"/>
      <c r="F872" s="675" t="s">
        <v>3425</v>
      </c>
      <c r="G872" s="676">
        <v>65.709999999999994</v>
      </c>
      <c r="H872" s="676" t="s">
        <v>1753</v>
      </c>
      <c r="I872" s="676">
        <v>18.399999999999999</v>
      </c>
      <c r="J872" s="676"/>
      <c r="K872" s="676" t="s">
        <v>3426</v>
      </c>
      <c r="L872" s="677"/>
      <c r="M872" s="678"/>
      <c r="X872" s="656"/>
      <c r="Y872" s="657"/>
      <c r="Z872" s="657"/>
      <c r="AA872" s="481"/>
      <c r="AC872" s="456" t="s">
        <v>1751</v>
      </c>
      <c r="AD872" s="522"/>
      <c r="AE872" s="699"/>
      <c r="AF872" s="456"/>
      <c r="AG872" s="699"/>
      <c r="AH872" s="481"/>
      <c r="AJ872" s="481"/>
    </row>
    <row r="873" spans="1:36" s="454" customFormat="1" ht="23.25" x14ac:dyDescent="0.25">
      <c r="A873" s="507"/>
      <c r="B873" s="674" t="s">
        <v>825</v>
      </c>
      <c r="C873" s="2672" t="s">
        <v>1808</v>
      </c>
      <c r="D873" s="2672"/>
      <c r="E873" s="2672"/>
      <c r="F873" s="675" t="s">
        <v>3427</v>
      </c>
      <c r="G873" s="676">
        <v>1.2</v>
      </c>
      <c r="H873" s="676" t="s">
        <v>1810</v>
      </c>
      <c r="I873" s="676">
        <v>2.58</v>
      </c>
      <c r="J873" s="676"/>
      <c r="K873" s="676" t="s">
        <v>3428</v>
      </c>
      <c r="L873" s="677"/>
      <c r="M873" s="678"/>
      <c r="X873" s="656"/>
      <c r="Y873" s="657"/>
      <c r="Z873" s="657"/>
      <c r="AA873" s="481"/>
      <c r="AC873" s="456" t="s">
        <v>1808</v>
      </c>
      <c r="AD873" s="522"/>
      <c r="AE873" s="699"/>
      <c r="AF873" s="456"/>
      <c r="AG873" s="699"/>
      <c r="AH873" s="481"/>
      <c r="AJ873" s="481"/>
    </row>
    <row r="874" spans="1:36" s="454" customFormat="1" ht="34.5" x14ac:dyDescent="0.25">
      <c r="A874" s="507"/>
      <c r="B874" s="674" t="s">
        <v>827</v>
      </c>
      <c r="C874" s="2672" t="s">
        <v>1812</v>
      </c>
      <c r="D874" s="2672"/>
      <c r="E874" s="2672"/>
      <c r="F874" s="675" t="s">
        <v>3429</v>
      </c>
      <c r="G874" s="676">
        <v>12.31</v>
      </c>
      <c r="H874" s="676" t="s">
        <v>1814</v>
      </c>
      <c r="I874" s="676">
        <v>15.39</v>
      </c>
      <c r="J874" s="676"/>
      <c r="K874" s="676" t="s">
        <v>3430</v>
      </c>
      <c r="L874" s="677"/>
      <c r="M874" s="678"/>
      <c r="X874" s="656"/>
      <c r="Y874" s="657"/>
      <c r="Z874" s="657"/>
      <c r="AA874" s="481"/>
      <c r="AC874" s="456" t="s">
        <v>1812</v>
      </c>
      <c r="AD874" s="522"/>
      <c r="AE874" s="699"/>
      <c r="AF874" s="456"/>
      <c r="AG874" s="699"/>
      <c r="AH874" s="481"/>
      <c r="AJ874" s="481"/>
    </row>
    <row r="875" spans="1:36" s="454" customFormat="1" ht="23.25" x14ac:dyDescent="0.25">
      <c r="A875" s="507"/>
      <c r="B875" s="674" t="s">
        <v>830</v>
      </c>
      <c r="C875" s="2672" t="s">
        <v>1816</v>
      </c>
      <c r="D875" s="2672"/>
      <c r="E875" s="2672"/>
      <c r="F875" s="675" t="s">
        <v>3431</v>
      </c>
      <c r="G875" s="676">
        <v>6.22</v>
      </c>
      <c r="H875" s="676"/>
      <c r="I875" s="676">
        <v>11.64</v>
      </c>
      <c r="J875" s="676"/>
      <c r="K875" s="676"/>
      <c r="L875" s="677"/>
      <c r="M875" s="678"/>
      <c r="X875" s="656"/>
      <c r="Y875" s="657"/>
      <c r="Z875" s="657"/>
      <c r="AA875" s="481"/>
      <c r="AC875" s="456" t="s">
        <v>1816</v>
      </c>
      <c r="AD875" s="522"/>
      <c r="AE875" s="699"/>
      <c r="AF875" s="456"/>
      <c r="AG875" s="699"/>
      <c r="AH875" s="481"/>
      <c r="AJ875" s="481"/>
    </row>
    <row r="876" spans="1:36" s="454" customFormat="1" ht="23.25" x14ac:dyDescent="0.25">
      <c r="A876" s="507"/>
      <c r="B876" s="674" t="s">
        <v>833</v>
      </c>
      <c r="C876" s="2672" t="s">
        <v>1818</v>
      </c>
      <c r="D876" s="2672"/>
      <c r="E876" s="2672"/>
      <c r="F876" s="675" t="s">
        <v>3432</v>
      </c>
      <c r="G876" s="676">
        <v>6.09</v>
      </c>
      <c r="H876" s="676"/>
      <c r="I876" s="676">
        <v>3.45</v>
      </c>
      <c r="J876" s="676"/>
      <c r="K876" s="676"/>
      <c r="L876" s="677"/>
      <c r="M876" s="678"/>
      <c r="X876" s="656"/>
      <c r="Y876" s="657"/>
      <c r="Z876" s="657"/>
      <c r="AA876" s="481"/>
      <c r="AC876" s="456" t="s">
        <v>1818</v>
      </c>
      <c r="AD876" s="522"/>
      <c r="AE876" s="699"/>
      <c r="AF876" s="456"/>
      <c r="AG876" s="699"/>
      <c r="AH876" s="481"/>
      <c r="AJ876" s="481"/>
    </row>
    <row r="877" spans="1:36" s="454" customFormat="1" ht="23.25" x14ac:dyDescent="0.25">
      <c r="A877" s="507"/>
      <c r="B877" s="674" t="s">
        <v>1820</v>
      </c>
      <c r="C877" s="2672" t="s">
        <v>1821</v>
      </c>
      <c r="D877" s="2672"/>
      <c r="E877" s="2672"/>
      <c r="F877" s="675" t="s">
        <v>3433</v>
      </c>
      <c r="G877" s="676">
        <v>10749</v>
      </c>
      <c r="H877" s="676"/>
      <c r="I877" s="676">
        <v>10.75</v>
      </c>
      <c r="J877" s="676"/>
      <c r="K877" s="676"/>
      <c r="L877" s="677"/>
      <c r="M877" s="678"/>
      <c r="X877" s="656"/>
      <c r="Y877" s="657"/>
      <c r="Z877" s="657"/>
      <c r="AA877" s="481"/>
      <c r="AC877" s="456" t="s">
        <v>1821</v>
      </c>
      <c r="AD877" s="522"/>
      <c r="AE877" s="699"/>
      <c r="AF877" s="456"/>
      <c r="AG877" s="699"/>
      <c r="AH877" s="481"/>
      <c r="AJ877" s="481"/>
    </row>
    <row r="878" spans="1:36" s="454" customFormat="1" ht="23.25" x14ac:dyDescent="0.25">
      <c r="A878" s="507"/>
      <c r="B878" s="674" t="s">
        <v>1823</v>
      </c>
      <c r="C878" s="2672" t="s">
        <v>1824</v>
      </c>
      <c r="D878" s="2672"/>
      <c r="E878" s="2672"/>
      <c r="F878" s="675" t="s">
        <v>3434</v>
      </c>
      <c r="G878" s="676">
        <v>9040.01</v>
      </c>
      <c r="H878" s="676"/>
      <c r="I878" s="676">
        <v>18.98</v>
      </c>
      <c r="J878" s="676"/>
      <c r="K878" s="676"/>
      <c r="L878" s="677"/>
      <c r="M878" s="678"/>
      <c r="X878" s="656"/>
      <c r="Y878" s="657"/>
      <c r="Z878" s="657"/>
      <c r="AA878" s="481"/>
      <c r="AC878" s="456" t="s">
        <v>1824</v>
      </c>
      <c r="AD878" s="522"/>
      <c r="AE878" s="699"/>
      <c r="AF878" s="456"/>
      <c r="AG878" s="699"/>
      <c r="AH878" s="481"/>
      <c r="AJ878" s="481"/>
    </row>
    <row r="879" spans="1:36" s="454" customFormat="1" ht="23.25" x14ac:dyDescent="0.25">
      <c r="A879" s="507"/>
      <c r="B879" s="674" t="s">
        <v>841</v>
      </c>
      <c r="C879" s="2672" t="s">
        <v>1760</v>
      </c>
      <c r="D879" s="2672"/>
      <c r="E879" s="2672"/>
      <c r="F879" s="675" t="s">
        <v>1826</v>
      </c>
      <c r="G879" s="676">
        <v>11978</v>
      </c>
      <c r="H879" s="676"/>
      <c r="I879" s="676">
        <v>0</v>
      </c>
      <c r="J879" s="676"/>
      <c r="K879" s="676"/>
      <c r="L879" s="677"/>
      <c r="M879" s="678"/>
      <c r="X879" s="656"/>
      <c r="Y879" s="657"/>
      <c r="Z879" s="657"/>
      <c r="AA879" s="481"/>
      <c r="AC879" s="456" t="s">
        <v>1760</v>
      </c>
      <c r="AD879" s="522"/>
      <c r="AE879" s="699"/>
      <c r="AF879" s="456"/>
      <c r="AG879" s="699"/>
      <c r="AH879" s="481"/>
      <c r="AJ879" s="481"/>
    </row>
    <row r="880" spans="1:36" s="454" customFormat="1" ht="23.25" x14ac:dyDescent="0.25">
      <c r="A880" s="507"/>
      <c r="B880" s="674" t="s">
        <v>843</v>
      </c>
      <c r="C880" s="2672" t="s">
        <v>1827</v>
      </c>
      <c r="D880" s="2672"/>
      <c r="E880" s="2672"/>
      <c r="F880" s="675" t="s">
        <v>2746</v>
      </c>
      <c r="G880" s="676">
        <v>37900</v>
      </c>
      <c r="H880" s="676"/>
      <c r="I880" s="676">
        <v>3.79</v>
      </c>
      <c r="J880" s="676"/>
      <c r="K880" s="676"/>
      <c r="L880" s="677"/>
      <c r="M880" s="678"/>
      <c r="X880" s="656"/>
      <c r="Y880" s="657"/>
      <c r="Z880" s="657"/>
      <c r="AA880" s="481"/>
      <c r="AC880" s="456" t="s">
        <v>1827</v>
      </c>
      <c r="AD880" s="522"/>
      <c r="AE880" s="699"/>
      <c r="AF880" s="456"/>
      <c r="AG880" s="699"/>
      <c r="AH880" s="481"/>
      <c r="AJ880" s="481"/>
    </row>
    <row r="881" spans="1:36" s="454" customFormat="1" ht="57" x14ac:dyDescent="0.25">
      <c r="A881" s="507"/>
      <c r="B881" s="674" t="s">
        <v>1829</v>
      </c>
      <c r="C881" s="2672" t="s">
        <v>1830</v>
      </c>
      <c r="D881" s="2672"/>
      <c r="E881" s="2672"/>
      <c r="F881" s="675" t="s">
        <v>3435</v>
      </c>
      <c r="G881" s="676">
        <v>7712</v>
      </c>
      <c r="H881" s="676"/>
      <c r="I881" s="676">
        <v>33.159999999999997</v>
      </c>
      <c r="J881" s="676"/>
      <c r="K881" s="676"/>
      <c r="L881" s="677"/>
      <c r="M881" s="678"/>
      <c r="X881" s="656"/>
      <c r="Y881" s="657"/>
      <c r="Z881" s="657"/>
      <c r="AA881" s="481"/>
      <c r="AC881" s="456" t="s">
        <v>1830</v>
      </c>
      <c r="AD881" s="522"/>
      <c r="AE881" s="699"/>
      <c r="AF881" s="456"/>
      <c r="AG881" s="699"/>
      <c r="AH881" s="481"/>
      <c r="AJ881" s="481"/>
    </row>
    <row r="882" spans="1:36" s="454" customFormat="1" ht="23.25" x14ac:dyDescent="0.25">
      <c r="A882" s="515" t="s">
        <v>863</v>
      </c>
      <c r="B882" s="686" t="s">
        <v>1832</v>
      </c>
      <c r="C882" s="2683" t="s">
        <v>1833</v>
      </c>
      <c r="D882" s="2683"/>
      <c r="E882" s="2683"/>
      <c r="F882" s="687" t="s">
        <v>3436</v>
      </c>
      <c r="G882" s="688">
        <v>0</v>
      </c>
      <c r="H882" s="688"/>
      <c r="I882" s="688">
        <v>0</v>
      </c>
      <c r="J882" s="688"/>
      <c r="K882" s="688"/>
      <c r="L882" s="689"/>
      <c r="M882" s="690"/>
      <c r="X882" s="656"/>
      <c r="Y882" s="657"/>
      <c r="Z882" s="657"/>
      <c r="AA882" s="481"/>
      <c r="AC882" s="456"/>
      <c r="AD882" s="522" t="s">
        <v>1833</v>
      </c>
      <c r="AE882" s="699"/>
      <c r="AF882" s="456"/>
      <c r="AG882" s="699"/>
      <c r="AH882" s="481"/>
      <c r="AJ882" s="481"/>
    </row>
    <row r="883" spans="1:36" s="454" customFormat="1" ht="68.25" x14ac:dyDescent="0.25">
      <c r="A883" s="507"/>
      <c r="B883" s="674" t="s">
        <v>847</v>
      </c>
      <c r="C883" s="2672" t="s">
        <v>1835</v>
      </c>
      <c r="D883" s="2672"/>
      <c r="E883" s="2672"/>
      <c r="F883" s="675" t="s">
        <v>3437</v>
      </c>
      <c r="G883" s="676">
        <v>50.24</v>
      </c>
      <c r="H883" s="676"/>
      <c r="I883" s="676">
        <v>0.9</v>
      </c>
      <c r="J883" s="676"/>
      <c r="K883" s="676"/>
      <c r="L883" s="677"/>
      <c r="M883" s="678"/>
      <c r="X883" s="656"/>
      <c r="Y883" s="657"/>
      <c r="Z883" s="657"/>
      <c r="AA883" s="481"/>
      <c r="AC883" s="456" t="s">
        <v>1835</v>
      </c>
      <c r="AD883" s="522"/>
      <c r="AE883" s="699"/>
      <c r="AF883" s="456"/>
      <c r="AG883" s="699"/>
      <c r="AH883" s="481"/>
      <c r="AJ883" s="481"/>
    </row>
    <row r="884" spans="1:36" s="454" customFormat="1" ht="34.5" x14ac:dyDescent="0.25">
      <c r="A884" s="507"/>
      <c r="B884" s="674" t="s">
        <v>850</v>
      </c>
      <c r="C884" s="2672" t="s">
        <v>1771</v>
      </c>
      <c r="D884" s="2672"/>
      <c r="E884" s="2672"/>
      <c r="F884" s="675" t="s">
        <v>1837</v>
      </c>
      <c r="G884" s="676">
        <v>4455.2</v>
      </c>
      <c r="H884" s="676"/>
      <c r="I884" s="676">
        <v>0</v>
      </c>
      <c r="J884" s="676"/>
      <c r="K884" s="676"/>
      <c r="L884" s="677"/>
      <c r="M884" s="678"/>
      <c r="X884" s="656"/>
      <c r="Y884" s="657"/>
      <c r="Z884" s="657"/>
      <c r="AA884" s="481"/>
      <c r="AC884" s="456" t="s">
        <v>1771</v>
      </c>
      <c r="AD884" s="522"/>
      <c r="AE884" s="699"/>
      <c r="AF884" s="456"/>
      <c r="AG884" s="699"/>
      <c r="AH884" s="481"/>
      <c r="AJ884" s="481"/>
    </row>
    <row r="885" spans="1:36" s="454" customFormat="1" ht="23.25" x14ac:dyDescent="0.25">
      <c r="A885" s="507"/>
      <c r="B885" s="674" t="s">
        <v>1838</v>
      </c>
      <c r="C885" s="2672" t="s">
        <v>1839</v>
      </c>
      <c r="D885" s="2672"/>
      <c r="E885" s="2672"/>
      <c r="F885" s="675" t="s">
        <v>3438</v>
      </c>
      <c r="G885" s="676">
        <v>4920</v>
      </c>
      <c r="H885" s="676"/>
      <c r="I885" s="676">
        <v>9.35</v>
      </c>
      <c r="J885" s="676"/>
      <c r="K885" s="676"/>
      <c r="L885" s="677"/>
      <c r="M885" s="678"/>
      <c r="X885" s="656"/>
      <c r="Y885" s="657"/>
      <c r="Z885" s="657"/>
      <c r="AA885" s="481"/>
      <c r="AC885" s="456" t="s">
        <v>1839</v>
      </c>
      <c r="AD885" s="522"/>
      <c r="AE885" s="699"/>
      <c r="AF885" s="456"/>
      <c r="AG885" s="699"/>
      <c r="AH885" s="481"/>
      <c r="AJ885" s="481"/>
    </row>
    <row r="886" spans="1:36" s="454" customFormat="1" ht="45.75" x14ac:dyDescent="0.25">
      <c r="A886" s="507"/>
      <c r="B886" s="674" t="s">
        <v>1841</v>
      </c>
      <c r="C886" s="2672" t="s">
        <v>1842</v>
      </c>
      <c r="D886" s="2672"/>
      <c r="E886" s="2672"/>
      <c r="F886" s="675" t="s">
        <v>3439</v>
      </c>
      <c r="G886" s="676">
        <v>1700</v>
      </c>
      <c r="H886" s="676"/>
      <c r="I886" s="676">
        <v>1.7</v>
      </c>
      <c r="J886" s="676"/>
      <c r="K886" s="676"/>
      <c r="L886" s="677"/>
      <c r="M886" s="678"/>
      <c r="X886" s="656"/>
      <c r="Y886" s="657"/>
      <c r="Z886" s="657"/>
      <c r="AA886" s="481"/>
      <c r="AC886" s="456" t="s">
        <v>1842</v>
      </c>
      <c r="AD886" s="522"/>
      <c r="AE886" s="699"/>
      <c r="AF886" s="456"/>
      <c r="AG886" s="699"/>
      <c r="AH886" s="481"/>
      <c r="AJ886" s="481"/>
    </row>
    <row r="887" spans="1:36" s="454" customFormat="1" ht="23.25" x14ac:dyDescent="0.25">
      <c r="A887" s="507"/>
      <c r="B887" s="674" t="s">
        <v>856</v>
      </c>
      <c r="C887" s="2672" t="s">
        <v>1844</v>
      </c>
      <c r="D887" s="2672"/>
      <c r="E887" s="2672"/>
      <c r="F887" s="675" t="s">
        <v>3440</v>
      </c>
      <c r="G887" s="676">
        <v>15620</v>
      </c>
      <c r="H887" s="676"/>
      <c r="I887" s="676">
        <v>4.6900000000000004</v>
      </c>
      <c r="J887" s="676"/>
      <c r="K887" s="676"/>
      <c r="L887" s="677"/>
      <c r="M887" s="678"/>
      <c r="X887" s="656"/>
      <c r="Y887" s="657"/>
      <c r="Z887" s="657"/>
      <c r="AA887" s="481"/>
      <c r="AC887" s="456" t="s">
        <v>1844</v>
      </c>
      <c r="AD887" s="522"/>
      <c r="AE887" s="699"/>
      <c r="AF887" s="456"/>
      <c r="AG887" s="699"/>
      <c r="AH887" s="481"/>
      <c r="AJ887" s="481"/>
    </row>
    <row r="888" spans="1:36" s="454" customFormat="1" ht="23.25" x14ac:dyDescent="0.25">
      <c r="A888" s="507"/>
      <c r="B888" s="674" t="s">
        <v>1846</v>
      </c>
      <c r="C888" s="2672" t="s">
        <v>1847</v>
      </c>
      <c r="D888" s="2672"/>
      <c r="E888" s="2672"/>
      <c r="F888" s="675" t="s">
        <v>3441</v>
      </c>
      <c r="G888" s="676">
        <v>9420</v>
      </c>
      <c r="H888" s="676"/>
      <c r="I888" s="676">
        <v>5.65</v>
      </c>
      <c r="J888" s="676"/>
      <c r="K888" s="676"/>
      <c r="L888" s="677"/>
      <c r="M888" s="678"/>
      <c r="X888" s="656"/>
      <c r="Y888" s="657"/>
      <c r="Z888" s="657"/>
      <c r="AA888" s="481"/>
      <c r="AC888" s="456" t="s">
        <v>1847</v>
      </c>
      <c r="AD888" s="522"/>
      <c r="AE888" s="699"/>
      <c r="AF888" s="456"/>
      <c r="AG888" s="699"/>
      <c r="AH888" s="481"/>
      <c r="AJ888" s="481"/>
    </row>
    <row r="889" spans="1:36" s="454" customFormat="1" ht="45" x14ac:dyDescent="0.25">
      <c r="A889" s="658" t="s">
        <v>1437</v>
      </c>
      <c r="B889" s="659" t="s">
        <v>1877</v>
      </c>
      <c r="C889" s="2673" t="s">
        <v>1878</v>
      </c>
      <c r="D889" s="2673"/>
      <c r="E889" s="2673"/>
      <c r="F889" s="660">
        <v>0.16200000000000001</v>
      </c>
      <c r="G889" s="661" t="s">
        <v>1879</v>
      </c>
      <c r="H889" s="661" t="s">
        <v>1880</v>
      </c>
      <c r="I889" s="661">
        <v>360</v>
      </c>
      <c r="J889" s="661">
        <v>59</v>
      </c>
      <c r="K889" s="662" t="s">
        <v>1439</v>
      </c>
      <c r="L889" s="671">
        <v>37.884</v>
      </c>
      <c r="M889" s="672">
        <v>6.14</v>
      </c>
      <c r="X889" s="656"/>
      <c r="Y889" s="657"/>
      <c r="Z889" s="657"/>
      <c r="AA889" s="481" t="s">
        <v>1878</v>
      </c>
      <c r="AC889" s="456"/>
      <c r="AD889" s="522"/>
      <c r="AE889" s="699"/>
      <c r="AF889" s="456"/>
      <c r="AG889" s="699"/>
      <c r="AH889" s="481"/>
      <c r="AJ889" s="481"/>
    </row>
    <row r="890" spans="1:36" s="454" customFormat="1" ht="15" x14ac:dyDescent="0.25">
      <c r="A890" s="664"/>
      <c r="B890" s="665"/>
      <c r="C890" s="666" t="s">
        <v>3442</v>
      </c>
      <c r="D890" s="667"/>
      <c r="E890" s="667"/>
      <c r="F890" s="667"/>
      <c r="G890" s="667"/>
      <c r="H890" s="667"/>
      <c r="I890" s="667"/>
      <c r="J890" s="667"/>
      <c r="K890" s="667"/>
      <c r="L890" s="667"/>
      <c r="M890" s="668"/>
      <c r="X890" s="656"/>
      <c r="Y890" s="657"/>
      <c r="Z890" s="657"/>
      <c r="AA890" s="481"/>
      <c r="AC890" s="456"/>
      <c r="AD890" s="522"/>
      <c r="AE890" s="699"/>
      <c r="AF890" s="456"/>
      <c r="AG890" s="699"/>
      <c r="AH890" s="481"/>
      <c r="AJ890" s="481"/>
    </row>
    <row r="891" spans="1:36" s="454" customFormat="1" ht="15" x14ac:dyDescent="0.25">
      <c r="A891" s="542"/>
      <c r="B891" s="673" t="s">
        <v>1788</v>
      </c>
      <c r="C891" s="2670" t="s">
        <v>1789</v>
      </c>
      <c r="D891" s="2670"/>
      <c r="E891" s="2670"/>
      <c r="F891" s="2670"/>
      <c r="G891" s="2670"/>
      <c r="H891" s="2670"/>
      <c r="I891" s="2670"/>
      <c r="J891" s="2670"/>
      <c r="K891" s="2670"/>
      <c r="L891" s="2670"/>
      <c r="M891" s="2671"/>
      <c r="X891" s="656"/>
      <c r="Y891" s="657"/>
      <c r="Z891" s="657"/>
      <c r="AA891" s="481"/>
      <c r="AB891" s="491" t="s">
        <v>1789</v>
      </c>
      <c r="AC891" s="456"/>
      <c r="AD891" s="522"/>
      <c r="AE891" s="699"/>
      <c r="AF891" s="456"/>
      <c r="AG891" s="699"/>
      <c r="AH891" s="481"/>
      <c r="AJ891" s="481"/>
    </row>
    <row r="892" spans="1:36" s="454" customFormat="1" ht="33.75" x14ac:dyDescent="0.25">
      <c r="A892" s="542"/>
      <c r="B892" s="673" t="s">
        <v>1655</v>
      </c>
      <c r="C892" s="2670" t="s">
        <v>1656</v>
      </c>
      <c r="D892" s="2670"/>
      <c r="E892" s="2670"/>
      <c r="F892" s="2670"/>
      <c r="G892" s="2670"/>
      <c r="H892" s="2670"/>
      <c r="I892" s="2670"/>
      <c r="J892" s="2670"/>
      <c r="K892" s="2670"/>
      <c r="L892" s="2670"/>
      <c r="M892" s="2671"/>
      <c r="X892" s="656"/>
      <c r="Y892" s="657"/>
      <c r="Z892" s="657"/>
      <c r="AA892" s="481"/>
      <c r="AB892" s="491" t="s">
        <v>1656</v>
      </c>
      <c r="AC892" s="456"/>
      <c r="AD892" s="522"/>
      <c r="AE892" s="699"/>
      <c r="AF892" s="456"/>
      <c r="AG892" s="699"/>
      <c r="AH892" s="481"/>
      <c r="AJ892" s="481"/>
    </row>
    <row r="893" spans="1:36" s="454" customFormat="1" ht="15" x14ac:dyDescent="0.25">
      <c r="A893" s="823"/>
      <c r="B893" s="824"/>
      <c r="C893" s="824"/>
      <c r="D893" s="824"/>
      <c r="E893" s="825" t="s">
        <v>3443</v>
      </c>
      <c r="F893" s="826"/>
      <c r="G893" s="827"/>
      <c r="H893" s="648"/>
      <c r="I893" s="828">
        <v>78</v>
      </c>
      <c r="J893" s="829"/>
      <c r="K893" s="829"/>
      <c r="L893" s="830"/>
      <c r="M893" s="831"/>
      <c r="X893" s="656"/>
      <c r="Y893" s="657"/>
      <c r="Z893" s="657"/>
      <c r="AA893" s="481"/>
      <c r="AC893" s="456"/>
      <c r="AD893" s="522"/>
      <c r="AE893" s="699"/>
      <c r="AF893" s="456"/>
      <c r="AG893" s="699"/>
      <c r="AH893" s="481"/>
      <c r="AJ893" s="481"/>
    </row>
    <row r="894" spans="1:36" s="454" customFormat="1" ht="15" x14ac:dyDescent="0.25">
      <c r="A894" s="823"/>
      <c r="B894" s="824"/>
      <c r="C894" s="824"/>
      <c r="D894" s="824"/>
      <c r="E894" s="825" t="s">
        <v>3444</v>
      </c>
      <c r="F894" s="826"/>
      <c r="G894" s="827"/>
      <c r="H894" s="648"/>
      <c r="I894" s="828">
        <v>74</v>
      </c>
      <c r="J894" s="829"/>
      <c r="K894" s="829"/>
      <c r="L894" s="830"/>
      <c r="M894" s="831"/>
      <c r="X894" s="656"/>
      <c r="Y894" s="657"/>
      <c r="Z894" s="657"/>
      <c r="AA894" s="481"/>
      <c r="AC894" s="456"/>
      <c r="AD894" s="522"/>
      <c r="AE894" s="699"/>
      <c r="AF894" s="456"/>
      <c r="AG894" s="699"/>
      <c r="AH894" s="481"/>
      <c r="AJ894" s="481"/>
    </row>
    <row r="895" spans="1:36" s="454" customFormat="1" ht="15" x14ac:dyDescent="0.25">
      <c r="A895" s="823"/>
      <c r="B895" s="824"/>
      <c r="C895" s="824"/>
      <c r="D895" s="824"/>
      <c r="E895" s="825" t="s">
        <v>2692</v>
      </c>
      <c r="F895" s="826"/>
      <c r="G895" s="827"/>
      <c r="H895" s="648"/>
      <c r="I895" s="828">
        <v>512</v>
      </c>
      <c r="J895" s="829"/>
      <c r="K895" s="829"/>
      <c r="L895" s="830"/>
      <c r="M895" s="831"/>
      <c r="X895" s="656"/>
      <c r="Y895" s="657"/>
      <c r="Z895" s="657"/>
      <c r="AA895" s="481"/>
      <c r="AC895" s="456"/>
      <c r="AD895" s="522"/>
      <c r="AE895" s="699"/>
      <c r="AF895" s="456"/>
      <c r="AG895" s="699"/>
      <c r="AH895" s="481"/>
      <c r="AJ895" s="481"/>
    </row>
    <row r="896" spans="1:36" s="454" customFormat="1" ht="23.25" x14ac:dyDescent="0.25">
      <c r="A896" s="507"/>
      <c r="B896" s="674" t="s">
        <v>1883</v>
      </c>
      <c r="C896" s="2672" t="s">
        <v>1884</v>
      </c>
      <c r="D896" s="2672"/>
      <c r="E896" s="2672"/>
      <c r="F896" s="675" t="s">
        <v>3445</v>
      </c>
      <c r="G896" s="676" t="s">
        <v>1886</v>
      </c>
      <c r="H896" s="676"/>
      <c r="I896" s="676">
        <v>59.07</v>
      </c>
      <c r="J896" s="676">
        <v>59.07</v>
      </c>
      <c r="K896" s="676"/>
      <c r="L896" s="677"/>
      <c r="M896" s="678"/>
      <c r="X896" s="656"/>
      <c r="Y896" s="657"/>
      <c r="Z896" s="657"/>
      <c r="AA896" s="481"/>
      <c r="AC896" s="456" t="s">
        <v>1884</v>
      </c>
      <c r="AD896" s="522"/>
      <c r="AE896" s="699"/>
      <c r="AF896" s="456"/>
      <c r="AG896" s="699"/>
      <c r="AH896" s="481"/>
      <c r="AJ896" s="481"/>
    </row>
    <row r="897" spans="1:36" s="454" customFormat="1" ht="23.25" x14ac:dyDescent="0.25">
      <c r="A897" s="507"/>
      <c r="B897" s="674" t="s">
        <v>639</v>
      </c>
      <c r="C897" s="2672" t="s">
        <v>1661</v>
      </c>
      <c r="D897" s="2672"/>
      <c r="E897" s="2672"/>
      <c r="F897" s="675" t="s">
        <v>3446</v>
      </c>
      <c r="G897" s="676">
        <v>0</v>
      </c>
      <c r="H897" s="676">
        <v>0</v>
      </c>
      <c r="I897" s="676">
        <v>0</v>
      </c>
      <c r="J897" s="676"/>
      <c r="K897" s="676">
        <v>0</v>
      </c>
      <c r="L897" s="677"/>
      <c r="M897" s="678"/>
      <c r="X897" s="656"/>
      <c r="Y897" s="657"/>
      <c r="Z897" s="657"/>
      <c r="AA897" s="481"/>
      <c r="AC897" s="456" t="s">
        <v>1661</v>
      </c>
      <c r="AD897" s="522"/>
      <c r="AE897" s="699"/>
      <c r="AF897" s="456"/>
      <c r="AG897" s="699"/>
      <c r="AH897" s="481"/>
      <c r="AJ897" s="481"/>
    </row>
    <row r="898" spans="1:36" s="454" customFormat="1" ht="23.25" x14ac:dyDescent="0.25">
      <c r="A898" s="507"/>
      <c r="B898" s="674" t="s">
        <v>812</v>
      </c>
      <c r="C898" s="2672" t="s">
        <v>1888</v>
      </c>
      <c r="D898" s="2672"/>
      <c r="E898" s="2672"/>
      <c r="F898" s="675" t="s">
        <v>3447</v>
      </c>
      <c r="G898" s="676">
        <v>120.24</v>
      </c>
      <c r="H898" s="676" t="s">
        <v>1890</v>
      </c>
      <c r="I898" s="676">
        <v>2.4</v>
      </c>
      <c r="J898" s="676"/>
      <c r="K898" s="676" t="s">
        <v>3448</v>
      </c>
      <c r="L898" s="677"/>
      <c r="M898" s="678"/>
      <c r="X898" s="656"/>
      <c r="Y898" s="657"/>
      <c r="Z898" s="657"/>
      <c r="AA898" s="481"/>
      <c r="AC898" s="456" t="s">
        <v>1888</v>
      </c>
      <c r="AD898" s="522"/>
      <c r="AE898" s="699"/>
      <c r="AF898" s="456"/>
      <c r="AG898" s="699"/>
      <c r="AH898" s="481"/>
      <c r="AJ898" s="481"/>
    </row>
    <row r="899" spans="1:36" s="454" customFormat="1" ht="34.5" x14ac:dyDescent="0.25">
      <c r="A899" s="507"/>
      <c r="B899" s="674" t="s">
        <v>1663</v>
      </c>
      <c r="C899" s="2672" t="s">
        <v>1664</v>
      </c>
      <c r="D899" s="2672"/>
      <c r="E899" s="2672"/>
      <c r="F899" s="675" t="s">
        <v>3449</v>
      </c>
      <c r="G899" s="676">
        <v>111.99</v>
      </c>
      <c r="H899" s="676" t="s">
        <v>1666</v>
      </c>
      <c r="I899" s="676">
        <v>3.36</v>
      </c>
      <c r="J899" s="676"/>
      <c r="K899" s="676" t="s">
        <v>2707</v>
      </c>
      <c r="L899" s="677"/>
      <c r="M899" s="678"/>
      <c r="X899" s="656"/>
      <c r="Y899" s="657"/>
      <c r="Z899" s="657"/>
      <c r="AA899" s="481"/>
      <c r="AC899" s="456" t="s">
        <v>1664</v>
      </c>
      <c r="AD899" s="522"/>
      <c r="AE899" s="699"/>
      <c r="AF899" s="456"/>
      <c r="AG899" s="699"/>
      <c r="AH899" s="481"/>
      <c r="AJ899" s="481"/>
    </row>
    <row r="900" spans="1:36" s="454" customFormat="1" ht="34.5" x14ac:dyDescent="0.25">
      <c r="A900" s="507"/>
      <c r="B900" s="674" t="s">
        <v>1797</v>
      </c>
      <c r="C900" s="2672" t="s">
        <v>1798</v>
      </c>
      <c r="D900" s="2672"/>
      <c r="E900" s="2672"/>
      <c r="F900" s="675" t="s">
        <v>3450</v>
      </c>
      <c r="G900" s="676">
        <v>120.04</v>
      </c>
      <c r="H900" s="676" t="s">
        <v>1800</v>
      </c>
      <c r="I900" s="676">
        <v>152.44999999999999</v>
      </c>
      <c r="J900" s="676"/>
      <c r="K900" s="676" t="s">
        <v>3451</v>
      </c>
      <c r="L900" s="677"/>
      <c r="M900" s="678"/>
      <c r="X900" s="656"/>
      <c r="Y900" s="657"/>
      <c r="Z900" s="657"/>
      <c r="AA900" s="481"/>
      <c r="AC900" s="456" t="s">
        <v>1798</v>
      </c>
      <c r="AD900" s="522"/>
      <c r="AE900" s="699"/>
      <c r="AF900" s="456"/>
      <c r="AG900" s="699"/>
      <c r="AH900" s="481"/>
      <c r="AJ900" s="481"/>
    </row>
    <row r="901" spans="1:36" s="454" customFormat="1" ht="34.5" x14ac:dyDescent="0.25">
      <c r="A901" s="507"/>
      <c r="B901" s="674" t="s">
        <v>821</v>
      </c>
      <c r="C901" s="2672" t="s">
        <v>1751</v>
      </c>
      <c r="D901" s="2672"/>
      <c r="E901" s="2672"/>
      <c r="F901" s="675" t="s">
        <v>3452</v>
      </c>
      <c r="G901" s="676">
        <v>65.709999999999994</v>
      </c>
      <c r="H901" s="676" t="s">
        <v>1753</v>
      </c>
      <c r="I901" s="676">
        <v>3.29</v>
      </c>
      <c r="J901" s="676"/>
      <c r="K901" s="676" t="s">
        <v>3453</v>
      </c>
      <c r="L901" s="677"/>
      <c r="M901" s="678"/>
      <c r="X901" s="656"/>
      <c r="Y901" s="657"/>
      <c r="Z901" s="657"/>
      <c r="AA901" s="481"/>
      <c r="AC901" s="456" t="s">
        <v>1751</v>
      </c>
      <c r="AD901" s="522"/>
      <c r="AE901" s="699"/>
      <c r="AF901" s="456"/>
      <c r="AG901" s="699"/>
      <c r="AH901" s="481"/>
      <c r="AJ901" s="481"/>
    </row>
    <row r="902" spans="1:36" s="454" customFormat="1" ht="23.25" x14ac:dyDescent="0.25">
      <c r="A902" s="507"/>
      <c r="B902" s="674" t="s">
        <v>825</v>
      </c>
      <c r="C902" s="2672" t="s">
        <v>1808</v>
      </c>
      <c r="D902" s="2672"/>
      <c r="E902" s="2672"/>
      <c r="F902" s="675" t="s">
        <v>3454</v>
      </c>
      <c r="G902" s="676">
        <v>1.2</v>
      </c>
      <c r="H902" s="676" t="s">
        <v>1810</v>
      </c>
      <c r="I902" s="676">
        <v>0.65</v>
      </c>
      <c r="J902" s="676"/>
      <c r="K902" s="676" t="s">
        <v>3455</v>
      </c>
      <c r="L902" s="677"/>
      <c r="M902" s="678"/>
      <c r="X902" s="656"/>
      <c r="Y902" s="657"/>
      <c r="Z902" s="657"/>
      <c r="AA902" s="481"/>
      <c r="AC902" s="456" t="s">
        <v>1808</v>
      </c>
      <c r="AD902" s="522"/>
      <c r="AE902" s="699"/>
      <c r="AF902" s="456"/>
      <c r="AG902" s="699"/>
      <c r="AH902" s="481"/>
      <c r="AJ902" s="481"/>
    </row>
    <row r="903" spans="1:36" s="454" customFormat="1" ht="34.5" x14ac:dyDescent="0.25">
      <c r="A903" s="507"/>
      <c r="B903" s="674" t="s">
        <v>827</v>
      </c>
      <c r="C903" s="2672" t="s">
        <v>1812</v>
      </c>
      <c r="D903" s="2672"/>
      <c r="E903" s="2672"/>
      <c r="F903" s="675" t="s">
        <v>3456</v>
      </c>
      <c r="G903" s="676">
        <v>12.31</v>
      </c>
      <c r="H903" s="676" t="s">
        <v>1814</v>
      </c>
      <c r="I903" s="676">
        <v>3.08</v>
      </c>
      <c r="J903" s="676"/>
      <c r="K903" s="676" t="s">
        <v>3457</v>
      </c>
      <c r="L903" s="677"/>
      <c r="M903" s="678"/>
      <c r="X903" s="656"/>
      <c r="Y903" s="657"/>
      <c r="Z903" s="657"/>
      <c r="AA903" s="481"/>
      <c r="AC903" s="456" t="s">
        <v>1812</v>
      </c>
      <c r="AD903" s="522"/>
      <c r="AE903" s="699"/>
      <c r="AF903" s="456"/>
      <c r="AG903" s="699"/>
      <c r="AH903" s="481"/>
      <c r="AJ903" s="481"/>
    </row>
    <row r="904" spans="1:36" s="454" customFormat="1" ht="23.25" x14ac:dyDescent="0.25">
      <c r="A904" s="507"/>
      <c r="B904" s="674" t="s">
        <v>830</v>
      </c>
      <c r="C904" s="2672" t="s">
        <v>1816</v>
      </c>
      <c r="D904" s="2672"/>
      <c r="E904" s="2672"/>
      <c r="F904" s="675" t="s">
        <v>3458</v>
      </c>
      <c r="G904" s="676">
        <v>6.22</v>
      </c>
      <c r="H904" s="676"/>
      <c r="I904" s="676">
        <v>3.02</v>
      </c>
      <c r="J904" s="676"/>
      <c r="K904" s="676"/>
      <c r="L904" s="677"/>
      <c r="M904" s="678"/>
      <c r="X904" s="656"/>
      <c r="Y904" s="657"/>
      <c r="Z904" s="657"/>
      <c r="AA904" s="481"/>
      <c r="AC904" s="456" t="s">
        <v>1816</v>
      </c>
      <c r="AD904" s="522"/>
      <c r="AE904" s="699"/>
      <c r="AF904" s="456"/>
      <c r="AG904" s="699"/>
      <c r="AH904" s="481"/>
      <c r="AJ904" s="481"/>
    </row>
    <row r="905" spans="1:36" s="454" customFormat="1" ht="23.25" x14ac:dyDescent="0.25">
      <c r="A905" s="507"/>
      <c r="B905" s="674" t="s">
        <v>833</v>
      </c>
      <c r="C905" s="2672" t="s">
        <v>1818</v>
      </c>
      <c r="D905" s="2672"/>
      <c r="E905" s="2672"/>
      <c r="F905" s="675" t="s">
        <v>3459</v>
      </c>
      <c r="G905" s="676">
        <v>6.09</v>
      </c>
      <c r="H905" s="676"/>
      <c r="I905" s="676">
        <v>0.89</v>
      </c>
      <c r="J905" s="676"/>
      <c r="K905" s="676"/>
      <c r="L905" s="677"/>
      <c r="M905" s="678"/>
      <c r="X905" s="656"/>
      <c r="Y905" s="657"/>
      <c r="Z905" s="657"/>
      <c r="AA905" s="481"/>
      <c r="AC905" s="456" t="s">
        <v>1818</v>
      </c>
      <c r="AD905" s="522"/>
      <c r="AE905" s="699"/>
      <c r="AF905" s="456"/>
      <c r="AG905" s="699"/>
      <c r="AH905" s="481"/>
      <c r="AJ905" s="481"/>
    </row>
    <row r="906" spans="1:36" s="454" customFormat="1" ht="23.25" x14ac:dyDescent="0.25">
      <c r="A906" s="507"/>
      <c r="B906" s="674" t="s">
        <v>1904</v>
      </c>
      <c r="C906" s="2672" t="s">
        <v>1905</v>
      </c>
      <c r="D906" s="2672"/>
      <c r="E906" s="2672"/>
      <c r="F906" s="675" t="s">
        <v>3460</v>
      </c>
      <c r="G906" s="676">
        <v>10315.01</v>
      </c>
      <c r="H906" s="676"/>
      <c r="I906" s="676">
        <v>11.35</v>
      </c>
      <c r="J906" s="676"/>
      <c r="K906" s="676"/>
      <c r="L906" s="677"/>
      <c r="M906" s="678"/>
      <c r="X906" s="656"/>
      <c r="Y906" s="657"/>
      <c r="Z906" s="657"/>
      <c r="AA906" s="481"/>
      <c r="AC906" s="456" t="s">
        <v>1905</v>
      </c>
      <c r="AD906" s="522"/>
      <c r="AE906" s="699"/>
      <c r="AF906" s="456"/>
      <c r="AG906" s="699"/>
      <c r="AH906" s="481"/>
      <c r="AJ906" s="481"/>
    </row>
    <row r="907" spans="1:36" s="454" customFormat="1" ht="23.25" x14ac:dyDescent="0.25">
      <c r="A907" s="507"/>
      <c r="B907" s="674" t="s">
        <v>1823</v>
      </c>
      <c r="C907" s="2672" t="s">
        <v>1824</v>
      </c>
      <c r="D907" s="2672"/>
      <c r="E907" s="2672"/>
      <c r="F907" s="675" t="s">
        <v>3461</v>
      </c>
      <c r="G907" s="676">
        <v>9040.01</v>
      </c>
      <c r="H907" s="676"/>
      <c r="I907" s="676">
        <v>13.56</v>
      </c>
      <c r="J907" s="676"/>
      <c r="K907" s="676"/>
      <c r="L907" s="677"/>
      <c r="M907" s="678"/>
      <c r="X907" s="656"/>
      <c r="Y907" s="657"/>
      <c r="Z907" s="657"/>
      <c r="AA907" s="481"/>
      <c r="AC907" s="456" t="s">
        <v>1824</v>
      </c>
      <c r="AD907" s="522"/>
      <c r="AE907" s="699"/>
      <c r="AF907" s="456"/>
      <c r="AG907" s="699"/>
      <c r="AH907" s="481"/>
      <c r="AJ907" s="481"/>
    </row>
    <row r="908" spans="1:36" s="454" customFormat="1" ht="23.25" x14ac:dyDescent="0.25">
      <c r="A908" s="507"/>
      <c r="B908" s="674" t="s">
        <v>841</v>
      </c>
      <c r="C908" s="2672" t="s">
        <v>1760</v>
      </c>
      <c r="D908" s="2672"/>
      <c r="E908" s="2672"/>
      <c r="F908" s="675" t="s">
        <v>1826</v>
      </c>
      <c r="G908" s="676">
        <v>11978</v>
      </c>
      <c r="H908" s="676"/>
      <c r="I908" s="676">
        <v>0</v>
      </c>
      <c r="J908" s="676"/>
      <c r="K908" s="676"/>
      <c r="L908" s="677"/>
      <c r="M908" s="678"/>
      <c r="X908" s="656"/>
      <c r="Y908" s="657"/>
      <c r="Z908" s="657"/>
      <c r="AA908" s="481"/>
      <c r="AC908" s="456" t="s">
        <v>1760</v>
      </c>
      <c r="AD908" s="522"/>
      <c r="AE908" s="699"/>
      <c r="AF908" s="456"/>
      <c r="AG908" s="699"/>
      <c r="AH908" s="481"/>
      <c r="AJ908" s="481"/>
    </row>
    <row r="909" spans="1:36" s="454" customFormat="1" ht="23.25" x14ac:dyDescent="0.25">
      <c r="A909" s="507"/>
      <c r="B909" s="674" t="s">
        <v>843</v>
      </c>
      <c r="C909" s="2672" t="s">
        <v>1827</v>
      </c>
      <c r="D909" s="2672"/>
      <c r="E909" s="2672"/>
      <c r="F909" s="675" t="s">
        <v>1908</v>
      </c>
      <c r="G909" s="676">
        <v>37900</v>
      </c>
      <c r="H909" s="676"/>
      <c r="I909" s="676">
        <v>0</v>
      </c>
      <c r="J909" s="676"/>
      <c r="K909" s="676"/>
      <c r="L909" s="677"/>
      <c r="M909" s="678"/>
      <c r="X909" s="656"/>
      <c r="Y909" s="657"/>
      <c r="Z909" s="657"/>
      <c r="AA909" s="481"/>
      <c r="AC909" s="456" t="s">
        <v>1827</v>
      </c>
      <c r="AD909" s="522"/>
      <c r="AE909" s="699"/>
      <c r="AF909" s="456"/>
      <c r="AG909" s="699"/>
      <c r="AH909" s="481"/>
      <c r="AJ909" s="481"/>
    </row>
    <row r="910" spans="1:36" s="454" customFormat="1" ht="23.25" x14ac:dyDescent="0.25">
      <c r="A910" s="515" t="s">
        <v>863</v>
      </c>
      <c r="B910" s="686" t="s">
        <v>1832</v>
      </c>
      <c r="C910" s="2683" t="s">
        <v>1833</v>
      </c>
      <c r="D910" s="2683"/>
      <c r="E910" s="2683"/>
      <c r="F910" s="687" t="s">
        <v>3462</v>
      </c>
      <c r="G910" s="688">
        <v>0</v>
      </c>
      <c r="H910" s="688"/>
      <c r="I910" s="688">
        <v>0</v>
      </c>
      <c r="J910" s="688"/>
      <c r="K910" s="688"/>
      <c r="L910" s="689"/>
      <c r="M910" s="690"/>
      <c r="X910" s="656"/>
      <c r="Y910" s="657"/>
      <c r="Z910" s="657"/>
      <c r="AA910" s="481"/>
      <c r="AC910" s="456"/>
      <c r="AD910" s="522" t="s">
        <v>1833</v>
      </c>
      <c r="AE910" s="699"/>
      <c r="AF910" s="456"/>
      <c r="AG910" s="699"/>
      <c r="AH910" s="481"/>
      <c r="AJ910" s="481"/>
    </row>
    <row r="911" spans="1:36" s="454" customFormat="1" ht="34.5" x14ac:dyDescent="0.25">
      <c r="A911" s="507"/>
      <c r="B911" s="674" t="s">
        <v>1910</v>
      </c>
      <c r="C911" s="2672" t="s">
        <v>1911</v>
      </c>
      <c r="D911" s="2672"/>
      <c r="E911" s="2672"/>
      <c r="F911" s="675" t="s">
        <v>3463</v>
      </c>
      <c r="G911" s="676">
        <v>5989</v>
      </c>
      <c r="H911" s="676"/>
      <c r="I911" s="676">
        <v>20.36</v>
      </c>
      <c r="J911" s="676"/>
      <c r="K911" s="676"/>
      <c r="L911" s="677"/>
      <c r="M911" s="678"/>
      <c r="X911" s="656"/>
      <c r="Y911" s="657"/>
      <c r="Z911" s="657"/>
      <c r="AA911" s="481"/>
      <c r="AC911" s="456" t="s">
        <v>1911</v>
      </c>
      <c r="AD911" s="522"/>
      <c r="AE911" s="699"/>
      <c r="AF911" s="456"/>
      <c r="AG911" s="699"/>
      <c r="AH911" s="481"/>
      <c r="AJ911" s="481"/>
    </row>
    <row r="912" spans="1:36" s="454" customFormat="1" ht="68.25" x14ac:dyDescent="0.25">
      <c r="A912" s="507"/>
      <c r="B912" s="674" t="s">
        <v>847</v>
      </c>
      <c r="C912" s="2672" t="s">
        <v>1835</v>
      </c>
      <c r="D912" s="2672"/>
      <c r="E912" s="2672"/>
      <c r="F912" s="675" t="s">
        <v>3464</v>
      </c>
      <c r="G912" s="676">
        <v>50.24</v>
      </c>
      <c r="H912" s="676"/>
      <c r="I912" s="676">
        <v>0.15</v>
      </c>
      <c r="J912" s="676"/>
      <c r="K912" s="676"/>
      <c r="L912" s="677"/>
      <c r="M912" s="678"/>
      <c r="X912" s="656"/>
      <c r="Y912" s="657"/>
      <c r="Z912" s="657"/>
      <c r="AA912" s="481"/>
      <c r="AC912" s="456" t="s">
        <v>1835</v>
      </c>
      <c r="AD912" s="522"/>
      <c r="AE912" s="699"/>
      <c r="AF912" s="456"/>
      <c r="AG912" s="699"/>
      <c r="AH912" s="481"/>
      <c r="AJ912" s="481"/>
    </row>
    <row r="913" spans="1:36" s="454" customFormat="1" ht="34.5" x14ac:dyDescent="0.25">
      <c r="A913" s="507"/>
      <c r="B913" s="674" t="s">
        <v>850</v>
      </c>
      <c r="C913" s="2672" t="s">
        <v>1771</v>
      </c>
      <c r="D913" s="2672"/>
      <c r="E913" s="2672"/>
      <c r="F913" s="675" t="s">
        <v>1837</v>
      </c>
      <c r="G913" s="676">
        <v>4455.2</v>
      </c>
      <c r="H913" s="676"/>
      <c r="I913" s="676">
        <v>0</v>
      </c>
      <c r="J913" s="676"/>
      <c r="K913" s="676"/>
      <c r="L913" s="677"/>
      <c r="M913" s="678"/>
      <c r="X913" s="656"/>
      <c r="Y913" s="657"/>
      <c r="Z913" s="657"/>
      <c r="AA913" s="481"/>
      <c r="AC913" s="456" t="s">
        <v>1771</v>
      </c>
      <c r="AD913" s="522"/>
      <c r="AE913" s="699"/>
      <c r="AF913" s="456"/>
      <c r="AG913" s="699"/>
      <c r="AH913" s="481"/>
      <c r="AJ913" s="481"/>
    </row>
    <row r="914" spans="1:36" s="454" customFormat="1" ht="23.25" x14ac:dyDescent="0.25">
      <c r="A914" s="507"/>
      <c r="B914" s="674" t="s">
        <v>1838</v>
      </c>
      <c r="C914" s="2672" t="s">
        <v>1839</v>
      </c>
      <c r="D914" s="2672"/>
      <c r="E914" s="2672"/>
      <c r="F914" s="675" t="s">
        <v>3465</v>
      </c>
      <c r="G914" s="676">
        <v>4920</v>
      </c>
      <c r="H914" s="676"/>
      <c r="I914" s="676">
        <v>1.48</v>
      </c>
      <c r="J914" s="676"/>
      <c r="K914" s="676"/>
      <c r="L914" s="677"/>
      <c r="M914" s="678"/>
      <c r="X914" s="656"/>
      <c r="Y914" s="657"/>
      <c r="Z914" s="657"/>
      <c r="AA914" s="481"/>
      <c r="AC914" s="456" t="s">
        <v>1839</v>
      </c>
      <c r="AD914" s="522"/>
      <c r="AE914" s="699"/>
      <c r="AF914" s="456"/>
      <c r="AG914" s="699"/>
      <c r="AH914" s="481"/>
      <c r="AJ914" s="481"/>
    </row>
    <row r="915" spans="1:36" s="454" customFormat="1" ht="45.75" x14ac:dyDescent="0.25">
      <c r="A915" s="507"/>
      <c r="B915" s="674" t="s">
        <v>1841</v>
      </c>
      <c r="C915" s="2672" t="s">
        <v>1842</v>
      </c>
      <c r="D915" s="2672"/>
      <c r="E915" s="2672"/>
      <c r="F915" s="675" t="s">
        <v>3466</v>
      </c>
      <c r="G915" s="676">
        <v>1700</v>
      </c>
      <c r="H915" s="676"/>
      <c r="I915" s="676">
        <v>0.34</v>
      </c>
      <c r="J915" s="676"/>
      <c r="K915" s="676"/>
      <c r="L915" s="677"/>
      <c r="M915" s="678"/>
      <c r="X915" s="656"/>
      <c r="Y915" s="657"/>
      <c r="Z915" s="657"/>
      <c r="AA915" s="481"/>
      <c r="AC915" s="456" t="s">
        <v>1842</v>
      </c>
      <c r="AD915" s="522"/>
      <c r="AE915" s="699"/>
      <c r="AF915" s="456"/>
      <c r="AG915" s="699"/>
      <c r="AH915" s="481"/>
      <c r="AJ915" s="481"/>
    </row>
    <row r="916" spans="1:36" s="454" customFormat="1" ht="23.25" x14ac:dyDescent="0.25">
      <c r="A916" s="507"/>
      <c r="B916" s="674" t="s">
        <v>856</v>
      </c>
      <c r="C916" s="2672" t="s">
        <v>1844</v>
      </c>
      <c r="D916" s="2672"/>
      <c r="E916" s="2672"/>
      <c r="F916" s="675" t="s">
        <v>2811</v>
      </c>
      <c r="G916" s="676">
        <v>15620</v>
      </c>
      <c r="H916" s="676"/>
      <c r="I916" s="676">
        <v>1.56</v>
      </c>
      <c r="J916" s="676"/>
      <c r="K916" s="676"/>
      <c r="L916" s="677"/>
      <c r="M916" s="678"/>
      <c r="X916" s="656"/>
      <c r="Y916" s="657"/>
      <c r="Z916" s="657"/>
      <c r="AA916" s="481"/>
      <c r="AC916" s="456" t="s">
        <v>1844</v>
      </c>
      <c r="AD916" s="522"/>
      <c r="AE916" s="699"/>
      <c r="AF916" s="456"/>
      <c r="AG916" s="699"/>
      <c r="AH916" s="481"/>
      <c r="AJ916" s="481"/>
    </row>
    <row r="917" spans="1:36" s="454" customFormat="1" ht="23.25" x14ac:dyDescent="0.25">
      <c r="A917" s="507"/>
      <c r="B917" s="674" t="s">
        <v>1846</v>
      </c>
      <c r="C917" s="2672" t="s">
        <v>1847</v>
      </c>
      <c r="D917" s="2672"/>
      <c r="E917" s="2672"/>
      <c r="F917" s="675" t="s">
        <v>3467</v>
      </c>
      <c r="G917" s="676">
        <v>9420</v>
      </c>
      <c r="H917" s="676"/>
      <c r="I917" s="676">
        <v>0.94</v>
      </c>
      <c r="J917" s="676"/>
      <c r="K917" s="676"/>
      <c r="L917" s="677"/>
      <c r="M917" s="678"/>
      <c r="X917" s="656"/>
      <c r="Y917" s="657"/>
      <c r="Z917" s="657"/>
      <c r="AA917" s="481"/>
      <c r="AC917" s="456" t="s">
        <v>1847</v>
      </c>
      <c r="AD917" s="522"/>
      <c r="AE917" s="699"/>
      <c r="AF917" s="456"/>
      <c r="AG917" s="699"/>
      <c r="AH917" s="481"/>
      <c r="AJ917" s="481"/>
    </row>
    <row r="918" spans="1:36" s="454" customFormat="1" ht="57" x14ac:dyDescent="0.25">
      <c r="A918" s="658" t="s">
        <v>1440</v>
      </c>
      <c r="B918" s="659" t="s">
        <v>1652</v>
      </c>
      <c r="C918" s="2673" t="s">
        <v>1653</v>
      </c>
      <c r="D918" s="2673"/>
      <c r="E918" s="2673"/>
      <c r="F918" s="670">
        <v>8</v>
      </c>
      <c r="G918" s="661" t="s">
        <v>1221</v>
      </c>
      <c r="H918" s="661" t="s">
        <v>1222</v>
      </c>
      <c r="I918" s="661">
        <v>485</v>
      </c>
      <c r="J918" s="661">
        <v>107</v>
      </c>
      <c r="K918" s="662" t="s">
        <v>1229</v>
      </c>
      <c r="L918" s="671">
        <v>1.635</v>
      </c>
      <c r="M918" s="672">
        <v>13.08</v>
      </c>
      <c r="X918" s="656"/>
      <c r="Y918" s="657"/>
      <c r="Z918" s="657"/>
      <c r="AA918" s="481" t="s">
        <v>1653</v>
      </c>
      <c r="AC918" s="456"/>
      <c r="AD918" s="522"/>
      <c r="AE918" s="699"/>
      <c r="AF918" s="456"/>
      <c r="AG918" s="699"/>
      <c r="AH918" s="481"/>
      <c r="AJ918" s="481"/>
    </row>
    <row r="919" spans="1:36" s="454" customFormat="1" ht="15" x14ac:dyDescent="0.25">
      <c r="A919" s="664"/>
      <c r="B919" s="665"/>
      <c r="C919" s="666" t="s">
        <v>3468</v>
      </c>
      <c r="D919" s="667"/>
      <c r="E919" s="667"/>
      <c r="F919" s="667"/>
      <c r="G919" s="667"/>
      <c r="H919" s="667"/>
      <c r="I919" s="667"/>
      <c r="J919" s="667"/>
      <c r="K919" s="667"/>
      <c r="L919" s="667"/>
      <c r="M919" s="668"/>
      <c r="X919" s="656"/>
      <c r="Y919" s="657"/>
      <c r="Z919" s="657"/>
      <c r="AA919" s="481"/>
      <c r="AC919" s="456"/>
      <c r="AD919" s="522"/>
      <c r="AE919" s="699"/>
      <c r="AF919" s="456"/>
      <c r="AG919" s="699"/>
      <c r="AH919" s="481"/>
      <c r="AJ919" s="481"/>
    </row>
    <row r="920" spans="1:36" s="454" customFormat="1" ht="33.75" x14ac:dyDescent="0.25">
      <c r="A920" s="542"/>
      <c r="B920" s="673" t="s">
        <v>1655</v>
      </c>
      <c r="C920" s="2670" t="s">
        <v>1656</v>
      </c>
      <c r="D920" s="2670"/>
      <c r="E920" s="2670"/>
      <c r="F920" s="2670"/>
      <c r="G920" s="2670"/>
      <c r="H920" s="2670"/>
      <c r="I920" s="2670"/>
      <c r="J920" s="2670"/>
      <c r="K920" s="2670"/>
      <c r="L920" s="2670"/>
      <c r="M920" s="2671"/>
      <c r="X920" s="656"/>
      <c r="Y920" s="657"/>
      <c r="Z920" s="657"/>
      <c r="AA920" s="481"/>
      <c r="AB920" s="491" t="s">
        <v>1656</v>
      </c>
      <c r="AC920" s="456"/>
      <c r="AD920" s="522"/>
      <c r="AE920" s="699"/>
      <c r="AF920" s="456"/>
      <c r="AG920" s="699"/>
      <c r="AH920" s="481"/>
      <c r="AJ920" s="481"/>
    </row>
    <row r="921" spans="1:36" s="454" customFormat="1" ht="15" x14ac:dyDescent="0.25">
      <c r="A921" s="823"/>
      <c r="B921" s="824"/>
      <c r="C921" s="824"/>
      <c r="D921" s="824"/>
      <c r="E921" s="825" t="s">
        <v>2826</v>
      </c>
      <c r="F921" s="826"/>
      <c r="G921" s="827"/>
      <c r="H921" s="648"/>
      <c r="I921" s="828">
        <v>122</v>
      </c>
      <c r="J921" s="829"/>
      <c r="K921" s="829"/>
      <c r="L921" s="830"/>
      <c r="M921" s="831"/>
      <c r="X921" s="656"/>
      <c r="Y921" s="657"/>
      <c r="Z921" s="657"/>
      <c r="AA921" s="481"/>
      <c r="AC921" s="456"/>
      <c r="AD921" s="522"/>
      <c r="AE921" s="699"/>
      <c r="AF921" s="456"/>
      <c r="AG921" s="699"/>
      <c r="AH921" s="481"/>
      <c r="AJ921" s="481"/>
    </row>
    <row r="922" spans="1:36" s="454" customFormat="1" ht="15" x14ac:dyDescent="0.25">
      <c r="A922" s="823"/>
      <c r="B922" s="824"/>
      <c r="C922" s="824"/>
      <c r="D922" s="824"/>
      <c r="E922" s="825" t="s">
        <v>2827</v>
      </c>
      <c r="F922" s="826"/>
      <c r="G922" s="827"/>
      <c r="H922" s="648"/>
      <c r="I922" s="828">
        <v>91</v>
      </c>
      <c r="J922" s="829"/>
      <c r="K922" s="829"/>
      <c r="L922" s="830"/>
      <c r="M922" s="831"/>
      <c r="X922" s="656"/>
      <c r="Y922" s="657"/>
      <c r="Z922" s="657"/>
      <c r="AA922" s="481"/>
      <c r="AC922" s="456"/>
      <c r="AD922" s="522"/>
      <c r="AE922" s="699"/>
      <c r="AF922" s="456"/>
      <c r="AG922" s="699"/>
      <c r="AH922" s="481"/>
      <c r="AJ922" s="481"/>
    </row>
    <row r="923" spans="1:36" s="454" customFormat="1" ht="15" x14ac:dyDescent="0.25">
      <c r="A923" s="823"/>
      <c r="B923" s="824"/>
      <c r="C923" s="824"/>
      <c r="D923" s="824"/>
      <c r="E923" s="825" t="s">
        <v>2692</v>
      </c>
      <c r="F923" s="826"/>
      <c r="G923" s="827"/>
      <c r="H923" s="648"/>
      <c r="I923" s="828">
        <v>698</v>
      </c>
      <c r="J923" s="829"/>
      <c r="K923" s="829"/>
      <c r="L923" s="830"/>
      <c r="M923" s="831"/>
      <c r="X923" s="656"/>
      <c r="Y923" s="657"/>
      <c r="Z923" s="657"/>
      <c r="AA923" s="481"/>
      <c r="AC923" s="456"/>
      <c r="AD923" s="522"/>
      <c r="AE923" s="699"/>
      <c r="AF923" s="456"/>
      <c r="AG923" s="699"/>
      <c r="AH923" s="481"/>
      <c r="AJ923" s="481"/>
    </row>
    <row r="924" spans="1:36" s="454" customFormat="1" ht="23.25" x14ac:dyDescent="0.25">
      <c r="A924" s="507"/>
      <c r="B924" s="674" t="s">
        <v>1657</v>
      </c>
      <c r="C924" s="2672" t="s">
        <v>1658</v>
      </c>
      <c r="D924" s="2672"/>
      <c r="E924" s="2672"/>
      <c r="F924" s="675" t="s">
        <v>2828</v>
      </c>
      <c r="G924" s="676" t="s">
        <v>1660</v>
      </c>
      <c r="H924" s="676"/>
      <c r="I924" s="676">
        <v>106.86</v>
      </c>
      <c r="J924" s="676">
        <v>106.86</v>
      </c>
      <c r="K924" s="676"/>
      <c r="L924" s="677"/>
      <c r="M924" s="678"/>
      <c r="X924" s="656"/>
      <c r="Y924" s="657"/>
      <c r="Z924" s="657"/>
      <c r="AA924" s="481"/>
      <c r="AC924" s="456" t="s">
        <v>1658</v>
      </c>
      <c r="AD924" s="522"/>
      <c r="AE924" s="699"/>
      <c r="AF924" s="456"/>
      <c r="AG924" s="699"/>
      <c r="AH924" s="481"/>
      <c r="AJ924" s="481"/>
    </row>
    <row r="925" spans="1:36" s="454" customFormat="1" ht="23.25" x14ac:dyDescent="0.25">
      <c r="A925" s="507"/>
      <c r="B925" s="674" t="s">
        <v>639</v>
      </c>
      <c r="C925" s="2672" t="s">
        <v>1661</v>
      </c>
      <c r="D925" s="2672"/>
      <c r="E925" s="2672"/>
      <c r="F925" s="675" t="s">
        <v>2829</v>
      </c>
      <c r="G925" s="676">
        <v>0</v>
      </c>
      <c r="H925" s="676">
        <v>0</v>
      </c>
      <c r="I925" s="676">
        <v>0</v>
      </c>
      <c r="J925" s="676"/>
      <c r="K925" s="676">
        <v>0</v>
      </c>
      <c r="L925" s="677"/>
      <c r="M925" s="678"/>
      <c r="X925" s="656"/>
      <c r="Y925" s="657"/>
      <c r="Z925" s="657"/>
      <c r="AA925" s="481"/>
      <c r="AC925" s="456" t="s">
        <v>1661</v>
      </c>
      <c r="AD925" s="522"/>
      <c r="AE925" s="699"/>
      <c r="AF925" s="456"/>
      <c r="AG925" s="699"/>
      <c r="AH925" s="481"/>
      <c r="AJ925" s="481"/>
    </row>
    <row r="926" spans="1:36" s="454" customFormat="1" ht="34.5" x14ac:dyDescent="0.25">
      <c r="A926" s="507"/>
      <c r="B926" s="674" t="s">
        <v>1663</v>
      </c>
      <c r="C926" s="2672" t="s">
        <v>1664</v>
      </c>
      <c r="D926" s="2672"/>
      <c r="E926" s="2672"/>
      <c r="F926" s="675" t="s">
        <v>2830</v>
      </c>
      <c r="G926" s="676">
        <v>111.99</v>
      </c>
      <c r="H926" s="676" t="s">
        <v>1666</v>
      </c>
      <c r="I926" s="676">
        <v>250.86</v>
      </c>
      <c r="J926" s="676"/>
      <c r="K926" s="676" t="s">
        <v>2831</v>
      </c>
      <c r="L926" s="677"/>
      <c r="M926" s="678"/>
      <c r="X926" s="656"/>
      <c r="Y926" s="657"/>
      <c r="Z926" s="657"/>
      <c r="AA926" s="481"/>
      <c r="AC926" s="456" t="s">
        <v>1664</v>
      </c>
      <c r="AD926" s="522"/>
      <c r="AE926" s="699"/>
      <c r="AF926" s="456"/>
      <c r="AG926" s="699"/>
      <c r="AH926" s="481"/>
      <c r="AJ926" s="481"/>
    </row>
    <row r="927" spans="1:36" s="454" customFormat="1" ht="34.5" x14ac:dyDescent="0.25">
      <c r="A927" s="507"/>
      <c r="B927" s="674" t="s">
        <v>1668</v>
      </c>
      <c r="C927" s="2672" t="s">
        <v>1669</v>
      </c>
      <c r="D927" s="2672"/>
      <c r="E927" s="2672"/>
      <c r="F927" s="675" t="s">
        <v>2832</v>
      </c>
      <c r="G927" s="676">
        <v>1</v>
      </c>
      <c r="H927" s="676"/>
      <c r="I927" s="676">
        <v>1.44</v>
      </c>
      <c r="J927" s="676"/>
      <c r="K927" s="676"/>
      <c r="L927" s="677"/>
      <c r="M927" s="678"/>
      <c r="X927" s="656"/>
      <c r="Y927" s="657"/>
      <c r="Z927" s="657"/>
      <c r="AA927" s="481"/>
      <c r="AC927" s="456" t="s">
        <v>1669</v>
      </c>
      <c r="AD927" s="522"/>
      <c r="AE927" s="699"/>
      <c r="AF927" s="456"/>
      <c r="AG927" s="699"/>
      <c r="AH927" s="481"/>
      <c r="AJ927" s="481"/>
    </row>
    <row r="928" spans="1:36" s="454" customFormat="1" ht="57" x14ac:dyDescent="0.25">
      <c r="A928" s="658" t="s">
        <v>1442</v>
      </c>
      <c r="B928" s="659" t="s">
        <v>1671</v>
      </c>
      <c r="C928" s="2673" t="s">
        <v>1672</v>
      </c>
      <c r="D928" s="2673"/>
      <c r="E928" s="2673"/>
      <c r="F928" s="670">
        <v>16</v>
      </c>
      <c r="G928" s="661" t="s">
        <v>1673</v>
      </c>
      <c r="H928" s="661"/>
      <c r="I928" s="661">
        <v>185</v>
      </c>
      <c r="J928" s="661">
        <v>182</v>
      </c>
      <c r="K928" s="662"/>
      <c r="L928" s="671">
        <v>1.395</v>
      </c>
      <c r="M928" s="672">
        <v>22.32</v>
      </c>
      <c r="X928" s="656"/>
      <c r="Y928" s="657"/>
      <c r="Z928" s="657"/>
      <c r="AA928" s="481" t="s">
        <v>1672</v>
      </c>
      <c r="AC928" s="456"/>
      <c r="AD928" s="522"/>
      <c r="AE928" s="699"/>
      <c r="AF928" s="456"/>
      <c r="AG928" s="699"/>
      <c r="AH928" s="481"/>
      <c r="AJ928" s="481"/>
    </row>
    <row r="929" spans="1:36" s="454" customFormat="1" ht="15" x14ac:dyDescent="0.25">
      <c r="A929" s="664"/>
      <c r="B929" s="665"/>
      <c r="C929" s="666" t="s">
        <v>2813</v>
      </c>
      <c r="D929" s="667"/>
      <c r="E929" s="667"/>
      <c r="F929" s="667"/>
      <c r="G929" s="667"/>
      <c r="H929" s="667"/>
      <c r="I929" s="667"/>
      <c r="J929" s="667"/>
      <c r="K929" s="667"/>
      <c r="L929" s="667"/>
      <c r="M929" s="668"/>
      <c r="X929" s="656"/>
      <c r="Y929" s="657"/>
      <c r="Z929" s="657"/>
      <c r="AA929" s="481"/>
      <c r="AC929" s="456"/>
      <c r="AD929" s="522"/>
      <c r="AE929" s="699"/>
      <c r="AF929" s="456"/>
      <c r="AG929" s="699"/>
      <c r="AH929" s="481"/>
      <c r="AJ929" s="481"/>
    </row>
    <row r="930" spans="1:36" s="454" customFormat="1" ht="33.75" x14ac:dyDescent="0.25">
      <c r="A930" s="542"/>
      <c r="B930" s="673" t="s">
        <v>1655</v>
      </c>
      <c r="C930" s="2670" t="s">
        <v>1656</v>
      </c>
      <c r="D930" s="2670"/>
      <c r="E930" s="2670"/>
      <c r="F930" s="2670"/>
      <c r="G930" s="2670"/>
      <c r="H930" s="2670"/>
      <c r="I930" s="2670"/>
      <c r="J930" s="2670"/>
      <c r="K930" s="2670"/>
      <c r="L930" s="2670"/>
      <c r="M930" s="2671"/>
      <c r="X930" s="656"/>
      <c r="Y930" s="657"/>
      <c r="Z930" s="657"/>
      <c r="AA930" s="481"/>
      <c r="AB930" s="491" t="s">
        <v>1656</v>
      </c>
      <c r="AC930" s="456"/>
      <c r="AD930" s="522"/>
      <c r="AE930" s="699"/>
      <c r="AF930" s="456"/>
      <c r="AG930" s="699"/>
      <c r="AH930" s="481"/>
      <c r="AJ930" s="481"/>
    </row>
    <row r="931" spans="1:36" s="454" customFormat="1" ht="15" x14ac:dyDescent="0.25">
      <c r="A931" s="823"/>
      <c r="B931" s="824"/>
      <c r="C931" s="824"/>
      <c r="D931" s="824"/>
      <c r="E931" s="825" t="s">
        <v>3469</v>
      </c>
      <c r="F931" s="826"/>
      <c r="G931" s="827"/>
      <c r="H931" s="648"/>
      <c r="I931" s="828">
        <v>146</v>
      </c>
      <c r="J931" s="829"/>
      <c r="K931" s="829"/>
      <c r="L931" s="830"/>
      <c r="M931" s="831"/>
      <c r="X931" s="656"/>
      <c r="Y931" s="657"/>
      <c r="Z931" s="657"/>
      <c r="AA931" s="481"/>
      <c r="AC931" s="456"/>
      <c r="AD931" s="522"/>
      <c r="AE931" s="699"/>
      <c r="AF931" s="456"/>
      <c r="AG931" s="699"/>
      <c r="AH931" s="481"/>
      <c r="AJ931" s="481"/>
    </row>
    <row r="932" spans="1:36" s="454" customFormat="1" ht="15" x14ac:dyDescent="0.25">
      <c r="A932" s="823"/>
      <c r="B932" s="824"/>
      <c r="C932" s="824"/>
      <c r="D932" s="824"/>
      <c r="E932" s="825" t="s">
        <v>3470</v>
      </c>
      <c r="F932" s="826"/>
      <c r="G932" s="827"/>
      <c r="H932" s="648"/>
      <c r="I932" s="828">
        <v>109</v>
      </c>
      <c r="J932" s="829"/>
      <c r="K932" s="829"/>
      <c r="L932" s="830"/>
      <c r="M932" s="831"/>
      <c r="X932" s="656"/>
      <c r="Y932" s="657"/>
      <c r="Z932" s="657"/>
      <c r="AA932" s="481"/>
      <c r="AC932" s="456"/>
      <c r="AD932" s="522"/>
      <c r="AE932" s="699"/>
      <c r="AF932" s="456"/>
      <c r="AG932" s="699"/>
      <c r="AH932" s="481"/>
      <c r="AJ932" s="481"/>
    </row>
    <row r="933" spans="1:36" s="454" customFormat="1" ht="15" x14ac:dyDescent="0.25">
      <c r="A933" s="823"/>
      <c r="B933" s="824"/>
      <c r="C933" s="824"/>
      <c r="D933" s="824"/>
      <c r="E933" s="825" t="s">
        <v>2692</v>
      </c>
      <c r="F933" s="826"/>
      <c r="G933" s="827"/>
      <c r="H933" s="648"/>
      <c r="I933" s="828">
        <v>440</v>
      </c>
      <c r="J933" s="829"/>
      <c r="K933" s="829"/>
      <c r="L933" s="830"/>
      <c r="M933" s="831"/>
      <c r="X933" s="656"/>
      <c r="Y933" s="657"/>
      <c r="Z933" s="657"/>
      <c r="AA933" s="481"/>
      <c r="AC933" s="456"/>
      <c r="AD933" s="522"/>
      <c r="AE933" s="699"/>
      <c r="AF933" s="456"/>
      <c r="AG933" s="699"/>
      <c r="AH933" s="481"/>
      <c r="AJ933" s="481"/>
    </row>
    <row r="934" spans="1:36" s="454" customFormat="1" ht="23.25" x14ac:dyDescent="0.25">
      <c r="A934" s="507"/>
      <c r="B934" s="674" t="s">
        <v>1657</v>
      </c>
      <c r="C934" s="2672" t="s">
        <v>1658</v>
      </c>
      <c r="D934" s="2672"/>
      <c r="E934" s="2672"/>
      <c r="F934" s="675" t="s">
        <v>3471</v>
      </c>
      <c r="G934" s="676" t="s">
        <v>1660</v>
      </c>
      <c r="H934" s="676"/>
      <c r="I934" s="676">
        <v>182.35</v>
      </c>
      <c r="J934" s="676">
        <v>182.35</v>
      </c>
      <c r="K934" s="676"/>
      <c r="L934" s="677"/>
      <c r="M934" s="678"/>
      <c r="X934" s="656"/>
      <c r="Y934" s="657"/>
      <c r="Z934" s="657"/>
      <c r="AA934" s="481"/>
      <c r="AC934" s="456" t="s">
        <v>1658</v>
      </c>
      <c r="AD934" s="522"/>
      <c r="AE934" s="699"/>
      <c r="AF934" s="456"/>
      <c r="AG934" s="699"/>
      <c r="AH934" s="481"/>
      <c r="AJ934" s="481"/>
    </row>
    <row r="935" spans="1:36" s="454" customFormat="1" ht="34.5" x14ac:dyDescent="0.25">
      <c r="A935" s="507"/>
      <c r="B935" s="674" t="s">
        <v>1668</v>
      </c>
      <c r="C935" s="2672" t="s">
        <v>1669</v>
      </c>
      <c r="D935" s="2672"/>
      <c r="E935" s="2672"/>
      <c r="F935" s="675" t="s">
        <v>3472</v>
      </c>
      <c r="G935" s="676">
        <v>1</v>
      </c>
      <c r="H935" s="676"/>
      <c r="I935" s="676">
        <v>2.4</v>
      </c>
      <c r="J935" s="676"/>
      <c r="K935" s="676"/>
      <c r="L935" s="677"/>
      <c r="M935" s="678"/>
      <c r="X935" s="656"/>
      <c r="Y935" s="657"/>
      <c r="Z935" s="657"/>
      <c r="AA935" s="481"/>
      <c r="AC935" s="456" t="s">
        <v>1669</v>
      </c>
      <c r="AD935" s="522"/>
      <c r="AE935" s="699"/>
      <c r="AF935" s="456"/>
      <c r="AG935" s="699"/>
      <c r="AH935" s="481"/>
      <c r="AJ935" s="481"/>
    </row>
    <row r="936" spans="1:36" s="454" customFormat="1" ht="57" x14ac:dyDescent="0.25">
      <c r="A936" s="658" t="s">
        <v>1443</v>
      </c>
      <c r="B936" s="659" t="s">
        <v>1652</v>
      </c>
      <c r="C936" s="2673" t="s">
        <v>1920</v>
      </c>
      <c r="D936" s="2673"/>
      <c r="E936" s="2673"/>
      <c r="F936" s="670">
        <v>4</v>
      </c>
      <c r="G936" s="661" t="s">
        <v>1221</v>
      </c>
      <c r="H936" s="661" t="s">
        <v>1222</v>
      </c>
      <c r="I936" s="661">
        <v>242</v>
      </c>
      <c r="J936" s="661">
        <v>53</v>
      </c>
      <c r="K936" s="662" t="s">
        <v>1444</v>
      </c>
      <c r="L936" s="671">
        <v>1.635</v>
      </c>
      <c r="M936" s="672">
        <v>6.54</v>
      </c>
      <c r="X936" s="656"/>
      <c r="Y936" s="657"/>
      <c r="Z936" s="657"/>
      <c r="AA936" s="481" t="s">
        <v>1920</v>
      </c>
      <c r="AC936" s="456"/>
      <c r="AD936" s="522"/>
      <c r="AE936" s="699"/>
      <c r="AF936" s="456"/>
      <c r="AG936" s="699"/>
      <c r="AH936" s="481"/>
      <c r="AJ936" s="481"/>
    </row>
    <row r="937" spans="1:36" s="454" customFormat="1" ht="33.75" x14ac:dyDescent="0.25">
      <c r="A937" s="542"/>
      <c r="B937" s="673" t="s">
        <v>1655</v>
      </c>
      <c r="C937" s="2670" t="s">
        <v>1656</v>
      </c>
      <c r="D937" s="2670"/>
      <c r="E937" s="2670"/>
      <c r="F937" s="2670"/>
      <c r="G937" s="2670"/>
      <c r="H937" s="2670"/>
      <c r="I937" s="2670"/>
      <c r="J937" s="2670"/>
      <c r="K937" s="2670"/>
      <c r="L937" s="2670"/>
      <c r="M937" s="2671"/>
      <c r="X937" s="656"/>
      <c r="Y937" s="657"/>
      <c r="Z937" s="657"/>
      <c r="AA937" s="481"/>
      <c r="AB937" s="491" t="s">
        <v>1656</v>
      </c>
      <c r="AC937" s="456"/>
      <c r="AD937" s="522"/>
      <c r="AE937" s="699"/>
      <c r="AF937" s="456"/>
      <c r="AG937" s="699"/>
      <c r="AH937" s="481"/>
      <c r="AJ937" s="481"/>
    </row>
    <row r="938" spans="1:36" s="454" customFormat="1" ht="15" x14ac:dyDescent="0.25">
      <c r="A938" s="823"/>
      <c r="B938" s="824"/>
      <c r="C938" s="824"/>
      <c r="D938" s="824"/>
      <c r="E938" s="825" t="s">
        <v>3473</v>
      </c>
      <c r="F938" s="826"/>
      <c r="G938" s="827"/>
      <c r="H938" s="648"/>
      <c r="I938" s="828">
        <v>61</v>
      </c>
      <c r="J938" s="829"/>
      <c r="K938" s="829"/>
      <c r="L938" s="830"/>
      <c r="M938" s="831"/>
      <c r="X938" s="656"/>
      <c r="Y938" s="657"/>
      <c r="Z938" s="657"/>
      <c r="AA938" s="481"/>
      <c r="AC938" s="456"/>
      <c r="AD938" s="522"/>
      <c r="AE938" s="699"/>
      <c r="AF938" s="456"/>
      <c r="AG938" s="699"/>
      <c r="AH938" s="481"/>
      <c r="AJ938" s="481"/>
    </row>
    <row r="939" spans="1:36" s="454" customFormat="1" ht="15" x14ac:dyDescent="0.25">
      <c r="A939" s="823"/>
      <c r="B939" s="824"/>
      <c r="C939" s="824"/>
      <c r="D939" s="824"/>
      <c r="E939" s="825" t="s">
        <v>3474</v>
      </c>
      <c r="F939" s="826"/>
      <c r="G939" s="827"/>
      <c r="H939" s="648"/>
      <c r="I939" s="828">
        <v>46</v>
      </c>
      <c r="J939" s="829"/>
      <c r="K939" s="829"/>
      <c r="L939" s="830"/>
      <c r="M939" s="831"/>
      <c r="X939" s="656"/>
      <c r="Y939" s="657"/>
      <c r="Z939" s="657"/>
      <c r="AA939" s="481"/>
      <c r="AC939" s="456"/>
      <c r="AD939" s="522"/>
      <c r="AE939" s="699"/>
      <c r="AF939" s="456"/>
      <c r="AG939" s="699"/>
      <c r="AH939" s="481"/>
      <c r="AJ939" s="481"/>
    </row>
    <row r="940" spans="1:36" s="454" customFormat="1" ht="15" x14ac:dyDescent="0.25">
      <c r="A940" s="823"/>
      <c r="B940" s="824"/>
      <c r="C940" s="824"/>
      <c r="D940" s="824"/>
      <c r="E940" s="825" t="s">
        <v>2692</v>
      </c>
      <c r="F940" s="826"/>
      <c r="G940" s="827"/>
      <c r="H940" s="648"/>
      <c r="I940" s="828">
        <v>349</v>
      </c>
      <c r="J940" s="829"/>
      <c r="K940" s="829"/>
      <c r="L940" s="830"/>
      <c r="M940" s="831"/>
      <c r="X940" s="656"/>
      <c r="Y940" s="657"/>
      <c r="Z940" s="657"/>
      <c r="AA940" s="481"/>
      <c r="AC940" s="456"/>
      <c r="AD940" s="522"/>
      <c r="AE940" s="699"/>
      <c r="AF940" s="456"/>
      <c r="AG940" s="699"/>
      <c r="AH940" s="481"/>
      <c r="AJ940" s="481"/>
    </row>
    <row r="941" spans="1:36" s="454" customFormat="1" ht="23.25" x14ac:dyDescent="0.25">
      <c r="A941" s="507"/>
      <c r="B941" s="674" t="s">
        <v>1657</v>
      </c>
      <c r="C941" s="2672" t="s">
        <v>1658</v>
      </c>
      <c r="D941" s="2672"/>
      <c r="E941" s="2672"/>
      <c r="F941" s="675" t="s">
        <v>3475</v>
      </c>
      <c r="G941" s="676" t="s">
        <v>1660</v>
      </c>
      <c r="H941" s="676"/>
      <c r="I941" s="676">
        <v>53.43</v>
      </c>
      <c r="J941" s="676">
        <v>53.43</v>
      </c>
      <c r="K941" s="676"/>
      <c r="L941" s="677"/>
      <c r="M941" s="678"/>
      <c r="X941" s="656"/>
      <c r="Y941" s="657"/>
      <c r="Z941" s="657"/>
      <c r="AA941" s="481"/>
      <c r="AC941" s="456" t="s">
        <v>1658</v>
      </c>
      <c r="AD941" s="522"/>
      <c r="AE941" s="699"/>
      <c r="AF941" s="456"/>
      <c r="AG941" s="699"/>
      <c r="AH941" s="481"/>
      <c r="AJ941" s="481"/>
    </row>
    <row r="942" spans="1:36" s="454" customFormat="1" ht="23.25" x14ac:dyDescent="0.25">
      <c r="A942" s="507"/>
      <c r="B942" s="674" t="s">
        <v>639</v>
      </c>
      <c r="C942" s="2672" t="s">
        <v>1661</v>
      </c>
      <c r="D942" s="2672"/>
      <c r="E942" s="2672"/>
      <c r="F942" s="675" t="s">
        <v>3476</v>
      </c>
      <c r="G942" s="676">
        <v>0</v>
      </c>
      <c r="H942" s="676">
        <v>0</v>
      </c>
      <c r="I942" s="676">
        <v>0</v>
      </c>
      <c r="J942" s="676"/>
      <c r="K942" s="676">
        <v>0</v>
      </c>
      <c r="L942" s="677"/>
      <c r="M942" s="678"/>
      <c r="X942" s="656"/>
      <c r="Y942" s="657"/>
      <c r="Z942" s="657"/>
      <c r="AA942" s="481"/>
      <c r="AC942" s="456" t="s">
        <v>1661</v>
      </c>
      <c r="AD942" s="522"/>
      <c r="AE942" s="699"/>
      <c r="AF942" s="456"/>
      <c r="AG942" s="699"/>
      <c r="AH942" s="481"/>
      <c r="AJ942" s="481"/>
    </row>
    <row r="943" spans="1:36" s="454" customFormat="1" ht="34.5" x14ac:dyDescent="0.25">
      <c r="A943" s="507"/>
      <c r="B943" s="674" t="s">
        <v>1663</v>
      </c>
      <c r="C943" s="2672" t="s">
        <v>1664</v>
      </c>
      <c r="D943" s="2672"/>
      <c r="E943" s="2672"/>
      <c r="F943" s="675" t="s">
        <v>3477</v>
      </c>
      <c r="G943" s="676">
        <v>111.99</v>
      </c>
      <c r="H943" s="676" t="s">
        <v>1666</v>
      </c>
      <c r="I943" s="676">
        <v>125.43</v>
      </c>
      <c r="J943" s="676"/>
      <c r="K943" s="676" t="s">
        <v>3478</v>
      </c>
      <c r="L943" s="677"/>
      <c r="M943" s="678"/>
      <c r="X943" s="656"/>
      <c r="Y943" s="657"/>
      <c r="Z943" s="657"/>
      <c r="AA943" s="481"/>
      <c r="AC943" s="456" t="s">
        <v>1664</v>
      </c>
      <c r="AD943" s="522"/>
      <c r="AE943" s="699"/>
      <c r="AF943" s="456"/>
      <c r="AG943" s="699"/>
      <c r="AH943" s="481"/>
      <c r="AJ943" s="481"/>
    </row>
    <row r="944" spans="1:36" s="454" customFormat="1" ht="34.5" x14ac:dyDescent="0.25">
      <c r="A944" s="507"/>
      <c r="B944" s="674" t="s">
        <v>1668</v>
      </c>
      <c r="C944" s="2672" t="s">
        <v>1669</v>
      </c>
      <c r="D944" s="2672"/>
      <c r="E944" s="2672"/>
      <c r="F944" s="675" t="s">
        <v>3479</v>
      </c>
      <c r="G944" s="676">
        <v>1</v>
      </c>
      <c r="H944" s="676"/>
      <c r="I944" s="676">
        <v>0.72</v>
      </c>
      <c r="J944" s="676"/>
      <c r="K944" s="676"/>
      <c r="L944" s="677"/>
      <c r="M944" s="678"/>
      <c r="X944" s="656"/>
      <c r="Y944" s="657"/>
      <c r="Z944" s="657"/>
      <c r="AA944" s="481"/>
      <c r="AC944" s="456" t="s">
        <v>1669</v>
      </c>
      <c r="AD944" s="522"/>
      <c r="AE944" s="699"/>
      <c r="AF944" s="456"/>
      <c r="AG944" s="699"/>
      <c r="AH944" s="481"/>
      <c r="AJ944" s="481"/>
    </row>
    <row r="945" spans="1:36" s="454" customFormat="1" ht="68.25" x14ac:dyDescent="0.25">
      <c r="A945" s="658" t="s">
        <v>1445</v>
      </c>
      <c r="B945" s="659" t="s">
        <v>1652</v>
      </c>
      <c r="C945" s="2673" t="s">
        <v>1927</v>
      </c>
      <c r="D945" s="2673"/>
      <c r="E945" s="2673"/>
      <c r="F945" s="670">
        <v>8</v>
      </c>
      <c r="G945" s="661" t="s">
        <v>1221</v>
      </c>
      <c r="H945" s="661" t="s">
        <v>1222</v>
      </c>
      <c r="I945" s="661">
        <v>485</v>
      </c>
      <c r="J945" s="661">
        <v>107</v>
      </c>
      <c r="K945" s="662" t="s">
        <v>1229</v>
      </c>
      <c r="L945" s="671">
        <v>1.635</v>
      </c>
      <c r="M945" s="672">
        <v>13.08</v>
      </c>
      <c r="X945" s="656"/>
      <c r="Y945" s="657"/>
      <c r="Z945" s="657"/>
      <c r="AA945" s="481" t="s">
        <v>1927</v>
      </c>
      <c r="AC945" s="456"/>
      <c r="AD945" s="522"/>
      <c r="AE945" s="699"/>
      <c r="AF945" s="456"/>
      <c r="AG945" s="699"/>
      <c r="AH945" s="481"/>
      <c r="AJ945" s="481"/>
    </row>
    <row r="946" spans="1:36" s="454" customFormat="1" ht="33.75" x14ac:dyDescent="0.25">
      <c r="A946" s="542"/>
      <c r="B946" s="673" t="s">
        <v>1655</v>
      </c>
      <c r="C946" s="2670" t="s">
        <v>1656</v>
      </c>
      <c r="D946" s="2670"/>
      <c r="E946" s="2670"/>
      <c r="F946" s="2670"/>
      <c r="G946" s="2670"/>
      <c r="H946" s="2670"/>
      <c r="I946" s="2670"/>
      <c r="J946" s="2670"/>
      <c r="K946" s="2670"/>
      <c r="L946" s="2670"/>
      <c r="M946" s="2671"/>
      <c r="X946" s="656"/>
      <c r="Y946" s="657"/>
      <c r="Z946" s="657"/>
      <c r="AA946" s="481"/>
      <c r="AB946" s="491" t="s">
        <v>1656</v>
      </c>
      <c r="AC946" s="456"/>
      <c r="AD946" s="522"/>
      <c r="AE946" s="699"/>
      <c r="AF946" s="456"/>
      <c r="AG946" s="699"/>
      <c r="AH946" s="481"/>
      <c r="AJ946" s="481"/>
    </row>
    <row r="947" spans="1:36" s="454" customFormat="1" ht="15" x14ac:dyDescent="0.25">
      <c r="A947" s="823"/>
      <c r="B947" s="824"/>
      <c r="C947" s="824"/>
      <c r="D947" s="824"/>
      <c r="E947" s="825" t="s">
        <v>2826</v>
      </c>
      <c r="F947" s="826"/>
      <c r="G947" s="827"/>
      <c r="H947" s="648"/>
      <c r="I947" s="828">
        <v>122</v>
      </c>
      <c r="J947" s="829"/>
      <c r="K947" s="829"/>
      <c r="L947" s="830"/>
      <c r="M947" s="831"/>
      <c r="X947" s="656"/>
      <c r="Y947" s="657"/>
      <c r="Z947" s="657"/>
      <c r="AA947" s="481"/>
      <c r="AC947" s="456"/>
      <c r="AD947" s="522"/>
      <c r="AE947" s="699"/>
      <c r="AF947" s="456"/>
      <c r="AG947" s="699"/>
      <c r="AH947" s="481"/>
      <c r="AJ947" s="481"/>
    </row>
    <row r="948" spans="1:36" s="454" customFormat="1" ht="15" x14ac:dyDescent="0.25">
      <c r="A948" s="823"/>
      <c r="B948" s="824"/>
      <c r="C948" s="824"/>
      <c r="D948" s="824"/>
      <c r="E948" s="825" t="s">
        <v>2827</v>
      </c>
      <c r="F948" s="826"/>
      <c r="G948" s="827"/>
      <c r="H948" s="648"/>
      <c r="I948" s="828">
        <v>91</v>
      </c>
      <c r="J948" s="829"/>
      <c r="K948" s="829"/>
      <c r="L948" s="830"/>
      <c r="M948" s="831"/>
      <c r="X948" s="656"/>
      <c r="Y948" s="657"/>
      <c r="Z948" s="657"/>
      <c r="AA948" s="481"/>
      <c r="AC948" s="456"/>
      <c r="AD948" s="522"/>
      <c r="AE948" s="699"/>
      <c r="AF948" s="456"/>
      <c r="AG948" s="699"/>
      <c r="AH948" s="481"/>
      <c r="AJ948" s="481"/>
    </row>
    <row r="949" spans="1:36" s="454" customFormat="1" ht="15" x14ac:dyDescent="0.25">
      <c r="A949" s="823"/>
      <c r="B949" s="824"/>
      <c r="C949" s="824"/>
      <c r="D949" s="824"/>
      <c r="E949" s="825" t="s">
        <v>2692</v>
      </c>
      <c r="F949" s="826"/>
      <c r="G949" s="827"/>
      <c r="H949" s="648"/>
      <c r="I949" s="828">
        <v>698</v>
      </c>
      <c r="J949" s="829"/>
      <c r="K949" s="829"/>
      <c r="L949" s="830"/>
      <c r="M949" s="831"/>
      <c r="X949" s="656"/>
      <c r="Y949" s="657"/>
      <c r="Z949" s="657"/>
      <c r="AA949" s="481"/>
      <c r="AC949" s="456"/>
      <c r="AD949" s="522"/>
      <c r="AE949" s="699"/>
      <c r="AF949" s="456"/>
      <c r="AG949" s="699"/>
      <c r="AH949" s="481"/>
      <c r="AJ949" s="481"/>
    </row>
    <row r="950" spans="1:36" s="454" customFormat="1" ht="23.25" x14ac:dyDescent="0.25">
      <c r="A950" s="507"/>
      <c r="B950" s="674" t="s">
        <v>1657</v>
      </c>
      <c r="C950" s="2672" t="s">
        <v>1658</v>
      </c>
      <c r="D950" s="2672"/>
      <c r="E950" s="2672"/>
      <c r="F950" s="675" t="s">
        <v>2828</v>
      </c>
      <c r="G950" s="676" t="s">
        <v>1660</v>
      </c>
      <c r="H950" s="676"/>
      <c r="I950" s="676">
        <v>106.86</v>
      </c>
      <c r="J950" s="676">
        <v>106.86</v>
      </c>
      <c r="K950" s="676"/>
      <c r="L950" s="677"/>
      <c r="M950" s="678"/>
      <c r="X950" s="656"/>
      <c r="Y950" s="657"/>
      <c r="Z950" s="657"/>
      <c r="AA950" s="481"/>
      <c r="AC950" s="456" t="s">
        <v>1658</v>
      </c>
      <c r="AD950" s="522"/>
      <c r="AE950" s="699"/>
      <c r="AF950" s="456"/>
      <c r="AG950" s="699"/>
      <c r="AH950" s="481"/>
      <c r="AJ950" s="481"/>
    </row>
    <row r="951" spans="1:36" s="454" customFormat="1" ht="23.25" x14ac:dyDescent="0.25">
      <c r="A951" s="507"/>
      <c r="B951" s="674" t="s">
        <v>639</v>
      </c>
      <c r="C951" s="2672" t="s">
        <v>1661</v>
      </c>
      <c r="D951" s="2672"/>
      <c r="E951" s="2672"/>
      <c r="F951" s="675" t="s">
        <v>2829</v>
      </c>
      <c r="G951" s="676">
        <v>0</v>
      </c>
      <c r="H951" s="676">
        <v>0</v>
      </c>
      <c r="I951" s="676">
        <v>0</v>
      </c>
      <c r="J951" s="676"/>
      <c r="K951" s="676">
        <v>0</v>
      </c>
      <c r="L951" s="677"/>
      <c r="M951" s="678"/>
      <c r="X951" s="656"/>
      <c r="Y951" s="657"/>
      <c r="Z951" s="657"/>
      <c r="AA951" s="481"/>
      <c r="AC951" s="456" t="s">
        <v>1661</v>
      </c>
      <c r="AD951" s="522"/>
      <c r="AE951" s="699"/>
      <c r="AF951" s="456"/>
      <c r="AG951" s="699"/>
      <c r="AH951" s="481"/>
      <c r="AJ951" s="481"/>
    </row>
    <row r="952" spans="1:36" s="454" customFormat="1" ht="34.5" x14ac:dyDescent="0.25">
      <c r="A952" s="507"/>
      <c r="B952" s="674" t="s">
        <v>1663</v>
      </c>
      <c r="C952" s="2672" t="s">
        <v>1664</v>
      </c>
      <c r="D952" s="2672"/>
      <c r="E952" s="2672"/>
      <c r="F952" s="675" t="s">
        <v>2830</v>
      </c>
      <c r="G952" s="676">
        <v>111.99</v>
      </c>
      <c r="H952" s="676" t="s">
        <v>1666</v>
      </c>
      <c r="I952" s="676">
        <v>250.86</v>
      </c>
      <c r="J952" s="676"/>
      <c r="K952" s="676" t="s">
        <v>2831</v>
      </c>
      <c r="L952" s="677"/>
      <c r="M952" s="678"/>
      <c r="X952" s="656"/>
      <c r="Y952" s="657"/>
      <c r="Z952" s="657"/>
      <c r="AA952" s="481"/>
      <c r="AC952" s="456" t="s">
        <v>1664</v>
      </c>
      <c r="AD952" s="522"/>
      <c r="AE952" s="699"/>
      <c r="AF952" s="456"/>
      <c r="AG952" s="699"/>
      <c r="AH952" s="481"/>
      <c r="AJ952" s="481"/>
    </row>
    <row r="953" spans="1:36" s="454" customFormat="1" ht="34.5" x14ac:dyDescent="0.25">
      <c r="A953" s="507"/>
      <c r="B953" s="674" t="s">
        <v>1668</v>
      </c>
      <c r="C953" s="2672" t="s">
        <v>1669</v>
      </c>
      <c r="D953" s="2672"/>
      <c r="E953" s="2672"/>
      <c r="F953" s="675" t="s">
        <v>2832</v>
      </c>
      <c r="G953" s="676">
        <v>1</v>
      </c>
      <c r="H953" s="676"/>
      <c r="I953" s="676">
        <v>1.44</v>
      </c>
      <c r="J953" s="676"/>
      <c r="K953" s="676"/>
      <c r="L953" s="677"/>
      <c r="M953" s="678"/>
      <c r="X953" s="656"/>
      <c r="Y953" s="657"/>
      <c r="Z953" s="657"/>
      <c r="AA953" s="481"/>
      <c r="AC953" s="456" t="s">
        <v>1669</v>
      </c>
      <c r="AD953" s="522"/>
      <c r="AE953" s="699"/>
      <c r="AF953" s="456"/>
      <c r="AG953" s="699"/>
      <c r="AH953" s="481"/>
      <c r="AJ953" s="481"/>
    </row>
    <row r="954" spans="1:36" s="454" customFormat="1" ht="45.75" x14ac:dyDescent="0.25">
      <c r="A954" s="658" t="s">
        <v>1446</v>
      </c>
      <c r="B954" s="659" t="s">
        <v>1928</v>
      </c>
      <c r="C954" s="2673" t="s">
        <v>1929</v>
      </c>
      <c r="D954" s="2673"/>
      <c r="E954" s="2673"/>
      <c r="F954" s="670">
        <v>160</v>
      </c>
      <c r="G954" s="661" t="s">
        <v>1235</v>
      </c>
      <c r="H954" s="661"/>
      <c r="I954" s="661">
        <v>4206</v>
      </c>
      <c r="J954" s="661">
        <v>4018</v>
      </c>
      <c r="K954" s="662"/>
      <c r="L954" s="672">
        <v>2.61</v>
      </c>
      <c r="M954" s="692">
        <v>417.6</v>
      </c>
      <c r="X954" s="656"/>
      <c r="Y954" s="657"/>
      <c r="Z954" s="657"/>
      <c r="AA954" s="481" t="s">
        <v>1929</v>
      </c>
      <c r="AC954" s="456"/>
      <c r="AD954" s="522"/>
      <c r="AE954" s="699"/>
      <c r="AF954" s="456"/>
      <c r="AG954" s="699"/>
      <c r="AH954" s="481"/>
      <c r="AJ954" s="481"/>
    </row>
    <row r="955" spans="1:36" s="454" customFormat="1" ht="15" x14ac:dyDescent="0.25">
      <c r="A955" s="664"/>
      <c r="B955" s="665"/>
      <c r="C955" s="666" t="s">
        <v>3480</v>
      </c>
      <c r="D955" s="667"/>
      <c r="E955" s="667"/>
      <c r="F955" s="667"/>
      <c r="G955" s="667"/>
      <c r="H955" s="667"/>
      <c r="I955" s="667"/>
      <c r="J955" s="667"/>
      <c r="K955" s="667"/>
      <c r="L955" s="667"/>
      <c r="M955" s="668"/>
      <c r="X955" s="656"/>
      <c r="Y955" s="657"/>
      <c r="Z955" s="657"/>
      <c r="AA955" s="481"/>
      <c r="AC955" s="456"/>
      <c r="AD955" s="522"/>
      <c r="AE955" s="699"/>
      <c r="AF955" s="456"/>
      <c r="AG955" s="699"/>
      <c r="AH955" s="481"/>
      <c r="AJ955" s="481"/>
    </row>
    <row r="956" spans="1:36" s="454" customFormat="1" ht="15" x14ac:dyDescent="0.25">
      <c r="A956" s="542"/>
      <c r="B956" s="665"/>
      <c r="C956" s="666" t="s">
        <v>1931</v>
      </c>
      <c r="D956" s="667"/>
      <c r="E956" s="667"/>
      <c r="F956" s="667"/>
      <c r="G956" s="667"/>
      <c r="H956" s="667"/>
      <c r="I956" s="667"/>
      <c r="J956" s="667"/>
      <c r="K956" s="667"/>
      <c r="L956" s="667"/>
      <c r="M956" s="669"/>
      <c r="X956" s="656"/>
      <c r="Y956" s="657"/>
      <c r="Z956" s="657"/>
      <c r="AA956" s="481"/>
      <c r="AC956" s="456"/>
      <c r="AD956" s="522"/>
      <c r="AE956" s="699"/>
      <c r="AF956" s="456"/>
      <c r="AG956" s="699"/>
      <c r="AH956" s="481"/>
      <c r="AJ956" s="481"/>
    </row>
    <row r="957" spans="1:36" s="454" customFormat="1" ht="33.75" x14ac:dyDescent="0.25">
      <c r="A957" s="542"/>
      <c r="B957" s="673" t="s">
        <v>1655</v>
      </c>
      <c r="C957" s="2670" t="s">
        <v>1656</v>
      </c>
      <c r="D957" s="2670"/>
      <c r="E957" s="2670"/>
      <c r="F957" s="2670"/>
      <c r="G957" s="2670"/>
      <c r="H957" s="2670"/>
      <c r="I957" s="2670"/>
      <c r="J957" s="2670"/>
      <c r="K957" s="2670"/>
      <c r="L957" s="2670"/>
      <c r="M957" s="2671"/>
      <c r="X957" s="656"/>
      <c r="Y957" s="657"/>
      <c r="Z957" s="657"/>
      <c r="AA957" s="481"/>
      <c r="AB957" s="491" t="s">
        <v>1656</v>
      </c>
      <c r="AC957" s="456"/>
      <c r="AD957" s="522"/>
      <c r="AE957" s="699"/>
      <c r="AF957" s="456"/>
      <c r="AG957" s="699"/>
      <c r="AH957" s="481"/>
      <c r="AJ957" s="481"/>
    </row>
    <row r="958" spans="1:36" s="454" customFormat="1" ht="15" x14ac:dyDescent="0.25">
      <c r="A958" s="823"/>
      <c r="B958" s="824"/>
      <c r="C958" s="824"/>
      <c r="D958" s="824"/>
      <c r="E958" s="825" t="s">
        <v>3481</v>
      </c>
      <c r="F958" s="826"/>
      <c r="G958" s="827"/>
      <c r="H958" s="648"/>
      <c r="I958" s="828">
        <v>3214</v>
      </c>
      <c r="J958" s="829"/>
      <c r="K958" s="829"/>
      <c r="L958" s="830"/>
      <c r="M958" s="831"/>
      <c r="X958" s="656"/>
      <c r="Y958" s="657"/>
      <c r="Z958" s="657"/>
      <c r="AA958" s="481"/>
      <c r="AC958" s="456"/>
      <c r="AD958" s="522"/>
      <c r="AE958" s="699"/>
      <c r="AF958" s="456"/>
      <c r="AG958" s="699"/>
      <c r="AH958" s="481"/>
      <c r="AJ958" s="481"/>
    </row>
    <row r="959" spans="1:36" s="454" customFormat="1" ht="15" x14ac:dyDescent="0.25">
      <c r="A959" s="823"/>
      <c r="B959" s="824"/>
      <c r="C959" s="824"/>
      <c r="D959" s="824"/>
      <c r="E959" s="825" t="s">
        <v>3482</v>
      </c>
      <c r="F959" s="826"/>
      <c r="G959" s="827"/>
      <c r="H959" s="648"/>
      <c r="I959" s="828">
        <v>1808</v>
      </c>
      <c r="J959" s="829"/>
      <c r="K959" s="829"/>
      <c r="L959" s="830"/>
      <c r="M959" s="831"/>
      <c r="X959" s="656"/>
      <c r="Y959" s="657"/>
      <c r="Z959" s="657"/>
      <c r="AA959" s="481"/>
      <c r="AC959" s="456"/>
      <c r="AD959" s="522"/>
      <c r="AE959" s="699"/>
      <c r="AF959" s="456"/>
      <c r="AG959" s="699"/>
      <c r="AH959" s="481"/>
      <c r="AJ959" s="481"/>
    </row>
    <row r="960" spans="1:36" s="454" customFormat="1" ht="15" x14ac:dyDescent="0.25">
      <c r="A960" s="823"/>
      <c r="B960" s="824"/>
      <c r="C960" s="824"/>
      <c r="D960" s="824"/>
      <c r="E960" s="825" t="s">
        <v>2692</v>
      </c>
      <c r="F960" s="826"/>
      <c r="G960" s="827"/>
      <c r="H960" s="648"/>
      <c r="I960" s="828">
        <v>9228</v>
      </c>
      <c r="J960" s="829"/>
      <c r="K960" s="829"/>
      <c r="L960" s="830"/>
      <c r="M960" s="831"/>
      <c r="X960" s="656"/>
      <c r="Y960" s="657"/>
      <c r="Z960" s="657"/>
      <c r="AA960" s="481"/>
      <c r="AC960" s="456"/>
      <c r="AD960" s="522"/>
      <c r="AE960" s="699"/>
      <c r="AF960" s="456"/>
      <c r="AG960" s="699"/>
      <c r="AH960" s="481"/>
      <c r="AJ960" s="481"/>
    </row>
    <row r="961" spans="1:36" s="454" customFormat="1" ht="23.25" x14ac:dyDescent="0.25">
      <c r="A961" s="507"/>
      <c r="B961" s="674" t="s">
        <v>1883</v>
      </c>
      <c r="C961" s="2672" t="s">
        <v>1884</v>
      </c>
      <c r="D961" s="2672"/>
      <c r="E961" s="2672"/>
      <c r="F961" s="675" t="s">
        <v>3483</v>
      </c>
      <c r="G961" s="676" t="s">
        <v>1886</v>
      </c>
      <c r="H961" s="676"/>
      <c r="I961" s="676">
        <v>4017.31</v>
      </c>
      <c r="J961" s="676">
        <v>4017.31</v>
      </c>
      <c r="K961" s="676"/>
      <c r="L961" s="677"/>
      <c r="M961" s="678"/>
      <c r="X961" s="656"/>
      <c r="Y961" s="657"/>
      <c r="Z961" s="657"/>
      <c r="AA961" s="481"/>
      <c r="AC961" s="456" t="s">
        <v>1884</v>
      </c>
      <c r="AD961" s="522"/>
      <c r="AE961" s="699"/>
      <c r="AF961" s="456"/>
      <c r="AG961" s="699"/>
      <c r="AH961" s="481"/>
      <c r="AJ961" s="481"/>
    </row>
    <row r="962" spans="1:36" s="454" customFormat="1" ht="23.25" x14ac:dyDescent="0.25">
      <c r="A962" s="515" t="s">
        <v>860</v>
      </c>
      <c r="B962" s="686" t="s">
        <v>1933</v>
      </c>
      <c r="C962" s="2683" t="s">
        <v>1934</v>
      </c>
      <c r="D962" s="2683"/>
      <c r="E962" s="2683"/>
      <c r="F962" s="687" t="s">
        <v>1935</v>
      </c>
      <c r="G962" s="688">
        <v>0</v>
      </c>
      <c r="H962" s="688"/>
      <c r="I962" s="688">
        <v>0</v>
      </c>
      <c r="J962" s="688"/>
      <c r="K962" s="688"/>
      <c r="L962" s="689"/>
      <c r="M962" s="690"/>
      <c r="X962" s="656"/>
      <c r="Y962" s="657"/>
      <c r="Z962" s="657"/>
      <c r="AA962" s="481"/>
      <c r="AC962" s="456"/>
      <c r="AD962" s="522" t="s">
        <v>1934</v>
      </c>
      <c r="AE962" s="699"/>
      <c r="AF962" s="456"/>
      <c r="AG962" s="699"/>
      <c r="AH962" s="481"/>
      <c r="AJ962" s="481"/>
    </row>
    <row r="963" spans="1:36" s="454" customFormat="1" ht="34.5" x14ac:dyDescent="0.25">
      <c r="A963" s="693" t="s">
        <v>1936</v>
      </c>
      <c r="B963" s="694" t="s">
        <v>1937</v>
      </c>
      <c r="C963" s="2684" t="s">
        <v>1938</v>
      </c>
      <c r="D963" s="2684"/>
      <c r="E963" s="2684"/>
      <c r="F963" s="695" t="s">
        <v>3484</v>
      </c>
      <c r="G963" s="696">
        <v>25.97</v>
      </c>
      <c r="H963" s="696"/>
      <c r="I963" s="696">
        <v>8406.49</v>
      </c>
      <c r="J963" s="696"/>
      <c r="K963" s="696"/>
      <c r="L963" s="697"/>
      <c r="M963" s="698"/>
      <c r="X963" s="656"/>
      <c r="Y963" s="657"/>
      <c r="Z963" s="657"/>
      <c r="AA963" s="481"/>
      <c r="AC963" s="456"/>
      <c r="AD963" s="522"/>
      <c r="AE963" s="699" t="s">
        <v>1938</v>
      </c>
      <c r="AF963" s="456"/>
      <c r="AG963" s="699"/>
      <c r="AH963" s="481"/>
      <c r="AJ963" s="481"/>
    </row>
    <row r="964" spans="1:36" s="454" customFormat="1" ht="23.25" x14ac:dyDescent="0.25">
      <c r="A964" s="507"/>
      <c r="B964" s="674" t="s">
        <v>1940</v>
      </c>
      <c r="C964" s="2672" t="s">
        <v>1941</v>
      </c>
      <c r="D964" s="2672"/>
      <c r="E964" s="2672"/>
      <c r="F964" s="675" t="s">
        <v>3485</v>
      </c>
      <c r="G964" s="676">
        <v>9.5</v>
      </c>
      <c r="H964" s="676"/>
      <c r="I964" s="676">
        <v>188.48</v>
      </c>
      <c r="J964" s="676"/>
      <c r="K964" s="676"/>
      <c r="L964" s="677"/>
      <c r="M964" s="678"/>
      <c r="X964" s="656"/>
      <c r="Y964" s="657"/>
      <c r="Z964" s="657"/>
      <c r="AA964" s="481"/>
      <c r="AC964" s="456" t="s">
        <v>1941</v>
      </c>
      <c r="AD964" s="522"/>
      <c r="AE964" s="699"/>
      <c r="AF964" s="456"/>
      <c r="AG964" s="699"/>
      <c r="AH964" s="481"/>
      <c r="AJ964" s="481"/>
    </row>
    <row r="965" spans="1:36" s="454" customFormat="1" ht="23.25" x14ac:dyDescent="0.25">
      <c r="A965" s="515" t="s">
        <v>863</v>
      </c>
      <c r="B965" s="686" t="s">
        <v>1943</v>
      </c>
      <c r="C965" s="2683" t="s">
        <v>1944</v>
      </c>
      <c r="D965" s="2683"/>
      <c r="E965" s="2683"/>
      <c r="F965" s="687" t="s">
        <v>3486</v>
      </c>
      <c r="G965" s="688">
        <v>0</v>
      </c>
      <c r="H965" s="688"/>
      <c r="I965" s="688">
        <v>0</v>
      </c>
      <c r="J965" s="688"/>
      <c r="K965" s="688"/>
      <c r="L965" s="689"/>
      <c r="M965" s="690"/>
      <c r="X965" s="656"/>
      <c r="Y965" s="657"/>
      <c r="Z965" s="657"/>
      <c r="AA965" s="481"/>
      <c r="AC965" s="456"/>
      <c r="AD965" s="522" t="s">
        <v>1944</v>
      </c>
      <c r="AE965" s="699"/>
      <c r="AF965" s="456"/>
      <c r="AG965" s="699"/>
      <c r="AH965" s="481"/>
      <c r="AJ965" s="481"/>
    </row>
    <row r="966" spans="1:36" s="454" customFormat="1" ht="23.25" x14ac:dyDescent="0.25">
      <c r="A966" s="515" t="s">
        <v>863</v>
      </c>
      <c r="B966" s="686" t="s">
        <v>1946</v>
      </c>
      <c r="C966" s="2683" t="s">
        <v>1947</v>
      </c>
      <c r="D966" s="2683"/>
      <c r="E966" s="2683"/>
      <c r="F966" s="687" t="s">
        <v>3487</v>
      </c>
      <c r="G966" s="688">
        <v>0</v>
      </c>
      <c r="H966" s="688"/>
      <c r="I966" s="688">
        <v>0</v>
      </c>
      <c r="J966" s="688"/>
      <c r="K966" s="688"/>
      <c r="L966" s="689"/>
      <c r="M966" s="690"/>
      <c r="X966" s="656"/>
      <c r="Y966" s="657"/>
      <c r="Z966" s="657"/>
      <c r="AA966" s="481"/>
      <c r="AC966" s="456"/>
      <c r="AD966" s="522" t="s">
        <v>1947</v>
      </c>
      <c r="AE966" s="699"/>
      <c r="AF966" s="456"/>
      <c r="AG966" s="699"/>
      <c r="AH966" s="481"/>
      <c r="AJ966" s="481"/>
    </row>
    <row r="967" spans="1:36" s="454" customFormat="1" ht="23.25" x14ac:dyDescent="0.25">
      <c r="A967" s="515" t="s">
        <v>863</v>
      </c>
      <c r="B967" s="686" t="s">
        <v>1949</v>
      </c>
      <c r="C967" s="2683" t="s">
        <v>1950</v>
      </c>
      <c r="D967" s="2683"/>
      <c r="E967" s="2683"/>
      <c r="F967" s="687" t="s">
        <v>3488</v>
      </c>
      <c r="G967" s="688">
        <v>0</v>
      </c>
      <c r="H967" s="688"/>
      <c r="I967" s="688">
        <v>0</v>
      </c>
      <c r="J967" s="688"/>
      <c r="K967" s="688"/>
      <c r="L967" s="689"/>
      <c r="M967" s="690"/>
      <c r="X967" s="656"/>
      <c r="Y967" s="657"/>
      <c r="Z967" s="657"/>
      <c r="AA967" s="481"/>
      <c r="AC967" s="456"/>
      <c r="AD967" s="522" t="s">
        <v>1950</v>
      </c>
      <c r="AE967" s="699"/>
      <c r="AF967" s="456"/>
      <c r="AG967" s="699"/>
      <c r="AH967" s="481"/>
      <c r="AJ967" s="481"/>
    </row>
    <row r="968" spans="1:36" s="454" customFormat="1" ht="33.75" x14ac:dyDescent="0.25">
      <c r="A968" s="658" t="s">
        <v>1448</v>
      </c>
      <c r="B968" s="659" t="s">
        <v>1449</v>
      </c>
      <c r="C968" s="2673" t="s">
        <v>1237</v>
      </c>
      <c r="D968" s="2673"/>
      <c r="E968" s="2673"/>
      <c r="F968" s="680">
        <v>41.5</v>
      </c>
      <c r="G968" s="661" t="s">
        <v>1952</v>
      </c>
      <c r="H968" s="661"/>
      <c r="I968" s="661">
        <v>887678</v>
      </c>
      <c r="J968" s="661"/>
      <c r="K968" s="662"/>
      <c r="L968" s="663">
        <v>0</v>
      </c>
      <c r="M968" s="663">
        <v>0</v>
      </c>
      <c r="X968" s="656"/>
      <c r="Y968" s="657"/>
      <c r="Z968" s="657"/>
      <c r="AA968" s="481" t="s">
        <v>1237</v>
      </c>
      <c r="AC968" s="456"/>
      <c r="AD968" s="522"/>
      <c r="AE968" s="699"/>
      <c r="AF968" s="456"/>
      <c r="AG968" s="699"/>
      <c r="AH968" s="481"/>
      <c r="AJ968" s="481"/>
    </row>
    <row r="969" spans="1:36" s="454" customFormat="1" ht="15" x14ac:dyDescent="0.25">
      <c r="A969" s="542"/>
      <c r="B969" s="665"/>
      <c r="C969" s="666" t="s">
        <v>1953</v>
      </c>
      <c r="D969" s="667"/>
      <c r="E969" s="667"/>
      <c r="F969" s="667"/>
      <c r="G969" s="667"/>
      <c r="H969" s="667"/>
      <c r="I969" s="667"/>
      <c r="J969" s="667"/>
      <c r="K969" s="667"/>
      <c r="L969" s="667"/>
      <c r="M969" s="669"/>
      <c r="X969" s="656"/>
      <c r="Y969" s="657"/>
      <c r="Z969" s="657"/>
      <c r="AA969" s="481"/>
      <c r="AC969" s="456"/>
      <c r="AD969" s="522"/>
      <c r="AE969" s="699"/>
      <c r="AF969" s="456"/>
      <c r="AG969" s="699"/>
      <c r="AH969" s="481"/>
      <c r="AJ969" s="481"/>
    </row>
    <row r="970" spans="1:36" s="454" customFormat="1" ht="15" x14ac:dyDescent="0.25">
      <c r="A970" s="2680" t="s">
        <v>1450</v>
      </c>
      <c r="B970" s="2681"/>
      <c r="C970" s="2681"/>
      <c r="D970" s="2681"/>
      <c r="E970" s="2681"/>
      <c r="F970" s="2681"/>
      <c r="G970" s="2681"/>
      <c r="H970" s="2681"/>
      <c r="I970" s="2681"/>
      <c r="J970" s="2681"/>
      <c r="K970" s="2681"/>
      <c r="L970" s="2681"/>
      <c r="M970" s="2682"/>
      <c r="X970" s="656"/>
      <c r="Y970" s="657" t="s">
        <v>1450</v>
      </c>
      <c r="Z970" s="657"/>
      <c r="AA970" s="481"/>
      <c r="AC970" s="456"/>
      <c r="AD970" s="522"/>
      <c r="AE970" s="699"/>
      <c r="AF970" s="456"/>
      <c r="AG970" s="699"/>
      <c r="AH970" s="481"/>
      <c r="AJ970" s="481"/>
    </row>
    <row r="971" spans="1:36" s="454" customFormat="1" ht="57" x14ac:dyDescent="0.25">
      <c r="A971" s="658" t="s">
        <v>1451</v>
      </c>
      <c r="B971" s="659" t="s">
        <v>1954</v>
      </c>
      <c r="C971" s="2673" t="s">
        <v>1955</v>
      </c>
      <c r="D971" s="2673"/>
      <c r="E971" s="2673"/>
      <c r="F971" s="660">
        <v>1.4279999999999999</v>
      </c>
      <c r="G971" s="661" t="s">
        <v>1956</v>
      </c>
      <c r="H971" s="661" t="s">
        <v>1957</v>
      </c>
      <c r="I971" s="661">
        <v>182639</v>
      </c>
      <c r="J971" s="661">
        <v>14283</v>
      </c>
      <c r="K971" s="662" t="s">
        <v>3489</v>
      </c>
      <c r="L971" s="691">
        <v>1039.7328</v>
      </c>
      <c r="M971" s="672">
        <v>1484.74</v>
      </c>
      <c r="X971" s="656"/>
      <c r="Y971" s="657"/>
      <c r="Z971" s="657"/>
      <c r="AA971" s="481" t="s">
        <v>1955</v>
      </c>
      <c r="AC971" s="456"/>
      <c r="AD971" s="522"/>
      <c r="AE971" s="699"/>
      <c r="AF971" s="456"/>
      <c r="AG971" s="699"/>
      <c r="AH971" s="481"/>
      <c r="AJ971" s="481"/>
    </row>
    <row r="972" spans="1:36" s="454" customFormat="1" ht="15" x14ac:dyDescent="0.25">
      <c r="A972" s="664"/>
      <c r="B972" s="665"/>
      <c r="C972" s="666" t="s">
        <v>3490</v>
      </c>
      <c r="D972" s="667"/>
      <c r="E972" s="667"/>
      <c r="F972" s="667"/>
      <c r="G972" s="667"/>
      <c r="H972" s="667"/>
      <c r="I972" s="667"/>
      <c r="J972" s="667"/>
      <c r="K972" s="667"/>
      <c r="L972" s="667"/>
      <c r="M972" s="668"/>
      <c r="X972" s="656"/>
      <c r="Y972" s="657"/>
      <c r="Z972" s="657"/>
      <c r="AA972" s="481"/>
      <c r="AC972" s="456"/>
      <c r="AD972" s="522"/>
      <c r="AE972" s="699"/>
      <c r="AF972" s="456"/>
      <c r="AG972" s="699"/>
      <c r="AH972" s="481"/>
      <c r="AJ972" s="481"/>
    </row>
    <row r="973" spans="1:36" s="454" customFormat="1" ht="15" x14ac:dyDescent="0.25">
      <c r="A973" s="542"/>
      <c r="B973" s="673" t="s">
        <v>1960</v>
      </c>
      <c r="C973" s="2670" t="s">
        <v>1961</v>
      </c>
      <c r="D973" s="2670"/>
      <c r="E973" s="2670"/>
      <c r="F973" s="2670"/>
      <c r="G973" s="2670"/>
      <c r="H973" s="2670"/>
      <c r="I973" s="2670"/>
      <c r="J973" s="2670"/>
      <c r="K973" s="2670"/>
      <c r="L973" s="2670"/>
      <c r="M973" s="2671"/>
      <c r="X973" s="656"/>
      <c r="Y973" s="657"/>
      <c r="Z973" s="657"/>
      <c r="AA973" s="481"/>
      <c r="AB973" s="491" t="s">
        <v>1961</v>
      </c>
      <c r="AC973" s="456"/>
      <c r="AD973" s="522"/>
      <c r="AE973" s="699"/>
      <c r="AF973" s="456"/>
      <c r="AG973" s="699"/>
      <c r="AH973" s="481"/>
      <c r="AJ973" s="481"/>
    </row>
    <row r="974" spans="1:36" s="454" customFormat="1" ht="15" x14ac:dyDescent="0.25">
      <c r="A974" s="542"/>
      <c r="B974" s="673" t="s">
        <v>1962</v>
      </c>
      <c r="C974" s="2670" t="s">
        <v>1963</v>
      </c>
      <c r="D974" s="2670"/>
      <c r="E974" s="2670"/>
      <c r="F974" s="2670"/>
      <c r="G974" s="2670"/>
      <c r="H974" s="2670"/>
      <c r="I974" s="2670"/>
      <c r="J974" s="2670"/>
      <c r="K974" s="2670"/>
      <c r="L974" s="2670"/>
      <c r="M974" s="2671"/>
      <c r="X974" s="656"/>
      <c r="Y974" s="657"/>
      <c r="Z974" s="657"/>
      <c r="AA974" s="481"/>
      <c r="AB974" s="491" t="s">
        <v>1963</v>
      </c>
      <c r="AC974" s="456"/>
      <c r="AD974" s="522"/>
      <c r="AE974" s="699"/>
      <c r="AF974" s="456"/>
      <c r="AG974" s="699"/>
      <c r="AH974" s="481"/>
      <c r="AJ974" s="481"/>
    </row>
    <row r="975" spans="1:36" s="454" customFormat="1" ht="15" x14ac:dyDescent="0.25">
      <c r="A975" s="542"/>
      <c r="B975" s="673" t="s">
        <v>1964</v>
      </c>
      <c r="C975" s="2670" t="s">
        <v>1965</v>
      </c>
      <c r="D975" s="2670"/>
      <c r="E975" s="2670"/>
      <c r="F975" s="2670"/>
      <c r="G975" s="2670"/>
      <c r="H975" s="2670"/>
      <c r="I975" s="2670"/>
      <c r="J975" s="2670"/>
      <c r="K975" s="2670"/>
      <c r="L975" s="2670"/>
      <c r="M975" s="2671"/>
      <c r="X975" s="656"/>
      <c r="Y975" s="657"/>
      <c r="Z975" s="657"/>
      <c r="AA975" s="481"/>
      <c r="AB975" s="491" t="s">
        <v>1965</v>
      </c>
      <c r="AC975" s="456"/>
      <c r="AD975" s="522"/>
      <c r="AE975" s="699"/>
      <c r="AF975" s="456"/>
      <c r="AG975" s="699"/>
      <c r="AH975" s="481"/>
      <c r="AJ975" s="481"/>
    </row>
    <row r="976" spans="1:36" s="454" customFormat="1" ht="33.75" x14ac:dyDescent="0.25">
      <c r="A976" s="542"/>
      <c r="B976" s="673" t="s">
        <v>1655</v>
      </c>
      <c r="C976" s="2670" t="s">
        <v>1656</v>
      </c>
      <c r="D976" s="2670"/>
      <c r="E976" s="2670"/>
      <c r="F976" s="2670"/>
      <c r="G976" s="2670"/>
      <c r="H976" s="2670"/>
      <c r="I976" s="2670"/>
      <c r="J976" s="2670"/>
      <c r="K976" s="2670"/>
      <c r="L976" s="2670"/>
      <c r="M976" s="2671"/>
      <c r="X976" s="656"/>
      <c r="Y976" s="657"/>
      <c r="Z976" s="657"/>
      <c r="AA976" s="481"/>
      <c r="AB976" s="491" t="s">
        <v>1656</v>
      </c>
      <c r="AC976" s="456"/>
      <c r="AD976" s="522"/>
      <c r="AE976" s="699"/>
      <c r="AF976" s="456"/>
      <c r="AG976" s="699"/>
      <c r="AH976" s="481"/>
      <c r="AJ976" s="481"/>
    </row>
    <row r="977" spans="1:36" s="454" customFormat="1" ht="15" x14ac:dyDescent="0.25">
      <c r="A977" s="823"/>
      <c r="B977" s="824"/>
      <c r="C977" s="824"/>
      <c r="D977" s="824"/>
      <c r="E977" s="825" t="s">
        <v>3491</v>
      </c>
      <c r="F977" s="826"/>
      <c r="G977" s="827"/>
      <c r="H977" s="648"/>
      <c r="I977" s="828">
        <v>24967</v>
      </c>
      <c r="J977" s="829"/>
      <c r="K977" s="829"/>
      <c r="L977" s="830"/>
      <c r="M977" s="831"/>
      <c r="X977" s="656"/>
      <c r="Y977" s="657"/>
      <c r="Z977" s="657"/>
      <c r="AA977" s="481"/>
      <c r="AC977" s="456"/>
      <c r="AD977" s="522"/>
      <c r="AE977" s="699"/>
      <c r="AF977" s="456"/>
      <c r="AG977" s="699"/>
      <c r="AH977" s="481"/>
      <c r="AJ977" s="481"/>
    </row>
    <row r="978" spans="1:36" s="454" customFormat="1" ht="15" x14ac:dyDescent="0.25">
      <c r="A978" s="823"/>
      <c r="B978" s="824"/>
      <c r="C978" s="824"/>
      <c r="D978" s="824"/>
      <c r="E978" s="825" t="s">
        <v>3492</v>
      </c>
      <c r="F978" s="826"/>
      <c r="G978" s="827"/>
      <c r="H978" s="648"/>
      <c r="I978" s="828">
        <v>11369</v>
      </c>
      <c r="J978" s="829"/>
      <c r="K978" s="829"/>
      <c r="L978" s="830"/>
      <c r="M978" s="831"/>
      <c r="X978" s="656"/>
      <c r="Y978" s="657"/>
      <c r="Z978" s="657"/>
      <c r="AA978" s="481"/>
      <c r="AC978" s="456"/>
      <c r="AD978" s="522"/>
      <c r="AE978" s="699"/>
      <c r="AF978" s="456"/>
      <c r="AG978" s="699"/>
      <c r="AH978" s="481"/>
      <c r="AJ978" s="481"/>
    </row>
    <row r="979" spans="1:36" s="454" customFormat="1" ht="15" x14ac:dyDescent="0.25">
      <c r="A979" s="823"/>
      <c r="B979" s="824"/>
      <c r="C979" s="824"/>
      <c r="D979" s="824"/>
      <c r="E979" s="825" t="s">
        <v>2692</v>
      </c>
      <c r="F979" s="826"/>
      <c r="G979" s="827"/>
      <c r="H979" s="648"/>
      <c r="I979" s="828">
        <v>218975</v>
      </c>
      <c r="J979" s="829"/>
      <c r="K979" s="829"/>
      <c r="L979" s="830"/>
      <c r="M979" s="831"/>
      <c r="X979" s="656"/>
      <c r="Y979" s="657"/>
      <c r="Z979" s="657"/>
      <c r="AA979" s="481"/>
      <c r="AC979" s="456"/>
      <c r="AD979" s="522"/>
      <c r="AE979" s="699"/>
      <c r="AF979" s="456"/>
      <c r="AG979" s="699"/>
      <c r="AH979" s="481"/>
      <c r="AJ979" s="481"/>
    </row>
    <row r="980" spans="1:36" s="454" customFormat="1" ht="23.25" x14ac:dyDescent="0.25">
      <c r="A980" s="507"/>
      <c r="B980" s="674" t="s">
        <v>1883</v>
      </c>
      <c r="C980" s="2672" t="s">
        <v>1884</v>
      </c>
      <c r="D980" s="2672"/>
      <c r="E980" s="2672"/>
      <c r="F980" s="675" t="s">
        <v>3493</v>
      </c>
      <c r="G980" s="676" t="s">
        <v>1886</v>
      </c>
      <c r="H980" s="676"/>
      <c r="I980" s="676">
        <v>14283.2</v>
      </c>
      <c r="J980" s="676">
        <v>14283.2</v>
      </c>
      <c r="K980" s="676"/>
      <c r="L980" s="677"/>
      <c r="M980" s="678"/>
      <c r="X980" s="656"/>
      <c r="Y980" s="657"/>
      <c r="Z980" s="657"/>
      <c r="AA980" s="481"/>
      <c r="AC980" s="456" t="s">
        <v>1884</v>
      </c>
      <c r="AD980" s="522"/>
      <c r="AE980" s="699"/>
      <c r="AF980" s="456"/>
      <c r="AG980" s="699"/>
      <c r="AH980" s="481"/>
      <c r="AJ980" s="481"/>
    </row>
    <row r="981" spans="1:36" s="454" customFormat="1" ht="23.25" x14ac:dyDescent="0.25">
      <c r="A981" s="507"/>
      <c r="B981" s="674" t="s">
        <v>639</v>
      </c>
      <c r="C981" s="2672" t="s">
        <v>1661</v>
      </c>
      <c r="D981" s="2672"/>
      <c r="E981" s="2672"/>
      <c r="F981" s="675" t="s">
        <v>3494</v>
      </c>
      <c r="G981" s="676">
        <v>0</v>
      </c>
      <c r="H981" s="676">
        <v>0</v>
      </c>
      <c r="I981" s="676">
        <v>0</v>
      </c>
      <c r="J981" s="676"/>
      <c r="K981" s="676">
        <v>0</v>
      </c>
      <c r="L981" s="677"/>
      <c r="M981" s="678"/>
      <c r="X981" s="656"/>
      <c r="Y981" s="657"/>
      <c r="Z981" s="657"/>
      <c r="AA981" s="481"/>
      <c r="AC981" s="456" t="s">
        <v>1661</v>
      </c>
      <c r="AD981" s="522"/>
      <c r="AE981" s="699"/>
      <c r="AF981" s="456"/>
      <c r="AG981" s="699"/>
      <c r="AH981" s="481"/>
      <c r="AJ981" s="481"/>
    </row>
    <row r="982" spans="1:36" s="454" customFormat="1" ht="23.25" x14ac:dyDescent="0.25">
      <c r="A982" s="507"/>
      <c r="B982" s="674" t="s">
        <v>1968</v>
      </c>
      <c r="C982" s="2672" t="s">
        <v>1969</v>
      </c>
      <c r="D982" s="2672"/>
      <c r="E982" s="2672"/>
      <c r="F982" s="675" t="s">
        <v>3495</v>
      </c>
      <c r="G982" s="676">
        <v>79.069999999999993</v>
      </c>
      <c r="H982" s="676" t="s">
        <v>1971</v>
      </c>
      <c r="I982" s="676">
        <v>330.51</v>
      </c>
      <c r="J982" s="676"/>
      <c r="K982" s="676" t="s">
        <v>3496</v>
      </c>
      <c r="L982" s="677"/>
      <c r="M982" s="678"/>
      <c r="X982" s="656"/>
      <c r="Y982" s="657"/>
      <c r="Z982" s="657"/>
      <c r="AA982" s="481"/>
      <c r="AC982" s="456" t="s">
        <v>1969</v>
      </c>
      <c r="AD982" s="522"/>
      <c r="AE982" s="699"/>
      <c r="AF982" s="456"/>
      <c r="AG982" s="699"/>
      <c r="AH982" s="481"/>
      <c r="AJ982" s="481"/>
    </row>
    <row r="983" spans="1:36" s="454" customFormat="1" ht="45.75" x14ac:dyDescent="0.25">
      <c r="A983" s="507"/>
      <c r="B983" s="674" t="s">
        <v>1973</v>
      </c>
      <c r="C983" s="2672" t="s">
        <v>1974</v>
      </c>
      <c r="D983" s="2672"/>
      <c r="E983" s="2672"/>
      <c r="F983" s="675" t="s">
        <v>3497</v>
      </c>
      <c r="G983" s="676">
        <v>70.010000000000005</v>
      </c>
      <c r="H983" s="676" t="s">
        <v>1976</v>
      </c>
      <c r="I983" s="676">
        <v>394.16</v>
      </c>
      <c r="J983" s="676"/>
      <c r="K983" s="676" t="s">
        <v>3498</v>
      </c>
      <c r="L983" s="677"/>
      <c r="M983" s="678"/>
      <c r="X983" s="656"/>
      <c r="Y983" s="657"/>
      <c r="Z983" s="657"/>
      <c r="AA983" s="481"/>
      <c r="AC983" s="456" t="s">
        <v>1974</v>
      </c>
      <c r="AD983" s="522"/>
      <c r="AE983" s="699"/>
      <c r="AF983" s="456"/>
      <c r="AG983" s="699"/>
      <c r="AH983" s="481"/>
      <c r="AJ983" s="481"/>
    </row>
    <row r="984" spans="1:36" s="454" customFormat="1" ht="57" x14ac:dyDescent="0.25">
      <c r="A984" s="507"/>
      <c r="B984" s="674" t="s">
        <v>1978</v>
      </c>
      <c r="C984" s="2672" t="s">
        <v>1979</v>
      </c>
      <c r="D984" s="2672"/>
      <c r="E984" s="2672"/>
      <c r="F984" s="675" t="s">
        <v>3499</v>
      </c>
      <c r="G984" s="676">
        <v>340</v>
      </c>
      <c r="H984" s="676" t="s">
        <v>1981</v>
      </c>
      <c r="I984" s="676">
        <v>107987.4</v>
      </c>
      <c r="J984" s="676"/>
      <c r="K984" s="676" t="s">
        <v>3500</v>
      </c>
      <c r="L984" s="677"/>
      <c r="M984" s="678"/>
      <c r="X984" s="656"/>
      <c r="Y984" s="657"/>
      <c r="Z984" s="657"/>
      <c r="AA984" s="481"/>
      <c r="AC984" s="456" t="s">
        <v>1979</v>
      </c>
      <c r="AD984" s="522"/>
      <c r="AE984" s="699"/>
      <c r="AF984" s="456"/>
      <c r="AG984" s="699"/>
      <c r="AH984" s="481"/>
      <c r="AJ984" s="481"/>
    </row>
    <row r="985" spans="1:36" s="454" customFormat="1" ht="34.5" x14ac:dyDescent="0.25">
      <c r="A985" s="507"/>
      <c r="B985" s="674" t="s">
        <v>1663</v>
      </c>
      <c r="C985" s="2672" t="s">
        <v>1664</v>
      </c>
      <c r="D985" s="2672"/>
      <c r="E985" s="2672"/>
      <c r="F985" s="675" t="s">
        <v>3501</v>
      </c>
      <c r="G985" s="676">
        <v>111.99</v>
      </c>
      <c r="H985" s="676" t="s">
        <v>1666</v>
      </c>
      <c r="I985" s="676">
        <v>618.17999999999995</v>
      </c>
      <c r="J985" s="676"/>
      <c r="K985" s="676" t="s">
        <v>3502</v>
      </c>
      <c r="L985" s="677"/>
      <c r="M985" s="678"/>
      <c r="X985" s="656"/>
      <c r="Y985" s="657"/>
      <c r="Z985" s="657"/>
      <c r="AA985" s="481"/>
      <c r="AC985" s="456" t="s">
        <v>1664</v>
      </c>
      <c r="AD985" s="522"/>
      <c r="AE985" s="699"/>
      <c r="AF985" s="456"/>
      <c r="AG985" s="699"/>
      <c r="AH985" s="481"/>
      <c r="AJ985" s="481"/>
    </row>
    <row r="986" spans="1:36" s="454" customFormat="1" ht="23.25" x14ac:dyDescent="0.25">
      <c r="A986" s="507"/>
      <c r="B986" s="674" t="s">
        <v>1985</v>
      </c>
      <c r="C986" s="2672" t="s">
        <v>1986</v>
      </c>
      <c r="D986" s="2672"/>
      <c r="E986" s="2672"/>
      <c r="F986" s="675" t="s">
        <v>3503</v>
      </c>
      <c r="G986" s="676">
        <v>26.5</v>
      </c>
      <c r="H986" s="676" t="s">
        <v>1988</v>
      </c>
      <c r="I986" s="676">
        <v>1999.43</v>
      </c>
      <c r="J986" s="676"/>
      <c r="K986" s="676" t="s">
        <v>3504</v>
      </c>
      <c r="L986" s="677"/>
      <c r="M986" s="678"/>
      <c r="X986" s="656"/>
      <c r="Y986" s="657"/>
      <c r="Z986" s="657"/>
      <c r="AA986" s="481"/>
      <c r="AC986" s="456" t="s">
        <v>1986</v>
      </c>
      <c r="AD986" s="522"/>
      <c r="AE986" s="699"/>
      <c r="AF986" s="456"/>
      <c r="AG986" s="699"/>
      <c r="AH986" s="481"/>
      <c r="AJ986" s="481"/>
    </row>
    <row r="987" spans="1:36" s="454" customFormat="1" ht="34.5" x14ac:dyDescent="0.25">
      <c r="A987" s="507"/>
      <c r="B987" s="674" t="s">
        <v>821</v>
      </c>
      <c r="C987" s="2672" t="s">
        <v>1751</v>
      </c>
      <c r="D987" s="2672"/>
      <c r="E987" s="2672"/>
      <c r="F987" s="675" t="s">
        <v>3505</v>
      </c>
      <c r="G987" s="676">
        <v>65.709999999999994</v>
      </c>
      <c r="H987" s="676" t="s">
        <v>1753</v>
      </c>
      <c r="I987" s="676">
        <v>544.08000000000004</v>
      </c>
      <c r="J987" s="676"/>
      <c r="K987" s="676" t="s">
        <v>3506</v>
      </c>
      <c r="L987" s="677"/>
      <c r="M987" s="678"/>
      <c r="X987" s="656"/>
      <c r="Y987" s="657"/>
      <c r="Z987" s="657"/>
      <c r="AA987" s="481"/>
      <c r="AC987" s="456" t="s">
        <v>1751</v>
      </c>
      <c r="AD987" s="522"/>
      <c r="AE987" s="699"/>
      <c r="AF987" s="456"/>
      <c r="AG987" s="699"/>
      <c r="AH987" s="481"/>
      <c r="AJ987" s="481"/>
    </row>
    <row r="988" spans="1:36" s="454" customFormat="1" ht="23.25" x14ac:dyDescent="0.25">
      <c r="A988" s="515" t="s">
        <v>863</v>
      </c>
      <c r="B988" s="686" t="s">
        <v>1992</v>
      </c>
      <c r="C988" s="2683" t="s">
        <v>1993</v>
      </c>
      <c r="D988" s="2683"/>
      <c r="E988" s="2683"/>
      <c r="F988" s="687" t="s">
        <v>3507</v>
      </c>
      <c r="G988" s="688">
        <v>0</v>
      </c>
      <c r="H988" s="688"/>
      <c r="I988" s="688">
        <v>0</v>
      </c>
      <c r="J988" s="688"/>
      <c r="K988" s="688"/>
      <c r="L988" s="689"/>
      <c r="M988" s="690"/>
      <c r="X988" s="656"/>
      <c r="Y988" s="657"/>
      <c r="Z988" s="657"/>
      <c r="AA988" s="481"/>
      <c r="AC988" s="456"/>
      <c r="AD988" s="522" t="s">
        <v>1993</v>
      </c>
      <c r="AE988" s="699"/>
      <c r="AF988" s="456"/>
      <c r="AG988" s="699"/>
      <c r="AH988" s="481"/>
      <c r="AJ988" s="481"/>
    </row>
    <row r="989" spans="1:36" s="454" customFormat="1" ht="57" x14ac:dyDescent="0.25">
      <c r="A989" s="507"/>
      <c r="B989" s="674" t="s">
        <v>1995</v>
      </c>
      <c r="C989" s="2672" t="s">
        <v>1996</v>
      </c>
      <c r="D989" s="2672"/>
      <c r="E989" s="2672"/>
      <c r="F989" s="675" t="s">
        <v>3508</v>
      </c>
      <c r="G989" s="676">
        <v>183.68</v>
      </c>
      <c r="H989" s="676"/>
      <c r="I989" s="676">
        <v>543.51</v>
      </c>
      <c r="J989" s="676"/>
      <c r="K989" s="676"/>
      <c r="L989" s="677"/>
      <c r="M989" s="678"/>
      <c r="X989" s="656"/>
      <c r="Y989" s="657"/>
      <c r="Z989" s="657"/>
      <c r="AA989" s="481"/>
      <c r="AC989" s="456" t="s">
        <v>1996</v>
      </c>
      <c r="AD989" s="522"/>
      <c r="AE989" s="699"/>
      <c r="AF989" s="456"/>
      <c r="AG989" s="699"/>
      <c r="AH989" s="481"/>
      <c r="AJ989" s="481"/>
    </row>
    <row r="990" spans="1:36" s="454" customFormat="1" ht="23.25" x14ac:dyDescent="0.25">
      <c r="A990" s="515" t="s">
        <v>863</v>
      </c>
      <c r="B990" s="686" t="s">
        <v>1998</v>
      </c>
      <c r="C990" s="2683" t="s">
        <v>1999</v>
      </c>
      <c r="D990" s="2683"/>
      <c r="E990" s="2683"/>
      <c r="F990" s="687" t="s">
        <v>3509</v>
      </c>
      <c r="G990" s="688">
        <v>0</v>
      </c>
      <c r="H990" s="688"/>
      <c r="I990" s="688">
        <v>0</v>
      </c>
      <c r="J990" s="688"/>
      <c r="K990" s="688"/>
      <c r="L990" s="689"/>
      <c r="M990" s="690"/>
      <c r="X990" s="656"/>
      <c r="Y990" s="657"/>
      <c r="Z990" s="657"/>
      <c r="AA990" s="481"/>
      <c r="AC990" s="456"/>
      <c r="AD990" s="522" t="s">
        <v>1999</v>
      </c>
      <c r="AE990" s="699"/>
      <c r="AF990" s="456"/>
      <c r="AG990" s="699"/>
      <c r="AH990" s="481"/>
      <c r="AJ990" s="481"/>
    </row>
    <row r="991" spans="1:36" s="454" customFormat="1" ht="22.5" x14ac:dyDescent="0.25">
      <c r="A991" s="515" t="s">
        <v>860</v>
      </c>
      <c r="B991" s="686" t="s">
        <v>2001</v>
      </c>
      <c r="C991" s="2683" t="s">
        <v>2002</v>
      </c>
      <c r="D991" s="2683"/>
      <c r="E991" s="2683"/>
      <c r="F991" s="687" t="s">
        <v>1935</v>
      </c>
      <c r="G991" s="688">
        <v>0</v>
      </c>
      <c r="H991" s="688"/>
      <c r="I991" s="688">
        <v>0</v>
      </c>
      <c r="J991" s="688"/>
      <c r="K991" s="688"/>
      <c r="L991" s="689"/>
      <c r="M991" s="690"/>
      <c r="X991" s="656"/>
      <c r="Y991" s="657"/>
      <c r="Z991" s="657"/>
      <c r="AA991" s="481"/>
      <c r="AC991" s="456"/>
      <c r="AD991" s="522" t="s">
        <v>2002</v>
      </c>
      <c r="AE991" s="699"/>
      <c r="AF991" s="456"/>
      <c r="AG991" s="699"/>
      <c r="AH991" s="481"/>
      <c r="AJ991" s="481"/>
    </row>
    <row r="992" spans="1:36" s="454" customFormat="1" ht="57" x14ac:dyDescent="0.25">
      <c r="A992" s="658" t="s">
        <v>1454</v>
      </c>
      <c r="B992" s="659" t="s">
        <v>2003</v>
      </c>
      <c r="C992" s="2673" t="s">
        <v>2004</v>
      </c>
      <c r="D992" s="2673"/>
      <c r="E992" s="2673"/>
      <c r="F992" s="660">
        <v>0.252</v>
      </c>
      <c r="G992" s="661" t="s">
        <v>2005</v>
      </c>
      <c r="H992" s="661" t="s">
        <v>2006</v>
      </c>
      <c r="I992" s="661">
        <v>97822</v>
      </c>
      <c r="J992" s="661">
        <v>7470</v>
      </c>
      <c r="K992" s="662" t="s">
        <v>3510</v>
      </c>
      <c r="L992" s="691">
        <v>3081.2808</v>
      </c>
      <c r="M992" s="672">
        <v>776.48</v>
      </c>
      <c r="X992" s="656"/>
      <c r="Y992" s="657"/>
      <c r="Z992" s="657"/>
      <c r="AA992" s="481" t="s">
        <v>2004</v>
      </c>
      <c r="AC992" s="456"/>
      <c r="AD992" s="522"/>
      <c r="AE992" s="699"/>
      <c r="AF992" s="456"/>
      <c r="AG992" s="699"/>
      <c r="AH992" s="481"/>
      <c r="AJ992" s="481"/>
    </row>
    <row r="993" spans="1:36" s="454" customFormat="1" ht="15" x14ac:dyDescent="0.25">
      <c r="A993" s="664"/>
      <c r="B993" s="665"/>
      <c r="C993" s="666" t="s">
        <v>3511</v>
      </c>
      <c r="D993" s="667"/>
      <c r="E993" s="667"/>
      <c r="F993" s="667"/>
      <c r="G993" s="667"/>
      <c r="H993" s="667"/>
      <c r="I993" s="667"/>
      <c r="J993" s="667"/>
      <c r="K993" s="667"/>
      <c r="L993" s="667"/>
      <c r="M993" s="668"/>
      <c r="X993" s="656"/>
      <c r="Y993" s="657"/>
      <c r="Z993" s="657"/>
      <c r="AA993" s="481"/>
      <c r="AC993" s="456"/>
      <c r="AD993" s="522"/>
      <c r="AE993" s="699"/>
      <c r="AF993" s="456"/>
      <c r="AG993" s="699"/>
      <c r="AH993" s="481"/>
      <c r="AJ993" s="481"/>
    </row>
    <row r="994" spans="1:36" s="454" customFormat="1" ht="15" x14ac:dyDescent="0.25">
      <c r="A994" s="542"/>
      <c r="B994" s="673" t="s">
        <v>1960</v>
      </c>
      <c r="C994" s="2670" t="s">
        <v>1961</v>
      </c>
      <c r="D994" s="2670"/>
      <c r="E994" s="2670"/>
      <c r="F994" s="2670"/>
      <c r="G994" s="2670"/>
      <c r="H994" s="2670"/>
      <c r="I994" s="2670"/>
      <c r="J994" s="2670"/>
      <c r="K994" s="2670"/>
      <c r="L994" s="2670"/>
      <c r="M994" s="2671"/>
      <c r="X994" s="656"/>
      <c r="Y994" s="657"/>
      <c r="Z994" s="657"/>
      <c r="AA994" s="481"/>
      <c r="AB994" s="491" t="s">
        <v>1961</v>
      </c>
      <c r="AC994" s="456"/>
      <c r="AD994" s="522"/>
      <c r="AE994" s="699"/>
      <c r="AF994" s="456"/>
      <c r="AG994" s="699"/>
      <c r="AH994" s="481"/>
      <c r="AJ994" s="481"/>
    </row>
    <row r="995" spans="1:36" s="454" customFormat="1" ht="15" x14ac:dyDescent="0.25">
      <c r="A995" s="542"/>
      <c r="B995" s="673" t="s">
        <v>1962</v>
      </c>
      <c r="C995" s="2670" t="s">
        <v>1963</v>
      </c>
      <c r="D995" s="2670"/>
      <c r="E995" s="2670"/>
      <c r="F995" s="2670"/>
      <c r="G995" s="2670"/>
      <c r="H995" s="2670"/>
      <c r="I995" s="2670"/>
      <c r="J995" s="2670"/>
      <c r="K995" s="2670"/>
      <c r="L995" s="2670"/>
      <c r="M995" s="2671"/>
      <c r="X995" s="656"/>
      <c r="Y995" s="657"/>
      <c r="Z995" s="657"/>
      <c r="AA995" s="481"/>
      <c r="AB995" s="491" t="s">
        <v>1963</v>
      </c>
      <c r="AC995" s="456"/>
      <c r="AD995" s="522"/>
      <c r="AE995" s="699"/>
      <c r="AF995" s="456"/>
      <c r="AG995" s="699"/>
      <c r="AH995" s="481"/>
      <c r="AJ995" s="481"/>
    </row>
    <row r="996" spans="1:36" s="454" customFormat="1" ht="15" x14ac:dyDescent="0.25">
      <c r="A996" s="542"/>
      <c r="B996" s="673" t="s">
        <v>1964</v>
      </c>
      <c r="C996" s="2670" t="s">
        <v>1965</v>
      </c>
      <c r="D996" s="2670"/>
      <c r="E996" s="2670"/>
      <c r="F996" s="2670"/>
      <c r="G996" s="2670"/>
      <c r="H996" s="2670"/>
      <c r="I996" s="2670"/>
      <c r="J996" s="2670"/>
      <c r="K996" s="2670"/>
      <c r="L996" s="2670"/>
      <c r="M996" s="2671"/>
      <c r="X996" s="656"/>
      <c r="Y996" s="657"/>
      <c r="Z996" s="657"/>
      <c r="AA996" s="481"/>
      <c r="AB996" s="491" t="s">
        <v>1965</v>
      </c>
      <c r="AC996" s="456"/>
      <c r="AD996" s="522"/>
      <c r="AE996" s="699"/>
      <c r="AF996" s="456"/>
      <c r="AG996" s="699"/>
      <c r="AH996" s="481"/>
      <c r="AJ996" s="481"/>
    </row>
    <row r="997" spans="1:36" s="454" customFormat="1" ht="33.75" x14ac:dyDescent="0.25">
      <c r="A997" s="542"/>
      <c r="B997" s="673" t="s">
        <v>1655</v>
      </c>
      <c r="C997" s="2670" t="s">
        <v>1656</v>
      </c>
      <c r="D997" s="2670"/>
      <c r="E997" s="2670"/>
      <c r="F997" s="2670"/>
      <c r="G997" s="2670"/>
      <c r="H997" s="2670"/>
      <c r="I997" s="2670"/>
      <c r="J997" s="2670"/>
      <c r="K997" s="2670"/>
      <c r="L997" s="2670"/>
      <c r="M997" s="2671"/>
      <c r="X997" s="656"/>
      <c r="Y997" s="657"/>
      <c r="Z997" s="657"/>
      <c r="AA997" s="481"/>
      <c r="AB997" s="491" t="s">
        <v>1656</v>
      </c>
      <c r="AC997" s="456"/>
      <c r="AD997" s="522"/>
      <c r="AE997" s="699"/>
      <c r="AF997" s="456"/>
      <c r="AG997" s="699"/>
      <c r="AH997" s="481"/>
      <c r="AJ997" s="481"/>
    </row>
    <row r="998" spans="1:36" s="454" customFormat="1" ht="15" x14ac:dyDescent="0.25">
      <c r="A998" s="823"/>
      <c r="B998" s="824"/>
      <c r="C998" s="824"/>
      <c r="D998" s="824"/>
      <c r="E998" s="825" t="s">
        <v>3512</v>
      </c>
      <c r="F998" s="826"/>
      <c r="G998" s="827"/>
      <c r="H998" s="648"/>
      <c r="I998" s="828">
        <v>12641</v>
      </c>
      <c r="J998" s="829"/>
      <c r="K998" s="829"/>
      <c r="L998" s="830"/>
      <c r="M998" s="831"/>
      <c r="X998" s="656"/>
      <c r="Y998" s="657"/>
      <c r="Z998" s="657"/>
      <c r="AA998" s="481"/>
      <c r="AC998" s="456"/>
      <c r="AD998" s="522"/>
      <c r="AE998" s="699"/>
      <c r="AF998" s="456"/>
      <c r="AG998" s="699"/>
      <c r="AH998" s="481"/>
      <c r="AJ998" s="481"/>
    </row>
    <row r="999" spans="1:36" s="454" customFormat="1" ht="15" x14ac:dyDescent="0.25">
      <c r="A999" s="823"/>
      <c r="B999" s="824"/>
      <c r="C999" s="824"/>
      <c r="D999" s="824"/>
      <c r="E999" s="825" t="s">
        <v>3513</v>
      </c>
      <c r="F999" s="826"/>
      <c r="G999" s="827"/>
      <c r="H999" s="648"/>
      <c r="I999" s="828">
        <v>5756</v>
      </c>
      <c r="J999" s="829"/>
      <c r="K999" s="829"/>
      <c r="L999" s="830"/>
      <c r="M999" s="831"/>
      <c r="X999" s="656"/>
      <c r="Y999" s="657"/>
      <c r="Z999" s="657"/>
      <c r="AA999" s="481"/>
      <c r="AC999" s="456"/>
      <c r="AD999" s="522"/>
      <c r="AE999" s="699"/>
      <c r="AF999" s="456"/>
      <c r="AG999" s="699"/>
      <c r="AH999" s="481"/>
      <c r="AJ999" s="481"/>
    </row>
    <row r="1000" spans="1:36" s="454" customFormat="1" ht="15" x14ac:dyDescent="0.25">
      <c r="A1000" s="823"/>
      <c r="B1000" s="824"/>
      <c r="C1000" s="824"/>
      <c r="D1000" s="824"/>
      <c r="E1000" s="825" t="s">
        <v>2692</v>
      </c>
      <c r="F1000" s="826"/>
      <c r="G1000" s="827"/>
      <c r="H1000" s="648"/>
      <c r="I1000" s="828">
        <v>116219</v>
      </c>
      <c r="J1000" s="829"/>
      <c r="K1000" s="829"/>
      <c r="L1000" s="830"/>
      <c r="M1000" s="831"/>
      <c r="X1000" s="656"/>
      <c r="Y1000" s="657"/>
      <c r="Z1000" s="657"/>
      <c r="AA1000" s="481"/>
      <c r="AC1000" s="456"/>
      <c r="AD1000" s="522"/>
      <c r="AE1000" s="699"/>
      <c r="AF1000" s="456"/>
      <c r="AG1000" s="699"/>
      <c r="AH1000" s="481"/>
      <c r="AJ1000" s="481"/>
    </row>
    <row r="1001" spans="1:36" s="454" customFormat="1" ht="23.25" x14ac:dyDescent="0.25">
      <c r="A1001" s="507"/>
      <c r="B1001" s="674" t="s">
        <v>1883</v>
      </c>
      <c r="C1001" s="2672" t="s">
        <v>1884</v>
      </c>
      <c r="D1001" s="2672"/>
      <c r="E1001" s="2672"/>
      <c r="F1001" s="675" t="s">
        <v>3514</v>
      </c>
      <c r="G1001" s="676" t="s">
        <v>1886</v>
      </c>
      <c r="H1001" s="676"/>
      <c r="I1001" s="676">
        <v>7469.74</v>
      </c>
      <c r="J1001" s="676">
        <v>7469.74</v>
      </c>
      <c r="K1001" s="676"/>
      <c r="L1001" s="677"/>
      <c r="M1001" s="678"/>
      <c r="X1001" s="656"/>
      <c r="Y1001" s="657"/>
      <c r="Z1001" s="657"/>
      <c r="AA1001" s="481"/>
      <c r="AC1001" s="456" t="s">
        <v>1884</v>
      </c>
      <c r="AD1001" s="522"/>
      <c r="AE1001" s="699"/>
      <c r="AF1001" s="456"/>
      <c r="AG1001" s="699"/>
      <c r="AH1001" s="481"/>
      <c r="AJ1001" s="481"/>
    </row>
    <row r="1002" spans="1:36" s="454" customFormat="1" ht="23.25" x14ac:dyDescent="0.25">
      <c r="A1002" s="507"/>
      <c r="B1002" s="674" t="s">
        <v>639</v>
      </c>
      <c r="C1002" s="2672" t="s">
        <v>1661</v>
      </c>
      <c r="D1002" s="2672"/>
      <c r="E1002" s="2672"/>
      <c r="F1002" s="675" t="s">
        <v>3515</v>
      </c>
      <c r="G1002" s="676">
        <v>0</v>
      </c>
      <c r="H1002" s="676">
        <v>0</v>
      </c>
      <c r="I1002" s="676">
        <v>0</v>
      </c>
      <c r="J1002" s="676"/>
      <c r="K1002" s="676">
        <v>0</v>
      </c>
      <c r="L1002" s="677"/>
      <c r="M1002" s="678"/>
      <c r="X1002" s="656"/>
      <c r="Y1002" s="657"/>
      <c r="Z1002" s="657"/>
      <c r="AA1002" s="481"/>
      <c r="AC1002" s="456" t="s">
        <v>1661</v>
      </c>
      <c r="AD1002" s="522"/>
      <c r="AE1002" s="699"/>
      <c r="AF1002" s="456"/>
      <c r="AG1002" s="699"/>
      <c r="AH1002" s="481"/>
      <c r="AJ1002" s="481"/>
    </row>
    <row r="1003" spans="1:36" s="454" customFormat="1" ht="23.25" x14ac:dyDescent="0.25">
      <c r="A1003" s="507"/>
      <c r="B1003" s="674" t="s">
        <v>1968</v>
      </c>
      <c r="C1003" s="2672" t="s">
        <v>1969</v>
      </c>
      <c r="D1003" s="2672"/>
      <c r="E1003" s="2672"/>
      <c r="F1003" s="675" t="s">
        <v>3516</v>
      </c>
      <c r="G1003" s="676">
        <v>79.069999999999993</v>
      </c>
      <c r="H1003" s="676" t="s">
        <v>1971</v>
      </c>
      <c r="I1003" s="676">
        <v>58.51</v>
      </c>
      <c r="J1003" s="676"/>
      <c r="K1003" s="676" t="s">
        <v>3517</v>
      </c>
      <c r="L1003" s="677"/>
      <c r="M1003" s="678"/>
      <c r="X1003" s="656"/>
      <c r="Y1003" s="657"/>
      <c r="Z1003" s="657"/>
      <c r="AA1003" s="481"/>
      <c r="AC1003" s="456" t="s">
        <v>1969</v>
      </c>
      <c r="AD1003" s="522"/>
      <c r="AE1003" s="699"/>
      <c r="AF1003" s="456"/>
      <c r="AG1003" s="699"/>
      <c r="AH1003" s="481"/>
      <c r="AJ1003" s="481"/>
    </row>
    <row r="1004" spans="1:36" s="454" customFormat="1" ht="45.75" x14ac:dyDescent="0.25">
      <c r="A1004" s="507"/>
      <c r="B1004" s="674" t="s">
        <v>1973</v>
      </c>
      <c r="C1004" s="2672" t="s">
        <v>1974</v>
      </c>
      <c r="D1004" s="2672"/>
      <c r="E1004" s="2672"/>
      <c r="F1004" s="675" t="s">
        <v>3518</v>
      </c>
      <c r="G1004" s="676">
        <v>70.010000000000005</v>
      </c>
      <c r="H1004" s="676" t="s">
        <v>1976</v>
      </c>
      <c r="I1004" s="676">
        <v>69.31</v>
      </c>
      <c r="J1004" s="676"/>
      <c r="K1004" s="676" t="s">
        <v>3519</v>
      </c>
      <c r="L1004" s="677"/>
      <c r="M1004" s="678"/>
      <c r="X1004" s="656"/>
      <c r="Y1004" s="657"/>
      <c r="Z1004" s="657"/>
      <c r="AA1004" s="481"/>
      <c r="AC1004" s="456" t="s">
        <v>1974</v>
      </c>
      <c r="AD1004" s="522"/>
      <c r="AE1004" s="699"/>
      <c r="AF1004" s="456"/>
      <c r="AG1004" s="699"/>
      <c r="AH1004" s="481"/>
      <c r="AJ1004" s="481"/>
    </row>
    <row r="1005" spans="1:36" s="454" customFormat="1" ht="57" x14ac:dyDescent="0.25">
      <c r="A1005" s="507"/>
      <c r="B1005" s="674" t="s">
        <v>1978</v>
      </c>
      <c r="C1005" s="2672" t="s">
        <v>1979</v>
      </c>
      <c r="D1005" s="2672"/>
      <c r="E1005" s="2672"/>
      <c r="F1005" s="675" t="s">
        <v>3520</v>
      </c>
      <c r="G1005" s="676">
        <v>340</v>
      </c>
      <c r="H1005" s="676" t="s">
        <v>1981</v>
      </c>
      <c r="I1005" s="676">
        <v>59323.199999999997</v>
      </c>
      <c r="J1005" s="676"/>
      <c r="K1005" s="676" t="s">
        <v>3521</v>
      </c>
      <c r="L1005" s="677"/>
      <c r="M1005" s="678"/>
      <c r="X1005" s="656"/>
      <c r="Y1005" s="657"/>
      <c r="Z1005" s="657"/>
      <c r="AA1005" s="481"/>
      <c r="AC1005" s="456" t="s">
        <v>1979</v>
      </c>
      <c r="AD1005" s="522"/>
      <c r="AE1005" s="699"/>
      <c r="AF1005" s="456"/>
      <c r="AG1005" s="699"/>
      <c r="AH1005" s="481"/>
      <c r="AJ1005" s="481"/>
    </row>
    <row r="1006" spans="1:36" s="454" customFormat="1" ht="34.5" x14ac:dyDescent="0.25">
      <c r="A1006" s="507"/>
      <c r="B1006" s="674" t="s">
        <v>1663</v>
      </c>
      <c r="C1006" s="2672" t="s">
        <v>1664</v>
      </c>
      <c r="D1006" s="2672"/>
      <c r="E1006" s="2672"/>
      <c r="F1006" s="675" t="s">
        <v>3522</v>
      </c>
      <c r="G1006" s="676">
        <v>111.99</v>
      </c>
      <c r="H1006" s="676" t="s">
        <v>1666</v>
      </c>
      <c r="I1006" s="676">
        <v>122.07</v>
      </c>
      <c r="J1006" s="676"/>
      <c r="K1006" s="676" t="s">
        <v>3523</v>
      </c>
      <c r="L1006" s="677"/>
      <c r="M1006" s="678"/>
      <c r="X1006" s="656"/>
      <c r="Y1006" s="657"/>
      <c r="Z1006" s="657"/>
      <c r="AA1006" s="481"/>
      <c r="AC1006" s="456" t="s">
        <v>1664</v>
      </c>
      <c r="AD1006" s="522"/>
      <c r="AE1006" s="699"/>
      <c r="AF1006" s="456"/>
      <c r="AG1006" s="699"/>
      <c r="AH1006" s="481"/>
      <c r="AJ1006" s="481"/>
    </row>
    <row r="1007" spans="1:36" s="454" customFormat="1" ht="23.25" x14ac:dyDescent="0.25">
      <c r="A1007" s="507"/>
      <c r="B1007" s="674" t="s">
        <v>1985</v>
      </c>
      <c r="C1007" s="2672" t="s">
        <v>1986</v>
      </c>
      <c r="D1007" s="2672"/>
      <c r="E1007" s="2672"/>
      <c r="F1007" s="675" t="s">
        <v>3524</v>
      </c>
      <c r="G1007" s="676">
        <v>26.5</v>
      </c>
      <c r="H1007" s="676" t="s">
        <v>1988</v>
      </c>
      <c r="I1007" s="676">
        <v>352.98</v>
      </c>
      <c r="J1007" s="676"/>
      <c r="K1007" s="676" t="s">
        <v>3525</v>
      </c>
      <c r="L1007" s="677"/>
      <c r="M1007" s="678"/>
      <c r="X1007" s="656"/>
      <c r="Y1007" s="657"/>
      <c r="Z1007" s="657"/>
      <c r="AA1007" s="481"/>
      <c r="AC1007" s="456" t="s">
        <v>1986</v>
      </c>
      <c r="AD1007" s="522"/>
      <c r="AE1007" s="699"/>
      <c r="AF1007" s="456"/>
      <c r="AG1007" s="699"/>
      <c r="AH1007" s="481"/>
      <c r="AJ1007" s="481"/>
    </row>
    <row r="1008" spans="1:36" s="454" customFormat="1" ht="34.5" x14ac:dyDescent="0.25">
      <c r="A1008" s="507"/>
      <c r="B1008" s="674" t="s">
        <v>821</v>
      </c>
      <c r="C1008" s="2672" t="s">
        <v>1751</v>
      </c>
      <c r="D1008" s="2672"/>
      <c r="E1008" s="2672"/>
      <c r="F1008" s="675" t="s">
        <v>3526</v>
      </c>
      <c r="G1008" s="676">
        <v>65.709999999999994</v>
      </c>
      <c r="H1008" s="676" t="s">
        <v>1753</v>
      </c>
      <c r="I1008" s="676">
        <v>107.76</v>
      </c>
      <c r="J1008" s="676"/>
      <c r="K1008" s="676" t="s">
        <v>3527</v>
      </c>
      <c r="L1008" s="677"/>
      <c r="M1008" s="678"/>
      <c r="X1008" s="656"/>
      <c r="Y1008" s="657"/>
      <c r="Z1008" s="657"/>
      <c r="AA1008" s="481"/>
      <c r="AC1008" s="456" t="s">
        <v>1751</v>
      </c>
      <c r="AD1008" s="522"/>
      <c r="AE1008" s="699"/>
      <c r="AF1008" s="456"/>
      <c r="AG1008" s="699"/>
      <c r="AH1008" s="481"/>
      <c r="AJ1008" s="481"/>
    </row>
    <row r="1009" spans="1:36" s="454" customFormat="1" ht="23.25" x14ac:dyDescent="0.25">
      <c r="A1009" s="515" t="s">
        <v>863</v>
      </c>
      <c r="B1009" s="686" t="s">
        <v>1992</v>
      </c>
      <c r="C1009" s="2683" t="s">
        <v>1993</v>
      </c>
      <c r="D1009" s="2683"/>
      <c r="E1009" s="2683"/>
      <c r="F1009" s="687" t="s">
        <v>3528</v>
      </c>
      <c r="G1009" s="688">
        <v>0</v>
      </c>
      <c r="H1009" s="688"/>
      <c r="I1009" s="688">
        <v>0</v>
      </c>
      <c r="J1009" s="688"/>
      <c r="K1009" s="688"/>
      <c r="L1009" s="689"/>
      <c r="M1009" s="690"/>
      <c r="X1009" s="656"/>
      <c r="Y1009" s="657"/>
      <c r="Z1009" s="657"/>
      <c r="AA1009" s="481"/>
      <c r="AC1009" s="456"/>
      <c r="AD1009" s="522" t="s">
        <v>1993</v>
      </c>
      <c r="AE1009" s="699"/>
      <c r="AF1009" s="456"/>
      <c r="AG1009" s="699"/>
      <c r="AH1009" s="481"/>
      <c r="AJ1009" s="481"/>
    </row>
    <row r="1010" spans="1:36" s="454" customFormat="1" ht="57" x14ac:dyDescent="0.25">
      <c r="A1010" s="507"/>
      <c r="B1010" s="674" t="s">
        <v>1995</v>
      </c>
      <c r="C1010" s="2672" t="s">
        <v>1996</v>
      </c>
      <c r="D1010" s="2672"/>
      <c r="E1010" s="2672"/>
      <c r="F1010" s="675" t="s">
        <v>3529</v>
      </c>
      <c r="G1010" s="676">
        <v>183.68</v>
      </c>
      <c r="H1010" s="676"/>
      <c r="I1010" s="676">
        <v>299.95</v>
      </c>
      <c r="J1010" s="676"/>
      <c r="K1010" s="676"/>
      <c r="L1010" s="677"/>
      <c r="M1010" s="678"/>
      <c r="X1010" s="656"/>
      <c r="Y1010" s="657"/>
      <c r="Z1010" s="657"/>
      <c r="AA1010" s="481"/>
      <c r="AC1010" s="456" t="s">
        <v>1996</v>
      </c>
      <c r="AD1010" s="522"/>
      <c r="AE1010" s="699"/>
      <c r="AF1010" s="456"/>
      <c r="AG1010" s="699"/>
      <c r="AH1010" s="481"/>
      <c r="AJ1010" s="481"/>
    </row>
    <row r="1011" spans="1:36" s="454" customFormat="1" ht="23.25" x14ac:dyDescent="0.25">
      <c r="A1011" s="515" t="s">
        <v>863</v>
      </c>
      <c r="B1011" s="686" t="s">
        <v>1998</v>
      </c>
      <c r="C1011" s="2683" t="s">
        <v>1999</v>
      </c>
      <c r="D1011" s="2683"/>
      <c r="E1011" s="2683"/>
      <c r="F1011" s="687" t="s">
        <v>3530</v>
      </c>
      <c r="G1011" s="688">
        <v>0</v>
      </c>
      <c r="H1011" s="688"/>
      <c r="I1011" s="688">
        <v>0</v>
      </c>
      <c r="J1011" s="688"/>
      <c r="K1011" s="688"/>
      <c r="L1011" s="689"/>
      <c r="M1011" s="690"/>
      <c r="X1011" s="656"/>
      <c r="Y1011" s="657"/>
      <c r="Z1011" s="657"/>
      <c r="AA1011" s="481"/>
      <c r="AC1011" s="456"/>
      <c r="AD1011" s="522" t="s">
        <v>1999</v>
      </c>
      <c r="AE1011" s="699"/>
      <c r="AF1011" s="456"/>
      <c r="AG1011" s="699"/>
      <c r="AH1011" s="481"/>
      <c r="AJ1011" s="481"/>
    </row>
    <row r="1012" spans="1:36" s="454" customFormat="1" ht="22.5" x14ac:dyDescent="0.25">
      <c r="A1012" s="515" t="s">
        <v>860</v>
      </c>
      <c r="B1012" s="686" t="s">
        <v>2001</v>
      </c>
      <c r="C1012" s="2683" t="s">
        <v>2002</v>
      </c>
      <c r="D1012" s="2683"/>
      <c r="E1012" s="2683"/>
      <c r="F1012" s="687" t="s">
        <v>1935</v>
      </c>
      <c r="G1012" s="688">
        <v>0</v>
      </c>
      <c r="H1012" s="688"/>
      <c r="I1012" s="688">
        <v>0</v>
      </c>
      <c r="J1012" s="688"/>
      <c r="K1012" s="688"/>
      <c r="L1012" s="689"/>
      <c r="M1012" s="690"/>
      <c r="X1012" s="656"/>
      <c r="Y1012" s="657"/>
      <c r="Z1012" s="657"/>
      <c r="AA1012" s="481"/>
      <c r="AC1012" s="456"/>
      <c r="AD1012" s="522" t="s">
        <v>2002</v>
      </c>
      <c r="AE1012" s="699"/>
      <c r="AF1012" s="456"/>
      <c r="AG1012" s="699"/>
      <c r="AH1012" s="481"/>
      <c r="AJ1012" s="481"/>
    </row>
    <row r="1013" spans="1:36" s="454" customFormat="1" ht="45" x14ac:dyDescent="0.25">
      <c r="A1013" s="658" t="s">
        <v>1457</v>
      </c>
      <c r="B1013" s="659" t="s">
        <v>2026</v>
      </c>
      <c r="C1013" s="2673" t="s">
        <v>1254</v>
      </c>
      <c r="D1013" s="2673"/>
      <c r="E1013" s="2673"/>
      <c r="F1013" s="679">
        <v>5.04</v>
      </c>
      <c r="G1013" s="661">
        <v>480</v>
      </c>
      <c r="H1013" s="661"/>
      <c r="I1013" s="661">
        <v>2419</v>
      </c>
      <c r="J1013" s="661"/>
      <c r="K1013" s="662"/>
      <c r="L1013" s="663">
        <v>0</v>
      </c>
      <c r="M1013" s="663">
        <v>0</v>
      </c>
      <c r="X1013" s="656"/>
      <c r="Y1013" s="657"/>
      <c r="Z1013" s="657"/>
      <c r="AA1013" s="481" t="s">
        <v>1254</v>
      </c>
      <c r="AC1013" s="456"/>
      <c r="AD1013" s="522"/>
      <c r="AE1013" s="699"/>
      <c r="AF1013" s="456"/>
      <c r="AG1013" s="699"/>
      <c r="AH1013" s="481"/>
      <c r="AJ1013" s="481"/>
    </row>
    <row r="1014" spans="1:36" s="454" customFormat="1" ht="15" x14ac:dyDescent="0.25">
      <c r="A1014" s="664"/>
      <c r="B1014" s="665"/>
      <c r="C1014" s="666" t="s">
        <v>3531</v>
      </c>
      <c r="D1014" s="667"/>
      <c r="E1014" s="667"/>
      <c r="F1014" s="667"/>
      <c r="G1014" s="667"/>
      <c r="H1014" s="667"/>
      <c r="I1014" s="667"/>
      <c r="J1014" s="667"/>
      <c r="K1014" s="667"/>
      <c r="L1014" s="667"/>
      <c r="M1014" s="668"/>
      <c r="X1014" s="656"/>
      <c r="Y1014" s="657"/>
      <c r="Z1014" s="657"/>
      <c r="AA1014" s="481"/>
      <c r="AC1014" s="456"/>
      <c r="AD1014" s="522"/>
      <c r="AE1014" s="699"/>
      <c r="AF1014" s="456"/>
      <c r="AG1014" s="699"/>
      <c r="AH1014" s="481"/>
      <c r="AJ1014" s="481"/>
    </row>
    <row r="1015" spans="1:36" s="454" customFormat="1" ht="45" x14ac:dyDescent="0.25">
      <c r="A1015" s="658" t="s">
        <v>1459</v>
      </c>
      <c r="B1015" s="659" t="s">
        <v>2028</v>
      </c>
      <c r="C1015" s="2673" t="s">
        <v>1257</v>
      </c>
      <c r="D1015" s="2673"/>
      <c r="E1015" s="2673"/>
      <c r="F1015" s="680">
        <v>3.5</v>
      </c>
      <c r="G1015" s="661">
        <v>2.44</v>
      </c>
      <c r="H1015" s="661"/>
      <c r="I1015" s="661">
        <v>9</v>
      </c>
      <c r="J1015" s="661"/>
      <c r="K1015" s="662"/>
      <c r="L1015" s="663">
        <v>0</v>
      </c>
      <c r="M1015" s="663">
        <v>0</v>
      </c>
      <c r="X1015" s="656"/>
      <c r="Y1015" s="657"/>
      <c r="Z1015" s="657"/>
      <c r="AA1015" s="481" t="s">
        <v>1257</v>
      </c>
      <c r="AC1015" s="456"/>
      <c r="AD1015" s="522"/>
      <c r="AE1015" s="699"/>
      <c r="AF1015" s="456"/>
      <c r="AG1015" s="699"/>
      <c r="AH1015" s="481"/>
      <c r="AJ1015" s="481"/>
    </row>
    <row r="1016" spans="1:36" s="454" customFormat="1" ht="15" x14ac:dyDescent="0.25">
      <c r="A1016" s="664"/>
      <c r="B1016" s="665"/>
      <c r="C1016" s="666" t="s">
        <v>3532</v>
      </c>
      <c r="D1016" s="667"/>
      <c r="E1016" s="667"/>
      <c r="F1016" s="667"/>
      <c r="G1016" s="667"/>
      <c r="H1016" s="667"/>
      <c r="I1016" s="667"/>
      <c r="J1016" s="667"/>
      <c r="K1016" s="667"/>
      <c r="L1016" s="667"/>
      <c r="M1016" s="668"/>
      <c r="X1016" s="656"/>
      <c r="Y1016" s="657"/>
      <c r="Z1016" s="657"/>
      <c r="AA1016" s="481"/>
      <c r="AC1016" s="456"/>
      <c r="AD1016" s="522"/>
      <c r="AE1016" s="699"/>
      <c r="AF1016" s="456"/>
      <c r="AG1016" s="699"/>
      <c r="AH1016" s="481"/>
      <c r="AJ1016" s="481"/>
    </row>
    <row r="1017" spans="1:36" s="454" customFormat="1" ht="45.75" x14ac:dyDescent="0.25">
      <c r="A1017" s="658" t="s">
        <v>1461</v>
      </c>
      <c r="B1017" s="659" t="s">
        <v>2030</v>
      </c>
      <c r="C1017" s="2673" t="s">
        <v>2031</v>
      </c>
      <c r="D1017" s="2673"/>
      <c r="E1017" s="2673"/>
      <c r="F1017" s="679">
        <v>1.68</v>
      </c>
      <c r="G1017" s="661" t="s">
        <v>2032</v>
      </c>
      <c r="H1017" s="661" t="s">
        <v>2033</v>
      </c>
      <c r="I1017" s="661">
        <v>18805</v>
      </c>
      <c r="J1017" s="661">
        <v>2522</v>
      </c>
      <c r="K1017" s="662" t="s">
        <v>3533</v>
      </c>
      <c r="L1017" s="671">
        <v>156.04499999999999</v>
      </c>
      <c r="M1017" s="672">
        <v>262.16000000000003</v>
      </c>
      <c r="X1017" s="656"/>
      <c r="Y1017" s="657"/>
      <c r="Z1017" s="657"/>
      <c r="AA1017" s="481" t="s">
        <v>2031</v>
      </c>
      <c r="AC1017" s="456"/>
      <c r="AD1017" s="522"/>
      <c r="AE1017" s="699"/>
      <c r="AF1017" s="456"/>
      <c r="AG1017" s="699"/>
      <c r="AH1017" s="481"/>
      <c r="AJ1017" s="481"/>
    </row>
    <row r="1018" spans="1:36" s="454" customFormat="1" ht="15" x14ac:dyDescent="0.25">
      <c r="A1018" s="664"/>
      <c r="B1018" s="665"/>
      <c r="C1018" s="666" t="s">
        <v>3534</v>
      </c>
      <c r="D1018" s="667"/>
      <c r="E1018" s="667"/>
      <c r="F1018" s="667"/>
      <c r="G1018" s="667"/>
      <c r="H1018" s="667"/>
      <c r="I1018" s="667"/>
      <c r="J1018" s="667"/>
      <c r="K1018" s="667"/>
      <c r="L1018" s="667"/>
      <c r="M1018" s="668"/>
      <c r="X1018" s="656"/>
      <c r="Y1018" s="657"/>
      <c r="Z1018" s="657"/>
      <c r="AA1018" s="481"/>
      <c r="AC1018" s="456"/>
      <c r="AD1018" s="522"/>
      <c r="AE1018" s="699"/>
      <c r="AF1018" s="456"/>
      <c r="AG1018" s="699"/>
      <c r="AH1018" s="481"/>
      <c r="AJ1018" s="481"/>
    </row>
    <row r="1019" spans="1:36" s="454" customFormat="1" ht="15" x14ac:dyDescent="0.25">
      <c r="A1019" s="542"/>
      <c r="B1019" s="665"/>
      <c r="C1019" s="666" t="s">
        <v>2036</v>
      </c>
      <c r="D1019" s="667"/>
      <c r="E1019" s="667"/>
      <c r="F1019" s="667"/>
      <c r="G1019" s="667"/>
      <c r="H1019" s="667"/>
      <c r="I1019" s="667"/>
      <c r="J1019" s="667"/>
      <c r="K1019" s="667"/>
      <c r="L1019" s="667"/>
      <c r="M1019" s="669"/>
      <c r="X1019" s="656"/>
      <c r="Y1019" s="657"/>
      <c r="Z1019" s="657"/>
      <c r="AA1019" s="481"/>
      <c r="AC1019" s="456"/>
      <c r="AD1019" s="522"/>
      <c r="AE1019" s="699"/>
      <c r="AF1019" s="456"/>
      <c r="AG1019" s="699"/>
      <c r="AH1019" s="481"/>
      <c r="AJ1019" s="481"/>
    </row>
    <row r="1020" spans="1:36" s="454" customFormat="1" ht="33.75" x14ac:dyDescent="0.25">
      <c r="A1020" s="542"/>
      <c r="B1020" s="673" t="s">
        <v>1655</v>
      </c>
      <c r="C1020" s="2670" t="s">
        <v>1656</v>
      </c>
      <c r="D1020" s="2670"/>
      <c r="E1020" s="2670"/>
      <c r="F1020" s="2670"/>
      <c r="G1020" s="2670"/>
      <c r="H1020" s="2670"/>
      <c r="I1020" s="2670"/>
      <c r="J1020" s="2670"/>
      <c r="K1020" s="2670"/>
      <c r="L1020" s="2670"/>
      <c r="M1020" s="2671"/>
      <c r="X1020" s="656"/>
      <c r="Y1020" s="657"/>
      <c r="Z1020" s="657"/>
      <c r="AA1020" s="481"/>
      <c r="AB1020" s="491" t="s">
        <v>1656</v>
      </c>
      <c r="AC1020" s="456"/>
      <c r="AD1020" s="522"/>
      <c r="AE1020" s="699"/>
      <c r="AF1020" s="456"/>
      <c r="AG1020" s="699"/>
      <c r="AH1020" s="481"/>
      <c r="AJ1020" s="481"/>
    </row>
    <row r="1021" spans="1:36" s="454" customFormat="1" ht="15" x14ac:dyDescent="0.25">
      <c r="A1021" s="823"/>
      <c r="B1021" s="824"/>
      <c r="C1021" s="824"/>
      <c r="D1021" s="824"/>
      <c r="E1021" s="825" t="s">
        <v>3535</v>
      </c>
      <c r="F1021" s="826"/>
      <c r="G1021" s="827"/>
      <c r="H1021" s="648"/>
      <c r="I1021" s="828">
        <v>3522</v>
      </c>
      <c r="J1021" s="829"/>
      <c r="K1021" s="829"/>
      <c r="L1021" s="830"/>
      <c r="M1021" s="831"/>
      <c r="X1021" s="656"/>
      <c r="Y1021" s="657"/>
      <c r="Z1021" s="657"/>
      <c r="AA1021" s="481"/>
      <c r="AC1021" s="456"/>
      <c r="AD1021" s="522"/>
      <c r="AE1021" s="699"/>
      <c r="AF1021" s="456"/>
      <c r="AG1021" s="699"/>
      <c r="AH1021" s="481"/>
      <c r="AJ1021" s="481"/>
    </row>
    <row r="1022" spans="1:36" s="454" customFormat="1" ht="15" x14ac:dyDescent="0.25">
      <c r="A1022" s="823"/>
      <c r="B1022" s="824"/>
      <c r="C1022" s="824"/>
      <c r="D1022" s="824"/>
      <c r="E1022" s="825" t="s">
        <v>3536</v>
      </c>
      <c r="F1022" s="826"/>
      <c r="G1022" s="827"/>
      <c r="H1022" s="648"/>
      <c r="I1022" s="828">
        <v>2429</v>
      </c>
      <c r="J1022" s="829"/>
      <c r="K1022" s="829"/>
      <c r="L1022" s="830"/>
      <c r="M1022" s="831"/>
      <c r="X1022" s="656"/>
      <c r="Y1022" s="657"/>
      <c r="Z1022" s="657"/>
      <c r="AA1022" s="481"/>
      <c r="AC1022" s="456"/>
      <c r="AD1022" s="522"/>
      <c r="AE1022" s="699"/>
      <c r="AF1022" s="456"/>
      <c r="AG1022" s="699"/>
      <c r="AH1022" s="481"/>
      <c r="AJ1022" s="481"/>
    </row>
    <row r="1023" spans="1:36" s="454" customFormat="1" ht="15" x14ac:dyDescent="0.25">
      <c r="A1023" s="823"/>
      <c r="B1023" s="824"/>
      <c r="C1023" s="824"/>
      <c r="D1023" s="824"/>
      <c r="E1023" s="825" t="s">
        <v>2692</v>
      </c>
      <c r="F1023" s="826"/>
      <c r="G1023" s="827"/>
      <c r="H1023" s="648"/>
      <c r="I1023" s="828">
        <v>24756</v>
      </c>
      <c r="J1023" s="829"/>
      <c r="K1023" s="829"/>
      <c r="L1023" s="830"/>
      <c r="M1023" s="831"/>
      <c r="X1023" s="656"/>
      <c r="Y1023" s="657"/>
      <c r="Z1023" s="657"/>
      <c r="AA1023" s="481"/>
      <c r="AC1023" s="456"/>
      <c r="AD1023" s="522"/>
      <c r="AE1023" s="699"/>
      <c r="AF1023" s="456"/>
      <c r="AG1023" s="699"/>
      <c r="AH1023" s="481"/>
      <c r="AJ1023" s="481"/>
    </row>
    <row r="1024" spans="1:36" s="454" customFormat="1" ht="23.25" x14ac:dyDescent="0.25">
      <c r="A1024" s="507"/>
      <c r="B1024" s="674" t="s">
        <v>1883</v>
      </c>
      <c r="C1024" s="2672" t="s">
        <v>1884</v>
      </c>
      <c r="D1024" s="2672"/>
      <c r="E1024" s="2672"/>
      <c r="F1024" s="675" t="s">
        <v>3537</v>
      </c>
      <c r="G1024" s="676" t="s">
        <v>1886</v>
      </c>
      <c r="H1024" s="676"/>
      <c r="I1024" s="676">
        <v>2521.98</v>
      </c>
      <c r="J1024" s="676">
        <v>2521.98</v>
      </c>
      <c r="K1024" s="676"/>
      <c r="L1024" s="677"/>
      <c r="M1024" s="678"/>
      <c r="X1024" s="656"/>
      <c r="Y1024" s="657"/>
      <c r="Z1024" s="657"/>
      <c r="AA1024" s="481"/>
      <c r="AC1024" s="456" t="s">
        <v>1884</v>
      </c>
      <c r="AD1024" s="522"/>
      <c r="AE1024" s="699"/>
      <c r="AF1024" s="456"/>
      <c r="AG1024" s="699"/>
      <c r="AH1024" s="481"/>
      <c r="AJ1024" s="481"/>
    </row>
    <row r="1025" spans="1:36" s="454" customFormat="1" ht="23.25" x14ac:dyDescent="0.25">
      <c r="A1025" s="507"/>
      <c r="B1025" s="674" t="s">
        <v>639</v>
      </c>
      <c r="C1025" s="2672" t="s">
        <v>1661</v>
      </c>
      <c r="D1025" s="2672"/>
      <c r="E1025" s="2672"/>
      <c r="F1025" s="675" t="s">
        <v>3538</v>
      </c>
      <c r="G1025" s="676">
        <v>0</v>
      </c>
      <c r="H1025" s="676">
        <v>0</v>
      </c>
      <c r="I1025" s="676">
        <v>0</v>
      </c>
      <c r="J1025" s="676"/>
      <c r="K1025" s="676">
        <v>0</v>
      </c>
      <c r="L1025" s="677"/>
      <c r="M1025" s="678"/>
      <c r="X1025" s="656"/>
      <c r="Y1025" s="657"/>
      <c r="Z1025" s="657"/>
      <c r="AA1025" s="481"/>
      <c r="AC1025" s="456" t="s">
        <v>1661</v>
      </c>
      <c r="AD1025" s="522"/>
      <c r="AE1025" s="699"/>
      <c r="AF1025" s="456"/>
      <c r="AG1025" s="699"/>
      <c r="AH1025" s="481"/>
      <c r="AJ1025" s="481"/>
    </row>
    <row r="1026" spans="1:36" s="454" customFormat="1" ht="45.75" x14ac:dyDescent="0.25">
      <c r="A1026" s="507"/>
      <c r="B1026" s="674" t="s">
        <v>2039</v>
      </c>
      <c r="C1026" s="2672" t="s">
        <v>2040</v>
      </c>
      <c r="D1026" s="2672"/>
      <c r="E1026" s="2672"/>
      <c r="F1026" s="675" t="s">
        <v>3539</v>
      </c>
      <c r="G1026" s="676">
        <v>179.46</v>
      </c>
      <c r="H1026" s="676" t="s">
        <v>2042</v>
      </c>
      <c r="I1026" s="676">
        <v>2173.2600000000002</v>
      </c>
      <c r="J1026" s="676"/>
      <c r="K1026" s="676" t="s">
        <v>3540</v>
      </c>
      <c r="L1026" s="677"/>
      <c r="M1026" s="678"/>
      <c r="X1026" s="656"/>
      <c r="Y1026" s="657"/>
      <c r="Z1026" s="657"/>
      <c r="AA1026" s="481"/>
      <c r="AC1026" s="456" t="s">
        <v>2040</v>
      </c>
      <c r="AD1026" s="522"/>
      <c r="AE1026" s="699"/>
      <c r="AF1026" s="456"/>
      <c r="AG1026" s="699"/>
      <c r="AH1026" s="481"/>
      <c r="AJ1026" s="481"/>
    </row>
    <row r="1027" spans="1:36" s="454" customFormat="1" ht="34.5" x14ac:dyDescent="0.25">
      <c r="A1027" s="507"/>
      <c r="B1027" s="674" t="s">
        <v>1663</v>
      </c>
      <c r="C1027" s="2672" t="s">
        <v>1664</v>
      </c>
      <c r="D1027" s="2672"/>
      <c r="E1027" s="2672"/>
      <c r="F1027" s="675" t="s">
        <v>3541</v>
      </c>
      <c r="G1027" s="676">
        <v>111.99</v>
      </c>
      <c r="H1027" s="676" t="s">
        <v>1666</v>
      </c>
      <c r="I1027" s="676">
        <v>35.840000000000003</v>
      </c>
      <c r="J1027" s="676"/>
      <c r="K1027" s="676" t="s">
        <v>3542</v>
      </c>
      <c r="L1027" s="677"/>
      <c r="M1027" s="678"/>
      <c r="X1027" s="656"/>
      <c r="Y1027" s="657"/>
      <c r="Z1027" s="657"/>
      <c r="AA1027" s="481"/>
      <c r="AC1027" s="456" t="s">
        <v>1664</v>
      </c>
      <c r="AD1027" s="522"/>
      <c r="AE1027" s="699"/>
      <c r="AF1027" s="456"/>
      <c r="AG1027" s="699"/>
      <c r="AH1027" s="481"/>
      <c r="AJ1027" s="481"/>
    </row>
    <row r="1028" spans="1:36" s="454" customFormat="1" ht="34.5" x14ac:dyDescent="0.25">
      <c r="A1028" s="507"/>
      <c r="B1028" s="674" t="s">
        <v>2046</v>
      </c>
      <c r="C1028" s="2672" t="s">
        <v>2047</v>
      </c>
      <c r="D1028" s="2672"/>
      <c r="E1028" s="2672"/>
      <c r="F1028" s="675" t="s">
        <v>3543</v>
      </c>
      <c r="G1028" s="676">
        <v>6.9</v>
      </c>
      <c r="H1028" s="676" t="s">
        <v>2049</v>
      </c>
      <c r="I1028" s="676">
        <v>43.33</v>
      </c>
      <c r="J1028" s="676"/>
      <c r="K1028" s="676" t="s">
        <v>3544</v>
      </c>
      <c r="L1028" s="677"/>
      <c r="M1028" s="678"/>
      <c r="X1028" s="656"/>
      <c r="Y1028" s="657"/>
      <c r="Z1028" s="657"/>
      <c r="AA1028" s="481"/>
      <c r="AC1028" s="456" t="s">
        <v>2047</v>
      </c>
      <c r="AD1028" s="522"/>
      <c r="AE1028" s="699"/>
      <c r="AF1028" s="456"/>
      <c r="AG1028" s="699"/>
      <c r="AH1028" s="481"/>
      <c r="AJ1028" s="481"/>
    </row>
    <row r="1029" spans="1:36" s="454" customFormat="1" ht="34.5" x14ac:dyDescent="0.25">
      <c r="A1029" s="507"/>
      <c r="B1029" s="674" t="s">
        <v>2051</v>
      </c>
      <c r="C1029" s="2672" t="s">
        <v>2052</v>
      </c>
      <c r="D1029" s="2672"/>
      <c r="E1029" s="2672"/>
      <c r="F1029" s="675" t="s">
        <v>3545</v>
      </c>
      <c r="G1029" s="676">
        <v>80.349999999999994</v>
      </c>
      <c r="H1029" s="676" t="s">
        <v>2054</v>
      </c>
      <c r="I1029" s="676">
        <v>5005</v>
      </c>
      <c r="J1029" s="676"/>
      <c r="K1029" s="676" t="s">
        <v>3546</v>
      </c>
      <c r="L1029" s="677"/>
      <c r="M1029" s="678"/>
      <c r="X1029" s="656"/>
      <c r="Y1029" s="657"/>
      <c r="Z1029" s="657"/>
      <c r="AA1029" s="481"/>
      <c r="AC1029" s="456" t="s">
        <v>2052</v>
      </c>
      <c r="AD1029" s="522"/>
      <c r="AE1029" s="699"/>
      <c r="AF1029" s="456"/>
      <c r="AG1029" s="699"/>
      <c r="AH1029" s="481"/>
      <c r="AJ1029" s="481"/>
    </row>
    <row r="1030" spans="1:36" s="454" customFormat="1" ht="34.5" x14ac:dyDescent="0.25">
      <c r="A1030" s="507"/>
      <c r="B1030" s="674" t="s">
        <v>821</v>
      </c>
      <c r="C1030" s="2672" t="s">
        <v>1751</v>
      </c>
      <c r="D1030" s="2672"/>
      <c r="E1030" s="2672"/>
      <c r="F1030" s="675" t="s">
        <v>3547</v>
      </c>
      <c r="G1030" s="676">
        <v>65.709999999999994</v>
      </c>
      <c r="H1030" s="676" t="s">
        <v>1753</v>
      </c>
      <c r="I1030" s="676">
        <v>48.63</v>
      </c>
      <c r="J1030" s="676"/>
      <c r="K1030" s="676" t="s">
        <v>3548</v>
      </c>
      <c r="L1030" s="677"/>
      <c r="M1030" s="678"/>
      <c r="X1030" s="656"/>
      <c r="Y1030" s="657"/>
      <c r="Z1030" s="657"/>
      <c r="AA1030" s="481"/>
      <c r="AC1030" s="456" t="s">
        <v>1751</v>
      </c>
      <c r="AD1030" s="522"/>
      <c r="AE1030" s="699"/>
      <c r="AF1030" s="456"/>
      <c r="AG1030" s="699"/>
      <c r="AH1030" s="481"/>
      <c r="AJ1030" s="481"/>
    </row>
    <row r="1031" spans="1:36" s="454" customFormat="1" ht="23.25" x14ac:dyDescent="0.25">
      <c r="A1031" s="515" t="s">
        <v>860</v>
      </c>
      <c r="B1031" s="686" t="s">
        <v>1755</v>
      </c>
      <c r="C1031" s="2683" t="s">
        <v>1257</v>
      </c>
      <c r="D1031" s="2683"/>
      <c r="E1031" s="2683"/>
      <c r="F1031" s="687" t="s">
        <v>1935</v>
      </c>
      <c r="G1031" s="688">
        <v>2.44</v>
      </c>
      <c r="H1031" s="688"/>
      <c r="I1031" s="688">
        <v>0</v>
      </c>
      <c r="J1031" s="688"/>
      <c r="K1031" s="688"/>
      <c r="L1031" s="689"/>
      <c r="M1031" s="690"/>
      <c r="X1031" s="656"/>
      <c r="Y1031" s="657"/>
      <c r="Z1031" s="657"/>
      <c r="AA1031" s="481"/>
      <c r="AC1031" s="456"/>
      <c r="AD1031" s="522" t="s">
        <v>1257</v>
      </c>
      <c r="AE1031" s="699"/>
      <c r="AF1031" s="456"/>
      <c r="AG1031" s="699"/>
      <c r="AH1031" s="481"/>
      <c r="AJ1031" s="481"/>
    </row>
    <row r="1032" spans="1:36" s="454" customFormat="1" ht="23.25" x14ac:dyDescent="0.25">
      <c r="A1032" s="507"/>
      <c r="B1032" s="674" t="s">
        <v>2058</v>
      </c>
      <c r="C1032" s="2672" t="s">
        <v>2059</v>
      </c>
      <c r="D1032" s="2672"/>
      <c r="E1032" s="2672"/>
      <c r="F1032" s="675" t="s">
        <v>3549</v>
      </c>
      <c r="G1032" s="676">
        <v>30030</v>
      </c>
      <c r="H1032" s="676"/>
      <c r="I1032" s="676">
        <v>3</v>
      </c>
      <c r="J1032" s="676"/>
      <c r="K1032" s="676"/>
      <c r="L1032" s="677"/>
      <c r="M1032" s="678"/>
      <c r="X1032" s="656"/>
      <c r="Y1032" s="657"/>
      <c r="Z1032" s="657"/>
      <c r="AA1032" s="481"/>
      <c r="AC1032" s="456" t="s">
        <v>2059</v>
      </c>
      <c r="AD1032" s="522"/>
      <c r="AE1032" s="699"/>
      <c r="AF1032" s="456"/>
      <c r="AG1032" s="699"/>
      <c r="AH1032" s="481"/>
      <c r="AJ1032" s="481"/>
    </row>
    <row r="1033" spans="1:36" s="454" customFormat="1" ht="23.25" x14ac:dyDescent="0.25">
      <c r="A1033" s="507"/>
      <c r="B1033" s="674" t="s">
        <v>1823</v>
      </c>
      <c r="C1033" s="2672" t="s">
        <v>1824</v>
      </c>
      <c r="D1033" s="2672"/>
      <c r="E1033" s="2672"/>
      <c r="F1033" s="675" t="s">
        <v>3550</v>
      </c>
      <c r="G1033" s="676">
        <v>9040.01</v>
      </c>
      <c r="H1033" s="676"/>
      <c r="I1033" s="676">
        <v>30.74</v>
      </c>
      <c r="J1033" s="676"/>
      <c r="K1033" s="676"/>
      <c r="L1033" s="677"/>
      <c r="M1033" s="678"/>
      <c r="X1033" s="656"/>
      <c r="Y1033" s="657"/>
      <c r="Z1033" s="657"/>
      <c r="AA1033" s="481"/>
      <c r="AC1033" s="456" t="s">
        <v>1824</v>
      </c>
      <c r="AD1033" s="522"/>
      <c r="AE1033" s="699"/>
      <c r="AF1033" s="456"/>
      <c r="AG1033" s="699"/>
      <c r="AH1033" s="481"/>
      <c r="AJ1033" s="481"/>
    </row>
    <row r="1034" spans="1:36" s="454" customFormat="1" ht="45.75" x14ac:dyDescent="0.25">
      <c r="A1034" s="507"/>
      <c r="B1034" s="674" t="s">
        <v>2062</v>
      </c>
      <c r="C1034" s="2672" t="s">
        <v>2063</v>
      </c>
      <c r="D1034" s="2672"/>
      <c r="E1034" s="2672"/>
      <c r="F1034" s="675" t="s">
        <v>3551</v>
      </c>
      <c r="G1034" s="676">
        <v>67.099999999999994</v>
      </c>
      <c r="H1034" s="676"/>
      <c r="I1034" s="676">
        <v>112.73</v>
      </c>
      <c r="J1034" s="676"/>
      <c r="K1034" s="676"/>
      <c r="L1034" s="677"/>
      <c r="M1034" s="678"/>
      <c r="X1034" s="656"/>
      <c r="Y1034" s="657"/>
      <c r="Z1034" s="657"/>
      <c r="AA1034" s="481"/>
      <c r="AC1034" s="456" t="s">
        <v>2063</v>
      </c>
      <c r="AD1034" s="522"/>
      <c r="AE1034" s="699"/>
      <c r="AF1034" s="456"/>
      <c r="AG1034" s="699"/>
      <c r="AH1034" s="481"/>
      <c r="AJ1034" s="481"/>
    </row>
    <row r="1035" spans="1:36" s="454" customFormat="1" ht="23.25" x14ac:dyDescent="0.25">
      <c r="A1035" s="515" t="s">
        <v>860</v>
      </c>
      <c r="B1035" s="686" t="s">
        <v>2065</v>
      </c>
      <c r="C1035" s="2683" t="s">
        <v>2066</v>
      </c>
      <c r="D1035" s="2683"/>
      <c r="E1035" s="2683"/>
      <c r="F1035" s="687" t="s">
        <v>1935</v>
      </c>
      <c r="G1035" s="688">
        <v>0</v>
      </c>
      <c r="H1035" s="688"/>
      <c r="I1035" s="688">
        <v>0</v>
      </c>
      <c r="J1035" s="688"/>
      <c r="K1035" s="688"/>
      <c r="L1035" s="689"/>
      <c r="M1035" s="690"/>
      <c r="X1035" s="656"/>
      <c r="Y1035" s="657"/>
      <c r="Z1035" s="657"/>
      <c r="AA1035" s="481"/>
      <c r="AC1035" s="456"/>
      <c r="AD1035" s="522" t="s">
        <v>2066</v>
      </c>
      <c r="AE1035" s="699"/>
      <c r="AF1035" s="456"/>
      <c r="AG1035" s="699"/>
      <c r="AH1035" s="481"/>
      <c r="AJ1035" s="481"/>
    </row>
    <row r="1036" spans="1:36" s="454" customFormat="1" ht="34.5" x14ac:dyDescent="0.25">
      <c r="A1036" s="515" t="s">
        <v>860</v>
      </c>
      <c r="B1036" s="686" t="s">
        <v>2067</v>
      </c>
      <c r="C1036" s="2683" t="s">
        <v>2068</v>
      </c>
      <c r="D1036" s="2683"/>
      <c r="E1036" s="2683"/>
      <c r="F1036" s="687" t="s">
        <v>1935</v>
      </c>
      <c r="G1036" s="688">
        <v>412</v>
      </c>
      <c r="H1036" s="688"/>
      <c r="I1036" s="688">
        <v>0</v>
      </c>
      <c r="J1036" s="688"/>
      <c r="K1036" s="688"/>
      <c r="L1036" s="689"/>
      <c r="M1036" s="690"/>
      <c r="X1036" s="656"/>
      <c r="Y1036" s="657"/>
      <c r="Z1036" s="657"/>
      <c r="AA1036" s="481"/>
      <c r="AC1036" s="456"/>
      <c r="AD1036" s="522" t="s">
        <v>2068</v>
      </c>
      <c r="AE1036" s="699"/>
      <c r="AF1036" s="456"/>
      <c r="AG1036" s="699"/>
      <c r="AH1036" s="481"/>
      <c r="AJ1036" s="481"/>
    </row>
    <row r="1037" spans="1:36" s="454" customFormat="1" ht="45.75" x14ac:dyDescent="0.25">
      <c r="A1037" s="507" t="s">
        <v>2069</v>
      </c>
      <c r="B1037" s="674" t="s">
        <v>2070</v>
      </c>
      <c r="C1037" s="2672" t="s">
        <v>2071</v>
      </c>
      <c r="D1037" s="2672"/>
      <c r="E1037" s="2672"/>
      <c r="F1037" s="675" t="s">
        <v>3552</v>
      </c>
      <c r="G1037" s="676">
        <v>1553</v>
      </c>
      <c r="H1037" s="676"/>
      <c r="I1037" s="676">
        <v>3391.75</v>
      </c>
      <c r="J1037" s="676"/>
      <c r="K1037" s="676"/>
      <c r="L1037" s="677"/>
      <c r="M1037" s="678"/>
      <c r="X1037" s="656"/>
      <c r="Y1037" s="657"/>
      <c r="Z1037" s="657"/>
      <c r="AA1037" s="481"/>
      <c r="AC1037" s="456"/>
      <c r="AD1037" s="522"/>
      <c r="AE1037" s="699"/>
      <c r="AF1037" s="456" t="s">
        <v>2071</v>
      </c>
      <c r="AG1037" s="699"/>
      <c r="AH1037" s="481"/>
      <c r="AJ1037" s="481"/>
    </row>
    <row r="1038" spans="1:36" s="454" customFormat="1" ht="45.75" x14ac:dyDescent="0.25">
      <c r="A1038" s="693" t="s">
        <v>1936</v>
      </c>
      <c r="B1038" s="694" t="s">
        <v>2070</v>
      </c>
      <c r="C1038" s="2684" t="s">
        <v>2071</v>
      </c>
      <c r="D1038" s="2684"/>
      <c r="E1038" s="2684"/>
      <c r="F1038" s="695" t="s">
        <v>3553</v>
      </c>
      <c r="G1038" s="696">
        <v>1553</v>
      </c>
      <c r="H1038" s="696"/>
      <c r="I1038" s="696">
        <v>33917.519999999997</v>
      </c>
      <c r="J1038" s="696"/>
      <c r="K1038" s="696"/>
      <c r="L1038" s="697"/>
      <c r="M1038" s="698"/>
      <c r="X1038" s="656"/>
      <c r="Y1038" s="657"/>
      <c r="Z1038" s="657"/>
      <c r="AA1038" s="481"/>
      <c r="AC1038" s="456"/>
      <c r="AD1038" s="522"/>
      <c r="AE1038" s="699"/>
      <c r="AF1038" s="456"/>
      <c r="AG1038" s="699" t="s">
        <v>2071</v>
      </c>
      <c r="AH1038" s="481"/>
      <c r="AJ1038" s="481"/>
    </row>
    <row r="1039" spans="1:36" s="454" customFormat="1" ht="23.25" x14ac:dyDescent="0.25">
      <c r="A1039" s="515" t="s">
        <v>863</v>
      </c>
      <c r="B1039" s="686" t="s">
        <v>2074</v>
      </c>
      <c r="C1039" s="2683" t="s">
        <v>2075</v>
      </c>
      <c r="D1039" s="2683"/>
      <c r="E1039" s="2683"/>
      <c r="F1039" s="687" t="s">
        <v>3554</v>
      </c>
      <c r="G1039" s="688">
        <v>0</v>
      </c>
      <c r="H1039" s="688"/>
      <c r="I1039" s="688">
        <v>0</v>
      </c>
      <c r="J1039" s="688"/>
      <c r="K1039" s="688"/>
      <c r="L1039" s="689"/>
      <c r="M1039" s="690"/>
      <c r="X1039" s="656"/>
      <c r="Y1039" s="657"/>
      <c r="Z1039" s="657"/>
      <c r="AA1039" s="481"/>
      <c r="AC1039" s="456"/>
      <c r="AD1039" s="522" t="s">
        <v>2075</v>
      </c>
      <c r="AE1039" s="699"/>
      <c r="AF1039" s="456"/>
      <c r="AG1039" s="699"/>
      <c r="AH1039" s="481"/>
      <c r="AJ1039" s="481"/>
    </row>
    <row r="1040" spans="1:36" s="454" customFormat="1" ht="23.25" x14ac:dyDescent="0.25">
      <c r="A1040" s="507"/>
      <c r="B1040" s="674" t="s">
        <v>2077</v>
      </c>
      <c r="C1040" s="2672" t="s">
        <v>2078</v>
      </c>
      <c r="D1040" s="2672"/>
      <c r="E1040" s="2672"/>
      <c r="F1040" s="675" t="s">
        <v>3555</v>
      </c>
      <c r="G1040" s="676">
        <v>176.1</v>
      </c>
      <c r="H1040" s="676"/>
      <c r="I1040" s="676">
        <v>236.68</v>
      </c>
      <c r="J1040" s="676"/>
      <c r="K1040" s="676"/>
      <c r="L1040" s="677"/>
      <c r="M1040" s="678"/>
      <c r="X1040" s="656"/>
      <c r="Y1040" s="657"/>
      <c r="Z1040" s="657"/>
      <c r="AA1040" s="481"/>
      <c r="AC1040" s="456" t="s">
        <v>2078</v>
      </c>
      <c r="AD1040" s="522"/>
      <c r="AE1040" s="699"/>
      <c r="AF1040" s="456"/>
      <c r="AG1040" s="699"/>
      <c r="AH1040" s="481"/>
      <c r="AJ1040" s="481"/>
    </row>
    <row r="1041" spans="1:36" s="454" customFormat="1" ht="23.25" x14ac:dyDescent="0.25">
      <c r="A1041" s="507"/>
      <c r="B1041" s="674" t="s">
        <v>2080</v>
      </c>
      <c r="C1041" s="2672" t="s">
        <v>2081</v>
      </c>
      <c r="D1041" s="2672"/>
      <c r="E1041" s="2672"/>
      <c r="F1041" s="675" t="s">
        <v>3556</v>
      </c>
      <c r="G1041" s="676">
        <v>207.8</v>
      </c>
      <c r="H1041" s="676"/>
      <c r="I1041" s="676">
        <v>272.22000000000003</v>
      </c>
      <c r="J1041" s="676"/>
      <c r="K1041" s="676"/>
      <c r="L1041" s="677"/>
      <c r="M1041" s="678"/>
      <c r="X1041" s="656"/>
      <c r="Y1041" s="657"/>
      <c r="Z1041" s="657"/>
      <c r="AA1041" s="481"/>
      <c r="AC1041" s="456" t="s">
        <v>2081</v>
      </c>
      <c r="AD1041" s="522"/>
      <c r="AE1041" s="699"/>
      <c r="AF1041" s="456"/>
      <c r="AG1041" s="699"/>
      <c r="AH1041" s="481"/>
      <c r="AJ1041" s="481"/>
    </row>
    <row r="1042" spans="1:36" s="454" customFormat="1" ht="23.25" x14ac:dyDescent="0.25">
      <c r="A1042" s="507"/>
      <c r="B1042" s="674" t="s">
        <v>2083</v>
      </c>
      <c r="C1042" s="2672" t="s">
        <v>2084</v>
      </c>
      <c r="D1042" s="2672"/>
      <c r="E1042" s="2672"/>
      <c r="F1042" s="675" t="s">
        <v>3557</v>
      </c>
      <c r="G1042" s="676">
        <v>3468.64</v>
      </c>
      <c r="H1042" s="676"/>
      <c r="I1042" s="676">
        <v>1165.46</v>
      </c>
      <c r="J1042" s="676"/>
      <c r="K1042" s="676"/>
      <c r="L1042" s="677"/>
      <c r="M1042" s="678"/>
      <c r="X1042" s="656"/>
      <c r="Y1042" s="657"/>
      <c r="Z1042" s="657"/>
      <c r="AA1042" s="481"/>
      <c r="AC1042" s="456" t="s">
        <v>2084</v>
      </c>
      <c r="AD1042" s="522"/>
      <c r="AE1042" s="699"/>
      <c r="AF1042" s="456"/>
      <c r="AG1042" s="699"/>
      <c r="AH1042" s="481"/>
      <c r="AJ1042" s="481"/>
    </row>
    <row r="1043" spans="1:36" s="454" customFormat="1" ht="23.25" x14ac:dyDescent="0.25">
      <c r="A1043" s="515" t="s">
        <v>863</v>
      </c>
      <c r="B1043" s="686" t="s">
        <v>2086</v>
      </c>
      <c r="C1043" s="2683" t="s">
        <v>2087</v>
      </c>
      <c r="D1043" s="2683"/>
      <c r="E1043" s="2683"/>
      <c r="F1043" s="687" t="s">
        <v>3558</v>
      </c>
      <c r="G1043" s="688">
        <v>0</v>
      </c>
      <c r="H1043" s="688"/>
      <c r="I1043" s="688">
        <v>0</v>
      </c>
      <c r="J1043" s="688"/>
      <c r="K1043" s="688"/>
      <c r="L1043" s="689"/>
      <c r="M1043" s="690"/>
      <c r="X1043" s="656"/>
      <c r="Y1043" s="657"/>
      <c r="Z1043" s="657"/>
      <c r="AA1043" s="481"/>
      <c r="AC1043" s="456"/>
      <c r="AD1043" s="522" t="s">
        <v>2087</v>
      </c>
      <c r="AE1043" s="699"/>
      <c r="AF1043" s="456"/>
      <c r="AG1043" s="699"/>
      <c r="AH1043" s="481"/>
      <c r="AJ1043" s="481"/>
    </row>
    <row r="1044" spans="1:36" s="454" customFormat="1" ht="34.5" x14ac:dyDescent="0.25">
      <c r="A1044" s="507"/>
      <c r="B1044" s="674" t="s">
        <v>2089</v>
      </c>
      <c r="C1044" s="2672" t="s">
        <v>2090</v>
      </c>
      <c r="D1044" s="2672"/>
      <c r="E1044" s="2672"/>
      <c r="F1044" s="675" t="s">
        <v>3559</v>
      </c>
      <c r="G1044" s="676">
        <v>11.99</v>
      </c>
      <c r="H1044" s="676"/>
      <c r="I1044" s="676">
        <v>60.43</v>
      </c>
      <c r="J1044" s="676"/>
      <c r="K1044" s="676"/>
      <c r="L1044" s="677"/>
      <c r="M1044" s="678"/>
      <c r="X1044" s="656"/>
      <c r="Y1044" s="657"/>
      <c r="Z1044" s="657"/>
      <c r="AA1044" s="481"/>
      <c r="AC1044" s="456" t="s">
        <v>2090</v>
      </c>
      <c r="AD1044" s="522"/>
      <c r="AE1044" s="699"/>
      <c r="AF1044" s="456"/>
      <c r="AG1044" s="699"/>
      <c r="AH1044" s="481"/>
      <c r="AJ1044" s="481"/>
    </row>
    <row r="1045" spans="1:36" s="454" customFormat="1" ht="45.75" x14ac:dyDescent="0.25">
      <c r="A1045" s="507"/>
      <c r="B1045" s="674" t="s">
        <v>2092</v>
      </c>
      <c r="C1045" s="2672" t="s">
        <v>2093</v>
      </c>
      <c r="D1045" s="2672"/>
      <c r="E1045" s="2672"/>
      <c r="F1045" s="675" t="s">
        <v>3560</v>
      </c>
      <c r="G1045" s="676">
        <v>272.62</v>
      </c>
      <c r="H1045" s="676"/>
      <c r="I1045" s="676">
        <v>22.9</v>
      </c>
      <c r="J1045" s="676"/>
      <c r="K1045" s="676"/>
      <c r="L1045" s="677"/>
      <c r="M1045" s="678"/>
      <c r="X1045" s="656"/>
      <c r="Y1045" s="657"/>
      <c r="Z1045" s="657"/>
      <c r="AA1045" s="481"/>
      <c r="AC1045" s="456" t="s">
        <v>2093</v>
      </c>
      <c r="AD1045" s="522"/>
      <c r="AE1045" s="699"/>
      <c r="AF1045" s="456"/>
      <c r="AG1045" s="699"/>
      <c r="AH1045" s="481"/>
      <c r="AJ1045" s="481"/>
    </row>
    <row r="1046" spans="1:36" s="454" customFormat="1" ht="57" x14ac:dyDescent="0.25">
      <c r="A1046" s="507"/>
      <c r="B1046" s="674" t="s">
        <v>2095</v>
      </c>
      <c r="C1046" s="2672" t="s">
        <v>2096</v>
      </c>
      <c r="D1046" s="2672"/>
      <c r="E1046" s="2672"/>
      <c r="F1046" s="675" t="s">
        <v>3561</v>
      </c>
      <c r="G1046" s="676">
        <v>156.83000000000001</v>
      </c>
      <c r="H1046" s="676"/>
      <c r="I1046" s="676">
        <v>26.35</v>
      </c>
      <c r="J1046" s="676"/>
      <c r="K1046" s="676"/>
      <c r="L1046" s="677"/>
      <c r="M1046" s="678"/>
      <c r="X1046" s="656"/>
      <c r="Y1046" s="657"/>
      <c r="Z1046" s="657"/>
      <c r="AA1046" s="481"/>
      <c r="AC1046" s="456" t="s">
        <v>2096</v>
      </c>
      <c r="AD1046" s="522"/>
      <c r="AE1046" s="699"/>
      <c r="AF1046" s="456"/>
      <c r="AG1046" s="699"/>
      <c r="AH1046" s="481"/>
      <c r="AJ1046" s="481"/>
    </row>
    <row r="1047" spans="1:36" s="454" customFormat="1" ht="23.25" x14ac:dyDescent="0.25">
      <c r="A1047" s="515" t="s">
        <v>863</v>
      </c>
      <c r="B1047" s="686" t="s">
        <v>2098</v>
      </c>
      <c r="C1047" s="2683" t="s">
        <v>2099</v>
      </c>
      <c r="D1047" s="2683"/>
      <c r="E1047" s="2683"/>
      <c r="F1047" s="687" t="s">
        <v>3562</v>
      </c>
      <c r="G1047" s="688">
        <v>0</v>
      </c>
      <c r="H1047" s="688"/>
      <c r="I1047" s="688">
        <v>0</v>
      </c>
      <c r="J1047" s="688"/>
      <c r="K1047" s="688"/>
      <c r="L1047" s="689"/>
      <c r="M1047" s="690"/>
      <c r="X1047" s="656"/>
      <c r="Y1047" s="657"/>
      <c r="Z1047" s="657"/>
      <c r="AA1047" s="481"/>
      <c r="AC1047" s="456"/>
      <c r="AD1047" s="522" t="s">
        <v>2099</v>
      </c>
      <c r="AE1047" s="699"/>
      <c r="AF1047" s="456"/>
      <c r="AG1047" s="699"/>
      <c r="AH1047" s="481"/>
      <c r="AJ1047" s="481"/>
    </row>
    <row r="1048" spans="1:36" s="454" customFormat="1" ht="45" x14ac:dyDescent="0.25">
      <c r="A1048" s="658" t="s">
        <v>1464</v>
      </c>
      <c r="B1048" s="659" t="s">
        <v>2026</v>
      </c>
      <c r="C1048" s="2673" t="s">
        <v>1254</v>
      </c>
      <c r="D1048" s="2673"/>
      <c r="E1048" s="2673"/>
      <c r="F1048" s="680">
        <v>8.4</v>
      </c>
      <c r="G1048" s="661">
        <v>480</v>
      </c>
      <c r="H1048" s="661"/>
      <c r="I1048" s="661">
        <v>4032</v>
      </c>
      <c r="J1048" s="661"/>
      <c r="K1048" s="662"/>
      <c r="L1048" s="663">
        <v>0</v>
      </c>
      <c r="M1048" s="663">
        <v>0</v>
      </c>
      <c r="X1048" s="656"/>
      <c r="Y1048" s="657"/>
      <c r="Z1048" s="657"/>
      <c r="AA1048" s="481" t="s">
        <v>1254</v>
      </c>
      <c r="AC1048" s="456"/>
      <c r="AD1048" s="522"/>
      <c r="AE1048" s="699"/>
      <c r="AF1048" s="456"/>
      <c r="AG1048" s="699"/>
      <c r="AH1048" s="481"/>
      <c r="AJ1048" s="481"/>
    </row>
    <row r="1049" spans="1:36" s="454" customFormat="1" ht="15" x14ac:dyDescent="0.25">
      <c r="A1049" s="664"/>
      <c r="B1049" s="665"/>
      <c r="C1049" s="666" t="s">
        <v>3563</v>
      </c>
      <c r="D1049" s="667"/>
      <c r="E1049" s="667"/>
      <c r="F1049" s="667"/>
      <c r="G1049" s="667"/>
      <c r="H1049" s="667"/>
      <c r="I1049" s="667"/>
      <c r="J1049" s="667"/>
      <c r="K1049" s="667"/>
      <c r="L1049" s="667"/>
      <c r="M1049" s="668"/>
      <c r="X1049" s="656"/>
      <c r="Y1049" s="657"/>
      <c r="Z1049" s="657"/>
      <c r="AA1049" s="481"/>
      <c r="AC1049" s="456"/>
      <c r="AD1049" s="522"/>
      <c r="AE1049" s="699"/>
      <c r="AF1049" s="456"/>
      <c r="AG1049" s="699"/>
      <c r="AH1049" s="481"/>
      <c r="AJ1049" s="481"/>
    </row>
    <row r="1050" spans="1:36" s="454" customFormat="1" ht="45" x14ac:dyDescent="0.25">
      <c r="A1050" s="658" t="s">
        <v>1466</v>
      </c>
      <c r="B1050" s="659" t="s">
        <v>2028</v>
      </c>
      <c r="C1050" s="2673" t="s">
        <v>1257</v>
      </c>
      <c r="D1050" s="2673"/>
      <c r="E1050" s="2673"/>
      <c r="F1050" s="680">
        <v>3.4</v>
      </c>
      <c r="G1050" s="661">
        <v>2.44</v>
      </c>
      <c r="H1050" s="661"/>
      <c r="I1050" s="661">
        <v>8</v>
      </c>
      <c r="J1050" s="661"/>
      <c r="K1050" s="662"/>
      <c r="L1050" s="663">
        <v>0</v>
      </c>
      <c r="M1050" s="663">
        <v>0</v>
      </c>
      <c r="X1050" s="656"/>
      <c r="Y1050" s="657"/>
      <c r="Z1050" s="657"/>
      <c r="AA1050" s="481" t="s">
        <v>1257</v>
      </c>
      <c r="AC1050" s="456"/>
      <c r="AD1050" s="522"/>
      <c r="AE1050" s="699"/>
      <c r="AF1050" s="456"/>
      <c r="AG1050" s="699"/>
      <c r="AH1050" s="481"/>
      <c r="AJ1050" s="481"/>
    </row>
    <row r="1051" spans="1:36" s="454" customFormat="1" ht="15" x14ac:dyDescent="0.25">
      <c r="A1051" s="664"/>
      <c r="B1051" s="665"/>
      <c r="C1051" s="666" t="s">
        <v>3564</v>
      </c>
      <c r="D1051" s="667"/>
      <c r="E1051" s="667"/>
      <c r="F1051" s="667"/>
      <c r="G1051" s="667"/>
      <c r="H1051" s="667"/>
      <c r="I1051" s="667"/>
      <c r="J1051" s="667"/>
      <c r="K1051" s="667"/>
      <c r="L1051" s="667"/>
      <c r="M1051" s="668"/>
      <c r="X1051" s="656"/>
      <c r="Y1051" s="657"/>
      <c r="Z1051" s="657"/>
      <c r="AA1051" s="481"/>
      <c r="AC1051" s="456"/>
      <c r="AD1051" s="522"/>
      <c r="AE1051" s="699"/>
      <c r="AF1051" s="456"/>
      <c r="AG1051" s="699"/>
      <c r="AH1051" s="481"/>
      <c r="AJ1051" s="481"/>
    </row>
    <row r="1052" spans="1:36" s="454" customFormat="1" ht="34.5" x14ac:dyDescent="0.25">
      <c r="A1052" s="658" t="s">
        <v>1468</v>
      </c>
      <c r="B1052" s="659" t="s">
        <v>1267</v>
      </c>
      <c r="C1052" s="2673" t="s">
        <v>1268</v>
      </c>
      <c r="D1052" s="2673"/>
      <c r="E1052" s="2673"/>
      <c r="F1052" s="670">
        <v>8</v>
      </c>
      <c r="G1052" s="661" t="s">
        <v>2103</v>
      </c>
      <c r="H1052" s="661"/>
      <c r="I1052" s="661">
        <v>19143</v>
      </c>
      <c r="J1052" s="661"/>
      <c r="K1052" s="662"/>
      <c r="L1052" s="663">
        <v>0</v>
      </c>
      <c r="M1052" s="663">
        <v>0</v>
      </c>
      <c r="X1052" s="656"/>
      <c r="Y1052" s="657"/>
      <c r="Z1052" s="657"/>
      <c r="AA1052" s="481" t="s">
        <v>1268</v>
      </c>
      <c r="AC1052" s="456"/>
      <c r="AD1052" s="522"/>
      <c r="AE1052" s="699"/>
      <c r="AF1052" s="456"/>
      <c r="AG1052" s="699"/>
      <c r="AH1052" s="481"/>
      <c r="AJ1052" s="481"/>
    </row>
    <row r="1053" spans="1:36" s="454" customFormat="1" ht="15" x14ac:dyDescent="0.25">
      <c r="A1053" s="664"/>
      <c r="B1053" s="665"/>
      <c r="C1053" s="666" t="s">
        <v>3013</v>
      </c>
      <c r="D1053" s="667"/>
      <c r="E1053" s="667"/>
      <c r="F1053" s="667"/>
      <c r="G1053" s="667"/>
      <c r="H1053" s="667"/>
      <c r="I1053" s="667"/>
      <c r="J1053" s="667"/>
      <c r="K1053" s="667"/>
      <c r="L1053" s="667"/>
      <c r="M1053" s="668"/>
      <c r="X1053" s="656"/>
      <c r="Y1053" s="657"/>
      <c r="Z1053" s="657"/>
      <c r="AA1053" s="481"/>
      <c r="AC1053" s="456"/>
      <c r="AD1053" s="522"/>
      <c r="AE1053" s="699"/>
      <c r="AF1053" s="456"/>
      <c r="AG1053" s="699"/>
      <c r="AH1053" s="481"/>
      <c r="AJ1053" s="481"/>
    </row>
    <row r="1054" spans="1:36" s="454" customFormat="1" ht="15" x14ac:dyDescent="0.25">
      <c r="A1054" s="542"/>
      <c r="B1054" s="665"/>
      <c r="C1054" s="666" t="s">
        <v>2105</v>
      </c>
      <c r="D1054" s="667"/>
      <c r="E1054" s="667"/>
      <c r="F1054" s="667"/>
      <c r="G1054" s="667"/>
      <c r="H1054" s="667"/>
      <c r="I1054" s="667"/>
      <c r="J1054" s="667"/>
      <c r="K1054" s="667"/>
      <c r="L1054" s="667"/>
      <c r="M1054" s="669"/>
      <c r="X1054" s="656"/>
      <c r="Y1054" s="657"/>
      <c r="Z1054" s="657"/>
      <c r="AA1054" s="481"/>
      <c r="AC1054" s="456"/>
      <c r="AD1054" s="522"/>
      <c r="AE1054" s="699"/>
      <c r="AF1054" s="456"/>
      <c r="AG1054" s="699"/>
      <c r="AH1054" s="481"/>
      <c r="AJ1054" s="481"/>
    </row>
    <row r="1055" spans="1:36" s="454" customFormat="1" ht="34.5" x14ac:dyDescent="0.25">
      <c r="A1055" s="658" t="s">
        <v>1469</v>
      </c>
      <c r="B1055" s="659" t="s">
        <v>1272</v>
      </c>
      <c r="C1055" s="2673" t="s">
        <v>1273</v>
      </c>
      <c r="D1055" s="2673"/>
      <c r="E1055" s="2673"/>
      <c r="F1055" s="670">
        <v>48</v>
      </c>
      <c r="G1055" s="661" t="s">
        <v>2106</v>
      </c>
      <c r="H1055" s="661"/>
      <c r="I1055" s="661">
        <v>82644</v>
      </c>
      <c r="J1055" s="661"/>
      <c r="K1055" s="662"/>
      <c r="L1055" s="663">
        <v>0</v>
      </c>
      <c r="M1055" s="663">
        <v>0</v>
      </c>
      <c r="X1055" s="656"/>
      <c r="Y1055" s="657"/>
      <c r="Z1055" s="657"/>
      <c r="AA1055" s="481" t="s">
        <v>1273</v>
      </c>
      <c r="AC1055" s="456"/>
      <c r="AD1055" s="522"/>
      <c r="AE1055" s="699"/>
      <c r="AF1055" s="456"/>
      <c r="AG1055" s="699"/>
      <c r="AH1055" s="481"/>
      <c r="AJ1055" s="481"/>
    </row>
    <row r="1056" spans="1:36" s="454" customFormat="1" ht="15" x14ac:dyDescent="0.25">
      <c r="A1056" s="664"/>
      <c r="B1056" s="665"/>
      <c r="C1056" s="666" t="s">
        <v>3565</v>
      </c>
      <c r="D1056" s="667"/>
      <c r="E1056" s="667"/>
      <c r="F1056" s="667"/>
      <c r="G1056" s="667"/>
      <c r="H1056" s="667"/>
      <c r="I1056" s="667"/>
      <c r="J1056" s="667"/>
      <c r="K1056" s="667"/>
      <c r="L1056" s="667"/>
      <c r="M1056" s="668"/>
      <c r="X1056" s="656"/>
      <c r="Y1056" s="657"/>
      <c r="Z1056" s="657"/>
      <c r="AA1056" s="481"/>
      <c r="AC1056" s="456"/>
      <c r="AD1056" s="522"/>
      <c r="AE1056" s="699"/>
      <c r="AF1056" s="456"/>
      <c r="AG1056" s="699"/>
      <c r="AH1056" s="481"/>
      <c r="AJ1056" s="481"/>
    </row>
    <row r="1057" spans="1:36" s="454" customFormat="1" ht="15" x14ac:dyDescent="0.25">
      <c r="A1057" s="542"/>
      <c r="B1057" s="665"/>
      <c r="C1057" s="666" t="s">
        <v>2108</v>
      </c>
      <c r="D1057" s="667"/>
      <c r="E1057" s="667"/>
      <c r="F1057" s="667"/>
      <c r="G1057" s="667"/>
      <c r="H1057" s="667"/>
      <c r="I1057" s="667"/>
      <c r="J1057" s="667"/>
      <c r="K1057" s="667"/>
      <c r="L1057" s="667"/>
      <c r="M1057" s="669"/>
      <c r="X1057" s="656"/>
      <c r="Y1057" s="657"/>
      <c r="Z1057" s="657"/>
      <c r="AA1057" s="481"/>
      <c r="AC1057" s="456"/>
      <c r="AD1057" s="522"/>
      <c r="AE1057" s="699"/>
      <c r="AF1057" s="456"/>
      <c r="AG1057" s="699"/>
      <c r="AH1057" s="481"/>
      <c r="AJ1057" s="481"/>
    </row>
    <row r="1058" spans="1:36" s="454" customFormat="1" ht="34.5" x14ac:dyDescent="0.25">
      <c r="A1058" s="658" t="s">
        <v>1471</v>
      </c>
      <c r="B1058" s="659" t="s">
        <v>1276</v>
      </c>
      <c r="C1058" s="2673" t="s">
        <v>1277</v>
      </c>
      <c r="D1058" s="2673"/>
      <c r="E1058" s="2673"/>
      <c r="F1058" s="670">
        <v>104</v>
      </c>
      <c r="G1058" s="661" t="s">
        <v>2109</v>
      </c>
      <c r="H1058" s="661"/>
      <c r="I1058" s="661">
        <v>47939</v>
      </c>
      <c r="J1058" s="661"/>
      <c r="K1058" s="662"/>
      <c r="L1058" s="663">
        <v>0</v>
      </c>
      <c r="M1058" s="663">
        <v>0</v>
      </c>
      <c r="X1058" s="656"/>
      <c r="Y1058" s="657"/>
      <c r="Z1058" s="657"/>
      <c r="AA1058" s="481" t="s">
        <v>1277</v>
      </c>
      <c r="AC1058" s="456"/>
      <c r="AD1058" s="522"/>
      <c r="AE1058" s="699"/>
      <c r="AF1058" s="456"/>
      <c r="AG1058" s="699"/>
      <c r="AH1058" s="481"/>
      <c r="AJ1058" s="481"/>
    </row>
    <row r="1059" spans="1:36" s="454" customFormat="1" ht="15" x14ac:dyDescent="0.25">
      <c r="A1059" s="664"/>
      <c r="B1059" s="665"/>
      <c r="C1059" s="666" t="s">
        <v>3566</v>
      </c>
      <c r="D1059" s="667"/>
      <c r="E1059" s="667"/>
      <c r="F1059" s="667"/>
      <c r="G1059" s="667"/>
      <c r="H1059" s="667"/>
      <c r="I1059" s="667"/>
      <c r="J1059" s="667"/>
      <c r="K1059" s="667"/>
      <c r="L1059" s="667"/>
      <c r="M1059" s="668"/>
      <c r="X1059" s="656"/>
      <c r="Y1059" s="657"/>
      <c r="Z1059" s="657"/>
      <c r="AA1059" s="481"/>
      <c r="AC1059" s="456"/>
      <c r="AD1059" s="522"/>
      <c r="AE1059" s="699"/>
      <c r="AF1059" s="456"/>
      <c r="AG1059" s="699"/>
      <c r="AH1059" s="481"/>
      <c r="AJ1059" s="481"/>
    </row>
    <row r="1060" spans="1:36" s="454" customFormat="1" ht="15" x14ac:dyDescent="0.25">
      <c r="A1060" s="542"/>
      <c r="B1060" s="665"/>
      <c r="C1060" s="666" t="s">
        <v>2111</v>
      </c>
      <c r="D1060" s="667"/>
      <c r="E1060" s="667"/>
      <c r="F1060" s="667"/>
      <c r="G1060" s="667"/>
      <c r="H1060" s="667"/>
      <c r="I1060" s="667"/>
      <c r="J1060" s="667"/>
      <c r="K1060" s="667"/>
      <c r="L1060" s="667"/>
      <c r="M1060" s="669"/>
      <c r="X1060" s="656"/>
      <c r="Y1060" s="657"/>
      <c r="Z1060" s="657"/>
      <c r="AA1060" s="481"/>
      <c r="AC1060" s="456"/>
      <c r="AD1060" s="522"/>
      <c r="AE1060" s="699"/>
      <c r="AF1060" s="456"/>
      <c r="AG1060" s="699"/>
      <c r="AH1060" s="481"/>
      <c r="AJ1060" s="481"/>
    </row>
    <row r="1061" spans="1:36" s="454" customFormat="1" ht="33.75" x14ac:dyDescent="0.25">
      <c r="A1061" s="658" t="s">
        <v>1473</v>
      </c>
      <c r="B1061" s="659" t="s">
        <v>1280</v>
      </c>
      <c r="C1061" s="2673" t="s">
        <v>1281</v>
      </c>
      <c r="D1061" s="2673"/>
      <c r="E1061" s="2673"/>
      <c r="F1061" s="670">
        <v>48</v>
      </c>
      <c r="G1061" s="661" t="s">
        <v>2112</v>
      </c>
      <c r="H1061" s="661"/>
      <c r="I1061" s="661">
        <v>6812</v>
      </c>
      <c r="J1061" s="661"/>
      <c r="K1061" s="662"/>
      <c r="L1061" s="663">
        <v>0</v>
      </c>
      <c r="M1061" s="663">
        <v>0</v>
      </c>
      <c r="X1061" s="656"/>
      <c r="Y1061" s="657"/>
      <c r="Z1061" s="657"/>
      <c r="AA1061" s="481" t="s">
        <v>1281</v>
      </c>
      <c r="AC1061" s="456"/>
      <c r="AD1061" s="522"/>
      <c r="AE1061" s="699"/>
      <c r="AF1061" s="456"/>
      <c r="AG1061" s="699"/>
      <c r="AH1061" s="481"/>
      <c r="AJ1061" s="481"/>
    </row>
    <row r="1062" spans="1:36" s="454" customFormat="1" ht="15" x14ac:dyDescent="0.25">
      <c r="A1062" s="664"/>
      <c r="B1062" s="665"/>
      <c r="C1062" s="666" t="s">
        <v>3565</v>
      </c>
      <c r="D1062" s="667"/>
      <c r="E1062" s="667"/>
      <c r="F1062" s="667"/>
      <c r="G1062" s="667"/>
      <c r="H1062" s="667"/>
      <c r="I1062" s="667"/>
      <c r="J1062" s="667"/>
      <c r="K1062" s="667"/>
      <c r="L1062" s="667"/>
      <c r="M1062" s="668"/>
      <c r="X1062" s="656"/>
      <c r="Y1062" s="657"/>
      <c r="Z1062" s="657"/>
      <c r="AA1062" s="481"/>
      <c r="AC1062" s="456"/>
      <c r="AD1062" s="522"/>
      <c r="AE1062" s="699"/>
      <c r="AF1062" s="456"/>
      <c r="AG1062" s="699"/>
      <c r="AH1062" s="481"/>
      <c r="AJ1062" s="481"/>
    </row>
    <row r="1063" spans="1:36" s="454" customFormat="1" ht="15" x14ac:dyDescent="0.25">
      <c r="A1063" s="542"/>
      <c r="B1063" s="665"/>
      <c r="C1063" s="666" t="s">
        <v>2113</v>
      </c>
      <c r="D1063" s="667"/>
      <c r="E1063" s="667"/>
      <c r="F1063" s="667"/>
      <c r="G1063" s="667"/>
      <c r="H1063" s="667"/>
      <c r="I1063" s="667"/>
      <c r="J1063" s="667"/>
      <c r="K1063" s="667"/>
      <c r="L1063" s="667"/>
      <c r="M1063" s="669"/>
      <c r="X1063" s="656"/>
      <c r="Y1063" s="657"/>
      <c r="Z1063" s="657"/>
      <c r="AA1063" s="481"/>
      <c r="AC1063" s="456"/>
      <c r="AD1063" s="522"/>
      <c r="AE1063" s="699"/>
      <c r="AF1063" s="456"/>
      <c r="AG1063" s="699"/>
      <c r="AH1063" s="481"/>
      <c r="AJ1063" s="481"/>
    </row>
    <row r="1064" spans="1:36" s="454" customFormat="1" ht="34.5" x14ac:dyDescent="0.25">
      <c r="A1064" s="658" t="s">
        <v>1474</v>
      </c>
      <c r="B1064" s="659" t="s">
        <v>1283</v>
      </c>
      <c r="C1064" s="2673" t="s">
        <v>1284</v>
      </c>
      <c r="D1064" s="2673"/>
      <c r="E1064" s="2673"/>
      <c r="F1064" s="670">
        <v>8</v>
      </c>
      <c r="G1064" s="661" t="s">
        <v>2114</v>
      </c>
      <c r="H1064" s="661"/>
      <c r="I1064" s="661">
        <v>13914</v>
      </c>
      <c r="J1064" s="661"/>
      <c r="K1064" s="662"/>
      <c r="L1064" s="663">
        <v>0</v>
      </c>
      <c r="M1064" s="663">
        <v>0</v>
      </c>
      <c r="X1064" s="656"/>
      <c r="Y1064" s="657"/>
      <c r="Z1064" s="657"/>
      <c r="AA1064" s="481" t="s">
        <v>1284</v>
      </c>
      <c r="AC1064" s="456"/>
      <c r="AD1064" s="522"/>
      <c r="AE1064" s="699"/>
      <c r="AF1064" s="456"/>
      <c r="AG1064" s="699"/>
      <c r="AH1064" s="481"/>
      <c r="AJ1064" s="481"/>
    </row>
    <row r="1065" spans="1:36" s="454" customFormat="1" ht="15" x14ac:dyDescent="0.25">
      <c r="A1065" s="664"/>
      <c r="B1065" s="665"/>
      <c r="C1065" s="666" t="s">
        <v>3013</v>
      </c>
      <c r="D1065" s="667"/>
      <c r="E1065" s="667"/>
      <c r="F1065" s="667"/>
      <c r="G1065" s="667"/>
      <c r="H1065" s="667"/>
      <c r="I1065" s="667"/>
      <c r="J1065" s="667"/>
      <c r="K1065" s="667"/>
      <c r="L1065" s="667"/>
      <c r="M1065" s="668"/>
      <c r="X1065" s="656"/>
      <c r="Y1065" s="657"/>
      <c r="Z1065" s="657"/>
      <c r="AA1065" s="481"/>
      <c r="AC1065" s="456"/>
      <c r="AD1065" s="522"/>
      <c r="AE1065" s="699"/>
      <c r="AF1065" s="456"/>
      <c r="AG1065" s="699"/>
      <c r="AH1065" s="481"/>
      <c r="AJ1065" s="481"/>
    </row>
    <row r="1066" spans="1:36" s="454" customFormat="1" ht="15" x14ac:dyDescent="0.25">
      <c r="A1066" s="542"/>
      <c r="B1066" s="665"/>
      <c r="C1066" s="666" t="s">
        <v>2115</v>
      </c>
      <c r="D1066" s="667"/>
      <c r="E1066" s="667"/>
      <c r="F1066" s="667"/>
      <c r="G1066" s="667"/>
      <c r="H1066" s="667"/>
      <c r="I1066" s="667"/>
      <c r="J1066" s="667"/>
      <c r="K1066" s="667"/>
      <c r="L1066" s="667"/>
      <c r="M1066" s="669"/>
      <c r="X1066" s="656"/>
      <c r="Y1066" s="657"/>
      <c r="Z1066" s="657"/>
      <c r="AA1066" s="481"/>
      <c r="AC1066" s="456"/>
      <c r="AD1066" s="522"/>
      <c r="AE1066" s="699"/>
      <c r="AF1066" s="456"/>
      <c r="AG1066" s="699"/>
      <c r="AH1066" s="481"/>
      <c r="AJ1066" s="481"/>
    </row>
    <row r="1067" spans="1:36" s="454" customFormat="1" ht="45.75" x14ac:dyDescent="0.25">
      <c r="A1067" s="658" t="s">
        <v>1475</v>
      </c>
      <c r="B1067" s="659" t="s">
        <v>2116</v>
      </c>
      <c r="C1067" s="2673" t="s">
        <v>2117</v>
      </c>
      <c r="D1067" s="2673"/>
      <c r="E1067" s="2673"/>
      <c r="F1067" s="670">
        <v>56</v>
      </c>
      <c r="G1067" s="661" t="s">
        <v>1288</v>
      </c>
      <c r="H1067" s="661" t="s">
        <v>1289</v>
      </c>
      <c r="I1067" s="661">
        <v>317</v>
      </c>
      <c r="J1067" s="661">
        <v>129</v>
      </c>
      <c r="K1067" s="662" t="s">
        <v>1476</v>
      </c>
      <c r="L1067" s="671">
        <v>0.255</v>
      </c>
      <c r="M1067" s="672">
        <v>14.28</v>
      </c>
      <c r="X1067" s="656"/>
      <c r="Y1067" s="657"/>
      <c r="Z1067" s="657"/>
      <c r="AA1067" s="481" t="s">
        <v>2117</v>
      </c>
      <c r="AC1067" s="456"/>
      <c r="AD1067" s="522"/>
      <c r="AE1067" s="699"/>
      <c r="AF1067" s="456"/>
      <c r="AG1067" s="699"/>
      <c r="AH1067" s="481"/>
      <c r="AJ1067" s="481"/>
    </row>
    <row r="1068" spans="1:36" s="454" customFormat="1" ht="33.75" x14ac:dyDescent="0.25">
      <c r="A1068" s="542"/>
      <c r="B1068" s="673" t="s">
        <v>1655</v>
      </c>
      <c r="C1068" s="2670" t="s">
        <v>1656</v>
      </c>
      <c r="D1068" s="2670"/>
      <c r="E1068" s="2670"/>
      <c r="F1068" s="2670"/>
      <c r="G1068" s="2670"/>
      <c r="H1068" s="2670"/>
      <c r="I1068" s="2670"/>
      <c r="J1068" s="2670"/>
      <c r="K1068" s="2670"/>
      <c r="L1068" s="2670"/>
      <c r="M1068" s="2671"/>
      <c r="X1068" s="656"/>
      <c r="Y1068" s="657"/>
      <c r="Z1068" s="657"/>
      <c r="AA1068" s="481"/>
      <c r="AB1068" s="491" t="s">
        <v>1656</v>
      </c>
      <c r="AC1068" s="456"/>
      <c r="AD1068" s="522"/>
      <c r="AE1068" s="699"/>
      <c r="AF1068" s="456"/>
      <c r="AG1068" s="699"/>
      <c r="AH1068" s="481"/>
      <c r="AJ1068" s="481"/>
    </row>
    <row r="1069" spans="1:36" s="454" customFormat="1" ht="15" x14ac:dyDescent="0.25">
      <c r="A1069" s="823"/>
      <c r="B1069" s="824"/>
      <c r="C1069" s="824"/>
      <c r="D1069" s="824"/>
      <c r="E1069" s="825" t="s">
        <v>3567</v>
      </c>
      <c r="F1069" s="826"/>
      <c r="G1069" s="827"/>
      <c r="H1069" s="648"/>
      <c r="I1069" s="828">
        <v>167</v>
      </c>
      <c r="J1069" s="829"/>
      <c r="K1069" s="829"/>
      <c r="L1069" s="830"/>
      <c r="M1069" s="831"/>
      <c r="X1069" s="656"/>
      <c r="Y1069" s="657"/>
      <c r="Z1069" s="657"/>
      <c r="AA1069" s="481"/>
      <c r="AC1069" s="456"/>
      <c r="AD1069" s="522"/>
      <c r="AE1069" s="699"/>
      <c r="AF1069" s="456"/>
      <c r="AG1069" s="699"/>
      <c r="AH1069" s="481"/>
      <c r="AJ1069" s="481"/>
    </row>
    <row r="1070" spans="1:36" s="454" customFormat="1" ht="15" x14ac:dyDescent="0.25">
      <c r="A1070" s="823"/>
      <c r="B1070" s="824"/>
      <c r="C1070" s="824"/>
      <c r="D1070" s="824"/>
      <c r="E1070" s="825" t="s">
        <v>3568</v>
      </c>
      <c r="F1070" s="826"/>
      <c r="G1070" s="827"/>
      <c r="H1070" s="648"/>
      <c r="I1070" s="828">
        <v>76</v>
      </c>
      <c r="J1070" s="829"/>
      <c r="K1070" s="829"/>
      <c r="L1070" s="830"/>
      <c r="M1070" s="831"/>
      <c r="X1070" s="656"/>
      <c r="Y1070" s="657"/>
      <c r="Z1070" s="657"/>
      <c r="AA1070" s="481"/>
      <c r="AC1070" s="456"/>
      <c r="AD1070" s="522"/>
      <c r="AE1070" s="699"/>
      <c r="AF1070" s="456"/>
      <c r="AG1070" s="699"/>
      <c r="AH1070" s="481"/>
      <c r="AJ1070" s="481"/>
    </row>
    <row r="1071" spans="1:36" s="454" customFormat="1" ht="15" x14ac:dyDescent="0.25">
      <c r="A1071" s="823"/>
      <c r="B1071" s="824"/>
      <c r="C1071" s="824"/>
      <c r="D1071" s="824"/>
      <c r="E1071" s="825" t="s">
        <v>2692</v>
      </c>
      <c r="F1071" s="826"/>
      <c r="G1071" s="827"/>
      <c r="H1071" s="648"/>
      <c r="I1071" s="828">
        <v>560</v>
      </c>
      <c r="J1071" s="829"/>
      <c r="K1071" s="829"/>
      <c r="L1071" s="830"/>
      <c r="M1071" s="831"/>
      <c r="X1071" s="656"/>
      <c r="Y1071" s="657"/>
      <c r="Z1071" s="657"/>
      <c r="AA1071" s="481"/>
      <c r="AC1071" s="456"/>
      <c r="AD1071" s="522"/>
      <c r="AE1071" s="699"/>
      <c r="AF1071" s="456"/>
      <c r="AG1071" s="699"/>
      <c r="AH1071" s="481"/>
      <c r="AJ1071" s="481"/>
    </row>
    <row r="1072" spans="1:36" s="454" customFormat="1" ht="23.25" x14ac:dyDescent="0.25">
      <c r="A1072" s="507"/>
      <c r="B1072" s="674" t="s">
        <v>2119</v>
      </c>
      <c r="C1072" s="2672" t="s">
        <v>2120</v>
      </c>
      <c r="D1072" s="2672"/>
      <c r="E1072" s="2672"/>
      <c r="F1072" s="675" t="s">
        <v>3569</v>
      </c>
      <c r="G1072" s="676" t="s">
        <v>2122</v>
      </c>
      <c r="H1072" s="676"/>
      <c r="I1072" s="676">
        <v>129.52000000000001</v>
      </c>
      <c r="J1072" s="676">
        <v>129.52000000000001</v>
      </c>
      <c r="K1072" s="676"/>
      <c r="L1072" s="677"/>
      <c r="M1072" s="678"/>
      <c r="X1072" s="656"/>
      <c r="Y1072" s="657"/>
      <c r="Z1072" s="657"/>
      <c r="AA1072" s="481"/>
      <c r="AC1072" s="456" t="s">
        <v>2120</v>
      </c>
      <c r="AD1072" s="522"/>
      <c r="AE1072" s="699"/>
      <c r="AF1072" s="456"/>
      <c r="AG1072" s="699"/>
      <c r="AH1072" s="481"/>
      <c r="AJ1072" s="481"/>
    </row>
    <row r="1073" spans="1:36" s="454" customFormat="1" ht="23.25" x14ac:dyDescent="0.25">
      <c r="A1073" s="507"/>
      <c r="B1073" s="674" t="s">
        <v>639</v>
      </c>
      <c r="C1073" s="2672" t="s">
        <v>1661</v>
      </c>
      <c r="D1073" s="2672"/>
      <c r="E1073" s="2672"/>
      <c r="F1073" s="675" t="s">
        <v>3570</v>
      </c>
      <c r="G1073" s="676">
        <v>0</v>
      </c>
      <c r="H1073" s="676">
        <v>0</v>
      </c>
      <c r="I1073" s="676">
        <v>0</v>
      </c>
      <c r="J1073" s="676"/>
      <c r="K1073" s="676">
        <v>0</v>
      </c>
      <c r="L1073" s="677"/>
      <c r="M1073" s="678"/>
      <c r="X1073" s="656"/>
      <c r="Y1073" s="657"/>
      <c r="Z1073" s="657"/>
      <c r="AA1073" s="481"/>
      <c r="AC1073" s="456" t="s">
        <v>1661</v>
      </c>
      <c r="AD1073" s="522"/>
      <c r="AE1073" s="699"/>
      <c r="AF1073" s="456"/>
      <c r="AG1073" s="699"/>
      <c r="AH1073" s="481"/>
      <c r="AJ1073" s="481"/>
    </row>
    <row r="1074" spans="1:36" s="454" customFormat="1" ht="34.5" x14ac:dyDescent="0.25">
      <c r="A1074" s="507"/>
      <c r="B1074" s="674" t="s">
        <v>821</v>
      </c>
      <c r="C1074" s="2672" t="s">
        <v>1751</v>
      </c>
      <c r="D1074" s="2672"/>
      <c r="E1074" s="2672"/>
      <c r="F1074" s="675" t="s">
        <v>3571</v>
      </c>
      <c r="G1074" s="676">
        <v>65.709999999999994</v>
      </c>
      <c r="H1074" s="676" t="s">
        <v>1753</v>
      </c>
      <c r="I1074" s="676">
        <v>73.599999999999994</v>
      </c>
      <c r="J1074" s="676"/>
      <c r="K1074" s="676" t="s">
        <v>3572</v>
      </c>
      <c r="L1074" s="677"/>
      <c r="M1074" s="678"/>
      <c r="X1074" s="656"/>
      <c r="Y1074" s="657"/>
      <c r="Z1074" s="657"/>
      <c r="AA1074" s="481"/>
      <c r="AC1074" s="456" t="s">
        <v>1751</v>
      </c>
      <c r="AD1074" s="522"/>
      <c r="AE1074" s="699"/>
      <c r="AF1074" s="456"/>
      <c r="AG1074" s="699"/>
      <c r="AH1074" s="481"/>
      <c r="AJ1074" s="481"/>
    </row>
    <row r="1075" spans="1:36" s="454" customFormat="1" ht="23.25" x14ac:dyDescent="0.25">
      <c r="A1075" s="507"/>
      <c r="B1075" s="674" t="s">
        <v>825</v>
      </c>
      <c r="C1075" s="2672" t="s">
        <v>1808</v>
      </c>
      <c r="D1075" s="2672"/>
      <c r="E1075" s="2672"/>
      <c r="F1075" s="675" t="s">
        <v>3573</v>
      </c>
      <c r="G1075" s="676">
        <v>1.2</v>
      </c>
      <c r="H1075" s="676" t="s">
        <v>1810</v>
      </c>
      <c r="I1075" s="676">
        <v>10.08</v>
      </c>
      <c r="J1075" s="676"/>
      <c r="K1075" s="676" t="s">
        <v>3574</v>
      </c>
      <c r="L1075" s="677"/>
      <c r="M1075" s="678"/>
      <c r="X1075" s="656"/>
      <c r="Y1075" s="657"/>
      <c r="Z1075" s="657"/>
      <c r="AA1075" s="481"/>
      <c r="AC1075" s="456" t="s">
        <v>1808</v>
      </c>
      <c r="AD1075" s="522"/>
      <c r="AE1075" s="699"/>
      <c r="AF1075" s="456"/>
      <c r="AG1075" s="699"/>
      <c r="AH1075" s="481"/>
      <c r="AJ1075" s="481"/>
    </row>
    <row r="1076" spans="1:36" s="454" customFormat="1" ht="23.25" x14ac:dyDescent="0.25">
      <c r="A1076" s="507"/>
      <c r="B1076" s="674" t="s">
        <v>830</v>
      </c>
      <c r="C1076" s="2672" t="s">
        <v>1816</v>
      </c>
      <c r="D1076" s="2672"/>
      <c r="E1076" s="2672"/>
      <c r="F1076" s="675" t="s">
        <v>3573</v>
      </c>
      <c r="G1076" s="676">
        <v>6.22</v>
      </c>
      <c r="H1076" s="676"/>
      <c r="I1076" s="676">
        <v>52.25</v>
      </c>
      <c r="J1076" s="676"/>
      <c r="K1076" s="676"/>
      <c r="L1076" s="677"/>
      <c r="M1076" s="678"/>
      <c r="X1076" s="656"/>
      <c r="Y1076" s="657"/>
      <c r="Z1076" s="657"/>
      <c r="AA1076" s="481"/>
      <c r="AC1076" s="456" t="s">
        <v>1816</v>
      </c>
      <c r="AD1076" s="522"/>
      <c r="AE1076" s="699"/>
      <c r="AF1076" s="456"/>
      <c r="AG1076" s="699"/>
      <c r="AH1076" s="481"/>
      <c r="AJ1076" s="481"/>
    </row>
    <row r="1077" spans="1:36" s="454" customFormat="1" ht="23.25" x14ac:dyDescent="0.25">
      <c r="A1077" s="507"/>
      <c r="B1077" s="674" t="s">
        <v>833</v>
      </c>
      <c r="C1077" s="2672" t="s">
        <v>1818</v>
      </c>
      <c r="D1077" s="2672"/>
      <c r="E1077" s="2672"/>
      <c r="F1077" s="675" t="s">
        <v>3570</v>
      </c>
      <c r="G1077" s="676">
        <v>6.09</v>
      </c>
      <c r="H1077" s="676"/>
      <c r="I1077" s="676">
        <v>10.23</v>
      </c>
      <c r="J1077" s="676"/>
      <c r="K1077" s="676"/>
      <c r="L1077" s="677"/>
      <c r="M1077" s="678"/>
      <c r="X1077" s="656"/>
      <c r="Y1077" s="657"/>
      <c r="Z1077" s="657"/>
      <c r="AA1077" s="481"/>
      <c r="AC1077" s="456" t="s">
        <v>1818</v>
      </c>
      <c r="AD1077" s="522"/>
      <c r="AE1077" s="699"/>
      <c r="AF1077" s="456"/>
      <c r="AG1077" s="699"/>
      <c r="AH1077" s="481"/>
      <c r="AJ1077" s="481"/>
    </row>
    <row r="1078" spans="1:36" s="454" customFormat="1" ht="15" x14ac:dyDescent="0.25">
      <c r="A1078" s="2680" t="s">
        <v>1477</v>
      </c>
      <c r="B1078" s="2681"/>
      <c r="C1078" s="2681"/>
      <c r="D1078" s="2681"/>
      <c r="E1078" s="2681"/>
      <c r="F1078" s="2681"/>
      <c r="G1078" s="2681"/>
      <c r="H1078" s="2681"/>
      <c r="I1078" s="2681"/>
      <c r="J1078" s="2681"/>
      <c r="K1078" s="2681"/>
      <c r="L1078" s="2681"/>
      <c r="M1078" s="2682"/>
      <c r="X1078" s="656"/>
      <c r="Y1078" s="657" t="s">
        <v>1477</v>
      </c>
      <c r="Z1078" s="657"/>
      <c r="AA1078" s="481"/>
      <c r="AC1078" s="456"/>
      <c r="AD1078" s="522"/>
      <c r="AE1078" s="699"/>
      <c r="AF1078" s="456"/>
      <c r="AG1078" s="699"/>
      <c r="AH1078" s="481"/>
      <c r="AJ1078" s="481"/>
    </row>
    <row r="1079" spans="1:36" s="454" customFormat="1" ht="57" x14ac:dyDescent="0.25">
      <c r="A1079" s="658" t="s">
        <v>1478</v>
      </c>
      <c r="B1079" s="659" t="s">
        <v>1954</v>
      </c>
      <c r="C1079" s="2673" t="s">
        <v>1955</v>
      </c>
      <c r="D1079" s="2673"/>
      <c r="E1079" s="2673"/>
      <c r="F1079" s="660">
        <v>0.81599999999999995</v>
      </c>
      <c r="G1079" s="661" t="s">
        <v>1956</v>
      </c>
      <c r="H1079" s="661" t="s">
        <v>1957</v>
      </c>
      <c r="I1079" s="661">
        <v>104365</v>
      </c>
      <c r="J1079" s="661">
        <v>8162</v>
      </c>
      <c r="K1079" s="662" t="s">
        <v>3575</v>
      </c>
      <c r="L1079" s="691">
        <v>1039.7328</v>
      </c>
      <c r="M1079" s="672">
        <v>848.42</v>
      </c>
      <c r="X1079" s="656"/>
      <c r="Y1079" s="657"/>
      <c r="Z1079" s="657"/>
      <c r="AA1079" s="481" t="s">
        <v>1955</v>
      </c>
      <c r="AC1079" s="456"/>
      <c r="AD1079" s="522"/>
      <c r="AE1079" s="699"/>
      <c r="AF1079" s="456"/>
      <c r="AG1079" s="699"/>
      <c r="AH1079" s="481"/>
      <c r="AJ1079" s="481"/>
    </row>
    <row r="1080" spans="1:36" s="454" customFormat="1" ht="15" x14ac:dyDescent="0.25">
      <c r="A1080" s="664"/>
      <c r="B1080" s="665"/>
      <c r="C1080" s="666" t="s">
        <v>3576</v>
      </c>
      <c r="D1080" s="667"/>
      <c r="E1080" s="667"/>
      <c r="F1080" s="667"/>
      <c r="G1080" s="667"/>
      <c r="H1080" s="667"/>
      <c r="I1080" s="667"/>
      <c r="J1080" s="667"/>
      <c r="K1080" s="667"/>
      <c r="L1080" s="667"/>
      <c r="M1080" s="668"/>
      <c r="X1080" s="656"/>
      <c r="Y1080" s="657"/>
      <c r="Z1080" s="657"/>
      <c r="AA1080" s="481"/>
      <c r="AC1080" s="456"/>
      <c r="AD1080" s="522"/>
      <c r="AE1080" s="699"/>
      <c r="AF1080" s="456"/>
      <c r="AG1080" s="699"/>
      <c r="AH1080" s="481"/>
      <c r="AJ1080" s="481"/>
    </row>
    <row r="1081" spans="1:36" s="454" customFormat="1" ht="15" x14ac:dyDescent="0.25">
      <c r="A1081" s="542"/>
      <c r="B1081" s="673" t="s">
        <v>1960</v>
      </c>
      <c r="C1081" s="2670" t="s">
        <v>1961</v>
      </c>
      <c r="D1081" s="2670"/>
      <c r="E1081" s="2670"/>
      <c r="F1081" s="2670"/>
      <c r="G1081" s="2670"/>
      <c r="H1081" s="2670"/>
      <c r="I1081" s="2670"/>
      <c r="J1081" s="2670"/>
      <c r="K1081" s="2670"/>
      <c r="L1081" s="2670"/>
      <c r="M1081" s="2671"/>
      <c r="X1081" s="656"/>
      <c r="Y1081" s="657"/>
      <c r="Z1081" s="657"/>
      <c r="AA1081" s="481"/>
      <c r="AB1081" s="491" t="s">
        <v>1961</v>
      </c>
      <c r="AC1081" s="456"/>
      <c r="AD1081" s="522"/>
      <c r="AE1081" s="699"/>
      <c r="AF1081" s="456"/>
      <c r="AG1081" s="699"/>
      <c r="AH1081" s="481"/>
      <c r="AJ1081" s="481"/>
    </row>
    <row r="1082" spans="1:36" s="454" customFormat="1" ht="15" x14ac:dyDescent="0.25">
      <c r="A1082" s="542"/>
      <c r="B1082" s="673" t="s">
        <v>1962</v>
      </c>
      <c r="C1082" s="2670" t="s">
        <v>1963</v>
      </c>
      <c r="D1082" s="2670"/>
      <c r="E1082" s="2670"/>
      <c r="F1082" s="2670"/>
      <c r="G1082" s="2670"/>
      <c r="H1082" s="2670"/>
      <c r="I1082" s="2670"/>
      <c r="J1082" s="2670"/>
      <c r="K1082" s="2670"/>
      <c r="L1082" s="2670"/>
      <c r="M1082" s="2671"/>
      <c r="X1082" s="656"/>
      <c r="Y1082" s="657"/>
      <c r="Z1082" s="657"/>
      <c r="AA1082" s="481"/>
      <c r="AB1082" s="491" t="s">
        <v>1963</v>
      </c>
      <c r="AC1082" s="456"/>
      <c r="AD1082" s="522"/>
      <c r="AE1082" s="699"/>
      <c r="AF1082" s="456"/>
      <c r="AG1082" s="699"/>
      <c r="AH1082" s="481"/>
      <c r="AJ1082" s="481"/>
    </row>
    <row r="1083" spans="1:36" s="454" customFormat="1" ht="15" x14ac:dyDescent="0.25">
      <c r="A1083" s="542"/>
      <c r="B1083" s="673" t="s">
        <v>1964</v>
      </c>
      <c r="C1083" s="2670" t="s">
        <v>1965</v>
      </c>
      <c r="D1083" s="2670"/>
      <c r="E1083" s="2670"/>
      <c r="F1083" s="2670"/>
      <c r="G1083" s="2670"/>
      <c r="H1083" s="2670"/>
      <c r="I1083" s="2670"/>
      <c r="J1083" s="2670"/>
      <c r="K1083" s="2670"/>
      <c r="L1083" s="2670"/>
      <c r="M1083" s="2671"/>
      <c r="X1083" s="656"/>
      <c r="Y1083" s="657"/>
      <c r="Z1083" s="657"/>
      <c r="AA1083" s="481"/>
      <c r="AB1083" s="491" t="s">
        <v>1965</v>
      </c>
      <c r="AC1083" s="456"/>
      <c r="AD1083" s="522"/>
      <c r="AE1083" s="699"/>
      <c r="AF1083" s="456"/>
      <c r="AG1083" s="699"/>
      <c r="AH1083" s="481"/>
      <c r="AJ1083" s="481"/>
    </row>
    <row r="1084" spans="1:36" s="454" customFormat="1" ht="33.75" x14ac:dyDescent="0.25">
      <c r="A1084" s="542"/>
      <c r="B1084" s="673" t="s">
        <v>1655</v>
      </c>
      <c r="C1084" s="2670" t="s">
        <v>1656</v>
      </c>
      <c r="D1084" s="2670"/>
      <c r="E1084" s="2670"/>
      <c r="F1084" s="2670"/>
      <c r="G1084" s="2670"/>
      <c r="H1084" s="2670"/>
      <c r="I1084" s="2670"/>
      <c r="J1084" s="2670"/>
      <c r="K1084" s="2670"/>
      <c r="L1084" s="2670"/>
      <c r="M1084" s="2671"/>
      <c r="X1084" s="656"/>
      <c r="Y1084" s="657"/>
      <c r="Z1084" s="657"/>
      <c r="AA1084" s="481"/>
      <c r="AB1084" s="491" t="s">
        <v>1656</v>
      </c>
      <c r="AC1084" s="456"/>
      <c r="AD1084" s="522"/>
      <c r="AE1084" s="699"/>
      <c r="AF1084" s="456"/>
      <c r="AG1084" s="699"/>
      <c r="AH1084" s="481"/>
      <c r="AJ1084" s="481"/>
    </row>
    <row r="1085" spans="1:36" s="454" customFormat="1" ht="15" x14ac:dyDescent="0.25">
      <c r="A1085" s="823"/>
      <c r="B1085" s="824"/>
      <c r="C1085" s="824"/>
      <c r="D1085" s="824"/>
      <c r="E1085" s="825" t="s">
        <v>3577</v>
      </c>
      <c r="F1085" s="826"/>
      <c r="G1085" s="827"/>
      <c r="H1085" s="648"/>
      <c r="I1085" s="828">
        <v>14267</v>
      </c>
      <c r="J1085" s="829"/>
      <c r="K1085" s="829"/>
      <c r="L1085" s="830"/>
      <c r="M1085" s="831"/>
      <c r="X1085" s="656"/>
      <c r="Y1085" s="657"/>
      <c r="Z1085" s="657"/>
      <c r="AA1085" s="481"/>
      <c r="AC1085" s="456"/>
      <c r="AD1085" s="522"/>
      <c r="AE1085" s="699"/>
      <c r="AF1085" s="456"/>
      <c r="AG1085" s="699"/>
      <c r="AH1085" s="481"/>
      <c r="AJ1085" s="481"/>
    </row>
    <row r="1086" spans="1:36" s="454" customFormat="1" ht="15" x14ac:dyDescent="0.25">
      <c r="A1086" s="823"/>
      <c r="B1086" s="824"/>
      <c r="C1086" s="824"/>
      <c r="D1086" s="824"/>
      <c r="E1086" s="825" t="s">
        <v>3578</v>
      </c>
      <c r="F1086" s="826"/>
      <c r="G1086" s="827"/>
      <c r="H1086" s="648"/>
      <c r="I1086" s="828">
        <v>6496</v>
      </c>
      <c r="J1086" s="829"/>
      <c r="K1086" s="829"/>
      <c r="L1086" s="830"/>
      <c r="M1086" s="831"/>
      <c r="X1086" s="656"/>
      <c r="Y1086" s="657"/>
      <c r="Z1086" s="657"/>
      <c r="AA1086" s="481"/>
      <c r="AC1086" s="456"/>
      <c r="AD1086" s="522"/>
      <c r="AE1086" s="699"/>
      <c r="AF1086" s="456"/>
      <c r="AG1086" s="699"/>
      <c r="AH1086" s="481"/>
      <c r="AJ1086" s="481"/>
    </row>
    <row r="1087" spans="1:36" s="454" customFormat="1" ht="15" x14ac:dyDescent="0.25">
      <c r="A1087" s="823"/>
      <c r="B1087" s="824"/>
      <c r="C1087" s="824"/>
      <c r="D1087" s="824"/>
      <c r="E1087" s="825" t="s">
        <v>2692</v>
      </c>
      <c r="F1087" s="826"/>
      <c r="G1087" s="827"/>
      <c r="H1087" s="648"/>
      <c r="I1087" s="828">
        <v>125128</v>
      </c>
      <c r="J1087" s="829"/>
      <c r="K1087" s="829"/>
      <c r="L1087" s="830"/>
      <c r="M1087" s="831"/>
      <c r="X1087" s="656"/>
      <c r="Y1087" s="657"/>
      <c r="Z1087" s="657"/>
      <c r="AA1087" s="481"/>
      <c r="AC1087" s="456"/>
      <c r="AD1087" s="522"/>
      <c r="AE1087" s="699"/>
      <c r="AF1087" s="456"/>
      <c r="AG1087" s="699"/>
      <c r="AH1087" s="481"/>
      <c r="AJ1087" s="481"/>
    </row>
    <row r="1088" spans="1:36" s="454" customFormat="1" ht="23.25" x14ac:dyDescent="0.25">
      <c r="A1088" s="507"/>
      <c r="B1088" s="674" t="s">
        <v>1883</v>
      </c>
      <c r="C1088" s="2672" t="s">
        <v>1884</v>
      </c>
      <c r="D1088" s="2672"/>
      <c r="E1088" s="2672"/>
      <c r="F1088" s="675" t="s">
        <v>3579</v>
      </c>
      <c r="G1088" s="676" t="s">
        <v>1886</v>
      </c>
      <c r="H1088" s="676"/>
      <c r="I1088" s="676">
        <v>8161.8</v>
      </c>
      <c r="J1088" s="676">
        <v>8161.8</v>
      </c>
      <c r="K1088" s="676"/>
      <c r="L1088" s="677"/>
      <c r="M1088" s="678"/>
      <c r="X1088" s="656"/>
      <c r="Y1088" s="657"/>
      <c r="Z1088" s="657"/>
      <c r="AA1088" s="481"/>
      <c r="AC1088" s="456" t="s">
        <v>1884</v>
      </c>
      <c r="AD1088" s="522"/>
      <c r="AE1088" s="699"/>
      <c r="AF1088" s="456"/>
      <c r="AG1088" s="699"/>
      <c r="AH1088" s="481"/>
      <c r="AJ1088" s="481"/>
    </row>
    <row r="1089" spans="1:36" s="454" customFormat="1" ht="23.25" x14ac:dyDescent="0.25">
      <c r="A1089" s="507"/>
      <c r="B1089" s="674" t="s">
        <v>639</v>
      </c>
      <c r="C1089" s="2672" t="s">
        <v>1661</v>
      </c>
      <c r="D1089" s="2672"/>
      <c r="E1089" s="2672"/>
      <c r="F1089" s="675" t="s">
        <v>3580</v>
      </c>
      <c r="G1089" s="676">
        <v>0</v>
      </c>
      <c r="H1089" s="676">
        <v>0</v>
      </c>
      <c r="I1089" s="676">
        <v>0</v>
      </c>
      <c r="J1089" s="676"/>
      <c r="K1089" s="676">
        <v>0</v>
      </c>
      <c r="L1089" s="677"/>
      <c r="M1089" s="678"/>
      <c r="X1089" s="656"/>
      <c r="Y1089" s="657"/>
      <c r="Z1089" s="657"/>
      <c r="AA1089" s="481"/>
      <c r="AC1089" s="456" t="s">
        <v>1661</v>
      </c>
      <c r="AD1089" s="522"/>
      <c r="AE1089" s="699"/>
      <c r="AF1089" s="456"/>
      <c r="AG1089" s="699"/>
      <c r="AH1089" s="481"/>
      <c r="AJ1089" s="481"/>
    </row>
    <row r="1090" spans="1:36" s="454" customFormat="1" ht="23.25" x14ac:dyDescent="0.25">
      <c r="A1090" s="507"/>
      <c r="B1090" s="674" t="s">
        <v>1968</v>
      </c>
      <c r="C1090" s="2672" t="s">
        <v>1969</v>
      </c>
      <c r="D1090" s="2672"/>
      <c r="E1090" s="2672"/>
      <c r="F1090" s="675" t="s">
        <v>3581</v>
      </c>
      <c r="G1090" s="676">
        <v>79.069999999999993</v>
      </c>
      <c r="H1090" s="676" t="s">
        <v>1971</v>
      </c>
      <c r="I1090" s="676">
        <v>188.98</v>
      </c>
      <c r="J1090" s="676"/>
      <c r="K1090" s="676" t="s">
        <v>3582</v>
      </c>
      <c r="L1090" s="677"/>
      <c r="M1090" s="678"/>
      <c r="X1090" s="656"/>
      <c r="Y1090" s="657"/>
      <c r="Z1090" s="657"/>
      <c r="AA1090" s="481"/>
      <c r="AC1090" s="456" t="s">
        <v>1969</v>
      </c>
      <c r="AD1090" s="522"/>
      <c r="AE1090" s="699"/>
      <c r="AF1090" s="456"/>
      <c r="AG1090" s="699"/>
      <c r="AH1090" s="481"/>
      <c r="AJ1090" s="481"/>
    </row>
    <row r="1091" spans="1:36" s="454" customFormat="1" ht="45.75" x14ac:dyDescent="0.25">
      <c r="A1091" s="507"/>
      <c r="B1091" s="674" t="s">
        <v>1973</v>
      </c>
      <c r="C1091" s="2672" t="s">
        <v>1974</v>
      </c>
      <c r="D1091" s="2672"/>
      <c r="E1091" s="2672"/>
      <c r="F1091" s="675" t="s">
        <v>3583</v>
      </c>
      <c r="G1091" s="676">
        <v>70.010000000000005</v>
      </c>
      <c r="H1091" s="676" t="s">
        <v>1976</v>
      </c>
      <c r="I1091" s="676">
        <v>225.43</v>
      </c>
      <c r="J1091" s="676"/>
      <c r="K1091" s="676" t="s">
        <v>3584</v>
      </c>
      <c r="L1091" s="677"/>
      <c r="M1091" s="678"/>
      <c r="X1091" s="656"/>
      <c r="Y1091" s="657"/>
      <c r="Z1091" s="657"/>
      <c r="AA1091" s="481"/>
      <c r="AC1091" s="456" t="s">
        <v>1974</v>
      </c>
      <c r="AD1091" s="522"/>
      <c r="AE1091" s="699"/>
      <c r="AF1091" s="456"/>
      <c r="AG1091" s="699"/>
      <c r="AH1091" s="481"/>
      <c r="AJ1091" s="481"/>
    </row>
    <row r="1092" spans="1:36" s="454" customFormat="1" ht="57" x14ac:dyDescent="0.25">
      <c r="A1092" s="507"/>
      <c r="B1092" s="674" t="s">
        <v>1978</v>
      </c>
      <c r="C1092" s="2672" t="s">
        <v>1979</v>
      </c>
      <c r="D1092" s="2672"/>
      <c r="E1092" s="2672"/>
      <c r="F1092" s="675" t="s">
        <v>3585</v>
      </c>
      <c r="G1092" s="676">
        <v>340</v>
      </c>
      <c r="H1092" s="676" t="s">
        <v>1981</v>
      </c>
      <c r="I1092" s="676">
        <v>61706.6</v>
      </c>
      <c r="J1092" s="676"/>
      <c r="K1092" s="676" t="s">
        <v>3586</v>
      </c>
      <c r="L1092" s="677"/>
      <c r="M1092" s="678"/>
      <c r="X1092" s="656"/>
      <c r="Y1092" s="657"/>
      <c r="Z1092" s="657"/>
      <c r="AA1092" s="481"/>
      <c r="AC1092" s="456" t="s">
        <v>1979</v>
      </c>
      <c r="AD1092" s="522"/>
      <c r="AE1092" s="699"/>
      <c r="AF1092" s="456"/>
      <c r="AG1092" s="699"/>
      <c r="AH1092" s="481"/>
      <c r="AJ1092" s="481"/>
    </row>
    <row r="1093" spans="1:36" s="454" customFormat="1" ht="34.5" x14ac:dyDescent="0.25">
      <c r="A1093" s="507"/>
      <c r="B1093" s="674" t="s">
        <v>1663</v>
      </c>
      <c r="C1093" s="2672" t="s">
        <v>1664</v>
      </c>
      <c r="D1093" s="2672"/>
      <c r="E1093" s="2672"/>
      <c r="F1093" s="675" t="s">
        <v>3587</v>
      </c>
      <c r="G1093" s="676">
        <v>111.99</v>
      </c>
      <c r="H1093" s="676" t="s">
        <v>1666</v>
      </c>
      <c r="I1093" s="676">
        <v>353.89</v>
      </c>
      <c r="J1093" s="676"/>
      <c r="K1093" s="676" t="s">
        <v>3588</v>
      </c>
      <c r="L1093" s="677"/>
      <c r="M1093" s="678"/>
      <c r="X1093" s="656"/>
      <c r="Y1093" s="657"/>
      <c r="Z1093" s="657"/>
      <c r="AA1093" s="481"/>
      <c r="AC1093" s="456" t="s">
        <v>1664</v>
      </c>
      <c r="AD1093" s="522"/>
      <c r="AE1093" s="699"/>
      <c r="AF1093" s="456"/>
      <c r="AG1093" s="699"/>
      <c r="AH1093" s="481"/>
      <c r="AJ1093" s="481"/>
    </row>
    <row r="1094" spans="1:36" s="454" customFormat="1" ht="23.25" x14ac:dyDescent="0.25">
      <c r="A1094" s="507"/>
      <c r="B1094" s="674" t="s">
        <v>1985</v>
      </c>
      <c r="C1094" s="2672" t="s">
        <v>1986</v>
      </c>
      <c r="D1094" s="2672"/>
      <c r="E1094" s="2672"/>
      <c r="F1094" s="675" t="s">
        <v>3589</v>
      </c>
      <c r="G1094" s="676">
        <v>26.5</v>
      </c>
      <c r="H1094" s="676" t="s">
        <v>1988</v>
      </c>
      <c r="I1094" s="676">
        <v>1142.68</v>
      </c>
      <c r="J1094" s="676"/>
      <c r="K1094" s="676" t="s">
        <v>3590</v>
      </c>
      <c r="L1094" s="677"/>
      <c r="M1094" s="678"/>
      <c r="X1094" s="656"/>
      <c r="Y1094" s="657"/>
      <c r="Z1094" s="657"/>
      <c r="AA1094" s="481"/>
      <c r="AC1094" s="456" t="s">
        <v>1986</v>
      </c>
      <c r="AD1094" s="522"/>
      <c r="AE1094" s="699"/>
      <c r="AF1094" s="456"/>
      <c r="AG1094" s="699"/>
      <c r="AH1094" s="481"/>
      <c r="AJ1094" s="481"/>
    </row>
    <row r="1095" spans="1:36" s="454" customFormat="1" ht="34.5" x14ac:dyDescent="0.25">
      <c r="A1095" s="507"/>
      <c r="B1095" s="674" t="s">
        <v>821</v>
      </c>
      <c r="C1095" s="2672" t="s">
        <v>1751</v>
      </c>
      <c r="D1095" s="2672"/>
      <c r="E1095" s="2672"/>
      <c r="F1095" s="675" t="s">
        <v>3591</v>
      </c>
      <c r="G1095" s="676">
        <v>65.709999999999994</v>
      </c>
      <c r="H1095" s="676" t="s">
        <v>1753</v>
      </c>
      <c r="I1095" s="676">
        <v>310.81</v>
      </c>
      <c r="J1095" s="676"/>
      <c r="K1095" s="676" t="s">
        <v>3592</v>
      </c>
      <c r="L1095" s="677"/>
      <c r="M1095" s="678"/>
      <c r="X1095" s="656"/>
      <c r="Y1095" s="657"/>
      <c r="Z1095" s="657"/>
      <c r="AA1095" s="481"/>
      <c r="AC1095" s="456" t="s">
        <v>1751</v>
      </c>
      <c r="AD1095" s="522"/>
      <c r="AE1095" s="699"/>
      <c r="AF1095" s="456"/>
      <c r="AG1095" s="699"/>
      <c r="AH1095" s="481"/>
      <c r="AJ1095" s="481"/>
    </row>
    <row r="1096" spans="1:36" s="454" customFormat="1" ht="23.25" x14ac:dyDescent="0.25">
      <c r="A1096" s="515" t="s">
        <v>863</v>
      </c>
      <c r="B1096" s="686" t="s">
        <v>1992</v>
      </c>
      <c r="C1096" s="2683" t="s">
        <v>1993</v>
      </c>
      <c r="D1096" s="2683"/>
      <c r="E1096" s="2683"/>
      <c r="F1096" s="687" t="s">
        <v>3593</v>
      </c>
      <c r="G1096" s="688">
        <v>0</v>
      </c>
      <c r="H1096" s="688"/>
      <c r="I1096" s="688">
        <v>0</v>
      </c>
      <c r="J1096" s="688"/>
      <c r="K1096" s="688"/>
      <c r="L1096" s="689"/>
      <c r="M1096" s="690"/>
      <c r="X1096" s="656"/>
      <c r="Y1096" s="657"/>
      <c r="Z1096" s="657"/>
      <c r="AA1096" s="481"/>
      <c r="AC1096" s="456"/>
      <c r="AD1096" s="522" t="s">
        <v>1993</v>
      </c>
      <c r="AE1096" s="699"/>
      <c r="AF1096" s="456"/>
      <c r="AG1096" s="699"/>
      <c r="AH1096" s="481"/>
      <c r="AJ1096" s="481"/>
    </row>
    <row r="1097" spans="1:36" s="454" customFormat="1" ht="57" x14ac:dyDescent="0.25">
      <c r="A1097" s="507"/>
      <c r="B1097" s="674" t="s">
        <v>1995</v>
      </c>
      <c r="C1097" s="2672" t="s">
        <v>1996</v>
      </c>
      <c r="D1097" s="2672"/>
      <c r="E1097" s="2672"/>
      <c r="F1097" s="675" t="s">
        <v>3594</v>
      </c>
      <c r="G1097" s="676">
        <v>183.68</v>
      </c>
      <c r="H1097" s="676"/>
      <c r="I1097" s="676">
        <v>310.60000000000002</v>
      </c>
      <c r="J1097" s="676"/>
      <c r="K1097" s="676"/>
      <c r="L1097" s="677"/>
      <c r="M1097" s="678"/>
      <c r="X1097" s="656"/>
      <c r="Y1097" s="657"/>
      <c r="Z1097" s="657"/>
      <c r="AA1097" s="481"/>
      <c r="AC1097" s="456" t="s">
        <v>1996</v>
      </c>
      <c r="AD1097" s="522"/>
      <c r="AE1097" s="699"/>
      <c r="AF1097" s="456"/>
      <c r="AG1097" s="699"/>
      <c r="AH1097" s="481"/>
      <c r="AJ1097" s="481"/>
    </row>
    <row r="1098" spans="1:36" s="454" customFormat="1" ht="23.25" x14ac:dyDescent="0.25">
      <c r="A1098" s="515" t="s">
        <v>863</v>
      </c>
      <c r="B1098" s="686" t="s">
        <v>1998</v>
      </c>
      <c r="C1098" s="2683" t="s">
        <v>1999</v>
      </c>
      <c r="D1098" s="2683"/>
      <c r="E1098" s="2683"/>
      <c r="F1098" s="687" t="s">
        <v>3595</v>
      </c>
      <c r="G1098" s="688">
        <v>0</v>
      </c>
      <c r="H1098" s="688"/>
      <c r="I1098" s="688">
        <v>0</v>
      </c>
      <c r="J1098" s="688"/>
      <c r="K1098" s="688"/>
      <c r="L1098" s="689"/>
      <c r="M1098" s="690"/>
      <c r="X1098" s="656"/>
      <c r="Y1098" s="657"/>
      <c r="Z1098" s="657"/>
      <c r="AA1098" s="481"/>
      <c r="AC1098" s="456"/>
      <c r="AD1098" s="522" t="s">
        <v>1999</v>
      </c>
      <c r="AE1098" s="699"/>
      <c r="AF1098" s="456"/>
      <c r="AG1098" s="699"/>
      <c r="AH1098" s="481"/>
      <c r="AJ1098" s="481"/>
    </row>
    <row r="1099" spans="1:36" s="454" customFormat="1" ht="22.5" x14ac:dyDescent="0.25">
      <c r="A1099" s="515" t="s">
        <v>860</v>
      </c>
      <c r="B1099" s="686" t="s">
        <v>2001</v>
      </c>
      <c r="C1099" s="2683" t="s">
        <v>2002</v>
      </c>
      <c r="D1099" s="2683"/>
      <c r="E1099" s="2683"/>
      <c r="F1099" s="687" t="s">
        <v>1935</v>
      </c>
      <c r="G1099" s="688">
        <v>0</v>
      </c>
      <c r="H1099" s="688"/>
      <c r="I1099" s="688">
        <v>0</v>
      </c>
      <c r="J1099" s="688"/>
      <c r="K1099" s="688"/>
      <c r="L1099" s="689"/>
      <c r="M1099" s="690"/>
      <c r="X1099" s="656"/>
      <c r="Y1099" s="657"/>
      <c r="Z1099" s="657"/>
      <c r="AA1099" s="481"/>
      <c r="AC1099" s="456"/>
      <c r="AD1099" s="522" t="s">
        <v>2002</v>
      </c>
      <c r="AE1099" s="699"/>
      <c r="AF1099" s="456"/>
      <c r="AG1099" s="699"/>
      <c r="AH1099" s="481"/>
      <c r="AJ1099" s="481"/>
    </row>
    <row r="1100" spans="1:36" s="454" customFormat="1" ht="57" x14ac:dyDescent="0.25">
      <c r="A1100" s="658" t="s">
        <v>1481</v>
      </c>
      <c r="B1100" s="659" t="s">
        <v>2003</v>
      </c>
      <c r="C1100" s="2673" t="s">
        <v>2004</v>
      </c>
      <c r="D1100" s="2673"/>
      <c r="E1100" s="2673"/>
      <c r="F1100" s="660">
        <v>0.14399999999999999</v>
      </c>
      <c r="G1100" s="661" t="s">
        <v>2005</v>
      </c>
      <c r="H1100" s="661" t="s">
        <v>2006</v>
      </c>
      <c r="I1100" s="661">
        <v>55898</v>
      </c>
      <c r="J1100" s="661">
        <v>4268</v>
      </c>
      <c r="K1100" s="662" t="s">
        <v>3596</v>
      </c>
      <c r="L1100" s="691">
        <v>3081.2808</v>
      </c>
      <c r="M1100" s="692">
        <v>443.7</v>
      </c>
      <c r="X1100" s="656"/>
      <c r="Y1100" s="657"/>
      <c r="Z1100" s="657"/>
      <c r="AA1100" s="481" t="s">
        <v>2004</v>
      </c>
      <c r="AC1100" s="456"/>
      <c r="AD1100" s="522"/>
      <c r="AE1100" s="699"/>
      <c r="AF1100" s="456"/>
      <c r="AG1100" s="699"/>
      <c r="AH1100" s="481"/>
      <c r="AJ1100" s="481"/>
    </row>
    <row r="1101" spans="1:36" s="454" customFormat="1" ht="15" x14ac:dyDescent="0.25">
      <c r="A1101" s="664"/>
      <c r="B1101" s="665"/>
      <c r="C1101" s="666" t="s">
        <v>3597</v>
      </c>
      <c r="D1101" s="667"/>
      <c r="E1101" s="667"/>
      <c r="F1101" s="667"/>
      <c r="G1101" s="667"/>
      <c r="H1101" s="667"/>
      <c r="I1101" s="667"/>
      <c r="J1101" s="667"/>
      <c r="K1101" s="667"/>
      <c r="L1101" s="667"/>
      <c r="M1101" s="668"/>
      <c r="X1101" s="656"/>
      <c r="Y1101" s="657"/>
      <c r="Z1101" s="657"/>
      <c r="AA1101" s="481"/>
      <c r="AC1101" s="456"/>
      <c r="AD1101" s="522"/>
      <c r="AE1101" s="699"/>
      <c r="AF1101" s="456"/>
      <c r="AG1101" s="699"/>
      <c r="AH1101" s="481"/>
      <c r="AJ1101" s="481"/>
    </row>
    <row r="1102" spans="1:36" s="454" customFormat="1" ht="15" x14ac:dyDescent="0.25">
      <c r="A1102" s="542"/>
      <c r="B1102" s="673" t="s">
        <v>1960</v>
      </c>
      <c r="C1102" s="2670" t="s">
        <v>1961</v>
      </c>
      <c r="D1102" s="2670"/>
      <c r="E1102" s="2670"/>
      <c r="F1102" s="2670"/>
      <c r="G1102" s="2670"/>
      <c r="H1102" s="2670"/>
      <c r="I1102" s="2670"/>
      <c r="J1102" s="2670"/>
      <c r="K1102" s="2670"/>
      <c r="L1102" s="2670"/>
      <c r="M1102" s="2671"/>
      <c r="X1102" s="656"/>
      <c r="Y1102" s="657"/>
      <c r="Z1102" s="657"/>
      <c r="AA1102" s="481"/>
      <c r="AB1102" s="491" t="s">
        <v>1961</v>
      </c>
      <c r="AC1102" s="456"/>
      <c r="AD1102" s="522"/>
      <c r="AE1102" s="699"/>
      <c r="AF1102" s="456"/>
      <c r="AG1102" s="699"/>
      <c r="AH1102" s="481"/>
      <c r="AJ1102" s="481"/>
    </row>
    <row r="1103" spans="1:36" s="454" customFormat="1" ht="15" x14ac:dyDescent="0.25">
      <c r="A1103" s="542"/>
      <c r="B1103" s="673" t="s">
        <v>1962</v>
      </c>
      <c r="C1103" s="2670" t="s">
        <v>1963</v>
      </c>
      <c r="D1103" s="2670"/>
      <c r="E1103" s="2670"/>
      <c r="F1103" s="2670"/>
      <c r="G1103" s="2670"/>
      <c r="H1103" s="2670"/>
      <c r="I1103" s="2670"/>
      <c r="J1103" s="2670"/>
      <c r="K1103" s="2670"/>
      <c r="L1103" s="2670"/>
      <c r="M1103" s="2671"/>
      <c r="X1103" s="656"/>
      <c r="Y1103" s="657"/>
      <c r="Z1103" s="657"/>
      <c r="AA1103" s="481"/>
      <c r="AB1103" s="491" t="s">
        <v>1963</v>
      </c>
      <c r="AC1103" s="456"/>
      <c r="AD1103" s="522"/>
      <c r="AE1103" s="699"/>
      <c r="AF1103" s="456"/>
      <c r="AG1103" s="699"/>
      <c r="AH1103" s="481"/>
      <c r="AJ1103" s="481"/>
    </row>
    <row r="1104" spans="1:36" s="454" customFormat="1" ht="15" x14ac:dyDescent="0.25">
      <c r="A1104" s="542"/>
      <c r="B1104" s="673" t="s">
        <v>1964</v>
      </c>
      <c r="C1104" s="2670" t="s">
        <v>1965</v>
      </c>
      <c r="D1104" s="2670"/>
      <c r="E1104" s="2670"/>
      <c r="F1104" s="2670"/>
      <c r="G1104" s="2670"/>
      <c r="H1104" s="2670"/>
      <c r="I1104" s="2670"/>
      <c r="J1104" s="2670"/>
      <c r="K1104" s="2670"/>
      <c r="L1104" s="2670"/>
      <c r="M1104" s="2671"/>
      <c r="X1104" s="656"/>
      <c r="Y1104" s="657"/>
      <c r="Z1104" s="657"/>
      <c r="AA1104" s="481"/>
      <c r="AB1104" s="491" t="s">
        <v>1965</v>
      </c>
      <c r="AC1104" s="456"/>
      <c r="AD1104" s="522"/>
      <c r="AE1104" s="699"/>
      <c r="AF1104" s="456"/>
      <c r="AG1104" s="699"/>
      <c r="AH1104" s="481"/>
      <c r="AJ1104" s="481"/>
    </row>
    <row r="1105" spans="1:36" s="454" customFormat="1" ht="33.75" x14ac:dyDescent="0.25">
      <c r="A1105" s="542"/>
      <c r="B1105" s="673" t="s">
        <v>1655</v>
      </c>
      <c r="C1105" s="2670" t="s">
        <v>1656</v>
      </c>
      <c r="D1105" s="2670"/>
      <c r="E1105" s="2670"/>
      <c r="F1105" s="2670"/>
      <c r="G1105" s="2670"/>
      <c r="H1105" s="2670"/>
      <c r="I1105" s="2670"/>
      <c r="J1105" s="2670"/>
      <c r="K1105" s="2670"/>
      <c r="L1105" s="2670"/>
      <c r="M1105" s="2671"/>
      <c r="X1105" s="656"/>
      <c r="Y1105" s="657"/>
      <c r="Z1105" s="657"/>
      <c r="AA1105" s="481"/>
      <c r="AB1105" s="491" t="s">
        <v>1656</v>
      </c>
      <c r="AC1105" s="456"/>
      <c r="AD1105" s="522"/>
      <c r="AE1105" s="699"/>
      <c r="AF1105" s="456"/>
      <c r="AG1105" s="699"/>
      <c r="AH1105" s="481"/>
      <c r="AJ1105" s="481"/>
    </row>
    <row r="1106" spans="1:36" s="454" customFormat="1" ht="15" x14ac:dyDescent="0.25">
      <c r="A1106" s="823"/>
      <c r="B1106" s="824"/>
      <c r="C1106" s="824"/>
      <c r="D1106" s="824"/>
      <c r="E1106" s="825" t="s">
        <v>3598</v>
      </c>
      <c r="F1106" s="826"/>
      <c r="G1106" s="827"/>
      <c r="H1106" s="648"/>
      <c r="I1106" s="828">
        <v>7223</v>
      </c>
      <c r="J1106" s="829"/>
      <c r="K1106" s="829"/>
      <c r="L1106" s="830"/>
      <c r="M1106" s="831"/>
      <c r="X1106" s="656"/>
      <c r="Y1106" s="657"/>
      <c r="Z1106" s="657"/>
      <c r="AA1106" s="481"/>
      <c r="AC1106" s="456"/>
      <c r="AD1106" s="522"/>
      <c r="AE1106" s="699"/>
      <c r="AF1106" s="456"/>
      <c r="AG1106" s="699"/>
      <c r="AH1106" s="481"/>
      <c r="AJ1106" s="481"/>
    </row>
    <row r="1107" spans="1:36" s="454" customFormat="1" ht="15" x14ac:dyDescent="0.25">
      <c r="A1107" s="823"/>
      <c r="B1107" s="824"/>
      <c r="C1107" s="824"/>
      <c r="D1107" s="824"/>
      <c r="E1107" s="825" t="s">
        <v>3599</v>
      </c>
      <c r="F1107" s="826"/>
      <c r="G1107" s="827"/>
      <c r="H1107" s="648"/>
      <c r="I1107" s="828">
        <v>3289</v>
      </c>
      <c r="J1107" s="829"/>
      <c r="K1107" s="829"/>
      <c r="L1107" s="830"/>
      <c r="M1107" s="831"/>
      <c r="X1107" s="656"/>
      <c r="Y1107" s="657"/>
      <c r="Z1107" s="657"/>
      <c r="AA1107" s="481"/>
      <c r="AC1107" s="456"/>
      <c r="AD1107" s="522"/>
      <c r="AE1107" s="699"/>
      <c r="AF1107" s="456"/>
      <c r="AG1107" s="699"/>
      <c r="AH1107" s="481"/>
      <c r="AJ1107" s="481"/>
    </row>
    <row r="1108" spans="1:36" s="454" customFormat="1" ht="15" x14ac:dyDescent="0.25">
      <c r="A1108" s="823"/>
      <c r="B1108" s="824"/>
      <c r="C1108" s="824"/>
      <c r="D1108" s="824"/>
      <c r="E1108" s="825" t="s">
        <v>2692</v>
      </c>
      <c r="F1108" s="826"/>
      <c r="G1108" s="827"/>
      <c r="H1108" s="648"/>
      <c r="I1108" s="828">
        <v>66410</v>
      </c>
      <c r="J1108" s="829"/>
      <c r="K1108" s="829"/>
      <c r="L1108" s="830"/>
      <c r="M1108" s="831"/>
      <c r="X1108" s="656"/>
      <c r="Y1108" s="657"/>
      <c r="Z1108" s="657"/>
      <c r="AA1108" s="481"/>
      <c r="AC1108" s="456"/>
      <c r="AD1108" s="522"/>
      <c r="AE1108" s="699"/>
      <c r="AF1108" s="456"/>
      <c r="AG1108" s="699"/>
      <c r="AH1108" s="481"/>
      <c r="AJ1108" s="481"/>
    </row>
    <row r="1109" spans="1:36" s="454" customFormat="1" ht="23.25" x14ac:dyDescent="0.25">
      <c r="A1109" s="507"/>
      <c r="B1109" s="674" t="s">
        <v>1883</v>
      </c>
      <c r="C1109" s="2672" t="s">
        <v>1884</v>
      </c>
      <c r="D1109" s="2672"/>
      <c r="E1109" s="2672"/>
      <c r="F1109" s="675" t="s">
        <v>3600</v>
      </c>
      <c r="G1109" s="676" t="s">
        <v>1886</v>
      </c>
      <c r="H1109" s="676"/>
      <c r="I1109" s="676">
        <v>4268.3900000000003</v>
      </c>
      <c r="J1109" s="676">
        <v>4268.3900000000003</v>
      </c>
      <c r="K1109" s="676"/>
      <c r="L1109" s="677"/>
      <c r="M1109" s="678"/>
      <c r="X1109" s="656"/>
      <c r="Y1109" s="657"/>
      <c r="Z1109" s="657"/>
      <c r="AA1109" s="481"/>
      <c r="AC1109" s="456" t="s">
        <v>1884</v>
      </c>
      <c r="AD1109" s="522"/>
      <c r="AE1109" s="699"/>
      <c r="AF1109" s="456"/>
      <c r="AG1109" s="699"/>
      <c r="AH1109" s="481"/>
      <c r="AJ1109" s="481"/>
    </row>
    <row r="1110" spans="1:36" s="454" customFormat="1" ht="23.25" x14ac:dyDescent="0.25">
      <c r="A1110" s="507"/>
      <c r="B1110" s="674" t="s">
        <v>639</v>
      </c>
      <c r="C1110" s="2672" t="s">
        <v>1661</v>
      </c>
      <c r="D1110" s="2672"/>
      <c r="E1110" s="2672"/>
      <c r="F1110" s="675" t="s">
        <v>3601</v>
      </c>
      <c r="G1110" s="676">
        <v>0</v>
      </c>
      <c r="H1110" s="676">
        <v>0</v>
      </c>
      <c r="I1110" s="676">
        <v>0</v>
      </c>
      <c r="J1110" s="676"/>
      <c r="K1110" s="676">
        <v>0</v>
      </c>
      <c r="L1110" s="677"/>
      <c r="M1110" s="678"/>
      <c r="X1110" s="656"/>
      <c r="Y1110" s="657"/>
      <c r="Z1110" s="657"/>
      <c r="AA1110" s="481"/>
      <c r="AC1110" s="456" t="s">
        <v>1661</v>
      </c>
      <c r="AD1110" s="522"/>
      <c r="AE1110" s="699"/>
      <c r="AF1110" s="456"/>
      <c r="AG1110" s="699"/>
      <c r="AH1110" s="481"/>
      <c r="AJ1110" s="481"/>
    </row>
    <row r="1111" spans="1:36" s="454" customFormat="1" ht="23.25" x14ac:dyDescent="0.25">
      <c r="A1111" s="507"/>
      <c r="B1111" s="674" t="s">
        <v>1968</v>
      </c>
      <c r="C1111" s="2672" t="s">
        <v>1969</v>
      </c>
      <c r="D1111" s="2672"/>
      <c r="E1111" s="2672"/>
      <c r="F1111" s="675" t="s">
        <v>3602</v>
      </c>
      <c r="G1111" s="676">
        <v>79.069999999999993</v>
      </c>
      <c r="H1111" s="676" t="s">
        <v>1971</v>
      </c>
      <c r="I1111" s="676">
        <v>33.21</v>
      </c>
      <c r="J1111" s="676"/>
      <c r="K1111" s="676" t="s">
        <v>3603</v>
      </c>
      <c r="L1111" s="677"/>
      <c r="M1111" s="678"/>
      <c r="X1111" s="656"/>
      <c r="Y1111" s="657"/>
      <c r="Z1111" s="657"/>
      <c r="AA1111" s="481"/>
      <c r="AC1111" s="456" t="s">
        <v>1969</v>
      </c>
      <c r="AD1111" s="522"/>
      <c r="AE1111" s="699"/>
      <c r="AF1111" s="456"/>
      <c r="AG1111" s="699"/>
      <c r="AH1111" s="481"/>
      <c r="AJ1111" s="481"/>
    </row>
    <row r="1112" spans="1:36" s="454" customFormat="1" ht="45.75" x14ac:dyDescent="0.25">
      <c r="A1112" s="507"/>
      <c r="B1112" s="674" t="s">
        <v>1973</v>
      </c>
      <c r="C1112" s="2672" t="s">
        <v>1974</v>
      </c>
      <c r="D1112" s="2672"/>
      <c r="E1112" s="2672"/>
      <c r="F1112" s="675" t="s">
        <v>3604</v>
      </c>
      <c r="G1112" s="676">
        <v>70.010000000000005</v>
      </c>
      <c r="H1112" s="676" t="s">
        <v>1976</v>
      </c>
      <c r="I1112" s="676">
        <v>39.909999999999997</v>
      </c>
      <c r="J1112" s="676"/>
      <c r="K1112" s="676" t="s">
        <v>3605</v>
      </c>
      <c r="L1112" s="677"/>
      <c r="M1112" s="678"/>
      <c r="X1112" s="656"/>
      <c r="Y1112" s="657"/>
      <c r="Z1112" s="657"/>
      <c r="AA1112" s="481"/>
      <c r="AC1112" s="456" t="s">
        <v>1974</v>
      </c>
      <c r="AD1112" s="522"/>
      <c r="AE1112" s="699"/>
      <c r="AF1112" s="456"/>
      <c r="AG1112" s="699"/>
      <c r="AH1112" s="481"/>
      <c r="AJ1112" s="481"/>
    </row>
    <row r="1113" spans="1:36" s="454" customFormat="1" ht="57" x14ac:dyDescent="0.25">
      <c r="A1113" s="507"/>
      <c r="B1113" s="674" t="s">
        <v>1978</v>
      </c>
      <c r="C1113" s="2672" t="s">
        <v>1979</v>
      </c>
      <c r="D1113" s="2672"/>
      <c r="E1113" s="2672"/>
      <c r="F1113" s="675" t="s">
        <v>3606</v>
      </c>
      <c r="G1113" s="676">
        <v>340</v>
      </c>
      <c r="H1113" s="676" t="s">
        <v>1981</v>
      </c>
      <c r="I1113" s="676">
        <v>33898</v>
      </c>
      <c r="J1113" s="676"/>
      <c r="K1113" s="676" t="s">
        <v>3607</v>
      </c>
      <c r="L1113" s="677"/>
      <c r="M1113" s="678"/>
      <c r="X1113" s="656"/>
      <c r="Y1113" s="657"/>
      <c r="Z1113" s="657"/>
      <c r="AA1113" s="481"/>
      <c r="AC1113" s="456" t="s">
        <v>1979</v>
      </c>
      <c r="AD1113" s="522"/>
      <c r="AE1113" s="699"/>
      <c r="AF1113" s="456"/>
      <c r="AG1113" s="699"/>
      <c r="AH1113" s="481"/>
      <c r="AJ1113" s="481"/>
    </row>
    <row r="1114" spans="1:36" s="454" customFormat="1" ht="34.5" x14ac:dyDescent="0.25">
      <c r="A1114" s="507"/>
      <c r="B1114" s="674" t="s">
        <v>1663</v>
      </c>
      <c r="C1114" s="2672" t="s">
        <v>1664</v>
      </c>
      <c r="D1114" s="2672"/>
      <c r="E1114" s="2672"/>
      <c r="F1114" s="675" t="s">
        <v>3608</v>
      </c>
      <c r="G1114" s="676">
        <v>111.99</v>
      </c>
      <c r="H1114" s="676" t="s">
        <v>1666</v>
      </c>
      <c r="I1114" s="676">
        <v>70.55</v>
      </c>
      <c r="J1114" s="676"/>
      <c r="K1114" s="676" t="s">
        <v>3609</v>
      </c>
      <c r="L1114" s="677"/>
      <c r="M1114" s="678"/>
      <c r="X1114" s="656"/>
      <c r="Y1114" s="657"/>
      <c r="Z1114" s="657"/>
      <c r="AA1114" s="481"/>
      <c r="AC1114" s="456" t="s">
        <v>1664</v>
      </c>
      <c r="AD1114" s="522"/>
      <c r="AE1114" s="699"/>
      <c r="AF1114" s="456"/>
      <c r="AG1114" s="699"/>
      <c r="AH1114" s="481"/>
      <c r="AJ1114" s="481"/>
    </row>
    <row r="1115" spans="1:36" s="454" customFormat="1" ht="23.25" x14ac:dyDescent="0.25">
      <c r="A1115" s="507"/>
      <c r="B1115" s="674" t="s">
        <v>1985</v>
      </c>
      <c r="C1115" s="2672" t="s">
        <v>1986</v>
      </c>
      <c r="D1115" s="2672"/>
      <c r="E1115" s="2672"/>
      <c r="F1115" s="675" t="s">
        <v>3610</v>
      </c>
      <c r="G1115" s="676">
        <v>26.5</v>
      </c>
      <c r="H1115" s="676" t="s">
        <v>1988</v>
      </c>
      <c r="I1115" s="676">
        <v>201.67</v>
      </c>
      <c r="J1115" s="676"/>
      <c r="K1115" s="676" t="s">
        <v>3611</v>
      </c>
      <c r="L1115" s="677"/>
      <c r="M1115" s="678"/>
      <c r="X1115" s="656"/>
      <c r="Y1115" s="657"/>
      <c r="Z1115" s="657"/>
      <c r="AA1115" s="481"/>
      <c r="AC1115" s="456" t="s">
        <v>1986</v>
      </c>
      <c r="AD1115" s="522"/>
      <c r="AE1115" s="699"/>
      <c r="AF1115" s="456"/>
      <c r="AG1115" s="699"/>
      <c r="AH1115" s="481"/>
      <c r="AJ1115" s="481"/>
    </row>
    <row r="1116" spans="1:36" s="454" customFormat="1" ht="34.5" x14ac:dyDescent="0.25">
      <c r="A1116" s="507"/>
      <c r="B1116" s="674" t="s">
        <v>821</v>
      </c>
      <c r="C1116" s="2672" t="s">
        <v>1751</v>
      </c>
      <c r="D1116" s="2672"/>
      <c r="E1116" s="2672"/>
      <c r="F1116" s="675" t="s">
        <v>3612</v>
      </c>
      <c r="G1116" s="676">
        <v>65.709999999999994</v>
      </c>
      <c r="H1116" s="676" t="s">
        <v>1753</v>
      </c>
      <c r="I1116" s="676">
        <v>61.77</v>
      </c>
      <c r="J1116" s="676"/>
      <c r="K1116" s="676" t="s">
        <v>2767</v>
      </c>
      <c r="L1116" s="677"/>
      <c r="M1116" s="678"/>
      <c r="X1116" s="656"/>
      <c r="Y1116" s="657"/>
      <c r="Z1116" s="657"/>
      <c r="AA1116" s="481"/>
      <c r="AC1116" s="456" t="s">
        <v>1751</v>
      </c>
      <c r="AD1116" s="522"/>
      <c r="AE1116" s="699"/>
      <c r="AF1116" s="456"/>
      <c r="AG1116" s="699"/>
      <c r="AH1116" s="481"/>
      <c r="AJ1116" s="481"/>
    </row>
    <row r="1117" spans="1:36" s="454" customFormat="1" ht="23.25" x14ac:dyDescent="0.25">
      <c r="A1117" s="515" t="s">
        <v>863</v>
      </c>
      <c r="B1117" s="686" t="s">
        <v>1992</v>
      </c>
      <c r="C1117" s="2683" t="s">
        <v>1993</v>
      </c>
      <c r="D1117" s="2683"/>
      <c r="E1117" s="2683"/>
      <c r="F1117" s="687" t="s">
        <v>3613</v>
      </c>
      <c r="G1117" s="688">
        <v>0</v>
      </c>
      <c r="H1117" s="688"/>
      <c r="I1117" s="688">
        <v>0</v>
      </c>
      <c r="J1117" s="688"/>
      <c r="K1117" s="688"/>
      <c r="L1117" s="689"/>
      <c r="M1117" s="690"/>
      <c r="X1117" s="656"/>
      <c r="Y1117" s="657"/>
      <c r="Z1117" s="657"/>
      <c r="AA1117" s="481"/>
      <c r="AC1117" s="456"/>
      <c r="AD1117" s="522" t="s">
        <v>1993</v>
      </c>
      <c r="AE1117" s="699"/>
      <c r="AF1117" s="456"/>
      <c r="AG1117" s="699"/>
      <c r="AH1117" s="481"/>
      <c r="AJ1117" s="481"/>
    </row>
    <row r="1118" spans="1:36" s="454" customFormat="1" ht="57" x14ac:dyDescent="0.25">
      <c r="A1118" s="507"/>
      <c r="B1118" s="674" t="s">
        <v>1995</v>
      </c>
      <c r="C1118" s="2672" t="s">
        <v>1996</v>
      </c>
      <c r="D1118" s="2672"/>
      <c r="E1118" s="2672"/>
      <c r="F1118" s="675" t="s">
        <v>3614</v>
      </c>
      <c r="G1118" s="676">
        <v>183.68</v>
      </c>
      <c r="H1118" s="676"/>
      <c r="I1118" s="676">
        <v>171.39</v>
      </c>
      <c r="J1118" s="676"/>
      <c r="K1118" s="676"/>
      <c r="L1118" s="677"/>
      <c r="M1118" s="678"/>
      <c r="X1118" s="656"/>
      <c r="Y1118" s="657"/>
      <c r="Z1118" s="657"/>
      <c r="AA1118" s="481"/>
      <c r="AC1118" s="456" t="s">
        <v>1996</v>
      </c>
      <c r="AD1118" s="522"/>
      <c r="AE1118" s="699"/>
      <c r="AF1118" s="456"/>
      <c r="AG1118" s="699"/>
      <c r="AH1118" s="481"/>
      <c r="AJ1118" s="481"/>
    </row>
    <row r="1119" spans="1:36" s="454" customFormat="1" ht="23.25" x14ac:dyDescent="0.25">
      <c r="A1119" s="515" t="s">
        <v>863</v>
      </c>
      <c r="B1119" s="686" t="s">
        <v>1998</v>
      </c>
      <c r="C1119" s="2683" t="s">
        <v>1999</v>
      </c>
      <c r="D1119" s="2683"/>
      <c r="E1119" s="2683"/>
      <c r="F1119" s="687" t="s">
        <v>3615</v>
      </c>
      <c r="G1119" s="688">
        <v>0</v>
      </c>
      <c r="H1119" s="688"/>
      <c r="I1119" s="688">
        <v>0</v>
      </c>
      <c r="J1119" s="688"/>
      <c r="K1119" s="688"/>
      <c r="L1119" s="689"/>
      <c r="M1119" s="690"/>
      <c r="X1119" s="656"/>
      <c r="Y1119" s="657"/>
      <c r="Z1119" s="657"/>
      <c r="AA1119" s="481"/>
      <c r="AC1119" s="456"/>
      <c r="AD1119" s="522" t="s">
        <v>1999</v>
      </c>
      <c r="AE1119" s="699"/>
      <c r="AF1119" s="456"/>
      <c r="AG1119" s="699"/>
      <c r="AH1119" s="481"/>
      <c r="AJ1119" s="481"/>
    </row>
    <row r="1120" spans="1:36" s="454" customFormat="1" ht="22.5" x14ac:dyDescent="0.25">
      <c r="A1120" s="515" t="s">
        <v>860</v>
      </c>
      <c r="B1120" s="686" t="s">
        <v>2001</v>
      </c>
      <c r="C1120" s="2683" t="s">
        <v>2002</v>
      </c>
      <c r="D1120" s="2683"/>
      <c r="E1120" s="2683"/>
      <c r="F1120" s="687" t="s">
        <v>1935</v>
      </c>
      <c r="G1120" s="688">
        <v>0</v>
      </c>
      <c r="H1120" s="688"/>
      <c r="I1120" s="688">
        <v>0</v>
      </c>
      <c r="J1120" s="688"/>
      <c r="K1120" s="688"/>
      <c r="L1120" s="689"/>
      <c r="M1120" s="690"/>
      <c r="X1120" s="656"/>
      <c r="Y1120" s="657"/>
      <c r="Z1120" s="657"/>
      <c r="AA1120" s="481"/>
      <c r="AC1120" s="456"/>
      <c r="AD1120" s="522" t="s">
        <v>2002</v>
      </c>
      <c r="AE1120" s="699"/>
      <c r="AF1120" s="456"/>
      <c r="AG1120" s="699"/>
      <c r="AH1120" s="481"/>
      <c r="AJ1120" s="481"/>
    </row>
    <row r="1121" spans="1:36" s="454" customFormat="1" ht="45" x14ac:dyDescent="0.25">
      <c r="A1121" s="658" t="s">
        <v>1484</v>
      </c>
      <c r="B1121" s="659" t="s">
        <v>2026</v>
      </c>
      <c r="C1121" s="2673" t="s">
        <v>1254</v>
      </c>
      <c r="D1121" s="2673"/>
      <c r="E1121" s="2673"/>
      <c r="F1121" s="679">
        <v>2.88</v>
      </c>
      <c r="G1121" s="661">
        <v>480</v>
      </c>
      <c r="H1121" s="661"/>
      <c r="I1121" s="661">
        <v>1382</v>
      </c>
      <c r="J1121" s="661"/>
      <c r="K1121" s="662"/>
      <c r="L1121" s="663">
        <v>0</v>
      </c>
      <c r="M1121" s="663">
        <v>0</v>
      </c>
      <c r="X1121" s="656"/>
      <c r="Y1121" s="657"/>
      <c r="Z1121" s="657"/>
      <c r="AA1121" s="481" t="s">
        <v>1254</v>
      </c>
      <c r="AC1121" s="456"/>
      <c r="AD1121" s="522"/>
      <c r="AE1121" s="699"/>
      <c r="AF1121" s="456"/>
      <c r="AG1121" s="699"/>
      <c r="AH1121" s="481"/>
      <c r="AJ1121" s="481"/>
    </row>
    <row r="1122" spans="1:36" s="454" customFormat="1" ht="15" x14ac:dyDescent="0.25">
      <c r="A1122" s="664"/>
      <c r="B1122" s="665"/>
      <c r="C1122" s="666" t="s">
        <v>3616</v>
      </c>
      <c r="D1122" s="667"/>
      <c r="E1122" s="667"/>
      <c r="F1122" s="667"/>
      <c r="G1122" s="667"/>
      <c r="H1122" s="667"/>
      <c r="I1122" s="667"/>
      <c r="J1122" s="667"/>
      <c r="K1122" s="667"/>
      <c r="L1122" s="667"/>
      <c r="M1122" s="668"/>
      <c r="X1122" s="656"/>
      <c r="Y1122" s="657"/>
      <c r="Z1122" s="657"/>
      <c r="AA1122" s="481"/>
      <c r="AC1122" s="456"/>
      <c r="AD1122" s="522"/>
      <c r="AE1122" s="699"/>
      <c r="AF1122" s="456"/>
      <c r="AG1122" s="699"/>
      <c r="AH1122" s="481"/>
      <c r="AJ1122" s="481"/>
    </row>
    <row r="1123" spans="1:36" s="454" customFormat="1" ht="45" x14ac:dyDescent="0.25">
      <c r="A1123" s="658" t="s">
        <v>1486</v>
      </c>
      <c r="B1123" s="659" t="s">
        <v>2028</v>
      </c>
      <c r="C1123" s="2673" t="s">
        <v>1257</v>
      </c>
      <c r="D1123" s="2673"/>
      <c r="E1123" s="2673"/>
      <c r="F1123" s="670">
        <v>2</v>
      </c>
      <c r="G1123" s="661">
        <v>2.44</v>
      </c>
      <c r="H1123" s="661"/>
      <c r="I1123" s="661">
        <v>5</v>
      </c>
      <c r="J1123" s="661"/>
      <c r="K1123" s="662"/>
      <c r="L1123" s="663">
        <v>0</v>
      </c>
      <c r="M1123" s="663">
        <v>0</v>
      </c>
      <c r="X1123" s="656"/>
      <c r="Y1123" s="657"/>
      <c r="Z1123" s="657"/>
      <c r="AA1123" s="481" t="s">
        <v>1257</v>
      </c>
      <c r="AC1123" s="456"/>
      <c r="AD1123" s="522"/>
      <c r="AE1123" s="699"/>
      <c r="AF1123" s="456"/>
      <c r="AG1123" s="699"/>
      <c r="AH1123" s="481"/>
      <c r="AJ1123" s="481"/>
    </row>
    <row r="1124" spans="1:36" s="454" customFormat="1" ht="15" x14ac:dyDescent="0.25">
      <c r="A1124" s="664"/>
      <c r="B1124" s="665"/>
      <c r="C1124" s="666" t="s">
        <v>3617</v>
      </c>
      <c r="D1124" s="667"/>
      <c r="E1124" s="667"/>
      <c r="F1124" s="667"/>
      <c r="G1124" s="667"/>
      <c r="H1124" s="667"/>
      <c r="I1124" s="667"/>
      <c r="J1124" s="667"/>
      <c r="K1124" s="667"/>
      <c r="L1124" s="667"/>
      <c r="M1124" s="668"/>
      <c r="X1124" s="656"/>
      <c r="Y1124" s="657"/>
      <c r="Z1124" s="657"/>
      <c r="AA1124" s="481"/>
      <c r="AC1124" s="456"/>
      <c r="AD1124" s="522"/>
      <c r="AE1124" s="699"/>
      <c r="AF1124" s="456"/>
      <c r="AG1124" s="699"/>
      <c r="AH1124" s="481"/>
      <c r="AJ1124" s="481"/>
    </row>
    <row r="1125" spans="1:36" s="454" customFormat="1" ht="45.75" x14ac:dyDescent="0.25">
      <c r="A1125" s="658" t="s">
        <v>1488</v>
      </c>
      <c r="B1125" s="659" t="s">
        <v>2030</v>
      </c>
      <c r="C1125" s="2673" t="s">
        <v>2031</v>
      </c>
      <c r="D1125" s="2673"/>
      <c r="E1125" s="2673"/>
      <c r="F1125" s="679">
        <v>0.96</v>
      </c>
      <c r="G1125" s="661" t="s">
        <v>2032</v>
      </c>
      <c r="H1125" s="661" t="s">
        <v>2033</v>
      </c>
      <c r="I1125" s="661">
        <v>10746</v>
      </c>
      <c r="J1125" s="661">
        <v>1441</v>
      </c>
      <c r="K1125" s="662" t="s">
        <v>3618</v>
      </c>
      <c r="L1125" s="671">
        <v>156.04499999999999</v>
      </c>
      <c r="M1125" s="692">
        <v>149.80000000000001</v>
      </c>
      <c r="X1125" s="656"/>
      <c r="Y1125" s="657"/>
      <c r="Z1125" s="657"/>
      <c r="AA1125" s="481" t="s">
        <v>2031</v>
      </c>
      <c r="AC1125" s="456"/>
      <c r="AD1125" s="522"/>
      <c r="AE1125" s="699"/>
      <c r="AF1125" s="456"/>
      <c r="AG1125" s="699"/>
      <c r="AH1125" s="481"/>
      <c r="AJ1125" s="481"/>
    </row>
    <row r="1126" spans="1:36" s="454" customFormat="1" ht="15" x14ac:dyDescent="0.25">
      <c r="A1126" s="664"/>
      <c r="B1126" s="665"/>
      <c r="C1126" s="666" t="s">
        <v>3619</v>
      </c>
      <c r="D1126" s="667"/>
      <c r="E1126" s="667"/>
      <c r="F1126" s="667"/>
      <c r="G1126" s="667"/>
      <c r="H1126" s="667"/>
      <c r="I1126" s="667"/>
      <c r="J1126" s="667"/>
      <c r="K1126" s="667"/>
      <c r="L1126" s="667"/>
      <c r="M1126" s="668"/>
      <c r="X1126" s="656"/>
      <c r="Y1126" s="657"/>
      <c r="Z1126" s="657"/>
      <c r="AA1126" s="481"/>
      <c r="AC1126" s="456"/>
      <c r="AD1126" s="522"/>
      <c r="AE1126" s="699"/>
      <c r="AF1126" s="456"/>
      <c r="AG1126" s="699"/>
      <c r="AH1126" s="481"/>
      <c r="AJ1126" s="481"/>
    </row>
    <row r="1127" spans="1:36" s="454" customFormat="1" ht="15" x14ac:dyDescent="0.25">
      <c r="A1127" s="542"/>
      <c r="B1127" s="665"/>
      <c r="C1127" s="666" t="s">
        <v>2036</v>
      </c>
      <c r="D1127" s="667"/>
      <c r="E1127" s="667"/>
      <c r="F1127" s="667"/>
      <c r="G1127" s="667"/>
      <c r="H1127" s="667"/>
      <c r="I1127" s="667"/>
      <c r="J1127" s="667"/>
      <c r="K1127" s="667"/>
      <c r="L1127" s="667"/>
      <c r="M1127" s="669"/>
      <c r="X1127" s="656"/>
      <c r="Y1127" s="657"/>
      <c r="Z1127" s="657"/>
      <c r="AA1127" s="481"/>
      <c r="AC1127" s="456"/>
      <c r="AD1127" s="522"/>
      <c r="AE1127" s="699"/>
      <c r="AF1127" s="456"/>
      <c r="AG1127" s="699"/>
      <c r="AH1127" s="481"/>
      <c r="AJ1127" s="481"/>
    </row>
    <row r="1128" spans="1:36" s="454" customFormat="1" ht="33.75" x14ac:dyDescent="0.25">
      <c r="A1128" s="542"/>
      <c r="B1128" s="673" t="s">
        <v>1655</v>
      </c>
      <c r="C1128" s="2670" t="s">
        <v>1656</v>
      </c>
      <c r="D1128" s="2670"/>
      <c r="E1128" s="2670"/>
      <c r="F1128" s="2670"/>
      <c r="G1128" s="2670"/>
      <c r="H1128" s="2670"/>
      <c r="I1128" s="2670"/>
      <c r="J1128" s="2670"/>
      <c r="K1128" s="2670"/>
      <c r="L1128" s="2670"/>
      <c r="M1128" s="2671"/>
      <c r="X1128" s="656"/>
      <c r="Y1128" s="657"/>
      <c r="Z1128" s="657"/>
      <c r="AA1128" s="481"/>
      <c r="AB1128" s="491" t="s">
        <v>1656</v>
      </c>
      <c r="AC1128" s="456"/>
      <c r="AD1128" s="522"/>
      <c r="AE1128" s="699"/>
      <c r="AF1128" s="456"/>
      <c r="AG1128" s="699"/>
      <c r="AH1128" s="481"/>
      <c r="AJ1128" s="481"/>
    </row>
    <row r="1129" spans="1:36" s="454" customFormat="1" ht="15" x14ac:dyDescent="0.25">
      <c r="A1129" s="823"/>
      <c r="B1129" s="824"/>
      <c r="C1129" s="824"/>
      <c r="D1129" s="824"/>
      <c r="E1129" s="825" t="s">
        <v>3620</v>
      </c>
      <c r="F1129" s="826"/>
      <c r="G1129" s="827"/>
      <c r="H1129" s="648"/>
      <c r="I1129" s="828">
        <v>2012</v>
      </c>
      <c r="J1129" s="829"/>
      <c r="K1129" s="829"/>
      <c r="L1129" s="830"/>
      <c r="M1129" s="831"/>
      <c r="X1129" s="656"/>
      <c r="Y1129" s="657"/>
      <c r="Z1129" s="657"/>
      <c r="AA1129" s="481"/>
      <c r="AC1129" s="456"/>
      <c r="AD1129" s="522"/>
      <c r="AE1129" s="699"/>
      <c r="AF1129" s="456"/>
      <c r="AG1129" s="699"/>
      <c r="AH1129" s="481"/>
      <c r="AJ1129" s="481"/>
    </row>
    <row r="1130" spans="1:36" s="454" customFormat="1" ht="15" x14ac:dyDescent="0.25">
      <c r="A1130" s="823"/>
      <c r="B1130" s="824"/>
      <c r="C1130" s="824"/>
      <c r="D1130" s="824"/>
      <c r="E1130" s="825" t="s">
        <v>3621</v>
      </c>
      <c r="F1130" s="826"/>
      <c r="G1130" s="827"/>
      <c r="H1130" s="648"/>
      <c r="I1130" s="828">
        <v>1388</v>
      </c>
      <c r="J1130" s="829"/>
      <c r="K1130" s="829"/>
      <c r="L1130" s="830"/>
      <c r="M1130" s="831"/>
      <c r="X1130" s="656"/>
      <c r="Y1130" s="657"/>
      <c r="Z1130" s="657"/>
      <c r="AA1130" s="481"/>
      <c r="AC1130" s="456"/>
      <c r="AD1130" s="522"/>
      <c r="AE1130" s="699"/>
      <c r="AF1130" s="456"/>
      <c r="AG1130" s="699"/>
      <c r="AH1130" s="481"/>
      <c r="AJ1130" s="481"/>
    </row>
    <row r="1131" spans="1:36" s="454" customFormat="1" ht="15" x14ac:dyDescent="0.25">
      <c r="A1131" s="823"/>
      <c r="B1131" s="824"/>
      <c r="C1131" s="824"/>
      <c r="D1131" s="824"/>
      <c r="E1131" s="825" t="s">
        <v>2692</v>
      </c>
      <c r="F1131" s="826"/>
      <c r="G1131" s="827"/>
      <c r="H1131" s="648"/>
      <c r="I1131" s="828">
        <v>14146</v>
      </c>
      <c r="J1131" s="829"/>
      <c r="K1131" s="829"/>
      <c r="L1131" s="830"/>
      <c r="M1131" s="831"/>
      <c r="X1131" s="656"/>
      <c r="Y1131" s="657"/>
      <c r="Z1131" s="657"/>
      <c r="AA1131" s="481"/>
      <c r="AC1131" s="456"/>
      <c r="AD1131" s="522"/>
      <c r="AE1131" s="699"/>
      <c r="AF1131" s="456"/>
      <c r="AG1131" s="699"/>
      <c r="AH1131" s="481"/>
      <c r="AJ1131" s="481"/>
    </row>
    <row r="1132" spans="1:36" s="454" customFormat="1" ht="23.25" x14ac:dyDescent="0.25">
      <c r="A1132" s="507"/>
      <c r="B1132" s="674" t="s">
        <v>1883</v>
      </c>
      <c r="C1132" s="2672" t="s">
        <v>1884</v>
      </c>
      <c r="D1132" s="2672"/>
      <c r="E1132" s="2672"/>
      <c r="F1132" s="675" t="s">
        <v>3622</v>
      </c>
      <c r="G1132" s="676" t="s">
        <v>1886</v>
      </c>
      <c r="H1132" s="676"/>
      <c r="I1132" s="676">
        <v>1441.08</v>
      </c>
      <c r="J1132" s="676">
        <v>1441.08</v>
      </c>
      <c r="K1132" s="676"/>
      <c r="L1132" s="677"/>
      <c r="M1132" s="678"/>
      <c r="X1132" s="656"/>
      <c r="Y1132" s="657"/>
      <c r="Z1132" s="657"/>
      <c r="AA1132" s="481"/>
      <c r="AC1132" s="456" t="s">
        <v>1884</v>
      </c>
      <c r="AD1132" s="522"/>
      <c r="AE1132" s="699"/>
      <c r="AF1132" s="456"/>
      <c r="AG1132" s="699"/>
      <c r="AH1132" s="481"/>
      <c r="AJ1132" s="481"/>
    </row>
    <row r="1133" spans="1:36" s="454" customFormat="1" ht="23.25" x14ac:dyDescent="0.25">
      <c r="A1133" s="507"/>
      <c r="B1133" s="674" t="s">
        <v>639</v>
      </c>
      <c r="C1133" s="2672" t="s">
        <v>1661</v>
      </c>
      <c r="D1133" s="2672"/>
      <c r="E1133" s="2672"/>
      <c r="F1133" s="675" t="s">
        <v>3623</v>
      </c>
      <c r="G1133" s="676">
        <v>0</v>
      </c>
      <c r="H1133" s="676">
        <v>0</v>
      </c>
      <c r="I1133" s="676">
        <v>0</v>
      </c>
      <c r="J1133" s="676"/>
      <c r="K1133" s="676">
        <v>0</v>
      </c>
      <c r="L1133" s="677"/>
      <c r="M1133" s="678"/>
      <c r="X1133" s="656"/>
      <c r="Y1133" s="657"/>
      <c r="Z1133" s="657"/>
      <c r="AA1133" s="481"/>
      <c r="AC1133" s="456" t="s">
        <v>1661</v>
      </c>
      <c r="AD1133" s="522"/>
      <c r="AE1133" s="699"/>
      <c r="AF1133" s="456"/>
      <c r="AG1133" s="699"/>
      <c r="AH1133" s="481"/>
      <c r="AJ1133" s="481"/>
    </row>
    <row r="1134" spans="1:36" s="454" customFormat="1" ht="45.75" x14ac:dyDescent="0.25">
      <c r="A1134" s="507"/>
      <c r="B1134" s="674" t="s">
        <v>2039</v>
      </c>
      <c r="C1134" s="2672" t="s">
        <v>2040</v>
      </c>
      <c r="D1134" s="2672"/>
      <c r="E1134" s="2672"/>
      <c r="F1134" s="675" t="s">
        <v>3624</v>
      </c>
      <c r="G1134" s="676">
        <v>179.46</v>
      </c>
      <c r="H1134" s="676" t="s">
        <v>2042</v>
      </c>
      <c r="I1134" s="676">
        <v>1241.8599999999999</v>
      </c>
      <c r="J1134" s="676"/>
      <c r="K1134" s="676" t="s">
        <v>3625</v>
      </c>
      <c r="L1134" s="677"/>
      <c r="M1134" s="678"/>
      <c r="X1134" s="656"/>
      <c r="Y1134" s="657"/>
      <c r="Z1134" s="657"/>
      <c r="AA1134" s="481"/>
      <c r="AC1134" s="456" t="s">
        <v>2040</v>
      </c>
      <c r="AD1134" s="522"/>
      <c r="AE1134" s="699"/>
      <c r="AF1134" s="456"/>
      <c r="AG1134" s="699"/>
      <c r="AH1134" s="481"/>
      <c r="AJ1134" s="481"/>
    </row>
    <row r="1135" spans="1:36" s="454" customFormat="1" ht="34.5" x14ac:dyDescent="0.25">
      <c r="A1135" s="507"/>
      <c r="B1135" s="674" t="s">
        <v>1663</v>
      </c>
      <c r="C1135" s="2672" t="s">
        <v>1664</v>
      </c>
      <c r="D1135" s="2672"/>
      <c r="E1135" s="2672"/>
      <c r="F1135" s="675" t="s">
        <v>3626</v>
      </c>
      <c r="G1135" s="676">
        <v>111.99</v>
      </c>
      <c r="H1135" s="676" t="s">
        <v>1666</v>
      </c>
      <c r="I1135" s="676">
        <v>20.16</v>
      </c>
      <c r="J1135" s="676"/>
      <c r="K1135" s="676" t="s">
        <v>3627</v>
      </c>
      <c r="L1135" s="677"/>
      <c r="M1135" s="678"/>
      <c r="X1135" s="656"/>
      <c r="Y1135" s="657"/>
      <c r="Z1135" s="657"/>
      <c r="AA1135" s="481"/>
      <c r="AC1135" s="456" t="s">
        <v>1664</v>
      </c>
      <c r="AD1135" s="522"/>
      <c r="AE1135" s="699"/>
      <c r="AF1135" s="456"/>
      <c r="AG1135" s="699"/>
      <c r="AH1135" s="481"/>
      <c r="AJ1135" s="481"/>
    </row>
    <row r="1136" spans="1:36" s="454" customFormat="1" ht="34.5" x14ac:dyDescent="0.25">
      <c r="A1136" s="507"/>
      <c r="B1136" s="674" t="s">
        <v>2046</v>
      </c>
      <c r="C1136" s="2672" t="s">
        <v>2047</v>
      </c>
      <c r="D1136" s="2672"/>
      <c r="E1136" s="2672"/>
      <c r="F1136" s="675" t="s">
        <v>3628</v>
      </c>
      <c r="G1136" s="676">
        <v>6.9</v>
      </c>
      <c r="H1136" s="676" t="s">
        <v>2049</v>
      </c>
      <c r="I1136" s="676">
        <v>24.77</v>
      </c>
      <c r="J1136" s="676"/>
      <c r="K1136" s="676" t="s">
        <v>3629</v>
      </c>
      <c r="L1136" s="677"/>
      <c r="M1136" s="678"/>
      <c r="X1136" s="656"/>
      <c r="Y1136" s="657"/>
      <c r="Z1136" s="657"/>
      <c r="AA1136" s="481"/>
      <c r="AC1136" s="456" t="s">
        <v>2047</v>
      </c>
      <c r="AD1136" s="522"/>
      <c r="AE1136" s="699"/>
      <c r="AF1136" s="456"/>
      <c r="AG1136" s="699"/>
      <c r="AH1136" s="481"/>
      <c r="AJ1136" s="481"/>
    </row>
    <row r="1137" spans="1:36" s="454" customFormat="1" ht="34.5" x14ac:dyDescent="0.25">
      <c r="A1137" s="507"/>
      <c r="B1137" s="674" t="s">
        <v>2051</v>
      </c>
      <c r="C1137" s="2672" t="s">
        <v>2052</v>
      </c>
      <c r="D1137" s="2672"/>
      <c r="E1137" s="2672"/>
      <c r="F1137" s="675" t="s">
        <v>3630</v>
      </c>
      <c r="G1137" s="676">
        <v>80.349999999999994</v>
      </c>
      <c r="H1137" s="676" t="s">
        <v>2054</v>
      </c>
      <c r="I1137" s="676">
        <v>2860.46</v>
      </c>
      <c r="J1137" s="676"/>
      <c r="K1137" s="676" t="s">
        <v>3631</v>
      </c>
      <c r="L1137" s="677"/>
      <c r="M1137" s="678"/>
      <c r="X1137" s="656"/>
      <c r="Y1137" s="657"/>
      <c r="Z1137" s="657"/>
      <c r="AA1137" s="481"/>
      <c r="AC1137" s="456" t="s">
        <v>2052</v>
      </c>
      <c r="AD1137" s="522"/>
      <c r="AE1137" s="699"/>
      <c r="AF1137" s="456"/>
      <c r="AG1137" s="699"/>
      <c r="AH1137" s="481"/>
      <c r="AJ1137" s="481"/>
    </row>
    <row r="1138" spans="1:36" s="454" customFormat="1" ht="34.5" x14ac:dyDescent="0.25">
      <c r="A1138" s="507"/>
      <c r="B1138" s="674" t="s">
        <v>821</v>
      </c>
      <c r="C1138" s="2672" t="s">
        <v>1751</v>
      </c>
      <c r="D1138" s="2672"/>
      <c r="E1138" s="2672"/>
      <c r="F1138" s="675" t="s">
        <v>3632</v>
      </c>
      <c r="G1138" s="676">
        <v>65.709999999999994</v>
      </c>
      <c r="H1138" s="676" t="s">
        <v>1753</v>
      </c>
      <c r="I1138" s="676">
        <v>27.6</v>
      </c>
      <c r="J1138" s="676"/>
      <c r="K1138" s="676" t="s">
        <v>3633</v>
      </c>
      <c r="L1138" s="677"/>
      <c r="M1138" s="678"/>
      <c r="X1138" s="656"/>
      <c r="Y1138" s="657"/>
      <c r="Z1138" s="657"/>
      <c r="AA1138" s="481"/>
      <c r="AC1138" s="456" t="s">
        <v>1751</v>
      </c>
      <c r="AD1138" s="522"/>
      <c r="AE1138" s="699"/>
      <c r="AF1138" s="456"/>
      <c r="AG1138" s="699"/>
      <c r="AH1138" s="481"/>
      <c r="AJ1138" s="481"/>
    </row>
    <row r="1139" spans="1:36" s="454" customFormat="1" ht="23.25" x14ac:dyDescent="0.25">
      <c r="A1139" s="515" t="s">
        <v>860</v>
      </c>
      <c r="B1139" s="686" t="s">
        <v>1755</v>
      </c>
      <c r="C1139" s="2683" t="s">
        <v>1257</v>
      </c>
      <c r="D1139" s="2683"/>
      <c r="E1139" s="2683"/>
      <c r="F1139" s="687" t="s">
        <v>1935</v>
      </c>
      <c r="G1139" s="688">
        <v>2.44</v>
      </c>
      <c r="H1139" s="688"/>
      <c r="I1139" s="688">
        <v>0</v>
      </c>
      <c r="J1139" s="688"/>
      <c r="K1139" s="688"/>
      <c r="L1139" s="689"/>
      <c r="M1139" s="690"/>
      <c r="X1139" s="656"/>
      <c r="Y1139" s="657"/>
      <c r="Z1139" s="657"/>
      <c r="AA1139" s="481"/>
      <c r="AC1139" s="456"/>
      <c r="AD1139" s="522" t="s">
        <v>1257</v>
      </c>
      <c r="AE1139" s="699"/>
      <c r="AF1139" s="456"/>
      <c r="AG1139" s="699"/>
      <c r="AH1139" s="481"/>
      <c r="AJ1139" s="481"/>
    </row>
    <row r="1140" spans="1:36" s="454" customFormat="1" ht="23.25" x14ac:dyDescent="0.25">
      <c r="A1140" s="507"/>
      <c r="B1140" s="674" t="s">
        <v>2058</v>
      </c>
      <c r="C1140" s="2672" t="s">
        <v>2059</v>
      </c>
      <c r="D1140" s="2672"/>
      <c r="E1140" s="2672"/>
      <c r="F1140" s="675" t="s">
        <v>3549</v>
      </c>
      <c r="G1140" s="676">
        <v>30030</v>
      </c>
      <c r="H1140" s="676"/>
      <c r="I1140" s="676">
        <v>3</v>
      </c>
      <c r="J1140" s="676"/>
      <c r="K1140" s="676"/>
      <c r="L1140" s="677"/>
      <c r="M1140" s="678"/>
      <c r="X1140" s="656"/>
      <c r="Y1140" s="657"/>
      <c r="Z1140" s="657"/>
      <c r="AA1140" s="481"/>
      <c r="AC1140" s="456" t="s">
        <v>2059</v>
      </c>
      <c r="AD1140" s="522"/>
      <c r="AE1140" s="699"/>
      <c r="AF1140" s="456"/>
      <c r="AG1140" s="699"/>
      <c r="AH1140" s="481"/>
      <c r="AJ1140" s="481"/>
    </row>
    <row r="1141" spans="1:36" s="454" customFormat="1" ht="23.25" x14ac:dyDescent="0.25">
      <c r="A1141" s="507"/>
      <c r="B1141" s="674" t="s">
        <v>1823</v>
      </c>
      <c r="C1141" s="2672" t="s">
        <v>1824</v>
      </c>
      <c r="D1141" s="2672"/>
      <c r="E1141" s="2672"/>
      <c r="F1141" s="675" t="s">
        <v>3634</v>
      </c>
      <c r="G1141" s="676">
        <v>9040.01</v>
      </c>
      <c r="H1141" s="676"/>
      <c r="I1141" s="676">
        <v>17.18</v>
      </c>
      <c r="J1141" s="676"/>
      <c r="K1141" s="676"/>
      <c r="L1141" s="677"/>
      <c r="M1141" s="678"/>
      <c r="X1141" s="656"/>
      <c r="Y1141" s="657"/>
      <c r="Z1141" s="657"/>
      <c r="AA1141" s="481"/>
      <c r="AC1141" s="456" t="s">
        <v>1824</v>
      </c>
      <c r="AD1141" s="522"/>
      <c r="AE1141" s="699"/>
      <c r="AF1141" s="456"/>
      <c r="AG1141" s="699"/>
      <c r="AH1141" s="481"/>
      <c r="AJ1141" s="481"/>
    </row>
    <row r="1142" spans="1:36" s="454" customFormat="1" ht="45.75" x14ac:dyDescent="0.25">
      <c r="A1142" s="507"/>
      <c r="B1142" s="674" t="s">
        <v>2062</v>
      </c>
      <c r="C1142" s="2672" t="s">
        <v>2063</v>
      </c>
      <c r="D1142" s="2672"/>
      <c r="E1142" s="2672"/>
      <c r="F1142" s="675" t="s">
        <v>3436</v>
      </c>
      <c r="G1142" s="676">
        <v>67.099999999999994</v>
      </c>
      <c r="H1142" s="676"/>
      <c r="I1142" s="676">
        <v>64.42</v>
      </c>
      <c r="J1142" s="676"/>
      <c r="K1142" s="676"/>
      <c r="L1142" s="677"/>
      <c r="M1142" s="678"/>
      <c r="X1142" s="656"/>
      <c r="Y1142" s="657"/>
      <c r="Z1142" s="657"/>
      <c r="AA1142" s="481"/>
      <c r="AC1142" s="456" t="s">
        <v>2063</v>
      </c>
      <c r="AD1142" s="522"/>
      <c r="AE1142" s="699"/>
      <c r="AF1142" s="456"/>
      <c r="AG1142" s="699"/>
      <c r="AH1142" s="481"/>
      <c r="AJ1142" s="481"/>
    </row>
    <row r="1143" spans="1:36" s="454" customFormat="1" ht="23.25" x14ac:dyDescent="0.25">
      <c r="A1143" s="515" t="s">
        <v>860</v>
      </c>
      <c r="B1143" s="686" t="s">
        <v>2065</v>
      </c>
      <c r="C1143" s="2683" t="s">
        <v>2066</v>
      </c>
      <c r="D1143" s="2683"/>
      <c r="E1143" s="2683"/>
      <c r="F1143" s="687" t="s">
        <v>1935</v>
      </c>
      <c r="G1143" s="688">
        <v>0</v>
      </c>
      <c r="H1143" s="688"/>
      <c r="I1143" s="688">
        <v>0</v>
      </c>
      <c r="J1143" s="688"/>
      <c r="K1143" s="688"/>
      <c r="L1143" s="689"/>
      <c r="M1143" s="690"/>
      <c r="X1143" s="656"/>
      <c r="Y1143" s="657"/>
      <c r="Z1143" s="657"/>
      <c r="AA1143" s="481"/>
      <c r="AC1143" s="456"/>
      <c r="AD1143" s="522" t="s">
        <v>2066</v>
      </c>
      <c r="AE1143" s="699"/>
      <c r="AF1143" s="456"/>
      <c r="AG1143" s="699"/>
      <c r="AH1143" s="481"/>
      <c r="AJ1143" s="481"/>
    </row>
    <row r="1144" spans="1:36" s="454" customFormat="1" ht="34.5" x14ac:dyDescent="0.25">
      <c r="A1144" s="515" t="s">
        <v>860</v>
      </c>
      <c r="B1144" s="686" t="s">
        <v>2067</v>
      </c>
      <c r="C1144" s="2683" t="s">
        <v>2068</v>
      </c>
      <c r="D1144" s="2683"/>
      <c r="E1144" s="2683"/>
      <c r="F1144" s="687" t="s">
        <v>1935</v>
      </c>
      <c r="G1144" s="688">
        <v>412</v>
      </c>
      <c r="H1144" s="688"/>
      <c r="I1144" s="688">
        <v>0</v>
      </c>
      <c r="J1144" s="688"/>
      <c r="K1144" s="688"/>
      <c r="L1144" s="689"/>
      <c r="M1144" s="690"/>
      <c r="X1144" s="656"/>
      <c r="Y1144" s="657"/>
      <c r="Z1144" s="657"/>
      <c r="AA1144" s="481"/>
      <c r="AC1144" s="456"/>
      <c r="AD1144" s="522" t="s">
        <v>2068</v>
      </c>
      <c r="AE1144" s="699"/>
      <c r="AF1144" s="456"/>
      <c r="AG1144" s="699"/>
      <c r="AH1144" s="481"/>
      <c r="AJ1144" s="481"/>
    </row>
    <row r="1145" spans="1:36" s="454" customFormat="1" ht="45.75" x14ac:dyDescent="0.25">
      <c r="A1145" s="507" t="s">
        <v>2069</v>
      </c>
      <c r="B1145" s="674" t="s">
        <v>2070</v>
      </c>
      <c r="C1145" s="2672" t="s">
        <v>2071</v>
      </c>
      <c r="D1145" s="2672"/>
      <c r="E1145" s="2672"/>
      <c r="F1145" s="675" t="s">
        <v>3635</v>
      </c>
      <c r="G1145" s="676">
        <v>1553</v>
      </c>
      <c r="H1145" s="676"/>
      <c r="I1145" s="676">
        <v>1938.14</v>
      </c>
      <c r="J1145" s="676"/>
      <c r="K1145" s="676"/>
      <c r="L1145" s="677"/>
      <c r="M1145" s="678"/>
      <c r="X1145" s="656"/>
      <c r="Y1145" s="657"/>
      <c r="Z1145" s="657"/>
      <c r="AA1145" s="481"/>
      <c r="AC1145" s="456"/>
      <c r="AD1145" s="522"/>
      <c r="AE1145" s="699"/>
      <c r="AF1145" s="456" t="s">
        <v>2071</v>
      </c>
      <c r="AG1145" s="699"/>
      <c r="AH1145" s="481"/>
      <c r="AJ1145" s="481"/>
    </row>
    <row r="1146" spans="1:36" s="454" customFormat="1" ht="45.75" x14ac:dyDescent="0.25">
      <c r="A1146" s="693" t="s">
        <v>1936</v>
      </c>
      <c r="B1146" s="694" t="s">
        <v>2070</v>
      </c>
      <c r="C1146" s="2684" t="s">
        <v>2071</v>
      </c>
      <c r="D1146" s="2684"/>
      <c r="E1146" s="2684"/>
      <c r="F1146" s="695" t="s">
        <v>3636</v>
      </c>
      <c r="G1146" s="696">
        <v>1553</v>
      </c>
      <c r="H1146" s="696"/>
      <c r="I1146" s="696">
        <v>19381.439999999999</v>
      </c>
      <c r="J1146" s="696"/>
      <c r="K1146" s="696"/>
      <c r="L1146" s="697"/>
      <c r="M1146" s="698"/>
      <c r="X1146" s="656"/>
      <c r="Y1146" s="657"/>
      <c r="Z1146" s="657"/>
      <c r="AA1146" s="481"/>
      <c r="AC1146" s="456"/>
      <c r="AD1146" s="522"/>
      <c r="AE1146" s="699"/>
      <c r="AF1146" s="456"/>
      <c r="AG1146" s="699" t="s">
        <v>2071</v>
      </c>
      <c r="AH1146" s="481"/>
      <c r="AJ1146" s="481"/>
    </row>
    <row r="1147" spans="1:36" s="454" customFormat="1" ht="23.25" x14ac:dyDescent="0.25">
      <c r="A1147" s="515" t="s">
        <v>863</v>
      </c>
      <c r="B1147" s="686" t="s">
        <v>2074</v>
      </c>
      <c r="C1147" s="2683" t="s">
        <v>2075</v>
      </c>
      <c r="D1147" s="2683"/>
      <c r="E1147" s="2683"/>
      <c r="F1147" s="687" t="s">
        <v>3637</v>
      </c>
      <c r="G1147" s="688">
        <v>0</v>
      </c>
      <c r="H1147" s="688"/>
      <c r="I1147" s="688">
        <v>0</v>
      </c>
      <c r="J1147" s="688"/>
      <c r="K1147" s="688"/>
      <c r="L1147" s="689"/>
      <c r="M1147" s="690"/>
      <c r="X1147" s="656"/>
      <c r="Y1147" s="657"/>
      <c r="Z1147" s="657"/>
      <c r="AA1147" s="481"/>
      <c r="AC1147" s="456"/>
      <c r="AD1147" s="522" t="s">
        <v>2075</v>
      </c>
      <c r="AE1147" s="699"/>
      <c r="AF1147" s="456"/>
      <c r="AG1147" s="699"/>
      <c r="AH1147" s="481"/>
      <c r="AJ1147" s="481"/>
    </row>
    <row r="1148" spans="1:36" s="454" customFormat="1" ht="23.25" x14ac:dyDescent="0.25">
      <c r="A1148" s="507"/>
      <c r="B1148" s="674" t="s">
        <v>2077</v>
      </c>
      <c r="C1148" s="2672" t="s">
        <v>2078</v>
      </c>
      <c r="D1148" s="2672"/>
      <c r="E1148" s="2672"/>
      <c r="F1148" s="675" t="s">
        <v>3638</v>
      </c>
      <c r="G1148" s="676">
        <v>176.1</v>
      </c>
      <c r="H1148" s="676"/>
      <c r="I1148" s="676">
        <v>135.24</v>
      </c>
      <c r="J1148" s="676"/>
      <c r="K1148" s="676"/>
      <c r="L1148" s="677"/>
      <c r="M1148" s="678"/>
      <c r="X1148" s="656"/>
      <c r="Y1148" s="657"/>
      <c r="Z1148" s="657"/>
      <c r="AA1148" s="481"/>
      <c r="AC1148" s="456" t="s">
        <v>2078</v>
      </c>
      <c r="AD1148" s="522"/>
      <c r="AE1148" s="699"/>
      <c r="AF1148" s="456"/>
      <c r="AG1148" s="699"/>
      <c r="AH1148" s="481"/>
      <c r="AJ1148" s="481"/>
    </row>
    <row r="1149" spans="1:36" s="454" customFormat="1" ht="23.25" x14ac:dyDescent="0.25">
      <c r="A1149" s="507"/>
      <c r="B1149" s="674" t="s">
        <v>2080</v>
      </c>
      <c r="C1149" s="2672" t="s">
        <v>2081</v>
      </c>
      <c r="D1149" s="2672"/>
      <c r="E1149" s="2672"/>
      <c r="F1149" s="675" t="s">
        <v>3639</v>
      </c>
      <c r="G1149" s="676">
        <v>207.8</v>
      </c>
      <c r="H1149" s="676"/>
      <c r="I1149" s="676">
        <v>155.6</v>
      </c>
      <c r="J1149" s="676"/>
      <c r="K1149" s="676"/>
      <c r="L1149" s="677"/>
      <c r="M1149" s="678"/>
      <c r="X1149" s="656"/>
      <c r="Y1149" s="657"/>
      <c r="Z1149" s="657"/>
      <c r="AA1149" s="481"/>
      <c r="AC1149" s="456" t="s">
        <v>2081</v>
      </c>
      <c r="AD1149" s="522"/>
      <c r="AE1149" s="699"/>
      <c r="AF1149" s="456"/>
      <c r="AG1149" s="699"/>
      <c r="AH1149" s="481"/>
      <c r="AJ1149" s="481"/>
    </row>
    <row r="1150" spans="1:36" s="454" customFormat="1" ht="23.25" x14ac:dyDescent="0.25">
      <c r="A1150" s="507"/>
      <c r="B1150" s="674" t="s">
        <v>2083</v>
      </c>
      <c r="C1150" s="2672" t="s">
        <v>2084</v>
      </c>
      <c r="D1150" s="2672"/>
      <c r="E1150" s="2672"/>
      <c r="F1150" s="675" t="s">
        <v>3640</v>
      </c>
      <c r="G1150" s="676">
        <v>3468.64</v>
      </c>
      <c r="H1150" s="676"/>
      <c r="I1150" s="676">
        <v>665.98</v>
      </c>
      <c r="J1150" s="676"/>
      <c r="K1150" s="676"/>
      <c r="L1150" s="677"/>
      <c r="M1150" s="678"/>
      <c r="X1150" s="656"/>
      <c r="Y1150" s="657"/>
      <c r="Z1150" s="657"/>
      <c r="AA1150" s="481"/>
      <c r="AC1150" s="456" t="s">
        <v>2084</v>
      </c>
      <c r="AD1150" s="522"/>
      <c r="AE1150" s="699"/>
      <c r="AF1150" s="456"/>
      <c r="AG1150" s="699"/>
      <c r="AH1150" s="481"/>
      <c r="AJ1150" s="481"/>
    </row>
    <row r="1151" spans="1:36" s="454" customFormat="1" ht="23.25" x14ac:dyDescent="0.25">
      <c r="A1151" s="515" t="s">
        <v>863</v>
      </c>
      <c r="B1151" s="686" t="s">
        <v>2086</v>
      </c>
      <c r="C1151" s="2683" t="s">
        <v>2087</v>
      </c>
      <c r="D1151" s="2683"/>
      <c r="E1151" s="2683"/>
      <c r="F1151" s="687" t="s">
        <v>3641</v>
      </c>
      <c r="G1151" s="688">
        <v>0</v>
      </c>
      <c r="H1151" s="688"/>
      <c r="I1151" s="688">
        <v>0</v>
      </c>
      <c r="J1151" s="688"/>
      <c r="K1151" s="688"/>
      <c r="L1151" s="689"/>
      <c r="M1151" s="690"/>
      <c r="X1151" s="656"/>
      <c r="Y1151" s="657"/>
      <c r="Z1151" s="657"/>
      <c r="AA1151" s="481"/>
      <c r="AC1151" s="456"/>
      <c r="AD1151" s="522" t="s">
        <v>2087</v>
      </c>
      <c r="AE1151" s="699"/>
      <c r="AF1151" s="456"/>
      <c r="AG1151" s="699"/>
      <c r="AH1151" s="481"/>
      <c r="AJ1151" s="481"/>
    </row>
    <row r="1152" spans="1:36" s="454" customFormat="1" ht="34.5" x14ac:dyDescent="0.25">
      <c r="A1152" s="507"/>
      <c r="B1152" s="674" t="s">
        <v>2089</v>
      </c>
      <c r="C1152" s="2672" t="s">
        <v>2090</v>
      </c>
      <c r="D1152" s="2672"/>
      <c r="E1152" s="2672"/>
      <c r="F1152" s="675" t="s">
        <v>3642</v>
      </c>
      <c r="G1152" s="676">
        <v>11.99</v>
      </c>
      <c r="H1152" s="676"/>
      <c r="I1152" s="676">
        <v>34.53</v>
      </c>
      <c r="J1152" s="676"/>
      <c r="K1152" s="676"/>
      <c r="L1152" s="677"/>
      <c r="M1152" s="678"/>
      <c r="X1152" s="656"/>
      <c r="Y1152" s="657"/>
      <c r="Z1152" s="657"/>
      <c r="AA1152" s="481"/>
      <c r="AC1152" s="456" t="s">
        <v>2090</v>
      </c>
      <c r="AD1152" s="522"/>
      <c r="AE1152" s="699"/>
      <c r="AF1152" s="456"/>
      <c r="AG1152" s="699"/>
      <c r="AH1152" s="481"/>
      <c r="AJ1152" s="481"/>
    </row>
    <row r="1153" spans="1:36" s="454" customFormat="1" ht="45.75" x14ac:dyDescent="0.25">
      <c r="A1153" s="507"/>
      <c r="B1153" s="674" t="s">
        <v>2092</v>
      </c>
      <c r="C1153" s="2672" t="s">
        <v>2093</v>
      </c>
      <c r="D1153" s="2672"/>
      <c r="E1153" s="2672"/>
      <c r="F1153" s="675" t="s">
        <v>3643</v>
      </c>
      <c r="G1153" s="676">
        <v>272.62</v>
      </c>
      <c r="H1153" s="676"/>
      <c r="I1153" s="676">
        <v>13.09</v>
      </c>
      <c r="J1153" s="676"/>
      <c r="K1153" s="676"/>
      <c r="L1153" s="677"/>
      <c r="M1153" s="678"/>
      <c r="X1153" s="656"/>
      <c r="Y1153" s="657"/>
      <c r="Z1153" s="657"/>
      <c r="AA1153" s="481"/>
      <c r="AC1153" s="456" t="s">
        <v>2093</v>
      </c>
      <c r="AD1153" s="522"/>
      <c r="AE1153" s="699"/>
      <c r="AF1153" s="456"/>
      <c r="AG1153" s="699"/>
      <c r="AH1153" s="481"/>
      <c r="AJ1153" s="481"/>
    </row>
    <row r="1154" spans="1:36" s="454" customFormat="1" ht="57" x14ac:dyDescent="0.25">
      <c r="A1154" s="507"/>
      <c r="B1154" s="674" t="s">
        <v>2095</v>
      </c>
      <c r="C1154" s="2672" t="s">
        <v>2096</v>
      </c>
      <c r="D1154" s="2672"/>
      <c r="E1154" s="2672"/>
      <c r="F1154" s="675" t="s">
        <v>3644</v>
      </c>
      <c r="G1154" s="676">
        <v>156.83000000000001</v>
      </c>
      <c r="H1154" s="676"/>
      <c r="I1154" s="676">
        <v>15.06</v>
      </c>
      <c r="J1154" s="676"/>
      <c r="K1154" s="676"/>
      <c r="L1154" s="677"/>
      <c r="M1154" s="678"/>
      <c r="X1154" s="656"/>
      <c r="Y1154" s="657"/>
      <c r="Z1154" s="657"/>
      <c r="AA1154" s="481"/>
      <c r="AC1154" s="456" t="s">
        <v>2096</v>
      </c>
      <c r="AD1154" s="522"/>
      <c r="AE1154" s="699"/>
      <c r="AF1154" s="456"/>
      <c r="AG1154" s="699"/>
      <c r="AH1154" s="481"/>
      <c r="AJ1154" s="481"/>
    </row>
    <row r="1155" spans="1:36" s="454" customFormat="1" ht="23.25" x14ac:dyDescent="0.25">
      <c r="A1155" s="515" t="s">
        <v>863</v>
      </c>
      <c r="B1155" s="686" t="s">
        <v>2098</v>
      </c>
      <c r="C1155" s="2683" t="s">
        <v>2099</v>
      </c>
      <c r="D1155" s="2683"/>
      <c r="E1155" s="2683"/>
      <c r="F1155" s="687" t="s">
        <v>3645</v>
      </c>
      <c r="G1155" s="688">
        <v>0</v>
      </c>
      <c r="H1155" s="688"/>
      <c r="I1155" s="688">
        <v>0</v>
      </c>
      <c r="J1155" s="688"/>
      <c r="K1155" s="688"/>
      <c r="L1155" s="689"/>
      <c r="M1155" s="690"/>
      <c r="X1155" s="656"/>
      <c r="Y1155" s="657"/>
      <c r="Z1155" s="657"/>
      <c r="AA1155" s="481"/>
      <c r="AC1155" s="456"/>
      <c r="AD1155" s="522" t="s">
        <v>2099</v>
      </c>
      <c r="AE1155" s="699"/>
      <c r="AF1155" s="456"/>
      <c r="AG1155" s="699"/>
      <c r="AH1155" s="481"/>
      <c r="AJ1155" s="481"/>
    </row>
    <row r="1156" spans="1:36" s="454" customFormat="1" ht="45" x14ac:dyDescent="0.25">
      <c r="A1156" s="658" t="s">
        <v>1491</v>
      </c>
      <c r="B1156" s="659" t="s">
        <v>2026</v>
      </c>
      <c r="C1156" s="2673" t="s">
        <v>1254</v>
      </c>
      <c r="D1156" s="2673"/>
      <c r="E1156" s="2673"/>
      <c r="F1156" s="680">
        <v>4.8</v>
      </c>
      <c r="G1156" s="661">
        <v>480</v>
      </c>
      <c r="H1156" s="661"/>
      <c r="I1156" s="661">
        <v>2304</v>
      </c>
      <c r="J1156" s="661"/>
      <c r="K1156" s="662"/>
      <c r="L1156" s="663">
        <v>0</v>
      </c>
      <c r="M1156" s="663">
        <v>0</v>
      </c>
      <c r="X1156" s="656"/>
      <c r="Y1156" s="657"/>
      <c r="Z1156" s="657"/>
      <c r="AA1156" s="481" t="s">
        <v>1254</v>
      </c>
      <c r="AC1156" s="456"/>
      <c r="AD1156" s="522"/>
      <c r="AE1156" s="699"/>
      <c r="AF1156" s="456"/>
      <c r="AG1156" s="699"/>
      <c r="AH1156" s="481"/>
      <c r="AJ1156" s="481"/>
    </row>
    <row r="1157" spans="1:36" s="454" customFormat="1" ht="15" x14ac:dyDescent="0.25">
      <c r="A1157" s="664"/>
      <c r="B1157" s="665"/>
      <c r="C1157" s="666" t="s">
        <v>3646</v>
      </c>
      <c r="D1157" s="667"/>
      <c r="E1157" s="667"/>
      <c r="F1157" s="667"/>
      <c r="G1157" s="667"/>
      <c r="H1157" s="667"/>
      <c r="I1157" s="667"/>
      <c r="J1157" s="667"/>
      <c r="K1157" s="667"/>
      <c r="L1157" s="667"/>
      <c r="M1157" s="668"/>
      <c r="X1157" s="656"/>
      <c r="Y1157" s="657"/>
      <c r="Z1157" s="657"/>
      <c r="AA1157" s="481"/>
      <c r="AC1157" s="456"/>
      <c r="AD1157" s="522"/>
      <c r="AE1157" s="699"/>
      <c r="AF1157" s="456"/>
      <c r="AG1157" s="699"/>
      <c r="AH1157" s="481"/>
      <c r="AJ1157" s="481"/>
    </row>
    <row r="1158" spans="1:36" s="454" customFormat="1" ht="45" x14ac:dyDescent="0.25">
      <c r="A1158" s="658" t="s">
        <v>1493</v>
      </c>
      <c r="B1158" s="659" t="s">
        <v>2028</v>
      </c>
      <c r="C1158" s="2673" t="s">
        <v>1257</v>
      </c>
      <c r="D1158" s="2673"/>
      <c r="E1158" s="2673"/>
      <c r="F1158" s="680">
        <v>1.9</v>
      </c>
      <c r="G1158" s="661">
        <v>2.44</v>
      </c>
      <c r="H1158" s="661"/>
      <c r="I1158" s="661">
        <v>5</v>
      </c>
      <c r="J1158" s="661"/>
      <c r="K1158" s="662"/>
      <c r="L1158" s="663">
        <v>0</v>
      </c>
      <c r="M1158" s="663">
        <v>0</v>
      </c>
      <c r="X1158" s="656"/>
      <c r="Y1158" s="657"/>
      <c r="Z1158" s="657"/>
      <c r="AA1158" s="481" t="s">
        <v>1257</v>
      </c>
      <c r="AC1158" s="456"/>
      <c r="AD1158" s="522"/>
      <c r="AE1158" s="699"/>
      <c r="AF1158" s="456"/>
      <c r="AG1158" s="699"/>
      <c r="AH1158" s="481"/>
      <c r="AJ1158" s="481"/>
    </row>
    <row r="1159" spans="1:36" s="454" customFormat="1" ht="15" x14ac:dyDescent="0.25">
      <c r="A1159" s="664"/>
      <c r="B1159" s="665"/>
      <c r="C1159" s="666" t="s">
        <v>3647</v>
      </c>
      <c r="D1159" s="667"/>
      <c r="E1159" s="667"/>
      <c r="F1159" s="667"/>
      <c r="G1159" s="667"/>
      <c r="H1159" s="667"/>
      <c r="I1159" s="667"/>
      <c r="J1159" s="667"/>
      <c r="K1159" s="667"/>
      <c r="L1159" s="667"/>
      <c r="M1159" s="668"/>
      <c r="X1159" s="656"/>
      <c r="Y1159" s="657"/>
      <c r="Z1159" s="657"/>
      <c r="AA1159" s="481"/>
      <c r="AC1159" s="456"/>
      <c r="AD1159" s="522"/>
      <c r="AE1159" s="699"/>
      <c r="AF1159" s="456"/>
      <c r="AG1159" s="699"/>
      <c r="AH1159" s="481"/>
      <c r="AJ1159" s="481"/>
    </row>
    <row r="1160" spans="1:36" s="454" customFormat="1" ht="34.5" x14ac:dyDescent="0.25">
      <c r="A1160" s="658" t="s">
        <v>1495</v>
      </c>
      <c r="B1160" s="659" t="s">
        <v>1303</v>
      </c>
      <c r="C1160" s="2673" t="s">
        <v>1268</v>
      </c>
      <c r="D1160" s="2673"/>
      <c r="E1160" s="2673"/>
      <c r="F1160" s="670">
        <v>4</v>
      </c>
      <c r="G1160" s="661" t="s">
        <v>2103</v>
      </c>
      <c r="H1160" s="661"/>
      <c r="I1160" s="661">
        <v>9572</v>
      </c>
      <c r="J1160" s="661"/>
      <c r="K1160" s="662"/>
      <c r="L1160" s="663">
        <v>0</v>
      </c>
      <c r="M1160" s="663">
        <v>0</v>
      </c>
      <c r="X1160" s="656"/>
      <c r="Y1160" s="657"/>
      <c r="Z1160" s="657"/>
      <c r="AA1160" s="481" t="s">
        <v>1268</v>
      </c>
      <c r="AC1160" s="456"/>
      <c r="AD1160" s="522"/>
      <c r="AE1160" s="699"/>
      <c r="AF1160" s="456"/>
      <c r="AG1160" s="699"/>
      <c r="AH1160" s="481"/>
      <c r="AJ1160" s="481"/>
    </row>
    <row r="1161" spans="1:36" s="454" customFormat="1" ht="15" x14ac:dyDescent="0.25">
      <c r="A1161" s="664"/>
      <c r="B1161" s="665"/>
      <c r="C1161" s="666" t="s">
        <v>3648</v>
      </c>
      <c r="D1161" s="667"/>
      <c r="E1161" s="667"/>
      <c r="F1161" s="667"/>
      <c r="G1161" s="667"/>
      <c r="H1161" s="667"/>
      <c r="I1161" s="667"/>
      <c r="J1161" s="667"/>
      <c r="K1161" s="667"/>
      <c r="L1161" s="667"/>
      <c r="M1161" s="668"/>
      <c r="X1161" s="656"/>
      <c r="Y1161" s="657"/>
      <c r="Z1161" s="657"/>
      <c r="AA1161" s="481"/>
      <c r="AC1161" s="456"/>
      <c r="AD1161" s="522"/>
      <c r="AE1161" s="699"/>
      <c r="AF1161" s="456"/>
      <c r="AG1161" s="699"/>
      <c r="AH1161" s="481"/>
      <c r="AJ1161" s="481"/>
    </row>
    <row r="1162" spans="1:36" s="454" customFormat="1" ht="15" x14ac:dyDescent="0.25">
      <c r="A1162" s="542"/>
      <c r="B1162" s="665"/>
      <c r="C1162" s="666" t="s">
        <v>2105</v>
      </c>
      <c r="D1162" s="667"/>
      <c r="E1162" s="667"/>
      <c r="F1162" s="667"/>
      <c r="G1162" s="667"/>
      <c r="H1162" s="667"/>
      <c r="I1162" s="667"/>
      <c r="J1162" s="667"/>
      <c r="K1162" s="667"/>
      <c r="L1162" s="667"/>
      <c r="M1162" s="669"/>
      <c r="X1162" s="656"/>
      <c r="Y1162" s="657"/>
      <c r="Z1162" s="657"/>
      <c r="AA1162" s="481"/>
      <c r="AC1162" s="456"/>
      <c r="AD1162" s="522"/>
      <c r="AE1162" s="699"/>
      <c r="AF1162" s="456"/>
      <c r="AG1162" s="699"/>
      <c r="AH1162" s="481"/>
      <c r="AJ1162" s="481"/>
    </row>
    <row r="1163" spans="1:36" s="454" customFormat="1" ht="34.5" x14ac:dyDescent="0.25">
      <c r="A1163" s="658" t="s">
        <v>1497</v>
      </c>
      <c r="B1163" s="659" t="s">
        <v>1307</v>
      </c>
      <c r="C1163" s="2673" t="s">
        <v>1273</v>
      </c>
      <c r="D1163" s="2673"/>
      <c r="E1163" s="2673"/>
      <c r="F1163" s="670">
        <v>28</v>
      </c>
      <c r="G1163" s="661" t="s">
        <v>2106</v>
      </c>
      <c r="H1163" s="661"/>
      <c r="I1163" s="661">
        <v>48209</v>
      </c>
      <c r="J1163" s="661"/>
      <c r="K1163" s="662"/>
      <c r="L1163" s="663">
        <v>0</v>
      </c>
      <c r="M1163" s="663">
        <v>0</v>
      </c>
      <c r="X1163" s="656"/>
      <c r="Y1163" s="657"/>
      <c r="Z1163" s="657"/>
      <c r="AA1163" s="481" t="s">
        <v>1273</v>
      </c>
      <c r="AC1163" s="456"/>
      <c r="AD1163" s="522"/>
      <c r="AE1163" s="699"/>
      <c r="AF1163" s="456"/>
      <c r="AG1163" s="699"/>
      <c r="AH1163" s="481"/>
      <c r="AJ1163" s="481"/>
    </row>
    <row r="1164" spans="1:36" s="454" customFormat="1" ht="15" x14ac:dyDescent="0.25">
      <c r="A1164" s="664"/>
      <c r="B1164" s="665"/>
      <c r="C1164" s="666" t="s">
        <v>3649</v>
      </c>
      <c r="D1164" s="667"/>
      <c r="E1164" s="667"/>
      <c r="F1164" s="667"/>
      <c r="G1164" s="667"/>
      <c r="H1164" s="667"/>
      <c r="I1164" s="667"/>
      <c r="J1164" s="667"/>
      <c r="K1164" s="667"/>
      <c r="L1164" s="667"/>
      <c r="M1164" s="668"/>
      <c r="X1164" s="656"/>
      <c r="Y1164" s="657"/>
      <c r="Z1164" s="657"/>
      <c r="AA1164" s="481"/>
      <c r="AC1164" s="456"/>
      <c r="AD1164" s="522"/>
      <c r="AE1164" s="699"/>
      <c r="AF1164" s="456"/>
      <c r="AG1164" s="699"/>
      <c r="AH1164" s="481"/>
      <c r="AJ1164" s="481"/>
    </row>
    <row r="1165" spans="1:36" s="454" customFormat="1" ht="15" x14ac:dyDescent="0.25">
      <c r="A1165" s="542"/>
      <c r="B1165" s="665"/>
      <c r="C1165" s="666" t="s">
        <v>2108</v>
      </c>
      <c r="D1165" s="667"/>
      <c r="E1165" s="667"/>
      <c r="F1165" s="667"/>
      <c r="G1165" s="667"/>
      <c r="H1165" s="667"/>
      <c r="I1165" s="667"/>
      <c r="J1165" s="667"/>
      <c r="K1165" s="667"/>
      <c r="L1165" s="667"/>
      <c r="M1165" s="669"/>
      <c r="X1165" s="656"/>
      <c r="Y1165" s="657"/>
      <c r="Z1165" s="657"/>
      <c r="AA1165" s="481"/>
      <c r="AC1165" s="456"/>
      <c r="AD1165" s="522"/>
      <c r="AE1165" s="699"/>
      <c r="AF1165" s="456"/>
      <c r="AG1165" s="699"/>
      <c r="AH1165" s="481"/>
      <c r="AJ1165" s="481"/>
    </row>
    <row r="1166" spans="1:36" s="454" customFormat="1" ht="34.5" x14ac:dyDescent="0.25">
      <c r="A1166" s="658" t="s">
        <v>1499</v>
      </c>
      <c r="B1166" s="659" t="s">
        <v>1310</v>
      </c>
      <c r="C1166" s="2673" t="s">
        <v>1277</v>
      </c>
      <c r="D1166" s="2673"/>
      <c r="E1166" s="2673"/>
      <c r="F1166" s="670">
        <v>60</v>
      </c>
      <c r="G1166" s="661" t="s">
        <v>2109</v>
      </c>
      <c r="H1166" s="661"/>
      <c r="I1166" s="661">
        <v>27657</v>
      </c>
      <c r="J1166" s="661"/>
      <c r="K1166" s="662"/>
      <c r="L1166" s="663">
        <v>0</v>
      </c>
      <c r="M1166" s="663">
        <v>0</v>
      </c>
      <c r="X1166" s="656"/>
      <c r="Y1166" s="657"/>
      <c r="Z1166" s="657"/>
      <c r="AA1166" s="481" t="s">
        <v>1277</v>
      </c>
      <c r="AC1166" s="456"/>
      <c r="AD1166" s="522"/>
      <c r="AE1166" s="699"/>
      <c r="AF1166" s="456"/>
      <c r="AG1166" s="699"/>
      <c r="AH1166" s="481"/>
      <c r="AJ1166" s="481"/>
    </row>
    <row r="1167" spans="1:36" s="454" customFormat="1" ht="15" x14ac:dyDescent="0.25">
      <c r="A1167" s="664"/>
      <c r="B1167" s="665"/>
      <c r="C1167" s="666" t="s">
        <v>3650</v>
      </c>
      <c r="D1167" s="667"/>
      <c r="E1167" s="667"/>
      <c r="F1167" s="667"/>
      <c r="G1167" s="667"/>
      <c r="H1167" s="667"/>
      <c r="I1167" s="667"/>
      <c r="J1167" s="667"/>
      <c r="K1167" s="667"/>
      <c r="L1167" s="667"/>
      <c r="M1167" s="668"/>
      <c r="X1167" s="656"/>
      <c r="Y1167" s="657"/>
      <c r="Z1167" s="657"/>
      <c r="AA1167" s="481"/>
      <c r="AC1167" s="456"/>
      <c r="AD1167" s="522"/>
      <c r="AE1167" s="699"/>
      <c r="AF1167" s="456"/>
      <c r="AG1167" s="699"/>
      <c r="AH1167" s="481"/>
      <c r="AJ1167" s="481"/>
    </row>
    <row r="1168" spans="1:36" s="454" customFormat="1" ht="15" x14ac:dyDescent="0.25">
      <c r="A1168" s="542"/>
      <c r="B1168" s="665"/>
      <c r="C1168" s="666" t="s">
        <v>2111</v>
      </c>
      <c r="D1168" s="667"/>
      <c r="E1168" s="667"/>
      <c r="F1168" s="667"/>
      <c r="G1168" s="667"/>
      <c r="H1168" s="667"/>
      <c r="I1168" s="667"/>
      <c r="J1168" s="667"/>
      <c r="K1168" s="667"/>
      <c r="L1168" s="667"/>
      <c r="M1168" s="669"/>
      <c r="X1168" s="656"/>
      <c r="Y1168" s="657"/>
      <c r="Z1168" s="657"/>
      <c r="AA1168" s="481"/>
      <c r="AC1168" s="456"/>
      <c r="AD1168" s="522"/>
      <c r="AE1168" s="699"/>
      <c r="AF1168" s="456"/>
      <c r="AG1168" s="699"/>
      <c r="AH1168" s="481"/>
      <c r="AJ1168" s="481"/>
    </row>
    <row r="1169" spans="1:36" s="454" customFormat="1" ht="33.75" x14ac:dyDescent="0.25">
      <c r="A1169" s="658" t="s">
        <v>1501</v>
      </c>
      <c r="B1169" s="659" t="s">
        <v>1313</v>
      </c>
      <c r="C1169" s="2673" t="s">
        <v>1281</v>
      </c>
      <c r="D1169" s="2673"/>
      <c r="E1169" s="2673"/>
      <c r="F1169" s="670">
        <v>28</v>
      </c>
      <c r="G1169" s="661" t="s">
        <v>2112</v>
      </c>
      <c r="H1169" s="661"/>
      <c r="I1169" s="661">
        <v>3973</v>
      </c>
      <c r="J1169" s="661"/>
      <c r="K1169" s="662"/>
      <c r="L1169" s="663">
        <v>0</v>
      </c>
      <c r="M1169" s="663">
        <v>0</v>
      </c>
      <c r="X1169" s="656"/>
      <c r="Y1169" s="657"/>
      <c r="Z1169" s="657"/>
      <c r="AA1169" s="481" t="s">
        <v>1281</v>
      </c>
      <c r="AC1169" s="456"/>
      <c r="AD1169" s="522"/>
      <c r="AE1169" s="699"/>
      <c r="AF1169" s="456"/>
      <c r="AG1169" s="699"/>
      <c r="AH1169" s="481"/>
      <c r="AJ1169" s="481"/>
    </row>
    <row r="1170" spans="1:36" s="454" customFormat="1" ht="15" x14ac:dyDescent="0.25">
      <c r="A1170" s="664"/>
      <c r="B1170" s="665"/>
      <c r="C1170" s="666" t="s">
        <v>3649</v>
      </c>
      <c r="D1170" s="667"/>
      <c r="E1170" s="667"/>
      <c r="F1170" s="667"/>
      <c r="G1170" s="667"/>
      <c r="H1170" s="667"/>
      <c r="I1170" s="667"/>
      <c r="J1170" s="667"/>
      <c r="K1170" s="667"/>
      <c r="L1170" s="667"/>
      <c r="M1170" s="668"/>
      <c r="X1170" s="656"/>
      <c r="Y1170" s="657"/>
      <c r="Z1170" s="657"/>
      <c r="AA1170" s="481"/>
      <c r="AC1170" s="456"/>
      <c r="AD1170" s="522"/>
      <c r="AE1170" s="699"/>
      <c r="AF1170" s="456"/>
      <c r="AG1170" s="699"/>
      <c r="AH1170" s="481"/>
      <c r="AJ1170" s="481"/>
    </row>
    <row r="1171" spans="1:36" s="454" customFormat="1" ht="15" x14ac:dyDescent="0.25">
      <c r="A1171" s="542"/>
      <c r="B1171" s="665"/>
      <c r="C1171" s="666" t="s">
        <v>2113</v>
      </c>
      <c r="D1171" s="667"/>
      <c r="E1171" s="667"/>
      <c r="F1171" s="667"/>
      <c r="G1171" s="667"/>
      <c r="H1171" s="667"/>
      <c r="I1171" s="667"/>
      <c r="J1171" s="667"/>
      <c r="K1171" s="667"/>
      <c r="L1171" s="667"/>
      <c r="M1171" s="669"/>
      <c r="X1171" s="656"/>
      <c r="Y1171" s="657"/>
      <c r="Z1171" s="657"/>
      <c r="AA1171" s="481"/>
      <c r="AC1171" s="456"/>
      <c r="AD1171" s="522"/>
      <c r="AE1171" s="699"/>
      <c r="AF1171" s="456"/>
      <c r="AG1171" s="699"/>
      <c r="AH1171" s="481"/>
      <c r="AJ1171" s="481"/>
    </row>
    <row r="1172" spans="1:36" s="454" customFormat="1" ht="34.5" x14ac:dyDescent="0.25">
      <c r="A1172" s="658" t="s">
        <v>1502</v>
      </c>
      <c r="B1172" s="659" t="s">
        <v>1315</v>
      </c>
      <c r="C1172" s="2673" t="s">
        <v>1284</v>
      </c>
      <c r="D1172" s="2673"/>
      <c r="E1172" s="2673"/>
      <c r="F1172" s="670">
        <v>4</v>
      </c>
      <c r="G1172" s="661" t="s">
        <v>2114</v>
      </c>
      <c r="H1172" s="661"/>
      <c r="I1172" s="661">
        <v>6957</v>
      </c>
      <c r="J1172" s="661"/>
      <c r="K1172" s="662"/>
      <c r="L1172" s="663">
        <v>0</v>
      </c>
      <c r="M1172" s="663">
        <v>0</v>
      </c>
      <c r="X1172" s="656"/>
      <c r="Y1172" s="657"/>
      <c r="Z1172" s="657"/>
      <c r="AA1172" s="481" t="s">
        <v>1284</v>
      </c>
      <c r="AC1172" s="456"/>
      <c r="AD1172" s="522"/>
      <c r="AE1172" s="699"/>
      <c r="AF1172" s="456"/>
      <c r="AG1172" s="699"/>
      <c r="AH1172" s="481"/>
      <c r="AJ1172" s="481"/>
    </row>
    <row r="1173" spans="1:36" s="454" customFormat="1" ht="15" x14ac:dyDescent="0.25">
      <c r="A1173" s="664"/>
      <c r="B1173" s="665"/>
      <c r="C1173" s="666" t="s">
        <v>3648</v>
      </c>
      <c r="D1173" s="667"/>
      <c r="E1173" s="667"/>
      <c r="F1173" s="667"/>
      <c r="G1173" s="667"/>
      <c r="H1173" s="667"/>
      <c r="I1173" s="667"/>
      <c r="J1173" s="667"/>
      <c r="K1173" s="667"/>
      <c r="L1173" s="667"/>
      <c r="M1173" s="668"/>
      <c r="X1173" s="656"/>
      <c r="Y1173" s="657"/>
      <c r="Z1173" s="657"/>
      <c r="AA1173" s="481"/>
      <c r="AC1173" s="456"/>
      <c r="AD1173" s="522"/>
      <c r="AE1173" s="699"/>
      <c r="AF1173" s="456"/>
      <c r="AG1173" s="699"/>
      <c r="AH1173" s="481"/>
      <c r="AJ1173" s="481"/>
    </row>
    <row r="1174" spans="1:36" s="454" customFormat="1" ht="15" x14ac:dyDescent="0.25">
      <c r="A1174" s="542"/>
      <c r="B1174" s="665"/>
      <c r="C1174" s="666" t="s">
        <v>2115</v>
      </c>
      <c r="D1174" s="667"/>
      <c r="E1174" s="667"/>
      <c r="F1174" s="667"/>
      <c r="G1174" s="667"/>
      <c r="H1174" s="667"/>
      <c r="I1174" s="667"/>
      <c r="J1174" s="667"/>
      <c r="K1174" s="667"/>
      <c r="L1174" s="667"/>
      <c r="M1174" s="669"/>
      <c r="X1174" s="656"/>
      <c r="Y1174" s="657"/>
      <c r="Z1174" s="657"/>
      <c r="AA1174" s="481"/>
      <c r="AC1174" s="456"/>
      <c r="AD1174" s="522"/>
      <c r="AE1174" s="699"/>
      <c r="AF1174" s="456"/>
      <c r="AG1174" s="699"/>
      <c r="AH1174" s="481"/>
      <c r="AJ1174" s="481"/>
    </row>
    <row r="1175" spans="1:36" s="454" customFormat="1" ht="45.75" x14ac:dyDescent="0.25">
      <c r="A1175" s="658" t="s">
        <v>1503</v>
      </c>
      <c r="B1175" s="659" t="s">
        <v>2116</v>
      </c>
      <c r="C1175" s="2673" t="s">
        <v>2117</v>
      </c>
      <c r="D1175" s="2673"/>
      <c r="E1175" s="2673"/>
      <c r="F1175" s="670">
        <v>32</v>
      </c>
      <c r="G1175" s="661" t="s">
        <v>1288</v>
      </c>
      <c r="H1175" s="661" t="s">
        <v>1289</v>
      </c>
      <c r="I1175" s="661">
        <v>181</v>
      </c>
      <c r="J1175" s="661">
        <v>74</v>
      </c>
      <c r="K1175" s="662" t="s">
        <v>1504</v>
      </c>
      <c r="L1175" s="671">
        <v>0.255</v>
      </c>
      <c r="M1175" s="672">
        <v>8.16</v>
      </c>
      <c r="X1175" s="656"/>
      <c r="Y1175" s="657"/>
      <c r="Z1175" s="657"/>
      <c r="AA1175" s="481" t="s">
        <v>2117</v>
      </c>
      <c r="AC1175" s="456"/>
      <c r="AD1175" s="522"/>
      <c r="AE1175" s="699"/>
      <c r="AF1175" s="456"/>
      <c r="AG1175" s="699"/>
      <c r="AH1175" s="481"/>
      <c r="AJ1175" s="481"/>
    </row>
    <row r="1176" spans="1:36" s="454" customFormat="1" ht="33.75" x14ac:dyDescent="0.25">
      <c r="A1176" s="542"/>
      <c r="B1176" s="673" t="s">
        <v>1655</v>
      </c>
      <c r="C1176" s="2670" t="s">
        <v>1656</v>
      </c>
      <c r="D1176" s="2670"/>
      <c r="E1176" s="2670"/>
      <c r="F1176" s="2670"/>
      <c r="G1176" s="2670"/>
      <c r="H1176" s="2670"/>
      <c r="I1176" s="2670"/>
      <c r="J1176" s="2670"/>
      <c r="K1176" s="2670"/>
      <c r="L1176" s="2670"/>
      <c r="M1176" s="2671"/>
      <c r="X1176" s="656"/>
      <c r="Y1176" s="657"/>
      <c r="Z1176" s="657"/>
      <c r="AA1176" s="481"/>
      <c r="AB1176" s="491" t="s">
        <v>1656</v>
      </c>
      <c r="AC1176" s="456"/>
      <c r="AD1176" s="522"/>
      <c r="AE1176" s="699"/>
      <c r="AF1176" s="456"/>
      <c r="AG1176" s="699"/>
      <c r="AH1176" s="481"/>
      <c r="AJ1176" s="481"/>
    </row>
    <row r="1177" spans="1:36" s="454" customFormat="1" ht="15" x14ac:dyDescent="0.25">
      <c r="A1177" s="823"/>
      <c r="B1177" s="824"/>
      <c r="C1177" s="824"/>
      <c r="D1177" s="824"/>
      <c r="E1177" s="825" t="s">
        <v>3651</v>
      </c>
      <c r="F1177" s="826"/>
      <c r="G1177" s="827"/>
      <c r="H1177" s="648"/>
      <c r="I1177" s="828">
        <v>95</v>
      </c>
      <c r="J1177" s="829"/>
      <c r="K1177" s="829"/>
      <c r="L1177" s="830"/>
      <c r="M1177" s="831"/>
      <c r="X1177" s="656"/>
      <c r="Y1177" s="657"/>
      <c r="Z1177" s="657"/>
      <c r="AA1177" s="481"/>
      <c r="AC1177" s="456"/>
      <c r="AD1177" s="522"/>
      <c r="AE1177" s="699"/>
      <c r="AF1177" s="456"/>
      <c r="AG1177" s="699"/>
      <c r="AH1177" s="481"/>
      <c r="AJ1177" s="481"/>
    </row>
    <row r="1178" spans="1:36" s="454" customFormat="1" ht="15" x14ac:dyDescent="0.25">
      <c r="A1178" s="823"/>
      <c r="B1178" s="824"/>
      <c r="C1178" s="824"/>
      <c r="D1178" s="824"/>
      <c r="E1178" s="825" t="s">
        <v>3652</v>
      </c>
      <c r="F1178" s="826"/>
      <c r="G1178" s="827"/>
      <c r="H1178" s="648"/>
      <c r="I1178" s="828">
        <v>43</v>
      </c>
      <c r="J1178" s="829"/>
      <c r="K1178" s="829"/>
      <c r="L1178" s="830"/>
      <c r="M1178" s="831"/>
      <c r="X1178" s="656"/>
      <c r="Y1178" s="657"/>
      <c r="Z1178" s="657"/>
      <c r="AA1178" s="481"/>
      <c r="AC1178" s="456"/>
      <c r="AD1178" s="522"/>
      <c r="AE1178" s="699"/>
      <c r="AF1178" s="456"/>
      <c r="AG1178" s="699"/>
      <c r="AH1178" s="481"/>
      <c r="AJ1178" s="481"/>
    </row>
    <row r="1179" spans="1:36" s="454" customFormat="1" ht="15" x14ac:dyDescent="0.25">
      <c r="A1179" s="823"/>
      <c r="B1179" s="824"/>
      <c r="C1179" s="824"/>
      <c r="D1179" s="824"/>
      <c r="E1179" s="825" t="s">
        <v>2692</v>
      </c>
      <c r="F1179" s="826"/>
      <c r="G1179" s="827"/>
      <c r="H1179" s="648"/>
      <c r="I1179" s="828">
        <v>319</v>
      </c>
      <c r="J1179" s="829"/>
      <c r="K1179" s="829"/>
      <c r="L1179" s="830"/>
      <c r="M1179" s="831"/>
      <c r="X1179" s="656"/>
      <c r="Y1179" s="657"/>
      <c r="Z1179" s="657"/>
      <c r="AA1179" s="481"/>
      <c r="AC1179" s="456"/>
      <c r="AD1179" s="522"/>
      <c r="AE1179" s="699"/>
      <c r="AF1179" s="456"/>
      <c r="AG1179" s="699"/>
      <c r="AH1179" s="481"/>
      <c r="AJ1179" s="481"/>
    </row>
    <row r="1180" spans="1:36" s="454" customFormat="1" ht="23.25" x14ac:dyDescent="0.25">
      <c r="A1180" s="507"/>
      <c r="B1180" s="674" t="s">
        <v>2119</v>
      </c>
      <c r="C1180" s="2672" t="s">
        <v>2120</v>
      </c>
      <c r="D1180" s="2672"/>
      <c r="E1180" s="2672"/>
      <c r="F1180" s="675" t="s">
        <v>3653</v>
      </c>
      <c r="G1180" s="676" t="s">
        <v>2122</v>
      </c>
      <c r="H1180" s="676"/>
      <c r="I1180" s="676">
        <v>74.010000000000005</v>
      </c>
      <c r="J1180" s="676">
        <v>74.010000000000005</v>
      </c>
      <c r="K1180" s="676"/>
      <c r="L1180" s="677"/>
      <c r="M1180" s="678"/>
      <c r="X1180" s="656"/>
      <c r="Y1180" s="657"/>
      <c r="Z1180" s="657"/>
      <c r="AA1180" s="481"/>
      <c r="AC1180" s="456" t="s">
        <v>2120</v>
      </c>
      <c r="AD1180" s="522"/>
      <c r="AE1180" s="699"/>
      <c r="AF1180" s="456"/>
      <c r="AG1180" s="699"/>
      <c r="AH1180" s="481"/>
      <c r="AJ1180" s="481"/>
    </row>
    <row r="1181" spans="1:36" s="454" customFormat="1" ht="23.25" x14ac:dyDescent="0.25">
      <c r="A1181" s="507"/>
      <c r="B1181" s="674" t="s">
        <v>639</v>
      </c>
      <c r="C1181" s="2672" t="s">
        <v>1661</v>
      </c>
      <c r="D1181" s="2672"/>
      <c r="E1181" s="2672"/>
      <c r="F1181" s="675" t="s">
        <v>3654</v>
      </c>
      <c r="G1181" s="676">
        <v>0</v>
      </c>
      <c r="H1181" s="676">
        <v>0</v>
      </c>
      <c r="I1181" s="676">
        <v>0</v>
      </c>
      <c r="J1181" s="676"/>
      <c r="K1181" s="676">
        <v>0</v>
      </c>
      <c r="L1181" s="677"/>
      <c r="M1181" s="678"/>
      <c r="X1181" s="656"/>
      <c r="Y1181" s="657"/>
      <c r="Z1181" s="657"/>
      <c r="AA1181" s="481"/>
      <c r="AC1181" s="456" t="s">
        <v>1661</v>
      </c>
      <c r="AD1181" s="522"/>
      <c r="AE1181" s="699"/>
      <c r="AF1181" s="456"/>
      <c r="AG1181" s="699"/>
      <c r="AH1181" s="481"/>
      <c r="AJ1181" s="481"/>
    </row>
    <row r="1182" spans="1:36" s="454" customFormat="1" ht="34.5" x14ac:dyDescent="0.25">
      <c r="A1182" s="507"/>
      <c r="B1182" s="674" t="s">
        <v>821</v>
      </c>
      <c r="C1182" s="2672" t="s">
        <v>1751</v>
      </c>
      <c r="D1182" s="2672"/>
      <c r="E1182" s="2672"/>
      <c r="F1182" s="675" t="s">
        <v>3655</v>
      </c>
      <c r="G1182" s="676">
        <v>65.709999999999994</v>
      </c>
      <c r="H1182" s="676" t="s">
        <v>1753</v>
      </c>
      <c r="I1182" s="676">
        <v>42.05</v>
      </c>
      <c r="J1182" s="676"/>
      <c r="K1182" s="676" t="s">
        <v>3656</v>
      </c>
      <c r="L1182" s="677"/>
      <c r="M1182" s="678"/>
      <c r="X1182" s="656"/>
      <c r="Y1182" s="657"/>
      <c r="Z1182" s="657"/>
      <c r="AA1182" s="481"/>
      <c r="AC1182" s="456" t="s">
        <v>1751</v>
      </c>
      <c r="AD1182" s="522"/>
      <c r="AE1182" s="699"/>
      <c r="AF1182" s="456"/>
      <c r="AG1182" s="699"/>
      <c r="AH1182" s="481"/>
      <c r="AJ1182" s="481"/>
    </row>
    <row r="1183" spans="1:36" s="454" customFormat="1" ht="23.25" x14ac:dyDescent="0.25">
      <c r="A1183" s="507"/>
      <c r="B1183" s="674" t="s">
        <v>825</v>
      </c>
      <c r="C1183" s="2672" t="s">
        <v>1808</v>
      </c>
      <c r="D1183" s="2672"/>
      <c r="E1183" s="2672"/>
      <c r="F1183" s="675" t="s">
        <v>3657</v>
      </c>
      <c r="G1183" s="676">
        <v>1.2</v>
      </c>
      <c r="H1183" s="676" t="s">
        <v>1810</v>
      </c>
      <c r="I1183" s="676">
        <v>5.76</v>
      </c>
      <c r="J1183" s="676"/>
      <c r="K1183" s="676" t="s">
        <v>3658</v>
      </c>
      <c r="L1183" s="677"/>
      <c r="M1183" s="678"/>
      <c r="X1183" s="656"/>
      <c r="Y1183" s="657"/>
      <c r="Z1183" s="657"/>
      <c r="AA1183" s="481"/>
      <c r="AC1183" s="456" t="s">
        <v>1808</v>
      </c>
      <c r="AD1183" s="522"/>
      <c r="AE1183" s="699"/>
      <c r="AF1183" s="456"/>
      <c r="AG1183" s="699"/>
      <c r="AH1183" s="481"/>
      <c r="AJ1183" s="481"/>
    </row>
    <row r="1184" spans="1:36" s="454" customFormat="1" ht="23.25" x14ac:dyDescent="0.25">
      <c r="A1184" s="507"/>
      <c r="B1184" s="674" t="s">
        <v>830</v>
      </c>
      <c r="C1184" s="2672" t="s">
        <v>1816</v>
      </c>
      <c r="D1184" s="2672"/>
      <c r="E1184" s="2672"/>
      <c r="F1184" s="675" t="s">
        <v>3657</v>
      </c>
      <c r="G1184" s="676">
        <v>6.22</v>
      </c>
      <c r="H1184" s="676"/>
      <c r="I1184" s="676">
        <v>29.86</v>
      </c>
      <c r="J1184" s="676"/>
      <c r="K1184" s="676"/>
      <c r="L1184" s="677"/>
      <c r="M1184" s="678"/>
      <c r="X1184" s="656"/>
      <c r="Y1184" s="657"/>
      <c r="Z1184" s="657"/>
      <c r="AA1184" s="481"/>
      <c r="AC1184" s="456" t="s">
        <v>1816</v>
      </c>
      <c r="AD1184" s="522"/>
      <c r="AE1184" s="699"/>
      <c r="AF1184" s="456"/>
      <c r="AG1184" s="699"/>
      <c r="AH1184" s="481"/>
      <c r="AJ1184" s="481"/>
    </row>
    <row r="1185" spans="1:36" s="454" customFormat="1" ht="23.25" x14ac:dyDescent="0.25">
      <c r="A1185" s="507"/>
      <c r="B1185" s="674" t="s">
        <v>833</v>
      </c>
      <c r="C1185" s="2672" t="s">
        <v>1818</v>
      </c>
      <c r="D1185" s="2672"/>
      <c r="E1185" s="2672"/>
      <c r="F1185" s="675" t="s">
        <v>3654</v>
      </c>
      <c r="G1185" s="676">
        <v>6.09</v>
      </c>
      <c r="H1185" s="676"/>
      <c r="I1185" s="676">
        <v>5.85</v>
      </c>
      <c r="J1185" s="676"/>
      <c r="K1185" s="676"/>
      <c r="L1185" s="677"/>
      <c r="M1185" s="678"/>
      <c r="X1185" s="656"/>
      <c r="Y1185" s="657"/>
      <c r="Z1185" s="657"/>
      <c r="AA1185" s="481"/>
      <c r="AC1185" s="456" t="s">
        <v>1818</v>
      </c>
      <c r="AD1185" s="522"/>
      <c r="AE1185" s="699"/>
      <c r="AF1185" s="456"/>
      <c r="AG1185" s="699"/>
      <c r="AH1185" s="481"/>
      <c r="AJ1185" s="481"/>
    </row>
    <row r="1186" spans="1:36" s="454" customFormat="1" ht="15" x14ac:dyDescent="0.25">
      <c r="A1186" s="2680" t="s">
        <v>1505</v>
      </c>
      <c r="B1186" s="2681"/>
      <c r="C1186" s="2681"/>
      <c r="D1186" s="2681"/>
      <c r="E1186" s="2681"/>
      <c r="F1186" s="2681"/>
      <c r="G1186" s="2681"/>
      <c r="H1186" s="2681"/>
      <c r="I1186" s="2681"/>
      <c r="J1186" s="2681"/>
      <c r="K1186" s="2681"/>
      <c r="L1186" s="2681"/>
      <c r="M1186" s="2682"/>
      <c r="X1186" s="656"/>
      <c r="Y1186" s="657" t="s">
        <v>1505</v>
      </c>
      <c r="Z1186" s="657"/>
      <c r="AA1186" s="481"/>
      <c r="AC1186" s="456"/>
      <c r="AD1186" s="522"/>
      <c r="AE1186" s="699"/>
      <c r="AF1186" s="456"/>
      <c r="AG1186" s="699"/>
      <c r="AH1186" s="481"/>
      <c r="AJ1186" s="481"/>
    </row>
    <row r="1187" spans="1:36" s="454" customFormat="1" ht="57" x14ac:dyDescent="0.25">
      <c r="A1187" s="658" t="s">
        <v>1506</v>
      </c>
      <c r="B1187" s="659" t="s">
        <v>1954</v>
      </c>
      <c r="C1187" s="2673" t="s">
        <v>1955</v>
      </c>
      <c r="D1187" s="2673"/>
      <c r="E1187" s="2673"/>
      <c r="F1187" s="660">
        <v>2.2949999999999999</v>
      </c>
      <c r="G1187" s="661" t="s">
        <v>1956</v>
      </c>
      <c r="H1187" s="661" t="s">
        <v>1957</v>
      </c>
      <c r="I1187" s="661">
        <v>293527</v>
      </c>
      <c r="J1187" s="661">
        <v>22955</v>
      </c>
      <c r="K1187" s="662" t="s">
        <v>3659</v>
      </c>
      <c r="L1187" s="691">
        <v>1039.7328</v>
      </c>
      <c r="M1187" s="672">
        <v>2386.19</v>
      </c>
      <c r="X1187" s="656"/>
      <c r="Y1187" s="657"/>
      <c r="Z1187" s="657"/>
      <c r="AA1187" s="481" t="s">
        <v>1955</v>
      </c>
      <c r="AC1187" s="456"/>
      <c r="AD1187" s="522"/>
      <c r="AE1187" s="699"/>
      <c r="AF1187" s="456"/>
      <c r="AG1187" s="699"/>
      <c r="AH1187" s="481"/>
      <c r="AJ1187" s="481"/>
    </row>
    <row r="1188" spans="1:36" s="454" customFormat="1" ht="15" x14ac:dyDescent="0.25">
      <c r="A1188" s="664"/>
      <c r="B1188" s="665"/>
      <c r="C1188" s="666" t="s">
        <v>3660</v>
      </c>
      <c r="D1188" s="667"/>
      <c r="E1188" s="667"/>
      <c r="F1188" s="667"/>
      <c r="G1188" s="667"/>
      <c r="H1188" s="667"/>
      <c r="I1188" s="667"/>
      <c r="J1188" s="667"/>
      <c r="K1188" s="667"/>
      <c r="L1188" s="667"/>
      <c r="M1188" s="668"/>
      <c r="X1188" s="656"/>
      <c r="Y1188" s="657"/>
      <c r="Z1188" s="657"/>
      <c r="AA1188" s="481"/>
      <c r="AC1188" s="456"/>
      <c r="AD1188" s="522"/>
      <c r="AE1188" s="699"/>
      <c r="AF1188" s="456"/>
      <c r="AG1188" s="699"/>
      <c r="AH1188" s="481"/>
      <c r="AJ1188" s="481"/>
    </row>
    <row r="1189" spans="1:36" s="454" customFormat="1" ht="15" x14ac:dyDescent="0.25">
      <c r="A1189" s="542"/>
      <c r="B1189" s="673" t="s">
        <v>1960</v>
      </c>
      <c r="C1189" s="2670" t="s">
        <v>1961</v>
      </c>
      <c r="D1189" s="2670"/>
      <c r="E1189" s="2670"/>
      <c r="F1189" s="2670"/>
      <c r="G1189" s="2670"/>
      <c r="H1189" s="2670"/>
      <c r="I1189" s="2670"/>
      <c r="J1189" s="2670"/>
      <c r="K1189" s="2670"/>
      <c r="L1189" s="2670"/>
      <c r="M1189" s="2671"/>
      <c r="X1189" s="656"/>
      <c r="Y1189" s="657"/>
      <c r="Z1189" s="657"/>
      <c r="AA1189" s="481"/>
      <c r="AB1189" s="491" t="s">
        <v>1961</v>
      </c>
      <c r="AC1189" s="456"/>
      <c r="AD1189" s="522"/>
      <c r="AE1189" s="699"/>
      <c r="AF1189" s="456"/>
      <c r="AG1189" s="699"/>
      <c r="AH1189" s="481"/>
      <c r="AJ1189" s="481"/>
    </row>
    <row r="1190" spans="1:36" s="454" customFormat="1" ht="15" x14ac:dyDescent="0.25">
      <c r="A1190" s="542"/>
      <c r="B1190" s="673" t="s">
        <v>1962</v>
      </c>
      <c r="C1190" s="2670" t="s">
        <v>1963</v>
      </c>
      <c r="D1190" s="2670"/>
      <c r="E1190" s="2670"/>
      <c r="F1190" s="2670"/>
      <c r="G1190" s="2670"/>
      <c r="H1190" s="2670"/>
      <c r="I1190" s="2670"/>
      <c r="J1190" s="2670"/>
      <c r="K1190" s="2670"/>
      <c r="L1190" s="2670"/>
      <c r="M1190" s="2671"/>
      <c r="X1190" s="656"/>
      <c r="Y1190" s="657"/>
      <c r="Z1190" s="657"/>
      <c r="AA1190" s="481"/>
      <c r="AB1190" s="491" t="s">
        <v>1963</v>
      </c>
      <c r="AC1190" s="456"/>
      <c r="AD1190" s="522"/>
      <c r="AE1190" s="699"/>
      <c r="AF1190" s="456"/>
      <c r="AG1190" s="699"/>
      <c r="AH1190" s="481"/>
      <c r="AJ1190" s="481"/>
    </row>
    <row r="1191" spans="1:36" s="454" customFormat="1" ht="15" x14ac:dyDescent="0.25">
      <c r="A1191" s="542"/>
      <c r="B1191" s="673" t="s">
        <v>1964</v>
      </c>
      <c r="C1191" s="2670" t="s">
        <v>1965</v>
      </c>
      <c r="D1191" s="2670"/>
      <c r="E1191" s="2670"/>
      <c r="F1191" s="2670"/>
      <c r="G1191" s="2670"/>
      <c r="H1191" s="2670"/>
      <c r="I1191" s="2670"/>
      <c r="J1191" s="2670"/>
      <c r="K1191" s="2670"/>
      <c r="L1191" s="2670"/>
      <c r="M1191" s="2671"/>
      <c r="X1191" s="656"/>
      <c r="Y1191" s="657"/>
      <c r="Z1191" s="657"/>
      <c r="AA1191" s="481"/>
      <c r="AB1191" s="491" t="s">
        <v>1965</v>
      </c>
      <c r="AC1191" s="456"/>
      <c r="AD1191" s="522"/>
      <c r="AE1191" s="699"/>
      <c r="AF1191" s="456"/>
      <c r="AG1191" s="699"/>
      <c r="AH1191" s="481"/>
      <c r="AJ1191" s="481"/>
    </row>
    <row r="1192" spans="1:36" s="454" customFormat="1" ht="33.75" x14ac:dyDescent="0.25">
      <c r="A1192" s="542"/>
      <c r="B1192" s="673" t="s">
        <v>1655</v>
      </c>
      <c r="C1192" s="2670" t="s">
        <v>1656</v>
      </c>
      <c r="D1192" s="2670"/>
      <c r="E1192" s="2670"/>
      <c r="F1192" s="2670"/>
      <c r="G1192" s="2670"/>
      <c r="H1192" s="2670"/>
      <c r="I1192" s="2670"/>
      <c r="J1192" s="2670"/>
      <c r="K1192" s="2670"/>
      <c r="L1192" s="2670"/>
      <c r="M1192" s="2671"/>
      <c r="X1192" s="656"/>
      <c r="Y1192" s="657"/>
      <c r="Z1192" s="657"/>
      <c r="AA1192" s="481"/>
      <c r="AB1192" s="491" t="s">
        <v>1656</v>
      </c>
      <c r="AC1192" s="456"/>
      <c r="AD1192" s="522"/>
      <c r="AE1192" s="699"/>
      <c r="AF1192" s="456"/>
      <c r="AG1192" s="699"/>
      <c r="AH1192" s="481"/>
      <c r="AJ1192" s="481"/>
    </row>
    <row r="1193" spans="1:36" s="454" customFormat="1" ht="15" x14ac:dyDescent="0.25">
      <c r="A1193" s="823"/>
      <c r="B1193" s="824"/>
      <c r="C1193" s="824"/>
      <c r="D1193" s="824"/>
      <c r="E1193" s="825" t="s">
        <v>3661</v>
      </c>
      <c r="F1193" s="826"/>
      <c r="G1193" s="827"/>
      <c r="H1193" s="648"/>
      <c r="I1193" s="828">
        <v>40125</v>
      </c>
      <c r="J1193" s="829"/>
      <c r="K1193" s="829"/>
      <c r="L1193" s="830"/>
      <c r="M1193" s="831"/>
      <c r="X1193" s="656"/>
      <c r="Y1193" s="657"/>
      <c r="Z1193" s="657"/>
      <c r="AA1193" s="481"/>
      <c r="AC1193" s="456"/>
      <c r="AD1193" s="522"/>
      <c r="AE1193" s="699"/>
      <c r="AF1193" s="456"/>
      <c r="AG1193" s="699"/>
      <c r="AH1193" s="481"/>
      <c r="AJ1193" s="481"/>
    </row>
    <row r="1194" spans="1:36" s="454" customFormat="1" ht="15" x14ac:dyDescent="0.25">
      <c r="A1194" s="823"/>
      <c r="B1194" s="824"/>
      <c r="C1194" s="824"/>
      <c r="D1194" s="824"/>
      <c r="E1194" s="825" t="s">
        <v>3662</v>
      </c>
      <c r="F1194" s="826"/>
      <c r="G1194" s="827"/>
      <c r="H1194" s="648"/>
      <c r="I1194" s="828">
        <v>18271</v>
      </c>
      <c r="J1194" s="829"/>
      <c r="K1194" s="829"/>
      <c r="L1194" s="830"/>
      <c r="M1194" s="831"/>
      <c r="X1194" s="656"/>
      <c r="Y1194" s="657"/>
      <c r="Z1194" s="657"/>
      <c r="AA1194" s="481"/>
      <c r="AC1194" s="456"/>
      <c r="AD1194" s="522"/>
      <c r="AE1194" s="699"/>
      <c r="AF1194" s="456"/>
      <c r="AG1194" s="699"/>
      <c r="AH1194" s="481"/>
      <c r="AJ1194" s="481"/>
    </row>
    <row r="1195" spans="1:36" s="454" customFormat="1" ht="15" x14ac:dyDescent="0.25">
      <c r="A1195" s="823"/>
      <c r="B1195" s="824"/>
      <c r="C1195" s="824"/>
      <c r="D1195" s="824"/>
      <c r="E1195" s="825" t="s">
        <v>2692</v>
      </c>
      <c r="F1195" s="826"/>
      <c r="G1195" s="827"/>
      <c r="H1195" s="648"/>
      <c r="I1195" s="828">
        <v>351923</v>
      </c>
      <c r="J1195" s="829"/>
      <c r="K1195" s="829"/>
      <c r="L1195" s="830"/>
      <c r="M1195" s="831"/>
      <c r="X1195" s="656"/>
      <c r="Y1195" s="657"/>
      <c r="Z1195" s="657"/>
      <c r="AA1195" s="481"/>
      <c r="AC1195" s="456"/>
      <c r="AD1195" s="522"/>
      <c r="AE1195" s="699"/>
      <c r="AF1195" s="456"/>
      <c r="AG1195" s="699"/>
      <c r="AH1195" s="481"/>
      <c r="AJ1195" s="481"/>
    </row>
    <row r="1196" spans="1:36" s="454" customFormat="1" ht="23.25" x14ac:dyDescent="0.25">
      <c r="A1196" s="507"/>
      <c r="B1196" s="674" t="s">
        <v>1883</v>
      </c>
      <c r="C1196" s="2672" t="s">
        <v>1884</v>
      </c>
      <c r="D1196" s="2672"/>
      <c r="E1196" s="2672"/>
      <c r="F1196" s="675" t="s">
        <v>3663</v>
      </c>
      <c r="G1196" s="676" t="s">
        <v>1886</v>
      </c>
      <c r="H1196" s="676"/>
      <c r="I1196" s="676">
        <v>22955.15</v>
      </c>
      <c r="J1196" s="676">
        <v>22955.15</v>
      </c>
      <c r="K1196" s="676"/>
      <c r="L1196" s="677"/>
      <c r="M1196" s="678"/>
      <c r="X1196" s="656"/>
      <c r="Y1196" s="657"/>
      <c r="Z1196" s="657"/>
      <c r="AA1196" s="481"/>
      <c r="AC1196" s="456" t="s">
        <v>1884</v>
      </c>
      <c r="AD1196" s="522"/>
      <c r="AE1196" s="699"/>
      <c r="AF1196" s="456"/>
      <c r="AG1196" s="699"/>
      <c r="AH1196" s="481"/>
      <c r="AJ1196" s="481"/>
    </row>
    <row r="1197" spans="1:36" s="454" customFormat="1" ht="23.25" x14ac:dyDescent="0.25">
      <c r="A1197" s="507"/>
      <c r="B1197" s="674" t="s">
        <v>639</v>
      </c>
      <c r="C1197" s="2672" t="s">
        <v>1661</v>
      </c>
      <c r="D1197" s="2672"/>
      <c r="E1197" s="2672"/>
      <c r="F1197" s="675" t="s">
        <v>3664</v>
      </c>
      <c r="G1197" s="676">
        <v>0</v>
      </c>
      <c r="H1197" s="676">
        <v>0</v>
      </c>
      <c r="I1197" s="676">
        <v>0</v>
      </c>
      <c r="J1197" s="676"/>
      <c r="K1197" s="676">
        <v>0</v>
      </c>
      <c r="L1197" s="677"/>
      <c r="M1197" s="678"/>
      <c r="X1197" s="656"/>
      <c r="Y1197" s="657"/>
      <c r="Z1197" s="657"/>
      <c r="AA1197" s="481"/>
      <c r="AC1197" s="456" t="s">
        <v>1661</v>
      </c>
      <c r="AD1197" s="522"/>
      <c r="AE1197" s="699"/>
      <c r="AF1197" s="456"/>
      <c r="AG1197" s="699"/>
      <c r="AH1197" s="481"/>
      <c r="AJ1197" s="481"/>
    </row>
    <row r="1198" spans="1:36" s="454" customFormat="1" ht="23.25" x14ac:dyDescent="0.25">
      <c r="A1198" s="507"/>
      <c r="B1198" s="674" t="s">
        <v>1968</v>
      </c>
      <c r="C1198" s="2672" t="s">
        <v>1969</v>
      </c>
      <c r="D1198" s="2672"/>
      <c r="E1198" s="2672"/>
      <c r="F1198" s="675" t="s">
        <v>3665</v>
      </c>
      <c r="G1198" s="676">
        <v>79.069999999999993</v>
      </c>
      <c r="H1198" s="676" t="s">
        <v>1971</v>
      </c>
      <c r="I1198" s="676">
        <v>531.35</v>
      </c>
      <c r="J1198" s="676"/>
      <c r="K1198" s="676" t="s">
        <v>3666</v>
      </c>
      <c r="L1198" s="677"/>
      <c r="M1198" s="678"/>
      <c r="X1198" s="656"/>
      <c r="Y1198" s="657"/>
      <c r="Z1198" s="657"/>
      <c r="AA1198" s="481"/>
      <c r="AC1198" s="456" t="s">
        <v>1969</v>
      </c>
      <c r="AD1198" s="522"/>
      <c r="AE1198" s="699"/>
      <c r="AF1198" s="456"/>
      <c r="AG1198" s="699"/>
      <c r="AH1198" s="481"/>
      <c r="AJ1198" s="481"/>
    </row>
    <row r="1199" spans="1:36" s="454" customFormat="1" ht="45.75" x14ac:dyDescent="0.25">
      <c r="A1199" s="507"/>
      <c r="B1199" s="674" t="s">
        <v>1973</v>
      </c>
      <c r="C1199" s="2672" t="s">
        <v>1974</v>
      </c>
      <c r="D1199" s="2672"/>
      <c r="E1199" s="2672"/>
      <c r="F1199" s="675" t="s">
        <v>3667</v>
      </c>
      <c r="G1199" s="676">
        <v>70.010000000000005</v>
      </c>
      <c r="H1199" s="676" t="s">
        <v>1976</v>
      </c>
      <c r="I1199" s="676">
        <v>632.89</v>
      </c>
      <c r="J1199" s="676"/>
      <c r="K1199" s="676" t="s">
        <v>3668</v>
      </c>
      <c r="L1199" s="677"/>
      <c r="M1199" s="678"/>
      <c r="X1199" s="656"/>
      <c r="Y1199" s="657"/>
      <c r="Z1199" s="657"/>
      <c r="AA1199" s="481"/>
      <c r="AC1199" s="456" t="s">
        <v>1974</v>
      </c>
      <c r="AD1199" s="522"/>
      <c r="AE1199" s="699"/>
      <c r="AF1199" s="456"/>
      <c r="AG1199" s="699"/>
      <c r="AH1199" s="481"/>
      <c r="AJ1199" s="481"/>
    </row>
    <row r="1200" spans="1:36" s="454" customFormat="1" ht="57" x14ac:dyDescent="0.25">
      <c r="A1200" s="507"/>
      <c r="B1200" s="674" t="s">
        <v>1978</v>
      </c>
      <c r="C1200" s="2672" t="s">
        <v>1979</v>
      </c>
      <c r="D1200" s="2672"/>
      <c r="E1200" s="2672"/>
      <c r="F1200" s="675" t="s">
        <v>3669</v>
      </c>
      <c r="G1200" s="676">
        <v>340</v>
      </c>
      <c r="H1200" s="676" t="s">
        <v>1981</v>
      </c>
      <c r="I1200" s="676">
        <v>173553</v>
      </c>
      <c r="J1200" s="676"/>
      <c r="K1200" s="676" t="s">
        <v>3670</v>
      </c>
      <c r="L1200" s="677"/>
      <c r="M1200" s="678"/>
      <c r="X1200" s="656"/>
      <c r="Y1200" s="657"/>
      <c r="Z1200" s="657"/>
      <c r="AA1200" s="481"/>
      <c r="AC1200" s="456" t="s">
        <v>1979</v>
      </c>
      <c r="AD1200" s="522"/>
      <c r="AE1200" s="699"/>
      <c r="AF1200" s="456"/>
      <c r="AG1200" s="699"/>
      <c r="AH1200" s="481"/>
      <c r="AJ1200" s="481"/>
    </row>
    <row r="1201" spans="1:36" s="454" customFormat="1" ht="34.5" x14ac:dyDescent="0.25">
      <c r="A1201" s="507"/>
      <c r="B1201" s="674" t="s">
        <v>1663</v>
      </c>
      <c r="C1201" s="2672" t="s">
        <v>1664</v>
      </c>
      <c r="D1201" s="2672"/>
      <c r="E1201" s="2672"/>
      <c r="F1201" s="675" t="s">
        <v>3671</v>
      </c>
      <c r="G1201" s="676">
        <v>111.99</v>
      </c>
      <c r="H1201" s="676" t="s">
        <v>1666</v>
      </c>
      <c r="I1201" s="676">
        <v>994.47</v>
      </c>
      <c r="J1201" s="676"/>
      <c r="K1201" s="676" t="s">
        <v>3672</v>
      </c>
      <c r="L1201" s="677"/>
      <c r="M1201" s="678"/>
      <c r="X1201" s="656"/>
      <c r="Y1201" s="657"/>
      <c r="Z1201" s="657"/>
      <c r="AA1201" s="481"/>
      <c r="AC1201" s="456" t="s">
        <v>1664</v>
      </c>
      <c r="AD1201" s="522"/>
      <c r="AE1201" s="699"/>
      <c r="AF1201" s="456"/>
      <c r="AG1201" s="699"/>
      <c r="AH1201" s="481"/>
      <c r="AJ1201" s="481"/>
    </row>
    <row r="1202" spans="1:36" s="454" customFormat="1" ht="23.25" x14ac:dyDescent="0.25">
      <c r="A1202" s="507"/>
      <c r="B1202" s="674" t="s">
        <v>1985</v>
      </c>
      <c r="C1202" s="2672" t="s">
        <v>1986</v>
      </c>
      <c r="D1202" s="2672"/>
      <c r="E1202" s="2672"/>
      <c r="F1202" s="675" t="s">
        <v>3673</v>
      </c>
      <c r="G1202" s="676">
        <v>26.5</v>
      </c>
      <c r="H1202" s="676" t="s">
        <v>1988</v>
      </c>
      <c r="I1202" s="676">
        <v>3213.39</v>
      </c>
      <c r="J1202" s="676"/>
      <c r="K1202" s="676" t="s">
        <v>3674</v>
      </c>
      <c r="L1202" s="677"/>
      <c r="M1202" s="678"/>
      <c r="X1202" s="656"/>
      <c r="Y1202" s="657"/>
      <c r="Z1202" s="657"/>
      <c r="AA1202" s="481"/>
      <c r="AC1202" s="456" t="s">
        <v>1986</v>
      </c>
      <c r="AD1202" s="522"/>
      <c r="AE1202" s="699"/>
      <c r="AF1202" s="456"/>
      <c r="AG1202" s="699"/>
      <c r="AH1202" s="481"/>
      <c r="AJ1202" s="481"/>
    </row>
    <row r="1203" spans="1:36" s="454" customFormat="1" ht="34.5" x14ac:dyDescent="0.25">
      <c r="A1203" s="507"/>
      <c r="B1203" s="674" t="s">
        <v>821</v>
      </c>
      <c r="C1203" s="2672" t="s">
        <v>1751</v>
      </c>
      <c r="D1203" s="2672"/>
      <c r="E1203" s="2672"/>
      <c r="F1203" s="675" t="s">
        <v>3675</v>
      </c>
      <c r="G1203" s="676">
        <v>65.709999999999994</v>
      </c>
      <c r="H1203" s="676" t="s">
        <v>1753</v>
      </c>
      <c r="I1203" s="676">
        <v>873.94</v>
      </c>
      <c r="J1203" s="676"/>
      <c r="K1203" s="676" t="s">
        <v>3676</v>
      </c>
      <c r="L1203" s="677"/>
      <c r="M1203" s="678"/>
      <c r="X1203" s="656"/>
      <c r="Y1203" s="657"/>
      <c r="Z1203" s="657"/>
      <c r="AA1203" s="481"/>
      <c r="AC1203" s="456" t="s">
        <v>1751</v>
      </c>
      <c r="AD1203" s="522"/>
      <c r="AE1203" s="699"/>
      <c r="AF1203" s="456"/>
      <c r="AG1203" s="699"/>
      <c r="AH1203" s="481"/>
      <c r="AJ1203" s="481"/>
    </row>
    <row r="1204" spans="1:36" s="454" customFormat="1" ht="23.25" x14ac:dyDescent="0.25">
      <c r="A1204" s="515" t="s">
        <v>863</v>
      </c>
      <c r="B1204" s="686" t="s">
        <v>1992</v>
      </c>
      <c r="C1204" s="2683" t="s">
        <v>1993</v>
      </c>
      <c r="D1204" s="2683"/>
      <c r="E1204" s="2683"/>
      <c r="F1204" s="687" t="s">
        <v>3677</v>
      </c>
      <c r="G1204" s="688">
        <v>0</v>
      </c>
      <c r="H1204" s="688"/>
      <c r="I1204" s="688">
        <v>0</v>
      </c>
      <c r="J1204" s="688"/>
      <c r="K1204" s="688"/>
      <c r="L1204" s="689"/>
      <c r="M1204" s="690"/>
      <c r="X1204" s="656"/>
      <c r="Y1204" s="657"/>
      <c r="Z1204" s="657"/>
      <c r="AA1204" s="481"/>
      <c r="AC1204" s="456"/>
      <c r="AD1204" s="522" t="s">
        <v>1993</v>
      </c>
      <c r="AE1204" s="699"/>
      <c r="AF1204" s="456"/>
      <c r="AG1204" s="699"/>
      <c r="AH1204" s="481"/>
      <c r="AJ1204" s="481"/>
    </row>
    <row r="1205" spans="1:36" s="454" customFormat="1" ht="57" x14ac:dyDescent="0.25">
      <c r="A1205" s="507"/>
      <c r="B1205" s="674" t="s">
        <v>1995</v>
      </c>
      <c r="C1205" s="2672" t="s">
        <v>1996</v>
      </c>
      <c r="D1205" s="2672"/>
      <c r="E1205" s="2672"/>
      <c r="F1205" s="675" t="s">
        <v>3678</v>
      </c>
      <c r="G1205" s="676">
        <v>183.68</v>
      </c>
      <c r="H1205" s="676"/>
      <c r="I1205" s="676">
        <v>873.4</v>
      </c>
      <c r="J1205" s="676"/>
      <c r="K1205" s="676"/>
      <c r="L1205" s="677"/>
      <c r="M1205" s="678"/>
      <c r="X1205" s="656"/>
      <c r="Y1205" s="657"/>
      <c r="Z1205" s="657"/>
      <c r="AA1205" s="481"/>
      <c r="AC1205" s="456" t="s">
        <v>1996</v>
      </c>
      <c r="AD1205" s="522"/>
      <c r="AE1205" s="699"/>
      <c r="AF1205" s="456"/>
      <c r="AG1205" s="699"/>
      <c r="AH1205" s="481"/>
      <c r="AJ1205" s="481"/>
    </row>
    <row r="1206" spans="1:36" s="454" customFormat="1" ht="23.25" x14ac:dyDescent="0.25">
      <c r="A1206" s="515" t="s">
        <v>863</v>
      </c>
      <c r="B1206" s="686" t="s">
        <v>1998</v>
      </c>
      <c r="C1206" s="2683" t="s">
        <v>1999</v>
      </c>
      <c r="D1206" s="2683"/>
      <c r="E1206" s="2683"/>
      <c r="F1206" s="687" t="s">
        <v>3679</v>
      </c>
      <c r="G1206" s="688">
        <v>0</v>
      </c>
      <c r="H1206" s="688"/>
      <c r="I1206" s="688">
        <v>0</v>
      </c>
      <c r="J1206" s="688"/>
      <c r="K1206" s="688"/>
      <c r="L1206" s="689"/>
      <c r="M1206" s="690"/>
      <c r="X1206" s="656"/>
      <c r="Y1206" s="657"/>
      <c r="Z1206" s="657"/>
      <c r="AA1206" s="481"/>
      <c r="AC1206" s="456"/>
      <c r="AD1206" s="522" t="s">
        <v>1999</v>
      </c>
      <c r="AE1206" s="699"/>
      <c r="AF1206" s="456"/>
      <c r="AG1206" s="699"/>
      <c r="AH1206" s="481"/>
      <c r="AJ1206" s="481"/>
    </row>
    <row r="1207" spans="1:36" s="454" customFormat="1" ht="22.5" x14ac:dyDescent="0.25">
      <c r="A1207" s="515" t="s">
        <v>860</v>
      </c>
      <c r="B1207" s="686" t="s">
        <v>2001</v>
      </c>
      <c r="C1207" s="2683" t="s">
        <v>2002</v>
      </c>
      <c r="D1207" s="2683"/>
      <c r="E1207" s="2683"/>
      <c r="F1207" s="687" t="s">
        <v>1935</v>
      </c>
      <c r="G1207" s="688">
        <v>0</v>
      </c>
      <c r="H1207" s="688"/>
      <c r="I1207" s="688">
        <v>0</v>
      </c>
      <c r="J1207" s="688"/>
      <c r="K1207" s="688"/>
      <c r="L1207" s="689"/>
      <c r="M1207" s="690"/>
      <c r="X1207" s="656"/>
      <c r="Y1207" s="657"/>
      <c r="Z1207" s="657"/>
      <c r="AA1207" s="481"/>
      <c r="AC1207" s="456"/>
      <c r="AD1207" s="522" t="s">
        <v>2002</v>
      </c>
      <c r="AE1207" s="699"/>
      <c r="AF1207" s="456"/>
      <c r="AG1207" s="699"/>
      <c r="AH1207" s="481"/>
      <c r="AJ1207" s="481"/>
    </row>
    <row r="1208" spans="1:36" s="454" customFormat="1" ht="57" x14ac:dyDescent="0.25">
      <c r="A1208" s="658" t="s">
        <v>1509</v>
      </c>
      <c r="B1208" s="659" t="s">
        <v>2003</v>
      </c>
      <c r="C1208" s="2673" t="s">
        <v>2004</v>
      </c>
      <c r="D1208" s="2673"/>
      <c r="E1208" s="2673"/>
      <c r="F1208" s="660">
        <v>0.40500000000000003</v>
      </c>
      <c r="G1208" s="661" t="s">
        <v>2005</v>
      </c>
      <c r="H1208" s="661" t="s">
        <v>2006</v>
      </c>
      <c r="I1208" s="661">
        <v>157213</v>
      </c>
      <c r="J1208" s="661">
        <v>12005</v>
      </c>
      <c r="K1208" s="662" t="s">
        <v>3680</v>
      </c>
      <c r="L1208" s="691">
        <v>3081.2808</v>
      </c>
      <c r="M1208" s="672">
        <v>1247.92</v>
      </c>
      <c r="X1208" s="656"/>
      <c r="Y1208" s="657"/>
      <c r="Z1208" s="657"/>
      <c r="AA1208" s="481" t="s">
        <v>2004</v>
      </c>
      <c r="AC1208" s="456"/>
      <c r="AD1208" s="522"/>
      <c r="AE1208" s="699"/>
      <c r="AF1208" s="456"/>
      <c r="AG1208" s="699"/>
      <c r="AH1208" s="481"/>
      <c r="AJ1208" s="481"/>
    </row>
    <row r="1209" spans="1:36" s="454" customFormat="1" ht="15" x14ac:dyDescent="0.25">
      <c r="A1209" s="664"/>
      <c r="B1209" s="665"/>
      <c r="C1209" s="666" t="s">
        <v>3681</v>
      </c>
      <c r="D1209" s="667"/>
      <c r="E1209" s="667"/>
      <c r="F1209" s="667"/>
      <c r="G1209" s="667"/>
      <c r="H1209" s="667"/>
      <c r="I1209" s="667"/>
      <c r="J1209" s="667"/>
      <c r="K1209" s="667"/>
      <c r="L1209" s="667"/>
      <c r="M1209" s="668"/>
      <c r="X1209" s="656"/>
      <c r="Y1209" s="657"/>
      <c r="Z1209" s="657"/>
      <c r="AA1209" s="481"/>
      <c r="AC1209" s="456"/>
      <c r="AD1209" s="522"/>
      <c r="AE1209" s="699"/>
      <c r="AF1209" s="456"/>
      <c r="AG1209" s="699"/>
      <c r="AH1209" s="481"/>
      <c r="AJ1209" s="481"/>
    </row>
    <row r="1210" spans="1:36" s="454" customFormat="1" ht="15" x14ac:dyDescent="0.25">
      <c r="A1210" s="542"/>
      <c r="B1210" s="673" t="s">
        <v>1960</v>
      </c>
      <c r="C1210" s="2670" t="s">
        <v>1961</v>
      </c>
      <c r="D1210" s="2670"/>
      <c r="E1210" s="2670"/>
      <c r="F1210" s="2670"/>
      <c r="G1210" s="2670"/>
      <c r="H1210" s="2670"/>
      <c r="I1210" s="2670"/>
      <c r="J1210" s="2670"/>
      <c r="K1210" s="2670"/>
      <c r="L1210" s="2670"/>
      <c r="M1210" s="2671"/>
      <c r="X1210" s="656"/>
      <c r="Y1210" s="657"/>
      <c r="Z1210" s="657"/>
      <c r="AA1210" s="481"/>
      <c r="AB1210" s="491" t="s">
        <v>1961</v>
      </c>
      <c r="AC1210" s="456"/>
      <c r="AD1210" s="522"/>
      <c r="AE1210" s="699"/>
      <c r="AF1210" s="456"/>
      <c r="AG1210" s="699"/>
      <c r="AH1210" s="481"/>
      <c r="AJ1210" s="481"/>
    </row>
    <row r="1211" spans="1:36" s="454" customFormat="1" ht="15" x14ac:dyDescent="0.25">
      <c r="A1211" s="542"/>
      <c r="B1211" s="673" t="s">
        <v>1962</v>
      </c>
      <c r="C1211" s="2670" t="s">
        <v>1963</v>
      </c>
      <c r="D1211" s="2670"/>
      <c r="E1211" s="2670"/>
      <c r="F1211" s="2670"/>
      <c r="G1211" s="2670"/>
      <c r="H1211" s="2670"/>
      <c r="I1211" s="2670"/>
      <c r="J1211" s="2670"/>
      <c r="K1211" s="2670"/>
      <c r="L1211" s="2670"/>
      <c r="M1211" s="2671"/>
      <c r="X1211" s="656"/>
      <c r="Y1211" s="657"/>
      <c r="Z1211" s="657"/>
      <c r="AA1211" s="481"/>
      <c r="AB1211" s="491" t="s">
        <v>1963</v>
      </c>
      <c r="AC1211" s="456"/>
      <c r="AD1211" s="522"/>
      <c r="AE1211" s="699"/>
      <c r="AF1211" s="456"/>
      <c r="AG1211" s="699"/>
      <c r="AH1211" s="481"/>
      <c r="AJ1211" s="481"/>
    </row>
    <row r="1212" spans="1:36" s="454" customFormat="1" ht="15" x14ac:dyDescent="0.25">
      <c r="A1212" s="542"/>
      <c r="B1212" s="673" t="s">
        <v>1964</v>
      </c>
      <c r="C1212" s="2670" t="s">
        <v>1965</v>
      </c>
      <c r="D1212" s="2670"/>
      <c r="E1212" s="2670"/>
      <c r="F1212" s="2670"/>
      <c r="G1212" s="2670"/>
      <c r="H1212" s="2670"/>
      <c r="I1212" s="2670"/>
      <c r="J1212" s="2670"/>
      <c r="K1212" s="2670"/>
      <c r="L1212" s="2670"/>
      <c r="M1212" s="2671"/>
      <c r="X1212" s="656"/>
      <c r="Y1212" s="657"/>
      <c r="Z1212" s="657"/>
      <c r="AA1212" s="481"/>
      <c r="AB1212" s="491" t="s">
        <v>1965</v>
      </c>
      <c r="AC1212" s="456"/>
      <c r="AD1212" s="522"/>
      <c r="AE1212" s="699"/>
      <c r="AF1212" s="456"/>
      <c r="AG1212" s="699"/>
      <c r="AH1212" s="481"/>
      <c r="AJ1212" s="481"/>
    </row>
    <row r="1213" spans="1:36" s="454" customFormat="1" ht="33.75" x14ac:dyDescent="0.25">
      <c r="A1213" s="542"/>
      <c r="B1213" s="673" t="s">
        <v>1655</v>
      </c>
      <c r="C1213" s="2670" t="s">
        <v>1656</v>
      </c>
      <c r="D1213" s="2670"/>
      <c r="E1213" s="2670"/>
      <c r="F1213" s="2670"/>
      <c r="G1213" s="2670"/>
      <c r="H1213" s="2670"/>
      <c r="I1213" s="2670"/>
      <c r="J1213" s="2670"/>
      <c r="K1213" s="2670"/>
      <c r="L1213" s="2670"/>
      <c r="M1213" s="2671"/>
      <c r="X1213" s="656"/>
      <c r="Y1213" s="657"/>
      <c r="Z1213" s="657"/>
      <c r="AA1213" s="481"/>
      <c r="AB1213" s="491" t="s">
        <v>1656</v>
      </c>
      <c r="AC1213" s="456"/>
      <c r="AD1213" s="522"/>
      <c r="AE1213" s="699"/>
      <c r="AF1213" s="456"/>
      <c r="AG1213" s="699"/>
      <c r="AH1213" s="481"/>
      <c r="AJ1213" s="481"/>
    </row>
    <row r="1214" spans="1:36" s="454" customFormat="1" ht="15" x14ac:dyDescent="0.25">
      <c r="A1214" s="823"/>
      <c r="B1214" s="824"/>
      <c r="C1214" s="824"/>
      <c r="D1214" s="824"/>
      <c r="E1214" s="825" t="s">
        <v>3682</v>
      </c>
      <c r="F1214" s="826"/>
      <c r="G1214" s="827"/>
      <c r="H1214" s="648"/>
      <c r="I1214" s="828">
        <v>20317</v>
      </c>
      <c r="J1214" s="829"/>
      <c r="K1214" s="829"/>
      <c r="L1214" s="830"/>
      <c r="M1214" s="831"/>
      <c r="X1214" s="656"/>
      <c r="Y1214" s="657"/>
      <c r="Z1214" s="657"/>
      <c r="AA1214" s="481"/>
      <c r="AC1214" s="456"/>
      <c r="AD1214" s="522"/>
      <c r="AE1214" s="699"/>
      <c r="AF1214" s="456"/>
      <c r="AG1214" s="699"/>
      <c r="AH1214" s="481"/>
      <c r="AJ1214" s="481"/>
    </row>
    <row r="1215" spans="1:36" s="454" customFormat="1" ht="15" x14ac:dyDescent="0.25">
      <c r="A1215" s="823"/>
      <c r="B1215" s="824"/>
      <c r="C1215" s="824"/>
      <c r="D1215" s="824"/>
      <c r="E1215" s="825" t="s">
        <v>3683</v>
      </c>
      <c r="F1215" s="826"/>
      <c r="G1215" s="827"/>
      <c r="H1215" s="648"/>
      <c r="I1215" s="828">
        <v>9251</v>
      </c>
      <c r="J1215" s="829"/>
      <c r="K1215" s="829"/>
      <c r="L1215" s="830"/>
      <c r="M1215" s="831"/>
      <c r="X1215" s="656"/>
      <c r="Y1215" s="657"/>
      <c r="Z1215" s="657"/>
      <c r="AA1215" s="481"/>
      <c r="AC1215" s="456"/>
      <c r="AD1215" s="522"/>
      <c r="AE1215" s="699"/>
      <c r="AF1215" s="456"/>
      <c r="AG1215" s="699"/>
      <c r="AH1215" s="481"/>
      <c r="AJ1215" s="481"/>
    </row>
    <row r="1216" spans="1:36" s="454" customFormat="1" ht="15" x14ac:dyDescent="0.25">
      <c r="A1216" s="823"/>
      <c r="B1216" s="824"/>
      <c r="C1216" s="824"/>
      <c r="D1216" s="824"/>
      <c r="E1216" s="825" t="s">
        <v>2692</v>
      </c>
      <c r="F1216" s="826"/>
      <c r="G1216" s="827"/>
      <c r="H1216" s="648"/>
      <c r="I1216" s="828">
        <v>186781</v>
      </c>
      <c r="J1216" s="829"/>
      <c r="K1216" s="829"/>
      <c r="L1216" s="830"/>
      <c r="M1216" s="831"/>
      <c r="X1216" s="656"/>
      <c r="Y1216" s="657"/>
      <c r="Z1216" s="657"/>
      <c r="AA1216" s="481"/>
      <c r="AC1216" s="456"/>
      <c r="AD1216" s="522"/>
      <c r="AE1216" s="699"/>
      <c r="AF1216" s="456"/>
      <c r="AG1216" s="699"/>
      <c r="AH1216" s="481"/>
      <c r="AJ1216" s="481"/>
    </row>
    <row r="1217" spans="1:36" s="454" customFormat="1" ht="23.25" x14ac:dyDescent="0.25">
      <c r="A1217" s="507"/>
      <c r="B1217" s="674" t="s">
        <v>1883</v>
      </c>
      <c r="C1217" s="2672" t="s">
        <v>1884</v>
      </c>
      <c r="D1217" s="2672"/>
      <c r="E1217" s="2672"/>
      <c r="F1217" s="675" t="s">
        <v>3684</v>
      </c>
      <c r="G1217" s="676" t="s">
        <v>1886</v>
      </c>
      <c r="H1217" s="676"/>
      <c r="I1217" s="676">
        <v>12004.99</v>
      </c>
      <c r="J1217" s="676">
        <v>12004.99</v>
      </c>
      <c r="K1217" s="676"/>
      <c r="L1217" s="677"/>
      <c r="M1217" s="678"/>
      <c r="X1217" s="656"/>
      <c r="Y1217" s="657"/>
      <c r="Z1217" s="657"/>
      <c r="AA1217" s="481"/>
      <c r="AC1217" s="456" t="s">
        <v>1884</v>
      </c>
      <c r="AD1217" s="522"/>
      <c r="AE1217" s="699"/>
      <c r="AF1217" s="456"/>
      <c r="AG1217" s="699"/>
      <c r="AH1217" s="481"/>
      <c r="AJ1217" s="481"/>
    </row>
    <row r="1218" spans="1:36" s="454" customFormat="1" ht="23.25" x14ac:dyDescent="0.25">
      <c r="A1218" s="507"/>
      <c r="B1218" s="674" t="s">
        <v>639</v>
      </c>
      <c r="C1218" s="2672" t="s">
        <v>1661</v>
      </c>
      <c r="D1218" s="2672"/>
      <c r="E1218" s="2672"/>
      <c r="F1218" s="675" t="s">
        <v>3685</v>
      </c>
      <c r="G1218" s="676">
        <v>0</v>
      </c>
      <c r="H1218" s="676">
        <v>0</v>
      </c>
      <c r="I1218" s="676">
        <v>0</v>
      </c>
      <c r="J1218" s="676"/>
      <c r="K1218" s="676">
        <v>0</v>
      </c>
      <c r="L1218" s="677"/>
      <c r="M1218" s="678"/>
      <c r="X1218" s="656"/>
      <c r="Y1218" s="657"/>
      <c r="Z1218" s="657"/>
      <c r="AA1218" s="481"/>
      <c r="AC1218" s="456" t="s">
        <v>1661</v>
      </c>
      <c r="AD1218" s="522"/>
      <c r="AE1218" s="699"/>
      <c r="AF1218" s="456"/>
      <c r="AG1218" s="699"/>
      <c r="AH1218" s="481"/>
      <c r="AJ1218" s="481"/>
    </row>
    <row r="1219" spans="1:36" s="454" customFormat="1" ht="23.25" x14ac:dyDescent="0.25">
      <c r="A1219" s="507"/>
      <c r="B1219" s="674" t="s">
        <v>1968</v>
      </c>
      <c r="C1219" s="2672" t="s">
        <v>1969</v>
      </c>
      <c r="D1219" s="2672"/>
      <c r="E1219" s="2672"/>
      <c r="F1219" s="675" t="s">
        <v>3686</v>
      </c>
      <c r="G1219" s="676">
        <v>79.069999999999993</v>
      </c>
      <c r="H1219" s="676" t="s">
        <v>1971</v>
      </c>
      <c r="I1219" s="676">
        <v>94.09</v>
      </c>
      <c r="J1219" s="676"/>
      <c r="K1219" s="676" t="s">
        <v>3687</v>
      </c>
      <c r="L1219" s="677"/>
      <c r="M1219" s="678"/>
      <c r="X1219" s="656"/>
      <c r="Y1219" s="657"/>
      <c r="Z1219" s="657"/>
      <c r="AA1219" s="481"/>
      <c r="AC1219" s="456" t="s">
        <v>1969</v>
      </c>
      <c r="AD1219" s="522"/>
      <c r="AE1219" s="699"/>
      <c r="AF1219" s="456"/>
      <c r="AG1219" s="699"/>
      <c r="AH1219" s="481"/>
      <c r="AJ1219" s="481"/>
    </row>
    <row r="1220" spans="1:36" s="454" customFormat="1" ht="45.75" x14ac:dyDescent="0.25">
      <c r="A1220" s="507"/>
      <c r="B1220" s="674" t="s">
        <v>1973</v>
      </c>
      <c r="C1220" s="2672" t="s">
        <v>1974</v>
      </c>
      <c r="D1220" s="2672"/>
      <c r="E1220" s="2672"/>
      <c r="F1220" s="675" t="s">
        <v>3688</v>
      </c>
      <c r="G1220" s="676">
        <v>70.010000000000005</v>
      </c>
      <c r="H1220" s="676" t="s">
        <v>1976</v>
      </c>
      <c r="I1220" s="676">
        <v>112.02</v>
      </c>
      <c r="J1220" s="676"/>
      <c r="K1220" s="676" t="s">
        <v>3689</v>
      </c>
      <c r="L1220" s="677"/>
      <c r="M1220" s="678"/>
      <c r="X1220" s="656"/>
      <c r="Y1220" s="657"/>
      <c r="Z1220" s="657"/>
      <c r="AA1220" s="481"/>
      <c r="AC1220" s="456" t="s">
        <v>1974</v>
      </c>
      <c r="AD1220" s="522"/>
      <c r="AE1220" s="699"/>
      <c r="AF1220" s="456"/>
      <c r="AG1220" s="699"/>
      <c r="AH1220" s="481"/>
      <c r="AJ1220" s="481"/>
    </row>
    <row r="1221" spans="1:36" s="454" customFormat="1" ht="57" x14ac:dyDescent="0.25">
      <c r="A1221" s="507"/>
      <c r="B1221" s="674" t="s">
        <v>1978</v>
      </c>
      <c r="C1221" s="2672" t="s">
        <v>1979</v>
      </c>
      <c r="D1221" s="2672"/>
      <c r="E1221" s="2672"/>
      <c r="F1221" s="675" t="s">
        <v>3690</v>
      </c>
      <c r="G1221" s="676">
        <v>340</v>
      </c>
      <c r="H1221" s="676" t="s">
        <v>1981</v>
      </c>
      <c r="I1221" s="676">
        <v>95342.8</v>
      </c>
      <c r="J1221" s="676"/>
      <c r="K1221" s="676" t="s">
        <v>3691</v>
      </c>
      <c r="L1221" s="677"/>
      <c r="M1221" s="678"/>
      <c r="X1221" s="656"/>
      <c r="Y1221" s="657"/>
      <c r="Z1221" s="657"/>
      <c r="AA1221" s="481"/>
      <c r="AC1221" s="456" t="s">
        <v>1979</v>
      </c>
      <c r="AD1221" s="522"/>
      <c r="AE1221" s="699"/>
      <c r="AF1221" s="456"/>
      <c r="AG1221" s="699"/>
      <c r="AH1221" s="481"/>
      <c r="AJ1221" s="481"/>
    </row>
    <row r="1222" spans="1:36" s="454" customFormat="1" ht="34.5" x14ac:dyDescent="0.25">
      <c r="A1222" s="507"/>
      <c r="B1222" s="674" t="s">
        <v>1663</v>
      </c>
      <c r="C1222" s="2672" t="s">
        <v>1664</v>
      </c>
      <c r="D1222" s="2672"/>
      <c r="E1222" s="2672"/>
      <c r="F1222" s="675" t="s">
        <v>3692</v>
      </c>
      <c r="G1222" s="676">
        <v>111.99</v>
      </c>
      <c r="H1222" s="676" t="s">
        <v>1666</v>
      </c>
      <c r="I1222" s="676">
        <v>197.1</v>
      </c>
      <c r="J1222" s="676"/>
      <c r="K1222" s="676" t="s">
        <v>3693</v>
      </c>
      <c r="L1222" s="677"/>
      <c r="M1222" s="678"/>
      <c r="X1222" s="656"/>
      <c r="Y1222" s="657"/>
      <c r="Z1222" s="657"/>
      <c r="AA1222" s="481"/>
      <c r="AC1222" s="456" t="s">
        <v>1664</v>
      </c>
      <c r="AD1222" s="522"/>
      <c r="AE1222" s="699"/>
      <c r="AF1222" s="456"/>
      <c r="AG1222" s="699"/>
      <c r="AH1222" s="481"/>
      <c r="AJ1222" s="481"/>
    </row>
    <row r="1223" spans="1:36" s="454" customFormat="1" ht="23.25" x14ac:dyDescent="0.25">
      <c r="A1223" s="507"/>
      <c r="B1223" s="674" t="s">
        <v>1985</v>
      </c>
      <c r="C1223" s="2672" t="s">
        <v>1986</v>
      </c>
      <c r="D1223" s="2672"/>
      <c r="E1223" s="2672"/>
      <c r="F1223" s="675" t="s">
        <v>3694</v>
      </c>
      <c r="G1223" s="676">
        <v>26.5</v>
      </c>
      <c r="H1223" s="676" t="s">
        <v>1988</v>
      </c>
      <c r="I1223" s="676">
        <v>567.1</v>
      </c>
      <c r="J1223" s="676"/>
      <c r="K1223" s="676" t="s">
        <v>3695</v>
      </c>
      <c r="L1223" s="677"/>
      <c r="M1223" s="678"/>
      <c r="X1223" s="656"/>
      <c r="Y1223" s="657"/>
      <c r="Z1223" s="657"/>
      <c r="AA1223" s="481"/>
      <c r="AC1223" s="456" t="s">
        <v>1986</v>
      </c>
      <c r="AD1223" s="522"/>
      <c r="AE1223" s="699"/>
      <c r="AF1223" s="456"/>
      <c r="AG1223" s="699"/>
      <c r="AH1223" s="481"/>
      <c r="AJ1223" s="481"/>
    </row>
    <row r="1224" spans="1:36" s="454" customFormat="1" ht="34.5" x14ac:dyDescent="0.25">
      <c r="A1224" s="507"/>
      <c r="B1224" s="674" t="s">
        <v>821</v>
      </c>
      <c r="C1224" s="2672" t="s">
        <v>1751</v>
      </c>
      <c r="D1224" s="2672"/>
      <c r="E1224" s="2672"/>
      <c r="F1224" s="675" t="s">
        <v>3696</v>
      </c>
      <c r="G1224" s="676">
        <v>65.709999999999994</v>
      </c>
      <c r="H1224" s="676" t="s">
        <v>1753</v>
      </c>
      <c r="I1224" s="676">
        <v>172.82</v>
      </c>
      <c r="J1224" s="676"/>
      <c r="K1224" s="676" t="s">
        <v>3697</v>
      </c>
      <c r="L1224" s="677"/>
      <c r="M1224" s="678"/>
      <c r="X1224" s="656"/>
      <c r="Y1224" s="657"/>
      <c r="Z1224" s="657"/>
      <c r="AA1224" s="481"/>
      <c r="AC1224" s="456" t="s">
        <v>1751</v>
      </c>
      <c r="AD1224" s="522"/>
      <c r="AE1224" s="699"/>
      <c r="AF1224" s="456"/>
      <c r="AG1224" s="699"/>
      <c r="AH1224" s="481"/>
      <c r="AJ1224" s="481"/>
    </row>
    <row r="1225" spans="1:36" s="454" customFormat="1" ht="23.25" x14ac:dyDescent="0.25">
      <c r="A1225" s="515" t="s">
        <v>863</v>
      </c>
      <c r="B1225" s="686" t="s">
        <v>1992</v>
      </c>
      <c r="C1225" s="2683" t="s">
        <v>1993</v>
      </c>
      <c r="D1225" s="2683"/>
      <c r="E1225" s="2683"/>
      <c r="F1225" s="687" t="s">
        <v>3698</v>
      </c>
      <c r="G1225" s="688">
        <v>0</v>
      </c>
      <c r="H1225" s="688"/>
      <c r="I1225" s="688">
        <v>0</v>
      </c>
      <c r="J1225" s="688"/>
      <c r="K1225" s="688"/>
      <c r="L1225" s="689"/>
      <c r="M1225" s="690"/>
      <c r="X1225" s="656"/>
      <c r="Y1225" s="657"/>
      <c r="Z1225" s="657"/>
      <c r="AA1225" s="481"/>
      <c r="AC1225" s="456"/>
      <c r="AD1225" s="522" t="s">
        <v>1993</v>
      </c>
      <c r="AE1225" s="699"/>
      <c r="AF1225" s="456"/>
      <c r="AG1225" s="699"/>
      <c r="AH1225" s="481"/>
      <c r="AJ1225" s="481"/>
    </row>
    <row r="1226" spans="1:36" s="454" customFormat="1" ht="57" x14ac:dyDescent="0.25">
      <c r="A1226" s="507"/>
      <c r="B1226" s="674" t="s">
        <v>1995</v>
      </c>
      <c r="C1226" s="2672" t="s">
        <v>1996</v>
      </c>
      <c r="D1226" s="2672"/>
      <c r="E1226" s="2672"/>
      <c r="F1226" s="675" t="s">
        <v>3699</v>
      </c>
      <c r="G1226" s="676">
        <v>183.68</v>
      </c>
      <c r="H1226" s="676"/>
      <c r="I1226" s="676">
        <v>481.98</v>
      </c>
      <c r="J1226" s="676"/>
      <c r="K1226" s="676"/>
      <c r="L1226" s="677"/>
      <c r="M1226" s="678"/>
      <c r="X1226" s="656"/>
      <c r="Y1226" s="657"/>
      <c r="Z1226" s="657"/>
      <c r="AA1226" s="481"/>
      <c r="AC1226" s="456" t="s">
        <v>1996</v>
      </c>
      <c r="AD1226" s="522"/>
      <c r="AE1226" s="699"/>
      <c r="AF1226" s="456"/>
      <c r="AG1226" s="699"/>
      <c r="AH1226" s="481"/>
      <c r="AJ1226" s="481"/>
    </row>
    <row r="1227" spans="1:36" s="454" customFormat="1" ht="23.25" x14ac:dyDescent="0.25">
      <c r="A1227" s="515" t="s">
        <v>863</v>
      </c>
      <c r="B1227" s="686" t="s">
        <v>1998</v>
      </c>
      <c r="C1227" s="2683" t="s">
        <v>1999</v>
      </c>
      <c r="D1227" s="2683"/>
      <c r="E1227" s="2683"/>
      <c r="F1227" s="687" t="s">
        <v>3700</v>
      </c>
      <c r="G1227" s="688">
        <v>0</v>
      </c>
      <c r="H1227" s="688"/>
      <c r="I1227" s="688">
        <v>0</v>
      </c>
      <c r="J1227" s="688"/>
      <c r="K1227" s="688"/>
      <c r="L1227" s="689"/>
      <c r="M1227" s="690"/>
      <c r="X1227" s="656"/>
      <c r="Y1227" s="657"/>
      <c r="Z1227" s="657"/>
      <c r="AA1227" s="481"/>
      <c r="AC1227" s="456"/>
      <c r="AD1227" s="522" t="s">
        <v>1999</v>
      </c>
      <c r="AE1227" s="699"/>
      <c r="AF1227" s="456"/>
      <c r="AG1227" s="699"/>
      <c r="AH1227" s="481"/>
      <c r="AJ1227" s="481"/>
    </row>
    <row r="1228" spans="1:36" s="454" customFormat="1" ht="22.5" x14ac:dyDescent="0.25">
      <c r="A1228" s="515" t="s">
        <v>860</v>
      </c>
      <c r="B1228" s="686" t="s">
        <v>2001</v>
      </c>
      <c r="C1228" s="2683" t="s">
        <v>2002</v>
      </c>
      <c r="D1228" s="2683"/>
      <c r="E1228" s="2683"/>
      <c r="F1228" s="687" t="s">
        <v>1935</v>
      </c>
      <c r="G1228" s="688">
        <v>0</v>
      </c>
      <c r="H1228" s="688"/>
      <c r="I1228" s="688">
        <v>0</v>
      </c>
      <c r="J1228" s="688"/>
      <c r="K1228" s="688"/>
      <c r="L1228" s="689"/>
      <c r="M1228" s="690"/>
      <c r="X1228" s="656"/>
      <c r="Y1228" s="657"/>
      <c r="Z1228" s="657"/>
      <c r="AA1228" s="481"/>
      <c r="AC1228" s="456"/>
      <c r="AD1228" s="522" t="s">
        <v>2002</v>
      </c>
      <c r="AE1228" s="699"/>
      <c r="AF1228" s="456"/>
      <c r="AG1228" s="699"/>
      <c r="AH1228" s="481"/>
      <c r="AJ1228" s="481"/>
    </row>
    <row r="1229" spans="1:36" s="454" customFormat="1" ht="45" x14ac:dyDescent="0.25">
      <c r="A1229" s="658" t="s">
        <v>1512</v>
      </c>
      <c r="B1229" s="659" t="s">
        <v>2026</v>
      </c>
      <c r="C1229" s="2673" t="s">
        <v>1254</v>
      </c>
      <c r="D1229" s="2673"/>
      <c r="E1229" s="2673"/>
      <c r="F1229" s="680">
        <v>8.1</v>
      </c>
      <c r="G1229" s="661">
        <v>480</v>
      </c>
      <c r="H1229" s="661"/>
      <c r="I1229" s="661">
        <v>3888</v>
      </c>
      <c r="J1229" s="661"/>
      <c r="K1229" s="662"/>
      <c r="L1229" s="663">
        <v>0</v>
      </c>
      <c r="M1229" s="663">
        <v>0</v>
      </c>
      <c r="X1229" s="656"/>
      <c r="Y1229" s="657"/>
      <c r="Z1229" s="657"/>
      <c r="AA1229" s="481" t="s">
        <v>1254</v>
      </c>
      <c r="AC1229" s="456"/>
      <c r="AD1229" s="522"/>
      <c r="AE1229" s="699"/>
      <c r="AF1229" s="456"/>
      <c r="AG1229" s="699"/>
      <c r="AH1229" s="481"/>
      <c r="AJ1229" s="481"/>
    </row>
    <row r="1230" spans="1:36" s="454" customFormat="1" ht="15" x14ac:dyDescent="0.25">
      <c r="A1230" s="664"/>
      <c r="B1230" s="665"/>
      <c r="C1230" s="666" t="s">
        <v>3701</v>
      </c>
      <c r="D1230" s="667"/>
      <c r="E1230" s="667"/>
      <c r="F1230" s="667"/>
      <c r="G1230" s="667"/>
      <c r="H1230" s="667"/>
      <c r="I1230" s="667"/>
      <c r="J1230" s="667"/>
      <c r="K1230" s="667"/>
      <c r="L1230" s="667"/>
      <c r="M1230" s="668"/>
      <c r="X1230" s="656"/>
      <c r="Y1230" s="657"/>
      <c r="Z1230" s="657"/>
      <c r="AA1230" s="481"/>
      <c r="AC1230" s="456"/>
      <c r="AD1230" s="522"/>
      <c r="AE1230" s="699"/>
      <c r="AF1230" s="456"/>
      <c r="AG1230" s="699"/>
      <c r="AH1230" s="481"/>
      <c r="AJ1230" s="481"/>
    </row>
    <row r="1231" spans="1:36" s="454" customFormat="1" ht="45" x14ac:dyDescent="0.25">
      <c r="A1231" s="658" t="s">
        <v>1514</v>
      </c>
      <c r="B1231" s="659" t="s">
        <v>2028</v>
      </c>
      <c r="C1231" s="2673" t="s">
        <v>1257</v>
      </c>
      <c r="D1231" s="2673"/>
      <c r="E1231" s="2673"/>
      <c r="F1231" s="680">
        <v>5.7</v>
      </c>
      <c r="G1231" s="661">
        <v>2.44</v>
      </c>
      <c r="H1231" s="661"/>
      <c r="I1231" s="661">
        <v>14</v>
      </c>
      <c r="J1231" s="661"/>
      <c r="K1231" s="662"/>
      <c r="L1231" s="663">
        <v>0</v>
      </c>
      <c r="M1231" s="663">
        <v>0</v>
      </c>
      <c r="X1231" s="656"/>
      <c r="Y1231" s="657"/>
      <c r="Z1231" s="657"/>
      <c r="AA1231" s="481" t="s">
        <v>1257</v>
      </c>
      <c r="AC1231" s="456"/>
      <c r="AD1231" s="522"/>
      <c r="AE1231" s="699"/>
      <c r="AF1231" s="456"/>
      <c r="AG1231" s="699"/>
      <c r="AH1231" s="481"/>
      <c r="AJ1231" s="481"/>
    </row>
    <row r="1232" spans="1:36" s="454" customFormat="1" ht="15" x14ac:dyDescent="0.25">
      <c r="A1232" s="664"/>
      <c r="B1232" s="665"/>
      <c r="C1232" s="666" t="s">
        <v>3702</v>
      </c>
      <c r="D1232" s="667"/>
      <c r="E1232" s="667"/>
      <c r="F1232" s="667"/>
      <c r="G1232" s="667"/>
      <c r="H1232" s="667"/>
      <c r="I1232" s="667"/>
      <c r="J1232" s="667"/>
      <c r="K1232" s="667"/>
      <c r="L1232" s="667"/>
      <c r="M1232" s="668"/>
      <c r="X1232" s="656"/>
      <c r="Y1232" s="657"/>
      <c r="Z1232" s="657"/>
      <c r="AA1232" s="481"/>
      <c r="AC1232" s="456"/>
      <c r="AD1232" s="522"/>
      <c r="AE1232" s="699"/>
      <c r="AF1232" s="456"/>
      <c r="AG1232" s="699"/>
      <c r="AH1232" s="481"/>
      <c r="AJ1232" s="481"/>
    </row>
    <row r="1233" spans="1:36" s="454" customFormat="1" ht="45.75" x14ac:dyDescent="0.25">
      <c r="A1233" s="658" t="s">
        <v>1516</v>
      </c>
      <c r="B1233" s="659" t="s">
        <v>2030</v>
      </c>
      <c r="C1233" s="2673" t="s">
        <v>2031</v>
      </c>
      <c r="D1233" s="2673"/>
      <c r="E1233" s="2673"/>
      <c r="F1233" s="680">
        <v>2.7</v>
      </c>
      <c r="G1233" s="661" t="s">
        <v>2032</v>
      </c>
      <c r="H1233" s="661" t="s">
        <v>2033</v>
      </c>
      <c r="I1233" s="661">
        <v>30223</v>
      </c>
      <c r="J1233" s="661">
        <v>4053</v>
      </c>
      <c r="K1233" s="662" t="s">
        <v>3703</v>
      </c>
      <c r="L1233" s="671">
        <v>156.04499999999999</v>
      </c>
      <c r="M1233" s="672">
        <v>421.32</v>
      </c>
      <c r="X1233" s="656"/>
      <c r="Y1233" s="657"/>
      <c r="Z1233" s="657"/>
      <c r="AA1233" s="481" t="s">
        <v>2031</v>
      </c>
      <c r="AC1233" s="456"/>
      <c r="AD1233" s="522"/>
      <c r="AE1233" s="699"/>
      <c r="AF1233" s="456"/>
      <c r="AG1233" s="699"/>
      <c r="AH1233" s="481"/>
      <c r="AJ1233" s="481"/>
    </row>
    <row r="1234" spans="1:36" s="454" customFormat="1" ht="15" x14ac:dyDescent="0.25">
      <c r="A1234" s="664"/>
      <c r="B1234" s="665"/>
      <c r="C1234" s="666" t="s">
        <v>3704</v>
      </c>
      <c r="D1234" s="667"/>
      <c r="E1234" s="667"/>
      <c r="F1234" s="667"/>
      <c r="G1234" s="667"/>
      <c r="H1234" s="667"/>
      <c r="I1234" s="667"/>
      <c r="J1234" s="667"/>
      <c r="K1234" s="667"/>
      <c r="L1234" s="667"/>
      <c r="M1234" s="668"/>
      <c r="X1234" s="656"/>
      <c r="Y1234" s="657"/>
      <c r="Z1234" s="657"/>
      <c r="AA1234" s="481"/>
      <c r="AC1234" s="456"/>
      <c r="AD1234" s="522"/>
      <c r="AE1234" s="699"/>
      <c r="AF1234" s="456"/>
      <c r="AG1234" s="699"/>
      <c r="AH1234" s="481"/>
      <c r="AJ1234" s="481"/>
    </row>
    <row r="1235" spans="1:36" s="454" customFormat="1" ht="15" x14ac:dyDescent="0.25">
      <c r="A1235" s="542"/>
      <c r="B1235" s="665"/>
      <c r="C1235" s="666" t="s">
        <v>2036</v>
      </c>
      <c r="D1235" s="667"/>
      <c r="E1235" s="667"/>
      <c r="F1235" s="667"/>
      <c r="G1235" s="667"/>
      <c r="H1235" s="667"/>
      <c r="I1235" s="667"/>
      <c r="J1235" s="667"/>
      <c r="K1235" s="667"/>
      <c r="L1235" s="667"/>
      <c r="M1235" s="669"/>
      <c r="X1235" s="656"/>
      <c r="Y1235" s="657"/>
      <c r="Z1235" s="657"/>
      <c r="AA1235" s="481"/>
      <c r="AC1235" s="456"/>
      <c r="AD1235" s="522"/>
      <c r="AE1235" s="699"/>
      <c r="AF1235" s="456"/>
      <c r="AG1235" s="699"/>
      <c r="AH1235" s="481"/>
      <c r="AJ1235" s="481"/>
    </row>
    <row r="1236" spans="1:36" s="454" customFormat="1" ht="33.75" x14ac:dyDescent="0.25">
      <c r="A1236" s="542"/>
      <c r="B1236" s="673" t="s">
        <v>1655</v>
      </c>
      <c r="C1236" s="2670" t="s">
        <v>1656</v>
      </c>
      <c r="D1236" s="2670"/>
      <c r="E1236" s="2670"/>
      <c r="F1236" s="2670"/>
      <c r="G1236" s="2670"/>
      <c r="H1236" s="2670"/>
      <c r="I1236" s="2670"/>
      <c r="J1236" s="2670"/>
      <c r="K1236" s="2670"/>
      <c r="L1236" s="2670"/>
      <c r="M1236" s="2671"/>
      <c r="X1236" s="656"/>
      <c r="Y1236" s="657"/>
      <c r="Z1236" s="657"/>
      <c r="AA1236" s="481"/>
      <c r="AB1236" s="491" t="s">
        <v>1656</v>
      </c>
      <c r="AC1236" s="456"/>
      <c r="AD1236" s="522"/>
      <c r="AE1236" s="699"/>
      <c r="AF1236" s="456"/>
      <c r="AG1236" s="699"/>
      <c r="AH1236" s="481"/>
      <c r="AJ1236" s="481"/>
    </row>
    <row r="1237" spans="1:36" s="454" customFormat="1" ht="15" x14ac:dyDescent="0.25">
      <c r="A1237" s="823"/>
      <c r="B1237" s="824"/>
      <c r="C1237" s="824"/>
      <c r="D1237" s="824"/>
      <c r="E1237" s="825" t="s">
        <v>3705</v>
      </c>
      <c r="F1237" s="826"/>
      <c r="G1237" s="827"/>
      <c r="H1237" s="648"/>
      <c r="I1237" s="828">
        <v>5660</v>
      </c>
      <c r="J1237" s="829"/>
      <c r="K1237" s="829"/>
      <c r="L1237" s="830"/>
      <c r="M1237" s="831"/>
      <c r="X1237" s="656"/>
      <c r="Y1237" s="657"/>
      <c r="Z1237" s="657"/>
      <c r="AA1237" s="481"/>
      <c r="AC1237" s="456"/>
      <c r="AD1237" s="522"/>
      <c r="AE1237" s="699"/>
      <c r="AF1237" s="456"/>
      <c r="AG1237" s="699"/>
      <c r="AH1237" s="481"/>
      <c r="AJ1237" s="481"/>
    </row>
    <row r="1238" spans="1:36" s="454" customFormat="1" ht="15" x14ac:dyDescent="0.25">
      <c r="A1238" s="823"/>
      <c r="B1238" s="824"/>
      <c r="C1238" s="824"/>
      <c r="D1238" s="824"/>
      <c r="E1238" s="825" t="s">
        <v>3706</v>
      </c>
      <c r="F1238" s="826"/>
      <c r="G1238" s="827"/>
      <c r="H1238" s="648"/>
      <c r="I1238" s="828">
        <v>3904</v>
      </c>
      <c r="J1238" s="829"/>
      <c r="K1238" s="829"/>
      <c r="L1238" s="830"/>
      <c r="M1238" s="831"/>
      <c r="X1238" s="656"/>
      <c r="Y1238" s="657"/>
      <c r="Z1238" s="657"/>
      <c r="AA1238" s="481"/>
      <c r="AC1238" s="456"/>
      <c r="AD1238" s="522"/>
      <c r="AE1238" s="699"/>
      <c r="AF1238" s="456"/>
      <c r="AG1238" s="699"/>
      <c r="AH1238" s="481"/>
      <c r="AJ1238" s="481"/>
    </row>
    <row r="1239" spans="1:36" s="454" customFormat="1" ht="15" x14ac:dyDescent="0.25">
      <c r="A1239" s="823"/>
      <c r="B1239" s="824"/>
      <c r="C1239" s="824"/>
      <c r="D1239" s="824"/>
      <c r="E1239" s="825" t="s">
        <v>2692</v>
      </c>
      <c r="F1239" s="826"/>
      <c r="G1239" s="827"/>
      <c r="H1239" s="648"/>
      <c r="I1239" s="828">
        <v>39787</v>
      </c>
      <c r="J1239" s="829"/>
      <c r="K1239" s="829"/>
      <c r="L1239" s="830"/>
      <c r="M1239" s="831"/>
      <c r="X1239" s="656"/>
      <c r="Y1239" s="657"/>
      <c r="Z1239" s="657"/>
      <c r="AA1239" s="481"/>
      <c r="AC1239" s="456"/>
      <c r="AD1239" s="522"/>
      <c r="AE1239" s="699"/>
      <c r="AF1239" s="456"/>
      <c r="AG1239" s="699"/>
      <c r="AH1239" s="481"/>
      <c r="AJ1239" s="481"/>
    </row>
    <row r="1240" spans="1:36" s="454" customFormat="1" ht="23.25" x14ac:dyDescent="0.25">
      <c r="A1240" s="507"/>
      <c r="B1240" s="674" t="s">
        <v>1883</v>
      </c>
      <c r="C1240" s="2672" t="s">
        <v>1884</v>
      </c>
      <c r="D1240" s="2672"/>
      <c r="E1240" s="2672"/>
      <c r="F1240" s="675" t="s">
        <v>3707</v>
      </c>
      <c r="G1240" s="676" t="s">
        <v>1886</v>
      </c>
      <c r="H1240" s="676"/>
      <c r="I1240" s="676">
        <v>4053.1</v>
      </c>
      <c r="J1240" s="676">
        <v>4053.1</v>
      </c>
      <c r="K1240" s="676"/>
      <c r="L1240" s="677"/>
      <c r="M1240" s="678"/>
      <c r="X1240" s="656"/>
      <c r="Y1240" s="657"/>
      <c r="Z1240" s="657"/>
      <c r="AA1240" s="481"/>
      <c r="AC1240" s="456" t="s">
        <v>1884</v>
      </c>
      <c r="AD1240" s="522"/>
      <c r="AE1240" s="699"/>
      <c r="AF1240" s="456"/>
      <c r="AG1240" s="699"/>
      <c r="AH1240" s="481"/>
      <c r="AJ1240" s="481"/>
    </row>
    <row r="1241" spans="1:36" s="454" customFormat="1" ht="23.25" x14ac:dyDescent="0.25">
      <c r="A1241" s="507"/>
      <c r="B1241" s="674" t="s">
        <v>639</v>
      </c>
      <c r="C1241" s="2672" t="s">
        <v>1661</v>
      </c>
      <c r="D1241" s="2672"/>
      <c r="E1241" s="2672"/>
      <c r="F1241" s="675" t="s">
        <v>3708</v>
      </c>
      <c r="G1241" s="676">
        <v>0</v>
      </c>
      <c r="H1241" s="676">
        <v>0</v>
      </c>
      <c r="I1241" s="676">
        <v>0</v>
      </c>
      <c r="J1241" s="676"/>
      <c r="K1241" s="676">
        <v>0</v>
      </c>
      <c r="L1241" s="677"/>
      <c r="M1241" s="678"/>
      <c r="X1241" s="656"/>
      <c r="Y1241" s="657"/>
      <c r="Z1241" s="657"/>
      <c r="AA1241" s="481"/>
      <c r="AC1241" s="456" t="s">
        <v>1661</v>
      </c>
      <c r="AD1241" s="522"/>
      <c r="AE1241" s="699"/>
      <c r="AF1241" s="456"/>
      <c r="AG1241" s="699"/>
      <c r="AH1241" s="481"/>
      <c r="AJ1241" s="481"/>
    </row>
    <row r="1242" spans="1:36" s="454" customFormat="1" ht="45.75" x14ac:dyDescent="0.25">
      <c r="A1242" s="507"/>
      <c r="B1242" s="674" t="s">
        <v>2039</v>
      </c>
      <c r="C1242" s="2672" t="s">
        <v>2040</v>
      </c>
      <c r="D1242" s="2672"/>
      <c r="E1242" s="2672"/>
      <c r="F1242" s="675" t="s">
        <v>3709</v>
      </c>
      <c r="G1242" s="676">
        <v>179.46</v>
      </c>
      <c r="H1242" s="676" t="s">
        <v>2042</v>
      </c>
      <c r="I1242" s="676">
        <v>3494.09</v>
      </c>
      <c r="J1242" s="676"/>
      <c r="K1242" s="676" t="s">
        <v>3710</v>
      </c>
      <c r="L1242" s="677"/>
      <c r="M1242" s="678"/>
      <c r="X1242" s="656"/>
      <c r="Y1242" s="657"/>
      <c r="Z1242" s="657"/>
      <c r="AA1242" s="481"/>
      <c r="AC1242" s="456" t="s">
        <v>2040</v>
      </c>
      <c r="AD1242" s="522"/>
      <c r="AE1242" s="699"/>
      <c r="AF1242" s="456"/>
      <c r="AG1242" s="699"/>
      <c r="AH1242" s="481"/>
      <c r="AJ1242" s="481"/>
    </row>
    <row r="1243" spans="1:36" s="454" customFormat="1" ht="34.5" x14ac:dyDescent="0.25">
      <c r="A1243" s="507"/>
      <c r="B1243" s="674" t="s">
        <v>1663</v>
      </c>
      <c r="C1243" s="2672" t="s">
        <v>1664</v>
      </c>
      <c r="D1243" s="2672"/>
      <c r="E1243" s="2672"/>
      <c r="F1243" s="675" t="s">
        <v>3711</v>
      </c>
      <c r="G1243" s="676">
        <v>111.99</v>
      </c>
      <c r="H1243" s="676" t="s">
        <v>1666</v>
      </c>
      <c r="I1243" s="676">
        <v>57.11</v>
      </c>
      <c r="J1243" s="676"/>
      <c r="K1243" s="676" t="s">
        <v>3712</v>
      </c>
      <c r="L1243" s="677"/>
      <c r="M1243" s="678"/>
      <c r="X1243" s="656"/>
      <c r="Y1243" s="657"/>
      <c r="Z1243" s="657"/>
      <c r="AA1243" s="481"/>
      <c r="AC1243" s="456" t="s">
        <v>1664</v>
      </c>
      <c r="AD1243" s="522"/>
      <c r="AE1243" s="699"/>
      <c r="AF1243" s="456"/>
      <c r="AG1243" s="699"/>
      <c r="AH1243" s="481"/>
      <c r="AJ1243" s="481"/>
    </row>
    <row r="1244" spans="1:36" s="454" customFormat="1" ht="34.5" x14ac:dyDescent="0.25">
      <c r="A1244" s="507"/>
      <c r="B1244" s="674" t="s">
        <v>2046</v>
      </c>
      <c r="C1244" s="2672" t="s">
        <v>2047</v>
      </c>
      <c r="D1244" s="2672"/>
      <c r="E1244" s="2672"/>
      <c r="F1244" s="675" t="s">
        <v>3713</v>
      </c>
      <c r="G1244" s="676">
        <v>6.9</v>
      </c>
      <c r="H1244" s="676" t="s">
        <v>2049</v>
      </c>
      <c r="I1244" s="676">
        <v>69.69</v>
      </c>
      <c r="J1244" s="676"/>
      <c r="K1244" s="676" t="s">
        <v>3714</v>
      </c>
      <c r="L1244" s="677"/>
      <c r="M1244" s="678"/>
      <c r="X1244" s="656"/>
      <c r="Y1244" s="657"/>
      <c r="Z1244" s="657"/>
      <c r="AA1244" s="481"/>
      <c r="AC1244" s="456" t="s">
        <v>2047</v>
      </c>
      <c r="AD1244" s="522"/>
      <c r="AE1244" s="699"/>
      <c r="AF1244" s="456"/>
      <c r="AG1244" s="699"/>
      <c r="AH1244" s="481"/>
      <c r="AJ1244" s="481"/>
    </row>
    <row r="1245" spans="1:36" s="454" customFormat="1" ht="34.5" x14ac:dyDescent="0.25">
      <c r="A1245" s="507"/>
      <c r="B1245" s="674" t="s">
        <v>2051</v>
      </c>
      <c r="C1245" s="2672" t="s">
        <v>2052</v>
      </c>
      <c r="D1245" s="2672"/>
      <c r="E1245" s="2672"/>
      <c r="F1245" s="675" t="s">
        <v>3715</v>
      </c>
      <c r="G1245" s="676">
        <v>80.349999999999994</v>
      </c>
      <c r="H1245" s="676" t="s">
        <v>2054</v>
      </c>
      <c r="I1245" s="676">
        <v>8044.64</v>
      </c>
      <c r="J1245" s="676"/>
      <c r="K1245" s="676" t="s">
        <v>3716</v>
      </c>
      <c r="L1245" s="677"/>
      <c r="M1245" s="678"/>
      <c r="X1245" s="656"/>
      <c r="Y1245" s="657"/>
      <c r="Z1245" s="657"/>
      <c r="AA1245" s="481"/>
      <c r="AC1245" s="456" t="s">
        <v>2052</v>
      </c>
      <c r="AD1245" s="522"/>
      <c r="AE1245" s="699"/>
      <c r="AF1245" s="456"/>
      <c r="AG1245" s="699"/>
      <c r="AH1245" s="481"/>
      <c r="AJ1245" s="481"/>
    </row>
    <row r="1246" spans="1:36" s="454" customFormat="1" ht="34.5" x14ac:dyDescent="0.25">
      <c r="A1246" s="507"/>
      <c r="B1246" s="674" t="s">
        <v>821</v>
      </c>
      <c r="C1246" s="2672" t="s">
        <v>1751</v>
      </c>
      <c r="D1246" s="2672"/>
      <c r="E1246" s="2672"/>
      <c r="F1246" s="675" t="s">
        <v>3717</v>
      </c>
      <c r="G1246" s="676">
        <v>65.709999999999994</v>
      </c>
      <c r="H1246" s="676" t="s">
        <v>1753</v>
      </c>
      <c r="I1246" s="676">
        <v>78.19</v>
      </c>
      <c r="J1246" s="676"/>
      <c r="K1246" s="676" t="s">
        <v>3718</v>
      </c>
      <c r="L1246" s="677"/>
      <c r="M1246" s="678"/>
      <c r="X1246" s="656"/>
      <c r="Y1246" s="657"/>
      <c r="Z1246" s="657"/>
      <c r="AA1246" s="481"/>
      <c r="AC1246" s="456" t="s">
        <v>1751</v>
      </c>
      <c r="AD1246" s="522"/>
      <c r="AE1246" s="699"/>
      <c r="AF1246" s="456"/>
      <c r="AG1246" s="699"/>
      <c r="AH1246" s="481"/>
      <c r="AJ1246" s="481"/>
    </row>
    <row r="1247" spans="1:36" s="454" customFormat="1" ht="23.25" x14ac:dyDescent="0.25">
      <c r="A1247" s="515" t="s">
        <v>860</v>
      </c>
      <c r="B1247" s="686" t="s">
        <v>1755</v>
      </c>
      <c r="C1247" s="2683" t="s">
        <v>1257</v>
      </c>
      <c r="D1247" s="2683"/>
      <c r="E1247" s="2683"/>
      <c r="F1247" s="687" t="s">
        <v>1935</v>
      </c>
      <c r="G1247" s="688">
        <v>2.44</v>
      </c>
      <c r="H1247" s="688"/>
      <c r="I1247" s="688">
        <v>0</v>
      </c>
      <c r="J1247" s="688"/>
      <c r="K1247" s="688"/>
      <c r="L1247" s="689"/>
      <c r="M1247" s="690"/>
      <c r="X1247" s="656"/>
      <c r="Y1247" s="657"/>
      <c r="Z1247" s="657"/>
      <c r="AA1247" s="481"/>
      <c r="AC1247" s="456"/>
      <c r="AD1247" s="522" t="s">
        <v>1257</v>
      </c>
      <c r="AE1247" s="699"/>
      <c r="AF1247" s="456"/>
      <c r="AG1247" s="699"/>
      <c r="AH1247" s="481"/>
      <c r="AJ1247" s="481"/>
    </row>
    <row r="1248" spans="1:36" s="454" customFormat="1" ht="23.25" x14ac:dyDescent="0.25">
      <c r="A1248" s="507"/>
      <c r="B1248" s="674" t="s">
        <v>2058</v>
      </c>
      <c r="C1248" s="2672" t="s">
        <v>2059</v>
      </c>
      <c r="D1248" s="2672"/>
      <c r="E1248" s="2672"/>
      <c r="F1248" s="675" t="s">
        <v>2997</v>
      </c>
      <c r="G1248" s="676">
        <v>30030</v>
      </c>
      <c r="H1248" s="676"/>
      <c r="I1248" s="676">
        <v>6.01</v>
      </c>
      <c r="J1248" s="676"/>
      <c r="K1248" s="676"/>
      <c r="L1248" s="677"/>
      <c r="M1248" s="678"/>
      <c r="X1248" s="656"/>
      <c r="Y1248" s="657"/>
      <c r="Z1248" s="657"/>
      <c r="AA1248" s="481"/>
      <c r="AC1248" s="456" t="s">
        <v>2059</v>
      </c>
      <c r="AD1248" s="522"/>
      <c r="AE1248" s="699"/>
      <c r="AF1248" s="456"/>
      <c r="AG1248" s="699"/>
      <c r="AH1248" s="481"/>
      <c r="AJ1248" s="481"/>
    </row>
    <row r="1249" spans="1:36" s="454" customFormat="1" ht="23.25" x14ac:dyDescent="0.25">
      <c r="A1249" s="507"/>
      <c r="B1249" s="674" t="s">
        <v>1823</v>
      </c>
      <c r="C1249" s="2672" t="s">
        <v>1824</v>
      </c>
      <c r="D1249" s="2672"/>
      <c r="E1249" s="2672"/>
      <c r="F1249" s="675" t="s">
        <v>3719</v>
      </c>
      <c r="G1249" s="676">
        <v>9040.01</v>
      </c>
      <c r="H1249" s="676"/>
      <c r="I1249" s="676">
        <v>48.82</v>
      </c>
      <c r="J1249" s="676"/>
      <c r="K1249" s="676"/>
      <c r="L1249" s="677"/>
      <c r="M1249" s="678"/>
      <c r="X1249" s="656"/>
      <c r="Y1249" s="657"/>
      <c r="Z1249" s="657"/>
      <c r="AA1249" s="481"/>
      <c r="AC1249" s="456" t="s">
        <v>1824</v>
      </c>
      <c r="AD1249" s="522"/>
      <c r="AE1249" s="699"/>
      <c r="AF1249" s="456"/>
      <c r="AG1249" s="699"/>
      <c r="AH1249" s="481"/>
      <c r="AJ1249" s="481"/>
    </row>
    <row r="1250" spans="1:36" s="454" customFormat="1" ht="45.75" x14ac:dyDescent="0.25">
      <c r="A1250" s="507"/>
      <c r="B1250" s="674" t="s">
        <v>2062</v>
      </c>
      <c r="C1250" s="2672" t="s">
        <v>2063</v>
      </c>
      <c r="D1250" s="2672"/>
      <c r="E1250" s="2672"/>
      <c r="F1250" s="675" t="s">
        <v>3720</v>
      </c>
      <c r="G1250" s="676">
        <v>67.099999999999994</v>
      </c>
      <c r="H1250" s="676"/>
      <c r="I1250" s="676">
        <v>181.17</v>
      </c>
      <c r="J1250" s="676"/>
      <c r="K1250" s="676"/>
      <c r="L1250" s="677"/>
      <c r="M1250" s="678"/>
      <c r="X1250" s="656"/>
      <c r="Y1250" s="657"/>
      <c r="Z1250" s="657"/>
      <c r="AA1250" s="481"/>
      <c r="AC1250" s="456" t="s">
        <v>2063</v>
      </c>
      <c r="AD1250" s="522"/>
      <c r="AE1250" s="699"/>
      <c r="AF1250" s="456"/>
      <c r="AG1250" s="699"/>
      <c r="AH1250" s="481"/>
      <c r="AJ1250" s="481"/>
    </row>
    <row r="1251" spans="1:36" s="454" customFormat="1" ht="23.25" x14ac:dyDescent="0.25">
      <c r="A1251" s="515" t="s">
        <v>860</v>
      </c>
      <c r="B1251" s="686" t="s">
        <v>2065</v>
      </c>
      <c r="C1251" s="2683" t="s">
        <v>2066</v>
      </c>
      <c r="D1251" s="2683"/>
      <c r="E1251" s="2683"/>
      <c r="F1251" s="687" t="s">
        <v>1935</v>
      </c>
      <c r="G1251" s="688">
        <v>0</v>
      </c>
      <c r="H1251" s="688"/>
      <c r="I1251" s="688">
        <v>0</v>
      </c>
      <c r="J1251" s="688"/>
      <c r="K1251" s="688"/>
      <c r="L1251" s="689"/>
      <c r="M1251" s="690"/>
      <c r="X1251" s="656"/>
      <c r="Y1251" s="657"/>
      <c r="Z1251" s="657"/>
      <c r="AA1251" s="481"/>
      <c r="AC1251" s="456"/>
      <c r="AD1251" s="522" t="s">
        <v>2066</v>
      </c>
      <c r="AE1251" s="699"/>
      <c r="AF1251" s="456"/>
      <c r="AG1251" s="699"/>
      <c r="AH1251" s="481"/>
      <c r="AJ1251" s="481"/>
    </row>
    <row r="1252" spans="1:36" s="454" customFormat="1" ht="34.5" x14ac:dyDescent="0.25">
      <c r="A1252" s="515" t="s">
        <v>860</v>
      </c>
      <c r="B1252" s="686" t="s">
        <v>2067</v>
      </c>
      <c r="C1252" s="2683" t="s">
        <v>2068</v>
      </c>
      <c r="D1252" s="2683"/>
      <c r="E1252" s="2683"/>
      <c r="F1252" s="687" t="s">
        <v>1935</v>
      </c>
      <c r="G1252" s="688">
        <v>412</v>
      </c>
      <c r="H1252" s="688"/>
      <c r="I1252" s="688">
        <v>0</v>
      </c>
      <c r="J1252" s="688"/>
      <c r="K1252" s="688"/>
      <c r="L1252" s="689"/>
      <c r="M1252" s="690"/>
      <c r="X1252" s="656"/>
      <c r="Y1252" s="657"/>
      <c r="Z1252" s="657"/>
      <c r="AA1252" s="481"/>
      <c r="AC1252" s="456"/>
      <c r="AD1252" s="522" t="s">
        <v>2068</v>
      </c>
      <c r="AE1252" s="699"/>
      <c r="AF1252" s="456"/>
      <c r="AG1252" s="699"/>
      <c r="AH1252" s="481"/>
      <c r="AJ1252" s="481"/>
    </row>
    <row r="1253" spans="1:36" s="454" customFormat="1" ht="45.75" x14ac:dyDescent="0.25">
      <c r="A1253" s="507" t="s">
        <v>2069</v>
      </c>
      <c r="B1253" s="674" t="s">
        <v>2070</v>
      </c>
      <c r="C1253" s="2672" t="s">
        <v>2071</v>
      </c>
      <c r="D1253" s="2672"/>
      <c r="E1253" s="2672"/>
      <c r="F1253" s="675" t="s">
        <v>3721</v>
      </c>
      <c r="G1253" s="676">
        <v>1553</v>
      </c>
      <c r="H1253" s="676"/>
      <c r="I1253" s="676">
        <v>5451.03</v>
      </c>
      <c r="J1253" s="676"/>
      <c r="K1253" s="676"/>
      <c r="L1253" s="677"/>
      <c r="M1253" s="678"/>
      <c r="X1253" s="656"/>
      <c r="Y1253" s="657"/>
      <c r="Z1253" s="657"/>
      <c r="AA1253" s="481"/>
      <c r="AC1253" s="456"/>
      <c r="AD1253" s="522"/>
      <c r="AE1253" s="699"/>
      <c r="AF1253" s="456" t="s">
        <v>2071</v>
      </c>
      <c r="AG1253" s="699"/>
      <c r="AH1253" s="481"/>
      <c r="AJ1253" s="481"/>
    </row>
    <row r="1254" spans="1:36" s="454" customFormat="1" ht="45.75" x14ac:dyDescent="0.25">
      <c r="A1254" s="693" t="s">
        <v>1936</v>
      </c>
      <c r="B1254" s="694" t="s">
        <v>2070</v>
      </c>
      <c r="C1254" s="2684" t="s">
        <v>2071</v>
      </c>
      <c r="D1254" s="2684"/>
      <c r="E1254" s="2684"/>
      <c r="F1254" s="695" t="s">
        <v>3722</v>
      </c>
      <c r="G1254" s="696">
        <v>1553</v>
      </c>
      <c r="H1254" s="696"/>
      <c r="I1254" s="696">
        <v>54510.3</v>
      </c>
      <c r="J1254" s="696"/>
      <c r="K1254" s="696"/>
      <c r="L1254" s="697"/>
      <c r="M1254" s="698"/>
      <c r="X1254" s="656"/>
      <c r="Y1254" s="657"/>
      <c r="Z1254" s="657"/>
      <c r="AA1254" s="481"/>
      <c r="AC1254" s="456"/>
      <c r="AD1254" s="522"/>
      <c r="AE1254" s="699"/>
      <c r="AF1254" s="456"/>
      <c r="AG1254" s="699" t="s">
        <v>2071</v>
      </c>
      <c r="AH1254" s="481"/>
      <c r="AJ1254" s="481"/>
    </row>
    <row r="1255" spans="1:36" s="454" customFormat="1" ht="23.25" x14ac:dyDescent="0.25">
      <c r="A1255" s="515" t="s">
        <v>863</v>
      </c>
      <c r="B1255" s="686" t="s">
        <v>2074</v>
      </c>
      <c r="C1255" s="2683" t="s">
        <v>2075</v>
      </c>
      <c r="D1255" s="2683"/>
      <c r="E1255" s="2683"/>
      <c r="F1255" s="687" t="s">
        <v>3723</v>
      </c>
      <c r="G1255" s="688">
        <v>0</v>
      </c>
      <c r="H1255" s="688"/>
      <c r="I1255" s="688">
        <v>0</v>
      </c>
      <c r="J1255" s="688"/>
      <c r="K1255" s="688"/>
      <c r="L1255" s="689"/>
      <c r="M1255" s="690"/>
      <c r="X1255" s="656"/>
      <c r="Y1255" s="657"/>
      <c r="Z1255" s="657"/>
      <c r="AA1255" s="481"/>
      <c r="AC1255" s="456"/>
      <c r="AD1255" s="522" t="s">
        <v>2075</v>
      </c>
      <c r="AE1255" s="699"/>
      <c r="AF1255" s="456"/>
      <c r="AG1255" s="699"/>
      <c r="AH1255" s="481"/>
      <c r="AJ1255" s="481"/>
    </row>
    <row r="1256" spans="1:36" s="454" customFormat="1" ht="23.25" x14ac:dyDescent="0.25">
      <c r="A1256" s="507"/>
      <c r="B1256" s="674" t="s">
        <v>2077</v>
      </c>
      <c r="C1256" s="2672" t="s">
        <v>2078</v>
      </c>
      <c r="D1256" s="2672"/>
      <c r="E1256" s="2672"/>
      <c r="F1256" s="675" t="s">
        <v>3724</v>
      </c>
      <c r="G1256" s="676">
        <v>176.1</v>
      </c>
      <c r="H1256" s="676"/>
      <c r="I1256" s="676">
        <v>380.38</v>
      </c>
      <c r="J1256" s="676"/>
      <c r="K1256" s="676"/>
      <c r="L1256" s="677"/>
      <c r="M1256" s="678"/>
      <c r="X1256" s="656"/>
      <c r="Y1256" s="657"/>
      <c r="Z1256" s="657"/>
      <c r="AA1256" s="481"/>
      <c r="AC1256" s="456" t="s">
        <v>2078</v>
      </c>
      <c r="AD1256" s="522"/>
      <c r="AE1256" s="699"/>
      <c r="AF1256" s="456"/>
      <c r="AG1256" s="699"/>
      <c r="AH1256" s="481"/>
      <c r="AJ1256" s="481"/>
    </row>
    <row r="1257" spans="1:36" s="454" customFormat="1" ht="23.25" x14ac:dyDescent="0.25">
      <c r="A1257" s="507"/>
      <c r="B1257" s="674" t="s">
        <v>2080</v>
      </c>
      <c r="C1257" s="2672" t="s">
        <v>2081</v>
      </c>
      <c r="D1257" s="2672"/>
      <c r="E1257" s="2672"/>
      <c r="F1257" s="675" t="s">
        <v>3725</v>
      </c>
      <c r="G1257" s="676">
        <v>207.8</v>
      </c>
      <c r="H1257" s="676"/>
      <c r="I1257" s="676">
        <v>437.63</v>
      </c>
      <c r="J1257" s="676"/>
      <c r="K1257" s="676"/>
      <c r="L1257" s="677"/>
      <c r="M1257" s="678"/>
      <c r="X1257" s="656"/>
      <c r="Y1257" s="657"/>
      <c r="Z1257" s="657"/>
      <c r="AA1257" s="481"/>
      <c r="AC1257" s="456" t="s">
        <v>2081</v>
      </c>
      <c r="AD1257" s="522"/>
      <c r="AE1257" s="699"/>
      <c r="AF1257" s="456"/>
      <c r="AG1257" s="699"/>
      <c r="AH1257" s="481"/>
      <c r="AJ1257" s="481"/>
    </row>
    <row r="1258" spans="1:36" s="454" customFormat="1" ht="23.25" x14ac:dyDescent="0.25">
      <c r="A1258" s="507"/>
      <c r="B1258" s="674" t="s">
        <v>2083</v>
      </c>
      <c r="C1258" s="2672" t="s">
        <v>2084</v>
      </c>
      <c r="D1258" s="2672"/>
      <c r="E1258" s="2672"/>
      <c r="F1258" s="675" t="s">
        <v>3726</v>
      </c>
      <c r="G1258" s="676">
        <v>3468.64</v>
      </c>
      <c r="H1258" s="676"/>
      <c r="I1258" s="676">
        <v>1873.07</v>
      </c>
      <c r="J1258" s="676"/>
      <c r="K1258" s="676"/>
      <c r="L1258" s="677"/>
      <c r="M1258" s="678"/>
      <c r="X1258" s="656"/>
      <c r="Y1258" s="657"/>
      <c r="Z1258" s="657"/>
      <c r="AA1258" s="481"/>
      <c r="AC1258" s="456" t="s">
        <v>2084</v>
      </c>
      <c r="AD1258" s="522"/>
      <c r="AE1258" s="699"/>
      <c r="AF1258" s="456"/>
      <c r="AG1258" s="699"/>
      <c r="AH1258" s="481"/>
      <c r="AJ1258" s="481"/>
    </row>
    <row r="1259" spans="1:36" s="454" customFormat="1" ht="23.25" x14ac:dyDescent="0.25">
      <c r="A1259" s="515" t="s">
        <v>863</v>
      </c>
      <c r="B1259" s="686" t="s">
        <v>2086</v>
      </c>
      <c r="C1259" s="2683" t="s">
        <v>2087</v>
      </c>
      <c r="D1259" s="2683"/>
      <c r="E1259" s="2683"/>
      <c r="F1259" s="687" t="s">
        <v>3727</v>
      </c>
      <c r="G1259" s="688">
        <v>0</v>
      </c>
      <c r="H1259" s="688"/>
      <c r="I1259" s="688">
        <v>0</v>
      </c>
      <c r="J1259" s="688"/>
      <c r="K1259" s="688"/>
      <c r="L1259" s="689"/>
      <c r="M1259" s="690"/>
      <c r="X1259" s="656"/>
      <c r="Y1259" s="657"/>
      <c r="Z1259" s="657"/>
      <c r="AA1259" s="481"/>
      <c r="AC1259" s="456"/>
      <c r="AD1259" s="522" t="s">
        <v>2087</v>
      </c>
      <c r="AE1259" s="699"/>
      <c r="AF1259" s="456"/>
      <c r="AG1259" s="699"/>
      <c r="AH1259" s="481"/>
      <c r="AJ1259" s="481"/>
    </row>
    <row r="1260" spans="1:36" s="454" customFormat="1" ht="34.5" x14ac:dyDescent="0.25">
      <c r="A1260" s="507"/>
      <c r="B1260" s="674" t="s">
        <v>2089</v>
      </c>
      <c r="C1260" s="2672" t="s">
        <v>2090</v>
      </c>
      <c r="D1260" s="2672"/>
      <c r="E1260" s="2672"/>
      <c r="F1260" s="675" t="s">
        <v>3728</v>
      </c>
      <c r="G1260" s="676">
        <v>11.99</v>
      </c>
      <c r="H1260" s="676"/>
      <c r="I1260" s="676">
        <v>97.12</v>
      </c>
      <c r="J1260" s="676"/>
      <c r="K1260" s="676"/>
      <c r="L1260" s="677"/>
      <c r="M1260" s="678"/>
      <c r="X1260" s="656"/>
      <c r="Y1260" s="657"/>
      <c r="Z1260" s="657"/>
      <c r="AA1260" s="481"/>
      <c r="AC1260" s="456" t="s">
        <v>2090</v>
      </c>
      <c r="AD1260" s="522"/>
      <c r="AE1260" s="699"/>
      <c r="AF1260" s="456"/>
      <c r="AG1260" s="699"/>
      <c r="AH1260" s="481"/>
      <c r="AJ1260" s="481"/>
    </row>
    <row r="1261" spans="1:36" s="454" customFormat="1" ht="45.75" x14ac:dyDescent="0.25">
      <c r="A1261" s="507"/>
      <c r="B1261" s="674" t="s">
        <v>2092</v>
      </c>
      <c r="C1261" s="2672" t="s">
        <v>2093</v>
      </c>
      <c r="D1261" s="2672"/>
      <c r="E1261" s="2672"/>
      <c r="F1261" s="675" t="s">
        <v>3729</v>
      </c>
      <c r="G1261" s="676">
        <v>272.62</v>
      </c>
      <c r="H1261" s="676"/>
      <c r="I1261" s="676">
        <v>36.799999999999997</v>
      </c>
      <c r="J1261" s="676"/>
      <c r="K1261" s="676"/>
      <c r="L1261" s="677"/>
      <c r="M1261" s="678"/>
      <c r="X1261" s="656"/>
      <c r="Y1261" s="657"/>
      <c r="Z1261" s="657"/>
      <c r="AA1261" s="481"/>
      <c r="AC1261" s="456" t="s">
        <v>2093</v>
      </c>
      <c r="AD1261" s="522"/>
      <c r="AE1261" s="699"/>
      <c r="AF1261" s="456"/>
      <c r="AG1261" s="699"/>
      <c r="AH1261" s="481"/>
      <c r="AJ1261" s="481"/>
    </row>
    <row r="1262" spans="1:36" s="454" customFormat="1" ht="57" x14ac:dyDescent="0.25">
      <c r="A1262" s="507"/>
      <c r="B1262" s="674" t="s">
        <v>2095</v>
      </c>
      <c r="C1262" s="2672" t="s">
        <v>2096</v>
      </c>
      <c r="D1262" s="2672"/>
      <c r="E1262" s="2672"/>
      <c r="F1262" s="675" t="s">
        <v>3730</v>
      </c>
      <c r="G1262" s="676">
        <v>156.83000000000001</v>
      </c>
      <c r="H1262" s="676"/>
      <c r="I1262" s="676">
        <v>42.34</v>
      </c>
      <c r="J1262" s="676"/>
      <c r="K1262" s="676"/>
      <c r="L1262" s="677"/>
      <c r="M1262" s="678"/>
      <c r="X1262" s="656"/>
      <c r="Y1262" s="657"/>
      <c r="Z1262" s="657"/>
      <c r="AA1262" s="481"/>
      <c r="AC1262" s="456" t="s">
        <v>2096</v>
      </c>
      <c r="AD1262" s="522"/>
      <c r="AE1262" s="699"/>
      <c r="AF1262" s="456"/>
      <c r="AG1262" s="699"/>
      <c r="AH1262" s="481"/>
      <c r="AJ1262" s="481"/>
    </row>
    <row r="1263" spans="1:36" s="454" customFormat="1" ht="23.25" x14ac:dyDescent="0.25">
      <c r="A1263" s="515" t="s">
        <v>863</v>
      </c>
      <c r="B1263" s="686" t="s">
        <v>2098</v>
      </c>
      <c r="C1263" s="2683" t="s">
        <v>2099</v>
      </c>
      <c r="D1263" s="2683"/>
      <c r="E1263" s="2683"/>
      <c r="F1263" s="687" t="s">
        <v>3731</v>
      </c>
      <c r="G1263" s="688">
        <v>0</v>
      </c>
      <c r="H1263" s="688"/>
      <c r="I1263" s="688">
        <v>0</v>
      </c>
      <c r="J1263" s="688"/>
      <c r="K1263" s="688"/>
      <c r="L1263" s="689"/>
      <c r="M1263" s="690"/>
      <c r="X1263" s="656"/>
      <c r="Y1263" s="657"/>
      <c r="Z1263" s="657"/>
      <c r="AA1263" s="481"/>
      <c r="AC1263" s="456"/>
      <c r="AD1263" s="522" t="s">
        <v>2099</v>
      </c>
      <c r="AE1263" s="699"/>
      <c r="AF1263" s="456"/>
      <c r="AG1263" s="699"/>
      <c r="AH1263" s="481"/>
      <c r="AJ1263" s="481"/>
    </row>
    <row r="1264" spans="1:36" s="454" customFormat="1" ht="45" x14ac:dyDescent="0.25">
      <c r="A1264" s="658" t="s">
        <v>1519</v>
      </c>
      <c r="B1264" s="659" t="s">
        <v>2026</v>
      </c>
      <c r="C1264" s="2673" t="s">
        <v>1254</v>
      </c>
      <c r="D1264" s="2673"/>
      <c r="E1264" s="2673"/>
      <c r="F1264" s="680">
        <v>13.5</v>
      </c>
      <c r="G1264" s="661">
        <v>480</v>
      </c>
      <c r="H1264" s="661"/>
      <c r="I1264" s="661">
        <v>6480</v>
      </c>
      <c r="J1264" s="661"/>
      <c r="K1264" s="662"/>
      <c r="L1264" s="663">
        <v>0</v>
      </c>
      <c r="M1264" s="663">
        <v>0</v>
      </c>
      <c r="X1264" s="656"/>
      <c r="Y1264" s="657"/>
      <c r="Z1264" s="657"/>
      <c r="AA1264" s="481" t="s">
        <v>1254</v>
      </c>
      <c r="AC1264" s="456"/>
      <c r="AD1264" s="522"/>
      <c r="AE1264" s="699"/>
      <c r="AF1264" s="456"/>
      <c r="AG1264" s="699"/>
      <c r="AH1264" s="481"/>
      <c r="AJ1264" s="481"/>
    </row>
    <row r="1265" spans="1:36" s="454" customFormat="1" ht="15" x14ac:dyDescent="0.25">
      <c r="A1265" s="664"/>
      <c r="B1265" s="665"/>
      <c r="C1265" s="666" t="s">
        <v>3732</v>
      </c>
      <c r="D1265" s="667"/>
      <c r="E1265" s="667"/>
      <c r="F1265" s="667"/>
      <c r="G1265" s="667"/>
      <c r="H1265" s="667"/>
      <c r="I1265" s="667"/>
      <c r="J1265" s="667"/>
      <c r="K1265" s="667"/>
      <c r="L1265" s="667"/>
      <c r="M1265" s="668"/>
      <c r="X1265" s="656"/>
      <c r="Y1265" s="657"/>
      <c r="Z1265" s="657"/>
      <c r="AA1265" s="481"/>
      <c r="AC1265" s="456"/>
      <c r="AD1265" s="522"/>
      <c r="AE1265" s="699"/>
      <c r="AF1265" s="456"/>
      <c r="AG1265" s="699"/>
      <c r="AH1265" s="481"/>
      <c r="AJ1265" s="481"/>
    </row>
    <row r="1266" spans="1:36" s="454" customFormat="1" ht="45" x14ac:dyDescent="0.25">
      <c r="A1266" s="658" t="s">
        <v>1521</v>
      </c>
      <c r="B1266" s="659" t="s">
        <v>2028</v>
      </c>
      <c r="C1266" s="2673" t="s">
        <v>1257</v>
      </c>
      <c r="D1266" s="2673"/>
      <c r="E1266" s="2673"/>
      <c r="F1266" s="680">
        <v>5.4</v>
      </c>
      <c r="G1266" s="661">
        <v>2.44</v>
      </c>
      <c r="H1266" s="661"/>
      <c r="I1266" s="661">
        <v>13</v>
      </c>
      <c r="J1266" s="661"/>
      <c r="K1266" s="662"/>
      <c r="L1266" s="663">
        <v>0</v>
      </c>
      <c r="M1266" s="663">
        <v>0</v>
      </c>
      <c r="X1266" s="656"/>
      <c r="Y1266" s="657"/>
      <c r="Z1266" s="657"/>
      <c r="AA1266" s="481" t="s">
        <v>1257</v>
      </c>
      <c r="AC1266" s="456"/>
      <c r="AD1266" s="522"/>
      <c r="AE1266" s="699"/>
      <c r="AF1266" s="456"/>
      <c r="AG1266" s="699"/>
      <c r="AH1266" s="481"/>
      <c r="AJ1266" s="481"/>
    </row>
    <row r="1267" spans="1:36" s="454" customFormat="1" ht="15" x14ac:dyDescent="0.25">
      <c r="A1267" s="664"/>
      <c r="B1267" s="665"/>
      <c r="C1267" s="666" t="s">
        <v>3733</v>
      </c>
      <c r="D1267" s="667"/>
      <c r="E1267" s="667"/>
      <c r="F1267" s="667"/>
      <c r="G1267" s="667"/>
      <c r="H1267" s="667"/>
      <c r="I1267" s="667"/>
      <c r="J1267" s="667"/>
      <c r="K1267" s="667"/>
      <c r="L1267" s="667"/>
      <c r="M1267" s="668"/>
      <c r="X1267" s="656"/>
      <c r="Y1267" s="657"/>
      <c r="Z1267" s="657"/>
      <c r="AA1267" s="481"/>
      <c r="AC1267" s="456"/>
      <c r="AD1267" s="522"/>
      <c r="AE1267" s="699"/>
      <c r="AF1267" s="456"/>
      <c r="AG1267" s="699"/>
      <c r="AH1267" s="481"/>
      <c r="AJ1267" s="481"/>
    </row>
    <row r="1268" spans="1:36" s="454" customFormat="1" ht="34.5" x14ac:dyDescent="0.25">
      <c r="A1268" s="658" t="s">
        <v>1523</v>
      </c>
      <c r="B1268" s="659" t="s">
        <v>1337</v>
      </c>
      <c r="C1268" s="2673" t="s">
        <v>1268</v>
      </c>
      <c r="D1268" s="2673"/>
      <c r="E1268" s="2673"/>
      <c r="F1268" s="670">
        <v>10</v>
      </c>
      <c r="G1268" s="661" t="s">
        <v>2103</v>
      </c>
      <c r="H1268" s="661"/>
      <c r="I1268" s="661">
        <v>23929</v>
      </c>
      <c r="J1268" s="661"/>
      <c r="K1268" s="662"/>
      <c r="L1268" s="663">
        <v>0</v>
      </c>
      <c r="M1268" s="663">
        <v>0</v>
      </c>
      <c r="X1268" s="656"/>
      <c r="Y1268" s="657"/>
      <c r="Z1268" s="657"/>
      <c r="AA1268" s="481" t="s">
        <v>1268</v>
      </c>
      <c r="AC1268" s="456"/>
      <c r="AD1268" s="522"/>
      <c r="AE1268" s="699"/>
      <c r="AF1268" s="456"/>
      <c r="AG1268" s="699"/>
      <c r="AH1268" s="481"/>
      <c r="AJ1268" s="481"/>
    </row>
    <row r="1269" spans="1:36" s="454" customFormat="1" ht="15" x14ac:dyDescent="0.25">
      <c r="A1269" s="664"/>
      <c r="B1269" s="665"/>
      <c r="C1269" s="666" t="s">
        <v>3734</v>
      </c>
      <c r="D1269" s="667"/>
      <c r="E1269" s="667"/>
      <c r="F1269" s="667"/>
      <c r="G1269" s="667"/>
      <c r="H1269" s="667"/>
      <c r="I1269" s="667"/>
      <c r="J1269" s="667"/>
      <c r="K1269" s="667"/>
      <c r="L1269" s="667"/>
      <c r="M1269" s="668"/>
      <c r="X1269" s="656"/>
      <c r="Y1269" s="657"/>
      <c r="Z1269" s="657"/>
      <c r="AA1269" s="481"/>
      <c r="AC1269" s="456"/>
      <c r="AD1269" s="522"/>
      <c r="AE1269" s="699"/>
      <c r="AF1269" s="456"/>
      <c r="AG1269" s="699"/>
      <c r="AH1269" s="481"/>
      <c r="AJ1269" s="481"/>
    </row>
    <row r="1270" spans="1:36" s="454" customFormat="1" ht="15" x14ac:dyDescent="0.25">
      <c r="A1270" s="542"/>
      <c r="B1270" s="665"/>
      <c r="C1270" s="666" t="s">
        <v>2105</v>
      </c>
      <c r="D1270" s="667"/>
      <c r="E1270" s="667"/>
      <c r="F1270" s="667"/>
      <c r="G1270" s="667"/>
      <c r="H1270" s="667"/>
      <c r="I1270" s="667"/>
      <c r="J1270" s="667"/>
      <c r="K1270" s="667"/>
      <c r="L1270" s="667"/>
      <c r="M1270" s="669"/>
      <c r="X1270" s="656"/>
      <c r="Y1270" s="657"/>
      <c r="Z1270" s="657"/>
      <c r="AA1270" s="481"/>
      <c r="AC1270" s="456"/>
      <c r="AD1270" s="522"/>
      <c r="AE1270" s="699"/>
      <c r="AF1270" s="456"/>
      <c r="AG1270" s="699"/>
      <c r="AH1270" s="481"/>
      <c r="AJ1270" s="481"/>
    </row>
    <row r="1271" spans="1:36" s="454" customFormat="1" ht="34.5" x14ac:dyDescent="0.25">
      <c r="A1271" s="658" t="s">
        <v>1525</v>
      </c>
      <c r="B1271" s="659" t="s">
        <v>1340</v>
      </c>
      <c r="C1271" s="2673" t="s">
        <v>1273</v>
      </c>
      <c r="D1271" s="2673"/>
      <c r="E1271" s="2673"/>
      <c r="F1271" s="670">
        <v>80</v>
      </c>
      <c r="G1271" s="661" t="s">
        <v>2106</v>
      </c>
      <c r="H1271" s="661"/>
      <c r="I1271" s="661">
        <v>137741</v>
      </c>
      <c r="J1271" s="661"/>
      <c r="K1271" s="662"/>
      <c r="L1271" s="663">
        <v>0</v>
      </c>
      <c r="M1271" s="663">
        <v>0</v>
      </c>
      <c r="X1271" s="656"/>
      <c r="Y1271" s="657"/>
      <c r="Z1271" s="657"/>
      <c r="AA1271" s="481" t="s">
        <v>1273</v>
      </c>
      <c r="AC1271" s="456"/>
      <c r="AD1271" s="522"/>
      <c r="AE1271" s="699"/>
      <c r="AF1271" s="456"/>
      <c r="AG1271" s="699"/>
      <c r="AH1271" s="481"/>
      <c r="AJ1271" s="481"/>
    </row>
    <row r="1272" spans="1:36" s="454" customFormat="1" ht="15" x14ac:dyDescent="0.25">
      <c r="A1272" s="664"/>
      <c r="B1272" s="665"/>
      <c r="C1272" s="666" t="s">
        <v>3735</v>
      </c>
      <c r="D1272" s="667"/>
      <c r="E1272" s="667"/>
      <c r="F1272" s="667"/>
      <c r="G1272" s="667"/>
      <c r="H1272" s="667"/>
      <c r="I1272" s="667"/>
      <c r="J1272" s="667"/>
      <c r="K1272" s="667"/>
      <c r="L1272" s="667"/>
      <c r="M1272" s="668"/>
      <c r="X1272" s="656"/>
      <c r="Y1272" s="657"/>
      <c r="Z1272" s="657"/>
      <c r="AA1272" s="481"/>
      <c r="AC1272" s="456"/>
      <c r="AD1272" s="522"/>
      <c r="AE1272" s="699"/>
      <c r="AF1272" s="456"/>
      <c r="AG1272" s="699"/>
      <c r="AH1272" s="481"/>
      <c r="AJ1272" s="481"/>
    </row>
    <row r="1273" spans="1:36" s="454" customFormat="1" ht="15" x14ac:dyDescent="0.25">
      <c r="A1273" s="542"/>
      <c r="B1273" s="665"/>
      <c r="C1273" s="666" t="s">
        <v>2108</v>
      </c>
      <c r="D1273" s="667"/>
      <c r="E1273" s="667"/>
      <c r="F1273" s="667"/>
      <c r="G1273" s="667"/>
      <c r="H1273" s="667"/>
      <c r="I1273" s="667"/>
      <c r="J1273" s="667"/>
      <c r="K1273" s="667"/>
      <c r="L1273" s="667"/>
      <c r="M1273" s="669"/>
      <c r="X1273" s="656"/>
      <c r="Y1273" s="657"/>
      <c r="Z1273" s="657"/>
      <c r="AA1273" s="481"/>
      <c r="AC1273" s="456"/>
      <c r="AD1273" s="522"/>
      <c r="AE1273" s="699"/>
      <c r="AF1273" s="456"/>
      <c r="AG1273" s="699"/>
      <c r="AH1273" s="481"/>
      <c r="AJ1273" s="481"/>
    </row>
    <row r="1274" spans="1:36" s="454" customFormat="1" ht="34.5" x14ac:dyDescent="0.25">
      <c r="A1274" s="658" t="s">
        <v>1527</v>
      </c>
      <c r="B1274" s="659" t="s">
        <v>1343</v>
      </c>
      <c r="C1274" s="2673" t="s">
        <v>1277</v>
      </c>
      <c r="D1274" s="2673"/>
      <c r="E1274" s="2673"/>
      <c r="F1274" s="670">
        <v>170</v>
      </c>
      <c r="G1274" s="661" t="s">
        <v>2109</v>
      </c>
      <c r="H1274" s="661"/>
      <c r="I1274" s="661">
        <v>78362</v>
      </c>
      <c r="J1274" s="661"/>
      <c r="K1274" s="662"/>
      <c r="L1274" s="663">
        <v>0</v>
      </c>
      <c r="M1274" s="663">
        <v>0</v>
      </c>
      <c r="X1274" s="656"/>
      <c r="Y1274" s="657"/>
      <c r="Z1274" s="657"/>
      <c r="AA1274" s="481" t="s">
        <v>1277</v>
      </c>
      <c r="AC1274" s="456"/>
      <c r="AD1274" s="522"/>
      <c r="AE1274" s="699"/>
      <c r="AF1274" s="456"/>
      <c r="AG1274" s="699"/>
      <c r="AH1274" s="481"/>
      <c r="AJ1274" s="481"/>
    </row>
    <row r="1275" spans="1:36" s="454" customFormat="1" ht="15" x14ac:dyDescent="0.25">
      <c r="A1275" s="664"/>
      <c r="B1275" s="665"/>
      <c r="C1275" s="666" t="s">
        <v>3736</v>
      </c>
      <c r="D1275" s="667"/>
      <c r="E1275" s="667"/>
      <c r="F1275" s="667"/>
      <c r="G1275" s="667"/>
      <c r="H1275" s="667"/>
      <c r="I1275" s="667"/>
      <c r="J1275" s="667"/>
      <c r="K1275" s="667"/>
      <c r="L1275" s="667"/>
      <c r="M1275" s="668"/>
      <c r="X1275" s="656"/>
      <c r="Y1275" s="657"/>
      <c r="Z1275" s="657"/>
      <c r="AA1275" s="481"/>
      <c r="AC1275" s="456"/>
      <c r="AD1275" s="522"/>
      <c r="AE1275" s="699"/>
      <c r="AF1275" s="456"/>
      <c r="AG1275" s="699"/>
      <c r="AH1275" s="481"/>
      <c r="AJ1275" s="481"/>
    </row>
    <row r="1276" spans="1:36" s="454" customFormat="1" ht="15" x14ac:dyDescent="0.25">
      <c r="A1276" s="542"/>
      <c r="B1276" s="665"/>
      <c r="C1276" s="666" t="s">
        <v>2111</v>
      </c>
      <c r="D1276" s="667"/>
      <c r="E1276" s="667"/>
      <c r="F1276" s="667"/>
      <c r="G1276" s="667"/>
      <c r="H1276" s="667"/>
      <c r="I1276" s="667"/>
      <c r="J1276" s="667"/>
      <c r="K1276" s="667"/>
      <c r="L1276" s="667"/>
      <c r="M1276" s="669"/>
      <c r="X1276" s="656"/>
      <c r="Y1276" s="657"/>
      <c r="Z1276" s="657"/>
      <c r="AA1276" s="481"/>
      <c r="AC1276" s="456"/>
      <c r="AD1276" s="522"/>
      <c r="AE1276" s="699"/>
      <c r="AF1276" s="456"/>
      <c r="AG1276" s="699"/>
      <c r="AH1276" s="481"/>
      <c r="AJ1276" s="481"/>
    </row>
    <row r="1277" spans="1:36" s="454" customFormat="1" ht="33.75" x14ac:dyDescent="0.25">
      <c r="A1277" s="658" t="s">
        <v>1529</v>
      </c>
      <c r="B1277" s="659" t="s">
        <v>1346</v>
      </c>
      <c r="C1277" s="2673" t="s">
        <v>1281</v>
      </c>
      <c r="D1277" s="2673"/>
      <c r="E1277" s="2673"/>
      <c r="F1277" s="670">
        <v>80</v>
      </c>
      <c r="G1277" s="661" t="s">
        <v>2112</v>
      </c>
      <c r="H1277" s="661"/>
      <c r="I1277" s="661">
        <v>11353</v>
      </c>
      <c r="J1277" s="661"/>
      <c r="K1277" s="662"/>
      <c r="L1277" s="663">
        <v>0</v>
      </c>
      <c r="M1277" s="663">
        <v>0</v>
      </c>
      <c r="X1277" s="656"/>
      <c r="Y1277" s="657"/>
      <c r="Z1277" s="657"/>
      <c r="AA1277" s="481" t="s">
        <v>1281</v>
      </c>
      <c r="AC1277" s="456"/>
      <c r="AD1277" s="522"/>
      <c r="AE1277" s="699"/>
      <c r="AF1277" s="456"/>
      <c r="AG1277" s="699"/>
      <c r="AH1277" s="481"/>
      <c r="AJ1277" s="481"/>
    </row>
    <row r="1278" spans="1:36" s="454" customFormat="1" ht="15" x14ac:dyDescent="0.25">
      <c r="A1278" s="664"/>
      <c r="B1278" s="665"/>
      <c r="C1278" s="666" t="s">
        <v>3735</v>
      </c>
      <c r="D1278" s="667"/>
      <c r="E1278" s="667"/>
      <c r="F1278" s="667"/>
      <c r="G1278" s="667"/>
      <c r="H1278" s="667"/>
      <c r="I1278" s="667"/>
      <c r="J1278" s="667"/>
      <c r="K1278" s="667"/>
      <c r="L1278" s="667"/>
      <c r="M1278" s="668"/>
      <c r="X1278" s="656"/>
      <c r="Y1278" s="657"/>
      <c r="Z1278" s="657"/>
      <c r="AA1278" s="481"/>
      <c r="AC1278" s="456"/>
      <c r="AD1278" s="522"/>
      <c r="AE1278" s="699"/>
      <c r="AF1278" s="456"/>
      <c r="AG1278" s="699"/>
      <c r="AH1278" s="481"/>
      <c r="AJ1278" s="481"/>
    </row>
    <row r="1279" spans="1:36" s="454" customFormat="1" ht="15" x14ac:dyDescent="0.25">
      <c r="A1279" s="542"/>
      <c r="B1279" s="665"/>
      <c r="C1279" s="666" t="s">
        <v>2113</v>
      </c>
      <c r="D1279" s="667"/>
      <c r="E1279" s="667"/>
      <c r="F1279" s="667"/>
      <c r="G1279" s="667"/>
      <c r="H1279" s="667"/>
      <c r="I1279" s="667"/>
      <c r="J1279" s="667"/>
      <c r="K1279" s="667"/>
      <c r="L1279" s="667"/>
      <c r="M1279" s="669"/>
      <c r="X1279" s="656"/>
      <c r="Y1279" s="657"/>
      <c r="Z1279" s="657"/>
      <c r="AA1279" s="481"/>
      <c r="AC1279" s="456"/>
      <c r="AD1279" s="522"/>
      <c r="AE1279" s="699"/>
      <c r="AF1279" s="456"/>
      <c r="AG1279" s="699"/>
      <c r="AH1279" s="481"/>
      <c r="AJ1279" s="481"/>
    </row>
    <row r="1280" spans="1:36" s="454" customFormat="1" ht="34.5" x14ac:dyDescent="0.25">
      <c r="A1280" s="658" t="s">
        <v>1530</v>
      </c>
      <c r="B1280" s="659" t="s">
        <v>1348</v>
      </c>
      <c r="C1280" s="2673" t="s">
        <v>1284</v>
      </c>
      <c r="D1280" s="2673"/>
      <c r="E1280" s="2673"/>
      <c r="F1280" s="670">
        <v>10</v>
      </c>
      <c r="G1280" s="661" t="s">
        <v>2114</v>
      </c>
      <c r="H1280" s="661"/>
      <c r="I1280" s="661">
        <v>17392</v>
      </c>
      <c r="J1280" s="661"/>
      <c r="K1280" s="662"/>
      <c r="L1280" s="663">
        <v>0</v>
      </c>
      <c r="M1280" s="663">
        <v>0</v>
      </c>
      <c r="X1280" s="656"/>
      <c r="Y1280" s="657"/>
      <c r="Z1280" s="657"/>
      <c r="AA1280" s="481" t="s">
        <v>1284</v>
      </c>
      <c r="AC1280" s="456"/>
      <c r="AD1280" s="522"/>
      <c r="AE1280" s="699"/>
      <c r="AF1280" s="456"/>
      <c r="AG1280" s="699"/>
      <c r="AH1280" s="481"/>
      <c r="AJ1280" s="481"/>
    </row>
    <row r="1281" spans="1:36" s="454" customFormat="1" ht="15" x14ac:dyDescent="0.25">
      <c r="A1281" s="664"/>
      <c r="B1281" s="665"/>
      <c r="C1281" s="666" t="s">
        <v>3734</v>
      </c>
      <c r="D1281" s="667"/>
      <c r="E1281" s="667"/>
      <c r="F1281" s="667"/>
      <c r="G1281" s="667"/>
      <c r="H1281" s="667"/>
      <c r="I1281" s="667"/>
      <c r="J1281" s="667"/>
      <c r="K1281" s="667"/>
      <c r="L1281" s="667"/>
      <c r="M1281" s="668"/>
      <c r="X1281" s="656"/>
      <c r="Y1281" s="657"/>
      <c r="Z1281" s="657"/>
      <c r="AA1281" s="481"/>
      <c r="AC1281" s="456"/>
      <c r="AD1281" s="522"/>
      <c r="AE1281" s="699"/>
      <c r="AF1281" s="456"/>
      <c r="AG1281" s="699"/>
      <c r="AH1281" s="481"/>
      <c r="AJ1281" s="481"/>
    </row>
    <row r="1282" spans="1:36" s="454" customFormat="1" ht="15" x14ac:dyDescent="0.25">
      <c r="A1282" s="542"/>
      <c r="B1282" s="665"/>
      <c r="C1282" s="666" t="s">
        <v>2115</v>
      </c>
      <c r="D1282" s="667"/>
      <c r="E1282" s="667"/>
      <c r="F1282" s="667"/>
      <c r="G1282" s="667"/>
      <c r="H1282" s="667"/>
      <c r="I1282" s="667"/>
      <c r="J1282" s="667"/>
      <c r="K1282" s="667"/>
      <c r="L1282" s="667"/>
      <c r="M1282" s="669"/>
      <c r="X1282" s="656"/>
      <c r="Y1282" s="657"/>
      <c r="Z1282" s="657"/>
      <c r="AA1282" s="481"/>
      <c r="AC1282" s="456"/>
      <c r="AD1282" s="522"/>
      <c r="AE1282" s="699"/>
      <c r="AF1282" s="456"/>
      <c r="AG1282" s="699"/>
      <c r="AH1282" s="481"/>
      <c r="AJ1282" s="481"/>
    </row>
    <row r="1283" spans="1:36" s="454" customFormat="1" ht="45.75" x14ac:dyDescent="0.25">
      <c r="A1283" s="658" t="s">
        <v>1531</v>
      </c>
      <c r="B1283" s="659" t="s">
        <v>2116</v>
      </c>
      <c r="C1283" s="2673" t="s">
        <v>2117</v>
      </c>
      <c r="D1283" s="2673"/>
      <c r="E1283" s="2673"/>
      <c r="F1283" s="670">
        <v>90</v>
      </c>
      <c r="G1283" s="661" t="s">
        <v>1288</v>
      </c>
      <c r="H1283" s="661" t="s">
        <v>1289</v>
      </c>
      <c r="I1283" s="661">
        <v>509</v>
      </c>
      <c r="J1283" s="661">
        <v>208</v>
      </c>
      <c r="K1283" s="662" t="s">
        <v>1532</v>
      </c>
      <c r="L1283" s="671">
        <v>0.255</v>
      </c>
      <c r="M1283" s="672">
        <v>22.95</v>
      </c>
      <c r="X1283" s="656"/>
      <c r="Y1283" s="657"/>
      <c r="Z1283" s="657"/>
      <c r="AA1283" s="481" t="s">
        <v>2117</v>
      </c>
      <c r="AC1283" s="456"/>
      <c r="AD1283" s="522"/>
      <c r="AE1283" s="699"/>
      <c r="AF1283" s="456"/>
      <c r="AG1283" s="699"/>
      <c r="AH1283" s="481"/>
      <c r="AJ1283" s="481"/>
    </row>
    <row r="1284" spans="1:36" s="454" customFormat="1" ht="33.75" x14ac:dyDescent="0.25">
      <c r="A1284" s="542"/>
      <c r="B1284" s="673" t="s">
        <v>1655</v>
      </c>
      <c r="C1284" s="2670" t="s">
        <v>1656</v>
      </c>
      <c r="D1284" s="2670"/>
      <c r="E1284" s="2670"/>
      <c r="F1284" s="2670"/>
      <c r="G1284" s="2670"/>
      <c r="H1284" s="2670"/>
      <c r="I1284" s="2670"/>
      <c r="J1284" s="2670"/>
      <c r="K1284" s="2670"/>
      <c r="L1284" s="2670"/>
      <c r="M1284" s="2671"/>
      <c r="X1284" s="656"/>
      <c r="Y1284" s="657"/>
      <c r="Z1284" s="657"/>
      <c r="AA1284" s="481"/>
      <c r="AB1284" s="491" t="s">
        <v>1656</v>
      </c>
      <c r="AC1284" s="456"/>
      <c r="AD1284" s="522"/>
      <c r="AE1284" s="699"/>
      <c r="AF1284" s="456"/>
      <c r="AG1284" s="699"/>
      <c r="AH1284" s="481"/>
      <c r="AJ1284" s="481"/>
    </row>
    <row r="1285" spans="1:36" s="454" customFormat="1" ht="15" x14ac:dyDescent="0.25">
      <c r="A1285" s="823"/>
      <c r="B1285" s="824"/>
      <c r="C1285" s="824"/>
      <c r="D1285" s="824"/>
      <c r="E1285" s="825" t="s">
        <v>3737</v>
      </c>
      <c r="F1285" s="826"/>
      <c r="G1285" s="827"/>
      <c r="H1285" s="648"/>
      <c r="I1285" s="828">
        <v>269</v>
      </c>
      <c r="J1285" s="829"/>
      <c r="K1285" s="829"/>
      <c r="L1285" s="830"/>
      <c r="M1285" s="831"/>
      <c r="X1285" s="656"/>
      <c r="Y1285" s="657"/>
      <c r="Z1285" s="657"/>
      <c r="AA1285" s="481"/>
      <c r="AC1285" s="456"/>
      <c r="AD1285" s="522"/>
      <c r="AE1285" s="699"/>
      <c r="AF1285" s="456"/>
      <c r="AG1285" s="699"/>
      <c r="AH1285" s="481"/>
      <c r="AJ1285" s="481"/>
    </row>
    <row r="1286" spans="1:36" s="454" customFormat="1" ht="15" x14ac:dyDescent="0.25">
      <c r="A1286" s="823"/>
      <c r="B1286" s="824"/>
      <c r="C1286" s="824"/>
      <c r="D1286" s="824"/>
      <c r="E1286" s="825" t="s">
        <v>3738</v>
      </c>
      <c r="F1286" s="826"/>
      <c r="G1286" s="827"/>
      <c r="H1286" s="648"/>
      <c r="I1286" s="828">
        <v>122</v>
      </c>
      <c r="J1286" s="829"/>
      <c r="K1286" s="829"/>
      <c r="L1286" s="830"/>
      <c r="M1286" s="831"/>
      <c r="X1286" s="656"/>
      <c r="Y1286" s="657"/>
      <c r="Z1286" s="657"/>
      <c r="AA1286" s="481"/>
      <c r="AC1286" s="456"/>
      <c r="AD1286" s="522"/>
      <c r="AE1286" s="699"/>
      <c r="AF1286" s="456"/>
      <c r="AG1286" s="699"/>
      <c r="AH1286" s="481"/>
      <c r="AJ1286" s="481"/>
    </row>
    <row r="1287" spans="1:36" s="454" customFormat="1" ht="15" x14ac:dyDescent="0.25">
      <c r="A1287" s="823"/>
      <c r="B1287" s="824"/>
      <c r="C1287" s="824"/>
      <c r="D1287" s="824"/>
      <c r="E1287" s="825" t="s">
        <v>2692</v>
      </c>
      <c r="F1287" s="826"/>
      <c r="G1287" s="827"/>
      <c r="H1287" s="648"/>
      <c r="I1287" s="828">
        <v>900</v>
      </c>
      <c r="J1287" s="829"/>
      <c r="K1287" s="829"/>
      <c r="L1287" s="830"/>
      <c r="M1287" s="831"/>
      <c r="X1287" s="656"/>
      <c r="Y1287" s="657"/>
      <c r="Z1287" s="657"/>
      <c r="AA1287" s="481"/>
      <c r="AC1287" s="456"/>
      <c r="AD1287" s="522"/>
      <c r="AE1287" s="699"/>
      <c r="AF1287" s="456"/>
      <c r="AG1287" s="699"/>
      <c r="AH1287" s="481"/>
      <c r="AJ1287" s="481"/>
    </row>
    <row r="1288" spans="1:36" s="454" customFormat="1" ht="23.25" x14ac:dyDescent="0.25">
      <c r="A1288" s="507"/>
      <c r="B1288" s="674" t="s">
        <v>2119</v>
      </c>
      <c r="C1288" s="2672" t="s">
        <v>2120</v>
      </c>
      <c r="D1288" s="2672"/>
      <c r="E1288" s="2672"/>
      <c r="F1288" s="675" t="s">
        <v>3739</v>
      </c>
      <c r="G1288" s="676" t="s">
        <v>2122</v>
      </c>
      <c r="H1288" s="676"/>
      <c r="I1288" s="676">
        <v>208.16</v>
      </c>
      <c r="J1288" s="676">
        <v>208.16</v>
      </c>
      <c r="K1288" s="676"/>
      <c r="L1288" s="677"/>
      <c r="M1288" s="678"/>
      <c r="X1288" s="656"/>
      <c r="Y1288" s="657"/>
      <c r="Z1288" s="657"/>
      <c r="AA1288" s="481"/>
      <c r="AC1288" s="456" t="s">
        <v>2120</v>
      </c>
      <c r="AD1288" s="522"/>
      <c r="AE1288" s="699"/>
      <c r="AF1288" s="456"/>
      <c r="AG1288" s="699"/>
      <c r="AH1288" s="481"/>
      <c r="AJ1288" s="481"/>
    </row>
    <row r="1289" spans="1:36" s="454" customFormat="1" ht="23.25" x14ac:dyDescent="0.25">
      <c r="A1289" s="507"/>
      <c r="B1289" s="674" t="s">
        <v>639</v>
      </c>
      <c r="C1289" s="2672" t="s">
        <v>1661</v>
      </c>
      <c r="D1289" s="2672"/>
      <c r="E1289" s="2672"/>
      <c r="F1289" s="675" t="s">
        <v>3740</v>
      </c>
      <c r="G1289" s="676">
        <v>0</v>
      </c>
      <c r="H1289" s="676">
        <v>0</v>
      </c>
      <c r="I1289" s="676">
        <v>0</v>
      </c>
      <c r="J1289" s="676"/>
      <c r="K1289" s="676">
        <v>0</v>
      </c>
      <c r="L1289" s="677"/>
      <c r="M1289" s="678"/>
      <c r="X1289" s="656"/>
      <c r="Y1289" s="657"/>
      <c r="Z1289" s="657"/>
      <c r="AA1289" s="481"/>
      <c r="AC1289" s="456" t="s">
        <v>1661</v>
      </c>
      <c r="AD1289" s="522"/>
      <c r="AE1289" s="699"/>
      <c r="AF1289" s="456"/>
      <c r="AG1289" s="699"/>
      <c r="AH1289" s="481"/>
      <c r="AJ1289" s="481"/>
    </row>
    <row r="1290" spans="1:36" s="454" customFormat="1" ht="34.5" x14ac:dyDescent="0.25">
      <c r="A1290" s="507"/>
      <c r="B1290" s="674" t="s">
        <v>821</v>
      </c>
      <c r="C1290" s="2672" t="s">
        <v>1751</v>
      </c>
      <c r="D1290" s="2672"/>
      <c r="E1290" s="2672"/>
      <c r="F1290" s="675" t="s">
        <v>3741</v>
      </c>
      <c r="G1290" s="676">
        <v>65.709999999999994</v>
      </c>
      <c r="H1290" s="676" t="s">
        <v>1753</v>
      </c>
      <c r="I1290" s="676">
        <v>118.28</v>
      </c>
      <c r="J1290" s="676"/>
      <c r="K1290" s="676" t="s">
        <v>3742</v>
      </c>
      <c r="L1290" s="677"/>
      <c r="M1290" s="678"/>
      <c r="X1290" s="656"/>
      <c r="Y1290" s="657"/>
      <c r="Z1290" s="657"/>
      <c r="AA1290" s="481"/>
      <c r="AC1290" s="456" t="s">
        <v>1751</v>
      </c>
      <c r="AD1290" s="522"/>
      <c r="AE1290" s="699"/>
      <c r="AF1290" s="456"/>
      <c r="AG1290" s="699"/>
      <c r="AH1290" s="481"/>
      <c r="AJ1290" s="481"/>
    </row>
    <row r="1291" spans="1:36" s="454" customFormat="1" ht="23.25" x14ac:dyDescent="0.25">
      <c r="A1291" s="507"/>
      <c r="B1291" s="674" t="s">
        <v>825</v>
      </c>
      <c r="C1291" s="2672" t="s">
        <v>1808</v>
      </c>
      <c r="D1291" s="2672"/>
      <c r="E1291" s="2672"/>
      <c r="F1291" s="675" t="s">
        <v>3743</v>
      </c>
      <c r="G1291" s="676">
        <v>1.2</v>
      </c>
      <c r="H1291" s="676" t="s">
        <v>1810</v>
      </c>
      <c r="I1291" s="676">
        <v>16.2</v>
      </c>
      <c r="J1291" s="676"/>
      <c r="K1291" s="676" t="s">
        <v>3744</v>
      </c>
      <c r="L1291" s="677"/>
      <c r="M1291" s="678"/>
      <c r="X1291" s="656"/>
      <c r="Y1291" s="657"/>
      <c r="Z1291" s="657"/>
      <c r="AA1291" s="481"/>
      <c r="AC1291" s="456" t="s">
        <v>1808</v>
      </c>
      <c r="AD1291" s="522"/>
      <c r="AE1291" s="699"/>
      <c r="AF1291" s="456"/>
      <c r="AG1291" s="699"/>
      <c r="AH1291" s="481"/>
      <c r="AJ1291" s="481"/>
    </row>
    <row r="1292" spans="1:36" s="454" customFormat="1" ht="23.25" x14ac:dyDescent="0.25">
      <c r="A1292" s="507"/>
      <c r="B1292" s="674" t="s">
        <v>830</v>
      </c>
      <c r="C1292" s="2672" t="s">
        <v>1816</v>
      </c>
      <c r="D1292" s="2672"/>
      <c r="E1292" s="2672"/>
      <c r="F1292" s="675" t="s">
        <v>3743</v>
      </c>
      <c r="G1292" s="676">
        <v>6.22</v>
      </c>
      <c r="H1292" s="676"/>
      <c r="I1292" s="676">
        <v>83.97</v>
      </c>
      <c r="J1292" s="676"/>
      <c r="K1292" s="676"/>
      <c r="L1292" s="677"/>
      <c r="M1292" s="678"/>
      <c r="X1292" s="656"/>
      <c r="Y1292" s="657"/>
      <c r="Z1292" s="657"/>
      <c r="AA1292" s="481"/>
      <c r="AC1292" s="456" t="s">
        <v>1816</v>
      </c>
      <c r="AD1292" s="522"/>
      <c r="AE1292" s="699"/>
      <c r="AF1292" s="456"/>
      <c r="AG1292" s="699"/>
      <c r="AH1292" s="481"/>
      <c r="AJ1292" s="481"/>
    </row>
    <row r="1293" spans="1:36" s="454" customFormat="1" ht="23.25" x14ac:dyDescent="0.25">
      <c r="A1293" s="507"/>
      <c r="B1293" s="674" t="s">
        <v>833</v>
      </c>
      <c r="C1293" s="2672" t="s">
        <v>1818</v>
      </c>
      <c r="D1293" s="2672"/>
      <c r="E1293" s="2672"/>
      <c r="F1293" s="675" t="s">
        <v>3740</v>
      </c>
      <c r="G1293" s="676">
        <v>6.09</v>
      </c>
      <c r="H1293" s="676"/>
      <c r="I1293" s="676">
        <v>16.440000000000001</v>
      </c>
      <c r="J1293" s="676"/>
      <c r="K1293" s="676"/>
      <c r="L1293" s="677"/>
      <c r="M1293" s="678"/>
      <c r="X1293" s="656"/>
      <c r="Y1293" s="657"/>
      <c r="Z1293" s="657"/>
      <c r="AA1293" s="481"/>
      <c r="AC1293" s="456" t="s">
        <v>1818</v>
      </c>
      <c r="AD1293" s="522"/>
      <c r="AE1293" s="699"/>
      <c r="AF1293" s="456"/>
      <c r="AG1293" s="699"/>
      <c r="AH1293" s="481"/>
      <c r="AJ1293" s="481"/>
    </row>
    <row r="1294" spans="1:36" s="454" customFormat="1" ht="15" x14ac:dyDescent="0.25">
      <c r="A1294" s="2680" t="s">
        <v>1533</v>
      </c>
      <c r="B1294" s="2681"/>
      <c r="C1294" s="2681"/>
      <c r="D1294" s="2681"/>
      <c r="E1294" s="2681"/>
      <c r="F1294" s="2681"/>
      <c r="G1294" s="2681"/>
      <c r="H1294" s="2681"/>
      <c r="I1294" s="2681"/>
      <c r="J1294" s="2681"/>
      <c r="K1294" s="2681"/>
      <c r="L1294" s="2681"/>
      <c r="M1294" s="2682"/>
      <c r="X1294" s="656"/>
      <c r="Y1294" s="657" t="s">
        <v>1533</v>
      </c>
      <c r="Z1294" s="657"/>
      <c r="AA1294" s="481"/>
      <c r="AC1294" s="456"/>
      <c r="AD1294" s="522"/>
      <c r="AE1294" s="699"/>
      <c r="AF1294" s="456"/>
      <c r="AG1294" s="699"/>
      <c r="AH1294" s="481"/>
      <c r="AJ1294" s="481"/>
    </row>
    <row r="1295" spans="1:36" s="454" customFormat="1" ht="57" x14ac:dyDescent="0.25">
      <c r="A1295" s="658" t="s">
        <v>1534</v>
      </c>
      <c r="B1295" s="659" t="s">
        <v>1954</v>
      </c>
      <c r="C1295" s="2673" t="s">
        <v>1955</v>
      </c>
      <c r="D1295" s="2673"/>
      <c r="E1295" s="2673"/>
      <c r="F1295" s="679">
        <v>1.02</v>
      </c>
      <c r="G1295" s="661" t="s">
        <v>1956</v>
      </c>
      <c r="H1295" s="661" t="s">
        <v>1957</v>
      </c>
      <c r="I1295" s="661">
        <v>130456</v>
      </c>
      <c r="J1295" s="661">
        <v>10202</v>
      </c>
      <c r="K1295" s="662" t="s">
        <v>3745</v>
      </c>
      <c r="L1295" s="691">
        <v>1039.7328</v>
      </c>
      <c r="M1295" s="672">
        <v>1060.53</v>
      </c>
      <c r="X1295" s="656"/>
      <c r="Y1295" s="657"/>
      <c r="Z1295" s="657"/>
      <c r="AA1295" s="481" t="s">
        <v>1955</v>
      </c>
      <c r="AC1295" s="456"/>
      <c r="AD1295" s="522"/>
      <c r="AE1295" s="699"/>
      <c r="AF1295" s="456"/>
      <c r="AG1295" s="699"/>
      <c r="AH1295" s="481"/>
      <c r="AJ1295" s="481"/>
    </row>
    <row r="1296" spans="1:36" s="454" customFormat="1" ht="15" x14ac:dyDescent="0.25">
      <c r="A1296" s="664"/>
      <c r="B1296" s="665"/>
      <c r="C1296" s="666" t="s">
        <v>3746</v>
      </c>
      <c r="D1296" s="667"/>
      <c r="E1296" s="667"/>
      <c r="F1296" s="667"/>
      <c r="G1296" s="667"/>
      <c r="H1296" s="667"/>
      <c r="I1296" s="667"/>
      <c r="J1296" s="667"/>
      <c r="K1296" s="667"/>
      <c r="L1296" s="667"/>
      <c r="M1296" s="668"/>
      <c r="X1296" s="656"/>
      <c r="Y1296" s="657"/>
      <c r="Z1296" s="657"/>
      <c r="AA1296" s="481"/>
      <c r="AC1296" s="456"/>
      <c r="AD1296" s="522"/>
      <c r="AE1296" s="699"/>
      <c r="AF1296" s="456"/>
      <c r="AG1296" s="699"/>
      <c r="AH1296" s="481"/>
      <c r="AJ1296" s="481"/>
    </row>
    <row r="1297" spans="1:36" s="454" customFormat="1" ht="15" x14ac:dyDescent="0.25">
      <c r="A1297" s="542"/>
      <c r="B1297" s="673" t="s">
        <v>1960</v>
      </c>
      <c r="C1297" s="2670" t="s">
        <v>1961</v>
      </c>
      <c r="D1297" s="2670"/>
      <c r="E1297" s="2670"/>
      <c r="F1297" s="2670"/>
      <c r="G1297" s="2670"/>
      <c r="H1297" s="2670"/>
      <c r="I1297" s="2670"/>
      <c r="J1297" s="2670"/>
      <c r="K1297" s="2670"/>
      <c r="L1297" s="2670"/>
      <c r="M1297" s="2671"/>
      <c r="X1297" s="656"/>
      <c r="Y1297" s="657"/>
      <c r="Z1297" s="657"/>
      <c r="AA1297" s="481"/>
      <c r="AB1297" s="491" t="s">
        <v>1961</v>
      </c>
      <c r="AC1297" s="456"/>
      <c r="AD1297" s="522"/>
      <c r="AE1297" s="699"/>
      <c r="AF1297" s="456"/>
      <c r="AG1297" s="699"/>
      <c r="AH1297" s="481"/>
      <c r="AJ1297" s="481"/>
    </row>
    <row r="1298" spans="1:36" s="454" customFormat="1" ht="15" x14ac:dyDescent="0.25">
      <c r="A1298" s="542"/>
      <c r="B1298" s="673" t="s">
        <v>1962</v>
      </c>
      <c r="C1298" s="2670" t="s">
        <v>1963</v>
      </c>
      <c r="D1298" s="2670"/>
      <c r="E1298" s="2670"/>
      <c r="F1298" s="2670"/>
      <c r="G1298" s="2670"/>
      <c r="H1298" s="2670"/>
      <c r="I1298" s="2670"/>
      <c r="J1298" s="2670"/>
      <c r="K1298" s="2670"/>
      <c r="L1298" s="2670"/>
      <c r="M1298" s="2671"/>
      <c r="X1298" s="656"/>
      <c r="Y1298" s="657"/>
      <c r="Z1298" s="657"/>
      <c r="AA1298" s="481"/>
      <c r="AB1298" s="491" t="s">
        <v>1963</v>
      </c>
      <c r="AC1298" s="456"/>
      <c r="AD1298" s="522"/>
      <c r="AE1298" s="699"/>
      <c r="AF1298" s="456"/>
      <c r="AG1298" s="699"/>
      <c r="AH1298" s="481"/>
      <c r="AJ1298" s="481"/>
    </row>
    <row r="1299" spans="1:36" s="454" customFormat="1" ht="15" x14ac:dyDescent="0.25">
      <c r="A1299" s="542"/>
      <c r="B1299" s="673" t="s">
        <v>1964</v>
      </c>
      <c r="C1299" s="2670" t="s">
        <v>1965</v>
      </c>
      <c r="D1299" s="2670"/>
      <c r="E1299" s="2670"/>
      <c r="F1299" s="2670"/>
      <c r="G1299" s="2670"/>
      <c r="H1299" s="2670"/>
      <c r="I1299" s="2670"/>
      <c r="J1299" s="2670"/>
      <c r="K1299" s="2670"/>
      <c r="L1299" s="2670"/>
      <c r="M1299" s="2671"/>
      <c r="X1299" s="656"/>
      <c r="Y1299" s="657"/>
      <c r="Z1299" s="657"/>
      <c r="AA1299" s="481"/>
      <c r="AB1299" s="491" t="s">
        <v>1965</v>
      </c>
      <c r="AC1299" s="456"/>
      <c r="AD1299" s="522"/>
      <c r="AE1299" s="699"/>
      <c r="AF1299" s="456"/>
      <c r="AG1299" s="699"/>
      <c r="AH1299" s="481"/>
      <c r="AJ1299" s="481"/>
    </row>
    <row r="1300" spans="1:36" s="454" customFormat="1" ht="33.75" x14ac:dyDescent="0.25">
      <c r="A1300" s="542"/>
      <c r="B1300" s="673" t="s">
        <v>1655</v>
      </c>
      <c r="C1300" s="2670" t="s">
        <v>1656</v>
      </c>
      <c r="D1300" s="2670"/>
      <c r="E1300" s="2670"/>
      <c r="F1300" s="2670"/>
      <c r="G1300" s="2670"/>
      <c r="H1300" s="2670"/>
      <c r="I1300" s="2670"/>
      <c r="J1300" s="2670"/>
      <c r="K1300" s="2670"/>
      <c r="L1300" s="2670"/>
      <c r="M1300" s="2671"/>
      <c r="X1300" s="656"/>
      <c r="Y1300" s="657"/>
      <c r="Z1300" s="657"/>
      <c r="AA1300" s="481"/>
      <c r="AB1300" s="491" t="s">
        <v>1656</v>
      </c>
      <c r="AC1300" s="456"/>
      <c r="AD1300" s="522"/>
      <c r="AE1300" s="699"/>
      <c r="AF1300" s="456"/>
      <c r="AG1300" s="699"/>
      <c r="AH1300" s="481"/>
      <c r="AJ1300" s="481"/>
    </row>
    <row r="1301" spans="1:36" s="454" customFormat="1" ht="15" x14ac:dyDescent="0.25">
      <c r="A1301" s="823"/>
      <c r="B1301" s="824"/>
      <c r="C1301" s="824"/>
      <c r="D1301" s="824"/>
      <c r="E1301" s="825" t="s">
        <v>3747</v>
      </c>
      <c r="F1301" s="826"/>
      <c r="G1301" s="827"/>
      <c r="H1301" s="648"/>
      <c r="I1301" s="828">
        <v>17833</v>
      </c>
      <c r="J1301" s="829"/>
      <c r="K1301" s="829"/>
      <c r="L1301" s="830"/>
      <c r="M1301" s="831"/>
      <c r="X1301" s="656"/>
      <c r="Y1301" s="657"/>
      <c r="Z1301" s="657"/>
      <c r="AA1301" s="481"/>
      <c r="AC1301" s="456"/>
      <c r="AD1301" s="522"/>
      <c r="AE1301" s="699"/>
      <c r="AF1301" s="456"/>
      <c r="AG1301" s="699"/>
      <c r="AH1301" s="481"/>
      <c r="AJ1301" s="481"/>
    </row>
    <row r="1302" spans="1:36" s="454" customFormat="1" ht="15" x14ac:dyDescent="0.25">
      <c r="A1302" s="823"/>
      <c r="B1302" s="824"/>
      <c r="C1302" s="824"/>
      <c r="D1302" s="824"/>
      <c r="E1302" s="825" t="s">
        <v>3748</v>
      </c>
      <c r="F1302" s="826"/>
      <c r="G1302" s="827"/>
      <c r="H1302" s="648"/>
      <c r="I1302" s="828">
        <v>8120</v>
      </c>
      <c r="J1302" s="829"/>
      <c r="K1302" s="829"/>
      <c r="L1302" s="830"/>
      <c r="M1302" s="831"/>
      <c r="X1302" s="656"/>
      <c r="Y1302" s="657"/>
      <c r="Z1302" s="657"/>
      <c r="AA1302" s="481"/>
      <c r="AC1302" s="456"/>
      <c r="AD1302" s="522"/>
      <c r="AE1302" s="699"/>
      <c r="AF1302" s="456"/>
      <c r="AG1302" s="699"/>
      <c r="AH1302" s="481"/>
      <c r="AJ1302" s="481"/>
    </row>
    <row r="1303" spans="1:36" s="454" customFormat="1" ht="15" x14ac:dyDescent="0.25">
      <c r="A1303" s="823"/>
      <c r="B1303" s="824"/>
      <c r="C1303" s="824"/>
      <c r="D1303" s="824"/>
      <c r="E1303" s="825" t="s">
        <v>2692</v>
      </c>
      <c r="F1303" s="826"/>
      <c r="G1303" s="827"/>
      <c r="H1303" s="648"/>
      <c r="I1303" s="828">
        <v>156409</v>
      </c>
      <c r="J1303" s="829"/>
      <c r="K1303" s="829"/>
      <c r="L1303" s="830"/>
      <c r="M1303" s="831"/>
      <c r="X1303" s="656"/>
      <c r="Y1303" s="657"/>
      <c r="Z1303" s="657"/>
      <c r="AA1303" s="481"/>
      <c r="AC1303" s="456"/>
      <c r="AD1303" s="522"/>
      <c r="AE1303" s="699"/>
      <c r="AF1303" s="456"/>
      <c r="AG1303" s="699"/>
      <c r="AH1303" s="481"/>
      <c r="AJ1303" s="481"/>
    </row>
    <row r="1304" spans="1:36" s="454" customFormat="1" ht="23.25" x14ac:dyDescent="0.25">
      <c r="A1304" s="507"/>
      <c r="B1304" s="674" t="s">
        <v>1883</v>
      </c>
      <c r="C1304" s="2672" t="s">
        <v>1884</v>
      </c>
      <c r="D1304" s="2672"/>
      <c r="E1304" s="2672"/>
      <c r="F1304" s="675" t="s">
        <v>3749</v>
      </c>
      <c r="G1304" s="676" t="s">
        <v>1886</v>
      </c>
      <c r="H1304" s="676"/>
      <c r="I1304" s="676">
        <v>10202.299999999999</v>
      </c>
      <c r="J1304" s="676">
        <v>10202.299999999999</v>
      </c>
      <c r="K1304" s="676"/>
      <c r="L1304" s="677"/>
      <c r="M1304" s="678"/>
      <c r="X1304" s="656"/>
      <c r="Y1304" s="657"/>
      <c r="Z1304" s="657"/>
      <c r="AA1304" s="481"/>
      <c r="AC1304" s="456" t="s">
        <v>1884</v>
      </c>
      <c r="AD1304" s="522"/>
      <c r="AE1304" s="699"/>
      <c r="AF1304" s="456"/>
      <c r="AG1304" s="699"/>
      <c r="AH1304" s="481"/>
      <c r="AJ1304" s="481"/>
    </row>
    <row r="1305" spans="1:36" s="454" customFormat="1" ht="23.25" x14ac:dyDescent="0.25">
      <c r="A1305" s="507"/>
      <c r="B1305" s="674" t="s">
        <v>639</v>
      </c>
      <c r="C1305" s="2672" t="s">
        <v>1661</v>
      </c>
      <c r="D1305" s="2672"/>
      <c r="E1305" s="2672"/>
      <c r="F1305" s="675" t="s">
        <v>3750</v>
      </c>
      <c r="G1305" s="676">
        <v>0</v>
      </c>
      <c r="H1305" s="676">
        <v>0</v>
      </c>
      <c r="I1305" s="676">
        <v>0</v>
      </c>
      <c r="J1305" s="676"/>
      <c r="K1305" s="676">
        <v>0</v>
      </c>
      <c r="L1305" s="677"/>
      <c r="M1305" s="678"/>
      <c r="X1305" s="656"/>
      <c r="Y1305" s="657"/>
      <c r="Z1305" s="657"/>
      <c r="AA1305" s="481"/>
      <c r="AC1305" s="456" t="s">
        <v>1661</v>
      </c>
      <c r="AD1305" s="522"/>
      <c r="AE1305" s="699"/>
      <c r="AF1305" s="456"/>
      <c r="AG1305" s="699"/>
      <c r="AH1305" s="481"/>
      <c r="AJ1305" s="481"/>
    </row>
    <row r="1306" spans="1:36" s="454" customFormat="1" ht="23.25" x14ac:dyDescent="0.25">
      <c r="A1306" s="507"/>
      <c r="B1306" s="674" t="s">
        <v>1968</v>
      </c>
      <c r="C1306" s="2672" t="s">
        <v>1969</v>
      </c>
      <c r="D1306" s="2672"/>
      <c r="E1306" s="2672"/>
      <c r="F1306" s="675" t="s">
        <v>3751</v>
      </c>
      <c r="G1306" s="676">
        <v>79.069999999999993</v>
      </c>
      <c r="H1306" s="676" t="s">
        <v>1971</v>
      </c>
      <c r="I1306" s="676">
        <v>236.42</v>
      </c>
      <c r="J1306" s="676"/>
      <c r="K1306" s="676" t="s">
        <v>3752</v>
      </c>
      <c r="L1306" s="677"/>
      <c r="M1306" s="678"/>
      <c r="X1306" s="656"/>
      <c r="Y1306" s="657"/>
      <c r="Z1306" s="657"/>
      <c r="AA1306" s="481"/>
      <c r="AC1306" s="456" t="s">
        <v>1969</v>
      </c>
      <c r="AD1306" s="522"/>
      <c r="AE1306" s="699"/>
      <c r="AF1306" s="456"/>
      <c r="AG1306" s="699"/>
      <c r="AH1306" s="481"/>
      <c r="AJ1306" s="481"/>
    </row>
    <row r="1307" spans="1:36" s="454" customFormat="1" ht="45.75" x14ac:dyDescent="0.25">
      <c r="A1307" s="507"/>
      <c r="B1307" s="674" t="s">
        <v>1973</v>
      </c>
      <c r="C1307" s="2672" t="s">
        <v>1974</v>
      </c>
      <c r="D1307" s="2672"/>
      <c r="E1307" s="2672"/>
      <c r="F1307" s="675" t="s">
        <v>3753</v>
      </c>
      <c r="G1307" s="676">
        <v>70.010000000000005</v>
      </c>
      <c r="H1307" s="676" t="s">
        <v>1976</v>
      </c>
      <c r="I1307" s="676">
        <v>281.44</v>
      </c>
      <c r="J1307" s="676"/>
      <c r="K1307" s="676" t="s">
        <v>3754</v>
      </c>
      <c r="L1307" s="677"/>
      <c r="M1307" s="678"/>
      <c r="X1307" s="656"/>
      <c r="Y1307" s="657"/>
      <c r="Z1307" s="657"/>
      <c r="AA1307" s="481"/>
      <c r="AC1307" s="456" t="s">
        <v>1974</v>
      </c>
      <c r="AD1307" s="522"/>
      <c r="AE1307" s="699"/>
      <c r="AF1307" s="456"/>
      <c r="AG1307" s="699"/>
      <c r="AH1307" s="481"/>
      <c r="AJ1307" s="481"/>
    </row>
    <row r="1308" spans="1:36" s="454" customFormat="1" ht="57" x14ac:dyDescent="0.25">
      <c r="A1308" s="507"/>
      <c r="B1308" s="674" t="s">
        <v>1978</v>
      </c>
      <c r="C1308" s="2672" t="s">
        <v>1979</v>
      </c>
      <c r="D1308" s="2672"/>
      <c r="E1308" s="2672"/>
      <c r="F1308" s="675" t="s">
        <v>3755</v>
      </c>
      <c r="G1308" s="676">
        <v>340</v>
      </c>
      <c r="H1308" s="676" t="s">
        <v>1981</v>
      </c>
      <c r="I1308" s="676">
        <v>77135.8</v>
      </c>
      <c r="J1308" s="676"/>
      <c r="K1308" s="676" t="s">
        <v>3756</v>
      </c>
      <c r="L1308" s="677"/>
      <c r="M1308" s="678"/>
      <c r="X1308" s="656"/>
      <c r="Y1308" s="657"/>
      <c r="Z1308" s="657"/>
      <c r="AA1308" s="481"/>
      <c r="AC1308" s="456" t="s">
        <v>1979</v>
      </c>
      <c r="AD1308" s="522"/>
      <c r="AE1308" s="699"/>
      <c r="AF1308" s="456"/>
      <c r="AG1308" s="699"/>
      <c r="AH1308" s="481"/>
      <c r="AJ1308" s="481"/>
    </row>
    <row r="1309" spans="1:36" s="454" customFormat="1" ht="34.5" x14ac:dyDescent="0.25">
      <c r="A1309" s="507"/>
      <c r="B1309" s="674" t="s">
        <v>1663</v>
      </c>
      <c r="C1309" s="2672" t="s">
        <v>1664</v>
      </c>
      <c r="D1309" s="2672"/>
      <c r="E1309" s="2672"/>
      <c r="F1309" s="675" t="s">
        <v>3757</v>
      </c>
      <c r="G1309" s="676">
        <v>111.99</v>
      </c>
      <c r="H1309" s="676" t="s">
        <v>1666</v>
      </c>
      <c r="I1309" s="676">
        <v>441.24</v>
      </c>
      <c r="J1309" s="676"/>
      <c r="K1309" s="676" t="s">
        <v>3758</v>
      </c>
      <c r="L1309" s="677"/>
      <c r="M1309" s="678"/>
      <c r="X1309" s="656"/>
      <c r="Y1309" s="657"/>
      <c r="Z1309" s="657"/>
      <c r="AA1309" s="481"/>
      <c r="AC1309" s="456" t="s">
        <v>1664</v>
      </c>
      <c r="AD1309" s="522"/>
      <c r="AE1309" s="699"/>
      <c r="AF1309" s="456"/>
      <c r="AG1309" s="699"/>
      <c r="AH1309" s="481"/>
      <c r="AJ1309" s="481"/>
    </row>
    <row r="1310" spans="1:36" s="454" customFormat="1" ht="23.25" x14ac:dyDescent="0.25">
      <c r="A1310" s="507"/>
      <c r="B1310" s="674" t="s">
        <v>1985</v>
      </c>
      <c r="C1310" s="2672" t="s">
        <v>1986</v>
      </c>
      <c r="D1310" s="2672"/>
      <c r="E1310" s="2672"/>
      <c r="F1310" s="675" t="s">
        <v>3759</v>
      </c>
      <c r="G1310" s="676">
        <v>26.5</v>
      </c>
      <c r="H1310" s="676" t="s">
        <v>1988</v>
      </c>
      <c r="I1310" s="676">
        <v>1428.09</v>
      </c>
      <c r="J1310" s="676"/>
      <c r="K1310" s="676" t="s">
        <v>3760</v>
      </c>
      <c r="L1310" s="677"/>
      <c r="M1310" s="678"/>
      <c r="X1310" s="656"/>
      <c r="Y1310" s="657"/>
      <c r="Z1310" s="657"/>
      <c r="AA1310" s="481"/>
      <c r="AC1310" s="456" t="s">
        <v>1986</v>
      </c>
      <c r="AD1310" s="522"/>
      <c r="AE1310" s="699"/>
      <c r="AF1310" s="456"/>
      <c r="AG1310" s="699"/>
      <c r="AH1310" s="481"/>
      <c r="AJ1310" s="481"/>
    </row>
    <row r="1311" spans="1:36" s="454" customFormat="1" ht="34.5" x14ac:dyDescent="0.25">
      <c r="A1311" s="507"/>
      <c r="B1311" s="674" t="s">
        <v>821</v>
      </c>
      <c r="C1311" s="2672" t="s">
        <v>1751</v>
      </c>
      <c r="D1311" s="2672"/>
      <c r="E1311" s="2672"/>
      <c r="F1311" s="675" t="s">
        <v>3761</v>
      </c>
      <c r="G1311" s="676">
        <v>65.709999999999994</v>
      </c>
      <c r="H1311" s="676" t="s">
        <v>1753</v>
      </c>
      <c r="I1311" s="676">
        <v>388.35</v>
      </c>
      <c r="J1311" s="676"/>
      <c r="K1311" s="676" t="s">
        <v>3762</v>
      </c>
      <c r="L1311" s="677"/>
      <c r="M1311" s="678"/>
      <c r="X1311" s="656"/>
      <c r="Y1311" s="657"/>
      <c r="Z1311" s="657"/>
      <c r="AA1311" s="481"/>
      <c r="AC1311" s="456" t="s">
        <v>1751</v>
      </c>
      <c r="AD1311" s="522"/>
      <c r="AE1311" s="699"/>
      <c r="AF1311" s="456"/>
      <c r="AG1311" s="699"/>
      <c r="AH1311" s="481"/>
      <c r="AJ1311" s="481"/>
    </row>
    <row r="1312" spans="1:36" s="454" customFormat="1" ht="23.25" x14ac:dyDescent="0.25">
      <c r="A1312" s="515" t="s">
        <v>863</v>
      </c>
      <c r="B1312" s="686" t="s">
        <v>1992</v>
      </c>
      <c r="C1312" s="2683" t="s">
        <v>1993</v>
      </c>
      <c r="D1312" s="2683"/>
      <c r="E1312" s="2683"/>
      <c r="F1312" s="687" t="s">
        <v>3763</v>
      </c>
      <c r="G1312" s="688">
        <v>0</v>
      </c>
      <c r="H1312" s="688"/>
      <c r="I1312" s="688">
        <v>0</v>
      </c>
      <c r="J1312" s="688"/>
      <c r="K1312" s="688"/>
      <c r="L1312" s="689"/>
      <c r="M1312" s="690"/>
      <c r="X1312" s="656"/>
      <c r="Y1312" s="657"/>
      <c r="Z1312" s="657"/>
      <c r="AA1312" s="481"/>
      <c r="AC1312" s="456"/>
      <c r="AD1312" s="522" t="s">
        <v>1993</v>
      </c>
      <c r="AE1312" s="699"/>
      <c r="AF1312" s="456"/>
      <c r="AG1312" s="699"/>
      <c r="AH1312" s="481"/>
      <c r="AJ1312" s="481"/>
    </row>
    <row r="1313" spans="1:36" s="454" customFormat="1" ht="57" x14ac:dyDescent="0.25">
      <c r="A1313" s="507"/>
      <c r="B1313" s="674" t="s">
        <v>1995</v>
      </c>
      <c r="C1313" s="2672" t="s">
        <v>1996</v>
      </c>
      <c r="D1313" s="2672"/>
      <c r="E1313" s="2672"/>
      <c r="F1313" s="675" t="s">
        <v>3764</v>
      </c>
      <c r="G1313" s="676">
        <v>183.68</v>
      </c>
      <c r="H1313" s="676"/>
      <c r="I1313" s="676">
        <v>388.12</v>
      </c>
      <c r="J1313" s="676"/>
      <c r="K1313" s="676"/>
      <c r="L1313" s="677"/>
      <c r="M1313" s="678"/>
      <c r="X1313" s="656"/>
      <c r="Y1313" s="657"/>
      <c r="Z1313" s="657"/>
      <c r="AA1313" s="481"/>
      <c r="AC1313" s="456" t="s">
        <v>1996</v>
      </c>
      <c r="AD1313" s="522"/>
      <c r="AE1313" s="699"/>
      <c r="AF1313" s="456"/>
      <c r="AG1313" s="699"/>
      <c r="AH1313" s="481"/>
      <c r="AJ1313" s="481"/>
    </row>
    <row r="1314" spans="1:36" s="454" customFormat="1" ht="23.25" x14ac:dyDescent="0.25">
      <c r="A1314" s="515" t="s">
        <v>863</v>
      </c>
      <c r="B1314" s="686" t="s">
        <v>1998</v>
      </c>
      <c r="C1314" s="2683" t="s">
        <v>1999</v>
      </c>
      <c r="D1314" s="2683"/>
      <c r="E1314" s="2683"/>
      <c r="F1314" s="687" t="s">
        <v>3765</v>
      </c>
      <c r="G1314" s="688">
        <v>0</v>
      </c>
      <c r="H1314" s="688"/>
      <c r="I1314" s="688">
        <v>0</v>
      </c>
      <c r="J1314" s="688"/>
      <c r="K1314" s="688"/>
      <c r="L1314" s="689"/>
      <c r="M1314" s="690"/>
      <c r="X1314" s="656"/>
      <c r="Y1314" s="657"/>
      <c r="Z1314" s="657"/>
      <c r="AA1314" s="481"/>
      <c r="AC1314" s="456"/>
      <c r="AD1314" s="522" t="s">
        <v>1999</v>
      </c>
      <c r="AE1314" s="699"/>
      <c r="AF1314" s="456"/>
      <c r="AG1314" s="699"/>
      <c r="AH1314" s="481"/>
      <c r="AJ1314" s="481"/>
    </row>
    <row r="1315" spans="1:36" s="454" customFormat="1" ht="22.5" x14ac:dyDescent="0.25">
      <c r="A1315" s="515" t="s">
        <v>860</v>
      </c>
      <c r="B1315" s="686" t="s">
        <v>2001</v>
      </c>
      <c r="C1315" s="2683" t="s">
        <v>2002</v>
      </c>
      <c r="D1315" s="2683"/>
      <c r="E1315" s="2683"/>
      <c r="F1315" s="687" t="s">
        <v>1935</v>
      </c>
      <c r="G1315" s="688">
        <v>0</v>
      </c>
      <c r="H1315" s="688"/>
      <c r="I1315" s="688">
        <v>0</v>
      </c>
      <c r="J1315" s="688"/>
      <c r="K1315" s="688"/>
      <c r="L1315" s="689"/>
      <c r="M1315" s="690"/>
      <c r="X1315" s="656"/>
      <c r="Y1315" s="657"/>
      <c r="Z1315" s="657"/>
      <c r="AA1315" s="481"/>
      <c r="AC1315" s="456"/>
      <c r="AD1315" s="522" t="s">
        <v>2002</v>
      </c>
      <c r="AE1315" s="699"/>
      <c r="AF1315" s="456"/>
      <c r="AG1315" s="699"/>
      <c r="AH1315" s="481"/>
      <c r="AJ1315" s="481"/>
    </row>
    <row r="1316" spans="1:36" s="454" customFormat="1" ht="57" x14ac:dyDescent="0.25">
      <c r="A1316" s="658" t="s">
        <v>1537</v>
      </c>
      <c r="B1316" s="659" t="s">
        <v>2003</v>
      </c>
      <c r="C1316" s="2673" t="s">
        <v>2004</v>
      </c>
      <c r="D1316" s="2673"/>
      <c r="E1316" s="2673"/>
      <c r="F1316" s="679">
        <v>0.18</v>
      </c>
      <c r="G1316" s="661" t="s">
        <v>2005</v>
      </c>
      <c r="H1316" s="661" t="s">
        <v>2006</v>
      </c>
      <c r="I1316" s="661">
        <v>69873</v>
      </c>
      <c r="J1316" s="661">
        <v>5336</v>
      </c>
      <c r="K1316" s="662" t="s">
        <v>3766</v>
      </c>
      <c r="L1316" s="691">
        <v>3081.2808</v>
      </c>
      <c r="M1316" s="672">
        <v>554.63</v>
      </c>
      <c r="X1316" s="656"/>
      <c r="Y1316" s="657"/>
      <c r="Z1316" s="657"/>
      <c r="AA1316" s="481" t="s">
        <v>2004</v>
      </c>
      <c r="AC1316" s="456"/>
      <c r="AD1316" s="522"/>
      <c r="AE1316" s="699"/>
      <c r="AF1316" s="456"/>
      <c r="AG1316" s="699"/>
      <c r="AH1316" s="481"/>
      <c r="AJ1316" s="481"/>
    </row>
    <row r="1317" spans="1:36" s="454" customFormat="1" ht="15" x14ac:dyDescent="0.25">
      <c r="A1317" s="664"/>
      <c r="B1317" s="665"/>
      <c r="C1317" s="666" t="s">
        <v>3767</v>
      </c>
      <c r="D1317" s="667"/>
      <c r="E1317" s="667"/>
      <c r="F1317" s="667"/>
      <c r="G1317" s="667"/>
      <c r="H1317" s="667"/>
      <c r="I1317" s="667"/>
      <c r="J1317" s="667"/>
      <c r="K1317" s="667"/>
      <c r="L1317" s="667"/>
      <c r="M1317" s="668"/>
      <c r="X1317" s="656"/>
      <c r="Y1317" s="657"/>
      <c r="Z1317" s="657"/>
      <c r="AA1317" s="481"/>
      <c r="AC1317" s="456"/>
      <c r="AD1317" s="522"/>
      <c r="AE1317" s="699"/>
      <c r="AF1317" s="456"/>
      <c r="AG1317" s="699"/>
      <c r="AH1317" s="481"/>
      <c r="AJ1317" s="481"/>
    </row>
    <row r="1318" spans="1:36" s="454" customFormat="1" ht="15" x14ac:dyDescent="0.25">
      <c r="A1318" s="542"/>
      <c r="B1318" s="673" t="s">
        <v>1960</v>
      </c>
      <c r="C1318" s="2670" t="s">
        <v>1961</v>
      </c>
      <c r="D1318" s="2670"/>
      <c r="E1318" s="2670"/>
      <c r="F1318" s="2670"/>
      <c r="G1318" s="2670"/>
      <c r="H1318" s="2670"/>
      <c r="I1318" s="2670"/>
      <c r="J1318" s="2670"/>
      <c r="K1318" s="2670"/>
      <c r="L1318" s="2670"/>
      <c r="M1318" s="2671"/>
      <c r="X1318" s="656"/>
      <c r="Y1318" s="657"/>
      <c r="Z1318" s="657"/>
      <c r="AA1318" s="481"/>
      <c r="AB1318" s="491" t="s">
        <v>1961</v>
      </c>
      <c r="AC1318" s="456"/>
      <c r="AD1318" s="522"/>
      <c r="AE1318" s="699"/>
      <c r="AF1318" s="456"/>
      <c r="AG1318" s="699"/>
      <c r="AH1318" s="481"/>
      <c r="AJ1318" s="481"/>
    </row>
    <row r="1319" spans="1:36" s="454" customFormat="1" ht="15" x14ac:dyDescent="0.25">
      <c r="A1319" s="542"/>
      <c r="B1319" s="673" t="s">
        <v>1962</v>
      </c>
      <c r="C1319" s="2670" t="s">
        <v>1963</v>
      </c>
      <c r="D1319" s="2670"/>
      <c r="E1319" s="2670"/>
      <c r="F1319" s="2670"/>
      <c r="G1319" s="2670"/>
      <c r="H1319" s="2670"/>
      <c r="I1319" s="2670"/>
      <c r="J1319" s="2670"/>
      <c r="K1319" s="2670"/>
      <c r="L1319" s="2670"/>
      <c r="M1319" s="2671"/>
      <c r="X1319" s="656"/>
      <c r="Y1319" s="657"/>
      <c r="Z1319" s="657"/>
      <c r="AA1319" s="481"/>
      <c r="AB1319" s="491" t="s">
        <v>1963</v>
      </c>
      <c r="AC1319" s="456"/>
      <c r="AD1319" s="522"/>
      <c r="AE1319" s="699"/>
      <c r="AF1319" s="456"/>
      <c r="AG1319" s="699"/>
      <c r="AH1319" s="481"/>
      <c r="AJ1319" s="481"/>
    </row>
    <row r="1320" spans="1:36" s="454" customFormat="1" ht="15" x14ac:dyDescent="0.25">
      <c r="A1320" s="542"/>
      <c r="B1320" s="673" t="s">
        <v>1964</v>
      </c>
      <c r="C1320" s="2670" t="s">
        <v>1965</v>
      </c>
      <c r="D1320" s="2670"/>
      <c r="E1320" s="2670"/>
      <c r="F1320" s="2670"/>
      <c r="G1320" s="2670"/>
      <c r="H1320" s="2670"/>
      <c r="I1320" s="2670"/>
      <c r="J1320" s="2670"/>
      <c r="K1320" s="2670"/>
      <c r="L1320" s="2670"/>
      <c r="M1320" s="2671"/>
      <c r="X1320" s="656"/>
      <c r="Y1320" s="657"/>
      <c r="Z1320" s="657"/>
      <c r="AA1320" s="481"/>
      <c r="AB1320" s="491" t="s">
        <v>1965</v>
      </c>
      <c r="AC1320" s="456"/>
      <c r="AD1320" s="522"/>
      <c r="AE1320" s="699"/>
      <c r="AF1320" s="456"/>
      <c r="AG1320" s="699"/>
      <c r="AH1320" s="481"/>
      <c r="AJ1320" s="481"/>
    </row>
    <row r="1321" spans="1:36" s="454" customFormat="1" ht="33.75" x14ac:dyDescent="0.25">
      <c r="A1321" s="542"/>
      <c r="B1321" s="673" t="s">
        <v>1655</v>
      </c>
      <c r="C1321" s="2670" t="s">
        <v>1656</v>
      </c>
      <c r="D1321" s="2670"/>
      <c r="E1321" s="2670"/>
      <c r="F1321" s="2670"/>
      <c r="G1321" s="2670"/>
      <c r="H1321" s="2670"/>
      <c r="I1321" s="2670"/>
      <c r="J1321" s="2670"/>
      <c r="K1321" s="2670"/>
      <c r="L1321" s="2670"/>
      <c r="M1321" s="2671"/>
      <c r="X1321" s="656"/>
      <c r="Y1321" s="657"/>
      <c r="Z1321" s="657"/>
      <c r="AA1321" s="481"/>
      <c r="AB1321" s="491" t="s">
        <v>1656</v>
      </c>
      <c r="AC1321" s="456"/>
      <c r="AD1321" s="522"/>
      <c r="AE1321" s="699"/>
      <c r="AF1321" s="456"/>
      <c r="AG1321" s="699"/>
      <c r="AH1321" s="481"/>
      <c r="AJ1321" s="481"/>
    </row>
    <row r="1322" spans="1:36" s="454" customFormat="1" ht="15" x14ac:dyDescent="0.25">
      <c r="A1322" s="823"/>
      <c r="B1322" s="824"/>
      <c r="C1322" s="824"/>
      <c r="D1322" s="824"/>
      <c r="E1322" s="825" t="s">
        <v>3768</v>
      </c>
      <c r="F1322" s="826"/>
      <c r="G1322" s="827"/>
      <c r="H1322" s="648"/>
      <c r="I1322" s="828">
        <v>9029</v>
      </c>
      <c r="J1322" s="829"/>
      <c r="K1322" s="829"/>
      <c r="L1322" s="830"/>
      <c r="M1322" s="831"/>
      <c r="X1322" s="656"/>
      <c r="Y1322" s="657"/>
      <c r="Z1322" s="657"/>
      <c r="AA1322" s="481"/>
      <c r="AC1322" s="456"/>
      <c r="AD1322" s="522"/>
      <c r="AE1322" s="699"/>
      <c r="AF1322" s="456"/>
      <c r="AG1322" s="699"/>
      <c r="AH1322" s="481"/>
      <c r="AJ1322" s="481"/>
    </row>
    <row r="1323" spans="1:36" s="454" customFormat="1" ht="15" x14ac:dyDescent="0.25">
      <c r="A1323" s="823"/>
      <c r="B1323" s="824"/>
      <c r="C1323" s="824"/>
      <c r="D1323" s="824"/>
      <c r="E1323" s="825" t="s">
        <v>3769</v>
      </c>
      <c r="F1323" s="826"/>
      <c r="G1323" s="827"/>
      <c r="H1323" s="648"/>
      <c r="I1323" s="828">
        <v>4112</v>
      </c>
      <c r="J1323" s="829"/>
      <c r="K1323" s="829"/>
      <c r="L1323" s="830"/>
      <c r="M1323" s="831"/>
      <c r="X1323" s="656"/>
      <c r="Y1323" s="657"/>
      <c r="Z1323" s="657"/>
      <c r="AA1323" s="481"/>
      <c r="AC1323" s="456"/>
      <c r="AD1323" s="522"/>
      <c r="AE1323" s="699"/>
      <c r="AF1323" s="456"/>
      <c r="AG1323" s="699"/>
      <c r="AH1323" s="481"/>
      <c r="AJ1323" s="481"/>
    </row>
    <row r="1324" spans="1:36" s="454" customFormat="1" ht="15" x14ac:dyDescent="0.25">
      <c r="A1324" s="823"/>
      <c r="B1324" s="824"/>
      <c r="C1324" s="824"/>
      <c r="D1324" s="824"/>
      <c r="E1324" s="825" t="s">
        <v>2692</v>
      </c>
      <c r="F1324" s="826"/>
      <c r="G1324" s="827"/>
      <c r="H1324" s="648"/>
      <c r="I1324" s="828">
        <v>83014</v>
      </c>
      <c r="J1324" s="829"/>
      <c r="K1324" s="829"/>
      <c r="L1324" s="830"/>
      <c r="M1324" s="831"/>
      <c r="X1324" s="656"/>
      <c r="Y1324" s="657"/>
      <c r="Z1324" s="657"/>
      <c r="AA1324" s="481"/>
      <c r="AC1324" s="456"/>
      <c r="AD1324" s="522"/>
      <c r="AE1324" s="699"/>
      <c r="AF1324" s="456"/>
      <c r="AG1324" s="699"/>
      <c r="AH1324" s="481"/>
      <c r="AJ1324" s="481"/>
    </row>
    <row r="1325" spans="1:36" s="454" customFormat="1" ht="23.25" x14ac:dyDescent="0.25">
      <c r="A1325" s="507"/>
      <c r="B1325" s="674" t="s">
        <v>1883</v>
      </c>
      <c r="C1325" s="2672" t="s">
        <v>1884</v>
      </c>
      <c r="D1325" s="2672"/>
      <c r="E1325" s="2672"/>
      <c r="F1325" s="675" t="s">
        <v>3770</v>
      </c>
      <c r="G1325" s="676" t="s">
        <v>1886</v>
      </c>
      <c r="H1325" s="676"/>
      <c r="I1325" s="676">
        <v>5335.54</v>
      </c>
      <c r="J1325" s="676">
        <v>5335.54</v>
      </c>
      <c r="K1325" s="676"/>
      <c r="L1325" s="677"/>
      <c r="M1325" s="678"/>
      <c r="X1325" s="656"/>
      <c r="Y1325" s="657"/>
      <c r="Z1325" s="657"/>
      <c r="AA1325" s="481"/>
      <c r="AC1325" s="456" t="s">
        <v>1884</v>
      </c>
      <c r="AD1325" s="522"/>
      <c r="AE1325" s="699"/>
      <c r="AF1325" s="456"/>
      <c r="AG1325" s="699"/>
      <c r="AH1325" s="481"/>
      <c r="AJ1325" s="481"/>
    </row>
    <row r="1326" spans="1:36" s="454" customFormat="1" ht="23.25" x14ac:dyDescent="0.25">
      <c r="A1326" s="507"/>
      <c r="B1326" s="674" t="s">
        <v>639</v>
      </c>
      <c r="C1326" s="2672" t="s">
        <v>1661</v>
      </c>
      <c r="D1326" s="2672"/>
      <c r="E1326" s="2672"/>
      <c r="F1326" s="675" t="s">
        <v>3771</v>
      </c>
      <c r="G1326" s="676">
        <v>0</v>
      </c>
      <c r="H1326" s="676">
        <v>0</v>
      </c>
      <c r="I1326" s="676">
        <v>0</v>
      </c>
      <c r="J1326" s="676"/>
      <c r="K1326" s="676">
        <v>0</v>
      </c>
      <c r="L1326" s="677"/>
      <c r="M1326" s="678"/>
      <c r="X1326" s="656"/>
      <c r="Y1326" s="657"/>
      <c r="Z1326" s="657"/>
      <c r="AA1326" s="481"/>
      <c r="AC1326" s="456" t="s">
        <v>1661</v>
      </c>
      <c r="AD1326" s="522"/>
      <c r="AE1326" s="699"/>
      <c r="AF1326" s="456"/>
      <c r="AG1326" s="699"/>
      <c r="AH1326" s="481"/>
      <c r="AJ1326" s="481"/>
    </row>
    <row r="1327" spans="1:36" s="454" customFormat="1" ht="23.25" x14ac:dyDescent="0.25">
      <c r="A1327" s="507"/>
      <c r="B1327" s="674" t="s">
        <v>1968</v>
      </c>
      <c r="C1327" s="2672" t="s">
        <v>1969</v>
      </c>
      <c r="D1327" s="2672"/>
      <c r="E1327" s="2672"/>
      <c r="F1327" s="675" t="s">
        <v>3772</v>
      </c>
      <c r="G1327" s="676">
        <v>79.069999999999993</v>
      </c>
      <c r="H1327" s="676" t="s">
        <v>1971</v>
      </c>
      <c r="I1327" s="676">
        <v>41.91</v>
      </c>
      <c r="J1327" s="676"/>
      <c r="K1327" s="676" t="s">
        <v>3773</v>
      </c>
      <c r="L1327" s="677"/>
      <c r="M1327" s="678"/>
      <c r="X1327" s="656"/>
      <c r="Y1327" s="657"/>
      <c r="Z1327" s="657"/>
      <c r="AA1327" s="481"/>
      <c r="AC1327" s="456" t="s">
        <v>1969</v>
      </c>
      <c r="AD1327" s="522"/>
      <c r="AE1327" s="699"/>
      <c r="AF1327" s="456"/>
      <c r="AG1327" s="699"/>
      <c r="AH1327" s="481"/>
      <c r="AJ1327" s="481"/>
    </row>
    <row r="1328" spans="1:36" s="454" customFormat="1" ht="45.75" x14ac:dyDescent="0.25">
      <c r="A1328" s="507"/>
      <c r="B1328" s="674" t="s">
        <v>1973</v>
      </c>
      <c r="C1328" s="2672" t="s">
        <v>1974</v>
      </c>
      <c r="D1328" s="2672"/>
      <c r="E1328" s="2672"/>
      <c r="F1328" s="675" t="s">
        <v>3774</v>
      </c>
      <c r="G1328" s="676">
        <v>70.010000000000005</v>
      </c>
      <c r="H1328" s="676" t="s">
        <v>1976</v>
      </c>
      <c r="I1328" s="676">
        <v>49.71</v>
      </c>
      <c r="J1328" s="676"/>
      <c r="K1328" s="676" t="s">
        <v>3775</v>
      </c>
      <c r="L1328" s="677"/>
      <c r="M1328" s="678"/>
      <c r="X1328" s="656"/>
      <c r="Y1328" s="657"/>
      <c r="Z1328" s="657"/>
      <c r="AA1328" s="481"/>
      <c r="AC1328" s="456" t="s">
        <v>1974</v>
      </c>
      <c r="AD1328" s="522"/>
      <c r="AE1328" s="699"/>
      <c r="AF1328" s="456"/>
      <c r="AG1328" s="699"/>
      <c r="AH1328" s="481"/>
      <c r="AJ1328" s="481"/>
    </row>
    <row r="1329" spans="1:36" s="454" customFormat="1" ht="57" x14ac:dyDescent="0.25">
      <c r="A1329" s="507"/>
      <c r="B1329" s="674" t="s">
        <v>1978</v>
      </c>
      <c r="C1329" s="2672" t="s">
        <v>1979</v>
      </c>
      <c r="D1329" s="2672"/>
      <c r="E1329" s="2672"/>
      <c r="F1329" s="675" t="s">
        <v>3776</v>
      </c>
      <c r="G1329" s="676">
        <v>340</v>
      </c>
      <c r="H1329" s="676" t="s">
        <v>1981</v>
      </c>
      <c r="I1329" s="676">
        <v>42374.2</v>
      </c>
      <c r="J1329" s="676"/>
      <c r="K1329" s="676" t="s">
        <v>3777</v>
      </c>
      <c r="L1329" s="677"/>
      <c r="M1329" s="678"/>
      <c r="X1329" s="656"/>
      <c r="Y1329" s="657"/>
      <c r="Z1329" s="657"/>
      <c r="AA1329" s="481"/>
      <c r="AC1329" s="456" t="s">
        <v>1979</v>
      </c>
      <c r="AD1329" s="522"/>
      <c r="AE1329" s="699"/>
      <c r="AF1329" s="456"/>
      <c r="AG1329" s="699"/>
      <c r="AH1329" s="481"/>
      <c r="AJ1329" s="481"/>
    </row>
    <row r="1330" spans="1:36" s="454" customFormat="1" ht="34.5" x14ac:dyDescent="0.25">
      <c r="A1330" s="507"/>
      <c r="B1330" s="674" t="s">
        <v>1663</v>
      </c>
      <c r="C1330" s="2672" t="s">
        <v>1664</v>
      </c>
      <c r="D1330" s="2672"/>
      <c r="E1330" s="2672"/>
      <c r="F1330" s="675" t="s">
        <v>3778</v>
      </c>
      <c r="G1330" s="676">
        <v>111.99</v>
      </c>
      <c r="H1330" s="676" t="s">
        <v>1666</v>
      </c>
      <c r="I1330" s="676">
        <v>87.35</v>
      </c>
      <c r="J1330" s="676"/>
      <c r="K1330" s="676" t="s">
        <v>3779</v>
      </c>
      <c r="L1330" s="677"/>
      <c r="M1330" s="678"/>
      <c r="X1330" s="656"/>
      <c r="Y1330" s="657"/>
      <c r="Z1330" s="657"/>
      <c r="AA1330" s="481"/>
      <c r="AC1330" s="456" t="s">
        <v>1664</v>
      </c>
      <c r="AD1330" s="522"/>
      <c r="AE1330" s="699"/>
      <c r="AF1330" s="456"/>
      <c r="AG1330" s="699"/>
      <c r="AH1330" s="481"/>
      <c r="AJ1330" s="481"/>
    </row>
    <row r="1331" spans="1:36" s="454" customFormat="1" ht="23.25" x14ac:dyDescent="0.25">
      <c r="A1331" s="507"/>
      <c r="B1331" s="674" t="s">
        <v>1985</v>
      </c>
      <c r="C1331" s="2672" t="s">
        <v>1986</v>
      </c>
      <c r="D1331" s="2672"/>
      <c r="E1331" s="2672"/>
      <c r="F1331" s="675" t="s">
        <v>3780</v>
      </c>
      <c r="G1331" s="676">
        <v>26.5</v>
      </c>
      <c r="H1331" s="676" t="s">
        <v>1988</v>
      </c>
      <c r="I1331" s="676">
        <v>252.02</v>
      </c>
      <c r="J1331" s="676"/>
      <c r="K1331" s="676" t="s">
        <v>3781</v>
      </c>
      <c r="L1331" s="677"/>
      <c r="M1331" s="678"/>
      <c r="X1331" s="656"/>
      <c r="Y1331" s="657"/>
      <c r="Z1331" s="657"/>
      <c r="AA1331" s="481"/>
      <c r="AC1331" s="456" t="s">
        <v>1986</v>
      </c>
      <c r="AD1331" s="522"/>
      <c r="AE1331" s="699"/>
      <c r="AF1331" s="456"/>
      <c r="AG1331" s="699"/>
      <c r="AH1331" s="481"/>
      <c r="AJ1331" s="481"/>
    </row>
    <row r="1332" spans="1:36" s="454" customFormat="1" ht="34.5" x14ac:dyDescent="0.25">
      <c r="A1332" s="507"/>
      <c r="B1332" s="674" t="s">
        <v>821</v>
      </c>
      <c r="C1332" s="2672" t="s">
        <v>1751</v>
      </c>
      <c r="D1332" s="2672"/>
      <c r="E1332" s="2672"/>
      <c r="F1332" s="675" t="s">
        <v>3782</v>
      </c>
      <c r="G1332" s="676">
        <v>65.709999999999994</v>
      </c>
      <c r="H1332" s="676" t="s">
        <v>1753</v>
      </c>
      <c r="I1332" s="676">
        <v>76.88</v>
      </c>
      <c r="J1332" s="676"/>
      <c r="K1332" s="676" t="s">
        <v>3783</v>
      </c>
      <c r="L1332" s="677"/>
      <c r="M1332" s="678"/>
      <c r="X1332" s="656"/>
      <c r="Y1332" s="657"/>
      <c r="Z1332" s="657"/>
      <c r="AA1332" s="481"/>
      <c r="AC1332" s="456" t="s">
        <v>1751</v>
      </c>
      <c r="AD1332" s="522"/>
      <c r="AE1332" s="699"/>
      <c r="AF1332" s="456"/>
      <c r="AG1332" s="699"/>
      <c r="AH1332" s="481"/>
      <c r="AJ1332" s="481"/>
    </row>
    <row r="1333" spans="1:36" s="454" customFormat="1" ht="23.25" x14ac:dyDescent="0.25">
      <c r="A1333" s="515" t="s">
        <v>863</v>
      </c>
      <c r="B1333" s="686" t="s">
        <v>1992</v>
      </c>
      <c r="C1333" s="2683" t="s">
        <v>1993</v>
      </c>
      <c r="D1333" s="2683"/>
      <c r="E1333" s="2683"/>
      <c r="F1333" s="687" t="s">
        <v>3784</v>
      </c>
      <c r="G1333" s="688">
        <v>0</v>
      </c>
      <c r="H1333" s="688"/>
      <c r="I1333" s="688">
        <v>0</v>
      </c>
      <c r="J1333" s="688"/>
      <c r="K1333" s="688"/>
      <c r="L1333" s="689"/>
      <c r="M1333" s="690"/>
      <c r="X1333" s="656"/>
      <c r="Y1333" s="657"/>
      <c r="Z1333" s="657"/>
      <c r="AA1333" s="481"/>
      <c r="AC1333" s="456"/>
      <c r="AD1333" s="522" t="s">
        <v>1993</v>
      </c>
      <c r="AE1333" s="699"/>
      <c r="AF1333" s="456"/>
      <c r="AG1333" s="699"/>
      <c r="AH1333" s="481"/>
      <c r="AJ1333" s="481"/>
    </row>
    <row r="1334" spans="1:36" s="454" customFormat="1" ht="57" x14ac:dyDescent="0.25">
      <c r="A1334" s="507"/>
      <c r="B1334" s="674" t="s">
        <v>1995</v>
      </c>
      <c r="C1334" s="2672" t="s">
        <v>1996</v>
      </c>
      <c r="D1334" s="2672"/>
      <c r="E1334" s="2672"/>
      <c r="F1334" s="675" t="s">
        <v>3785</v>
      </c>
      <c r="G1334" s="676">
        <v>183.68</v>
      </c>
      <c r="H1334" s="676"/>
      <c r="I1334" s="676">
        <v>214.17</v>
      </c>
      <c r="J1334" s="676"/>
      <c r="K1334" s="676"/>
      <c r="L1334" s="677"/>
      <c r="M1334" s="678"/>
      <c r="X1334" s="656"/>
      <c r="Y1334" s="657"/>
      <c r="Z1334" s="657"/>
      <c r="AA1334" s="481"/>
      <c r="AC1334" s="456" t="s">
        <v>1996</v>
      </c>
      <c r="AD1334" s="522"/>
      <c r="AE1334" s="699"/>
      <c r="AF1334" s="456"/>
      <c r="AG1334" s="699"/>
      <c r="AH1334" s="481"/>
      <c r="AJ1334" s="481"/>
    </row>
    <row r="1335" spans="1:36" s="454" customFormat="1" ht="23.25" x14ac:dyDescent="0.25">
      <c r="A1335" s="515" t="s">
        <v>863</v>
      </c>
      <c r="B1335" s="686" t="s">
        <v>1998</v>
      </c>
      <c r="C1335" s="2683" t="s">
        <v>1999</v>
      </c>
      <c r="D1335" s="2683"/>
      <c r="E1335" s="2683"/>
      <c r="F1335" s="687" t="s">
        <v>3786</v>
      </c>
      <c r="G1335" s="688">
        <v>0</v>
      </c>
      <c r="H1335" s="688"/>
      <c r="I1335" s="688">
        <v>0</v>
      </c>
      <c r="J1335" s="688"/>
      <c r="K1335" s="688"/>
      <c r="L1335" s="689"/>
      <c r="M1335" s="690"/>
      <c r="X1335" s="656"/>
      <c r="Y1335" s="657"/>
      <c r="Z1335" s="657"/>
      <c r="AA1335" s="481"/>
      <c r="AC1335" s="456"/>
      <c r="AD1335" s="522" t="s">
        <v>1999</v>
      </c>
      <c r="AE1335" s="699"/>
      <c r="AF1335" s="456"/>
      <c r="AG1335" s="699"/>
      <c r="AH1335" s="481"/>
      <c r="AJ1335" s="481"/>
    </row>
    <row r="1336" spans="1:36" s="454" customFormat="1" ht="22.5" x14ac:dyDescent="0.25">
      <c r="A1336" s="515" t="s">
        <v>860</v>
      </c>
      <c r="B1336" s="686" t="s">
        <v>2001</v>
      </c>
      <c r="C1336" s="2683" t="s">
        <v>2002</v>
      </c>
      <c r="D1336" s="2683"/>
      <c r="E1336" s="2683"/>
      <c r="F1336" s="687" t="s">
        <v>1935</v>
      </c>
      <c r="G1336" s="688">
        <v>0</v>
      </c>
      <c r="H1336" s="688"/>
      <c r="I1336" s="688">
        <v>0</v>
      </c>
      <c r="J1336" s="688"/>
      <c r="K1336" s="688"/>
      <c r="L1336" s="689"/>
      <c r="M1336" s="690"/>
      <c r="X1336" s="656"/>
      <c r="Y1336" s="657"/>
      <c r="Z1336" s="657"/>
      <c r="AA1336" s="481"/>
      <c r="AC1336" s="456"/>
      <c r="AD1336" s="522" t="s">
        <v>2002</v>
      </c>
      <c r="AE1336" s="699"/>
      <c r="AF1336" s="456"/>
      <c r="AG1336" s="699"/>
      <c r="AH1336" s="481"/>
      <c r="AJ1336" s="481"/>
    </row>
    <row r="1337" spans="1:36" s="454" customFormat="1" ht="45" x14ac:dyDescent="0.25">
      <c r="A1337" s="658" t="s">
        <v>1540</v>
      </c>
      <c r="B1337" s="659" t="s">
        <v>2026</v>
      </c>
      <c r="C1337" s="2673" t="s">
        <v>1254</v>
      </c>
      <c r="D1337" s="2673"/>
      <c r="E1337" s="2673"/>
      <c r="F1337" s="680">
        <v>3.6</v>
      </c>
      <c r="G1337" s="661">
        <v>480</v>
      </c>
      <c r="H1337" s="661"/>
      <c r="I1337" s="661">
        <v>1728</v>
      </c>
      <c r="J1337" s="661"/>
      <c r="K1337" s="662"/>
      <c r="L1337" s="663">
        <v>0</v>
      </c>
      <c r="M1337" s="663">
        <v>0</v>
      </c>
      <c r="X1337" s="656"/>
      <c r="Y1337" s="657"/>
      <c r="Z1337" s="657"/>
      <c r="AA1337" s="481" t="s">
        <v>1254</v>
      </c>
      <c r="AC1337" s="456"/>
      <c r="AD1337" s="522"/>
      <c r="AE1337" s="699"/>
      <c r="AF1337" s="456"/>
      <c r="AG1337" s="699"/>
      <c r="AH1337" s="481"/>
      <c r="AJ1337" s="481"/>
    </row>
    <row r="1338" spans="1:36" s="454" customFormat="1" ht="15" x14ac:dyDescent="0.25">
      <c r="A1338" s="664"/>
      <c r="B1338" s="665"/>
      <c r="C1338" s="666" t="s">
        <v>3787</v>
      </c>
      <c r="D1338" s="667"/>
      <c r="E1338" s="667"/>
      <c r="F1338" s="667"/>
      <c r="G1338" s="667"/>
      <c r="H1338" s="667"/>
      <c r="I1338" s="667"/>
      <c r="J1338" s="667"/>
      <c r="K1338" s="667"/>
      <c r="L1338" s="667"/>
      <c r="M1338" s="668"/>
      <c r="X1338" s="656"/>
      <c r="Y1338" s="657"/>
      <c r="Z1338" s="657"/>
      <c r="AA1338" s="481"/>
      <c r="AC1338" s="456"/>
      <c r="AD1338" s="522"/>
      <c r="AE1338" s="699"/>
      <c r="AF1338" s="456"/>
      <c r="AG1338" s="699"/>
      <c r="AH1338" s="481"/>
      <c r="AJ1338" s="481"/>
    </row>
    <row r="1339" spans="1:36" s="454" customFormat="1" ht="45" x14ac:dyDescent="0.25">
      <c r="A1339" s="658" t="s">
        <v>1542</v>
      </c>
      <c r="B1339" s="659" t="s">
        <v>2028</v>
      </c>
      <c r="C1339" s="2673" t="s">
        <v>1257</v>
      </c>
      <c r="D1339" s="2673"/>
      <c r="E1339" s="2673"/>
      <c r="F1339" s="680">
        <v>2.5</v>
      </c>
      <c r="G1339" s="661">
        <v>2.44</v>
      </c>
      <c r="H1339" s="661"/>
      <c r="I1339" s="661">
        <v>6</v>
      </c>
      <c r="J1339" s="661"/>
      <c r="K1339" s="662"/>
      <c r="L1339" s="663">
        <v>0</v>
      </c>
      <c r="M1339" s="663">
        <v>0</v>
      </c>
      <c r="X1339" s="656"/>
      <c r="Y1339" s="657"/>
      <c r="Z1339" s="657"/>
      <c r="AA1339" s="481" t="s">
        <v>1257</v>
      </c>
      <c r="AC1339" s="456"/>
      <c r="AD1339" s="522"/>
      <c r="AE1339" s="699"/>
      <c r="AF1339" s="456"/>
      <c r="AG1339" s="699"/>
      <c r="AH1339" s="481"/>
      <c r="AJ1339" s="481"/>
    </row>
    <row r="1340" spans="1:36" s="454" customFormat="1" ht="15" x14ac:dyDescent="0.25">
      <c r="A1340" s="664"/>
      <c r="B1340" s="665"/>
      <c r="C1340" s="666" t="s">
        <v>3788</v>
      </c>
      <c r="D1340" s="667"/>
      <c r="E1340" s="667"/>
      <c r="F1340" s="667"/>
      <c r="G1340" s="667"/>
      <c r="H1340" s="667"/>
      <c r="I1340" s="667"/>
      <c r="J1340" s="667"/>
      <c r="K1340" s="667"/>
      <c r="L1340" s="667"/>
      <c r="M1340" s="668"/>
      <c r="X1340" s="656"/>
      <c r="Y1340" s="657"/>
      <c r="Z1340" s="657"/>
      <c r="AA1340" s="481"/>
      <c r="AC1340" s="456"/>
      <c r="AD1340" s="522"/>
      <c r="AE1340" s="699"/>
      <c r="AF1340" s="456"/>
      <c r="AG1340" s="699"/>
      <c r="AH1340" s="481"/>
      <c r="AJ1340" s="481"/>
    </row>
    <row r="1341" spans="1:36" s="454" customFormat="1" ht="45.75" x14ac:dyDescent="0.25">
      <c r="A1341" s="658" t="s">
        <v>1544</v>
      </c>
      <c r="B1341" s="659" t="s">
        <v>2030</v>
      </c>
      <c r="C1341" s="2673" t="s">
        <v>2031</v>
      </c>
      <c r="D1341" s="2673"/>
      <c r="E1341" s="2673"/>
      <c r="F1341" s="680">
        <v>1.2</v>
      </c>
      <c r="G1341" s="661" t="s">
        <v>2032</v>
      </c>
      <c r="H1341" s="661" t="s">
        <v>2033</v>
      </c>
      <c r="I1341" s="661">
        <v>13432</v>
      </c>
      <c r="J1341" s="661">
        <v>1801</v>
      </c>
      <c r="K1341" s="662" t="s">
        <v>3789</v>
      </c>
      <c r="L1341" s="671">
        <v>156.04499999999999</v>
      </c>
      <c r="M1341" s="672">
        <v>187.25</v>
      </c>
      <c r="X1341" s="656"/>
      <c r="Y1341" s="657"/>
      <c r="Z1341" s="657"/>
      <c r="AA1341" s="481" t="s">
        <v>2031</v>
      </c>
      <c r="AC1341" s="456"/>
      <c r="AD1341" s="522"/>
      <c r="AE1341" s="699"/>
      <c r="AF1341" s="456"/>
      <c r="AG1341" s="699"/>
      <c r="AH1341" s="481"/>
      <c r="AJ1341" s="481"/>
    </row>
    <row r="1342" spans="1:36" s="454" customFormat="1" ht="15" x14ac:dyDescent="0.25">
      <c r="A1342" s="664"/>
      <c r="B1342" s="665"/>
      <c r="C1342" s="666" t="s">
        <v>3790</v>
      </c>
      <c r="D1342" s="667"/>
      <c r="E1342" s="667"/>
      <c r="F1342" s="667"/>
      <c r="G1342" s="667"/>
      <c r="H1342" s="667"/>
      <c r="I1342" s="667"/>
      <c r="J1342" s="667"/>
      <c r="K1342" s="667"/>
      <c r="L1342" s="667"/>
      <c r="M1342" s="668"/>
      <c r="X1342" s="656"/>
      <c r="Y1342" s="657"/>
      <c r="Z1342" s="657"/>
      <c r="AA1342" s="481"/>
      <c r="AC1342" s="456"/>
      <c r="AD1342" s="522"/>
      <c r="AE1342" s="699"/>
      <c r="AF1342" s="456"/>
      <c r="AG1342" s="699"/>
      <c r="AH1342" s="481"/>
      <c r="AJ1342" s="481"/>
    </row>
    <row r="1343" spans="1:36" s="454" customFormat="1" ht="15" x14ac:dyDescent="0.25">
      <c r="A1343" s="542"/>
      <c r="B1343" s="665"/>
      <c r="C1343" s="666" t="s">
        <v>2036</v>
      </c>
      <c r="D1343" s="667"/>
      <c r="E1343" s="667"/>
      <c r="F1343" s="667"/>
      <c r="G1343" s="667"/>
      <c r="H1343" s="667"/>
      <c r="I1343" s="667"/>
      <c r="J1343" s="667"/>
      <c r="K1343" s="667"/>
      <c r="L1343" s="667"/>
      <c r="M1343" s="669"/>
      <c r="X1343" s="656"/>
      <c r="Y1343" s="657"/>
      <c r="Z1343" s="657"/>
      <c r="AA1343" s="481"/>
      <c r="AC1343" s="456"/>
      <c r="AD1343" s="522"/>
      <c r="AE1343" s="699"/>
      <c r="AF1343" s="456"/>
      <c r="AG1343" s="699"/>
      <c r="AH1343" s="481"/>
      <c r="AJ1343" s="481"/>
    </row>
    <row r="1344" spans="1:36" s="454" customFormat="1" ht="33.75" x14ac:dyDescent="0.25">
      <c r="A1344" s="542"/>
      <c r="B1344" s="673" t="s">
        <v>1655</v>
      </c>
      <c r="C1344" s="2670" t="s">
        <v>1656</v>
      </c>
      <c r="D1344" s="2670"/>
      <c r="E1344" s="2670"/>
      <c r="F1344" s="2670"/>
      <c r="G1344" s="2670"/>
      <c r="H1344" s="2670"/>
      <c r="I1344" s="2670"/>
      <c r="J1344" s="2670"/>
      <c r="K1344" s="2670"/>
      <c r="L1344" s="2670"/>
      <c r="M1344" s="2671"/>
      <c r="X1344" s="656"/>
      <c r="Y1344" s="657"/>
      <c r="Z1344" s="657"/>
      <c r="AA1344" s="481"/>
      <c r="AB1344" s="491" t="s">
        <v>1656</v>
      </c>
      <c r="AC1344" s="456"/>
      <c r="AD1344" s="522"/>
      <c r="AE1344" s="699"/>
      <c r="AF1344" s="456"/>
      <c r="AG1344" s="699"/>
      <c r="AH1344" s="481"/>
      <c r="AJ1344" s="481"/>
    </row>
    <row r="1345" spans="1:36" s="454" customFormat="1" ht="15" x14ac:dyDescent="0.25">
      <c r="A1345" s="823"/>
      <c r="B1345" s="824"/>
      <c r="C1345" s="824"/>
      <c r="D1345" s="824"/>
      <c r="E1345" s="825" t="s">
        <v>3791</v>
      </c>
      <c r="F1345" s="826"/>
      <c r="G1345" s="827"/>
      <c r="H1345" s="648"/>
      <c r="I1345" s="828">
        <v>2515</v>
      </c>
      <c r="J1345" s="829"/>
      <c r="K1345" s="829"/>
      <c r="L1345" s="830"/>
      <c r="M1345" s="831"/>
      <c r="X1345" s="656"/>
      <c r="Y1345" s="657"/>
      <c r="Z1345" s="657"/>
      <c r="AA1345" s="481"/>
      <c r="AC1345" s="456"/>
      <c r="AD1345" s="522"/>
      <c r="AE1345" s="699"/>
      <c r="AF1345" s="456"/>
      <c r="AG1345" s="699"/>
      <c r="AH1345" s="481"/>
      <c r="AJ1345" s="481"/>
    </row>
    <row r="1346" spans="1:36" s="454" customFormat="1" ht="15" x14ac:dyDescent="0.25">
      <c r="A1346" s="823"/>
      <c r="B1346" s="824"/>
      <c r="C1346" s="824"/>
      <c r="D1346" s="824"/>
      <c r="E1346" s="825" t="s">
        <v>3792</v>
      </c>
      <c r="F1346" s="826"/>
      <c r="G1346" s="827"/>
      <c r="H1346" s="648"/>
      <c r="I1346" s="828">
        <v>1735</v>
      </c>
      <c r="J1346" s="829"/>
      <c r="K1346" s="829"/>
      <c r="L1346" s="830"/>
      <c r="M1346" s="831"/>
      <c r="X1346" s="656"/>
      <c r="Y1346" s="657"/>
      <c r="Z1346" s="657"/>
      <c r="AA1346" s="481"/>
      <c r="AC1346" s="456"/>
      <c r="AD1346" s="522"/>
      <c r="AE1346" s="699"/>
      <c r="AF1346" s="456"/>
      <c r="AG1346" s="699"/>
      <c r="AH1346" s="481"/>
      <c r="AJ1346" s="481"/>
    </row>
    <row r="1347" spans="1:36" s="454" customFormat="1" ht="15" x14ac:dyDescent="0.25">
      <c r="A1347" s="823"/>
      <c r="B1347" s="824"/>
      <c r="C1347" s="824"/>
      <c r="D1347" s="824"/>
      <c r="E1347" s="825" t="s">
        <v>2692</v>
      </c>
      <c r="F1347" s="826"/>
      <c r="G1347" s="827"/>
      <c r="H1347" s="648"/>
      <c r="I1347" s="828">
        <v>17682</v>
      </c>
      <c r="J1347" s="829"/>
      <c r="K1347" s="829"/>
      <c r="L1347" s="830"/>
      <c r="M1347" s="831"/>
      <c r="X1347" s="656"/>
      <c r="Y1347" s="657"/>
      <c r="Z1347" s="657"/>
      <c r="AA1347" s="481"/>
      <c r="AC1347" s="456"/>
      <c r="AD1347" s="522"/>
      <c r="AE1347" s="699"/>
      <c r="AF1347" s="456"/>
      <c r="AG1347" s="699"/>
      <c r="AH1347" s="481"/>
      <c r="AJ1347" s="481"/>
    </row>
    <row r="1348" spans="1:36" s="454" customFormat="1" ht="23.25" x14ac:dyDescent="0.25">
      <c r="A1348" s="507"/>
      <c r="B1348" s="674" t="s">
        <v>1883</v>
      </c>
      <c r="C1348" s="2672" t="s">
        <v>1884</v>
      </c>
      <c r="D1348" s="2672"/>
      <c r="E1348" s="2672"/>
      <c r="F1348" s="675" t="s">
        <v>3793</v>
      </c>
      <c r="G1348" s="676" t="s">
        <v>1886</v>
      </c>
      <c r="H1348" s="676"/>
      <c r="I1348" s="676">
        <v>1801.35</v>
      </c>
      <c r="J1348" s="676">
        <v>1801.35</v>
      </c>
      <c r="K1348" s="676"/>
      <c r="L1348" s="677"/>
      <c r="M1348" s="678"/>
      <c r="X1348" s="656"/>
      <c r="Y1348" s="657"/>
      <c r="Z1348" s="657"/>
      <c r="AA1348" s="481"/>
      <c r="AC1348" s="456" t="s">
        <v>1884</v>
      </c>
      <c r="AD1348" s="522"/>
      <c r="AE1348" s="699"/>
      <c r="AF1348" s="456"/>
      <c r="AG1348" s="699"/>
      <c r="AH1348" s="481"/>
      <c r="AJ1348" s="481"/>
    </row>
    <row r="1349" spans="1:36" s="454" customFormat="1" ht="23.25" x14ac:dyDescent="0.25">
      <c r="A1349" s="507"/>
      <c r="B1349" s="674" t="s">
        <v>639</v>
      </c>
      <c r="C1349" s="2672" t="s">
        <v>1661</v>
      </c>
      <c r="D1349" s="2672"/>
      <c r="E1349" s="2672"/>
      <c r="F1349" s="675" t="s">
        <v>3794</v>
      </c>
      <c r="G1349" s="676">
        <v>0</v>
      </c>
      <c r="H1349" s="676">
        <v>0</v>
      </c>
      <c r="I1349" s="676">
        <v>0</v>
      </c>
      <c r="J1349" s="676"/>
      <c r="K1349" s="676">
        <v>0</v>
      </c>
      <c r="L1349" s="677"/>
      <c r="M1349" s="678"/>
      <c r="X1349" s="656"/>
      <c r="Y1349" s="657"/>
      <c r="Z1349" s="657"/>
      <c r="AA1349" s="481"/>
      <c r="AC1349" s="456" t="s">
        <v>1661</v>
      </c>
      <c r="AD1349" s="522"/>
      <c r="AE1349" s="699"/>
      <c r="AF1349" s="456"/>
      <c r="AG1349" s="699"/>
      <c r="AH1349" s="481"/>
      <c r="AJ1349" s="481"/>
    </row>
    <row r="1350" spans="1:36" s="454" customFormat="1" ht="45.75" x14ac:dyDescent="0.25">
      <c r="A1350" s="507"/>
      <c r="B1350" s="674" t="s">
        <v>2039</v>
      </c>
      <c r="C1350" s="2672" t="s">
        <v>2040</v>
      </c>
      <c r="D1350" s="2672"/>
      <c r="E1350" s="2672"/>
      <c r="F1350" s="675" t="s">
        <v>3795</v>
      </c>
      <c r="G1350" s="676">
        <v>179.46</v>
      </c>
      <c r="H1350" s="676" t="s">
        <v>2042</v>
      </c>
      <c r="I1350" s="676">
        <v>1552.33</v>
      </c>
      <c r="J1350" s="676"/>
      <c r="K1350" s="676" t="s">
        <v>3796</v>
      </c>
      <c r="L1350" s="677"/>
      <c r="M1350" s="678"/>
      <c r="X1350" s="656"/>
      <c r="Y1350" s="657"/>
      <c r="Z1350" s="657"/>
      <c r="AA1350" s="481"/>
      <c r="AC1350" s="456" t="s">
        <v>2040</v>
      </c>
      <c r="AD1350" s="522"/>
      <c r="AE1350" s="699"/>
      <c r="AF1350" s="456"/>
      <c r="AG1350" s="699"/>
      <c r="AH1350" s="481"/>
      <c r="AJ1350" s="481"/>
    </row>
    <row r="1351" spans="1:36" s="454" customFormat="1" ht="34.5" x14ac:dyDescent="0.25">
      <c r="A1351" s="507"/>
      <c r="B1351" s="674" t="s">
        <v>1663</v>
      </c>
      <c r="C1351" s="2672" t="s">
        <v>1664</v>
      </c>
      <c r="D1351" s="2672"/>
      <c r="E1351" s="2672"/>
      <c r="F1351" s="675" t="s">
        <v>3797</v>
      </c>
      <c r="G1351" s="676">
        <v>111.99</v>
      </c>
      <c r="H1351" s="676" t="s">
        <v>1666</v>
      </c>
      <c r="I1351" s="676">
        <v>25.76</v>
      </c>
      <c r="J1351" s="676"/>
      <c r="K1351" s="676" t="s">
        <v>3798</v>
      </c>
      <c r="L1351" s="677"/>
      <c r="M1351" s="678"/>
      <c r="X1351" s="656"/>
      <c r="Y1351" s="657"/>
      <c r="Z1351" s="657"/>
      <c r="AA1351" s="481"/>
      <c r="AC1351" s="456" t="s">
        <v>1664</v>
      </c>
      <c r="AD1351" s="522"/>
      <c r="AE1351" s="699"/>
      <c r="AF1351" s="456"/>
      <c r="AG1351" s="699"/>
      <c r="AH1351" s="481"/>
      <c r="AJ1351" s="481"/>
    </row>
    <row r="1352" spans="1:36" s="454" customFormat="1" ht="34.5" x14ac:dyDescent="0.25">
      <c r="A1352" s="507"/>
      <c r="B1352" s="674" t="s">
        <v>2046</v>
      </c>
      <c r="C1352" s="2672" t="s">
        <v>2047</v>
      </c>
      <c r="D1352" s="2672"/>
      <c r="E1352" s="2672"/>
      <c r="F1352" s="675" t="s">
        <v>3799</v>
      </c>
      <c r="G1352" s="676">
        <v>6.9</v>
      </c>
      <c r="H1352" s="676" t="s">
        <v>2049</v>
      </c>
      <c r="I1352" s="676">
        <v>30.98</v>
      </c>
      <c r="J1352" s="676"/>
      <c r="K1352" s="676" t="s">
        <v>3800</v>
      </c>
      <c r="L1352" s="677"/>
      <c r="M1352" s="678"/>
      <c r="X1352" s="656"/>
      <c r="Y1352" s="657"/>
      <c r="Z1352" s="657"/>
      <c r="AA1352" s="481"/>
      <c r="AC1352" s="456" t="s">
        <v>2047</v>
      </c>
      <c r="AD1352" s="522"/>
      <c r="AE1352" s="699"/>
      <c r="AF1352" s="456"/>
      <c r="AG1352" s="699"/>
      <c r="AH1352" s="481"/>
      <c r="AJ1352" s="481"/>
    </row>
    <row r="1353" spans="1:36" s="454" customFormat="1" ht="34.5" x14ac:dyDescent="0.25">
      <c r="A1353" s="507"/>
      <c r="B1353" s="674" t="s">
        <v>2051</v>
      </c>
      <c r="C1353" s="2672" t="s">
        <v>2052</v>
      </c>
      <c r="D1353" s="2672"/>
      <c r="E1353" s="2672"/>
      <c r="F1353" s="675" t="s">
        <v>3801</v>
      </c>
      <c r="G1353" s="676">
        <v>80.349999999999994</v>
      </c>
      <c r="H1353" s="676" t="s">
        <v>2054</v>
      </c>
      <c r="I1353" s="676">
        <v>3575.58</v>
      </c>
      <c r="J1353" s="676"/>
      <c r="K1353" s="676" t="s">
        <v>3802</v>
      </c>
      <c r="L1353" s="677"/>
      <c r="M1353" s="678"/>
      <c r="X1353" s="656"/>
      <c r="Y1353" s="657"/>
      <c r="Z1353" s="657"/>
      <c r="AA1353" s="481"/>
      <c r="AC1353" s="456" t="s">
        <v>2052</v>
      </c>
      <c r="AD1353" s="522"/>
      <c r="AE1353" s="699"/>
      <c r="AF1353" s="456"/>
      <c r="AG1353" s="699"/>
      <c r="AH1353" s="481"/>
      <c r="AJ1353" s="481"/>
    </row>
    <row r="1354" spans="1:36" s="454" customFormat="1" ht="34.5" x14ac:dyDescent="0.25">
      <c r="A1354" s="507"/>
      <c r="B1354" s="674" t="s">
        <v>821</v>
      </c>
      <c r="C1354" s="2672" t="s">
        <v>1751</v>
      </c>
      <c r="D1354" s="2672"/>
      <c r="E1354" s="2672"/>
      <c r="F1354" s="675" t="s">
        <v>3803</v>
      </c>
      <c r="G1354" s="676">
        <v>65.709999999999994</v>
      </c>
      <c r="H1354" s="676" t="s">
        <v>1753</v>
      </c>
      <c r="I1354" s="676">
        <v>34.83</v>
      </c>
      <c r="J1354" s="676"/>
      <c r="K1354" s="676" t="s">
        <v>3804</v>
      </c>
      <c r="L1354" s="677"/>
      <c r="M1354" s="678"/>
      <c r="X1354" s="656"/>
      <c r="Y1354" s="657"/>
      <c r="Z1354" s="657"/>
      <c r="AA1354" s="481"/>
      <c r="AC1354" s="456" t="s">
        <v>1751</v>
      </c>
      <c r="AD1354" s="522"/>
      <c r="AE1354" s="699"/>
      <c r="AF1354" s="456"/>
      <c r="AG1354" s="699"/>
      <c r="AH1354" s="481"/>
      <c r="AJ1354" s="481"/>
    </row>
    <row r="1355" spans="1:36" s="454" customFormat="1" ht="23.25" x14ac:dyDescent="0.25">
      <c r="A1355" s="515" t="s">
        <v>860</v>
      </c>
      <c r="B1355" s="686" t="s">
        <v>1755</v>
      </c>
      <c r="C1355" s="2683" t="s">
        <v>1257</v>
      </c>
      <c r="D1355" s="2683"/>
      <c r="E1355" s="2683"/>
      <c r="F1355" s="687" t="s">
        <v>1935</v>
      </c>
      <c r="G1355" s="688">
        <v>2.44</v>
      </c>
      <c r="H1355" s="688"/>
      <c r="I1355" s="688">
        <v>0</v>
      </c>
      <c r="J1355" s="688"/>
      <c r="K1355" s="688"/>
      <c r="L1355" s="689"/>
      <c r="M1355" s="690"/>
      <c r="X1355" s="656"/>
      <c r="Y1355" s="657"/>
      <c r="Z1355" s="657"/>
      <c r="AA1355" s="481"/>
      <c r="AC1355" s="456"/>
      <c r="AD1355" s="522" t="s">
        <v>1257</v>
      </c>
      <c r="AE1355" s="699"/>
      <c r="AF1355" s="456"/>
      <c r="AG1355" s="699"/>
      <c r="AH1355" s="481"/>
      <c r="AJ1355" s="481"/>
    </row>
    <row r="1356" spans="1:36" s="454" customFormat="1" ht="23.25" x14ac:dyDescent="0.25">
      <c r="A1356" s="507"/>
      <c r="B1356" s="674" t="s">
        <v>2058</v>
      </c>
      <c r="C1356" s="2672" t="s">
        <v>2059</v>
      </c>
      <c r="D1356" s="2672"/>
      <c r="E1356" s="2672"/>
      <c r="F1356" s="675" t="s">
        <v>3549</v>
      </c>
      <c r="G1356" s="676">
        <v>30030</v>
      </c>
      <c r="H1356" s="676"/>
      <c r="I1356" s="676">
        <v>3</v>
      </c>
      <c r="J1356" s="676"/>
      <c r="K1356" s="676"/>
      <c r="L1356" s="677"/>
      <c r="M1356" s="678"/>
      <c r="X1356" s="656"/>
      <c r="Y1356" s="657"/>
      <c r="Z1356" s="657"/>
      <c r="AA1356" s="481"/>
      <c r="AC1356" s="456" t="s">
        <v>2059</v>
      </c>
      <c r="AD1356" s="522"/>
      <c r="AE1356" s="699"/>
      <c r="AF1356" s="456"/>
      <c r="AG1356" s="699"/>
      <c r="AH1356" s="481"/>
      <c r="AJ1356" s="481"/>
    </row>
    <row r="1357" spans="1:36" s="454" customFormat="1" ht="23.25" x14ac:dyDescent="0.25">
      <c r="A1357" s="507"/>
      <c r="B1357" s="674" t="s">
        <v>1823</v>
      </c>
      <c r="C1357" s="2672" t="s">
        <v>1824</v>
      </c>
      <c r="D1357" s="2672"/>
      <c r="E1357" s="2672"/>
      <c r="F1357" s="675" t="s">
        <v>3805</v>
      </c>
      <c r="G1357" s="676">
        <v>9040.01</v>
      </c>
      <c r="H1357" s="676"/>
      <c r="I1357" s="676">
        <v>21.7</v>
      </c>
      <c r="J1357" s="676"/>
      <c r="K1357" s="676"/>
      <c r="L1357" s="677"/>
      <c r="M1357" s="678"/>
      <c r="X1357" s="656"/>
      <c r="Y1357" s="657"/>
      <c r="Z1357" s="657"/>
      <c r="AA1357" s="481"/>
      <c r="AC1357" s="456" t="s">
        <v>1824</v>
      </c>
      <c r="AD1357" s="522"/>
      <c r="AE1357" s="699"/>
      <c r="AF1357" s="456"/>
      <c r="AG1357" s="699"/>
      <c r="AH1357" s="481"/>
      <c r="AJ1357" s="481"/>
    </row>
    <row r="1358" spans="1:36" s="454" customFormat="1" ht="45.75" x14ac:dyDescent="0.25">
      <c r="A1358" s="507"/>
      <c r="B1358" s="674" t="s">
        <v>2062</v>
      </c>
      <c r="C1358" s="2672" t="s">
        <v>2063</v>
      </c>
      <c r="D1358" s="2672"/>
      <c r="E1358" s="2672"/>
      <c r="F1358" s="675" t="s">
        <v>3806</v>
      </c>
      <c r="G1358" s="676">
        <v>67.099999999999994</v>
      </c>
      <c r="H1358" s="676"/>
      <c r="I1358" s="676">
        <v>80.52</v>
      </c>
      <c r="J1358" s="676"/>
      <c r="K1358" s="676"/>
      <c r="L1358" s="677"/>
      <c r="M1358" s="678"/>
      <c r="X1358" s="656"/>
      <c r="Y1358" s="657"/>
      <c r="Z1358" s="657"/>
      <c r="AA1358" s="481"/>
      <c r="AC1358" s="456" t="s">
        <v>2063</v>
      </c>
      <c r="AD1358" s="522"/>
      <c r="AE1358" s="699"/>
      <c r="AF1358" s="456"/>
      <c r="AG1358" s="699"/>
      <c r="AH1358" s="481"/>
      <c r="AJ1358" s="481"/>
    </row>
    <row r="1359" spans="1:36" s="454" customFormat="1" ht="23.25" x14ac:dyDescent="0.25">
      <c r="A1359" s="515" t="s">
        <v>860</v>
      </c>
      <c r="B1359" s="686" t="s">
        <v>2065</v>
      </c>
      <c r="C1359" s="2683" t="s">
        <v>2066</v>
      </c>
      <c r="D1359" s="2683"/>
      <c r="E1359" s="2683"/>
      <c r="F1359" s="687" t="s">
        <v>1935</v>
      </c>
      <c r="G1359" s="688">
        <v>0</v>
      </c>
      <c r="H1359" s="688"/>
      <c r="I1359" s="688">
        <v>0</v>
      </c>
      <c r="J1359" s="688"/>
      <c r="K1359" s="688"/>
      <c r="L1359" s="689"/>
      <c r="M1359" s="690"/>
      <c r="X1359" s="656"/>
      <c r="Y1359" s="657"/>
      <c r="Z1359" s="657"/>
      <c r="AA1359" s="481"/>
      <c r="AC1359" s="456"/>
      <c r="AD1359" s="522" t="s">
        <v>2066</v>
      </c>
      <c r="AE1359" s="699"/>
      <c r="AF1359" s="456"/>
      <c r="AG1359" s="699"/>
      <c r="AH1359" s="481"/>
      <c r="AJ1359" s="481"/>
    </row>
    <row r="1360" spans="1:36" s="454" customFormat="1" ht="34.5" x14ac:dyDescent="0.25">
      <c r="A1360" s="515" t="s">
        <v>860</v>
      </c>
      <c r="B1360" s="686" t="s">
        <v>2067</v>
      </c>
      <c r="C1360" s="2683" t="s">
        <v>2068</v>
      </c>
      <c r="D1360" s="2683"/>
      <c r="E1360" s="2683"/>
      <c r="F1360" s="687" t="s">
        <v>1935</v>
      </c>
      <c r="G1360" s="688">
        <v>412</v>
      </c>
      <c r="H1360" s="688"/>
      <c r="I1360" s="688">
        <v>0</v>
      </c>
      <c r="J1360" s="688"/>
      <c r="K1360" s="688"/>
      <c r="L1360" s="689"/>
      <c r="M1360" s="690"/>
      <c r="X1360" s="656"/>
      <c r="Y1360" s="657"/>
      <c r="Z1360" s="657"/>
      <c r="AA1360" s="481"/>
      <c r="AC1360" s="456"/>
      <c r="AD1360" s="522" t="s">
        <v>2068</v>
      </c>
      <c r="AE1360" s="699"/>
      <c r="AF1360" s="456"/>
      <c r="AG1360" s="699"/>
      <c r="AH1360" s="481"/>
      <c r="AJ1360" s="481"/>
    </row>
    <row r="1361" spans="1:36" s="454" customFormat="1" ht="45.75" x14ac:dyDescent="0.25">
      <c r="A1361" s="507" t="s">
        <v>2069</v>
      </c>
      <c r="B1361" s="674" t="s">
        <v>2070</v>
      </c>
      <c r="C1361" s="2672" t="s">
        <v>2071</v>
      </c>
      <c r="D1361" s="2672"/>
      <c r="E1361" s="2672"/>
      <c r="F1361" s="675" t="s">
        <v>3807</v>
      </c>
      <c r="G1361" s="676">
        <v>1553</v>
      </c>
      <c r="H1361" s="676"/>
      <c r="I1361" s="676">
        <v>2422.6799999999998</v>
      </c>
      <c r="J1361" s="676"/>
      <c r="K1361" s="676"/>
      <c r="L1361" s="677"/>
      <c r="M1361" s="678"/>
      <c r="X1361" s="656"/>
      <c r="Y1361" s="657"/>
      <c r="Z1361" s="657"/>
      <c r="AA1361" s="481"/>
      <c r="AC1361" s="456"/>
      <c r="AD1361" s="522"/>
      <c r="AE1361" s="699"/>
      <c r="AF1361" s="456" t="s">
        <v>2071</v>
      </c>
      <c r="AG1361" s="699"/>
      <c r="AH1361" s="481"/>
      <c r="AJ1361" s="481"/>
    </row>
    <row r="1362" spans="1:36" s="454" customFormat="1" ht="45.75" x14ac:dyDescent="0.25">
      <c r="A1362" s="693" t="s">
        <v>1936</v>
      </c>
      <c r="B1362" s="694" t="s">
        <v>2070</v>
      </c>
      <c r="C1362" s="2684" t="s">
        <v>2071</v>
      </c>
      <c r="D1362" s="2684"/>
      <c r="E1362" s="2684"/>
      <c r="F1362" s="695" t="s">
        <v>3808</v>
      </c>
      <c r="G1362" s="696">
        <v>1553</v>
      </c>
      <c r="H1362" s="696"/>
      <c r="I1362" s="696">
        <v>24226.799999999999</v>
      </c>
      <c r="J1362" s="696"/>
      <c r="K1362" s="696"/>
      <c r="L1362" s="697"/>
      <c r="M1362" s="698"/>
      <c r="X1362" s="656"/>
      <c r="Y1362" s="657"/>
      <c r="Z1362" s="657"/>
      <c r="AA1362" s="481"/>
      <c r="AC1362" s="456"/>
      <c r="AD1362" s="522"/>
      <c r="AE1362" s="699"/>
      <c r="AF1362" s="456"/>
      <c r="AG1362" s="699" t="s">
        <v>2071</v>
      </c>
      <c r="AH1362" s="481"/>
      <c r="AJ1362" s="481"/>
    </row>
    <row r="1363" spans="1:36" s="454" customFormat="1" ht="23.25" x14ac:dyDescent="0.25">
      <c r="A1363" s="515" t="s">
        <v>863</v>
      </c>
      <c r="B1363" s="686" t="s">
        <v>2074</v>
      </c>
      <c r="C1363" s="2683" t="s">
        <v>2075</v>
      </c>
      <c r="D1363" s="2683"/>
      <c r="E1363" s="2683"/>
      <c r="F1363" s="687" t="s">
        <v>3809</v>
      </c>
      <c r="G1363" s="688">
        <v>0</v>
      </c>
      <c r="H1363" s="688"/>
      <c r="I1363" s="688">
        <v>0</v>
      </c>
      <c r="J1363" s="688"/>
      <c r="K1363" s="688"/>
      <c r="L1363" s="689"/>
      <c r="M1363" s="690"/>
      <c r="X1363" s="656"/>
      <c r="Y1363" s="657"/>
      <c r="Z1363" s="657"/>
      <c r="AA1363" s="481"/>
      <c r="AC1363" s="456"/>
      <c r="AD1363" s="522" t="s">
        <v>2075</v>
      </c>
      <c r="AE1363" s="699"/>
      <c r="AF1363" s="456"/>
      <c r="AG1363" s="699"/>
      <c r="AH1363" s="481"/>
      <c r="AJ1363" s="481"/>
    </row>
    <row r="1364" spans="1:36" s="454" customFormat="1" ht="23.25" x14ac:dyDescent="0.25">
      <c r="A1364" s="507"/>
      <c r="B1364" s="674" t="s">
        <v>2077</v>
      </c>
      <c r="C1364" s="2672" t="s">
        <v>2078</v>
      </c>
      <c r="D1364" s="2672"/>
      <c r="E1364" s="2672"/>
      <c r="F1364" s="675" t="s">
        <v>3810</v>
      </c>
      <c r="G1364" s="676">
        <v>176.1</v>
      </c>
      <c r="H1364" s="676"/>
      <c r="I1364" s="676">
        <v>169.06</v>
      </c>
      <c r="J1364" s="676"/>
      <c r="K1364" s="676"/>
      <c r="L1364" s="677"/>
      <c r="M1364" s="678"/>
      <c r="X1364" s="656"/>
      <c r="Y1364" s="657"/>
      <c r="Z1364" s="657"/>
      <c r="AA1364" s="481"/>
      <c r="AC1364" s="456" t="s">
        <v>2078</v>
      </c>
      <c r="AD1364" s="522"/>
      <c r="AE1364" s="699"/>
      <c r="AF1364" s="456"/>
      <c r="AG1364" s="699"/>
      <c r="AH1364" s="481"/>
      <c r="AJ1364" s="481"/>
    </row>
    <row r="1365" spans="1:36" s="454" customFormat="1" ht="23.25" x14ac:dyDescent="0.25">
      <c r="A1365" s="507"/>
      <c r="B1365" s="674" t="s">
        <v>2080</v>
      </c>
      <c r="C1365" s="2672" t="s">
        <v>2081</v>
      </c>
      <c r="D1365" s="2672"/>
      <c r="E1365" s="2672"/>
      <c r="F1365" s="675" t="s">
        <v>3811</v>
      </c>
      <c r="G1365" s="676">
        <v>207.8</v>
      </c>
      <c r="H1365" s="676"/>
      <c r="I1365" s="676">
        <v>194.5</v>
      </c>
      <c r="J1365" s="676"/>
      <c r="K1365" s="676"/>
      <c r="L1365" s="677"/>
      <c r="M1365" s="678"/>
      <c r="X1365" s="656"/>
      <c r="Y1365" s="657"/>
      <c r="Z1365" s="657"/>
      <c r="AA1365" s="481"/>
      <c r="AC1365" s="456" t="s">
        <v>2081</v>
      </c>
      <c r="AD1365" s="522"/>
      <c r="AE1365" s="699"/>
      <c r="AF1365" s="456"/>
      <c r="AG1365" s="699"/>
      <c r="AH1365" s="481"/>
      <c r="AJ1365" s="481"/>
    </row>
    <row r="1366" spans="1:36" s="454" customFormat="1" ht="23.25" x14ac:dyDescent="0.25">
      <c r="A1366" s="507"/>
      <c r="B1366" s="674" t="s">
        <v>2083</v>
      </c>
      <c r="C1366" s="2672" t="s">
        <v>2084</v>
      </c>
      <c r="D1366" s="2672"/>
      <c r="E1366" s="2672"/>
      <c r="F1366" s="675" t="s">
        <v>3812</v>
      </c>
      <c r="G1366" s="676">
        <v>3468.64</v>
      </c>
      <c r="H1366" s="676"/>
      <c r="I1366" s="676">
        <v>832.47</v>
      </c>
      <c r="J1366" s="676"/>
      <c r="K1366" s="676"/>
      <c r="L1366" s="677"/>
      <c r="M1366" s="678"/>
      <c r="X1366" s="656"/>
      <c r="Y1366" s="657"/>
      <c r="Z1366" s="657"/>
      <c r="AA1366" s="481"/>
      <c r="AC1366" s="456" t="s">
        <v>2084</v>
      </c>
      <c r="AD1366" s="522"/>
      <c r="AE1366" s="699"/>
      <c r="AF1366" s="456"/>
      <c r="AG1366" s="699"/>
      <c r="AH1366" s="481"/>
      <c r="AJ1366" s="481"/>
    </row>
    <row r="1367" spans="1:36" s="454" customFormat="1" ht="23.25" x14ac:dyDescent="0.25">
      <c r="A1367" s="515" t="s">
        <v>863</v>
      </c>
      <c r="B1367" s="686" t="s">
        <v>2086</v>
      </c>
      <c r="C1367" s="2683" t="s">
        <v>2087</v>
      </c>
      <c r="D1367" s="2683"/>
      <c r="E1367" s="2683"/>
      <c r="F1367" s="687" t="s">
        <v>3813</v>
      </c>
      <c r="G1367" s="688">
        <v>0</v>
      </c>
      <c r="H1367" s="688"/>
      <c r="I1367" s="688">
        <v>0</v>
      </c>
      <c r="J1367" s="688"/>
      <c r="K1367" s="688"/>
      <c r="L1367" s="689"/>
      <c r="M1367" s="690"/>
      <c r="X1367" s="656"/>
      <c r="Y1367" s="657"/>
      <c r="Z1367" s="657"/>
      <c r="AA1367" s="481"/>
      <c r="AC1367" s="456"/>
      <c r="AD1367" s="522" t="s">
        <v>2087</v>
      </c>
      <c r="AE1367" s="699"/>
      <c r="AF1367" s="456"/>
      <c r="AG1367" s="699"/>
      <c r="AH1367" s="481"/>
      <c r="AJ1367" s="481"/>
    </row>
    <row r="1368" spans="1:36" s="454" customFormat="1" ht="34.5" x14ac:dyDescent="0.25">
      <c r="A1368" s="507"/>
      <c r="B1368" s="674" t="s">
        <v>2089</v>
      </c>
      <c r="C1368" s="2672" t="s">
        <v>2090</v>
      </c>
      <c r="D1368" s="2672"/>
      <c r="E1368" s="2672"/>
      <c r="F1368" s="675" t="s">
        <v>3814</v>
      </c>
      <c r="G1368" s="676">
        <v>11.99</v>
      </c>
      <c r="H1368" s="676"/>
      <c r="I1368" s="676">
        <v>43.16</v>
      </c>
      <c r="J1368" s="676"/>
      <c r="K1368" s="676"/>
      <c r="L1368" s="677"/>
      <c r="M1368" s="678"/>
      <c r="X1368" s="656"/>
      <c r="Y1368" s="657"/>
      <c r="Z1368" s="657"/>
      <c r="AA1368" s="481"/>
      <c r="AC1368" s="456" t="s">
        <v>2090</v>
      </c>
      <c r="AD1368" s="522"/>
      <c r="AE1368" s="699"/>
      <c r="AF1368" s="456"/>
      <c r="AG1368" s="699"/>
      <c r="AH1368" s="481"/>
      <c r="AJ1368" s="481"/>
    </row>
    <row r="1369" spans="1:36" s="454" customFormat="1" ht="45.75" x14ac:dyDescent="0.25">
      <c r="A1369" s="507"/>
      <c r="B1369" s="674" t="s">
        <v>2092</v>
      </c>
      <c r="C1369" s="2672" t="s">
        <v>2093</v>
      </c>
      <c r="D1369" s="2672"/>
      <c r="E1369" s="2672"/>
      <c r="F1369" s="675" t="s">
        <v>3815</v>
      </c>
      <c r="G1369" s="676">
        <v>272.62</v>
      </c>
      <c r="H1369" s="676"/>
      <c r="I1369" s="676">
        <v>16.36</v>
      </c>
      <c r="J1369" s="676"/>
      <c r="K1369" s="676"/>
      <c r="L1369" s="677"/>
      <c r="M1369" s="678"/>
      <c r="X1369" s="656"/>
      <c r="Y1369" s="657"/>
      <c r="Z1369" s="657"/>
      <c r="AA1369" s="481"/>
      <c r="AC1369" s="456" t="s">
        <v>2093</v>
      </c>
      <c r="AD1369" s="522"/>
      <c r="AE1369" s="699"/>
      <c r="AF1369" s="456"/>
      <c r="AG1369" s="699"/>
      <c r="AH1369" s="481"/>
      <c r="AJ1369" s="481"/>
    </row>
    <row r="1370" spans="1:36" s="454" customFormat="1" ht="57" x14ac:dyDescent="0.25">
      <c r="A1370" s="507"/>
      <c r="B1370" s="674" t="s">
        <v>2095</v>
      </c>
      <c r="C1370" s="2672" t="s">
        <v>2096</v>
      </c>
      <c r="D1370" s="2672"/>
      <c r="E1370" s="2672"/>
      <c r="F1370" s="675" t="s">
        <v>3816</v>
      </c>
      <c r="G1370" s="676">
        <v>156.83000000000001</v>
      </c>
      <c r="H1370" s="676"/>
      <c r="I1370" s="676">
        <v>18.82</v>
      </c>
      <c r="J1370" s="676"/>
      <c r="K1370" s="676"/>
      <c r="L1370" s="677"/>
      <c r="M1370" s="678"/>
      <c r="X1370" s="656"/>
      <c r="Y1370" s="657"/>
      <c r="Z1370" s="657"/>
      <c r="AA1370" s="481"/>
      <c r="AC1370" s="456" t="s">
        <v>2096</v>
      </c>
      <c r="AD1370" s="522"/>
      <c r="AE1370" s="699"/>
      <c r="AF1370" s="456"/>
      <c r="AG1370" s="699"/>
      <c r="AH1370" s="481"/>
      <c r="AJ1370" s="481"/>
    </row>
    <row r="1371" spans="1:36" s="454" customFormat="1" ht="23.25" x14ac:dyDescent="0.25">
      <c r="A1371" s="515" t="s">
        <v>863</v>
      </c>
      <c r="B1371" s="686" t="s">
        <v>2098</v>
      </c>
      <c r="C1371" s="2683" t="s">
        <v>2099</v>
      </c>
      <c r="D1371" s="2683"/>
      <c r="E1371" s="2683"/>
      <c r="F1371" s="687" t="s">
        <v>3817</v>
      </c>
      <c r="G1371" s="688">
        <v>0</v>
      </c>
      <c r="H1371" s="688"/>
      <c r="I1371" s="688">
        <v>0</v>
      </c>
      <c r="J1371" s="688"/>
      <c r="K1371" s="688"/>
      <c r="L1371" s="689"/>
      <c r="M1371" s="690"/>
      <c r="X1371" s="656"/>
      <c r="Y1371" s="657"/>
      <c r="Z1371" s="657"/>
      <c r="AA1371" s="481"/>
      <c r="AC1371" s="456"/>
      <c r="AD1371" s="522" t="s">
        <v>2099</v>
      </c>
      <c r="AE1371" s="699"/>
      <c r="AF1371" s="456"/>
      <c r="AG1371" s="699"/>
      <c r="AH1371" s="481"/>
      <c r="AJ1371" s="481"/>
    </row>
    <row r="1372" spans="1:36" s="454" customFormat="1" ht="45" x14ac:dyDescent="0.25">
      <c r="A1372" s="658" t="s">
        <v>1547</v>
      </c>
      <c r="B1372" s="659" t="s">
        <v>2026</v>
      </c>
      <c r="C1372" s="2673" t="s">
        <v>1254</v>
      </c>
      <c r="D1372" s="2673"/>
      <c r="E1372" s="2673"/>
      <c r="F1372" s="670">
        <v>6</v>
      </c>
      <c r="G1372" s="661">
        <v>480</v>
      </c>
      <c r="H1372" s="661"/>
      <c r="I1372" s="661">
        <v>2880</v>
      </c>
      <c r="J1372" s="661"/>
      <c r="K1372" s="662"/>
      <c r="L1372" s="663">
        <v>0</v>
      </c>
      <c r="M1372" s="663">
        <v>0</v>
      </c>
      <c r="X1372" s="656"/>
      <c r="Y1372" s="657"/>
      <c r="Z1372" s="657"/>
      <c r="AA1372" s="481" t="s">
        <v>1254</v>
      </c>
      <c r="AC1372" s="456"/>
      <c r="AD1372" s="522"/>
      <c r="AE1372" s="699"/>
      <c r="AF1372" s="456"/>
      <c r="AG1372" s="699"/>
      <c r="AH1372" s="481"/>
      <c r="AJ1372" s="481"/>
    </row>
    <row r="1373" spans="1:36" s="454" customFormat="1" ht="15" x14ac:dyDescent="0.25">
      <c r="A1373" s="664"/>
      <c r="B1373" s="665"/>
      <c r="C1373" s="666" t="s">
        <v>3818</v>
      </c>
      <c r="D1373" s="667"/>
      <c r="E1373" s="667"/>
      <c r="F1373" s="667"/>
      <c r="G1373" s="667"/>
      <c r="H1373" s="667"/>
      <c r="I1373" s="667"/>
      <c r="J1373" s="667"/>
      <c r="K1373" s="667"/>
      <c r="L1373" s="667"/>
      <c r="M1373" s="668"/>
      <c r="X1373" s="656"/>
      <c r="Y1373" s="657"/>
      <c r="Z1373" s="657"/>
      <c r="AA1373" s="481"/>
      <c r="AC1373" s="456"/>
      <c r="AD1373" s="522"/>
      <c r="AE1373" s="699"/>
      <c r="AF1373" s="456"/>
      <c r="AG1373" s="699"/>
      <c r="AH1373" s="481"/>
      <c r="AJ1373" s="481"/>
    </row>
    <row r="1374" spans="1:36" s="454" customFormat="1" ht="45" x14ac:dyDescent="0.25">
      <c r="A1374" s="658" t="s">
        <v>1549</v>
      </c>
      <c r="B1374" s="659" t="s">
        <v>2028</v>
      </c>
      <c r="C1374" s="2673" t="s">
        <v>1257</v>
      </c>
      <c r="D1374" s="2673"/>
      <c r="E1374" s="2673"/>
      <c r="F1374" s="680">
        <v>2.4</v>
      </c>
      <c r="G1374" s="661">
        <v>2.44</v>
      </c>
      <c r="H1374" s="661"/>
      <c r="I1374" s="661">
        <v>6</v>
      </c>
      <c r="J1374" s="661"/>
      <c r="K1374" s="662"/>
      <c r="L1374" s="663">
        <v>0</v>
      </c>
      <c r="M1374" s="663">
        <v>0</v>
      </c>
      <c r="X1374" s="656"/>
      <c r="Y1374" s="657"/>
      <c r="Z1374" s="657"/>
      <c r="AA1374" s="481" t="s">
        <v>1257</v>
      </c>
      <c r="AC1374" s="456"/>
      <c r="AD1374" s="522"/>
      <c r="AE1374" s="699"/>
      <c r="AF1374" s="456"/>
      <c r="AG1374" s="699"/>
      <c r="AH1374" s="481"/>
      <c r="AJ1374" s="481"/>
    </row>
    <row r="1375" spans="1:36" s="454" customFormat="1" ht="15" x14ac:dyDescent="0.25">
      <c r="A1375" s="664"/>
      <c r="B1375" s="665"/>
      <c r="C1375" s="666" t="s">
        <v>3819</v>
      </c>
      <c r="D1375" s="667"/>
      <c r="E1375" s="667"/>
      <c r="F1375" s="667"/>
      <c r="G1375" s="667"/>
      <c r="H1375" s="667"/>
      <c r="I1375" s="667"/>
      <c r="J1375" s="667"/>
      <c r="K1375" s="667"/>
      <c r="L1375" s="667"/>
      <c r="M1375" s="668"/>
      <c r="X1375" s="656"/>
      <c r="Y1375" s="657"/>
      <c r="Z1375" s="657"/>
      <c r="AA1375" s="481"/>
      <c r="AC1375" s="456"/>
      <c r="AD1375" s="522"/>
      <c r="AE1375" s="699"/>
      <c r="AF1375" s="456"/>
      <c r="AG1375" s="699"/>
      <c r="AH1375" s="481"/>
      <c r="AJ1375" s="481"/>
    </row>
    <row r="1376" spans="1:36" s="454" customFormat="1" ht="34.5" x14ac:dyDescent="0.25">
      <c r="A1376" s="658" t="s">
        <v>1551</v>
      </c>
      <c r="B1376" s="659" t="s">
        <v>1370</v>
      </c>
      <c r="C1376" s="2673" t="s">
        <v>1268</v>
      </c>
      <c r="D1376" s="2673"/>
      <c r="E1376" s="2673"/>
      <c r="F1376" s="670">
        <v>4</v>
      </c>
      <c r="G1376" s="661" t="s">
        <v>2103</v>
      </c>
      <c r="H1376" s="661"/>
      <c r="I1376" s="661">
        <v>9572</v>
      </c>
      <c r="J1376" s="661"/>
      <c r="K1376" s="662"/>
      <c r="L1376" s="663">
        <v>0</v>
      </c>
      <c r="M1376" s="663">
        <v>0</v>
      </c>
      <c r="X1376" s="656"/>
      <c r="Y1376" s="657"/>
      <c r="Z1376" s="657"/>
      <c r="AA1376" s="481" t="s">
        <v>1268</v>
      </c>
      <c r="AC1376" s="456"/>
      <c r="AD1376" s="522"/>
      <c r="AE1376" s="699"/>
      <c r="AF1376" s="456"/>
      <c r="AG1376" s="699"/>
      <c r="AH1376" s="481"/>
      <c r="AJ1376" s="481"/>
    </row>
    <row r="1377" spans="1:36" s="454" customFormat="1" ht="15" x14ac:dyDescent="0.25">
      <c r="A1377" s="664"/>
      <c r="B1377" s="665"/>
      <c r="C1377" s="666" t="s">
        <v>3648</v>
      </c>
      <c r="D1377" s="667"/>
      <c r="E1377" s="667"/>
      <c r="F1377" s="667"/>
      <c r="G1377" s="667"/>
      <c r="H1377" s="667"/>
      <c r="I1377" s="667"/>
      <c r="J1377" s="667"/>
      <c r="K1377" s="667"/>
      <c r="L1377" s="667"/>
      <c r="M1377" s="668"/>
      <c r="X1377" s="656"/>
      <c r="Y1377" s="657"/>
      <c r="Z1377" s="657"/>
      <c r="AA1377" s="481"/>
      <c r="AC1377" s="456"/>
      <c r="AD1377" s="522"/>
      <c r="AE1377" s="699"/>
      <c r="AF1377" s="456"/>
      <c r="AG1377" s="699"/>
      <c r="AH1377" s="481"/>
      <c r="AJ1377" s="481"/>
    </row>
    <row r="1378" spans="1:36" s="454" customFormat="1" ht="15" x14ac:dyDescent="0.25">
      <c r="A1378" s="542"/>
      <c r="B1378" s="665"/>
      <c r="C1378" s="666" t="s">
        <v>2105</v>
      </c>
      <c r="D1378" s="667"/>
      <c r="E1378" s="667"/>
      <c r="F1378" s="667"/>
      <c r="G1378" s="667"/>
      <c r="H1378" s="667"/>
      <c r="I1378" s="667"/>
      <c r="J1378" s="667"/>
      <c r="K1378" s="667"/>
      <c r="L1378" s="667"/>
      <c r="M1378" s="669"/>
      <c r="X1378" s="656"/>
      <c r="Y1378" s="657"/>
      <c r="Z1378" s="657"/>
      <c r="AA1378" s="481"/>
      <c r="AC1378" s="456"/>
      <c r="AD1378" s="522"/>
      <c r="AE1378" s="699"/>
      <c r="AF1378" s="456"/>
      <c r="AG1378" s="699"/>
      <c r="AH1378" s="481"/>
      <c r="AJ1378" s="481"/>
    </row>
    <row r="1379" spans="1:36" s="454" customFormat="1" ht="34.5" x14ac:dyDescent="0.25">
      <c r="A1379" s="658" t="s">
        <v>1552</v>
      </c>
      <c r="B1379" s="659" t="s">
        <v>1372</v>
      </c>
      <c r="C1379" s="2673" t="s">
        <v>1273</v>
      </c>
      <c r="D1379" s="2673"/>
      <c r="E1379" s="2673"/>
      <c r="F1379" s="670">
        <v>36</v>
      </c>
      <c r="G1379" s="661" t="s">
        <v>2106</v>
      </c>
      <c r="H1379" s="661"/>
      <c r="I1379" s="661">
        <v>61983</v>
      </c>
      <c r="J1379" s="661"/>
      <c r="K1379" s="662"/>
      <c r="L1379" s="663">
        <v>0</v>
      </c>
      <c r="M1379" s="663">
        <v>0</v>
      </c>
      <c r="X1379" s="656"/>
      <c r="Y1379" s="657"/>
      <c r="Z1379" s="657"/>
      <c r="AA1379" s="481" t="s">
        <v>1273</v>
      </c>
      <c r="AC1379" s="456"/>
      <c r="AD1379" s="522"/>
      <c r="AE1379" s="699"/>
      <c r="AF1379" s="456"/>
      <c r="AG1379" s="699"/>
      <c r="AH1379" s="481"/>
      <c r="AJ1379" s="481"/>
    </row>
    <row r="1380" spans="1:36" s="454" customFormat="1" ht="15" x14ac:dyDescent="0.25">
      <c r="A1380" s="664"/>
      <c r="B1380" s="665"/>
      <c r="C1380" s="666" t="s">
        <v>3820</v>
      </c>
      <c r="D1380" s="667"/>
      <c r="E1380" s="667"/>
      <c r="F1380" s="667"/>
      <c r="G1380" s="667"/>
      <c r="H1380" s="667"/>
      <c r="I1380" s="667"/>
      <c r="J1380" s="667"/>
      <c r="K1380" s="667"/>
      <c r="L1380" s="667"/>
      <c r="M1380" s="668"/>
      <c r="X1380" s="656"/>
      <c r="Y1380" s="657"/>
      <c r="Z1380" s="657"/>
      <c r="AA1380" s="481"/>
      <c r="AC1380" s="456"/>
      <c r="AD1380" s="522"/>
      <c r="AE1380" s="699"/>
      <c r="AF1380" s="456"/>
      <c r="AG1380" s="699"/>
      <c r="AH1380" s="481"/>
      <c r="AJ1380" s="481"/>
    </row>
    <row r="1381" spans="1:36" s="454" customFormat="1" ht="15" x14ac:dyDescent="0.25">
      <c r="A1381" s="542"/>
      <c r="B1381" s="665"/>
      <c r="C1381" s="666" t="s">
        <v>2108</v>
      </c>
      <c r="D1381" s="667"/>
      <c r="E1381" s="667"/>
      <c r="F1381" s="667"/>
      <c r="G1381" s="667"/>
      <c r="H1381" s="667"/>
      <c r="I1381" s="667"/>
      <c r="J1381" s="667"/>
      <c r="K1381" s="667"/>
      <c r="L1381" s="667"/>
      <c r="M1381" s="669"/>
      <c r="X1381" s="656"/>
      <c r="Y1381" s="657"/>
      <c r="Z1381" s="657"/>
      <c r="AA1381" s="481"/>
      <c r="AC1381" s="456"/>
      <c r="AD1381" s="522"/>
      <c r="AE1381" s="699"/>
      <c r="AF1381" s="456"/>
      <c r="AG1381" s="699"/>
      <c r="AH1381" s="481"/>
      <c r="AJ1381" s="481"/>
    </row>
    <row r="1382" spans="1:36" s="454" customFormat="1" ht="34.5" x14ac:dyDescent="0.25">
      <c r="A1382" s="658" t="s">
        <v>1554</v>
      </c>
      <c r="B1382" s="659" t="s">
        <v>1375</v>
      </c>
      <c r="C1382" s="2673" t="s">
        <v>1277</v>
      </c>
      <c r="D1382" s="2673"/>
      <c r="E1382" s="2673"/>
      <c r="F1382" s="670">
        <v>76</v>
      </c>
      <c r="G1382" s="661" t="s">
        <v>2109</v>
      </c>
      <c r="H1382" s="661"/>
      <c r="I1382" s="661">
        <v>35032</v>
      </c>
      <c r="J1382" s="661"/>
      <c r="K1382" s="662"/>
      <c r="L1382" s="663">
        <v>0</v>
      </c>
      <c r="M1382" s="663">
        <v>0</v>
      </c>
      <c r="X1382" s="656"/>
      <c r="Y1382" s="657"/>
      <c r="Z1382" s="657"/>
      <c r="AA1382" s="481" t="s">
        <v>1277</v>
      </c>
      <c r="AC1382" s="456"/>
      <c r="AD1382" s="522"/>
      <c r="AE1382" s="699"/>
      <c r="AF1382" s="456"/>
      <c r="AG1382" s="699"/>
      <c r="AH1382" s="481"/>
      <c r="AJ1382" s="481"/>
    </row>
    <row r="1383" spans="1:36" s="454" customFormat="1" ht="15" x14ac:dyDescent="0.25">
      <c r="A1383" s="664"/>
      <c r="B1383" s="665"/>
      <c r="C1383" s="666" t="s">
        <v>3821</v>
      </c>
      <c r="D1383" s="667"/>
      <c r="E1383" s="667"/>
      <c r="F1383" s="667"/>
      <c r="G1383" s="667"/>
      <c r="H1383" s="667"/>
      <c r="I1383" s="667"/>
      <c r="J1383" s="667"/>
      <c r="K1383" s="667"/>
      <c r="L1383" s="667"/>
      <c r="M1383" s="668"/>
      <c r="X1383" s="656"/>
      <c r="Y1383" s="657"/>
      <c r="Z1383" s="657"/>
      <c r="AA1383" s="481"/>
      <c r="AC1383" s="456"/>
      <c r="AD1383" s="522"/>
      <c r="AE1383" s="699"/>
      <c r="AF1383" s="456"/>
      <c r="AG1383" s="699"/>
      <c r="AH1383" s="481"/>
      <c r="AJ1383" s="481"/>
    </row>
    <row r="1384" spans="1:36" s="454" customFormat="1" ht="15" x14ac:dyDescent="0.25">
      <c r="A1384" s="542"/>
      <c r="B1384" s="665"/>
      <c r="C1384" s="666" t="s">
        <v>2111</v>
      </c>
      <c r="D1384" s="667"/>
      <c r="E1384" s="667"/>
      <c r="F1384" s="667"/>
      <c r="G1384" s="667"/>
      <c r="H1384" s="667"/>
      <c r="I1384" s="667"/>
      <c r="J1384" s="667"/>
      <c r="K1384" s="667"/>
      <c r="L1384" s="667"/>
      <c r="M1384" s="669"/>
      <c r="X1384" s="656"/>
      <c r="Y1384" s="657"/>
      <c r="Z1384" s="657"/>
      <c r="AA1384" s="481"/>
      <c r="AC1384" s="456"/>
      <c r="AD1384" s="522"/>
      <c r="AE1384" s="699"/>
      <c r="AF1384" s="456"/>
      <c r="AG1384" s="699"/>
      <c r="AH1384" s="481"/>
      <c r="AJ1384" s="481"/>
    </row>
    <row r="1385" spans="1:36" s="454" customFormat="1" ht="33.75" x14ac:dyDescent="0.25">
      <c r="A1385" s="658" t="s">
        <v>1556</v>
      </c>
      <c r="B1385" s="659" t="s">
        <v>1378</v>
      </c>
      <c r="C1385" s="2673" t="s">
        <v>1281</v>
      </c>
      <c r="D1385" s="2673"/>
      <c r="E1385" s="2673"/>
      <c r="F1385" s="670">
        <v>36</v>
      </c>
      <c r="G1385" s="661" t="s">
        <v>2112</v>
      </c>
      <c r="H1385" s="661"/>
      <c r="I1385" s="661">
        <v>5109</v>
      </c>
      <c r="J1385" s="661"/>
      <c r="K1385" s="662"/>
      <c r="L1385" s="663">
        <v>0</v>
      </c>
      <c r="M1385" s="663">
        <v>0</v>
      </c>
      <c r="X1385" s="656"/>
      <c r="Y1385" s="657"/>
      <c r="Z1385" s="657"/>
      <c r="AA1385" s="481" t="s">
        <v>1281</v>
      </c>
      <c r="AC1385" s="456"/>
      <c r="AD1385" s="522"/>
      <c r="AE1385" s="699"/>
      <c r="AF1385" s="456"/>
      <c r="AG1385" s="699"/>
      <c r="AH1385" s="481"/>
      <c r="AJ1385" s="481"/>
    </row>
    <row r="1386" spans="1:36" s="454" customFormat="1" ht="15" x14ac:dyDescent="0.25">
      <c r="A1386" s="664"/>
      <c r="B1386" s="665"/>
      <c r="C1386" s="666" t="s">
        <v>3820</v>
      </c>
      <c r="D1386" s="667"/>
      <c r="E1386" s="667"/>
      <c r="F1386" s="667"/>
      <c r="G1386" s="667"/>
      <c r="H1386" s="667"/>
      <c r="I1386" s="667"/>
      <c r="J1386" s="667"/>
      <c r="K1386" s="667"/>
      <c r="L1386" s="667"/>
      <c r="M1386" s="668"/>
      <c r="X1386" s="656"/>
      <c r="Y1386" s="657"/>
      <c r="Z1386" s="657"/>
      <c r="AA1386" s="481"/>
      <c r="AC1386" s="456"/>
      <c r="AD1386" s="522"/>
      <c r="AE1386" s="699"/>
      <c r="AF1386" s="456"/>
      <c r="AG1386" s="699"/>
      <c r="AH1386" s="481"/>
      <c r="AJ1386" s="481"/>
    </row>
    <row r="1387" spans="1:36" s="454" customFormat="1" ht="15" x14ac:dyDescent="0.25">
      <c r="A1387" s="542"/>
      <c r="B1387" s="665"/>
      <c r="C1387" s="666" t="s">
        <v>2113</v>
      </c>
      <c r="D1387" s="667"/>
      <c r="E1387" s="667"/>
      <c r="F1387" s="667"/>
      <c r="G1387" s="667"/>
      <c r="H1387" s="667"/>
      <c r="I1387" s="667"/>
      <c r="J1387" s="667"/>
      <c r="K1387" s="667"/>
      <c r="L1387" s="667"/>
      <c r="M1387" s="669"/>
      <c r="X1387" s="656"/>
      <c r="Y1387" s="657"/>
      <c r="Z1387" s="657"/>
      <c r="AA1387" s="481"/>
      <c r="AC1387" s="456"/>
      <c r="AD1387" s="522"/>
      <c r="AE1387" s="699"/>
      <c r="AF1387" s="456"/>
      <c r="AG1387" s="699"/>
      <c r="AH1387" s="481"/>
      <c r="AJ1387" s="481"/>
    </row>
    <row r="1388" spans="1:36" s="454" customFormat="1" ht="34.5" x14ac:dyDescent="0.25">
      <c r="A1388" s="658" t="s">
        <v>1557</v>
      </c>
      <c r="B1388" s="659" t="s">
        <v>1380</v>
      </c>
      <c r="C1388" s="2673" t="s">
        <v>1284</v>
      </c>
      <c r="D1388" s="2673"/>
      <c r="E1388" s="2673"/>
      <c r="F1388" s="670">
        <v>4</v>
      </c>
      <c r="G1388" s="661" t="s">
        <v>2114</v>
      </c>
      <c r="H1388" s="661"/>
      <c r="I1388" s="661">
        <v>6957</v>
      </c>
      <c r="J1388" s="661"/>
      <c r="K1388" s="662"/>
      <c r="L1388" s="663">
        <v>0</v>
      </c>
      <c r="M1388" s="663">
        <v>0</v>
      </c>
      <c r="X1388" s="656"/>
      <c r="Y1388" s="657"/>
      <c r="Z1388" s="657"/>
      <c r="AA1388" s="481" t="s">
        <v>1284</v>
      </c>
      <c r="AC1388" s="456"/>
      <c r="AD1388" s="522"/>
      <c r="AE1388" s="699"/>
      <c r="AF1388" s="456"/>
      <c r="AG1388" s="699"/>
      <c r="AH1388" s="481"/>
      <c r="AJ1388" s="481"/>
    </row>
    <row r="1389" spans="1:36" s="454" customFormat="1" ht="15" x14ac:dyDescent="0.25">
      <c r="A1389" s="664"/>
      <c r="B1389" s="665"/>
      <c r="C1389" s="666" t="s">
        <v>3648</v>
      </c>
      <c r="D1389" s="667"/>
      <c r="E1389" s="667"/>
      <c r="F1389" s="667"/>
      <c r="G1389" s="667"/>
      <c r="H1389" s="667"/>
      <c r="I1389" s="667"/>
      <c r="J1389" s="667"/>
      <c r="K1389" s="667"/>
      <c r="L1389" s="667"/>
      <c r="M1389" s="668"/>
      <c r="X1389" s="656"/>
      <c r="Y1389" s="657"/>
      <c r="Z1389" s="657"/>
      <c r="AA1389" s="481"/>
      <c r="AC1389" s="456"/>
      <c r="AD1389" s="522"/>
      <c r="AE1389" s="699"/>
      <c r="AF1389" s="456"/>
      <c r="AG1389" s="699"/>
      <c r="AH1389" s="481"/>
      <c r="AJ1389" s="481"/>
    </row>
    <row r="1390" spans="1:36" s="454" customFormat="1" ht="15" x14ac:dyDescent="0.25">
      <c r="A1390" s="542"/>
      <c r="B1390" s="665"/>
      <c r="C1390" s="666" t="s">
        <v>2115</v>
      </c>
      <c r="D1390" s="667"/>
      <c r="E1390" s="667"/>
      <c r="F1390" s="667"/>
      <c r="G1390" s="667"/>
      <c r="H1390" s="667"/>
      <c r="I1390" s="667"/>
      <c r="J1390" s="667"/>
      <c r="K1390" s="667"/>
      <c r="L1390" s="667"/>
      <c r="M1390" s="669"/>
      <c r="X1390" s="656"/>
      <c r="Y1390" s="657"/>
      <c r="Z1390" s="657"/>
      <c r="AA1390" s="481"/>
      <c r="AC1390" s="456"/>
      <c r="AD1390" s="522"/>
      <c r="AE1390" s="699"/>
      <c r="AF1390" s="456"/>
      <c r="AG1390" s="699"/>
      <c r="AH1390" s="481"/>
      <c r="AJ1390" s="481"/>
    </row>
    <row r="1391" spans="1:36" s="454" customFormat="1" ht="45.75" x14ac:dyDescent="0.25">
      <c r="A1391" s="658" t="s">
        <v>1558</v>
      </c>
      <c r="B1391" s="659" t="s">
        <v>2116</v>
      </c>
      <c r="C1391" s="2673" t="s">
        <v>2117</v>
      </c>
      <c r="D1391" s="2673"/>
      <c r="E1391" s="2673"/>
      <c r="F1391" s="670">
        <v>40</v>
      </c>
      <c r="G1391" s="661" t="s">
        <v>1288</v>
      </c>
      <c r="H1391" s="661" t="s">
        <v>1289</v>
      </c>
      <c r="I1391" s="661">
        <v>226</v>
      </c>
      <c r="J1391" s="661">
        <v>92</v>
      </c>
      <c r="K1391" s="662" t="s">
        <v>1426</v>
      </c>
      <c r="L1391" s="671">
        <v>0.255</v>
      </c>
      <c r="M1391" s="692">
        <v>10.199999999999999</v>
      </c>
      <c r="X1391" s="656"/>
      <c r="Y1391" s="657"/>
      <c r="Z1391" s="657"/>
      <c r="AA1391" s="481" t="s">
        <v>2117</v>
      </c>
      <c r="AC1391" s="456"/>
      <c r="AD1391" s="522"/>
      <c r="AE1391" s="699"/>
      <c r="AF1391" s="456"/>
      <c r="AG1391" s="699"/>
      <c r="AH1391" s="481"/>
      <c r="AJ1391" s="481"/>
    </row>
    <row r="1392" spans="1:36" s="454" customFormat="1" ht="33.75" x14ac:dyDescent="0.25">
      <c r="A1392" s="542"/>
      <c r="B1392" s="673" t="s">
        <v>1655</v>
      </c>
      <c r="C1392" s="2670" t="s">
        <v>1656</v>
      </c>
      <c r="D1392" s="2670"/>
      <c r="E1392" s="2670"/>
      <c r="F1392" s="2670"/>
      <c r="G1392" s="2670"/>
      <c r="H1392" s="2670"/>
      <c r="I1392" s="2670"/>
      <c r="J1392" s="2670"/>
      <c r="K1392" s="2670"/>
      <c r="L1392" s="2670"/>
      <c r="M1392" s="2671"/>
      <c r="X1392" s="656"/>
      <c r="Y1392" s="657"/>
      <c r="Z1392" s="657"/>
      <c r="AA1392" s="481"/>
      <c r="AB1392" s="491" t="s">
        <v>1656</v>
      </c>
      <c r="AC1392" s="456"/>
      <c r="AD1392" s="522"/>
      <c r="AE1392" s="699"/>
      <c r="AF1392" s="456"/>
      <c r="AG1392" s="699"/>
      <c r="AH1392" s="481"/>
      <c r="AJ1392" s="481"/>
    </row>
    <row r="1393" spans="1:36" s="454" customFormat="1" ht="15" x14ac:dyDescent="0.25">
      <c r="A1393" s="823"/>
      <c r="B1393" s="824"/>
      <c r="C1393" s="824"/>
      <c r="D1393" s="824"/>
      <c r="E1393" s="825" t="s">
        <v>3822</v>
      </c>
      <c r="F1393" s="826"/>
      <c r="G1393" s="827"/>
      <c r="H1393" s="648"/>
      <c r="I1393" s="828">
        <v>119</v>
      </c>
      <c r="J1393" s="829"/>
      <c r="K1393" s="829"/>
      <c r="L1393" s="830"/>
      <c r="M1393" s="831"/>
      <c r="X1393" s="656"/>
      <c r="Y1393" s="657"/>
      <c r="Z1393" s="657"/>
      <c r="AA1393" s="481"/>
      <c r="AC1393" s="456"/>
      <c r="AD1393" s="522"/>
      <c r="AE1393" s="699"/>
      <c r="AF1393" s="456"/>
      <c r="AG1393" s="699"/>
      <c r="AH1393" s="481"/>
      <c r="AJ1393" s="481"/>
    </row>
    <row r="1394" spans="1:36" s="454" customFormat="1" ht="15" x14ac:dyDescent="0.25">
      <c r="A1394" s="823"/>
      <c r="B1394" s="824"/>
      <c r="C1394" s="824"/>
      <c r="D1394" s="824"/>
      <c r="E1394" s="825" t="s">
        <v>3823</v>
      </c>
      <c r="F1394" s="826"/>
      <c r="G1394" s="827"/>
      <c r="H1394" s="648"/>
      <c r="I1394" s="828">
        <v>54</v>
      </c>
      <c r="J1394" s="829"/>
      <c r="K1394" s="829"/>
      <c r="L1394" s="830"/>
      <c r="M1394" s="831"/>
      <c r="X1394" s="656"/>
      <c r="Y1394" s="657"/>
      <c r="Z1394" s="657"/>
      <c r="AA1394" s="481"/>
      <c r="AC1394" s="456"/>
      <c r="AD1394" s="522"/>
      <c r="AE1394" s="699"/>
      <c r="AF1394" s="456"/>
      <c r="AG1394" s="699"/>
      <c r="AH1394" s="481"/>
      <c r="AJ1394" s="481"/>
    </row>
    <row r="1395" spans="1:36" s="454" customFormat="1" ht="15" x14ac:dyDescent="0.25">
      <c r="A1395" s="823"/>
      <c r="B1395" s="824"/>
      <c r="C1395" s="824"/>
      <c r="D1395" s="824"/>
      <c r="E1395" s="825" t="s">
        <v>2692</v>
      </c>
      <c r="F1395" s="826"/>
      <c r="G1395" s="827"/>
      <c r="H1395" s="648"/>
      <c r="I1395" s="828">
        <v>399</v>
      </c>
      <c r="J1395" s="829"/>
      <c r="K1395" s="829"/>
      <c r="L1395" s="830"/>
      <c r="M1395" s="831"/>
      <c r="X1395" s="656"/>
      <c r="Y1395" s="657"/>
      <c r="Z1395" s="657"/>
      <c r="AA1395" s="481"/>
      <c r="AC1395" s="456"/>
      <c r="AD1395" s="522"/>
      <c r="AE1395" s="699"/>
      <c r="AF1395" s="456"/>
      <c r="AG1395" s="699"/>
      <c r="AH1395" s="481"/>
      <c r="AJ1395" s="481"/>
    </row>
    <row r="1396" spans="1:36" s="454" customFormat="1" ht="23.25" x14ac:dyDescent="0.25">
      <c r="A1396" s="507"/>
      <c r="B1396" s="674" t="s">
        <v>2119</v>
      </c>
      <c r="C1396" s="2672" t="s">
        <v>2120</v>
      </c>
      <c r="D1396" s="2672"/>
      <c r="E1396" s="2672"/>
      <c r="F1396" s="675" t="s">
        <v>3824</v>
      </c>
      <c r="G1396" s="676" t="s">
        <v>2122</v>
      </c>
      <c r="H1396" s="676"/>
      <c r="I1396" s="676">
        <v>92.51</v>
      </c>
      <c r="J1396" s="676">
        <v>92.51</v>
      </c>
      <c r="K1396" s="676"/>
      <c r="L1396" s="677"/>
      <c r="M1396" s="678"/>
      <c r="X1396" s="656"/>
      <c r="Y1396" s="657"/>
      <c r="Z1396" s="657"/>
      <c r="AA1396" s="481"/>
      <c r="AC1396" s="456" t="s">
        <v>2120</v>
      </c>
      <c r="AD1396" s="522"/>
      <c r="AE1396" s="699"/>
      <c r="AF1396" s="456"/>
      <c r="AG1396" s="699"/>
      <c r="AH1396" s="481"/>
      <c r="AJ1396" s="481"/>
    </row>
    <row r="1397" spans="1:36" s="454" customFormat="1" ht="23.25" x14ac:dyDescent="0.25">
      <c r="A1397" s="507"/>
      <c r="B1397" s="674" t="s">
        <v>639</v>
      </c>
      <c r="C1397" s="2672" t="s">
        <v>1661</v>
      </c>
      <c r="D1397" s="2672"/>
      <c r="E1397" s="2672"/>
      <c r="F1397" s="675" t="s">
        <v>3825</v>
      </c>
      <c r="G1397" s="676">
        <v>0</v>
      </c>
      <c r="H1397" s="676">
        <v>0</v>
      </c>
      <c r="I1397" s="676">
        <v>0</v>
      </c>
      <c r="J1397" s="676"/>
      <c r="K1397" s="676">
        <v>0</v>
      </c>
      <c r="L1397" s="677"/>
      <c r="M1397" s="678"/>
      <c r="X1397" s="656"/>
      <c r="Y1397" s="657"/>
      <c r="Z1397" s="657"/>
      <c r="AA1397" s="481"/>
      <c r="AC1397" s="456" t="s">
        <v>1661</v>
      </c>
      <c r="AD1397" s="522"/>
      <c r="AE1397" s="699"/>
      <c r="AF1397" s="456"/>
      <c r="AG1397" s="699"/>
      <c r="AH1397" s="481"/>
      <c r="AJ1397" s="481"/>
    </row>
    <row r="1398" spans="1:36" s="454" customFormat="1" ht="34.5" x14ac:dyDescent="0.25">
      <c r="A1398" s="507"/>
      <c r="B1398" s="674" t="s">
        <v>821</v>
      </c>
      <c r="C1398" s="2672" t="s">
        <v>1751</v>
      </c>
      <c r="D1398" s="2672"/>
      <c r="E1398" s="2672"/>
      <c r="F1398" s="675" t="s">
        <v>3826</v>
      </c>
      <c r="G1398" s="676">
        <v>65.709999999999994</v>
      </c>
      <c r="H1398" s="676" t="s">
        <v>1753</v>
      </c>
      <c r="I1398" s="676">
        <v>52.57</v>
      </c>
      <c r="J1398" s="676"/>
      <c r="K1398" s="676" t="s">
        <v>3827</v>
      </c>
      <c r="L1398" s="677"/>
      <c r="M1398" s="678"/>
      <c r="X1398" s="656"/>
      <c r="Y1398" s="657"/>
      <c r="Z1398" s="657"/>
      <c r="AA1398" s="481"/>
      <c r="AC1398" s="456" t="s">
        <v>1751</v>
      </c>
      <c r="AD1398" s="522"/>
      <c r="AE1398" s="699"/>
      <c r="AF1398" s="456"/>
      <c r="AG1398" s="699"/>
      <c r="AH1398" s="481"/>
      <c r="AJ1398" s="481"/>
    </row>
    <row r="1399" spans="1:36" s="454" customFormat="1" ht="23.25" x14ac:dyDescent="0.25">
      <c r="A1399" s="507"/>
      <c r="B1399" s="674" t="s">
        <v>825</v>
      </c>
      <c r="C1399" s="2672" t="s">
        <v>1808</v>
      </c>
      <c r="D1399" s="2672"/>
      <c r="E1399" s="2672"/>
      <c r="F1399" s="675" t="s">
        <v>3828</v>
      </c>
      <c r="G1399" s="676">
        <v>1.2</v>
      </c>
      <c r="H1399" s="676" t="s">
        <v>1810</v>
      </c>
      <c r="I1399" s="676">
        <v>7.2</v>
      </c>
      <c r="J1399" s="676"/>
      <c r="K1399" s="676" t="s">
        <v>3829</v>
      </c>
      <c r="L1399" s="677"/>
      <c r="M1399" s="678"/>
      <c r="X1399" s="656"/>
      <c r="Y1399" s="657"/>
      <c r="Z1399" s="657"/>
      <c r="AA1399" s="481"/>
      <c r="AC1399" s="456" t="s">
        <v>1808</v>
      </c>
      <c r="AD1399" s="522"/>
      <c r="AE1399" s="699"/>
      <c r="AF1399" s="456"/>
      <c r="AG1399" s="699"/>
      <c r="AH1399" s="481"/>
      <c r="AJ1399" s="481"/>
    </row>
    <row r="1400" spans="1:36" s="454" customFormat="1" ht="23.25" x14ac:dyDescent="0.25">
      <c r="A1400" s="507"/>
      <c r="B1400" s="674" t="s">
        <v>830</v>
      </c>
      <c r="C1400" s="2672" t="s">
        <v>1816</v>
      </c>
      <c r="D1400" s="2672"/>
      <c r="E1400" s="2672"/>
      <c r="F1400" s="675" t="s">
        <v>3828</v>
      </c>
      <c r="G1400" s="676">
        <v>6.22</v>
      </c>
      <c r="H1400" s="676"/>
      <c r="I1400" s="676">
        <v>37.32</v>
      </c>
      <c r="J1400" s="676"/>
      <c r="K1400" s="676"/>
      <c r="L1400" s="677"/>
      <c r="M1400" s="678"/>
      <c r="X1400" s="656"/>
      <c r="Y1400" s="657"/>
      <c r="Z1400" s="657"/>
      <c r="AA1400" s="481"/>
      <c r="AC1400" s="456" t="s">
        <v>1816</v>
      </c>
      <c r="AD1400" s="522"/>
      <c r="AE1400" s="699"/>
      <c r="AF1400" s="456"/>
      <c r="AG1400" s="699"/>
      <c r="AH1400" s="481"/>
      <c r="AJ1400" s="481"/>
    </row>
    <row r="1401" spans="1:36" s="454" customFormat="1" ht="23.25" x14ac:dyDescent="0.25">
      <c r="A1401" s="507"/>
      <c r="B1401" s="674" t="s">
        <v>833</v>
      </c>
      <c r="C1401" s="2672" t="s">
        <v>1818</v>
      </c>
      <c r="D1401" s="2672"/>
      <c r="E1401" s="2672"/>
      <c r="F1401" s="675" t="s">
        <v>3825</v>
      </c>
      <c r="G1401" s="676">
        <v>6.09</v>
      </c>
      <c r="H1401" s="676"/>
      <c r="I1401" s="676">
        <v>7.31</v>
      </c>
      <c r="J1401" s="676"/>
      <c r="K1401" s="676"/>
      <c r="L1401" s="677"/>
      <c r="M1401" s="678"/>
      <c r="X1401" s="656"/>
      <c r="Y1401" s="657"/>
      <c r="Z1401" s="657"/>
      <c r="AA1401" s="481"/>
      <c r="AC1401" s="456" t="s">
        <v>1818</v>
      </c>
      <c r="AD1401" s="522"/>
      <c r="AE1401" s="699"/>
      <c r="AF1401" s="456"/>
      <c r="AG1401" s="699"/>
      <c r="AH1401" s="481"/>
      <c r="AJ1401" s="481"/>
    </row>
    <row r="1402" spans="1:36" s="454" customFormat="1" ht="45" x14ac:dyDescent="0.25">
      <c r="A1402" s="658" t="s">
        <v>1559</v>
      </c>
      <c r="B1402" s="659" t="s">
        <v>2364</v>
      </c>
      <c r="C1402" s="2673" t="s">
        <v>2365</v>
      </c>
      <c r="D1402" s="2673"/>
      <c r="E1402" s="2673"/>
      <c r="F1402" s="670">
        <v>3760</v>
      </c>
      <c r="G1402" s="661" t="s">
        <v>1413</v>
      </c>
      <c r="H1402" s="661"/>
      <c r="I1402" s="661">
        <v>76253</v>
      </c>
      <c r="J1402" s="661">
        <v>76253</v>
      </c>
      <c r="K1402" s="662"/>
      <c r="L1402" s="692">
        <v>1.8</v>
      </c>
      <c r="M1402" s="663">
        <v>6768</v>
      </c>
      <c r="X1402" s="656"/>
      <c r="Y1402" s="657"/>
      <c r="Z1402" s="657"/>
      <c r="AA1402" s="481" t="s">
        <v>2365</v>
      </c>
      <c r="AC1402" s="456"/>
      <c r="AD1402" s="522"/>
      <c r="AE1402" s="699"/>
      <c r="AF1402" s="456"/>
      <c r="AG1402" s="699"/>
      <c r="AH1402" s="481"/>
      <c r="AJ1402" s="481"/>
    </row>
    <row r="1403" spans="1:36" s="454" customFormat="1" ht="33.75" x14ac:dyDescent="0.25">
      <c r="A1403" s="542"/>
      <c r="B1403" s="673" t="s">
        <v>1655</v>
      </c>
      <c r="C1403" s="2670" t="s">
        <v>1656</v>
      </c>
      <c r="D1403" s="2670"/>
      <c r="E1403" s="2670"/>
      <c r="F1403" s="2670"/>
      <c r="G1403" s="2670"/>
      <c r="H1403" s="2670"/>
      <c r="I1403" s="2670"/>
      <c r="J1403" s="2670"/>
      <c r="K1403" s="2670"/>
      <c r="L1403" s="2670"/>
      <c r="M1403" s="2671"/>
      <c r="X1403" s="656"/>
      <c r="Y1403" s="657"/>
      <c r="Z1403" s="657"/>
      <c r="AA1403" s="481"/>
      <c r="AB1403" s="491" t="s">
        <v>1656</v>
      </c>
      <c r="AC1403" s="456"/>
      <c r="AD1403" s="522"/>
      <c r="AE1403" s="699"/>
      <c r="AF1403" s="456"/>
      <c r="AG1403" s="699"/>
      <c r="AH1403" s="481"/>
      <c r="AJ1403" s="481"/>
    </row>
    <row r="1404" spans="1:36" s="454" customFormat="1" ht="15" x14ac:dyDescent="0.25">
      <c r="A1404" s="823"/>
      <c r="B1404" s="824"/>
      <c r="C1404" s="824"/>
      <c r="D1404" s="824"/>
      <c r="E1404" s="825" t="s">
        <v>3830</v>
      </c>
      <c r="F1404" s="826"/>
      <c r="G1404" s="827"/>
      <c r="H1404" s="648"/>
      <c r="I1404" s="828">
        <v>61002</v>
      </c>
      <c r="J1404" s="829"/>
      <c r="K1404" s="829"/>
      <c r="L1404" s="830"/>
      <c r="M1404" s="831"/>
      <c r="X1404" s="656"/>
      <c r="Y1404" s="657"/>
      <c r="Z1404" s="657"/>
      <c r="AA1404" s="481"/>
      <c r="AC1404" s="456"/>
      <c r="AD1404" s="522"/>
      <c r="AE1404" s="699"/>
      <c r="AF1404" s="456"/>
      <c r="AG1404" s="699"/>
      <c r="AH1404" s="481"/>
      <c r="AJ1404" s="481"/>
    </row>
    <row r="1405" spans="1:36" s="454" customFormat="1" ht="15" x14ac:dyDescent="0.25">
      <c r="A1405" s="823"/>
      <c r="B1405" s="824"/>
      <c r="C1405" s="824"/>
      <c r="D1405" s="824"/>
      <c r="E1405" s="825" t="s">
        <v>3831</v>
      </c>
      <c r="F1405" s="826"/>
      <c r="G1405" s="827"/>
      <c r="H1405" s="648"/>
      <c r="I1405" s="828">
        <v>34314</v>
      </c>
      <c r="J1405" s="829"/>
      <c r="K1405" s="829"/>
      <c r="L1405" s="830"/>
      <c r="M1405" s="831"/>
      <c r="X1405" s="656"/>
      <c r="Y1405" s="657"/>
      <c r="Z1405" s="657"/>
      <c r="AA1405" s="481"/>
      <c r="AC1405" s="456"/>
      <c r="AD1405" s="522"/>
      <c r="AE1405" s="699"/>
      <c r="AF1405" s="456"/>
      <c r="AG1405" s="699"/>
      <c r="AH1405" s="481"/>
      <c r="AJ1405" s="481"/>
    </row>
    <row r="1406" spans="1:36" s="454" customFormat="1" ht="15" x14ac:dyDescent="0.25">
      <c r="A1406" s="823"/>
      <c r="B1406" s="824"/>
      <c r="C1406" s="824"/>
      <c r="D1406" s="824"/>
      <c r="E1406" s="825" t="s">
        <v>2692</v>
      </c>
      <c r="F1406" s="826"/>
      <c r="G1406" s="827"/>
      <c r="H1406" s="648"/>
      <c r="I1406" s="828">
        <v>171569</v>
      </c>
      <c r="J1406" s="829"/>
      <c r="K1406" s="829"/>
      <c r="L1406" s="830"/>
      <c r="M1406" s="831"/>
      <c r="X1406" s="656"/>
      <c r="Y1406" s="657"/>
      <c r="Z1406" s="657"/>
      <c r="AA1406" s="481"/>
      <c r="AC1406" s="456"/>
      <c r="AD1406" s="522"/>
      <c r="AE1406" s="699"/>
      <c r="AF1406" s="456"/>
      <c r="AG1406" s="699"/>
      <c r="AH1406" s="481"/>
      <c r="AJ1406" s="481"/>
    </row>
    <row r="1407" spans="1:36" s="454" customFormat="1" ht="23.25" x14ac:dyDescent="0.25">
      <c r="A1407" s="507"/>
      <c r="B1407" s="674" t="s">
        <v>2366</v>
      </c>
      <c r="C1407" s="2672" t="s">
        <v>2367</v>
      </c>
      <c r="D1407" s="2672"/>
      <c r="E1407" s="2672"/>
      <c r="F1407" s="675" t="s">
        <v>3832</v>
      </c>
      <c r="G1407" s="676" t="s">
        <v>2369</v>
      </c>
      <c r="H1407" s="676"/>
      <c r="I1407" s="676">
        <v>76275.360000000001</v>
      </c>
      <c r="J1407" s="676">
        <v>76275.360000000001</v>
      </c>
      <c r="K1407" s="676"/>
      <c r="L1407" s="677"/>
      <c r="M1407" s="678"/>
      <c r="X1407" s="656"/>
      <c r="Y1407" s="657"/>
      <c r="Z1407" s="657"/>
      <c r="AA1407" s="481"/>
      <c r="AC1407" s="456" t="s">
        <v>2367</v>
      </c>
      <c r="AD1407" s="522"/>
      <c r="AE1407" s="699"/>
      <c r="AF1407" s="456"/>
      <c r="AG1407" s="699"/>
      <c r="AH1407" s="481"/>
      <c r="AJ1407" s="481"/>
    </row>
    <row r="1408" spans="1:36" s="454" customFormat="1" ht="22.5" x14ac:dyDescent="0.25">
      <c r="A1408" s="2685" t="s">
        <v>1414</v>
      </c>
      <c r="B1408" s="2686"/>
      <c r="C1408" s="2686"/>
      <c r="D1408" s="2686"/>
      <c r="E1408" s="2686"/>
      <c r="F1408" s="2686"/>
      <c r="G1408" s="2686"/>
      <c r="H1408" s="2687"/>
      <c r="I1408" s="661">
        <v>2821112</v>
      </c>
      <c r="J1408" s="661">
        <v>176695</v>
      </c>
      <c r="K1408" s="661" t="s">
        <v>3833</v>
      </c>
      <c r="L1408" s="681"/>
      <c r="M1408" s="672">
        <v>17222.75</v>
      </c>
      <c r="X1408" s="656"/>
      <c r="Y1408" s="657"/>
      <c r="Z1408" s="657"/>
      <c r="AA1408" s="481"/>
      <c r="AC1408" s="456"/>
      <c r="AD1408" s="522"/>
      <c r="AE1408" s="699"/>
      <c r="AF1408" s="456"/>
      <c r="AG1408" s="699"/>
      <c r="AH1408" s="481" t="s">
        <v>1414</v>
      </c>
      <c r="AJ1408" s="481"/>
    </row>
    <row r="1409" spans="1:36" s="454" customFormat="1" ht="15" x14ac:dyDescent="0.25">
      <c r="A1409" s="2685" t="s">
        <v>1416</v>
      </c>
      <c r="B1409" s="2686"/>
      <c r="C1409" s="2686"/>
      <c r="D1409" s="2686"/>
      <c r="E1409" s="2686"/>
      <c r="F1409" s="2686"/>
      <c r="G1409" s="2686"/>
      <c r="H1409" s="2687"/>
      <c r="I1409" s="661">
        <v>226452</v>
      </c>
      <c r="J1409" s="661"/>
      <c r="K1409" s="661"/>
      <c r="L1409" s="681"/>
      <c r="M1409" s="681"/>
      <c r="X1409" s="656"/>
      <c r="Y1409" s="657"/>
      <c r="Z1409" s="657"/>
      <c r="AA1409" s="481"/>
      <c r="AC1409" s="456"/>
      <c r="AD1409" s="522"/>
      <c r="AE1409" s="699"/>
      <c r="AF1409" s="456"/>
      <c r="AG1409" s="699"/>
      <c r="AH1409" s="481" t="s">
        <v>1416</v>
      </c>
      <c r="AJ1409" s="481"/>
    </row>
    <row r="1410" spans="1:36" s="454" customFormat="1" ht="15" x14ac:dyDescent="0.25">
      <c r="A1410" s="2688" t="s">
        <v>1681</v>
      </c>
      <c r="B1410" s="2689"/>
      <c r="C1410" s="2689"/>
      <c r="D1410" s="2689"/>
      <c r="E1410" s="2689"/>
      <c r="F1410" s="2689"/>
      <c r="G1410" s="2689"/>
      <c r="H1410" s="2690"/>
      <c r="I1410" s="682"/>
      <c r="J1410" s="682"/>
      <c r="K1410" s="682"/>
      <c r="L1410" s="683"/>
      <c r="M1410" s="683"/>
      <c r="X1410" s="656"/>
      <c r="Y1410" s="657"/>
      <c r="Z1410" s="657"/>
      <c r="AA1410" s="481"/>
      <c r="AC1410" s="456"/>
      <c r="AD1410" s="522"/>
      <c r="AE1410" s="699"/>
      <c r="AF1410" s="456"/>
      <c r="AG1410" s="699"/>
      <c r="AH1410" s="481"/>
      <c r="AI1410" s="491" t="s">
        <v>1681</v>
      </c>
      <c r="AJ1410" s="481"/>
    </row>
    <row r="1411" spans="1:36" s="454" customFormat="1" ht="15" x14ac:dyDescent="0.25">
      <c r="A1411" s="2688" t="s">
        <v>3834</v>
      </c>
      <c r="B1411" s="2689"/>
      <c r="C1411" s="2689"/>
      <c r="D1411" s="2689"/>
      <c r="E1411" s="2689"/>
      <c r="F1411" s="2689"/>
      <c r="G1411" s="2689"/>
      <c r="H1411" s="2690"/>
      <c r="I1411" s="682">
        <v>64835</v>
      </c>
      <c r="J1411" s="682"/>
      <c r="K1411" s="682"/>
      <c r="L1411" s="683"/>
      <c r="M1411" s="683"/>
      <c r="X1411" s="656"/>
      <c r="Y1411" s="657"/>
      <c r="Z1411" s="657"/>
      <c r="AA1411" s="481"/>
      <c r="AC1411" s="456"/>
      <c r="AD1411" s="522"/>
      <c r="AE1411" s="699"/>
      <c r="AF1411" s="456"/>
      <c r="AG1411" s="699"/>
      <c r="AH1411" s="481"/>
      <c r="AI1411" s="491" t="s">
        <v>3834</v>
      </c>
      <c r="AJ1411" s="481"/>
    </row>
    <row r="1412" spans="1:36" s="454" customFormat="1" ht="15" x14ac:dyDescent="0.25">
      <c r="A1412" s="2688" t="s">
        <v>3835</v>
      </c>
      <c r="B1412" s="2689"/>
      <c r="C1412" s="2689"/>
      <c r="D1412" s="2689"/>
      <c r="E1412" s="2689"/>
      <c r="F1412" s="2689"/>
      <c r="G1412" s="2689"/>
      <c r="H1412" s="2690"/>
      <c r="I1412" s="682">
        <v>13709</v>
      </c>
      <c r="J1412" s="682"/>
      <c r="K1412" s="682"/>
      <c r="L1412" s="683"/>
      <c r="M1412" s="683"/>
      <c r="X1412" s="656"/>
      <c r="Y1412" s="657"/>
      <c r="Z1412" s="657"/>
      <c r="AA1412" s="481"/>
      <c r="AC1412" s="456"/>
      <c r="AD1412" s="522"/>
      <c r="AE1412" s="699"/>
      <c r="AF1412" s="456"/>
      <c r="AG1412" s="699"/>
      <c r="AH1412" s="481"/>
      <c r="AI1412" s="491" t="s">
        <v>3835</v>
      </c>
      <c r="AJ1412" s="481"/>
    </row>
    <row r="1413" spans="1:36" s="454" customFormat="1" ht="15" x14ac:dyDescent="0.25">
      <c r="A1413" s="2688" t="s">
        <v>3836</v>
      </c>
      <c r="B1413" s="2689"/>
      <c r="C1413" s="2689"/>
      <c r="D1413" s="2689"/>
      <c r="E1413" s="2689"/>
      <c r="F1413" s="2689"/>
      <c r="G1413" s="2689"/>
      <c r="H1413" s="2690"/>
      <c r="I1413" s="682">
        <v>620</v>
      </c>
      <c r="J1413" s="682"/>
      <c r="K1413" s="682"/>
      <c r="L1413" s="683"/>
      <c r="M1413" s="683"/>
      <c r="X1413" s="656"/>
      <c r="Y1413" s="657"/>
      <c r="Z1413" s="657"/>
      <c r="AA1413" s="481"/>
      <c r="AC1413" s="456"/>
      <c r="AD1413" s="522"/>
      <c r="AE1413" s="699"/>
      <c r="AF1413" s="456"/>
      <c r="AG1413" s="699"/>
      <c r="AH1413" s="481"/>
      <c r="AI1413" s="491" t="s">
        <v>3836</v>
      </c>
      <c r="AJ1413" s="481"/>
    </row>
    <row r="1414" spans="1:36" s="454" customFormat="1" ht="15" x14ac:dyDescent="0.25">
      <c r="A1414" s="2688" t="s">
        <v>3837</v>
      </c>
      <c r="B1414" s="2689"/>
      <c r="C1414" s="2689"/>
      <c r="D1414" s="2689"/>
      <c r="E1414" s="2689"/>
      <c r="F1414" s="2689"/>
      <c r="G1414" s="2689"/>
      <c r="H1414" s="2690"/>
      <c r="I1414" s="682">
        <v>236</v>
      </c>
      <c r="J1414" s="682"/>
      <c r="K1414" s="682"/>
      <c r="L1414" s="683"/>
      <c r="M1414" s="683"/>
      <c r="X1414" s="656"/>
      <c r="Y1414" s="657"/>
      <c r="Z1414" s="657"/>
      <c r="AA1414" s="481"/>
      <c r="AC1414" s="456"/>
      <c r="AD1414" s="522"/>
      <c r="AE1414" s="699"/>
      <c r="AF1414" s="456"/>
      <c r="AG1414" s="699"/>
      <c r="AH1414" s="481"/>
      <c r="AI1414" s="491" t="s">
        <v>3837</v>
      </c>
      <c r="AJ1414" s="481"/>
    </row>
    <row r="1415" spans="1:36" s="454" customFormat="1" ht="15" x14ac:dyDescent="0.25">
      <c r="A1415" s="2688" t="s">
        <v>3838</v>
      </c>
      <c r="B1415" s="2689"/>
      <c r="C1415" s="2689"/>
      <c r="D1415" s="2689"/>
      <c r="E1415" s="2689"/>
      <c r="F1415" s="2689"/>
      <c r="G1415" s="2689"/>
      <c r="H1415" s="2690"/>
      <c r="I1415" s="682">
        <v>147052</v>
      </c>
      <c r="J1415" s="682"/>
      <c r="K1415" s="682"/>
      <c r="L1415" s="683"/>
      <c r="M1415" s="683"/>
      <c r="X1415" s="656"/>
      <c r="Y1415" s="657"/>
      <c r="Z1415" s="657"/>
      <c r="AA1415" s="481"/>
      <c r="AC1415" s="456"/>
      <c r="AD1415" s="522"/>
      <c r="AE1415" s="699"/>
      <c r="AF1415" s="456"/>
      <c r="AG1415" s="699"/>
      <c r="AH1415" s="481"/>
      <c r="AI1415" s="491" t="s">
        <v>3838</v>
      </c>
      <c r="AJ1415" s="481"/>
    </row>
    <row r="1416" spans="1:36" s="454" customFormat="1" ht="15" x14ac:dyDescent="0.25">
      <c r="A1416" s="2685" t="s">
        <v>1417</v>
      </c>
      <c r="B1416" s="2686"/>
      <c r="C1416" s="2686"/>
      <c r="D1416" s="2686"/>
      <c r="E1416" s="2686"/>
      <c r="F1416" s="2686"/>
      <c r="G1416" s="2686"/>
      <c r="H1416" s="2687"/>
      <c r="I1416" s="661">
        <v>113701</v>
      </c>
      <c r="J1416" s="661"/>
      <c r="K1416" s="661"/>
      <c r="L1416" s="681"/>
      <c r="M1416" s="681"/>
      <c r="X1416" s="656"/>
      <c r="Y1416" s="657"/>
      <c r="Z1416" s="657"/>
      <c r="AA1416" s="481"/>
      <c r="AC1416" s="456"/>
      <c r="AD1416" s="522"/>
      <c r="AE1416" s="699"/>
      <c r="AF1416" s="456"/>
      <c r="AG1416" s="699"/>
      <c r="AH1416" s="481" t="s">
        <v>1417</v>
      </c>
      <c r="AJ1416" s="481"/>
    </row>
    <row r="1417" spans="1:36" s="454" customFormat="1" ht="15" x14ac:dyDescent="0.25">
      <c r="A1417" s="2688" t="s">
        <v>1681</v>
      </c>
      <c r="B1417" s="2689"/>
      <c r="C1417" s="2689"/>
      <c r="D1417" s="2689"/>
      <c r="E1417" s="2689"/>
      <c r="F1417" s="2689"/>
      <c r="G1417" s="2689"/>
      <c r="H1417" s="2690"/>
      <c r="I1417" s="682"/>
      <c r="J1417" s="682"/>
      <c r="K1417" s="682"/>
      <c r="L1417" s="683"/>
      <c r="M1417" s="683"/>
      <c r="X1417" s="656"/>
      <c r="Y1417" s="657"/>
      <c r="Z1417" s="657"/>
      <c r="AA1417" s="481"/>
      <c r="AC1417" s="456"/>
      <c r="AD1417" s="522"/>
      <c r="AE1417" s="699"/>
      <c r="AF1417" s="456"/>
      <c r="AG1417" s="699"/>
      <c r="AH1417" s="481"/>
      <c r="AI1417" s="491" t="s">
        <v>1681</v>
      </c>
      <c r="AJ1417" s="481"/>
    </row>
    <row r="1418" spans="1:36" s="454" customFormat="1" ht="15" x14ac:dyDescent="0.25">
      <c r="A1418" s="2688" t="s">
        <v>3839</v>
      </c>
      <c r="B1418" s="2689"/>
      <c r="C1418" s="2689"/>
      <c r="D1418" s="2689"/>
      <c r="E1418" s="2689"/>
      <c r="F1418" s="2689"/>
      <c r="G1418" s="2689"/>
      <c r="H1418" s="2690"/>
      <c r="I1418" s="682">
        <v>36216</v>
      </c>
      <c r="J1418" s="682"/>
      <c r="K1418" s="682"/>
      <c r="L1418" s="683"/>
      <c r="M1418" s="683"/>
      <c r="X1418" s="656"/>
      <c r="Y1418" s="657"/>
      <c r="Z1418" s="657"/>
      <c r="AA1418" s="481"/>
      <c r="AC1418" s="456"/>
      <c r="AD1418" s="522"/>
      <c r="AE1418" s="699"/>
      <c r="AF1418" s="456"/>
      <c r="AG1418" s="699"/>
      <c r="AH1418" s="481"/>
      <c r="AI1418" s="491" t="s">
        <v>3839</v>
      </c>
      <c r="AJ1418" s="481"/>
    </row>
    <row r="1419" spans="1:36" s="454" customFormat="1" ht="15" x14ac:dyDescent="0.25">
      <c r="A1419" s="2688" t="s">
        <v>3840</v>
      </c>
      <c r="B1419" s="2689"/>
      <c r="C1419" s="2689"/>
      <c r="D1419" s="2689"/>
      <c r="E1419" s="2689"/>
      <c r="F1419" s="2689"/>
      <c r="G1419" s="2689"/>
      <c r="H1419" s="2690"/>
      <c r="I1419" s="682">
        <v>66961</v>
      </c>
      <c r="J1419" s="682"/>
      <c r="K1419" s="682"/>
      <c r="L1419" s="683"/>
      <c r="M1419" s="683"/>
      <c r="X1419" s="656"/>
      <c r="Y1419" s="657"/>
      <c r="Z1419" s="657"/>
      <c r="AA1419" s="481"/>
      <c r="AC1419" s="456"/>
      <c r="AD1419" s="522"/>
      <c r="AE1419" s="699"/>
      <c r="AF1419" s="456"/>
      <c r="AG1419" s="699"/>
      <c r="AH1419" s="481"/>
      <c r="AI1419" s="491" t="s">
        <v>3840</v>
      </c>
      <c r="AJ1419" s="481"/>
    </row>
    <row r="1420" spans="1:36" s="454" customFormat="1" ht="15" x14ac:dyDescent="0.25">
      <c r="A1420" s="2688" t="s">
        <v>3841</v>
      </c>
      <c r="B1420" s="2689"/>
      <c r="C1420" s="2689"/>
      <c r="D1420" s="2689"/>
      <c r="E1420" s="2689"/>
      <c r="F1420" s="2689"/>
      <c r="G1420" s="2689"/>
      <c r="H1420" s="2690"/>
      <c r="I1420" s="682">
        <v>9792</v>
      </c>
      <c r="J1420" s="682"/>
      <c r="K1420" s="682"/>
      <c r="L1420" s="683"/>
      <c r="M1420" s="683"/>
      <c r="X1420" s="656"/>
      <c r="Y1420" s="657"/>
      <c r="Z1420" s="657"/>
      <c r="AA1420" s="481"/>
      <c r="AC1420" s="456"/>
      <c r="AD1420" s="522"/>
      <c r="AE1420" s="699"/>
      <c r="AF1420" s="456"/>
      <c r="AG1420" s="699"/>
      <c r="AH1420" s="481"/>
      <c r="AI1420" s="491" t="s">
        <v>3841</v>
      </c>
      <c r="AJ1420" s="481"/>
    </row>
    <row r="1421" spans="1:36" s="454" customFormat="1" ht="15" x14ac:dyDescent="0.25">
      <c r="A1421" s="2688" t="s">
        <v>3842</v>
      </c>
      <c r="B1421" s="2689"/>
      <c r="C1421" s="2689"/>
      <c r="D1421" s="2689"/>
      <c r="E1421" s="2689"/>
      <c r="F1421" s="2689"/>
      <c r="G1421" s="2689"/>
      <c r="H1421" s="2690"/>
      <c r="I1421" s="682">
        <v>146</v>
      </c>
      <c r="J1421" s="682"/>
      <c r="K1421" s="682"/>
      <c r="L1421" s="683"/>
      <c r="M1421" s="683"/>
      <c r="X1421" s="656"/>
      <c r="Y1421" s="657"/>
      <c r="Z1421" s="657"/>
      <c r="AA1421" s="481"/>
      <c r="AC1421" s="456"/>
      <c r="AD1421" s="522"/>
      <c r="AE1421" s="699"/>
      <c r="AF1421" s="456"/>
      <c r="AG1421" s="699"/>
      <c r="AH1421" s="481"/>
      <c r="AI1421" s="491" t="s">
        <v>3842</v>
      </c>
      <c r="AJ1421" s="481"/>
    </row>
    <row r="1422" spans="1:36" s="454" customFormat="1" ht="15" x14ac:dyDescent="0.25">
      <c r="A1422" s="2688" t="s">
        <v>3843</v>
      </c>
      <c r="B1422" s="2689"/>
      <c r="C1422" s="2689"/>
      <c r="D1422" s="2689"/>
      <c r="E1422" s="2689"/>
      <c r="F1422" s="2689"/>
      <c r="G1422" s="2689"/>
      <c r="H1422" s="2690"/>
      <c r="I1422" s="682">
        <v>586</v>
      </c>
      <c r="J1422" s="682"/>
      <c r="K1422" s="682"/>
      <c r="L1422" s="683"/>
      <c r="M1422" s="683"/>
      <c r="X1422" s="656"/>
      <c r="Y1422" s="657"/>
      <c r="Z1422" s="657"/>
      <c r="AA1422" s="481"/>
      <c r="AC1422" s="456"/>
      <c r="AD1422" s="522"/>
      <c r="AE1422" s="699"/>
      <c r="AF1422" s="456"/>
      <c r="AG1422" s="699"/>
      <c r="AH1422" s="481"/>
      <c r="AI1422" s="491" t="s">
        <v>3843</v>
      </c>
      <c r="AJ1422" s="481"/>
    </row>
    <row r="1423" spans="1:36" s="454" customFormat="1" ht="15" x14ac:dyDescent="0.25">
      <c r="A1423" s="2685" t="s">
        <v>2381</v>
      </c>
      <c r="B1423" s="2686"/>
      <c r="C1423" s="2686"/>
      <c r="D1423" s="2686"/>
      <c r="E1423" s="2686"/>
      <c r="F1423" s="2686"/>
      <c r="G1423" s="2686"/>
      <c r="H1423" s="2687"/>
      <c r="I1423" s="661"/>
      <c r="J1423" s="661"/>
      <c r="K1423" s="661"/>
      <c r="L1423" s="681"/>
      <c r="M1423" s="681"/>
      <c r="X1423" s="656"/>
      <c r="Y1423" s="657"/>
      <c r="Z1423" s="657"/>
      <c r="AA1423" s="481"/>
      <c r="AC1423" s="456"/>
      <c r="AD1423" s="522"/>
      <c r="AE1423" s="699"/>
      <c r="AF1423" s="456"/>
      <c r="AG1423" s="699"/>
      <c r="AH1423" s="481" t="s">
        <v>2381</v>
      </c>
      <c r="AJ1423" s="481"/>
    </row>
    <row r="1424" spans="1:36" s="454" customFormat="1" ht="15" x14ac:dyDescent="0.25">
      <c r="A1424" s="2688" t="s">
        <v>1685</v>
      </c>
      <c r="B1424" s="2689"/>
      <c r="C1424" s="2689"/>
      <c r="D1424" s="2689"/>
      <c r="E1424" s="2689"/>
      <c r="F1424" s="2689"/>
      <c r="G1424" s="2689"/>
      <c r="H1424" s="2690"/>
      <c r="I1424" s="682"/>
      <c r="J1424" s="682"/>
      <c r="K1424" s="682"/>
      <c r="L1424" s="683"/>
      <c r="M1424" s="683"/>
      <c r="X1424" s="656"/>
      <c r="Y1424" s="657"/>
      <c r="Z1424" s="657"/>
      <c r="AA1424" s="481"/>
      <c r="AC1424" s="456"/>
      <c r="AD1424" s="522"/>
      <c r="AE1424" s="699"/>
      <c r="AF1424" s="456"/>
      <c r="AG1424" s="699"/>
      <c r="AH1424" s="481"/>
      <c r="AI1424" s="491" t="s">
        <v>1685</v>
      </c>
      <c r="AJ1424" s="481"/>
    </row>
    <row r="1425" spans="1:36" s="454" customFormat="1" ht="15" x14ac:dyDescent="0.25">
      <c r="A1425" s="2688" t="s">
        <v>2382</v>
      </c>
      <c r="B1425" s="2689"/>
      <c r="C1425" s="2689"/>
      <c r="D1425" s="2689"/>
      <c r="E1425" s="2689"/>
      <c r="F1425" s="2689"/>
      <c r="G1425" s="2689"/>
      <c r="H1425" s="2690"/>
      <c r="I1425" s="682"/>
      <c r="J1425" s="682"/>
      <c r="K1425" s="682"/>
      <c r="L1425" s="683"/>
      <c r="M1425" s="683"/>
      <c r="X1425" s="656"/>
      <c r="Y1425" s="657"/>
      <c r="Z1425" s="657"/>
      <c r="AA1425" s="481"/>
      <c r="AC1425" s="456"/>
      <c r="AD1425" s="522"/>
      <c r="AE1425" s="699"/>
      <c r="AF1425" s="456"/>
      <c r="AG1425" s="699"/>
      <c r="AH1425" s="481"/>
      <c r="AI1425" s="491" t="s">
        <v>2382</v>
      </c>
      <c r="AJ1425" s="481"/>
    </row>
    <row r="1426" spans="1:36" s="454" customFormat="1" ht="22.5" x14ac:dyDescent="0.25">
      <c r="A1426" s="2688" t="s">
        <v>3844</v>
      </c>
      <c r="B1426" s="2689"/>
      <c r="C1426" s="2689"/>
      <c r="D1426" s="2689"/>
      <c r="E1426" s="2689"/>
      <c r="F1426" s="2689"/>
      <c r="G1426" s="2689"/>
      <c r="H1426" s="2690"/>
      <c r="I1426" s="682">
        <v>80982</v>
      </c>
      <c r="J1426" s="682">
        <v>80444</v>
      </c>
      <c r="K1426" s="682" t="s">
        <v>1423</v>
      </c>
      <c r="L1426" s="683"/>
      <c r="M1426" s="684">
        <v>7206.79</v>
      </c>
      <c r="X1426" s="656"/>
      <c r="Y1426" s="657"/>
      <c r="Z1426" s="657"/>
      <c r="AA1426" s="481"/>
      <c r="AC1426" s="456"/>
      <c r="AD1426" s="522"/>
      <c r="AE1426" s="699"/>
      <c r="AF1426" s="456"/>
      <c r="AG1426" s="699"/>
      <c r="AH1426" s="481"/>
      <c r="AI1426" s="491" t="s">
        <v>3844</v>
      </c>
      <c r="AJ1426" s="481"/>
    </row>
    <row r="1427" spans="1:36" s="454" customFormat="1" ht="15" x14ac:dyDescent="0.25">
      <c r="A1427" s="2688" t="s">
        <v>3845</v>
      </c>
      <c r="B1427" s="2689"/>
      <c r="C1427" s="2689"/>
      <c r="D1427" s="2689"/>
      <c r="E1427" s="2689"/>
      <c r="F1427" s="2689"/>
      <c r="G1427" s="2689"/>
      <c r="H1427" s="2690"/>
      <c r="I1427" s="682">
        <v>64385</v>
      </c>
      <c r="J1427" s="682"/>
      <c r="K1427" s="682"/>
      <c r="L1427" s="683"/>
      <c r="M1427" s="683"/>
      <c r="X1427" s="656"/>
      <c r="Y1427" s="657"/>
      <c r="Z1427" s="657"/>
      <c r="AA1427" s="481"/>
      <c r="AC1427" s="456"/>
      <c r="AD1427" s="522"/>
      <c r="AE1427" s="699"/>
      <c r="AF1427" s="456"/>
      <c r="AG1427" s="699"/>
      <c r="AH1427" s="481"/>
      <c r="AI1427" s="491" t="s">
        <v>3845</v>
      </c>
      <c r="AJ1427" s="481"/>
    </row>
    <row r="1428" spans="1:36" s="454" customFormat="1" ht="15" x14ac:dyDescent="0.25">
      <c r="A1428" s="2688" t="s">
        <v>3846</v>
      </c>
      <c r="B1428" s="2689"/>
      <c r="C1428" s="2689"/>
      <c r="D1428" s="2689"/>
      <c r="E1428" s="2689"/>
      <c r="F1428" s="2689"/>
      <c r="G1428" s="2689"/>
      <c r="H1428" s="2690"/>
      <c r="I1428" s="682">
        <v>36216</v>
      </c>
      <c r="J1428" s="682"/>
      <c r="K1428" s="682"/>
      <c r="L1428" s="683"/>
      <c r="M1428" s="683"/>
      <c r="X1428" s="656"/>
      <c r="Y1428" s="657"/>
      <c r="Z1428" s="657"/>
      <c r="AA1428" s="481"/>
      <c r="AC1428" s="456"/>
      <c r="AD1428" s="522"/>
      <c r="AE1428" s="699"/>
      <c r="AF1428" s="456"/>
      <c r="AG1428" s="699"/>
      <c r="AH1428" s="481"/>
      <c r="AI1428" s="491" t="s">
        <v>3846</v>
      </c>
      <c r="AJ1428" s="481"/>
    </row>
    <row r="1429" spans="1:36" s="454" customFormat="1" ht="15" x14ac:dyDescent="0.25">
      <c r="A1429" s="2688" t="s">
        <v>1694</v>
      </c>
      <c r="B1429" s="2689"/>
      <c r="C1429" s="2689"/>
      <c r="D1429" s="2689"/>
      <c r="E1429" s="2689"/>
      <c r="F1429" s="2689"/>
      <c r="G1429" s="2689"/>
      <c r="H1429" s="2690"/>
      <c r="I1429" s="682">
        <v>181583</v>
      </c>
      <c r="J1429" s="682"/>
      <c r="K1429" s="682"/>
      <c r="L1429" s="683"/>
      <c r="M1429" s="684">
        <v>7206.79</v>
      </c>
      <c r="X1429" s="656"/>
      <c r="Y1429" s="657"/>
      <c r="Z1429" s="657"/>
      <c r="AA1429" s="481"/>
      <c r="AC1429" s="456"/>
      <c r="AD1429" s="522"/>
      <c r="AE1429" s="699"/>
      <c r="AF1429" s="456"/>
      <c r="AG1429" s="699"/>
      <c r="AH1429" s="481"/>
      <c r="AI1429" s="491" t="s">
        <v>1694</v>
      </c>
      <c r="AJ1429" s="481"/>
    </row>
    <row r="1430" spans="1:36" s="454" customFormat="1" ht="15" x14ac:dyDescent="0.25">
      <c r="A1430" s="2688" t="s">
        <v>2386</v>
      </c>
      <c r="B1430" s="2689"/>
      <c r="C1430" s="2689"/>
      <c r="D1430" s="2689"/>
      <c r="E1430" s="2689"/>
      <c r="F1430" s="2689"/>
      <c r="G1430" s="2689"/>
      <c r="H1430" s="2690"/>
      <c r="I1430" s="682"/>
      <c r="J1430" s="682"/>
      <c r="K1430" s="682"/>
      <c r="L1430" s="683"/>
      <c r="M1430" s="683"/>
      <c r="X1430" s="656"/>
      <c r="Y1430" s="657"/>
      <c r="Z1430" s="657"/>
      <c r="AA1430" s="481"/>
      <c r="AC1430" s="456"/>
      <c r="AD1430" s="522"/>
      <c r="AE1430" s="699"/>
      <c r="AF1430" s="456"/>
      <c r="AG1430" s="699"/>
      <c r="AH1430" s="481"/>
      <c r="AI1430" s="491" t="s">
        <v>2386</v>
      </c>
      <c r="AJ1430" s="481"/>
    </row>
    <row r="1431" spans="1:36" s="454" customFormat="1" ht="22.5" x14ac:dyDescent="0.25">
      <c r="A1431" s="2688" t="s">
        <v>3847</v>
      </c>
      <c r="B1431" s="2689"/>
      <c r="C1431" s="2689"/>
      <c r="D1431" s="2689"/>
      <c r="E1431" s="2689"/>
      <c r="F1431" s="2689"/>
      <c r="G1431" s="2689"/>
      <c r="H1431" s="2690"/>
      <c r="I1431" s="682">
        <v>388</v>
      </c>
      <c r="J1431" s="682">
        <v>211</v>
      </c>
      <c r="K1431" s="682" t="s">
        <v>1426</v>
      </c>
      <c r="L1431" s="683"/>
      <c r="M1431" s="684">
        <v>24.76</v>
      </c>
      <c r="X1431" s="656"/>
      <c r="Y1431" s="657"/>
      <c r="Z1431" s="657"/>
      <c r="AA1431" s="481"/>
      <c r="AC1431" s="456"/>
      <c r="AD1431" s="522"/>
      <c r="AE1431" s="699"/>
      <c r="AF1431" s="456"/>
      <c r="AG1431" s="699"/>
      <c r="AH1431" s="481"/>
      <c r="AI1431" s="491" t="s">
        <v>3847</v>
      </c>
      <c r="AJ1431" s="481"/>
    </row>
    <row r="1432" spans="1:36" s="454" customFormat="1" ht="15" x14ac:dyDescent="0.25">
      <c r="A1432" s="2688" t="s">
        <v>3848</v>
      </c>
      <c r="B1432" s="2689"/>
      <c r="C1432" s="2689"/>
      <c r="D1432" s="2689"/>
      <c r="E1432" s="2689"/>
      <c r="F1432" s="2689"/>
      <c r="G1432" s="2689"/>
      <c r="H1432" s="2690"/>
      <c r="I1432" s="682">
        <v>236</v>
      </c>
      <c r="J1432" s="682"/>
      <c r="K1432" s="682"/>
      <c r="L1432" s="683"/>
      <c r="M1432" s="683"/>
      <c r="X1432" s="656"/>
      <c r="Y1432" s="657"/>
      <c r="Z1432" s="657"/>
      <c r="AA1432" s="481"/>
      <c r="AC1432" s="456"/>
      <c r="AD1432" s="522"/>
      <c r="AE1432" s="699"/>
      <c r="AF1432" s="456"/>
      <c r="AG1432" s="699"/>
      <c r="AH1432" s="481"/>
      <c r="AI1432" s="491" t="s">
        <v>3848</v>
      </c>
      <c r="AJ1432" s="481"/>
    </row>
    <row r="1433" spans="1:36" s="454" customFormat="1" ht="15" x14ac:dyDescent="0.25">
      <c r="A1433" s="2688" t="s">
        <v>3849</v>
      </c>
      <c r="B1433" s="2689"/>
      <c r="C1433" s="2689"/>
      <c r="D1433" s="2689"/>
      <c r="E1433" s="2689"/>
      <c r="F1433" s="2689"/>
      <c r="G1433" s="2689"/>
      <c r="H1433" s="2690"/>
      <c r="I1433" s="682">
        <v>146</v>
      </c>
      <c r="J1433" s="682"/>
      <c r="K1433" s="682"/>
      <c r="L1433" s="683"/>
      <c r="M1433" s="683"/>
      <c r="X1433" s="656"/>
      <c r="Y1433" s="657"/>
      <c r="Z1433" s="657"/>
      <c r="AA1433" s="481"/>
      <c r="AC1433" s="456"/>
      <c r="AD1433" s="522"/>
      <c r="AE1433" s="699"/>
      <c r="AF1433" s="456"/>
      <c r="AG1433" s="699"/>
      <c r="AH1433" s="481"/>
      <c r="AI1433" s="491" t="s">
        <v>3849</v>
      </c>
      <c r="AJ1433" s="481"/>
    </row>
    <row r="1434" spans="1:36" s="454" customFormat="1" ht="15" x14ac:dyDescent="0.25">
      <c r="A1434" s="2688" t="s">
        <v>1694</v>
      </c>
      <c r="B1434" s="2689"/>
      <c r="C1434" s="2689"/>
      <c r="D1434" s="2689"/>
      <c r="E1434" s="2689"/>
      <c r="F1434" s="2689"/>
      <c r="G1434" s="2689"/>
      <c r="H1434" s="2690"/>
      <c r="I1434" s="682">
        <v>770</v>
      </c>
      <c r="J1434" s="682"/>
      <c r="K1434" s="682"/>
      <c r="L1434" s="683"/>
      <c r="M1434" s="684">
        <v>24.76</v>
      </c>
      <c r="X1434" s="656"/>
      <c r="Y1434" s="657"/>
      <c r="Z1434" s="657"/>
      <c r="AA1434" s="481"/>
      <c r="AC1434" s="456"/>
      <c r="AD1434" s="522"/>
      <c r="AE1434" s="699"/>
      <c r="AF1434" s="456"/>
      <c r="AG1434" s="699"/>
      <c r="AH1434" s="481"/>
      <c r="AI1434" s="491" t="s">
        <v>1694</v>
      </c>
      <c r="AJ1434" s="481"/>
    </row>
    <row r="1435" spans="1:36" s="454" customFormat="1" ht="15" x14ac:dyDescent="0.25">
      <c r="A1435" s="2688" t="s">
        <v>1686</v>
      </c>
      <c r="B1435" s="2689"/>
      <c r="C1435" s="2689"/>
      <c r="D1435" s="2689"/>
      <c r="E1435" s="2689"/>
      <c r="F1435" s="2689"/>
      <c r="G1435" s="2689"/>
      <c r="H1435" s="2690"/>
      <c r="I1435" s="682"/>
      <c r="J1435" s="682"/>
      <c r="K1435" s="682"/>
      <c r="L1435" s="683"/>
      <c r="M1435" s="683"/>
      <c r="X1435" s="656"/>
      <c r="Y1435" s="657"/>
      <c r="Z1435" s="657"/>
      <c r="AA1435" s="481"/>
      <c r="AC1435" s="456"/>
      <c r="AD1435" s="522"/>
      <c r="AE1435" s="699"/>
      <c r="AF1435" s="456"/>
      <c r="AG1435" s="699"/>
      <c r="AH1435" s="481"/>
      <c r="AI1435" s="491" t="s">
        <v>1686</v>
      </c>
      <c r="AJ1435" s="481"/>
    </row>
    <row r="1436" spans="1:36" s="454" customFormat="1" ht="15" x14ac:dyDescent="0.25">
      <c r="A1436" s="2688" t="s">
        <v>3850</v>
      </c>
      <c r="B1436" s="2689"/>
      <c r="C1436" s="2689"/>
      <c r="D1436" s="2689"/>
      <c r="E1436" s="2689"/>
      <c r="F1436" s="2689"/>
      <c r="G1436" s="2689"/>
      <c r="H1436" s="2690"/>
      <c r="I1436" s="682">
        <v>28469</v>
      </c>
      <c r="J1436" s="682"/>
      <c r="K1436" s="682"/>
      <c r="L1436" s="683"/>
      <c r="M1436" s="683"/>
      <c r="X1436" s="656"/>
      <c r="Y1436" s="657"/>
      <c r="Z1436" s="657"/>
      <c r="AA1436" s="481"/>
      <c r="AC1436" s="456"/>
      <c r="AD1436" s="522"/>
      <c r="AE1436" s="699"/>
      <c r="AF1436" s="456"/>
      <c r="AG1436" s="699"/>
      <c r="AH1436" s="481"/>
      <c r="AI1436" s="491" t="s">
        <v>3850</v>
      </c>
      <c r="AJ1436" s="481"/>
    </row>
    <row r="1437" spans="1:36" s="454" customFormat="1" ht="15" x14ac:dyDescent="0.25">
      <c r="A1437" s="2688" t="s">
        <v>2391</v>
      </c>
      <c r="B1437" s="2689"/>
      <c r="C1437" s="2689"/>
      <c r="D1437" s="2689"/>
      <c r="E1437" s="2689"/>
      <c r="F1437" s="2689"/>
      <c r="G1437" s="2689"/>
      <c r="H1437" s="2690"/>
      <c r="I1437" s="682"/>
      <c r="J1437" s="682"/>
      <c r="K1437" s="682"/>
      <c r="L1437" s="683"/>
      <c r="M1437" s="683"/>
      <c r="X1437" s="656"/>
      <c r="Y1437" s="657"/>
      <c r="Z1437" s="657"/>
      <c r="AA1437" s="481"/>
      <c r="AC1437" s="456"/>
      <c r="AD1437" s="522"/>
      <c r="AE1437" s="699"/>
      <c r="AF1437" s="456"/>
      <c r="AG1437" s="699"/>
      <c r="AH1437" s="481"/>
      <c r="AI1437" s="491" t="s">
        <v>2391</v>
      </c>
      <c r="AJ1437" s="481"/>
    </row>
    <row r="1438" spans="1:36" s="454" customFormat="1" ht="22.5" x14ac:dyDescent="0.25">
      <c r="A1438" s="2688" t="s">
        <v>3851</v>
      </c>
      <c r="B1438" s="2689"/>
      <c r="C1438" s="2689"/>
      <c r="D1438" s="2689"/>
      <c r="E1438" s="2689"/>
      <c r="F1438" s="2689"/>
      <c r="G1438" s="2689"/>
      <c r="H1438" s="2690"/>
      <c r="I1438" s="682">
        <v>1716</v>
      </c>
      <c r="J1438" s="682">
        <v>590</v>
      </c>
      <c r="K1438" s="682" t="s">
        <v>3852</v>
      </c>
      <c r="L1438" s="683"/>
      <c r="M1438" s="684">
        <v>57.45</v>
      </c>
      <c r="X1438" s="656"/>
      <c r="Y1438" s="657"/>
      <c r="Z1438" s="657"/>
      <c r="AA1438" s="481"/>
      <c r="AC1438" s="456"/>
      <c r="AD1438" s="522"/>
      <c r="AE1438" s="699"/>
      <c r="AF1438" s="456"/>
      <c r="AG1438" s="699"/>
      <c r="AH1438" s="481"/>
      <c r="AI1438" s="491" t="s">
        <v>3851</v>
      </c>
      <c r="AJ1438" s="481"/>
    </row>
    <row r="1439" spans="1:36" s="454" customFormat="1" ht="15" x14ac:dyDescent="0.25">
      <c r="A1439" s="2688" t="s">
        <v>3853</v>
      </c>
      <c r="B1439" s="2689"/>
      <c r="C1439" s="2689"/>
      <c r="D1439" s="2689"/>
      <c r="E1439" s="2689"/>
      <c r="F1439" s="2689"/>
      <c r="G1439" s="2689"/>
      <c r="H1439" s="2690"/>
      <c r="I1439" s="682">
        <v>620</v>
      </c>
      <c r="J1439" s="682"/>
      <c r="K1439" s="682"/>
      <c r="L1439" s="683"/>
      <c r="M1439" s="683"/>
      <c r="X1439" s="656"/>
      <c r="Y1439" s="657"/>
      <c r="Z1439" s="657"/>
      <c r="AA1439" s="481"/>
      <c r="AC1439" s="456"/>
      <c r="AD1439" s="522"/>
      <c r="AE1439" s="699"/>
      <c r="AF1439" s="456"/>
      <c r="AG1439" s="699"/>
      <c r="AH1439" s="481"/>
      <c r="AI1439" s="491" t="s">
        <v>3853</v>
      </c>
      <c r="AJ1439" s="481"/>
    </row>
    <row r="1440" spans="1:36" s="454" customFormat="1" ht="15" x14ac:dyDescent="0.25">
      <c r="A1440" s="2688" t="s">
        <v>3854</v>
      </c>
      <c r="B1440" s="2689"/>
      <c r="C1440" s="2689"/>
      <c r="D1440" s="2689"/>
      <c r="E1440" s="2689"/>
      <c r="F1440" s="2689"/>
      <c r="G1440" s="2689"/>
      <c r="H1440" s="2690"/>
      <c r="I1440" s="682">
        <v>586</v>
      </c>
      <c r="J1440" s="682"/>
      <c r="K1440" s="682"/>
      <c r="L1440" s="683"/>
      <c r="M1440" s="683"/>
      <c r="X1440" s="656"/>
      <c r="Y1440" s="657"/>
      <c r="Z1440" s="657"/>
      <c r="AA1440" s="481"/>
      <c r="AC1440" s="456"/>
      <c r="AD1440" s="522"/>
      <c r="AE1440" s="699"/>
      <c r="AF1440" s="456"/>
      <c r="AG1440" s="699"/>
      <c r="AH1440" s="481"/>
      <c r="AI1440" s="491" t="s">
        <v>3854</v>
      </c>
      <c r="AJ1440" s="481"/>
    </row>
    <row r="1441" spans="1:36" s="454" customFormat="1" ht="15" x14ac:dyDescent="0.25">
      <c r="A1441" s="2688" t="s">
        <v>1694</v>
      </c>
      <c r="B1441" s="2689"/>
      <c r="C1441" s="2689"/>
      <c r="D1441" s="2689"/>
      <c r="E1441" s="2689"/>
      <c r="F1441" s="2689"/>
      <c r="G1441" s="2689"/>
      <c r="H1441" s="2690"/>
      <c r="I1441" s="682">
        <v>2922</v>
      </c>
      <c r="J1441" s="682"/>
      <c r="K1441" s="682"/>
      <c r="L1441" s="683"/>
      <c r="M1441" s="684">
        <v>57.45</v>
      </c>
      <c r="X1441" s="656"/>
      <c r="Y1441" s="657"/>
      <c r="Z1441" s="657"/>
      <c r="AA1441" s="481"/>
      <c r="AC1441" s="456"/>
      <c r="AD1441" s="522"/>
      <c r="AE1441" s="699"/>
      <c r="AF1441" s="456"/>
      <c r="AG1441" s="699"/>
      <c r="AH1441" s="481"/>
      <c r="AI1441" s="491" t="s">
        <v>1694</v>
      </c>
      <c r="AJ1441" s="481"/>
    </row>
    <row r="1442" spans="1:36" s="454" customFormat="1" ht="15" x14ac:dyDescent="0.25">
      <c r="A1442" s="2688" t="s">
        <v>2396</v>
      </c>
      <c r="B1442" s="2689"/>
      <c r="C1442" s="2689"/>
      <c r="D1442" s="2689"/>
      <c r="E1442" s="2689"/>
      <c r="F1442" s="2689"/>
      <c r="G1442" s="2689"/>
      <c r="H1442" s="2690"/>
      <c r="I1442" s="682"/>
      <c r="J1442" s="682"/>
      <c r="K1442" s="682"/>
      <c r="L1442" s="683"/>
      <c r="M1442" s="683"/>
      <c r="X1442" s="656"/>
      <c r="Y1442" s="657"/>
      <c r="Z1442" s="657"/>
      <c r="AA1442" s="481"/>
      <c r="AC1442" s="456"/>
      <c r="AD1442" s="522"/>
      <c r="AE1442" s="699"/>
      <c r="AF1442" s="456"/>
      <c r="AG1442" s="699"/>
      <c r="AH1442" s="481"/>
      <c r="AI1442" s="491" t="s">
        <v>2396</v>
      </c>
      <c r="AJ1442" s="481"/>
    </row>
    <row r="1443" spans="1:36" s="454" customFormat="1" ht="15" x14ac:dyDescent="0.25">
      <c r="A1443" s="2688" t="s">
        <v>3855</v>
      </c>
      <c r="B1443" s="2689"/>
      <c r="C1443" s="2689"/>
      <c r="D1443" s="2689"/>
      <c r="E1443" s="2689"/>
      <c r="F1443" s="2689"/>
      <c r="G1443" s="2689"/>
      <c r="H1443" s="2690"/>
      <c r="I1443" s="682">
        <v>1541928</v>
      </c>
      <c r="J1443" s="682"/>
      <c r="K1443" s="682"/>
      <c r="L1443" s="683"/>
      <c r="M1443" s="683"/>
      <c r="X1443" s="656"/>
      <c r="Y1443" s="657"/>
      <c r="Z1443" s="657"/>
      <c r="AA1443" s="481"/>
      <c r="AC1443" s="456"/>
      <c r="AD1443" s="522"/>
      <c r="AE1443" s="699"/>
      <c r="AF1443" s="456"/>
      <c r="AG1443" s="699"/>
      <c r="AH1443" s="481"/>
      <c r="AI1443" s="491" t="s">
        <v>3855</v>
      </c>
      <c r="AJ1443" s="481"/>
    </row>
    <row r="1444" spans="1:36" s="454" customFormat="1" ht="15" x14ac:dyDescent="0.25">
      <c r="A1444" s="2688" t="s">
        <v>2398</v>
      </c>
      <c r="B1444" s="2689"/>
      <c r="C1444" s="2689"/>
      <c r="D1444" s="2689"/>
      <c r="E1444" s="2689"/>
      <c r="F1444" s="2689"/>
      <c r="G1444" s="2689"/>
      <c r="H1444" s="2690"/>
      <c r="I1444" s="682"/>
      <c r="J1444" s="682"/>
      <c r="K1444" s="682"/>
      <c r="L1444" s="683"/>
      <c r="M1444" s="683"/>
      <c r="X1444" s="656"/>
      <c r="Y1444" s="657"/>
      <c r="Z1444" s="657"/>
      <c r="AA1444" s="481"/>
      <c r="AC1444" s="456"/>
      <c r="AD1444" s="522"/>
      <c r="AE1444" s="699"/>
      <c r="AF1444" s="456"/>
      <c r="AG1444" s="699"/>
      <c r="AH1444" s="481"/>
      <c r="AI1444" s="491" t="s">
        <v>2398</v>
      </c>
      <c r="AJ1444" s="481"/>
    </row>
    <row r="1445" spans="1:36" s="454" customFormat="1" ht="22.5" x14ac:dyDescent="0.25">
      <c r="A1445" s="2688" t="s">
        <v>3856</v>
      </c>
      <c r="B1445" s="2689"/>
      <c r="C1445" s="2689"/>
      <c r="D1445" s="2689"/>
      <c r="E1445" s="2689"/>
      <c r="F1445" s="2689"/>
      <c r="G1445" s="2689"/>
      <c r="H1445" s="2690"/>
      <c r="I1445" s="682">
        <v>1093026</v>
      </c>
      <c r="J1445" s="682">
        <v>85184</v>
      </c>
      <c r="K1445" s="682" t="s">
        <v>3857</v>
      </c>
      <c r="L1445" s="683"/>
      <c r="M1445" s="700">
        <v>8858.2000000000007</v>
      </c>
      <c r="X1445" s="656"/>
      <c r="Y1445" s="657"/>
      <c r="Z1445" s="657"/>
      <c r="AA1445" s="481"/>
      <c r="AC1445" s="456"/>
      <c r="AD1445" s="522"/>
      <c r="AE1445" s="699"/>
      <c r="AF1445" s="456"/>
      <c r="AG1445" s="699"/>
      <c r="AH1445" s="481"/>
      <c r="AI1445" s="491" t="s">
        <v>3856</v>
      </c>
      <c r="AJ1445" s="481"/>
    </row>
    <row r="1446" spans="1:36" s="454" customFormat="1" ht="15" x14ac:dyDescent="0.25">
      <c r="A1446" s="2688" t="s">
        <v>3858</v>
      </c>
      <c r="B1446" s="2689"/>
      <c r="C1446" s="2689"/>
      <c r="D1446" s="2689"/>
      <c r="E1446" s="2689"/>
      <c r="F1446" s="2689"/>
      <c r="G1446" s="2689"/>
      <c r="H1446" s="2690"/>
      <c r="I1446" s="682">
        <v>147052</v>
      </c>
      <c r="J1446" s="682"/>
      <c r="K1446" s="682"/>
      <c r="L1446" s="683"/>
      <c r="M1446" s="683"/>
      <c r="X1446" s="656"/>
      <c r="Y1446" s="657"/>
      <c r="Z1446" s="657"/>
      <c r="AA1446" s="481"/>
      <c r="AC1446" s="456"/>
      <c r="AD1446" s="522"/>
      <c r="AE1446" s="699"/>
      <c r="AF1446" s="456"/>
      <c r="AG1446" s="699"/>
      <c r="AH1446" s="481"/>
      <c r="AI1446" s="491" t="s">
        <v>3858</v>
      </c>
      <c r="AJ1446" s="481"/>
    </row>
    <row r="1447" spans="1:36" s="454" customFormat="1" ht="15" x14ac:dyDescent="0.25">
      <c r="A1447" s="2688" t="s">
        <v>3859</v>
      </c>
      <c r="B1447" s="2689"/>
      <c r="C1447" s="2689"/>
      <c r="D1447" s="2689"/>
      <c r="E1447" s="2689"/>
      <c r="F1447" s="2689"/>
      <c r="G1447" s="2689"/>
      <c r="H1447" s="2690"/>
      <c r="I1447" s="682">
        <v>66961</v>
      </c>
      <c r="J1447" s="682"/>
      <c r="K1447" s="682"/>
      <c r="L1447" s="683"/>
      <c r="M1447" s="683"/>
      <c r="X1447" s="656"/>
      <c r="Y1447" s="657"/>
      <c r="Z1447" s="657"/>
      <c r="AA1447" s="481"/>
      <c r="AC1447" s="456"/>
      <c r="AD1447" s="522"/>
      <c r="AE1447" s="699"/>
      <c r="AF1447" s="456"/>
      <c r="AG1447" s="699"/>
      <c r="AH1447" s="481"/>
      <c r="AI1447" s="491" t="s">
        <v>3859</v>
      </c>
      <c r="AJ1447" s="481"/>
    </row>
    <row r="1448" spans="1:36" s="454" customFormat="1" ht="15" x14ac:dyDescent="0.25">
      <c r="A1448" s="2688" t="s">
        <v>1694</v>
      </c>
      <c r="B1448" s="2689"/>
      <c r="C1448" s="2689"/>
      <c r="D1448" s="2689"/>
      <c r="E1448" s="2689"/>
      <c r="F1448" s="2689"/>
      <c r="G1448" s="2689"/>
      <c r="H1448" s="2690"/>
      <c r="I1448" s="682">
        <v>1307039</v>
      </c>
      <c r="J1448" s="682"/>
      <c r="K1448" s="682"/>
      <c r="L1448" s="683"/>
      <c r="M1448" s="700">
        <v>8858.2000000000007</v>
      </c>
      <c r="X1448" s="656"/>
      <c r="Y1448" s="657"/>
      <c r="Z1448" s="657"/>
      <c r="AA1448" s="481"/>
      <c r="AC1448" s="456"/>
      <c r="AD1448" s="522"/>
      <c r="AE1448" s="699"/>
      <c r="AF1448" s="456"/>
      <c r="AG1448" s="699"/>
      <c r="AH1448" s="481"/>
      <c r="AI1448" s="491" t="s">
        <v>1694</v>
      </c>
      <c r="AJ1448" s="481"/>
    </row>
    <row r="1449" spans="1:36" s="454" customFormat="1" ht="15" x14ac:dyDescent="0.25">
      <c r="A1449" s="2688" t="s">
        <v>2403</v>
      </c>
      <c r="B1449" s="2689"/>
      <c r="C1449" s="2689"/>
      <c r="D1449" s="2689"/>
      <c r="E1449" s="2689"/>
      <c r="F1449" s="2689"/>
      <c r="G1449" s="2689"/>
      <c r="H1449" s="2690"/>
      <c r="I1449" s="682"/>
      <c r="J1449" s="682"/>
      <c r="K1449" s="682"/>
      <c r="L1449" s="683"/>
      <c r="M1449" s="683"/>
      <c r="X1449" s="656"/>
      <c r="Y1449" s="657"/>
      <c r="Z1449" s="657"/>
      <c r="AA1449" s="481"/>
      <c r="AC1449" s="456"/>
      <c r="AD1449" s="522"/>
      <c r="AE1449" s="699"/>
      <c r="AF1449" s="456"/>
      <c r="AG1449" s="699"/>
      <c r="AH1449" s="481"/>
      <c r="AI1449" s="491" t="s">
        <v>2403</v>
      </c>
      <c r="AJ1449" s="481"/>
    </row>
    <row r="1450" spans="1:36" s="454" customFormat="1" ht="22.5" x14ac:dyDescent="0.25">
      <c r="A1450" s="2688" t="s">
        <v>3860</v>
      </c>
      <c r="B1450" s="2689"/>
      <c r="C1450" s="2689"/>
      <c r="D1450" s="2689"/>
      <c r="E1450" s="2689"/>
      <c r="F1450" s="2689"/>
      <c r="G1450" s="2689"/>
      <c r="H1450" s="2690"/>
      <c r="I1450" s="682">
        <v>73206</v>
      </c>
      <c r="J1450" s="682">
        <v>9817</v>
      </c>
      <c r="K1450" s="682" t="s">
        <v>3861</v>
      </c>
      <c r="L1450" s="683"/>
      <c r="M1450" s="684">
        <v>1020.53</v>
      </c>
      <c r="X1450" s="656"/>
      <c r="Y1450" s="657"/>
      <c r="Z1450" s="657"/>
      <c r="AA1450" s="481"/>
      <c r="AC1450" s="456"/>
      <c r="AD1450" s="522"/>
      <c r="AE1450" s="699"/>
      <c r="AF1450" s="456"/>
      <c r="AG1450" s="699"/>
      <c r="AH1450" s="481"/>
      <c r="AI1450" s="491" t="s">
        <v>3860</v>
      </c>
      <c r="AJ1450" s="481"/>
    </row>
    <row r="1451" spans="1:36" s="454" customFormat="1" ht="15" x14ac:dyDescent="0.25">
      <c r="A1451" s="2688" t="s">
        <v>3862</v>
      </c>
      <c r="B1451" s="2689"/>
      <c r="C1451" s="2689"/>
      <c r="D1451" s="2689"/>
      <c r="E1451" s="2689"/>
      <c r="F1451" s="2689"/>
      <c r="G1451" s="2689"/>
      <c r="H1451" s="2690"/>
      <c r="I1451" s="682">
        <v>13709</v>
      </c>
      <c r="J1451" s="682"/>
      <c r="K1451" s="682"/>
      <c r="L1451" s="683"/>
      <c r="M1451" s="683"/>
      <c r="X1451" s="656"/>
      <c r="Y1451" s="657"/>
      <c r="Z1451" s="657"/>
      <c r="AA1451" s="481"/>
      <c r="AC1451" s="456"/>
      <c r="AD1451" s="522"/>
      <c r="AE1451" s="699"/>
      <c r="AF1451" s="456"/>
      <c r="AG1451" s="699"/>
      <c r="AH1451" s="481"/>
      <c r="AI1451" s="491" t="s">
        <v>3862</v>
      </c>
      <c r="AJ1451" s="481"/>
    </row>
    <row r="1452" spans="1:36" s="454" customFormat="1" ht="15" x14ac:dyDescent="0.25">
      <c r="A1452" s="2688" t="s">
        <v>3863</v>
      </c>
      <c r="B1452" s="2689"/>
      <c r="C1452" s="2689"/>
      <c r="D1452" s="2689"/>
      <c r="E1452" s="2689"/>
      <c r="F1452" s="2689"/>
      <c r="G1452" s="2689"/>
      <c r="H1452" s="2690"/>
      <c r="I1452" s="682">
        <v>9455</v>
      </c>
      <c r="J1452" s="682"/>
      <c r="K1452" s="682"/>
      <c r="L1452" s="683"/>
      <c r="M1452" s="683"/>
      <c r="X1452" s="656"/>
      <c r="Y1452" s="657"/>
      <c r="Z1452" s="657"/>
      <c r="AA1452" s="481"/>
      <c r="AC1452" s="456"/>
      <c r="AD1452" s="522"/>
      <c r="AE1452" s="699"/>
      <c r="AF1452" s="456"/>
      <c r="AG1452" s="699"/>
      <c r="AH1452" s="481"/>
      <c r="AI1452" s="491" t="s">
        <v>3863</v>
      </c>
      <c r="AJ1452" s="481"/>
    </row>
    <row r="1453" spans="1:36" s="454" customFormat="1" ht="15" x14ac:dyDescent="0.25">
      <c r="A1453" s="2688" t="s">
        <v>1694</v>
      </c>
      <c r="B1453" s="2689"/>
      <c r="C1453" s="2689"/>
      <c r="D1453" s="2689"/>
      <c r="E1453" s="2689"/>
      <c r="F1453" s="2689"/>
      <c r="G1453" s="2689"/>
      <c r="H1453" s="2690"/>
      <c r="I1453" s="682">
        <v>96370</v>
      </c>
      <c r="J1453" s="682"/>
      <c r="K1453" s="682"/>
      <c r="L1453" s="683"/>
      <c r="M1453" s="684">
        <v>1020.53</v>
      </c>
      <c r="X1453" s="656"/>
      <c r="Y1453" s="657"/>
      <c r="Z1453" s="657"/>
      <c r="AA1453" s="481"/>
      <c r="AC1453" s="456"/>
      <c r="AD1453" s="522"/>
      <c r="AE1453" s="699"/>
      <c r="AF1453" s="456"/>
      <c r="AG1453" s="699"/>
      <c r="AH1453" s="481"/>
      <c r="AI1453" s="491" t="s">
        <v>1694</v>
      </c>
      <c r="AJ1453" s="481"/>
    </row>
    <row r="1454" spans="1:36" s="454" customFormat="1" ht="15" x14ac:dyDescent="0.25">
      <c r="A1454" s="2688" t="s">
        <v>1688</v>
      </c>
      <c r="B1454" s="2689"/>
      <c r="C1454" s="2689"/>
      <c r="D1454" s="2689"/>
      <c r="E1454" s="2689"/>
      <c r="F1454" s="2689"/>
      <c r="G1454" s="2689"/>
      <c r="H1454" s="2690"/>
      <c r="I1454" s="682">
        <v>3159081</v>
      </c>
      <c r="J1454" s="682"/>
      <c r="K1454" s="682"/>
      <c r="L1454" s="683"/>
      <c r="M1454" s="684">
        <v>17167.73</v>
      </c>
      <c r="X1454" s="656"/>
      <c r="Y1454" s="657"/>
      <c r="Z1454" s="657"/>
      <c r="AA1454" s="481"/>
      <c r="AC1454" s="456"/>
      <c r="AD1454" s="522"/>
      <c r="AE1454" s="699"/>
      <c r="AF1454" s="456"/>
      <c r="AG1454" s="699"/>
      <c r="AH1454" s="481"/>
      <c r="AI1454" s="491" t="s">
        <v>1688</v>
      </c>
      <c r="AJ1454" s="481"/>
    </row>
    <row r="1455" spans="1:36" s="454" customFormat="1" ht="15" x14ac:dyDescent="0.25">
      <c r="A1455" s="2688" t="s">
        <v>1689</v>
      </c>
      <c r="B1455" s="2689"/>
      <c r="C1455" s="2689"/>
      <c r="D1455" s="2689"/>
      <c r="E1455" s="2689"/>
      <c r="F1455" s="2689"/>
      <c r="G1455" s="2689"/>
      <c r="H1455" s="2690"/>
      <c r="I1455" s="682"/>
      <c r="J1455" s="682"/>
      <c r="K1455" s="682"/>
      <c r="L1455" s="683"/>
      <c r="M1455" s="683"/>
      <c r="X1455" s="656"/>
      <c r="Y1455" s="657"/>
      <c r="Z1455" s="657"/>
      <c r="AA1455" s="481"/>
      <c r="AC1455" s="456"/>
      <c r="AD1455" s="522"/>
      <c r="AE1455" s="699"/>
      <c r="AF1455" s="456"/>
      <c r="AG1455" s="699"/>
      <c r="AH1455" s="481"/>
      <c r="AI1455" s="491" t="s">
        <v>1689</v>
      </c>
      <c r="AJ1455" s="481"/>
    </row>
    <row r="1456" spans="1:36" s="454" customFormat="1" ht="15" x14ac:dyDescent="0.25">
      <c r="A1456" s="2688" t="s">
        <v>1690</v>
      </c>
      <c r="B1456" s="2689"/>
      <c r="C1456" s="2689"/>
      <c r="D1456" s="2689"/>
      <c r="E1456" s="2689"/>
      <c r="F1456" s="2689"/>
      <c r="G1456" s="2689"/>
      <c r="H1456" s="2690"/>
      <c r="I1456" s="682"/>
      <c r="J1456" s="682"/>
      <c r="K1456" s="682"/>
      <c r="L1456" s="683"/>
      <c r="M1456" s="683"/>
      <c r="X1456" s="656"/>
      <c r="Y1456" s="657"/>
      <c r="Z1456" s="657"/>
      <c r="AA1456" s="481"/>
      <c r="AC1456" s="456"/>
      <c r="AD1456" s="522"/>
      <c r="AE1456" s="699"/>
      <c r="AF1456" s="456"/>
      <c r="AG1456" s="699"/>
      <c r="AH1456" s="481"/>
      <c r="AI1456" s="491" t="s">
        <v>1690</v>
      </c>
      <c r="AJ1456" s="481"/>
    </row>
    <row r="1457" spans="1:36" s="454" customFormat="1" ht="22.5" x14ac:dyDescent="0.25">
      <c r="A1457" s="2688" t="s">
        <v>3864</v>
      </c>
      <c r="B1457" s="2689"/>
      <c r="C1457" s="2689"/>
      <c r="D1457" s="2689"/>
      <c r="E1457" s="2689"/>
      <c r="F1457" s="2689"/>
      <c r="G1457" s="2689"/>
      <c r="H1457" s="2690"/>
      <c r="I1457" s="682">
        <v>1397</v>
      </c>
      <c r="J1457" s="682">
        <v>449</v>
      </c>
      <c r="K1457" s="682" t="s">
        <v>3865</v>
      </c>
      <c r="L1457" s="683"/>
      <c r="M1457" s="684">
        <v>55.02</v>
      </c>
      <c r="X1457" s="656"/>
      <c r="Y1457" s="657"/>
      <c r="Z1457" s="657"/>
      <c r="AA1457" s="481"/>
      <c r="AC1457" s="456"/>
      <c r="AD1457" s="522"/>
      <c r="AE1457" s="699"/>
      <c r="AF1457" s="456"/>
      <c r="AG1457" s="699"/>
      <c r="AH1457" s="481"/>
      <c r="AI1457" s="491" t="s">
        <v>3864</v>
      </c>
      <c r="AJ1457" s="481"/>
    </row>
    <row r="1458" spans="1:36" s="454" customFormat="1" ht="15" x14ac:dyDescent="0.25">
      <c r="A1458" s="2688" t="s">
        <v>3866</v>
      </c>
      <c r="B1458" s="2689"/>
      <c r="C1458" s="2689"/>
      <c r="D1458" s="2689"/>
      <c r="E1458" s="2689"/>
      <c r="F1458" s="2689"/>
      <c r="G1458" s="2689"/>
      <c r="H1458" s="2690"/>
      <c r="I1458" s="682">
        <v>450</v>
      </c>
      <c r="J1458" s="682"/>
      <c r="K1458" s="682"/>
      <c r="L1458" s="683"/>
      <c r="M1458" s="683"/>
      <c r="X1458" s="656"/>
      <c r="Y1458" s="657"/>
      <c r="Z1458" s="657"/>
      <c r="AA1458" s="481"/>
      <c r="AC1458" s="456"/>
      <c r="AD1458" s="522"/>
      <c r="AE1458" s="699"/>
      <c r="AF1458" s="456"/>
      <c r="AG1458" s="699"/>
      <c r="AH1458" s="481"/>
      <c r="AI1458" s="491" t="s">
        <v>3866</v>
      </c>
      <c r="AJ1458" s="481"/>
    </row>
    <row r="1459" spans="1:36" s="454" customFormat="1" ht="15" x14ac:dyDescent="0.25">
      <c r="A1459" s="2688" t="s">
        <v>3867</v>
      </c>
      <c r="B1459" s="2689"/>
      <c r="C1459" s="2689"/>
      <c r="D1459" s="2689"/>
      <c r="E1459" s="2689"/>
      <c r="F1459" s="2689"/>
      <c r="G1459" s="2689"/>
      <c r="H1459" s="2690"/>
      <c r="I1459" s="682">
        <v>337</v>
      </c>
      <c r="J1459" s="682"/>
      <c r="K1459" s="682"/>
      <c r="L1459" s="683"/>
      <c r="M1459" s="683"/>
      <c r="X1459" s="656"/>
      <c r="Y1459" s="657"/>
      <c r="Z1459" s="657"/>
      <c r="AA1459" s="481"/>
      <c r="AC1459" s="456"/>
      <c r="AD1459" s="522"/>
      <c r="AE1459" s="699"/>
      <c r="AF1459" s="456"/>
      <c r="AG1459" s="699"/>
      <c r="AH1459" s="481"/>
      <c r="AI1459" s="491" t="s">
        <v>3867</v>
      </c>
      <c r="AJ1459" s="481"/>
    </row>
    <row r="1460" spans="1:36" s="454" customFormat="1" ht="15" x14ac:dyDescent="0.25">
      <c r="A1460" s="2688" t="s">
        <v>1694</v>
      </c>
      <c r="B1460" s="2689"/>
      <c r="C1460" s="2689"/>
      <c r="D1460" s="2689"/>
      <c r="E1460" s="2689"/>
      <c r="F1460" s="2689"/>
      <c r="G1460" s="2689"/>
      <c r="H1460" s="2690"/>
      <c r="I1460" s="682">
        <v>2184</v>
      </c>
      <c r="J1460" s="682"/>
      <c r="K1460" s="682"/>
      <c r="L1460" s="683"/>
      <c r="M1460" s="684">
        <v>55.02</v>
      </c>
      <c r="X1460" s="656"/>
      <c r="Y1460" s="657"/>
      <c r="Z1460" s="657"/>
      <c r="AA1460" s="481"/>
      <c r="AC1460" s="456"/>
      <c r="AD1460" s="522"/>
      <c r="AE1460" s="699"/>
      <c r="AF1460" s="456"/>
      <c r="AG1460" s="699"/>
      <c r="AH1460" s="481"/>
      <c r="AI1460" s="491" t="s">
        <v>1694</v>
      </c>
      <c r="AJ1460" s="481"/>
    </row>
    <row r="1461" spans="1:36" s="454" customFormat="1" ht="15" x14ac:dyDescent="0.25">
      <c r="A1461" s="2688" t="s">
        <v>1688</v>
      </c>
      <c r="B1461" s="2689"/>
      <c r="C1461" s="2689"/>
      <c r="D1461" s="2689"/>
      <c r="E1461" s="2689"/>
      <c r="F1461" s="2689"/>
      <c r="G1461" s="2689"/>
      <c r="H1461" s="2690"/>
      <c r="I1461" s="682">
        <v>2184</v>
      </c>
      <c r="J1461" s="682"/>
      <c r="K1461" s="682"/>
      <c r="L1461" s="683"/>
      <c r="M1461" s="684">
        <v>55.02</v>
      </c>
      <c r="X1461" s="656"/>
      <c r="Y1461" s="657"/>
      <c r="Z1461" s="657"/>
      <c r="AA1461" s="481"/>
      <c r="AC1461" s="456"/>
      <c r="AD1461" s="522"/>
      <c r="AE1461" s="699"/>
      <c r="AF1461" s="456"/>
      <c r="AG1461" s="699"/>
      <c r="AH1461" s="481"/>
      <c r="AI1461" s="491" t="s">
        <v>1688</v>
      </c>
      <c r="AJ1461" s="481"/>
    </row>
    <row r="1462" spans="1:36" s="454" customFormat="1" ht="15" x14ac:dyDescent="0.25">
      <c r="A1462" s="2688" t="s">
        <v>1695</v>
      </c>
      <c r="B1462" s="2689"/>
      <c r="C1462" s="2689"/>
      <c r="D1462" s="2689"/>
      <c r="E1462" s="2689"/>
      <c r="F1462" s="2689"/>
      <c r="G1462" s="2689"/>
      <c r="H1462" s="2690"/>
      <c r="I1462" s="682">
        <v>3161265</v>
      </c>
      <c r="J1462" s="682"/>
      <c r="K1462" s="682"/>
      <c r="L1462" s="683"/>
      <c r="M1462" s="684">
        <v>17222.75</v>
      </c>
      <c r="X1462" s="656"/>
      <c r="Y1462" s="657"/>
      <c r="Z1462" s="657"/>
      <c r="AA1462" s="481"/>
      <c r="AC1462" s="456"/>
      <c r="AD1462" s="522"/>
      <c r="AE1462" s="699"/>
      <c r="AF1462" s="456"/>
      <c r="AG1462" s="699"/>
      <c r="AH1462" s="481"/>
      <c r="AI1462" s="491" t="s">
        <v>1695</v>
      </c>
      <c r="AJ1462" s="481"/>
    </row>
    <row r="1463" spans="1:36" s="454" customFormat="1" ht="15" x14ac:dyDescent="0.25">
      <c r="A1463" s="2688" t="s">
        <v>1696</v>
      </c>
      <c r="B1463" s="2689"/>
      <c r="C1463" s="2689"/>
      <c r="D1463" s="2689"/>
      <c r="E1463" s="2689"/>
      <c r="F1463" s="2689"/>
      <c r="G1463" s="2689"/>
      <c r="H1463" s="2690"/>
      <c r="I1463" s="682"/>
      <c r="J1463" s="682"/>
      <c r="K1463" s="682"/>
      <c r="L1463" s="683"/>
      <c r="M1463" s="683"/>
      <c r="X1463" s="656"/>
      <c r="Y1463" s="657"/>
      <c r="Z1463" s="657"/>
      <c r="AA1463" s="481"/>
      <c r="AC1463" s="456"/>
      <c r="AD1463" s="522"/>
      <c r="AE1463" s="699"/>
      <c r="AF1463" s="456"/>
      <c r="AG1463" s="699"/>
      <c r="AH1463" s="481"/>
      <c r="AI1463" s="491" t="s">
        <v>1696</v>
      </c>
      <c r="AJ1463" s="481"/>
    </row>
    <row r="1464" spans="1:36" s="454" customFormat="1" ht="15" x14ac:dyDescent="0.25">
      <c r="A1464" s="2688" t="s">
        <v>1697</v>
      </c>
      <c r="B1464" s="2689"/>
      <c r="C1464" s="2689"/>
      <c r="D1464" s="2689"/>
      <c r="E1464" s="2689"/>
      <c r="F1464" s="2689"/>
      <c r="G1464" s="2689"/>
      <c r="H1464" s="2690"/>
      <c r="I1464" s="682">
        <v>1595158</v>
      </c>
      <c r="J1464" s="682"/>
      <c r="K1464" s="682"/>
      <c r="L1464" s="683"/>
      <c r="M1464" s="683"/>
      <c r="X1464" s="656"/>
      <c r="Y1464" s="657"/>
      <c r="Z1464" s="657"/>
      <c r="AA1464" s="481"/>
      <c r="AC1464" s="456"/>
      <c r="AD1464" s="522"/>
      <c r="AE1464" s="699"/>
      <c r="AF1464" s="456"/>
      <c r="AG1464" s="699"/>
      <c r="AH1464" s="481"/>
      <c r="AI1464" s="491" t="s">
        <v>1697</v>
      </c>
      <c r="AJ1464" s="481"/>
    </row>
    <row r="1465" spans="1:36" s="454" customFormat="1" ht="15" x14ac:dyDescent="0.25">
      <c r="A1465" s="2688" t="s">
        <v>1698</v>
      </c>
      <c r="B1465" s="2689"/>
      <c r="C1465" s="2689"/>
      <c r="D1465" s="2689"/>
      <c r="E1465" s="2689"/>
      <c r="F1465" s="2689"/>
      <c r="G1465" s="2689"/>
      <c r="H1465" s="2690"/>
      <c r="I1465" s="682">
        <v>1049259</v>
      </c>
      <c r="J1465" s="682"/>
      <c r="K1465" s="682"/>
      <c r="L1465" s="683"/>
      <c r="M1465" s="683"/>
      <c r="X1465" s="656"/>
      <c r="Y1465" s="657"/>
      <c r="Z1465" s="657"/>
      <c r="AA1465" s="481"/>
      <c r="AC1465" s="456"/>
      <c r="AD1465" s="522"/>
      <c r="AE1465" s="699"/>
      <c r="AF1465" s="456"/>
      <c r="AG1465" s="699"/>
      <c r="AH1465" s="481"/>
      <c r="AI1465" s="491" t="s">
        <v>1698</v>
      </c>
      <c r="AJ1465" s="481"/>
    </row>
    <row r="1466" spans="1:36" s="454" customFormat="1" ht="15" x14ac:dyDescent="0.25">
      <c r="A1466" s="2688" t="s">
        <v>1699</v>
      </c>
      <c r="B1466" s="2689"/>
      <c r="C1466" s="2689"/>
      <c r="D1466" s="2689"/>
      <c r="E1466" s="2689"/>
      <c r="F1466" s="2689"/>
      <c r="G1466" s="2689"/>
      <c r="H1466" s="2690"/>
      <c r="I1466" s="682">
        <v>229011</v>
      </c>
      <c r="J1466" s="682"/>
      <c r="K1466" s="682"/>
      <c r="L1466" s="683"/>
      <c r="M1466" s="683"/>
      <c r="X1466" s="656"/>
      <c r="Y1466" s="657"/>
      <c r="Z1466" s="657"/>
      <c r="AA1466" s="481"/>
      <c r="AC1466" s="456"/>
      <c r="AD1466" s="522"/>
      <c r="AE1466" s="699"/>
      <c r="AF1466" s="456"/>
      <c r="AG1466" s="699"/>
      <c r="AH1466" s="481"/>
      <c r="AI1466" s="491" t="s">
        <v>1699</v>
      </c>
      <c r="AJ1466" s="481"/>
    </row>
    <row r="1467" spans="1:36" s="454" customFormat="1" ht="15" x14ac:dyDescent="0.25">
      <c r="A1467" s="2688" t="s">
        <v>1700</v>
      </c>
      <c r="B1467" s="2689"/>
      <c r="C1467" s="2689"/>
      <c r="D1467" s="2689"/>
      <c r="E1467" s="2689"/>
      <c r="F1467" s="2689"/>
      <c r="G1467" s="2689"/>
      <c r="H1467" s="2690"/>
      <c r="I1467" s="682">
        <v>226452</v>
      </c>
      <c r="J1467" s="682"/>
      <c r="K1467" s="682"/>
      <c r="L1467" s="683"/>
      <c r="M1467" s="683"/>
      <c r="X1467" s="656"/>
      <c r="Y1467" s="657"/>
      <c r="Z1467" s="657"/>
      <c r="AA1467" s="481"/>
      <c r="AC1467" s="456"/>
      <c r="AD1467" s="522"/>
      <c r="AE1467" s="699"/>
      <c r="AF1467" s="456"/>
      <c r="AG1467" s="699"/>
      <c r="AH1467" s="481"/>
      <c r="AI1467" s="491" t="s">
        <v>1700</v>
      </c>
      <c r="AJ1467" s="481"/>
    </row>
    <row r="1468" spans="1:36" s="454" customFormat="1" ht="15" x14ac:dyDescent="0.25">
      <c r="A1468" s="2688" t="s">
        <v>1701</v>
      </c>
      <c r="B1468" s="2689"/>
      <c r="C1468" s="2689"/>
      <c r="D1468" s="2689"/>
      <c r="E1468" s="2689"/>
      <c r="F1468" s="2689"/>
      <c r="G1468" s="2689"/>
      <c r="H1468" s="2690"/>
      <c r="I1468" s="682">
        <v>113701</v>
      </c>
      <c r="J1468" s="682"/>
      <c r="K1468" s="682"/>
      <c r="L1468" s="683"/>
      <c r="M1468" s="683"/>
      <c r="X1468" s="656"/>
      <c r="Y1468" s="657"/>
      <c r="Z1468" s="657"/>
      <c r="AA1468" s="481"/>
      <c r="AC1468" s="456"/>
      <c r="AD1468" s="522"/>
      <c r="AE1468" s="699"/>
      <c r="AF1468" s="456"/>
      <c r="AG1468" s="699"/>
      <c r="AH1468" s="481"/>
      <c r="AI1468" s="491" t="s">
        <v>1701</v>
      </c>
      <c r="AJ1468" s="481"/>
    </row>
    <row r="1469" spans="1:36" s="454" customFormat="1" ht="15" x14ac:dyDescent="0.25">
      <c r="A1469" s="2685" t="s">
        <v>2412</v>
      </c>
      <c r="B1469" s="2686"/>
      <c r="C1469" s="2686"/>
      <c r="D1469" s="2686"/>
      <c r="E1469" s="2686"/>
      <c r="F1469" s="2686"/>
      <c r="G1469" s="2686"/>
      <c r="H1469" s="2687"/>
      <c r="I1469" s="661">
        <v>3161265</v>
      </c>
      <c r="J1469" s="661"/>
      <c r="K1469" s="661"/>
      <c r="L1469" s="681"/>
      <c r="M1469" s="672">
        <v>17222.75</v>
      </c>
      <c r="X1469" s="656"/>
      <c r="Y1469" s="657"/>
      <c r="Z1469" s="657"/>
      <c r="AA1469" s="481"/>
      <c r="AC1469" s="456"/>
      <c r="AD1469" s="522"/>
      <c r="AE1469" s="699"/>
      <c r="AF1469" s="456"/>
      <c r="AG1469" s="699"/>
      <c r="AH1469" s="481"/>
      <c r="AJ1469" s="481" t="s">
        <v>2412</v>
      </c>
    </row>
    <row r="1470" spans="1:36" s="454" customFormat="1" ht="15" x14ac:dyDescent="0.25">
      <c r="A1470" s="2677" t="s">
        <v>1562</v>
      </c>
      <c r="B1470" s="2678"/>
      <c r="C1470" s="2678"/>
      <c r="D1470" s="2678"/>
      <c r="E1470" s="2678"/>
      <c r="F1470" s="2678"/>
      <c r="G1470" s="2678"/>
      <c r="H1470" s="2678"/>
      <c r="I1470" s="2678"/>
      <c r="J1470" s="2678"/>
      <c r="K1470" s="2678"/>
      <c r="L1470" s="2678"/>
      <c r="M1470" s="2679"/>
      <c r="X1470" s="656" t="s">
        <v>1562</v>
      </c>
      <c r="Y1470" s="657"/>
      <c r="Z1470" s="657"/>
      <c r="AA1470" s="481"/>
      <c r="AC1470" s="456"/>
      <c r="AD1470" s="522"/>
      <c r="AE1470" s="699"/>
      <c r="AF1470" s="456"/>
      <c r="AG1470" s="699"/>
      <c r="AH1470" s="481"/>
      <c r="AJ1470" s="481"/>
    </row>
    <row r="1471" spans="1:36" s="454" customFormat="1" ht="15" x14ac:dyDescent="0.25">
      <c r="A1471" s="2680" t="s">
        <v>1563</v>
      </c>
      <c r="B1471" s="2681"/>
      <c r="C1471" s="2681"/>
      <c r="D1471" s="2681"/>
      <c r="E1471" s="2681"/>
      <c r="F1471" s="2681"/>
      <c r="G1471" s="2681"/>
      <c r="H1471" s="2681"/>
      <c r="I1471" s="2681"/>
      <c r="J1471" s="2681"/>
      <c r="K1471" s="2681"/>
      <c r="L1471" s="2681"/>
      <c r="M1471" s="2682"/>
      <c r="X1471" s="656"/>
      <c r="Y1471" s="657" t="s">
        <v>1563</v>
      </c>
      <c r="Z1471" s="657"/>
      <c r="AA1471" s="481"/>
      <c r="AC1471" s="456"/>
      <c r="AD1471" s="522"/>
      <c r="AE1471" s="699"/>
      <c r="AF1471" s="456"/>
      <c r="AG1471" s="699"/>
      <c r="AH1471" s="481"/>
      <c r="AJ1471" s="481"/>
    </row>
    <row r="1472" spans="1:36" s="454" customFormat="1" ht="68.25" x14ac:dyDescent="0.25">
      <c r="A1472" s="658" t="s">
        <v>1564</v>
      </c>
      <c r="B1472" s="659" t="s">
        <v>3868</v>
      </c>
      <c r="C1472" s="2673" t="s">
        <v>3869</v>
      </c>
      <c r="D1472" s="2673"/>
      <c r="E1472" s="2673"/>
      <c r="F1472" s="679">
        <v>11.15</v>
      </c>
      <c r="G1472" s="661" t="s">
        <v>3870</v>
      </c>
      <c r="H1472" s="661"/>
      <c r="I1472" s="661">
        <v>22285</v>
      </c>
      <c r="J1472" s="661">
        <v>22285</v>
      </c>
      <c r="K1472" s="662"/>
      <c r="L1472" s="692">
        <v>238.5</v>
      </c>
      <c r="M1472" s="672">
        <v>2659.28</v>
      </c>
      <c r="X1472" s="656"/>
      <c r="Y1472" s="657"/>
      <c r="Z1472" s="657"/>
      <c r="AA1472" s="481" t="s">
        <v>3869</v>
      </c>
      <c r="AC1472" s="456"/>
      <c r="AD1472" s="522"/>
      <c r="AE1472" s="699"/>
      <c r="AF1472" s="456"/>
      <c r="AG1472" s="699"/>
      <c r="AH1472" s="481"/>
      <c r="AJ1472" s="481"/>
    </row>
    <row r="1473" spans="1:36" s="454" customFormat="1" ht="15" x14ac:dyDescent="0.25">
      <c r="A1473" s="664"/>
      <c r="B1473" s="665"/>
      <c r="C1473" s="666" t="s">
        <v>3871</v>
      </c>
      <c r="D1473" s="667"/>
      <c r="E1473" s="667"/>
      <c r="F1473" s="667"/>
      <c r="G1473" s="667"/>
      <c r="H1473" s="667"/>
      <c r="I1473" s="667"/>
      <c r="J1473" s="667"/>
      <c r="K1473" s="667"/>
      <c r="L1473" s="667"/>
      <c r="M1473" s="668"/>
      <c r="X1473" s="656"/>
      <c r="Y1473" s="657"/>
      <c r="Z1473" s="657"/>
      <c r="AA1473" s="481"/>
      <c r="AC1473" s="456"/>
      <c r="AD1473" s="522"/>
      <c r="AE1473" s="699"/>
      <c r="AF1473" s="456"/>
      <c r="AG1473" s="699"/>
      <c r="AH1473" s="481"/>
      <c r="AJ1473" s="481"/>
    </row>
    <row r="1474" spans="1:36" s="454" customFormat="1" ht="33.75" x14ac:dyDescent="0.25">
      <c r="A1474" s="542"/>
      <c r="B1474" s="673" t="s">
        <v>1655</v>
      </c>
      <c r="C1474" s="2670" t="s">
        <v>1656</v>
      </c>
      <c r="D1474" s="2670"/>
      <c r="E1474" s="2670"/>
      <c r="F1474" s="2670"/>
      <c r="G1474" s="2670"/>
      <c r="H1474" s="2670"/>
      <c r="I1474" s="2670"/>
      <c r="J1474" s="2670"/>
      <c r="K1474" s="2670"/>
      <c r="L1474" s="2670"/>
      <c r="M1474" s="2671"/>
      <c r="X1474" s="656"/>
      <c r="Y1474" s="657"/>
      <c r="Z1474" s="657"/>
      <c r="AA1474" s="481"/>
      <c r="AB1474" s="491" t="s">
        <v>1656</v>
      </c>
      <c r="AC1474" s="456"/>
      <c r="AD1474" s="522"/>
      <c r="AE1474" s="699"/>
      <c r="AF1474" s="456"/>
      <c r="AG1474" s="699"/>
      <c r="AH1474" s="481"/>
      <c r="AJ1474" s="481"/>
    </row>
    <row r="1475" spans="1:36" s="454" customFormat="1" ht="15" x14ac:dyDescent="0.25">
      <c r="A1475" s="823"/>
      <c r="B1475" s="824"/>
      <c r="C1475" s="824"/>
      <c r="D1475" s="824"/>
      <c r="E1475" s="825" t="s">
        <v>3872</v>
      </c>
      <c r="F1475" s="826"/>
      <c r="G1475" s="827"/>
      <c r="H1475" s="648"/>
      <c r="I1475" s="828">
        <v>14708</v>
      </c>
      <c r="J1475" s="829"/>
      <c r="K1475" s="829"/>
      <c r="L1475" s="830"/>
      <c r="M1475" s="831"/>
      <c r="X1475" s="656"/>
      <c r="Y1475" s="657"/>
      <c r="Z1475" s="657"/>
      <c r="AA1475" s="481"/>
      <c r="AC1475" s="456"/>
      <c r="AD1475" s="522"/>
      <c r="AE1475" s="699"/>
      <c r="AF1475" s="456"/>
      <c r="AG1475" s="699"/>
      <c r="AH1475" s="481"/>
      <c r="AJ1475" s="481"/>
    </row>
    <row r="1476" spans="1:36" s="454" customFormat="1" ht="15" x14ac:dyDescent="0.25">
      <c r="A1476" s="823"/>
      <c r="B1476" s="824"/>
      <c r="C1476" s="824"/>
      <c r="D1476" s="824"/>
      <c r="E1476" s="825" t="s">
        <v>3873</v>
      </c>
      <c r="F1476" s="826"/>
      <c r="G1476" s="827"/>
      <c r="H1476" s="648"/>
      <c r="I1476" s="828">
        <v>8914</v>
      </c>
      <c r="J1476" s="829"/>
      <c r="K1476" s="829"/>
      <c r="L1476" s="830"/>
      <c r="M1476" s="831"/>
      <c r="X1476" s="656"/>
      <c r="Y1476" s="657"/>
      <c r="Z1476" s="657"/>
      <c r="AA1476" s="481"/>
      <c r="AC1476" s="456"/>
      <c r="AD1476" s="522"/>
      <c r="AE1476" s="699"/>
      <c r="AF1476" s="456"/>
      <c r="AG1476" s="699"/>
      <c r="AH1476" s="481"/>
      <c r="AJ1476" s="481"/>
    </row>
    <row r="1477" spans="1:36" s="454" customFormat="1" ht="15" x14ac:dyDescent="0.25">
      <c r="A1477" s="823"/>
      <c r="B1477" s="824"/>
      <c r="C1477" s="824"/>
      <c r="D1477" s="824"/>
      <c r="E1477" s="825" t="s">
        <v>2692</v>
      </c>
      <c r="F1477" s="826"/>
      <c r="G1477" s="827"/>
      <c r="H1477" s="648"/>
      <c r="I1477" s="828">
        <v>45907</v>
      </c>
      <c r="J1477" s="829"/>
      <c r="K1477" s="829"/>
      <c r="L1477" s="830"/>
      <c r="M1477" s="831"/>
      <c r="X1477" s="656"/>
      <c r="Y1477" s="657"/>
      <c r="Z1477" s="657"/>
      <c r="AA1477" s="481"/>
      <c r="AC1477" s="456"/>
      <c r="AD1477" s="522"/>
      <c r="AE1477" s="699"/>
      <c r="AF1477" s="456"/>
      <c r="AG1477" s="699"/>
      <c r="AH1477" s="481"/>
      <c r="AJ1477" s="481"/>
    </row>
    <row r="1478" spans="1:36" s="454" customFormat="1" ht="23.25" x14ac:dyDescent="0.25">
      <c r="A1478" s="507"/>
      <c r="B1478" s="674" t="s">
        <v>3874</v>
      </c>
      <c r="C1478" s="2672" t="s">
        <v>3875</v>
      </c>
      <c r="D1478" s="2672"/>
      <c r="E1478" s="2672"/>
      <c r="F1478" s="675" t="s">
        <v>3876</v>
      </c>
      <c r="G1478" s="676" t="s">
        <v>3877</v>
      </c>
      <c r="H1478" s="676"/>
      <c r="I1478" s="676">
        <v>22284.77</v>
      </c>
      <c r="J1478" s="676">
        <v>22284.77</v>
      </c>
      <c r="K1478" s="676"/>
      <c r="L1478" s="677"/>
      <c r="M1478" s="678"/>
      <c r="X1478" s="656"/>
      <c r="Y1478" s="657"/>
      <c r="Z1478" s="657"/>
      <c r="AA1478" s="481"/>
      <c r="AC1478" s="456" t="s">
        <v>3875</v>
      </c>
      <c r="AD1478" s="522"/>
      <c r="AE1478" s="699"/>
      <c r="AF1478" s="456"/>
      <c r="AG1478" s="699"/>
      <c r="AH1478" s="481"/>
      <c r="AJ1478" s="481"/>
    </row>
    <row r="1479" spans="1:36" s="454" customFormat="1" ht="23.25" x14ac:dyDescent="0.25">
      <c r="A1479" s="515" t="s">
        <v>863</v>
      </c>
      <c r="B1479" s="686" t="s">
        <v>3878</v>
      </c>
      <c r="C1479" s="2683" t="s">
        <v>3879</v>
      </c>
      <c r="D1479" s="2683"/>
      <c r="E1479" s="2683"/>
      <c r="F1479" s="687" t="s">
        <v>3880</v>
      </c>
      <c r="G1479" s="688">
        <v>0</v>
      </c>
      <c r="H1479" s="688"/>
      <c r="I1479" s="688">
        <v>0</v>
      </c>
      <c r="J1479" s="688"/>
      <c r="K1479" s="688"/>
      <c r="L1479" s="689"/>
      <c r="M1479" s="690"/>
      <c r="X1479" s="656"/>
      <c r="Y1479" s="657"/>
      <c r="Z1479" s="657"/>
      <c r="AA1479" s="481"/>
      <c r="AC1479" s="456"/>
      <c r="AD1479" s="522" t="s">
        <v>3879</v>
      </c>
      <c r="AE1479" s="699"/>
      <c r="AF1479" s="456"/>
      <c r="AG1479" s="699"/>
      <c r="AH1479" s="481"/>
      <c r="AJ1479" s="481"/>
    </row>
    <row r="1480" spans="1:36" s="454" customFormat="1" ht="23.25" x14ac:dyDescent="0.25">
      <c r="A1480" s="515" t="s">
        <v>863</v>
      </c>
      <c r="B1480" s="686" t="s">
        <v>3881</v>
      </c>
      <c r="C1480" s="2683" t="s">
        <v>3882</v>
      </c>
      <c r="D1480" s="2683"/>
      <c r="E1480" s="2683"/>
      <c r="F1480" s="687" t="s">
        <v>3883</v>
      </c>
      <c r="G1480" s="688">
        <v>0</v>
      </c>
      <c r="H1480" s="688"/>
      <c r="I1480" s="688">
        <v>0</v>
      </c>
      <c r="J1480" s="688"/>
      <c r="K1480" s="688"/>
      <c r="L1480" s="689"/>
      <c r="M1480" s="690"/>
      <c r="X1480" s="656"/>
      <c r="Y1480" s="657"/>
      <c r="Z1480" s="657"/>
      <c r="AA1480" s="481"/>
      <c r="AC1480" s="456"/>
      <c r="AD1480" s="522" t="s">
        <v>3882</v>
      </c>
      <c r="AE1480" s="699"/>
      <c r="AF1480" s="456"/>
      <c r="AG1480" s="699"/>
      <c r="AH1480" s="481"/>
      <c r="AJ1480" s="481"/>
    </row>
    <row r="1481" spans="1:36" s="454" customFormat="1" ht="45" x14ac:dyDescent="0.25">
      <c r="A1481" s="658" t="s">
        <v>1569</v>
      </c>
      <c r="B1481" s="659" t="s">
        <v>3884</v>
      </c>
      <c r="C1481" s="2673" t="s">
        <v>3885</v>
      </c>
      <c r="D1481" s="2673"/>
      <c r="E1481" s="2673"/>
      <c r="F1481" s="679">
        <v>11.15</v>
      </c>
      <c r="G1481" s="661" t="s">
        <v>3886</v>
      </c>
      <c r="H1481" s="661" t="s">
        <v>1573</v>
      </c>
      <c r="I1481" s="661">
        <v>39204</v>
      </c>
      <c r="J1481" s="661">
        <v>39055</v>
      </c>
      <c r="K1481" s="662" t="s">
        <v>1574</v>
      </c>
      <c r="L1481" s="692">
        <v>421.5</v>
      </c>
      <c r="M1481" s="672">
        <v>4699.7299999999996</v>
      </c>
      <c r="X1481" s="656"/>
      <c r="Y1481" s="657"/>
      <c r="Z1481" s="657"/>
      <c r="AA1481" s="481" t="s">
        <v>3885</v>
      </c>
      <c r="AC1481" s="456"/>
      <c r="AD1481" s="522"/>
      <c r="AE1481" s="699"/>
      <c r="AF1481" s="456"/>
      <c r="AG1481" s="699"/>
      <c r="AH1481" s="481"/>
      <c r="AJ1481" s="481"/>
    </row>
    <row r="1482" spans="1:36" s="454" customFormat="1" ht="15" x14ac:dyDescent="0.25">
      <c r="A1482" s="664"/>
      <c r="B1482" s="665"/>
      <c r="C1482" s="666" t="s">
        <v>3871</v>
      </c>
      <c r="D1482" s="667"/>
      <c r="E1482" s="667"/>
      <c r="F1482" s="667"/>
      <c r="G1482" s="667"/>
      <c r="H1482" s="667"/>
      <c r="I1482" s="667"/>
      <c r="J1482" s="667"/>
      <c r="K1482" s="667"/>
      <c r="L1482" s="667"/>
      <c r="M1482" s="668"/>
      <c r="X1482" s="656"/>
      <c r="Y1482" s="657"/>
      <c r="Z1482" s="657"/>
      <c r="AA1482" s="481"/>
      <c r="AC1482" s="456"/>
      <c r="AD1482" s="522"/>
      <c r="AE1482" s="699"/>
      <c r="AF1482" s="456"/>
      <c r="AG1482" s="699"/>
      <c r="AH1482" s="481"/>
      <c r="AJ1482" s="481"/>
    </row>
    <row r="1483" spans="1:36" s="454" customFormat="1" ht="33.75" x14ac:dyDescent="0.25">
      <c r="A1483" s="542"/>
      <c r="B1483" s="673" t="s">
        <v>1655</v>
      </c>
      <c r="C1483" s="2670" t="s">
        <v>1656</v>
      </c>
      <c r="D1483" s="2670"/>
      <c r="E1483" s="2670"/>
      <c r="F1483" s="2670"/>
      <c r="G1483" s="2670"/>
      <c r="H1483" s="2670"/>
      <c r="I1483" s="2670"/>
      <c r="J1483" s="2670"/>
      <c r="K1483" s="2670"/>
      <c r="L1483" s="2670"/>
      <c r="M1483" s="2671"/>
      <c r="X1483" s="656"/>
      <c r="Y1483" s="657"/>
      <c r="Z1483" s="657"/>
      <c r="AA1483" s="481"/>
      <c r="AB1483" s="491" t="s">
        <v>1656</v>
      </c>
      <c r="AC1483" s="456"/>
      <c r="AD1483" s="522"/>
      <c r="AE1483" s="699"/>
      <c r="AF1483" s="456"/>
      <c r="AG1483" s="699"/>
      <c r="AH1483" s="481"/>
      <c r="AJ1483" s="481"/>
    </row>
    <row r="1484" spans="1:36" s="454" customFormat="1" ht="15" x14ac:dyDescent="0.25">
      <c r="A1484" s="823"/>
      <c r="B1484" s="824"/>
      <c r="C1484" s="824"/>
      <c r="D1484" s="824"/>
      <c r="E1484" s="825" t="s">
        <v>3887</v>
      </c>
      <c r="F1484" s="826"/>
      <c r="G1484" s="827"/>
      <c r="H1484" s="648"/>
      <c r="I1484" s="828">
        <v>31259</v>
      </c>
      <c r="J1484" s="829"/>
      <c r="K1484" s="829"/>
      <c r="L1484" s="830"/>
      <c r="M1484" s="831"/>
      <c r="X1484" s="656"/>
      <c r="Y1484" s="657"/>
      <c r="Z1484" s="657"/>
      <c r="AA1484" s="481"/>
      <c r="AC1484" s="456"/>
      <c r="AD1484" s="522"/>
      <c r="AE1484" s="699"/>
      <c r="AF1484" s="456"/>
      <c r="AG1484" s="699"/>
      <c r="AH1484" s="481"/>
      <c r="AJ1484" s="481"/>
    </row>
    <row r="1485" spans="1:36" s="454" customFormat="1" ht="15" x14ac:dyDescent="0.25">
      <c r="A1485" s="823"/>
      <c r="B1485" s="824"/>
      <c r="C1485" s="824"/>
      <c r="D1485" s="824"/>
      <c r="E1485" s="825" t="s">
        <v>3888</v>
      </c>
      <c r="F1485" s="826"/>
      <c r="G1485" s="827"/>
      <c r="H1485" s="648"/>
      <c r="I1485" s="828">
        <v>17583</v>
      </c>
      <c r="J1485" s="829"/>
      <c r="K1485" s="829"/>
      <c r="L1485" s="830"/>
      <c r="M1485" s="831"/>
      <c r="X1485" s="656"/>
      <c r="Y1485" s="657"/>
      <c r="Z1485" s="657"/>
      <c r="AA1485" s="481"/>
      <c r="AC1485" s="456"/>
      <c r="AD1485" s="522"/>
      <c r="AE1485" s="699"/>
      <c r="AF1485" s="456"/>
      <c r="AG1485" s="699"/>
      <c r="AH1485" s="481"/>
      <c r="AJ1485" s="481"/>
    </row>
    <row r="1486" spans="1:36" s="454" customFormat="1" ht="15" x14ac:dyDescent="0.25">
      <c r="A1486" s="823"/>
      <c r="B1486" s="824"/>
      <c r="C1486" s="824"/>
      <c r="D1486" s="824"/>
      <c r="E1486" s="825" t="s">
        <v>2692</v>
      </c>
      <c r="F1486" s="826"/>
      <c r="G1486" s="827"/>
      <c r="H1486" s="648"/>
      <c r="I1486" s="828">
        <v>88046</v>
      </c>
      <c r="J1486" s="829"/>
      <c r="K1486" s="829"/>
      <c r="L1486" s="830"/>
      <c r="M1486" s="831"/>
      <c r="X1486" s="656"/>
      <c r="Y1486" s="657"/>
      <c r="Z1486" s="657"/>
      <c r="AA1486" s="481"/>
      <c r="AC1486" s="456"/>
      <c r="AD1486" s="522"/>
      <c r="AE1486" s="699"/>
      <c r="AF1486" s="456"/>
      <c r="AG1486" s="699"/>
      <c r="AH1486" s="481"/>
      <c r="AJ1486" s="481"/>
    </row>
    <row r="1487" spans="1:36" s="454" customFormat="1" ht="23.25" x14ac:dyDescent="0.25">
      <c r="A1487" s="507"/>
      <c r="B1487" s="674" t="s">
        <v>3889</v>
      </c>
      <c r="C1487" s="2672" t="s">
        <v>3890</v>
      </c>
      <c r="D1487" s="2672"/>
      <c r="E1487" s="2672"/>
      <c r="F1487" s="675" t="s">
        <v>3891</v>
      </c>
      <c r="G1487" s="676" t="s">
        <v>3892</v>
      </c>
      <c r="H1487" s="676"/>
      <c r="I1487" s="676">
        <v>39054.76</v>
      </c>
      <c r="J1487" s="676">
        <v>39054.76</v>
      </c>
      <c r="K1487" s="676"/>
      <c r="L1487" s="677"/>
      <c r="M1487" s="678"/>
      <c r="X1487" s="656"/>
      <c r="Y1487" s="657"/>
      <c r="Z1487" s="657"/>
      <c r="AA1487" s="481"/>
      <c r="AC1487" s="456" t="s">
        <v>3890</v>
      </c>
      <c r="AD1487" s="522"/>
      <c r="AE1487" s="699"/>
      <c r="AF1487" s="456"/>
      <c r="AG1487" s="699"/>
      <c r="AH1487" s="481"/>
      <c r="AJ1487" s="481"/>
    </row>
    <row r="1488" spans="1:36" s="454" customFormat="1" ht="23.25" x14ac:dyDescent="0.25">
      <c r="A1488" s="507"/>
      <c r="B1488" s="674" t="s">
        <v>639</v>
      </c>
      <c r="C1488" s="2672" t="s">
        <v>1661</v>
      </c>
      <c r="D1488" s="2672"/>
      <c r="E1488" s="2672"/>
      <c r="F1488" s="675" t="s">
        <v>3893</v>
      </c>
      <c r="G1488" s="676">
        <v>0</v>
      </c>
      <c r="H1488" s="676">
        <v>0</v>
      </c>
      <c r="I1488" s="676">
        <v>0</v>
      </c>
      <c r="J1488" s="676"/>
      <c r="K1488" s="676">
        <v>0</v>
      </c>
      <c r="L1488" s="677"/>
      <c r="M1488" s="678"/>
      <c r="X1488" s="656"/>
      <c r="Y1488" s="657"/>
      <c r="Z1488" s="657"/>
      <c r="AA1488" s="481"/>
      <c r="AC1488" s="456" t="s">
        <v>1661</v>
      </c>
      <c r="AD1488" s="522"/>
      <c r="AE1488" s="699"/>
      <c r="AF1488" s="456"/>
      <c r="AG1488" s="699"/>
      <c r="AH1488" s="481"/>
      <c r="AJ1488" s="481"/>
    </row>
    <row r="1489" spans="1:36" s="454" customFormat="1" ht="34.5" x14ac:dyDescent="0.25">
      <c r="A1489" s="507"/>
      <c r="B1489" s="674" t="s">
        <v>3894</v>
      </c>
      <c r="C1489" s="2672" t="s">
        <v>3895</v>
      </c>
      <c r="D1489" s="2672"/>
      <c r="E1489" s="2672"/>
      <c r="F1489" s="675" t="s">
        <v>3896</v>
      </c>
      <c r="G1489" s="676">
        <v>89.54</v>
      </c>
      <c r="H1489" s="676" t="s">
        <v>3897</v>
      </c>
      <c r="I1489" s="676">
        <v>100.28</v>
      </c>
      <c r="J1489" s="676"/>
      <c r="K1489" s="676" t="s">
        <v>3898</v>
      </c>
      <c r="L1489" s="677"/>
      <c r="M1489" s="678"/>
      <c r="X1489" s="656"/>
      <c r="Y1489" s="657"/>
      <c r="Z1489" s="657"/>
      <c r="AA1489" s="481"/>
      <c r="AC1489" s="456" t="s">
        <v>3895</v>
      </c>
      <c r="AD1489" s="522"/>
      <c r="AE1489" s="699"/>
      <c r="AF1489" s="456"/>
      <c r="AG1489" s="699"/>
      <c r="AH1489" s="481"/>
      <c r="AJ1489" s="481"/>
    </row>
    <row r="1490" spans="1:36" s="454" customFormat="1" ht="23.25" x14ac:dyDescent="0.25">
      <c r="A1490" s="515" t="s">
        <v>863</v>
      </c>
      <c r="B1490" s="686" t="s">
        <v>3899</v>
      </c>
      <c r="C1490" s="2683" t="s">
        <v>3900</v>
      </c>
      <c r="D1490" s="2683"/>
      <c r="E1490" s="2683"/>
      <c r="F1490" s="687" t="s">
        <v>3901</v>
      </c>
      <c r="G1490" s="688">
        <v>0</v>
      </c>
      <c r="H1490" s="688"/>
      <c r="I1490" s="688">
        <v>0</v>
      </c>
      <c r="J1490" s="688"/>
      <c r="K1490" s="688"/>
      <c r="L1490" s="689"/>
      <c r="M1490" s="690"/>
      <c r="X1490" s="656"/>
      <c r="Y1490" s="657"/>
      <c r="Z1490" s="657"/>
      <c r="AA1490" s="481"/>
      <c r="AC1490" s="456"/>
      <c r="AD1490" s="522" t="s">
        <v>3900</v>
      </c>
      <c r="AE1490" s="699"/>
      <c r="AF1490" s="456"/>
      <c r="AG1490" s="699"/>
      <c r="AH1490" s="481"/>
      <c r="AJ1490" s="481"/>
    </row>
    <row r="1491" spans="1:36" s="454" customFormat="1" ht="15" x14ac:dyDescent="0.25">
      <c r="A1491" s="2680" t="s">
        <v>1575</v>
      </c>
      <c r="B1491" s="2681"/>
      <c r="C1491" s="2681"/>
      <c r="D1491" s="2681"/>
      <c r="E1491" s="2681"/>
      <c r="F1491" s="2681"/>
      <c r="G1491" s="2681"/>
      <c r="H1491" s="2681"/>
      <c r="I1491" s="2681"/>
      <c r="J1491" s="2681"/>
      <c r="K1491" s="2681"/>
      <c r="L1491" s="2681"/>
      <c r="M1491" s="2682"/>
      <c r="X1491" s="656"/>
      <c r="Y1491" s="657" t="s">
        <v>1575</v>
      </c>
      <c r="Z1491" s="657"/>
      <c r="AA1491" s="481"/>
      <c r="AC1491" s="456"/>
      <c r="AD1491" s="522"/>
      <c r="AE1491" s="699"/>
      <c r="AF1491" s="456"/>
      <c r="AG1491" s="699"/>
      <c r="AH1491" s="481"/>
      <c r="AJ1491" s="481"/>
    </row>
    <row r="1492" spans="1:36" s="454" customFormat="1" ht="45.75" x14ac:dyDescent="0.25">
      <c r="A1492" s="658" t="s">
        <v>1576</v>
      </c>
      <c r="B1492" s="659" t="s">
        <v>3902</v>
      </c>
      <c r="C1492" s="2673" t="s">
        <v>3903</v>
      </c>
      <c r="D1492" s="2673"/>
      <c r="E1492" s="2673"/>
      <c r="F1492" s="679">
        <v>1.85</v>
      </c>
      <c r="G1492" s="661" t="s">
        <v>3904</v>
      </c>
      <c r="H1492" s="661" t="s">
        <v>3905</v>
      </c>
      <c r="I1492" s="661">
        <v>9840</v>
      </c>
      <c r="J1492" s="661">
        <v>543</v>
      </c>
      <c r="K1492" s="662" t="s">
        <v>3906</v>
      </c>
      <c r="L1492" s="671">
        <v>36.284999999999997</v>
      </c>
      <c r="M1492" s="672">
        <v>67.13</v>
      </c>
      <c r="X1492" s="656"/>
      <c r="Y1492" s="657"/>
      <c r="Z1492" s="657"/>
      <c r="AA1492" s="481" t="s">
        <v>3903</v>
      </c>
      <c r="AC1492" s="456"/>
      <c r="AD1492" s="522"/>
      <c r="AE1492" s="699"/>
      <c r="AF1492" s="456"/>
      <c r="AG1492" s="699"/>
      <c r="AH1492" s="481"/>
      <c r="AJ1492" s="481"/>
    </row>
    <row r="1493" spans="1:36" s="454" customFormat="1" ht="15" x14ac:dyDescent="0.25">
      <c r="A1493" s="664"/>
      <c r="B1493" s="665"/>
      <c r="C1493" s="666" t="s">
        <v>3907</v>
      </c>
      <c r="D1493" s="667"/>
      <c r="E1493" s="667"/>
      <c r="F1493" s="667"/>
      <c r="G1493" s="667"/>
      <c r="H1493" s="667"/>
      <c r="I1493" s="667"/>
      <c r="J1493" s="667"/>
      <c r="K1493" s="667"/>
      <c r="L1493" s="667"/>
      <c r="M1493" s="668"/>
      <c r="X1493" s="656"/>
      <c r="Y1493" s="657"/>
      <c r="Z1493" s="657"/>
      <c r="AA1493" s="481"/>
      <c r="AC1493" s="456"/>
      <c r="AD1493" s="522"/>
      <c r="AE1493" s="699"/>
      <c r="AF1493" s="456"/>
      <c r="AG1493" s="699"/>
      <c r="AH1493" s="481"/>
      <c r="AJ1493" s="481"/>
    </row>
    <row r="1494" spans="1:36" s="454" customFormat="1" ht="33.75" x14ac:dyDescent="0.25">
      <c r="A1494" s="542"/>
      <c r="B1494" s="673" t="s">
        <v>1655</v>
      </c>
      <c r="C1494" s="2670" t="s">
        <v>1656</v>
      </c>
      <c r="D1494" s="2670"/>
      <c r="E1494" s="2670"/>
      <c r="F1494" s="2670"/>
      <c r="G1494" s="2670"/>
      <c r="H1494" s="2670"/>
      <c r="I1494" s="2670"/>
      <c r="J1494" s="2670"/>
      <c r="K1494" s="2670"/>
      <c r="L1494" s="2670"/>
      <c r="M1494" s="2671"/>
      <c r="X1494" s="656"/>
      <c r="Y1494" s="657"/>
      <c r="Z1494" s="657"/>
      <c r="AA1494" s="481"/>
      <c r="AB1494" s="491" t="s">
        <v>1656</v>
      </c>
      <c r="AC1494" s="456"/>
      <c r="AD1494" s="522"/>
      <c r="AE1494" s="699"/>
      <c r="AF1494" s="456"/>
      <c r="AG1494" s="699"/>
      <c r="AH1494" s="481"/>
      <c r="AJ1494" s="481"/>
    </row>
    <row r="1495" spans="1:36" s="454" customFormat="1" ht="15" x14ac:dyDescent="0.25">
      <c r="A1495" s="823"/>
      <c r="B1495" s="824"/>
      <c r="C1495" s="824"/>
      <c r="D1495" s="824"/>
      <c r="E1495" s="825" t="s">
        <v>3908</v>
      </c>
      <c r="F1495" s="826"/>
      <c r="G1495" s="827"/>
      <c r="H1495" s="648"/>
      <c r="I1495" s="828">
        <v>1869</v>
      </c>
      <c r="J1495" s="829"/>
      <c r="K1495" s="829"/>
      <c r="L1495" s="830"/>
      <c r="M1495" s="831"/>
      <c r="X1495" s="656"/>
      <c r="Y1495" s="657"/>
      <c r="Z1495" s="657"/>
      <c r="AA1495" s="481"/>
      <c r="AC1495" s="456"/>
      <c r="AD1495" s="522"/>
      <c r="AE1495" s="699"/>
      <c r="AF1495" s="456"/>
      <c r="AG1495" s="699"/>
      <c r="AH1495" s="481"/>
      <c r="AJ1495" s="481"/>
    </row>
    <row r="1496" spans="1:36" s="454" customFormat="1" ht="15" x14ac:dyDescent="0.25">
      <c r="A1496" s="823"/>
      <c r="B1496" s="824"/>
      <c r="C1496" s="824"/>
      <c r="D1496" s="824"/>
      <c r="E1496" s="825" t="s">
        <v>3909</v>
      </c>
      <c r="F1496" s="826"/>
      <c r="G1496" s="827"/>
      <c r="H1496" s="648"/>
      <c r="I1496" s="828">
        <v>1250</v>
      </c>
      <c r="J1496" s="829"/>
      <c r="K1496" s="829"/>
      <c r="L1496" s="830"/>
      <c r="M1496" s="831"/>
      <c r="X1496" s="656"/>
      <c r="Y1496" s="657"/>
      <c r="Z1496" s="657"/>
      <c r="AA1496" s="481"/>
      <c r="AC1496" s="456"/>
      <c r="AD1496" s="522"/>
      <c r="AE1496" s="699"/>
      <c r="AF1496" s="456"/>
      <c r="AG1496" s="699"/>
      <c r="AH1496" s="481"/>
      <c r="AJ1496" s="481"/>
    </row>
    <row r="1497" spans="1:36" s="454" customFormat="1" ht="15" x14ac:dyDescent="0.25">
      <c r="A1497" s="823"/>
      <c r="B1497" s="824"/>
      <c r="C1497" s="824"/>
      <c r="D1497" s="824"/>
      <c r="E1497" s="825" t="s">
        <v>2692</v>
      </c>
      <c r="F1497" s="826"/>
      <c r="G1497" s="827"/>
      <c r="H1497" s="648"/>
      <c r="I1497" s="828">
        <v>12959</v>
      </c>
      <c r="J1497" s="829"/>
      <c r="K1497" s="829"/>
      <c r="L1497" s="830"/>
      <c r="M1497" s="831"/>
      <c r="X1497" s="656"/>
      <c r="Y1497" s="657"/>
      <c r="Z1497" s="657"/>
      <c r="AA1497" s="481"/>
      <c r="AC1497" s="456"/>
      <c r="AD1497" s="522"/>
      <c r="AE1497" s="699"/>
      <c r="AF1497" s="456"/>
      <c r="AG1497" s="699"/>
      <c r="AH1497" s="481"/>
      <c r="AJ1497" s="481"/>
    </row>
    <row r="1498" spans="1:36" s="454" customFormat="1" ht="23.25" x14ac:dyDescent="0.25">
      <c r="A1498" s="507"/>
      <c r="B1498" s="674" t="s">
        <v>3910</v>
      </c>
      <c r="C1498" s="2672" t="s">
        <v>3911</v>
      </c>
      <c r="D1498" s="2672"/>
      <c r="E1498" s="2672"/>
      <c r="F1498" s="675" t="s">
        <v>3912</v>
      </c>
      <c r="G1498" s="676" t="s">
        <v>3913</v>
      </c>
      <c r="H1498" s="676"/>
      <c r="I1498" s="676">
        <v>543.08000000000004</v>
      </c>
      <c r="J1498" s="676">
        <v>543.08000000000004</v>
      </c>
      <c r="K1498" s="676"/>
      <c r="L1498" s="677"/>
      <c r="M1498" s="678"/>
      <c r="X1498" s="656"/>
      <c r="Y1498" s="657"/>
      <c r="Z1498" s="657"/>
      <c r="AA1498" s="481"/>
      <c r="AC1498" s="456" t="s">
        <v>3911</v>
      </c>
      <c r="AD1498" s="522"/>
      <c r="AE1498" s="699"/>
      <c r="AF1498" s="456"/>
      <c r="AG1498" s="699"/>
      <c r="AH1498" s="481"/>
      <c r="AJ1498" s="481"/>
    </row>
    <row r="1499" spans="1:36" s="454" customFormat="1" ht="23.25" x14ac:dyDescent="0.25">
      <c r="A1499" s="507"/>
      <c r="B1499" s="674" t="s">
        <v>639</v>
      </c>
      <c r="C1499" s="2672" t="s">
        <v>1661</v>
      </c>
      <c r="D1499" s="2672"/>
      <c r="E1499" s="2672"/>
      <c r="F1499" s="675" t="s">
        <v>3914</v>
      </c>
      <c r="G1499" s="676">
        <v>0</v>
      </c>
      <c r="H1499" s="676">
        <v>0</v>
      </c>
      <c r="I1499" s="676">
        <v>0</v>
      </c>
      <c r="J1499" s="676"/>
      <c r="K1499" s="676">
        <v>0</v>
      </c>
      <c r="L1499" s="677"/>
      <c r="M1499" s="678"/>
      <c r="X1499" s="656"/>
      <c r="Y1499" s="657"/>
      <c r="Z1499" s="657"/>
      <c r="AA1499" s="481"/>
      <c r="AC1499" s="456" t="s">
        <v>1661</v>
      </c>
      <c r="AD1499" s="522"/>
      <c r="AE1499" s="699"/>
      <c r="AF1499" s="456"/>
      <c r="AG1499" s="699"/>
      <c r="AH1499" s="481"/>
      <c r="AJ1499" s="481"/>
    </row>
    <row r="1500" spans="1:36" s="454" customFormat="1" ht="23.25" x14ac:dyDescent="0.25">
      <c r="A1500" s="507"/>
      <c r="B1500" s="674" t="s">
        <v>1968</v>
      </c>
      <c r="C1500" s="2672" t="s">
        <v>1969</v>
      </c>
      <c r="D1500" s="2672"/>
      <c r="E1500" s="2672"/>
      <c r="F1500" s="675" t="s">
        <v>3915</v>
      </c>
      <c r="G1500" s="676">
        <v>79.069999999999993</v>
      </c>
      <c r="H1500" s="676" t="s">
        <v>1971</v>
      </c>
      <c r="I1500" s="676">
        <v>378.75</v>
      </c>
      <c r="J1500" s="676"/>
      <c r="K1500" s="676" t="s">
        <v>3916</v>
      </c>
      <c r="L1500" s="677"/>
      <c r="M1500" s="678"/>
      <c r="X1500" s="656"/>
      <c r="Y1500" s="657"/>
      <c r="Z1500" s="657"/>
      <c r="AA1500" s="481"/>
      <c r="AC1500" s="456" t="s">
        <v>1969</v>
      </c>
      <c r="AD1500" s="522"/>
      <c r="AE1500" s="699"/>
      <c r="AF1500" s="456"/>
      <c r="AG1500" s="699"/>
      <c r="AH1500" s="481"/>
      <c r="AJ1500" s="481"/>
    </row>
    <row r="1501" spans="1:36" s="454" customFormat="1" ht="34.5" x14ac:dyDescent="0.25">
      <c r="A1501" s="507"/>
      <c r="B1501" s="674" t="s">
        <v>3917</v>
      </c>
      <c r="C1501" s="2672" t="s">
        <v>3918</v>
      </c>
      <c r="D1501" s="2672"/>
      <c r="E1501" s="2672"/>
      <c r="F1501" s="675" t="s">
        <v>3919</v>
      </c>
      <c r="G1501" s="676">
        <v>123</v>
      </c>
      <c r="H1501" s="676" t="s">
        <v>3920</v>
      </c>
      <c r="I1501" s="676">
        <v>523.98</v>
      </c>
      <c r="J1501" s="676"/>
      <c r="K1501" s="676" t="s">
        <v>3921</v>
      </c>
      <c r="L1501" s="677"/>
      <c r="M1501" s="678"/>
      <c r="X1501" s="656"/>
      <c r="Y1501" s="657"/>
      <c r="Z1501" s="657"/>
      <c r="AA1501" s="481"/>
      <c r="AC1501" s="456" t="s">
        <v>3918</v>
      </c>
      <c r="AD1501" s="522"/>
      <c r="AE1501" s="699"/>
      <c r="AF1501" s="456"/>
      <c r="AG1501" s="699"/>
      <c r="AH1501" s="481"/>
      <c r="AJ1501" s="481"/>
    </row>
    <row r="1502" spans="1:36" s="454" customFormat="1" ht="23.25" x14ac:dyDescent="0.25">
      <c r="A1502" s="507"/>
      <c r="B1502" s="674" t="s">
        <v>1741</v>
      </c>
      <c r="C1502" s="2672" t="s">
        <v>1742</v>
      </c>
      <c r="D1502" s="2672"/>
      <c r="E1502" s="2672"/>
      <c r="F1502" s="675" t="s">
        <v>3922</v>
      </c>
      <c r="G1502" s="676">
        <v>89.99</v>
      </c>
      <c r="H1502" s="676" t="s">
        <v>1744</v>
      </c>
      <c r="I1502" s="676">
        <v>409.45</v>
      </c>
      <c r="J1502" s="676"/>
      <c r="K1502" s="676" t="s">
        <v>3923</v>
      </c>
      <c r="L1502" s="677"/>
      <c r="M1502" s="678"/>
      <c r="X1502" s="656"/>
      <c r="Y1502" s="657"/>
      <c r="Z1502" s="657"/>
      <c r="AA1502" s="481"/>
      <c r="AC1502" s="456" t="s">
        <v>1742</v>
      </c>
      <c r="AD1502" s="522"/>
      <c r="AE1502" s="699"/>
      <c r="AF1502" s="456"/>
      <c r="AG1502" s="699"/>
      <c r="AH1502" s="481"/>
      <c r="AJ1502" s="481"/>
    </row>
    <row r="1503" spans="1:36" s="454" customFormat="1" ht="23.25" x14ac:dyDescent="0.25">
      <c r="A1503" s="507"/>
      <c r="B1503" s="674" t="s">
        <v>3924</v>
      </c>
      <c r="C1503" s="2672" t="s">
        <v>3925</v>
      </c>
      <c r="D1503" s="2672"/>
      <c r="E1503" s="2672"/>
      <c r="F1503" s="675" t="s">
        <v>3926</v>
      </c>
      <c r="G1503" s="676">
        <v>206.01</v>
      </c>
      <c r="H1503" s="676" t="s">
        <v>3927</v>
      </c>
      <c r="I1503" s="676">
        <v>4653.7700000000004</v>
      </c>
      <c r="J1503" s="676"/>
      <c r="K1503" s="676" t="s">
        <v>3928</v>
      </c>
      <c r="L1503" s="677"/>
      <c r="M1503" s="678"/>
      <c r="X1503" s="656"/>
      <c r="Y1503" s="657"/>
      <c r="Z1503" s="657"/>
      <c r="AA1503" s="481"/>
      <c r="AC1503" s="456" t="s">
        <v>3925</v>
      </c>
      <c r="AD1503" s="522"/>
      <c r="AE1503" s="699"/>
      <c r="AF1503" s="456"/>
      <c r="AG1503" s="699"/>
      <c r="AH1503" s="481"/>
      <c r="AJ1503" s="481"/>
    </row>
    <row r="1504" spans="1:36" s="454" customFormat="1" ht="23.25" x14ac:dyDescent="0.25">
      <c r="A1504" s="507"/>
      <c r="B1504" s="674" t="s">
        <v>3220</v>
      </c>
      <c r="C1504" s="2672" t="s">
        <v>3221</v>
      </c>
      <c r="D1504" s="2672"/>
      <c r="E1504" s="2672"/>
      <c r="F1504" s="675" t="s">
        <v>3929</v>
      </c>
      <c r="G1504" s="676">
        <v>110</v>
      </c>
      <c r="H1504" s="676" t="s">
        <v>3223</v>
      </c>
      <c r="I1504" s="676">
        <v>211.2</v>
      </c>
      <c r="J1504" s="676"/>
      <c r="K1504" s="676" t="s">
        <v>3930</v>
      </c>
      <c r="L1504" s="677"/>
      <c r="M1504" s="678"/>
      <c r="X1504" s="656"/>
      <c r="Y1504" s="657"/>
      <c r="Z1504" s="657"/>
      <c r="AA1504" s="481"/>
      <c r="AC1504" s="456" t="s">
        <v>3221</v>
      </c>
      <c r="AD1504" s="522"/>
      <c r="AE1504" s="699"/>
      <c r="AF1504" s="456"/>
      <c r="AG1504" s="699"/>
      <c r="AH1504" s="481"/>
      <c r="AJ1504" s="481"/>
    </row>
    <row r="1505" spans="1:36" s="454" customFormat="1" ht="23.25" x14ac:dyDescent="0.25">
      <c r="A1505" s="507"/>
      <c r="B1505" s="674" t="s">
        <v>1755</v>
      </c>
      <c r="C1505" s="2672" t="s">
        <v>1257</v>
      </c>
      <c r="D1505" s="2672"/>
      <c r="E1505" s="2672"/>
      <c r="F1505" s="675" t="s">
        <v>3931</v>
      </c>
      <c r="G1505" s="676">
        <v>2.44</v>
      </c>
      <c r="H1505" s="676"/>
      <c r="I1505" s="676">
        <v>31.6</v>
      </c>
      <c r="J1505" s="676"/>
      <c r="K1505" s="676"/>
      <c r="L1505" s="677"/>
      <c r="M1505" s="678"/>
      <c r="X1505" s="656"/>
      <c r="Y1505" s="657"/>
      <c r="Z1505" s="657"/>
      <c r="AA1505" s="481"/>
      <c r="AC1505" s="456" t="s">
        <v>1257</v>
      </c>
      <c r="AD1505" s="522"/>
      <c r="AE1505" s="699"/>
      <c r="AF1505" s="456"/>
      <c r="AG1505" s="699"/>
      <c r="AH1505" s="481"/>
      <c r="AJ1505" s="481"/>
    </row>
    <row r="1506" spans="1:36" s="454" customFormat="1" ht="23.25" x14ac:dyDescent="0.25">
      <c r="A1506" s="515" t="s">
        <v>860</v>
      </c>
      <c r="B1506" s="686" t="s">
        <v>3238</v>
      </c>
      <c r="C1506" s="2683" t="s">
        <v>3932</v>
      </c>
      <c r="D1506" s="2683"/>
      <c r="E1506" s="2683"/>
      <c r="F1506" s="687" t="s">
        <v>1935</v>
      </c>
      <c r="G1506" s="688">
        <v>0</v>
      </c>
      <c r="H1506" s="688"/>
      <c r="I1506" s="688">
        <v>0</v>
      </c>
      <c r="J1506" s="688"/>
      <c r="K1506" s="688"/>
      <c r="L1506" s="689"/>
      <c r="M1506" s="690"/>
      <c r="X1506" s="656"/>
      <c r="Y1506" s="657"/>
      <c r="Z1506" s="657"/>
      <c r="AA1506" s="481"/>
      <c r="AC1506" s="456"/>
      <c r="AD1506" s="522" t="s">
        <v>3932</v>
      </c>
      <c r="AE1506" s="699"/>
      <c r="AF1506" s="456"/>
      <c r="AG1506" s="699"/>
      <c r="AH1506" s="481"/>
      <c r="AJ1506" s="481"/>
    </row>
    <row r="1507" spans="1:36" s="454" customFormat="1" ht="45.75" x14ac:dyDescent="0.25">
      <c r="A1507" s="658" t="s">
        <v>1583</v>
      </c>
      <c r="B1507" s="659" t="s">
        <v>2413</v>
      </c>
      <c r="C1507" s="2673" t="s">
        <v>1585</v>
      </c>
      <c r="D1507" s="2673"/>
      <c r="E1507" s="2673"/>
      <c r="F1507" s="680">
        <v>240.5</v>
      </c>
      <c r="G1507" s="661">
        <v>90.94</v>
      </c>
      <c r="H1507" s="661"/>
      <c r="I1507" s="661">
        <v>21871</v>
      </c>
      <c r="J1507" s="661"/>
      <c r="K1507" s="662"/>
      <c r="L1507" s="663">
        <v>0</v>
      </c>
      <c r="M1507" s="663">
        <v>0</v>
      </c>
      <c r="X1507" s="656"/>
      <c r="Y1507" s="657"/>
      <c r="Z1507" s="657"/>
      <c r="AA1507" s="481" t="s">
        <v>1585</v>
      </c>
      <c r="AC1507" s="456"/>
      <c r="AD1507" s="522"/>
      <c r="AE1507" s="699"/>
      <c r="AF1507" s="456"/>
      <c r="AG1507" s="699"/>
      <c r="AH1507" s="481"/>
      <c r="AJ1507" s="481"/>
    </row>
    <row r="1508" spans="1:36" s="454" customFormat="1" ht="15" x14ac:dyDescent="0.25">
      <c r="A1508" s="664"/>
      <c r="B1508" s="665"/>
      <c r="C1508" s="666" t="s">
        <v>3933</v>
      </c>
      <c r="D1508" s="667"/>
      <c r="E1508" s="667"/>
      <c r="F1508" s="667"/>
      <c r="G1508" s="667"/>
      <c r="H1508" s="667"/>
      <c r="I1508" s="667"/>
      <c r="J1508" s="667"/>
      <c r="K1508" s="667"/>
      <c r="L1508" s="667"/>
      <c r="M1508" s="668"/>
      <c r="X1508" s="656"/>
      <c r="Y1508" s="657"/>
      <c r="Z1508" s="657"/>
      <c r="AA1508" s="481"/>
      <c r="AC1508" s="456"/>
      <c r="AD1508" s="522"/>
      <c r="AE1508" s="699"/>
      <c r="AF1508" s="456"/>
      <c r="AG1508" s="699"/>
      <c r="AH1508" s="481"/>
      <c r="AJ1508" s="481"/>
    </row>
    <row r="1509" spans="1:36" s="454" customFormat="1" ht="15" x14ac:dyDescent="0.25">
      <c r="A1509" s="2680" t="s">
        <v>1587</v>
      </c>
      <c r="B1509" s="2681"/>
      <c r="C1509" s="2681"/>
      <c r="D1509" s="2681"/>
      <c r="E1509" s="2681"/>
      <c r="F1509" s="2681"/>
      <c r="G1509" s="2681"/>
      <c r="H1509" s="2681"/>
      <c r="I1509" s="2681"/>
      <c r="J1509" s="2681"/>
      <c r="K1509" s="2681"/>
      <c r="L1509" s="2681"/>
      <c r="M1509" s="2682"/>
      <c r="X1509" s="656"/>
      <c r="Y1509" s="657" t="s">
        <v>1587</v>
      </c>
      <c r="Z1509" s="657"/>
      <c r="AA1509" s="481"/>
      <c r="AC1509" s="456"/>
      <c r="AD1509" s="522"/>
      <c r="AE1509" s="699"/>
      <c r="AF1509" s="456"/>
      <c r="AG1509" s="699"/>
      <c r="AH1509" s="481"/>
      <c r="AJ1509" s="481"/>
    </row>
    <row r="1510" spans="1:36" s="454" customFormat="1" ht="68.25" x14ac:dyDescent="0.25">
      <c r="A1510" s="658" t="s">
        <v>1588</v>
      </c>
      <c r="B1510" s="659" t="s">
        <v>3934</v>
      </c>
      <c r="C1510" s="2673" t="s">
        <v>3935</v>
      </c>
      <c r="D1510" s="2673"/>
      <c r="E1510" s="2673"/>
      <c r="F1510" s="701">
        <v>0.86814999999999998</v>
      </c>
      <c r="G1510" s="661">
        <v>6106.5</v>
      </c>
      <c r="H1510" s="661" t="s">
        <v>3936</v>
      </c>
      <c r="I1510" s="661">
        <v>5301</v>
      </c>
      <c r="J1510" s="661"/>
      <c r="K1510" s="662" t="s">
        <v>3937</v>
      </c>
      <c r="L1510" s="663">
        <v>0</v>
      </c>
      <c r="M1510" s="663">
        <v>0</v>
      </c>
      <c r="X1510" s="656"/>
      <c r="Y1510" s="657"/>
      <c r="Z1510" s="657"/>
      <c r="AA1510" s="481" t="s">
        <v>3935</v>
      </c>
      <c r="AC1510" s="456"/>
      <c r="AD1510" s="522"/>
      <c r="AE1510" s="699"/>
      <c r="AF1510" s="456"/>
      <c r="AG1510" s="699"/>
      <c r="AH1510" s="481"/>
      <c r="AJ1510" s="481"/>
    </row>
    <row r="1511" spans="1:36" s="454" customFormat="1" ht="15" x14ac:dyDescent="0.25">
      <c r="A1511" s="664"/>
      <c r="B1511" s="665"/>
      <c r="C1511" s="666" t="s">
        <v>3938</v>
      </c>
      <c r="D1511" s="667"/>
      <c r="E1511" s="667"/>
      <c r="F1511" s="667"/>
      <c r="G1511" s="667"/>
      <c r="H1511" s="667"/>
      <c r="I1511" s="667"/>
      <c r="J1511" s="667"/>
      <c r="K1511" s="667"/>
      <c r="L1511" s="667"/>
      <c r="M1511" s="668"/>
      <c r="X1511" s="656"/>
      <c r="Y1511" s="657"/>
      <c r="Z1511" s="657"/>
      <c r="AA1511" s="481"/>
      <c r="AC1511" s="456"/>
      <c r="AD1511" s="522"/>
      <c r="AE1511" s="699"/>
      <c r="AF1511" s="456"/>
      <c r="AG1511" s="699"/>
      <c r="AH1511" s="481"/>
      <c r="AJ1511" s="481"/>
    </row>
    <row r="1512" spans="1:36" s="454" customFormat="1" ht="33.75" x14ac:dyDescent="0.25">
      <c r="A1512" s="542"/>
      <c r="B1512" s="673" t="s">
        <v>1655</v>
      </c>
      <c r="C1512" s="2670" t="s">
        <v>1656</v>
      </c>
      <c r="D1512" s="2670"/>
      <c r="E1512" s="2670"/>
      <c r="F1512" s="2670"/>
      <c r="G1512" s="2670"/>
      <c r="H1512" s="2670"/>
      <c r="I1512" s="2670"/>
      <c r="J1512" s="2670"/>
      <c r="K1512" s="2670"/>
      <c r="L1512" s="2670"/>
      <c r="M1512" s="2671"/>
      <c r="X1512" s="656"/>
      <c r="Y1512" s="657"/>
      <c r="Z1512" s="657"/>
      <c r="AA1512" s="481"/>
      <c r="AB1512" s="491" t="s">
        <v>1656</v>
      </c>
      <c r="AC1512" s="456"/>
      <c r="AD1512" s="522"/>
      <c r="AE1512" s="699"/>
      <c r="AF1512" s="456"/>
      <c r="AG1512" s="699"/>
      <c r="AH1512" s="481"/>
      <c r="AJ1512" s="481"/>
    </row>
    <row r="1513" spans="1:36" s="454" customFormat="1" ht="15" x14ac:dyDescent="0.25">
      <c r="A1513" s="823"/>
      <c r="B1513" s="824"/>
      <c r="C1513" s="824"/>
      <c r="D1513" s="824"/>
      <c r="E1513" s="825" t="s">
        <v>3939</v>
      </c>
      <c r="F1513" s="826"/>
      <c r="G1513" s="827"/>
      <c r="H1513" s="648"/>
      <c r="I1513" s="828">
        <v>680</v>
      </c>
      <c r="J1513" s="829"/>
      <c r="K1513" s="829"/>
      <c r="L1513" s="830"/>
      <c r="M1513" s="831"/>
      <c r="X1513" s="656"/>
      <c r="Y1513" s="657"/>
      <c r="Z1513" s="657"/>
      <c r="AA1513" s="481"/>
      <c r="AC1513" s="456"/>
      <c r="AD1513" s="522"/>
      <c r="AE1513" s="699"/>
      <c r="AF1513" s="456"/>
      <c r="AG1513" s="699"/>
      <c r="AH1513" s="481"/>
      <c r="AJ1513" s="481"/>
    </row>
    <row r="1514" spans="1:36" s="454" customFormat="1" ht="15" x14ac:dyDescent="0.25">
      <c r="A1514" s="823"/>
      <c r="B1514" s="824"/>
      <c r="C1514" s="824"/>
      <c r="D1514" s="824"/>
      <c r="E1514" s="825" t="s">
        <v>3940</v>
      </c>
      <c r="F1514" s="826"/>
      <c r="G1514" s="827"/>
      <c r="H1514" s="648"/>
      <c r="I1514" s="828">
        <v>358</v>
      </c>
      <c r="J1514" s="829"/>
      <c r="K1514" s="829"/>
      <c r="L1514" s="830"/>
      <c r="M1514" s="831"/>
      <c r="X1514" s="656"/>
      <c r="Y1514" s="657"/>
      <c r="Z1514" s="657"/>
      <c r="AA1514" s="481"/>
      <c r="AC1514" s="456"/>
      <c r="AD1514" s="522"/>
      <c r="AE1514" s="699"/>
      <c r="AF1514" s="456"/>
      <c r="AG1514" s="699"/>
      <c r="AH1514" s="481"/>
      <c r="AJ1514" s="481"/>
    </row>
    <row r="1515" spans="1:36" s="454" customFormat="1" ht="15" x14ac:dyDescent="0.25">
      <c r="A1515" s="823"/>
      <c r="B1515" s="824"/>
      <c r="C1515" s="824"/>
      <c r="D1515" s="824"/>
      <c r="E1515" s="825" t="s">
        <v>2692</v>
      </c>
      <c r="F1515" s="826"/>
      <c r="G1515" s="827"/>
      <c r="H1515" s="648"/>
      <c r="I1515" s="828">
        <v>6339</v>
      </c>
      <c r="J1515" s="829"/>
      <c r="K1515" s="829"/>
      <c r="L1515" s="830"/>
      <c r="M1515" s="831"/>
      <c r="X1515" s="656"/>
      <c r="Y1515" s="657"/>
      <c r="Z1515" s="657"/>
      <c r="AA1515" s="481"/>
      <c r="AC1515" s="456"/>
      <c r="AD1515" s="522"/>
      <c r="AE1515" s="699"/>
      <c r="AF1515" s="456"/>
      <c r="AG1515" s="699"/>
      <c r="AH1515" s="481"/>
      <c r="AJ1515" s="481"/>
    </row>
    <row r="1516" spans="1:36" s="454" customFormat="1" ht="23.25" x14ac:dyDescent="0.25">
      <c r="A1516" s="507"/>
      <c r="B1516" s="674" t="s">
        <v>639</v>
      </c>
      <c r="C1516" s="2672" t="s">
        <v>1661</v>
      </c>
      <c r="D1516" s="2672"/>
      <c r="E1516" s="2672"/>
      <c r="F1516" s="675" t="s">
        <v>3941</v>
      </c>
      <c r="G1516" s="676">
        <v>0</v>
      </c>
      <c r="H1516" s="676">
        <v>0</v>
      </c>
      <c r="I1516" s="676">
        <v>0</v>
      </c>
      <c r="J1516" s="676"/>
      <c r="K1516" s="676">
        <v>0</v>
      </c>
      <c r="L1516" s="677"/>
      <c r="M1516" s="678"/>
      <c r="X1516" s="656"/>
      <c r="Y1516" s="657"/>
      <c r="Z1516" s="657"/>
      <c r="AA1516" s="481"/>
      <c r="AC1516" s="456" t="s">
        <v>1661</v>
      </c>
      <c r="AD1516" s="522"/>
      <c r="AE1516" s="699"/>
      <c r="AF1516" s="456"/>
      <c r="AG1516" s="699"/>
      <c r="AH1516" s="481"/>
      <c r="AJ1516" s="481"/>
    </row>
    <row r="1517" spans="1:36" s="454" customFormat="1" ht="34.5" x14ac:dyDescent="0.25">
      <c r="A1517" s="507"/>
      <c r="B1517" s="674" t="s">
        <v>2431</v>
      </c>
      <c r="C1517" s="2672" t="s">
        <v>2432</v>
      </c>
      <c r="D1517" s="2672"/>
      <c r="E1517" s="2672"/>
      <c r="F1517" s="675" t="s">
        <v>3942</v>
      </c>
      <c r="G1517" s="676">
        <v>100</v>
      </c>
      <c r="H1517" s="676" t="s">
        <v>2434</v>
      </c>
      <c r="I1517" s="676">
        <v>3534</v>
      </c>
      <c r="J1517" s="676"/>
      <c r="K1517" s="676" t="s">
        <v>3943</v>
      </c>
      <c r="L1517" s="677"/>
      <c r="M1517" s="678"/>
      <c r="X1517" s="656"/>
      <c r="Y1517" s="657"/>
      <c r="Z1517" s="657"/>
      <c r="AA1517" s="481"/>
      <c r="AC1517" s="456" t="s">
        <v>2432</v>
      </c>
      <c r="AD1517" s="522"/>
      <c r="AE1517" s="699"/>
      <c r="AF1517" s="456"/>
      <c r="AG1517" s="699"/>
      <c r="AH1517" s="481"/>
      <c r="AJ1517" s="481"/>
    </row>
    <row r="1518" spans="1:36" s="454" customFormat="1" ht="45.75" x14ac:dyDescent="0.25">
      <c r="A1518" s="658" t="s">
        <v>1594</v>
      </c>
      <c r="B1518" s="659" t="s">
        <v>2415</v>
      </c>
      <c r="C1518" s="2673" t="s">
        <v>2416</v>
      </c>
      <c r="D1518" s="2673"/>
      <c r="E1518" s="2673"/>
      <c r="F1518" s="685">
        <v>0.26850000000000002</v>
      </c>
      <c r="G1518" s="661" t="s">
        <v>2417</v>
      </c>
      <c r="H1518" s="661"/>
      <c r="I1518" s="661">
        <v>581</v>
      </c>
      <c r="J1518" s="661">
        <v>581</v>
      </c>
      <c r="K1518" s="662"/>
      <c r="L1518" s="692">
        <v>277.2</v>
      </c>
      <c r="M1518" s="672">
        <v>74.430000000000007</v>
      </c>
      <c r="X1518" s="656"/>
      <c r="Y1518" s="657"/>
      <c r="Z1518" s="657"/>
      <c r="AA1518" s="481" t="s">
        <v>2416</v>
      </c>
      <c r="AC1518" s="456"/>
      <c r="AD1518" s="522"/>
      <c r="AE1518" s="699"/>
      <c r="AF1518" s="456"/>
      <c r="AG1518" s="699"/>
      <c r="AH1518" s="481"/>
      <c r="AJ1518" s="481"/>
    </row>
    <row r="1519" spans="1:36" s="454" customFormat="1" ht="15" x14ac:dyDescent="0.25">
      <c r="A1519" s="664"/>
      <c r="B1519" s="665"/>
      <c r="C1519" s="666" t="s">
        <v>3944</v>
      </c>
      <c r="D1519" s="667"/>
      <c r="E1519" s="667"/>
      <c r="F1519" s="667"/>
      <c r="G1519" s="667"/>
      <c r="H1519" s="667"/>
      <c r="I1519" s="667"/>
      <c r="J1519" s="667"/>
      <c r="K1519" s="667"/>
      <c r="L1519" s="667"/>
      <c r="M1519" s="668"/>
      <c r="X1519" s="656"/>
      <c r="Y1519" s="657"/>
      <c r="Z1519" s="657"/>
      <c r="AA1519" s="481"/>
      <c r="AC1519" s="456"/>
      <c r="AD1519" s="522"/>
      <c r="AE1519" s="699"/>
      <c r="AF1519" s="456"/>
      <c r="AG1519" s="699"/>
      <c r="AH1519" s="481"/>
      <c r="AJ1519" s="481"/>
    </row>
    <row r="1520" spans="1:36" s="454" customFormat="1" ht="15" x14ac:dyDescent="0.25">
      <c r="A1520" s="542"/>
      <c r="B1520" s="673" t="s">
        <v>2419</v>
      </c>
      <c r="C1520" s="2670" t="s">
        <v>2420</v>
      </c>
      <c r="D1520" s="2670"/>
      <c r="E1520" s="2670"/>
      <c r="F1520" s="2670"/>
      <c r="G1520" s="2670"/>
      <c r="H1520" s="2670"/>
      <c r="I1520" s="2670"/>
      <c r="J1520" s="2670"/>
      <c r="K1520" s="2670"/>
      <c r="L1520" s="2670"/>
      <c r="M1520" s="2671"/>
      <c r="X1520" s="656"/>
      <c r="Y1520" s="657"/>
      <c r="Z1520" s="657"/>
      <c r="AA1520" s="481"/>
      <c r="AB1520" s="491" t="s">
        <v>2420</v>
      </c>
      <c r="AC1520" s="456"/>
      <c r="AD1520" s="522"/>
      <c r="AE1520" s="699"/>
      <c r="AF1520" s="456"/>
      <c r="AG1520" s="699"/>
      <c r="AH1520" s="481"/>
      <c r="AJ1520" s="481"/>
    </row>
    <row r="1521" spans="1:36" s="454" customFormat="1" ht="33.75" x14ac:dyDescent="0.25">
      <c r="A1521" s="542"/>
      <c r="B1521" s="673" t="s">
        <v>1655</v>
      </c>
      <c r="C1521" s="2670" t="s">
        <v>1656</v>
      </c>
      <c r="D1521" s="2670"/>
      <c r="E1521" s="2670"/>
      <c r="F1521" s="2670"/>
      <c r="G1521" s="2670"/>
      <c r="H1521" s="2670"/>
      <c r="I1521" s="2670"/>
      <c r="J1521" s="2670"/>
      <c r="K1521" s="2670"/>
      <c r="L1521" s="2670"/>
      <c r="M1521" s="2671"/>
      <c r="X1521" s="656"/>
      <c r="Y1521" s="657"/>
      <c r="Z1521" s="657"/>
      <c r="AA1521" s="481"/>
      <c r="AB1521" s="491" t="s">
        <v>1656</v>
      </c>
      <c r="AC1521" s="456"/>
      <c r="AD1521" s="522"/>
      <c r="AE1521" s="699"/>
      <c r="AF1521" s="456"/>
      <c r="AG1521" s="699"/>
      <c r="AH1521" s="481"/>
      <c r="AJ1521" s="481"/>
    </row>
    <row r="1522" spans="1:36" s="454" customFormat="1" ht="15" x14ac:dyDescent="0.25">
      <c r="A1522" s="823"/>
      <c r="B1522" s="824"/>
      <c r="C1522" s="824"/>
      <c r="D1522" s="824"/>
      <c r="E1522" s="825" t="s">
        <v>3945</v>
      </c>
      <c r="F1522" s="826"/>
      <c r="G1522" s="827"/>
      <c r="H1522" s="648"/>
      <c r="I1522" s="828">
        <v>465</v>
      </c>
      <c r="J1522" s="829"/>
      <c r="K1522" s="829"/>
      <c r="L1522" s="830"/>
      <c r="M1522" s="831"/>
      <c r="X1522" s="656"/>
      <c r="Y1522" s="657"/>
      <c r="Z1522" s="657"/>
      <c r="AA1522" s="481"/>
      <c r="AC1522" s="456"/>
      <c r="AD1522" s="522"/>
      <c r="AE1522" s="699"/>
      <c r="AF1522" s="456"/>
      <c r="AG1522" s="699"/>
      <c r="AH1522" s="481"/>
      <c r="AJ1522" s="481"/>
    </row>
    <row r="1523" spans="1:36" s="454" customFormat="1" ht="15" x14ac:dyDescent="0.25">
      <c r="A1523" s="823"/>
      <c r="B1523" s="824"/>
      <c r="C1523" s="824"/>
      <c r="D1523" s="824"/>
      <c r="E1523" s="825" t="s">
        <v>3946</v>
      </c>
      <c r="F1523" s="826"/>
      <c r="G1523" s="827"/>
      <c r="H1523" s="648"/>
      <c r="I1523" s="828">
        <v>261</v>
      </c>
      <c r="J1523" s="829"/>
      <c r="K1523" s="829"/>
      <c r="L1523" s="830"/>
      <c r="M1523" s="831"/>
      <c r="X1523" s="656"/>
      <c r="Y1523" s="657"/>
      <c r="Z1523" s="657"/>
      <c r="AA1523" s="481"/>
      <c r="AC1523" s="456"/>
      <c r="AD1523" s="522"/>
      <c r="AE1523" s="699"/>
      <c r="AF1523" s="456"/>
      <c r="AG1523" s="699"/>
      <c r="AH1523" s="481"/>
      <c r="AJ1523" s="481"/>
    </row>
    <row r="1524" spans="1:36" s="454" customFormat="1" ht="15" x14ac:dyDescent="0.25">
      <c r="A1524" s="823"/>
      <c r="B1524" s="824"/>
      <c r="C1524" s="824"/>
      <c r="D1524" s="824"/>
      <c r="E1524" s="825" t="s">
        <v>2692</v>
      </c>
      <c r="F1524" s="826"/>
      <c r="G1524" s="827"/>
      <c r="H1524" s="648"/>
      <c r="I1524" s="828">
        <v>1307</v>
      </c>
      <c r="J1524" s="829"/>
      <c r="K1524" s="829"/>
      <c r="L1524" s="830"/>
      <c r="M1524" s="831"/>
      <c r="X1524" s="656"/>
      <c r="Y1524" s="657"/>
      <c r="Z1524" s="657"/>
      <c r="AA1524" s="481"/>
      <c r="AC1524" s="456"/>
      <c r="AD1524" s="522"/>
      <c r="AE1524" s="699"/>
      <c r="AF1524" s="456"/>
      <c r="AG1524" s="699"/>
      <c r="AH1524" s="481"/>
      <c r="AJ1524" s="481"/>
    </row>
    <row r="1525" spans="1:36" s="454" customFormat="1" ht="23.25" x14ac:dyDescent="0.25">
      <c r="A1525" s="507"/>
      <c r="B1525" s="674" t="s">
        <v>2421</v>
      </c>
      <c r="C1525" s="2672" t="s">
        <v>2422</v>
      </c>
      <c r="D1525" s="2672"/>
      <c r="E1525" s="2672"/>
      <c r="F1525" s="675" t="s">
        <v>3947</v>
      </c>
      <c r="G1525" s="676" t="s">
        <v>2424</v>
      </c>
      <c r="H1525" s="676"/>
      <c r="I1525" s="676">
        <v>580.54999999999995</v>
      </c>
      <c r="J1525" s="676">
        <v>580.54999999999995</v>
      </c>
      <c r="K1525" s="676"/>
      <c r="L1525" s="677"/>
      <c r="M1525" s="678"/>
      <c r="X1525" s="656"/>
      <c r="Y1525" s="657"/>
      <c r="Z1525" s="657"/>
      <c r="AA1525" s="481"/>
      <c r="AC1525" s="456" t="s">
        <v>2422</v>
      </c>
      <c r="AD1525" s="522"/>
      <c r="AE1525" s="699"/>
      <c r="AF1525" s="456"/>
      <c r="AG1525" s="699"/>
      <c r="AH1525" s="481"/>
      <c r="AJ1525" s="481"/>
    </row>
    <row r="1526" spans="1:36" s="454" customFormat="1" ht="79.5" x14ac:dyDescent="0.25">
      <c r="A1526" s="658" t="s">
        <v>1599</v>
      </c>
      <c r="B1526" s="659" t="s">
        <v>2425</v>
      </c>
      <c r="C1526" s="2673" t="s">
        <v>2426</v>
      </c>
      <c r="D1526" s="2673"/>
      <c r="E1526" s="2673"/>
      <c r="F1526" s="701">
        <v>2.6849999999999999E-2</v>
      </c>
      <c r="G1526" s="661">
        <v>5044.5</v>
      </c>
      <c r="H1526" s="661" t="s">
        <v>2427</v>
      </c>
      <c r="I1526" s="661">
        <v>135</v>
      </c>
      <c r="J1526" s="661"/>
      <c r="K1526" s="662" t="s">
        <v>1604</v>
      </c>
      <c r="L1526" s="663">
        <v>0</v>
      </c>
      <c r="M1526" s="663">
        <v>0</v>
      </c>
      <c r="X1526" s="656"/>
      <c r="Y1526" s="657"/>
      <c r="Z1526" s="657"/>
      <c r="AA1526" s="481" t="s">
        <v>2426</v>
      </c>
      <c r="AC1526" s="456"/>
      <c r="AD1526" s="522"/>
      <c r="AE1526" s="699"/>
      <c r="AF1526" s="456"/>
      <c r="AG1526" s="699"/>
      <c r="AH1526" s="481"/>
      <c r="AJ1526" s="481"/>
    </row>
    <row r="1527" spans="1:36" s="454" customFormat="1" ht="15" x14ac:dyDescent="0.25">
      <c r="A1527" s="664"/>
      <c r="B1527" s="665"/>
      <c r="C1527" s="666" t="s">
        <v>3948</v>
      </c>
      <c r="D1527" s="667"/>
      <c r="E1527" s="667"/>
      <c r="F1527" s="667"/>
      <c r="G1527" s="667"/>
      <c r="H1527" s="667"/>
      <c r="I1527" s="667"/>
      <c r="J1527" s="667"/>
      <c r="K1527" s="667"/>
      <c r="L1527" s="667"/>
      <c r="M1527" s="668"/>
      <c r="X1527" s="656"/>
      <c r="Y1527" s="657"/>
      <c r="Z1527" s="657"/>
      <c r="AA1527" s="481"/>
      <c r="AC1527" s="456"/>
      <c r="AD1527" s="522"/>
      <c r="AE1527" s="699"/>
      <c r="AF1527" s="456"/>
      <c r="AG1527" s="699"/>
      <c r="AH1527" s="481"/>
      <c r="AJ1527" s="481"/>
    </row>
    <row r="1528" spans="1:36" s="454" customFormat="1" ht="33.75" x14ac:dyDescent="0.25">
      <c r="A1528" s="542"/>
      <c r="B1528" s="673" t="s">
        <v>1655</v>
      </c>
      <c r="C1528" s="2670" t="s">
        <v>1656</v>
      </c>
      <c r="D1528" s="2670"/>
      <c r="E1528" s="2670"/>
      <c r="F1528" s="2670"/>
      <c r="G1528" s="2670"/>
      <c r="H1528" s="2670"/>
      <c r="I1528" s="2670"/>
      <c r="J1528" s="2670"/>
      <c r="K1528" s="2670"/>
      <c r="L1528" s="2670"/>
      <c r="M1528" s="2671"/>
      <c r="X1528" s="656"/>
      <c r="Y1528" s="657"/>
      <c r="Z1528" s="657"/>
      <c r="AA1528" s="481"/>
      <c r="AB1528" s="491" t="s">
        <v>1656</v>
      </c>
      <c r="AC1528" s="456"/>
      <c r="AD1528" s="522"/>
      <c r="AE1528" s="699"/>
      <c r="AF1528" s="456"/>
      <c r="AG1528" s="699"/>
      <c r="AH1528" s="481"/>
      <c r="AJ1528" s="481"/>
    </row>
    <row r="1529" spans="1:36" s="454" customFormat="1" ht="15" x14ac:dyDescent="0.25">
      <c r="A1529" s="823"/>
      <c r="B1529" s="824"/>
      <c r="C1529" s="824"/>
      <c r="D1529" s="824"/>
      <c r="E1529" s="825" t="s">
        <v>3949</v>
      </c>
      <c r="F1529" s="826"/>
      <c r="G1529" s="827"/>
      <c r="H1529" s="648"/>
      <c r="I1529" s="828">
        <v>17</v>
      </c>
      <c r="J1529" s="829"/>
      <c r="K1529" s="829"/>
      <c r="L1529" s="830"/>
      <c r="M1529" s="831"/>
      <c r="X1529" s="656"/>
      <c r="Y1529" s="657"/>
      <c r="Z1529" s="657"/>
      <c r="AA1529" s="481"/>
      <c r="AC1529" s="456"/>
      <c r="AD1529" s="522"/>
      <c r="AE1529" s="699"/>
      <c r="AF1529" s="456"/>
      <c r="AG1529" s="699"/>
      <c r="AH1529" s="481"/>
      <c r="AJ1529" s="481"/>
    </row>
    <row r="1530" spans="1:36" s="454" customFormat="1" ht="15" x14ac:dyDescent="0.25">
      <c r="A1530" s="823"/>
      <c r="B1530" s="824"/>
      <c r="C1530" s="824"/>
      <c r="D1530" s="824"/>
      <c r="E1530" s="825" t="s">
        <v>3950</v>
      </c>
      <c r="F1530" s="826"/>
      <c r="G1530" s="827"/>
      <c r="H1530" s="648"/>
      <c r="I1530" s="828">
        <v>9</v>
      </c>
      <c r="J1530" s="829"/>
      <c r="K1530" s="829"/>
      <c r="L1530" s="830"/>
      <c r="M1530" s="831"/>
      <c r="X1530" s="656"/>
      <c r="Y1530" s="657"/>
      <c r="Z1530" s="657"/>
      <c r="AA1530" s="481"/>
      <c r="AC1530" s="456"/>
      <c r="AD1530" s="522"/>
      <c r="AE1530" s="699"/>
      <c r="AF1530" s="456"/>
      <c r="AG1530" s="699"/>
      <c r="AH1530" s="481"/>
      <c r="AJ1530" s="481"/>
    </row>
    <row r="1531" spans="1:36" s="454" customFormat="1" ht="15" x14ac:dyDescent="0.25">
      <c r="A1531" s="823"/>
      <c r="B1531" s="824"/>
      <c r="C1531" s="824"/>
      <c r="D1531" s="824"/>
      <c r="E1531" s="825" t="s">
        <v>2692</v>
      </c>
      <c r="F1531" s="826"/>
      <c r="G1531" s="827"/>
      <c r="H1531" s="648"/>
      <c r="I1531" s="828">
        <v>161</v>
      </c>
      <c r="J1531" s="829"/>
      <c r="K1531" s="829"/>
      <c r="L1531" s="830"/>
      <c r="M1531" s="831"/>
      <c r="X1531" s="656"/>
      <c r="Y1531" s="657"/>
      <c r="Z1531" s="657"/>
      <c r="AA1531" s="481"/>
      <c r="AC1531" s="456"/>
      <c r="AD1531" s="522"/>
      <c r="AE1531" s="699"/>
      <c r="AF1531" s="456"/>
      <c r="AG1531" s="699"/>
      <c r="AH1531" s="481"/>
      <c r="AJ1531" s="481"/>
    </row>
    <row r="1532" spans="1:36" s="454" customFormat="1" ht="23.25" x14ac:dyDescent="0.25">
      <c r="A1532" s="507"/>
      <c r="B1532" s="674" t="s">
        <v>639</v>
      </c>
      <c r="C1532" s="2672" t="s">
        <v>1661</v>
      </c>
      <c r="D1532" s="2672"/>
      <c r="E1532" s="2672"/>
      <c r="F1532" s="675" t="s">
        <v>3951</v>
      </c>
      <c r="G1532" s="676">
        <v>0</v>
      </c>
      <c r="H1532" s="676">
        <v>0</v>
      </c>
      <c r="I1532" s="676">
        <v>0</v>
      </c>
      <c r="J1532" s="676"/>
      <c r="K1532" s="676">
        <v>0</v>
      </c>
      <c r="L1532" s="677"/>
      <c r="M1532" s="678"/>
      <c r="X1532" s="656"/>
      <c r="Y1532" s="657"/>
      <c r="Z1532" s="657"/>
      <c r="AA1532" s="481"/>
      <c r="AC1532" s="456" t="s">
        <v>1661</v>
      </c>
      <c r="AD1532" s="522"/>
      <c r="AE1532" s="699"/>
      <c r="AF1532" s="456"/>
      <c r="AG1532" s="699"/>
      <c r="AH1532" s="481"/>
      <c r="AJ1532" s="481"/>
    </row>
    <row r="1533" spans="1:36" s="454" customFormat="1" ht="34.5" x14ac:dyDescent="0.25">
      <c r="A1533" s="507"/>
      <c r="B1533" s="674" t="s">
        <v>2431</v>
      </c>
      <c r="C1533" s="2672" t="s">
        <v>2432</v>
      </c>
      <c r="D1533" s="2672"/>
      <c r="E1533" s="2672"/>
      <c r="F1533" s="675" t="s">
        <v>3952</v>
      </c>
      <c r="G1533" s="676">
        <v>100</v>
      </c>
      <c r="H1533" s="676" t="s">
        <v>2434</v>
      </c>
      <c r="I1533" s="676">
        <v>90</v>
      </c>
      <c r="J1533" s="676"/>
      <c r="K1533" s="676" t="s">
        <v>3953</v>
      </c>
      <c r="L1533" s="677"/>
      <c r="M1533" s="678"/>
      <c r="X1533" s="656"/>
      <c r="Y1533" s="657"/>
      <c r="Z1533" s="657"/>
      <c r="AA1533" s="481"/>
      <c r="AC1533" s="456" t="s">
        <v>2432</v>
      </c>
      <c r="AD1533" s="522"/>
      <c r="AE1533" s="699"/>
      <c r="AF1533" s="456"/>
      <c r="AG1533" s="699"/>
      <c r="AH1533" s="481"/>
      <c r="AJ1533" s="481"/>
    </row>
    <row r="1534" spans="1:36" s="454" customFormat="1" ht="57" x14ac:dyDescent="0.25">
      <c r="A1534" s="658" t="s">
        <v>1605</v>
      </c>
      <c r="B1534" s="659" t="s">
        <v>2436</v>
      </c>
      <c r="C1534" s="2673" t="s">
        <v>2437</v>
      </c>
      <c r="D1534" s="2673"/>
      <c r="E1534" s="2673"/>
      <c r="F1534" s="685">
        <v>115.9162</v>
      </c>
      <c r="G1534" s="661">
        <v>11.46</v>
      </c>
      <c r="H1534" s="661">
        <v>11.46</v>
      </c>
      <c r="I1534" s="661">
        <v>1328</v>
      </c>
      <c r="J1534" s="661"/>
      <c r="K1534" s="662">
        <v>1328</v>
      </c>
      <c r="L1534" s="663">
        <v>0</v>
      </c>
      <c r="M1534" s="663">
        <v>0</v>
      </c>
      <c r="X1534" s="656"/>
      <c r="Y1534" s="657"/>
      <c r="Z1534" s="657"/>
      <c r="AA1534" s="481" t="s">
        <v>2437</v>
      </c>
      <c r="AC1534" s="456"/>
      <c r="AD1534" s="522"/>
      <c r="AE1534" s="699"/>
      <c r="AF1534" s="456"/>
      <c r="AG1534" s="699"/>
      <c r="AH1534" s="481"/>
      <c r="AJ1534" s="481"/>
    </row>
    <row r="1535" spans="1:36" s="454" customFormat="1" ht="15" x14ac:dyDescent="0.25">
      <c r="A1535" s="664"/>
      <c r="B1535" s="665"/>
      <c r="C1535" s="666" t="s">
        <v>3954</v>
      </c>
      <c r="D1535" s="667"/>
      <c r="E1535" s="667"/>
      <c r="F1535" s="667"/>
      <c r="G1535" s="667"/>
      <c r="H1535" s="667"/>
      <c r="I1535" s="667"/>
      <c r="J1535" s="667"/>
      <c r="K1535" s="667"/>
      <c r="L1535" s="667"/>
      <c r="M1535" s="668"/>
      <c r="X1535" s="656"/>
      <c r="Y1535" s="657"/>
      <c r="Z1535" s="657"/>
      <c r="AA1535" s="481"/>
      <c r="AC1535" s="456"/>
      <c r="AD1535" s="522"/>
      <c r="AE1535" s="699"/>
      <c r="AF1535" s="456"/>
      <c r="AG1535" s="699"/>
      <c r="AH1535" s="481"/>
      <c r="AJ1535" s="481"/>
    </row>
    <row r="1536" spans="1:36" s="454" customFormat="1" ht="33.75" x14ac:dyDescent="0.25">
      <c r="A1536" s="542"/>
      <c r="B1536" s="673" t="s">
        <v>1655</v>
      </c>
      <c r="C1536" s="2670" t="s">
        <v>1656</v>
      </c>
      <c r="D1536" s="2670"/>
      <c r="E1536" s="2670"/>
      <c r="F1536" s="2670"/>
      <c r="G1536" s="2670"/>
      <c r="H1536" s="2670"/>
      <c r="I1536" s="2670"/>
      <c r="J1536" s="2670"/>
      <c r="K1536" s="2670"/>
      <c r="L1536" s="2670"/>
      <c r="M1536" s="2671"/>
      <c r="X1536" s="656"/>
      <c r="Y1536" s="657"/>
      <c r="Z1536" s="657"/>
      <c r="AA1536" s="481"/>
      <c r="AB1536" s="491" t="s">
        <v>1656</v>
      </c>
      <c r="AC1536" s="456"/>
      <c r="AD1536" s="522"/>
      <c r="AE1536" s="699"/>
      <c r="AF1536" s="456"/>
      <c r="AG1536" s="699"/>
      <c r="AH1536" s="481"/>
      <c r="AJ1536" s="481"/>
    </row>
    <row r="1537" spans="1:36" s="454" customFormat="1" ht="45" x14ac:dyDescent="0.25">
      <c r="A1537" s="658" t="s">
        <v>1609</v>
      </c>
      <c r="B1537" s="659" t="s">
        <v>3955</v>
      </c>
      <c r="C1537" s="2673" t="s">
        <v>3956</v>
      </c>
      <c r="D1537" s="2673"/>
      <c r="E1537" s="2673"/>
      <c r="F1537" s="660">
        <v>0.89500000000000002</v>
      </c>
      <c r="G1537" s="661" t="s">
        <v>1613</v>
      </c>
      <c r="H1537" s="661" t="s">
        <v>3957</v>
      </c>
      <c r="I1537" s="661">
        <v>473</v>
      </c>
      <c r="J1537" s="661">
        <v>38</v>
      </c>
      <c r="K1537" s="662" t="s">
        <v>1615</v>
      </c>
      <c r="L1537" s="671">
        <v>5.4749999999999996</v>
      </c>
      <c r="M1537" s="692">
        <v>4.9000000000000004</v>
      </c>
      <c r="X1537" s="656"/>
      <c r="Y1537" s="657"/>
      <c r="Z1537" s="657"/>
      <c r="AA1537" s="481" t="s">
        <v>3956</v>
      </c>
      <c r="AC1537" s="456"/>
      <c r="AD1537" s="522"/>
      <c r="AE1537" s="699"/>
      <c r="AF1537" s="456"/>
      <c r="AG1537" s="699"/>
      <c r="AH1537" s="481"/>
      <c r="AJ1537" s="481"/>
    </row>
    <row r="1538" spans="1:36" s="454" customFormat="1" ht="15" x14ac:dyDescent="0.25">
      <c r="A1538" s="664"/>
      <c r="B1538" s="665"/>
      <c r="C1538" s="666" t="s">
        <v>3958</v>
      </c>
      <c r="D1538" s="667"/>
      <c r="E1538" s="667"/>
      <c r="F1538" s="667"/>
      <c r="G1538" s="667"/>
      <c r="H1538" s="667"/>
      <c r="I1538" s="667"/>
      <c r="J1538" s="667"/>
      <c r="K1538" s="667"/>
      <c r="L1538" s="667"/>
      <c r="M1538" s="668"/>
      <c r="X1538" s="656"/>
      <c r="Y1538" s="657"/>
      <c r="Z1538" s="657"/>
      <c r="AA1538" s="481"/>
      <c r="AC1538" s="456"/>
      <c r="AD1538" s="522"/>
      <c r="AE1538" s="699"/>
      <c r="AF1538" s="456"/>
      <c r="AG1538" s="699"/>
      <c r="AH1538" s="481"/>
      <c r="AJ1538" s="481"/>
    </row>
    <row r="1539" spans="1:36" s="454" customFormat="1" ht="33.75" x14ac:dyDescent="0.25">
      <c r="A1539" s="542"/>
      <c r="B1539" s="673" t="s">
        <v>1655</v>
      </c>
      <c r="C1539" s="2670" t="s">
        <v>1656</v>
      </c>
      <c r="D1539" s="2670"/>
      <c r="E1539" s="2670"/>
      <c r="F1539" s="2670"/>
      <c r="G1539" s="2670"/>
      <c r="H1539" s="2670"/>
      <c r="I1539" s="2670"/>
      <c r="J1539" s="2670"/>
      <c r="K1539" s="2670"/>
      <c r="L1539" s="2670"/>
      <c r="M1539" s="2671"/>
      <c r="X1539" s="656"/>
      <c r="Y1539" s="657"/>
      <c r="Z1539" s="657"/>
      <c r="AA1539" s="481"/>
      <c r="AB1539" s="491" t="s">
        <v>1656</v>
      </c>
      <c r="AC1539" s="456"/>
      <c r="AD1539" s="522"/>
      <c r="AE1539" s="699"/>
      <c r="AF1539" s="456"/>
      <c r="AG1539" s="699"/>
      <c r="AH1539" s="481"/>
      <c r="AJ1539" s="481"/>
    </row>
    <row r="1540" spans="1:36" s="454" customFormat="1" ht="15" x14ac:dyDescent="0.25">
      <c r="A1540" s="823"/>
      <c r="B1540" s="824"/>
      <c r="C1540" s="824"/>
      <c r="D1540" s="824"/>
      <c r="E1540" s="825" t="s">
        <v>3959</v>
      </c>
      <c r="F1540" s="826"/>
      <c r="G1540" s="827"/>
      <c r="H1540" s="648"/>
      <c r="I1540" s="828">
        <v>105</v>
      </c>
      <c r="J1540" s="829"/>
      <c r="K1540" s="829"/>
      <c r="L1540" s="830"/>
      <c r="M1540" s="831"/>
      <c r="X1540" s="656"/>
      <c r="Y1540" s="657"/>
      <c r="Z1540" s="657"/>
      <c r="AA1540" s="481"/>
      <c r="AC1540" s="456"/>
      <c r="AD1540" s="522"/>
      <c r="AE1540" s="699"/>
      <c r="AF1540" s="456"/>
      <c r="AG1540" s="699"/>
      <c r="AH1540" s="481"/>
      <c r="AJ1540" s="481"/>
    </row>
    <row r="1541" spans="1:36" s="454" customFormat="1" ht="15" x14ac:dyDescent="0.25">
      <c r="A1541" s="823"/>
      <c r="B1541" s="824"/>
      <c r="C1541" s="824"/>
      <c r="D1541" s="824"/>
      <c r="E1541" s="825" t="s">
        <v>3960</v>
      </c>
      <c r="F1541" s="826"/>
      <c r="G1541" s="827"/>
      <c r="H1541" s="648"/>
      <c r="I1541" s="828">
        <v>56</v>
      </c>
      <c r="J1541" s="829"/>
      <c r="K1541" s="829"/>
      <c r="L1541" s="830"/>
      <c r="M1541" s="831"/>
      <c r="X1541" s="656"/>
      <c r="Y1541" s="657"/>
      <c r="Z1541" s="657"/>
      <c r="AA1541" s="481"/>
      <c r="AC1541" s="456"/>
      <c r="AD1541" s="522"/>
      <c r="AE1541" s="699"/>
      <c r="AF1541" s="456"/>
      <c r="AG1541" s="699"/>
      <c r="AH1541" s="481"/>
      <c r="AJ1541" s="481"/>
    </row>
    <row r="1542" spans="1:36" s="454" customFormat="1" ht="15" x14ac:dyDescent="0.25">
      <c r="A1542" s="823"/>
      <c r="B1542" s="824"/>
      <c r="C1542" s="824"/>
      <c r="D1542" s="824"/>
      <c r="E1542" s="825" t="s">
        <v>2692</v>
      </c>
      <c r="F1542" s="826"/>
      <c r="G1542" s="827"/>
      <c r="H1542" s="648"/>
      <c r="I1542" s="828">
        <v>634</v>
      </c>
      <c r="J1542" s="829"/>
      <c r="K1542" s="829"/>
      <c r="L1542" s="830"/>
      <c r="M1542" s="831"/>
      <c r="X1542" s="656"/>
      <c r="Y1542" s="657"/>
      <c r="Z1542" s="657"/>
      <c r="AA1542" s="481"/>
      <c r="AC1542" s="456"/>
      <c r="AD1542" s="522"/>
      <c r="AE1542" s="699"/>
      <c r="AF1542" s="456"/>
      <c r="AG1542" s="699"/>
      <c r="AH1542" s="481"/>
      <c r="AJ1542" s="481"/>
    </row>
    <row r="1543" spans="1:36" s="454" customFormat="1" ht="23.25" x14ac:dyDescent="0.25">
      <c r="A1543" s="507"/>
      <c r="B1543" s="674" t="s">
        <v>2421</v>
      </c>
      <c r="C1543" s="2672" t="s">
        <v>2422</v>
      </c>
      <c r="D1543" s="2672"/>
      <c r="E1543" s="2672"/>
      <c r="F1543" s="675" t="s">
        <v>3961</v>
      </c>
      <c r="G1543" s="676" t="s">
        <v>2424</v>
      </c>
      <c r="H1543" s="676"/>
      <c r="I1543" s="676">
        <v>38.22</v>
      </c>
      <c r="J1543" s="676">
        <v>38.22</v>
      </c>
      <c r="K1543" s="676"/>
      <c r="L1543" s="677"/>
      <c r="M1543" s="678"/>
      <c r="X1543" s="656"/>
      <c r="Y1543" s="657"/>
      <c r="Z1543" s="657"/>
      <c r="AA1543" s="481"/>
      <c r="AC1543" s="456" t="s">
        <v>2422</v>
      </c>
      <c r="AD1543" s="522"/>
      <c r="AE1543" s="699"/>
      <c r="AF1543" s="456"/>
      <c r="AG1543" s="699"/>
      <c r="AH1543" s="481"/>
      <c r="AJ1543" s="481"/>
    </row>
    <row r="1544" spans="1:36" s="454" customFormat="1" ht="23.25" x14ac:dyDescent="0.25">
      <c r="A1544" s="507"/>
      <c r="B1544" s="674" t="s">
        <v>639</v>
      </c>
      <c r="C1544" s="2672" t="s">
        <v>1661</v>
      </c>
      <c r="D1544" s="2672"/>
      <c r="E1544" s="2672"/>
      <c r="F1544" s="675" t="s">
        <v>3962</v>
      </c>
      <c r="G1544" s="676">
        <v>0</v>
      </c>
      <c r="H1544" s="676">
        <v>0</v>
      </c>
      <c r="I1544" s="676">
        <v>0</v>
      </c>
      <c r="J1544" s="676"/>
      <c r="K1544" s="676">
        <v>0</v>
      </c>
      <c r="L1544" s="677"/>
      <c r="M1544" s="678"/>
      <c r="X1544" s="656"/>
      <c r="Y1544" s="657"/>
      <c r="Z1544" s="657"/>
      <c r="AA1544" s="481"/>
      <c r="AC1544" s="456" t="s">
        <v>1661</v>
      </c>
      <c r="AD1544" s="522"/>
      <c r="AE1544" s="699"/>
      <c r="AF1544" s="456"/>
      <c r="AG1544" s="699"/>
      <c r="AH1544" s="481"/>
      <c r="AJ1544" s="481"/>
    </row>
    <row r="1545" spans="1:36" s="454" customFormat="1" ht="23.25" x14ac:dyDescent="0.25">
      <c r="A1545" s="507"/>
      <c r="B1545" s="674" t="s">
        <v>1968</v>
      </c>
      <c r="C1545" s="2672" t="s">
        <v>1969</v>
      </c>
      <c r="D1545" s="2672"/>
      <c r="E1545" s="2672"/>
      <c r="F1545" s="675" t="s">
        <v>3963</v>
      </c>
      <c r="G1545" s="676">
        <v>79.069999999999993</v>
      </c>
      <c r="H1545" s="676" t="s">
        <v>1971</v>
      </c>
      <c r="I1545" s="676">
        <v>280.7</v>
      </c>
      <c r="J1545" s="676"/>
      <c r="K1545" s="676" t="s">
        <v>3964</v>
      </c>
      <c r="L1545" s="677"/>
      <c r="M1545" s="678"/>
      <c r="X1545" s="656"/>
      <c r="Y1545" s="657"/>
      <c r="Z1545" s="657"/>
      <c r="AA1545" s="481"/>
      <c r="AC1545" s="456" t="s">
        <v>1969</v>
      </c>
      <c r="AD1545" s="522"/>
      <c r="AE1545" s="699"/>
      <c r="AF1545" s="456"/>
      <c r="AG1545" s="699"/>
      <c r="AH1545" s="481"/>
      <c r="AJ1545" s="481"/>
    </row>
    <row r="1546" spans="1:36" s="454" customFormat="1" ht="34.5" x14ac:dyDescent="0.25">
      <c r="A1546" s="507"/>
      <c r="B1546" s="674" t="s">
        <v>3894</v>
      </c>
      <c r="C1546" s="2672" t="s">
        <v>3895</v>
      </c>
      <c r="D1546" s="2672"/>
      <c r="E1546" s="2672"/>
      <c r="F1546" s="675" t="s">
        <v>3965</v>
      </c>
      <c r="G1546" s="676">
        <v>89.54</v>
      </c>
      <c r="H1546" s="676" t="s">
        <v>3897</v>
      </c>
      <c r="I1546" s="676">
        <v>6.27</v>
      </c>
      <c r="J1546" s="676"/>
      <c r="K1546" s="676" t="s">
        <v>3966</v>
      </c>
      <c r="L1546" s="677"/>
      <c r="M1546" s="678"/>
      <c r="X1546" s="656"/>
      <c r="Y1546" s="657"/>
      <c r="Z1546" s="657"/>
      <c r="AA1546" s="481"/>
      <c r="AC1546" s="456" t="s">
        <v>3895</v>
      </c>
      <c r="AD1546" s="522"/>
      <c r="AE1546" s="699"/>
      <c r="AF1546" s="456"/>
      <c r="AG1546" s="699"/>
      <c r="AH1546" s="481"/>
      <c r="AJ1546" s="481"/>
    </row>
    <row r="1547" spans="1:36" s="454" customFormat="1" ht="45.75" x14ac:dyDescent="0.25">
      <c r="A1547" s="507"/>
      <c r="B1547" s="674" t="s">
        <v>3967</v>
      </c>
      <c r="C1547" s="2672" t="s">
        <v>3968</v>
      </c>
      <c r="D1547" s="2672"/>
      <c r="E1547" s="2672"/>
      <c r="F1547" s="675" t="s">
        <v>3969</v>
      </c>
      <c r="G1547" s="676">
        <v>108.4</v>
      </c>
      <c r="H1547" s="676"/>
      <c r="I1547" s="676">
        <v>3.88</v>
      </c>
      <c r="J1547" s="676"/>
      <c r="K1547" s="676"/>
      <c r="L1547" s="677"/>
      <c r="M1547" s="678"/>
      <c r="X1547" s="656"/>
      <c r="Y1547" s="657"/>
      <c r="Z1547" s="657"/>
      <c r="AA1547" s="481"/>
      <c r="AC1547" s="456" t="s">
        <v>3968</v>
      </c>
      <c r="AD1547" s="522"/>
      <c r="AE1547" s="699"/>
      <c r="AF1547" s="456"/>
      <c r="AG1547" s="699"/>
      <c r="AH1547" s="481"/>
      <c r="AJ1547" s="481"/>
    </row>
    <row r="1548" spans="1:36" s="454" customFormat="1" ht="22.5" x14ac:dyDescent="0.25">
      <c r="A1548" s="2685" t="s">
        <v>1414</v>
      </c>
      <c r="B1548" s="2686"/>
      <c r="C1548" s="2686"/>
      <c r="D1548" s="2686"/>
      <c r="E1548" s="2686"/>
      <c r="F1548" s="2686"/>
      <c r="G1548" s="2686"/>
      <c r="H1548" s="2687"/>
      <c r="I1548" s="661">
        <v>101018</v>
      </c>
      <c r="J1548" s="661">
        <v>62502</v>
      </c>
      <c r="K1548" s="661" t="s">
        <v>3970</v>
      </c>
      <c r="L1548" s="681"/>
      <c r="M1548" s="672">
        <v>7505.47</v>
      </c>
      <c r="X1548" s="656"/>
      <c r="Y1548" s="657"/>
      <c r="Z1548" s="657"/>
      <c r="AA1548" s="481"/>
      <c r="AC1548" s="456"/>
      <c r="AD1548" s="522"/>
      <c r="AE1548" s="699"/>
      <c r="AF1548" s="456"/>
      <c r="AG1548" s="699"/>
      <c r="AH1548" s="481" t="s">
        <v>1414</v>
      </c>
      <c r="AJ1548" s="481"/>
    </row>
    <row r="1549" spans="1:36" s="454" customFormat="1" ht="15" x14ac:dyDescent="0.25">
      <c r="A1549" s="2685" t="s">
        <v>1416</v>
      </c>
      <c r="B1549" s="2686"/>
      <c r="C1549" s="2686"/>
      <c r="D1549" s="2686"/>
      <c r="E1549" s="2686"/>
      <c r="F1549" s="2686"/>
      <c r="G1549" s="2686"/>
      <c r="H1549" s="2687"/>
      <c r="I1549" s="661">
        <v>49104</v>
      </c>
      <c r="J1549" s="661"/>
      <c r="K1549" s="661"/>
      <c r="L1549" s="681"/>
      <c r="M1549" s="681"/>
      <c r="X1549" s="656"/>
      <c r="Y1549" s="657"/>
      <c r="Z1549" s="657"/>
      <c r="AA1549" s="481"/>
      <c r="AC1549" s="456"/>
      <c r="AD1549" s="522"/>
      <c r="AE1549" s="699"/>
      <c r="AF1549" s="456"/>
      <c r="AG1549" s="699"/>
      <c r="AH1549" s="481" t="s">
        <v>1416</v>
      </c>
      <c r="AJ1549" s="481"/>
    </row>
    <row r="1550" spans="1:36" s="454" customFormat="1" ht="15" x14ac:dyDescent="0.25">
      <c r="A1550" s="2688" t="s">
        <v>1681</v>
      </c>
      <c r="B1550" s="2689"/>
      <c r="C1550" s="2689"/>
      <c r="D1550" s="2689"/>
      <c r="E1550" s="2689"/>
      <c r="F1550" s="2689"/>
      <c r="G1550" s="2689"/>
      <c r="H1550" s="2690"/>
      <c r="I1550" s="682"/>
      <c r="J1550" s="682"/>
      <c r="K1550" s="682"/>
      <c r="L1550" s="683"/>
      <c r="M1550" s="683"/>
      <c r="X1550" s="656"/>
      <c r="Y1550" s="657"/>
      <c r="Z1550" s="657"/>
      <c r="AA1550" s="481"/>
      <c r="AC1550" s="456"/>
      <c r="AD1550" s="522"/>
      <c r="AE1550" s="699"/>
      <c r="AF1550" s="456"/>
      <c r="AG1550" s="699"/>
      <c r="AH1550" s="481"/>
      <c r="AI1550" s="491" t="s">
        <v>1681</v>
      </c>
      <c r="AJ1550" s="481"/>
    </row>
    <row r="1551" spans="1:36" s="454" customFormat="1" ht="15" x14ac:dyDescent="0.25">
      <c r="A1551" s="2688" t="s">
        <v>3971</v>
      </c>
      <c r="B1551" s="2689"/>
      <c r="C1551" s="2689"/>
      <c r="D1551" s="2689"/>
      <c r="E1551" s="2689"/>
      <c r="F1551" s="2689"/>
      <c r="G1551" s="2689"/>
      <c r="H1551" s="2690"/>
      <c r="I1551" s="682">
        <v>14708</v>
      </c>
      <c r="J1551" s="682"/>
      <c r="K1551" s="682"/>
      <c r="L1551" s="683"/>
      <c r="M1551" s="683"/>
      <c r="X1551" s="656"/>
      <c r="Y1551" s="657"/>
      <c r="Z1551" s="657"/>
      <c r="AA1551" s="481"/>
      <c r="AC1551" s="456"/>
      <c r="AD1551" s="522"/>
      <c r="AE1551" s="699"/>
      <c r="AF1551" s="456"/>
      <c r="AG1551" s="699"/>
      <c r="AH1551" s="481"/>
      <c r="AI1551" s="491" t="s">
        <v>3971</v>
      </c>
      <c r="AJ1551" s="481"/>
    </row>
    <row r="1552" spans="1:36" s="454" customFormat="1" ht="15" x14ac:dyDescent="0.25">
      <c r="A1552" s="2688" t="s">
        <v>3972</v>
      </c>
      <c r="B1552" s="2689"/>
      <c r="C1552" s="2689"/>
      <c r="D1552" s="2689"/>
      <c r="E1552" s="2689"/>
      <c r="F1552" s="2689"/>
      <c r="G1552" s="2689"/>
      <c r="H1552" s="2690"/>
      <c r="I1552" s="682">
        <v>31724</v>
      </c>
      <c r="J1552" s="682"/>
      <c r="K1552" s="682"/>
      <c r="L1552" s="683"/>
      <c r="M1552" s="683"/>
      <c r="X1552" s="656"/>
      <c r="Y1552" s="657"/>
      <c r="Z1552" s="657"/>
      <c r="AA1552" s="481"/>
      <c r="AC1552" s="456"/>
      <c r="AD1552" s="522"/>
      <c r="AE1552" s="699"/>
      <c r="AF1552" s="456"/>
      <c r="AG1552" s="699"/>
      <c r="AH1552" s="481"/>
      <c r="AI1552" s="491" t="s">
        <v>3972</v>
      </c>
      <c r="AJ1552" s="481"/>
    </row>
    <row r="1553" spans="1:36" s="454" customFormat="1" ht="15" x14ac:dyDescent="0.25">
      <c r="A1553" s="2688" t="s">
        <v>3973</v>
      </c>
      <c r="B1553" s="2689"/>
      <c r="C1553" s="2689"/>
      <c r="D1553" s="2689"/>
      <c r="E1553" s="2689"/>
      <c r="F1553" s="2689"/>
      <c r="G1553" s="2689"/>
      <c r="H1553" s="2690"/>
      <c r="I1553" s="682">
        <v>803</v>
      </c>
      <c r="J1553" s="682"/>
      <c r="K1553" s="682"/>
      <c r="L1553" s="683"/>
      <c r="M1553" s="683"/>
      <c r="X1553" s="656"/>
      <c r="Y1553" s="657"/>
      <c r="Z1553" s="657"/>
      <c r="AA1553" s="481"/>
      <c r="AC1553" s="456"/>
      <c r="AD1553" s="522"/>
      <c r="AE1553" s="699"/>
      <c r="AF1553" s="456"/>
      <c r="AG1553" s="699"/>
      <c r="AH1553" s="481"/>
      <c r="AI1553" s="491" t="s">
        <v>3973</v>
      </c>
      <c r="AJ1553" s="481"/>
    </row>
    <row r="1554" spans="1:36" s="454" customFormat="1" ht="15" x14ac:dyDescent="0.25">
      <c r="A1554" s="2688" t="s">
        <v>3974</v>
      </c>
      <c r="B1554" s="2689"/>
      <c r="C1554" s="2689"/>
      <c r="D1554" s="2689"/>
      <c r="E1554" s="2689"/>
      <c r="F1554" s="2689"/>
      <c r="G1554" s="2689"/>
      <c r="H1554" s="2690"/>
      <c r="I1554" s="682">
        <v>1869</v>
      </c>
      <c r="J1554" s="682"/>
      <c r="K1554" s="682"/>
      <c r="L1554" s="683"/>
      <c r="M1554" s="683"/>
      <c r="X1554" s="656"/>
      <c r="Y1554" s="657"/>
      <c r="Z1554" s="657"/>
      <c r="AA1554" s="481"/>
      <c r="AC1554" s="456"/>
      <c r="AD1554" s="522"/>
      <c r="AE1554" s="699"/>
      <c r="AF1554" s="456"/>
      <c r="AG1554" s="699"/>
      <c r="AH1554" s="481"/>
      <c r="AI1554" s="491" t="s">
        <v>3974</v>
      </c>
      <c r="AJ1554" s="481"/>
    </row>
    <row r="1555" spans="1:36" s="454" customFormat="1" ht="15" x14ac:dyDescent="0.25">
      <c r="A1555" s="2685" t="s">
        <v>1417</v>
      </c>
      <c r="B1555" s="2686"/>
      <c r="C1555" s="2686"/>
      <c r="D1555" s="2686"/>
      <c r="E1555" s="2686"/>
      <c r="F1555" s="2686"/>
      <c r="G1555" s="2686"/>
      <c r="H1555" s="2687"/>
      <c r="I1555" s="661">
        <v>28431</v>
      </c>
      <c r="J1555" s="661"/>
      <c r="K1555" s="661"/>
      <c r="L1555" s="681"/>
      <c r="M1555" s="681"/>
      <c r="X1555" s="656"/>
      <c r="Y1555" s="657"/>
      <c r="Z1555" s="657"/>
      <c r="AA1555" s="481"/>
      <c r="AC1555" s="456"/>
      <c r="AD1555" s="522"/>
      <c r="AE1555" s="699"/>
      <c r="AF1555" s="456"/>
      <c r="AG1555" s="699"/>
      <c r="AH1555" s="481" t="s">
        <v>1417</v>
      </c>
      <c r="AJ1555" s="481"/>
    </row>
    <row r="1556" spans="1:36" s="454" customFormat="1" ht="15" x14ac:dyDescent="0.25">
      <c r="A1556" s="2688" t="s">
        <v>1681</v>
      </c>
      <c r="B1556" s="2689"/>
      <c r="C1556" s="2689"/>
      <c r="D1556" s="2689"/>
      <c r="E1556" s="2689"/>
      <c r="F1556" s="2689"/>
      <c r="G1556" s="2689"/>
      <c r="H1556" s="2690"/>
      <c r="I1556" s="682"/>
      <c r="J1556" s="682"/>
      <c r="K1556" s="682"/>
      <c r="L1556" s="683"/>
      <c r="M1556" s="683"/>
      <c r="X1556" s="656"/>
      <c r="Y1556" s="657"/>
      <c r="Z1556" s="657"/>
      <c r="AA1556" s="481"/>
      <c r="AC1556" s="456"/>
      <c r="AD1556" s="522"/>
      <c r="AE1556" s="699"/>
      <c r="AF1556" s="456"/>
      <c r="AG1556" s="699"/>
      <c r="AH1556" s="481"/>
      <c r="AI1556" s="491" t="s">
        <v>1681</v>
      </c>
      <c r="AJ1556" s="481"/>
    </row>
    <row r="1557" spans="1:36" s="454" customFormat="1" ht="15" x14ac:dyDescent="0.25">
      <c r="A1557" s="2688" t="s">
        <v>3975</v>
      </c>
      <c r="B1557" s="2689"/>
      <c r="C1557" s="2689"/>
      <c r="D1557" s="2689"/>
      <c r="E1557" s="2689"/>
      <c r="F1557" s="2689"/>
      <c r="G1557" s="2689"/>
      <c r="H1557" s="2690"/>
      <c r="I1557" s="682">
        <v>8914</v>
      </c>
      <c r="J1557" s="682"/>
      <c r="K1557" s="682"/>
      <c r="L1557" s="683"/>
      <c r="M1557" s="683"/>
      <c r="X1557" s="656"/>
      <c r="Y1557" s="657"/>
      <c r="Z1557" s="657"/>
      <c r="AA1557" s="481"/>
      <c r="AC1557" s="456"/>
      <c r="AD1557" s="522"/>
      <c r="AE1557" s="699"/>
      <c r="AF1557" s="456"/>
      <c r="AG1557" s="699"/>
      <c r="AH1557" s="481"/>
      <c r="AI1557" s="491" t="s">
        <v>3975</v>
      </c>
      <c r="AJ1557" s="481"/>
    </row>
    <row r="1558" spans="1:36" s="454" customFormat="1" ht="15" x14ac:dyDescent="0.25">
      <c r="A1558" s="2688" t="s">
        <v>3976</v>
      </c>
      <c r="B1558" s="2689"/>
      <c r="C1558" s="2689"/>
      <c r="D1558" s="2689"/>
      <c r="E1558" s="2689"/>
      <c r="F1558" s="2689"/>
      <c r="G1558" s="2689"/>
      <c r="H1558" s="2690"/>
      <c r="I1558" s="682">
        <v>17844</v>
      </c>
      <c r="J1558" s="682"/>
      <c r="K1558" s="682"/>
      <c r="L1558" s="683"/>
      <c r="M1558" s="683"/>
      <c r="X1558" s="656"/>
      <c r="Y1558" s="657"/>
      <c r="Z1558" s="657"/>
      <c r="AA1558" s="481"/>
      <c r="AC1558" s="456"/>
      <c r="AD1558" s="522"/>
      <c r="AE1558" s="699"/>
      <c r="AF1558" s="456"/>
      <c r="AG1558" s="699"/>
      <c r="AH1558" s="481"/>
      <c r="AI1558" s="491" t="s">
        <v>3976</v>
      </c>
      <c r="AJ1558" s="481"/>
    </row>
    <row r="1559" spans="1:36" s="454" customFormat="1" ht="15" x14ac:dyDescent="0.25">
      <c r="A1559" s="2688" t="s">
        <v>3977</v>
      </c>
      <c r="B1559" s="2689"/>
      <c r="C1559" s="2689"/>
      <c r="D1559" s="2689"/>
      <c r="E1559" s="2689"/>
      <c r="F1559" s="2689"/>
      <c r="G1559" s="2689"/>
      <c r="H1559" s="2690"/>
      <c r="I1559" s="682">
        <v>423</v>
      </c>
      <c r="J1559" s="682"/>
      <c r="K1559" s="682"/>
      <c r="L1559" s="683"/>
      <c r="M1559" s="683"/>
      <c r="X1559" s="656"/>
      <c r="Y1559" s="657"/>
      <c r="Z1559" s="657"/>
      <c r="AA1559" s="481"/>
      <c r="AC1559" s="456"/>
      <c r="AD1559" s="522"/>
      <c r="AE1559" s="699"/>
      <c r="AF1559" s="456"/>
      <c r="AG1559" s="699"/>
      <c r="AH1559" s="481"/>
      <c r="AI1559" s="491" t="s">
        <v>3977</v>
      </c>
      <c r="AJ1559" s="481"/>
    </row>
    <row r="1560" spans="1:36" s="454" customFormat="1" ht="15" x14ac:dyDescent="0.25">
      <c r="A1560" s="2688" t="s">
        <v>3978</v>
      </c>
      <c r="B1560" s="2689"/>
      <c r="C1560" s="2689"/>
      <c r="D1560" s="2689"/>
      <c r="E1560" s="2689"/>
      <c r="F1560" s="2689"/>
      <c r="G1560" s="2689"/>
      <c r="H1560" s="2690"/>
      <c r="I1560" s="682">
        <v>1250</v>
      </c>
      <c r="J1560" s="682"/>
      <c r="K1560" s="682"/>
      <c r="L1560" s="683"/>
      <c r="M1560" s="683"/>
      <c r="X1560" s="656"/>
      <c r="Y1560" s="657"/>
      <c r="Z1560" s="657"/>
      <c r="AA1560" s="481"/>
      <c r="AC1560" s="456"/>
      <c r="AD1560" s="522"/>
      <c r="AE1560" s="699"/>
      <c r="AF1560" s="456"/>
      <c r="AG1560" s="699"/>
      <c r="AH1560" s="481"/>
      <c r="AI1560" s="491" t="s">
        <v>3978</v>
      </c>
      <c r="AJ1560" s="481"/>
    </row>
    <row r="1561" spans="1:36" s="454" customFormat="1" ht="15" x14ac:dyDescent="0.25">
      <c r="A1561" s="2685" t="s">
        <v>2444</v>
      </c>
      <c r="B1561" s="2686"/>
      <c r="C1561" s="2686"/>
      <c r="D1561" s="2686"/>
      <c r="E1561" s="2686"/>
      <c r="F1561" s="2686"/>
      <c r="G1561" s="2686"/>
      <c r="H1561" s="2687"/>
      <c r="I1561" s="661"/>
      <c r="J1561" s="661"/>
      <c r="K1561" s="661"/>
      <c r="L1561" s="681"/>
      <c r="M1561" s="681"/>
      <c r="X1561" s="656"/>
      <c r="Y1561" s="657"/>
      <c r="Z1561" s="657"/>
      <c r="AA1561" s="481"/>
      <c r="AC1561" s="456"/>
      <c r="AD1561" s="522"/>
      <c r="AE1561" s="699"/>
      <c r="AF1561" s="456"/>
      <c r="AG1561" s="699"/>
      <c r="AH1561" s="481" t="s">
        <v>2444</v>
      </c>
      <c r="AJ1561" s="481"/>
    </row>
    <row r="1562" spans="1:36" s="454" customFormat="1" ht="23.25" x14ac:dyDescent="0.25">
      <c r="A1562" s="2688" t="s">
        <v>3979</v>
      </c>
      <c r="B1562" s="2689"/>
      <c r="C1562" s="2689"/>
      <c r="D1562" s="2689"/>
      <c r="E1562" s="2689"/>
      <c r="F1562" s="2689"/>
      <c r="G1562" s="2689"/>
      <c r="H1562" s="2690"/>
      <c r="I1562" s="682"/>
      <c r="J1562" s="682"/>
      <c r="K1562" s="682"/>
      <c r="L1562" s="683"/>
      <c r="M1562" s="683"/>
      <c r="X1562" s="656"/>
      <c r="Y1562" s="657"/>
      <c r="Z1562" s="657"/>
      <c r="AA1562" s="481"/>
      <c r="AC1562" s="456"/>
      <c r="AD1562" s="522"/>
      <c r="AE1562" s="699"/>
      <c r="AF1562" s="456"/>
      <c r="AG1562" s="699"/>
      <c r="AH1562" s="481"/>
      <c r="AI1562" s="491" t="s">
        <v>3979</v>
      </c>
      <c r="AJ1562" s="481"/>
    </row>
    <row r="1563" spans="1:36" s="454" customFormat="1" ht="15" x14ac:dyDescent="0.25">
      <c r="A1563" s="2688" t="s">
        <v>3980</v>
      </c>
      <c r="B1563" s="2689"/>
      <c r="C1563" s="2689"/>
      <c r="D1563" s="2689"/>
      <c r="E1563" s="2689"/>
      <c r="F1563" s="2689"/>
      <c r="G1563" s="2689"/>
      <c r="H1563" s="2690"/>
      <c r="I1563" s="682">
        <v>22285</v>
      </c>
      <c r="J1563" s="682">
        <v>22285</v>
      </c>
      <c r="K1563" s="682"/>
      <c r="L1563" s="683"/>
      <c r="M1563" s="684">
        <v>2659.28</v>
      </c>
      <c r="X1563" s="656"/>
      <c r="Y1563" s="657"/>
      <c r="Z1563" s="657"/>
      <c r="AA1563" s="481"/>
      <c r="AC1563" s="456"/>
      <c r="AD1563" s="522"/>
      <c r="AE1563" s="699"/>
      <c r="AF1563" s="456"/>
      <c r="AG1563" s="699"/>
      <c r="AH1563" s="481"/>
      <c r="AI1563" s="491" t="s">
        <v>3980</v>
      </c>
      <c r="AJ1563" s="481"/>
    </row>
    <row r="1564" spans="1:36" s="454" customFormat="1" ht="15" x14ac:dyDescent="0.25">
      <c r="A1564" s="2688" t="s">
        <v>3981</v>
      </c>
      <c r="B1564" s="2689"/>
      <c r="C1564" s="2689"/>
      <c r="D1564" s="2689"/>
      <c r="E1564" s="2689"/>
      <c r="F1564" s="2689"/>
      <c r="G1564" s="2689"/>
      <c r="H1564" s="2690"/>
      <c r="I1564" s="682">
        <v>14708</v>
      </c>
      <c r="J1564" s="682"/>
      <c r="K1564" s="682"/>
      <c r="L1564" s="683"/>
      <c r="M1564" s="683"/>
      <c r="X1564" s="656"/>
      <c r="Y1564" s="657"/>
      <c r="Z1564" s="657"/>
      <c r="AA1564" s="481"/>
      <c r="AC1564" s="456"/>
      <c r="AD1564" s="522"/>
      <c r="AE1564" s="699"/>
      <c r="AF1564" s="456"/>
      <c r="AG1564" s="699"/>
      <c r="AH1564" s="481"/>
      <c r="AI1564" s="491" t="s">
        <v>3981</v>
      </c>
      <c r="AJ1564" s="481"/>
    </row>
    <row r="1565" spans="1:36" s="454" customFormat="1" ht="15" x14ac:dyDescent="0.25">
      <c r="A1565" s="2688" t="s">
        <v>3982</v>
      </c>
      <c r="B1565" s="2689"/>
      <c r="C1565" s="2689"/>
      <c r="D1565" s="2689"/>
      <c r="E1565" s="2689"/>
      <c r="F1565" s="2689"/>
      <c r="G1565" s="2689"/>
      <c r="H1565" s="2690"/>
      <c r="I1565" s="682">
        <v>8914</v>
      </c>
      <c r="J1565" s="682"/>
      <c r="K1565" s="682"/>
      <c r="L1565" s="683"/>
      <c r="M1565" s="683"/>
      <c r="X1565" s="656"/>
      <c r="Y1565" s="657"/>
      <c r="Z1565" s="657"/>
      <c r="AA1565" s="481"/>
      <c r="AC1565" s="456"/>
      <c r="AD1565" s="522"/>
      <c r="AE1565" s="699"/>
      <c r="AF1565" s="456"/>
      <c r="AG1565" s="699"/>
      <c r="AH1565" s="481"/>
      <c r="AI1565" s="491" t="s">
        <v>3982</v>
      </c>
      <c r="AJ1565" s="481"/>
    </row>
    <row r="1566" spans="1:36" s="454" customFormat="1" ht="15" x14ac:dyDescent="0.25">
      <c r="A1566" s="2688" t="s">
        <v>2451</v>
      </c>
      <c r="B1566" s="2689"/>
      <c r="C1566" s="2689"/>
      <c r="D1566" s="2689"/>
      <c r="E1566" s="2689"/>
      <c r="F1566" s="2689"/>
      <c r="G1566" s="2689"/>
      <c r="H1566" s="2690"/>
      <c r="I1566" s="682">
        <v>45907</v>
      </c>
      <c r="J1566" s="682"/>
      <c r="K1566" s="682"/>
      <c r="L1566" s="683"/>
      <c r="M1566" s="684">
        <v>2659.28</v>
      </c>
      <c r="X1566" s="656"/>
      <c r="Y1566" s="657"/>
      <c r="Z1566" s="657"/>
      <c r="AA1566" s="481"/>
      <c r="AC1566" s="456"/>
      <c r="AD1566" s="522"/>
      <c r="AE1566" s="699"/>
      <c r="AF1566" s="456"/>
      <c r="AG1566" s="699"/>
      <c r="AH1566" s="481"/>
      <c r="AI1566" s="491" t="s">
        <v>2451</v>
      </c>
      <c r="AJ1566" s="481"/>
    </row>
    <row r="1567" spans="1:36" s="454" customFormat="1" ht="15" x14ac:dyDescent="0.25">
      <c r="A1567" s="2688" t="s">
        <v>3983</v>
      </c>
      <c r="B1567" s="2689"/>
      <c r="C1567" s="2689"/>
      <c r="D1567" s="2689"/>
      <c r="E1567" s="2689"/>
      <c r="F1567" s="2689"/>
      <c r="G1567" s="2689"/>
      <c r="H1567" s="2690"/>
      <c r="I1567" s="682"/>
      <c r="J1567" s="682"/>
      <c r="K1567" s="682"/>
      <c r="L1567" s="683"/>
      <c r="M1567" s="683"/>
      <c r="X1567" s="656"/>
      <c r="Y1567" s="657"/>
      <c r="Z1567" s="657"/>
      <c r="AA1567" s="481"/>
      <c r="AC1567" s="456"/>
      <c r="AD1567" s="522"/>
      <c r="AE1567" s="699"/>
      <c r="AF1567" s="456"/>
      <c r="AG1567" s="699"/>
      <c r="AH1567" s="481"/>
      <c r="AI1567" s="491" t="s">
        <v>3983</v>
      </c>
      <c r="AJ1567" s="481"/>
    </row>
    <row r="1568" spans="1:36" s="454" customFormat="1" ht="22.5" x14ac:dyDescent="0.25">
      <c r="A1568" s="2688" t="s">
        <v>3984</v>
      </c>
      <c r="B1568" s="2689"/>
      <c r="C1568" s="2689"/>
      <c r="D1568" s="2689"/>
      <c r="E1568" s="2689"/>
      <c r="F1568" s="2689"/>
      <c r="G1568" s="2689"/>
      <c r="H1568" s="2690"/>
      <c r="I1568" s="682">
        <v>39204</v>
      </c>
      <c r="J1568" s="682">
        <v>39055</v>
      </c>
      <c r="K1568" s="682" t="s">
        <v>1574</v>
      </c>
      <c r="L1568" s="683"/>
      <c r="M1568" s="684">
        <v>4699.7299999999996</v>
      </c>
      <c r="X1568" s="656"/>
      <c r="Y1568" s="657"/>
      <c r="Z1568" s="657"/>
      <c r="AA1568" s="481"/>
      <c r="AC1568" s="456"/>
      <c r="AD1568" s="522"/>
      <c r="AE1568" s="699"/>
      <c r="AF1568" s="456"/>
      <c r="AG1568" s="699"/>
      <c r="AH1568" s="481"/>
      <c r="AI1568" s="491" t="s">
        <v>3984</v>
      </c>
      <c r="AJ1568" s="481"/>
    </row>
    <row r="1569" spans="1:36" s="454" customFormat="1" ht="15" x14ac:dyDescent="0.25">
      <c r="A1569" s="2688" t="s">
        <v>3985</v>
      </c>
      <c r="B1569" s="2689"/>
      <c r="C1569" s="2689"/>
      <c r="D1569" s="2689"/>
      <c r="E1569" s="2689"/>
      <c r="F1569" s="2689"/>
      <c r="G1569" s="2689"/>
      <c r="H1569" s="2690"/>
      <c r="I1569" s="682">
        <v>31259</v>
      </c>
      <c r="J1569" s="682"/>
      <c r="K1569" s="682"/>
      <c r="L1569" s="683"/>
      <c r="M1569" s="683"/>
      <c r="X1569" s="656"/>
      <c r="Y1569" s="657"/>
      <c r="Z1569" s="657"/>
      <c r="AA1569" s="481"/>
      <c r="AC1569" s="456"/>
      <c r="AD1569" s="522"/>
      <c r="AE1569" s="699"/>
      <c r="AF1569" s="456"/>
      <c r="AG1569" s="699"/>
      <c r="AH1569" s="481"/>
      <c r="AI1569" s="491" t="s">
        <v>3985</v>
      </c>
      <c r="AJ1569" s="481"/>
    </row>
    <row r="1570" spans="1:36" s="454" customFormat="1" ht="15" x14ac:dyDescent="0.25">
      <c r="A1570" s="2688" t="s">
        <v>3986</v>
      </c>
      <c r="B1570" s="2689"/>
      <c r="C1570" s="2689"/>
      <c r="D1570" s="2689"/>
      <c r="E1570" s="2689"/>
      <c r="F1570" s="2689"/>
      <c r="G1570" s="2689"/>
      <c r="H1570" s="2690"/>
      <c r="I1570" s="682">
        <v>17583</v>
      </c>
      <c r="J1570" s="682"/>
      <c r="K1570" s="682"/>
      <c r="L1570" s="683"/>
      <c r="M1570" s="683"/>
      <c r="X1570" s="656"/>
      <c r="Y1570" s="657"/>
      <c r="Z1570" s="657"/>
      <c r="AA1570" s="481"/>
      <c r="AC1570" s="456"/>
      <c r="AD1570" s="522"/>
      <c r="AE1570" s="699"/>
      <c r="AF1570" s="456"/>
      <c r="AG1570" s="699"/>
      <c r="AH1570" s="481"/>
      <c r="AI1570" s="491" t="s">
        <v>3986</v>
      </c>
      <c r="AJ1570" s="481"/>
    </row>
    <row r="1571" spans="1:36" s="454" customFormat="1" ht="15" x14ac:dyDescent="0.25">
      <c r="A1571" s="2688" t="s">
        <v>2451</v>
      </c>
      <c r="B1571" s="2689"/>
      <c r="C1571" s="2689"/>
      <c r="D1571" s="2689"/>
      <c r="E1571" s="2689"/>
      <c r="F1571" s="2689"/>
      <c r="G1571" s="2689"/>
      <c r="H1571" s="2690"/>
      <c r="I1571" s="682">
        <v>88046</v>
      </c>
      <c r="J1571" s="682"/>
      <c r="K1571" s="682"/>
      <c r="L1571" s="683"/>
      <c r="M1571" s="684">
        <v>4699.7299999999996</v>
      </c>
      <c r="X1571" s="656"/>
      <c r="Y1571" s="657"/>
      <c r="Z1571" s="657"/>
      <c r="AA1571" s="481"/>
      <c r="AC1571" s="456"/>
      <c r="AD1571" s="522"/>
      <c r="AE1571" s="699"/>
      <c r="AF1571" s="456"/>
      <c r="AG1571" s="699"/>
      <c r="AH1571" s="481"/>
      <c r="AI1571" s="491" t="s">
        <v>2451</v>
      </c>
      <c r="AJ1571" s="481"/>
    </row>
    <row r="1572" spans="1:36" s="454" customFormat="1" ht="15" x14ac:dyDescent="0.25">
      <c r="A1572" s="2688" t="s">
        <v>3987</v>
      </c>
      <c r="B1572" s="2689"/>
      <c r="C1572" s="2689"/>
      <c r="D1572" s="2689"/>
      <c r="E1572" s="2689"/>
      <c r="F1572" s="2689"/>
      <c r="G1572" s="2689"/>
      <c r="H1572" s="2690"/>
      <c r="I1572" s="682"/>
      <c r="J1572" s="682"/>
      <c r="K1572" s="682"/>
      <c r="L1572" s="683"/>
      <c r="M1572" s="683"/>
      <c r="X1572" s="656"/>
      <c r="Y1572" s="657"/>
      <c r="Z1572" s="657"/>
      <c r="AA1572" s="481"/>
      <c r="AC1572" s="456"/>
      <c r="AD1572" s="522"/>
      <c r="AE1572" s="699"/>
      <c r="AF1572" s="456"/>
      <c r="AG1572" s="699"/>
      <c r="AH1572" s="481"/>
      <c r="AI1572" s="491" t="s">
        <v>3987</v>
      </c>
      <c r="AJ1572" s="481"/>
    </row>
    <row r="1573" spans="1:36" s="454" customFormat="1" ht="22.5" x14ac:dyDescent="0.25">
      <c r="A1573" s="2688" t="s">
        <v>3988</v>
      </c>
      <c r="B1573" s="2689"/>
      <c r="C1573" s="2689"/>
      <c r="D1573" s="2689"/>
      <c r="E1573" s="2689"/>
      <c r="F1573" s="2689"/>
      <c r="G1573" s="2689"/>
      <c r="H1573" s="2690"/>
      <c r="I1573" s="682">
        <v>9840</v>
      </c>
      <c r="J1573" s="682">
        <v>543</v>
      </c>
      <c r="K1573" s="682" t="s">
        <v>3906</v>
      </c>
      <c r="L1573" s="683"/>
      <c r="M1573" s="684">
        <v>67.13</v>
      </c>
      <c r="X1573" s="656"/>
      <c r="Y1573" s="657"/>
      <c r="Z1573" s="657"/>
      <c r="AA1573" s="481"/>
      <c r="AC1573" s="456"/>
      <c r="AD1573" s="522"/>
      <c r="AE1573" s="699"/>
      <c r="AF1573" s="456"/>
      <c r="AG1573" s="699"/>
      <c r="AH1573" s="481"/>
      <c r="AI1573" s="491" t="s">
        <v>3988</v>
      </c>
      <c r="AJ1573" s="481"/>
    </row>
    <row r="1574" spans="1:36" s="454" customFormat="1" ht="15" x14ac:dyDescent="0.25">
      <c r="A1574" s="2688" t="s">
        <v>3989</v>
      </c>
      <c r="B1574" s="2689"/>
      <c r="C1574" s="2689"/>
      <c r="D1574" s="2689"/>
      <c r="E1574" s="2689"/>
      <c r="F1574" s="2689"/>
      <c r="G1574" s="2689"/>
      <c r="H1574" s="2690"/>
      <c r="I1574" s="682">
        <v>1869</v>
      </c>
      <c r="J1574" s="682"/>
      <c r="K1574" s="682"/>
      <c r="L1574" s="683"/>
      <c r="M1574" s="683"/>
      <c r="X1574" s="656"/>
      <c r="Y1574" s="657"/>
      <c r="Z1574" s="657"/>
      <c r="AA1574" s="481"/>
      <c r="AC1574" s="456"/>
      <c r="AD1574" s="522"/>
      <c r="AE1574" s="699"/>
      <c r="AF1574" s="456"/>
      <c r="AG1574" s="699"/>
      <c r="AH1574" s="481"/>
      <c r="AI1574" s="491" t="s">
        <v>3989</v>
      </c>
      <c r="AJ1574" s="481"/>
    </row>
    <row r="1575" spans="1:36" s="454" customFormat="1" ht="15" x14ac:dyDescent="0.25">
      <c r="A1575" s="2688" t="s">
        <v>3990</v>
      </c>
      <c r="B1575" s="2689"/>
      <c r="C1575" s="2689"/>
      <c r="D1575" s="2689"/>
      <c r="E1575" s="2689"/>
      <c r="F1575" s="2689"/>
      <c r="G1575" s="2689"/>
      <c r="H1575" s="2690"/>
      <c r="I1575" s="682">
        <v>1250</v>
      </c>
      <c r="J1575" s="682"/>
      <c r="K1575" s="682"/>
      <c r="L1575" s="683"/>
      <c r="M1575" s="683"/>
      <c r="X1575" s="656"/>
      <c r="Y1575" s="657"/>
      <c r="Z1575" s="657"/>
      <c r="AA1575" s="481"/>
      <c r="AC1575" s="456"/>
      <c r="AD1575" s="522"/>
      <c r="AE1575" s="699"/>
      <c r="AF1575" s="456"/>
      <c r="AG1575" s="699"/>
      <c r="AH1575" s="481"/>
      <c r="AI1575" s="491" t="s">
        <v>3990</v>
      </c>
      <c r="AJ1575" s="481"/>
    </row>
    <row r="1576" spans="1:36" s="454" customFormat="1" ht="15" x14ac:dyDescent="0.25">
      <c r="A1576" s="2688" t="s">
        <v>2451</v>
      </c>
      <c r="B1576" s="2689"/>
      <c r="C1576" s="2689"/>
      <c r="D1576" s="2689"/>
      <c r="E1576" s="2689"/>
      <c r="F1576" s="2689"/>
      <c r="G1576" s="2689"/>
      <c r="H1576" s="2690"/>
      <c r="I1576" s="682">
        <v>12959</v>
      </c>
      <c r="J1576" s="682"/>
      <c r="K1576" s="682"/>
      <c r="L1576" s="683"/>
      <c r="M1576" s="684">
        <v>67.13</v>
      </c>
      <c r="X1576" s="656"/>
      <c r="Y1576" s="657"/>
      <c r="Z1576" s="657"/>
      <c r="AA1576" s="481"/>
      <c r="AC1576" s="456"/>
      <c r="AD1576" s="522"/>
      <c r="AE1576" s="699"/>
      <c r="AF1576" s="456"/>
      <c r="AG1576" s="699"/>
      <c r="AH1576" s="481"/>
      <c r="AI1576" s="491" t="s">
        <v>2451</v>
      </c>
      <c r="AJ1576" s="481"/>
    </row>
    <row r="1577" spans="1:36" s="454" customFormat="1" ht="15" x14ac:dyDescent="0.25">
      <c r="A1577" s="2688" t="s">
        <v>2445</v>
      </c>
      <c r="B1577" s="2689"/>
      <c r="C1577" s="2689"/>
      <c r="D1577" s="2689"/>
      <c r="E1577" s="2689"/>
      <c r="F1577" s="2689"/>
      <c r="G1577" s="2689"/>
      <c r="H1577" s="2690"/>
      <c r="I1577" s="682"/>
      <c r="J1577" s="682"/>
      <c r="K1577" s="682"/>
      <c r="L1577" s="683"/>
      <c r="M1577" s="683"/>
      <c r="X1577" s="656"/>
      <c r="Y1577" s="657"/>
      <c r="Z1577" s="657"/>
      <c r="AA1577" s="481"/>
      <c r="AC1577" s="456"/>
      <c r="AD1577" s="522"/>
      <c r="AE1577" s="699"/>
      <c r="AF1577" s="456"/>
      <c r="AG1577" s="699"/>
      <c r="AH1577" s="481"/>
      <c r="AI1577" s="491" t="s">
        <v>2445</v>
      </c>
      <c r="AJ1577" s="481"/>
    </row>
    <row r="1578" spans="1:36" s="454" customFormat="1" ht="15" x14ac:dyDescent="0.25">
      <c r="A1578" s="2688" t="s">
        <v>3991</v>
      </c>
      <c r="B1578" s="2689"/>
      <c r="C1578" s="2689"/>
      <c r="D1578" s="2689"/>
      <c r="E1578" s="2689"/>
      <c r="F1578" s="2689"/>
      <c r="G1578" s="2689"/>
      <c r="H1578" s="2690"/>
      <c r="I1578" s="682">
        <v>21871</v>
      </c>
      <c r="J1578" s="682"/>
      <c r="K1578" s="682"/>
      <c r="L1578" s="683"/>
      <c r="M1578" s="683"/>
      <c r="X1578" s="656"/>
      <c r="Y1578" s="657"/>
      <c r="Z1578" s="657"/>
      <c r="AA1578" s="481"/>
      <c r="AC1578" s="456"/>
      <c r="AD1578" s="522"/>
      <c r="AE1578" s="699"/>
      <c r="AF1578" s="456"/>
      <c r="AG1578" s="699"/>
      <c r="AH1578" s="481"/>
      <c r="AI1578" s="491" t="s">
        <v>3991</v>
      </c>
      <c r="AJ1578" s="481"/>
    </row>
    <row r="1579" spans="1:36" s="454" customFormat="1" ht="15" x14ac:dyDescent="0.25">
      <c r="A1579" s="2688" t="s">
        <v>2452</v>
      </c>
      <c r="B1579" s="2689"/>
      <c r="C1579" s="2689"/>
      <c r="D1579" s="2689"/>
      <c r="E1579" s="2689"/>
      <c r="F1579" s="2689"/>
      <c r="G1579" s="2689"/>
      <c r="H1579" s="2690"/>
      <c r="I1579" s="682"/>
      <c r="J1579" s="682"/>
      <c r="K1579" s="682"/>
      <c r="L1579" s="683"/>
      <c r="M1579" s="683"/>
      <c r="X1579" s="656"/>
      <c r="Y1579" s="657"/>
      <c r="Z1579" s="657"/>
      <c r="AA1579" s="481"/>
      <c r="AC1579" s="456"/>
      <c r="AD1579" s="522"/>
      <c r="AE1579" s="699"/>
      <c r="AF1579" s="456"/>
      <c r="AG1579" s="699"/>
      <c r="AH1579" s="481"/>
      <c r="AI1579" s="491" t="s">
        <v>2452</v>
      </c>
      <c r="AJ1579" s="481"/>
    </row>
    <row r="1580" spans="1:36" s="454" customFormat="1" ht="22.5" x14ac:dyDescent="0.25">
      <c r="A1580" s="2688" t="s">
        <v>3992</v>
      </c>
      <c r="B1580" s="2689"/>
      <c r="C1580" s="2689"/>
      <c r="D1580" s="2689"/>
      <c r="E1580" s="2689"/>
      <c r="F1580" s="2689"/>
      <c r="G1580" s="2689"/>
      <c r="H1580" s="2690"/>
      <c r="I1580" s="682">
        <v>5909</v>
      </c>
      <c r="J1580" s="682">
        <v>38</v>
      </c>
      <c r="K1580" s="682" t="s">
        <v>3993</v>
      </c>
      <c r="L1580" s="683"/>
      <c r="M1580" s="700">
        <v>4.9000000000000004</v>
      </c>
      <c r="X1580" s="656"/>
      <c r="Y1580" s="657"/>
      <c r="Z1580" s="657"/>
      <c r="AA1580" s="481"/>
      <c r="AC1580" s="456"/>
      <c r="AD1580" s="522"/>
      <c r="AE1580" s="699"/>
      <c r="AF1580" s="456"/>
      <c r="AG1580" s="699"/>
      <c r="AH1580" s="481"/>
      <c r="AI1580" s="491" t="s">
        <v>3992</v>
      </c>
      <c r="AJ1580" s="481"/>
    </row>
    <row r="1581" spans="1:36" s="454" customFormat="1" ht="15" x14ac:dyDescent="0.25">
      <c r="A1581" s="2688" t="s">
        <v>3994</v>
      </c>
      <c r="B1581" s="2689"/>
      <c r="C1581" s="2689"/>
      <c r="D1581" s="2689"/>
      <c r="E1581" s="2689"/>
      <c r="F1581" s="2689"/>
      <c r="G1581" s="2689"/>
      <c r="H1581" s="2690"/>
      <c r="I1581" s="682">
        <v>803</v>
      </c>
      <c r="J1581" s="682"/>
      <c r="K1581" s="682"/>
      <c r="L1581" s="683"/>
      <c r="M1581" s="683"/>
      <c r="X1581" s="656"/>
      <c r="Y1581" s="657"/>
      <c r="Z1581" s="657"/>
      <c r="AA1581" s="481"/>
      <c r="AC1581" s="456"/>
      <c r="AD1581" s="522"/>
      <c r="AE1581" s="699"/>
      <c r="AF1581" s="456"/>
      <c r="AG1581" s="699"/>
      <c r="AH1581" s="481"/>
      <c r="AI1581" s="491" t="s">
        <v>3994</v>
      </c>
      <c r="AJ1581" s="481"/>
    </row>
    <row r="1582" spans="1:36" s="454" customFormat="1" ht="15" x14ac:dyDescent="0.25">
      <c r="A1582" s="2688" t="s">
        <v>3995</v>
      </c>
      <c r="B1582" s="2689"/>
      <c r="C1582" s="2689"/>
      <c r="D1582" s="2689"/>
      <c r="E1582" s="2689"/>
      <c r="F1582" s="2689"/>
      <c r="G1582" s="2689"/>
      <c r="H1582" s="2690"/>
      <c r="I1582" s="682">
        <v>423</v>
      </c>
      <c r="J1582" s="682"/>
      <c r="K1582" s="682"/>
      <c r="L1582" s="683"/>
      <c r="M1582" s="683"/>
      <c r="X1582" s="656"/>
      <c r="Y1582" s="657"/>
      <c r="Z1582" s="657"/>
      <c r="AA1582" s="481"/>
      <c r="AC1582" s="456"/>
      <c r="AD1582" s="522"/>
      <c r="AE1582" s="699"/>
      <c r="AF1582" s="456"/>
      <c r="AG1582" s="699"/>
      <c r="AH1582" s="481"/>
      <c r="AI1582" s="491" t="s">
        <v>3995</v>
      </c>
      <c r="AJ1582" s="481"/>
    </row>
    <row r="1583" spans="1:36" s="454" customFormat="1" ht="15" x14ac:dyDescent="0.25">
      <c r="A1583" s="2688" t="s">
        <v>2451</v>
      </c>
      <c r="B1583" s="2689"/>
      <c r="C1583" s="2689"/>
      <c r="D1583" s="2689"/>
      <c r="E1583" s="2689"/>
      <c r="F1583" s="2689"/>
      <c r="G1583" s="2689"/>
      <c r="H1583" s="2690"/>
      <c r="I1583" s="682">
        <v>7135</v>
      </c>
      <c r="J1583" s="682"/>
      <c r="K1583" s="682"/>
      <c r="L1583" s="683"/>
      <c r="M1583" s="700">
        <v>4.9000000000000004</v>
      </c>
      <c r="X1583" s="656"/>
      <c r="Y1583" s="657"/>
      <c r="Z1583" s="657"/>
      <c r="AA1583" s="481"/>
      <c r="AC1583" s="456"/>
      <c r="AD1583" s="522"/>
      <c r="AE1583" s="699"/>
      <c r="AF1583" s="456"/>
      <c r="AG1583" s="699"/>
      <c r="AH1583" s="481"/>
      <c r="AI1583" s="491" t="s">
        <v>2451</v>
      </c>
      <c r="AJ1583" s="481"/>
    </row>
    <row r="1584" spans="1:36" s="454" customFormat="1" ht="15" x14ac:dyDescent="0.25">
      <c r="A1584" s="2688" t="s">
        <v>2447</v>
      </c>
      <c r="B1584" s="2689"/>
      <c r="C1584" s="2689"/>
      <c r="D1584" s="2689"/>
      <c r="E1584" s="2689"/>
      <c r="F1584" s="2689"/>
      <c r="G1584" s="2689"/>
      <c r="H1584" s="2690"/>
      <c r="I1584" s="682"/>
      <c r="J1584" s="682"/>
      <c r="K1584" s="682"/>
      <c r="L1584" s="683"/>
      <c r="M1584" s="683"/>
      <c r="X1584" s="656"/>
      <c r="Y1584" s="657"/>
      <c r="Z1584" s="657"/>
      <c r="AA1584" s="481"/>
      <c r="AC1584" s="456"/>
      <c r="AD1584" s="522"/>
      <c r="AE1584" s="699"/>
      <c r="AF1584" s="456"/>
      <c r="AG1584" s="699"/>
      <c r="AH1584" s="481"/>
      <c r="AI1584" s="491" t="s">
        <v>2447</v>
      </c>
      <c r="AJ1584" s="481"/>
    </row>
    <row r="1585" spans="1:37" s="454" customFormat="1" ht="15" x14ac:dyDescent="0.25">
      <c r="A1585" s="2688" t="s">
        <v>3996</v>
      </c>
      <c r="B1585" s="2689"/>
      <c r="C1585" s="2689"/>
      <c r="D1585" s="2689"/>
      <c r="E1585" s="2689"/>
      <c r="F1585" s="2689"/>
      <c r="G1585" s="2689"/>
      <c r="H1585" s="2690"/>
      <c r="I1585" s="682">
        <v>581</v>
      </c>
      <c r="J1585" s="682">
        <v>581</v>
      </c>
      <c r="K1585" s="682"/>
      <c r="L1585" s="683"/>
      <c r="M1585" s="684">
        <v>74.430000000000007</v>
      </c>
      <c r="X1585" s="656"/>
      <c r="Y1585" s="657"/>
      <c r="Z1585" s="657"/>
      <c r="AA1585" s="481"/>
      <c r="AC1585" s="456"/>
      <c r="AD1585" s="522"/>
      <c r="AE1585" s="699"/>
      <c r="AF1585" s="456"/>
      <c r="AG1585" s="699"/>
      <c r="AH1585" s="481"/>
      <c r="AI1585" s="491" t="s">
        <v>3996</v>
      </c>
      <c r="AJ1585" s="481"/>
    </row>
    <row r="1586" spans="1:37" s="454" customFormat="1" ht="15" x14ac:dyDescent="0.25">
      <c r="A1586" s="2688" t="s">
        <v>3997</v>
      </c>
      <c r="B1586" s="2689"/>
      <c r="C1586" s="2689"/>
      <c r="D1586" s="2689"/>
      <c r="E1586" s="2689"/>
      <c r="F1586" s="2689"/>
      <c r="G1586" s="2689"/>
      <c r="H1586" s="2690"/>
      <c r="I1586" s="682">
        <v>465</v>
      </c>
      <c r="J1586" s="682"/>
      <c r="K1586" s="682"/>
      <c r="L1586" s="683"/>
      <c r="M1586" s="683"/>
      <c r="X1586" s="656"/>
      <c r="Y1586" s="657"/>
      <c r="Z1586" s="657"/>
      <c r="AA1586" s="481"/>
      <c r="AC1586" s="456"/>
      <c r="AD1586" s="522"/>
      <c r="AE1586" s="699"/>
      <c r="AF1586" s="456"/>
      <c r="AG1586" s="699"/>
      <c r="AH1586" s="481"/>
      <c r="AI1586" s="491" t="s">
        <v>3997</v>
      </c>
      <c r="AJ1586" s="481"/>
    </row>
    <row r="1587" spans="1:37" s="454" customFormat="1" ht="15" x14ac:dyDescent="0.25">
      <c r="A1587" s="2688" t="s">
        <v>3998</v>
      </c>
      <c r="B1587" s="2689"/>
      <c r="C1587" s="2689"/>
      <c r="D1587" s="2689"/>
      <c r="E1587" s="2689"/>
      <c r="F1587" s="2689"/>
      <c r="G1587" s="2689"/>
      <c r="H1587" s="2690"/>
      <c r="I1587" s="682">
        <v>261</v>
      </c>
      <c r="J1587" s="682"/>
      <c r="K1587" s="682"/>
      <c r="L1587" s="683"/>
      <c r="M1587" s="683"/>
      <c r="X1587" s="656"/>
      <c r="Y1587" s="657"/>
      <c r="Z1587" s="657"/>
      <c r="AA1587" s="481"/>
      <c r="AC1587" s="456"/>
      <c r="AD1587" s="522"/>
      <c r="AE1587" s="699"/>
      <c r="AF1587" s="456"/>
      <c r="AG1587" s="699"/>
      <c r="AH1587" s="481"/>
      <c r="AI1587" s="491" t="s">
        <v>3998</v>
      </c>
      <c r="AJ1587" s="481"/>
    </row>
    <row r="1588" spans="1:37" s="454" customFormat="1" ht="15" x14ac:dyDescent="0.25">
      <c r="A1588" s="2688" t="s">
        <v>2451</v>
      </c>
      <c r="B1588" s="2689"/>
      <c r="C1588" s="2689"/>
      <c r="D1588" s="2689"/>
      <c r="E1588" s="2689"/>
      <c r="F1588" s="2689"/>
      <c r="G1588" s="2689"/>
      <c r="H1588" s="2690"/>
      <c r="I1588" s="682">
        <v>1307</v>
      </c>
      <c r="J1588" s="682"/>
      <c r="K1588" s="682"/>
      <c r="L1588" s="683"/>
      <c r="M1588" s="684">
        <v>74.430000000000007</v>
      </c>
      <c r="X1588" s="656"/>
      <c r="Y1588" s="657"/>
      <c r="Z1588" s="657"/>
      <c r="AA1588" s="481"/>
      <c r="AC1588" s="456"/>
      <c r="AD1588" s="522"/>
      <c r="AE1588" s="699"/>
      <c r="AF1588" s="456"/>
      <c r="AG1588" s="699"/>
      <c r="AH1588" s="481"/>
      <c r="AI1588" s="491" t="s">
        <v>2451</v>
      </c>
      <c r="AJ1588" s="481"/>
    </row>
    <row r="1589" spans="1:37" s="454" customFormat="1" ht="15" x14ac:dyDescent="0.25">
      <c r="A1589" s="2688" t="s">
        <v>2456</v>
      </c>
      <c r="B1589" s="2689"/>
      <c r="C1589" s="2689"/>
      <c r="D1589" s="2689"/>
      <c r="E1589" s="2689"/>
      <c r="F1589" s="2689"/>
      <c r="G1589" s="2689"/>
      <c r="H1589" s="2690"/>
      <c r="I1589" s="682"/>
      <c r="J1589" s="682"/>
      <c r="K1589" s="682"/>
      <c r="L1589" s="683"/>
      <c r="M1589" s="683"/>
      <c r="X1589" s="656"/>
      <c r="Y1589" s="657"/>
      <c r="Z1589" s="657"/>
      <c r="AA1589" s="481"/>
      <c r="AC1589" s="456"/>
      <c r="AD1589" s="522"/>
      <c r="AE1589" s="699"/>
      <c r="AF1589" s="456"/>
      <c r="AG1589" s="699"/>
      <c r="AH1589" s="481"/>
      <c r="AI1589" s="491" t="s">
        <v>2456</v>
      </c>
      <c r="AJ1589" s="481"/>
    </row>
    <row r="1590" spans="1:37" s="454" customFormat="1" ht="15" x14ac:dyDescent="0.25">
      <c r="A1590" s="2688" t="s">
        <v>3999</v>
      </c>
      <c r="B1590" s="2689"/>
      <c r="C1590" s="2689"/>
      <c r="D1590" s="2689"/>
      <c r="E1590" s="2689"/>
      <c r="F1590" s="2689"/>
      <c r="G1590" s="2689"/>
      <c r="H1590" s="2690"/>
      <c r="I1590" s="682">
        <v>1328</v>
      </c>
      <c r="J1590" s="682"/>
      <c r="K1590" s="682">
        <v>1328</v>
      </c>
      <c r="L1590" s="683"/>
      <c r="M1590" s="683"/>
      <c r="X1590" s="656"/>
      <c r="Y1590" s="657"/>
      <c r="Z1590" s="657"/>
      <c r="AA1590" s="481"/>
      <c r="AC1590" s="456"/>
      <c r="AD1590" s="522"/>
      <c r="AE1590" s="699"/>
      <c r="AF1590" s="456"/>
      <c r="AG1590" s="699"/>
      <c r="AH1590" s="481"/>
      <c r="AI1590" s="491" t="s">
        <v>3999</v>
      </c>
      <c r="AJ1590" s="481"/>
    </row>
    <row r="1591" spans="1:37" s="454" customFormat="1" ht="15" x14ac:dyDescent="0.25">
      <c r="A1591" s="2688" t="s">
        <v>1695</v>
      </c>
      <c r="B1591" s="2689"/>
      <c r="C1591" s="2689"/>
      <c r="D1591" s="2689"/>
      <c r="E1591" s="2689"/>
      <c r="F1591" s="2689"/>
      <c r="G1591" s="2689"/>
      <c r="H1591" s="2690"/>
      <c r="I1591" s="682">
        <v>178553</v>
      </c>
      <c r="J1591" s="682"/>
      <c r="K1591" s="682"/>
      <c r="L1591" s="683"/>
      <c r="M1591" s="684">
        <v>7505.47</v>
      </c>
      <c r="X1591" s="656"/>
      <c r="Y1591" s="657"/>
      <c r="Z1591" s="657"/>
      <c r="AA1591" s="481"/>
      <c r="AC1591" s="456"/>
      <c r="AD1591" s="522"/>
      <c r="AE1591" s="699"/>
      <c r="AF1591" s="456"/>
      <c r="AG1591" s="699"/>
      <c r="AH1591" s="481"/>
      <c r="AI1591" s="491" t="s">
        <v>1695</v>
      </c>
      <c r="AJ1591" s="481"/>
    </row>
    <row r="1592" spans="1:37" s="454" customFormat="1" ht="15" x14ac:dyDescent="0.25">
      <c r="A1592" s="2688" t="s">
        <v>1696</v>
      </c>
      <c r="B1592" s="2689"/>
      <c r="C1592" s="2689"/>
      <c r="D1592" s="2689"/>
      <c r="E1592" s="2689"/>
      <c r="F1592" s="2689"/>
      <c r="G1592" s="2689"/>
      <c r="H1592" s="2690"/>
      <c r="I1592" s="682"/>
      <c r="J1592" s="682"/>
      <c r="K1592" s="682"/>
      <c r="L1592" s="683"/>
      <c r="M1592" s="683"/>
      <c r="X1592" s="656"/>
      <c r="Y1592" s="657"/>
      <c r="Z1592" s="657"/>
      <c r="AA1592" s="481"/>
      <c r="AC1592" s="456"/>
      <c r="AD1592" s="522"/>
      <c r="AE1592" s="699"/>
      <c r="AF1592" s="456"/>
      <c r="AG1592" s="699"/>
      <c r="AH1592" s="481"/>
      <c r="AI1592" s="491" t="s">
        <v>1696</v>
      </c>
      <c r="AJ1592" s="481"/>
    </row>
    <row r="1593" spans="1:37" s="454" customFormat="1" ht="15" x14ac:dyDescent="0.25">
      <c r="A1593" s="2688" t="s">
        <v>1697</v>
      </c>
      <c r="B1593" s="2689"/>
      <c r="C1593" s="2689"/>
      <c r="D1593" s="2689"/>
      <c r="E1593" s="2689"/>
      <c r="F1593" s="2689"/>
      <c r="G1593" s="2689"/>
      <c r="H1593" s="2690"/>
      <c r="I1593" s="682">
        <v>21907</v>
      </c>
      <c r="J1593" s="682"/>
      <c r="K1593" s="682"/>
      <c r="L1593" s="683"/>
      <c r="M1593" s="683"/>
      <c r="X1593" s="656"/>
      <c r="Y1593" s="657"/>
      <c r="Z1593" s="657"/>
      <c r="AA1593" s="481"/>
      <c r="AC1593" s="456"/>
      <c r="AD1593" s="522"/>
      <c r="AE1593" s="699"/>
      <c r="AF1593" s="456"/>
      <c r="AG1593" s="699"/>
      <c r="AH1593" s="481"/>
      <c r="AI1593" s="491" t="s">
        <v>1697</v>
      </c>
      <c r="AJ1593" s="481"/>
    </row>
    <row r="1594" spans="1:37" s="454" customFormat="1" ht="15" x14ac:dyDescent="0.25">
      <c r="A1594" s="2688" t="s">
        <v>1698</v>
      </c>
      <c r="B1594" s="2689"/>
      <c r="C1594" s="2689"/>
      <c r="D1594" s="2689"/>
      <c r="E1594" s="2689"/>
      <c r="F1594" s="2689"/>
      <c r="G1594" s="2689"/>
      <c r="H1594" s="2690"/>
      <c r="I1594" s="682">
        <v>16609</v>
      </c>
      <c r="J1594" s="682"/>
      <c r="K1594" s="682"/>
      <c r="L1594" s="683"/>
      <c r="M1594" s="683"/>
      <c r="X1594" s="656"/>
      <c r="Y1594" s="657"/>
      <c r="Z1594" s="657"/>
      <c r="AA1594" s="481"/>
      <c r="AC1594" s="456"/>
      <c r="AD1594" s="522"/>
      <c r="AE1594" s="699"/>
      <c r="AF1594" s="456"/>
      <c r="AG1594" s="699"/>
      <c r="AH1594" s="481"/>
      <c r="AI1594" s="491" t="s">
        <v>1698</v>
      </c>
      <c r="AJ1594" s="481"/>
    </row>
    <row r="1595" spans="1:37" s="454" customFormat="1" ht="15" x14ac:dyDescent="0.25">
      <c r="A1595" s="2688" t="s">
        <v>1699</v>
      </c>
      <c r="B1595" s="2689"/>
      <c r="C1595" s="2689"/>
      <c r="D1595" s="2689"/>
      <c r="E1595" s="2689"/>
      <c r="F1595" s="2689"/>
      <c r="G1595" s="2689"/>
      <c r="H1595" s="2690"/>
      <c r="I1595" s="682">
        <v>64101</v>
      </c>
      <c r="J1595" s="682"/>
      <c r="K1595" s="682"/>
      <c r="L1595" s="683"/>
      <c r="M1595" s="683"/>
      <c r="X1595" s="656"/>
      <c r="Y1595" s="657"/>
      <c r="Z1595" s="657"/>
      <c r="AA1595" s="481"/>
      <c r="AC1595" s="456"/>
      <c r="AD1595" s="522"/>
      <c r="AE1595" s="699"/>
      <c r="AF1595" s="456"/>
      <c r="AG1595" s="699"/>
      <c r="AH1595" s="481"/>
      <c r="AI1595" s="491" t="s">
        <v>1699</v>
      </c>
      <c r="AJ1595" s="481"/>
    </row>
    <row r="1596" spans="1:37" s="454" customFormat="1" ht="15" x14ac:dyDescent="0.25">
      <c r="A1596" s="2688" t="s">
        <v>1700</v>
      </c>
      <c r="B1596" s="2689"/>
      <c r="C1596" s="2689"/>
      <c r="D1596" s="2689"/>
      <c r="E1596" s="2689"/>
      <c r="F1596" s="2689"/>
      <c r="G1596" s="2689"/>
      <c r="H1596" s="2690"/>
      <c r="I1596" s="682">
        <v>49104</v>
      </c>
      <c r="J1596" s="682"/>
      <c r="K1596" s="682"/>
      <c r="L1596" s="683"/>
      <c r="M1596" s="683"/>
      <c r="X1596" s="656"/>
      <c r="Y1596" s="657"/>
      <c r="Z1596" s="657"/>
      <c r="AA1596" s="481"/>
      <c r="AC1596" s="456"/>
      <c r="AD1596" s="522"/>
      <c r="AE1596" s="699"/>
      <c r="AF1596" s="456"/>
      <c r="AG1596" s="699"/>
      <c r="AH1596" s="481"/>
      <c r="AI1596" s="491" t="s">
        <v>1700</v>
      </c>
      <c r="AJ1596" s="481"/>
    </row>
    <row r="1597" spans="1:37" s="454" customFormat="1" ht="15" x14ac:dyDescent="0.25">
      <c r="A1597" s="2688" t="s">
        <v>1701</v>
      </c>
      <c r="B1597" s="2689"/>
      <c r="C1597" s="2689"/>
      <c r="D1597" s="2689"/>
      <c r="E1597" s="2689"/>
      <c r="F1597" s="2689"/>
      <c r="G1597" s="2689"/>
      <c r="H1597" s="2690"/>
      <c r="I1597" s="682">
        <v>28431</v>
      </c>
      <c r="J1597" s="682"/>
      <c r="K1597" s="682"/>
      <c r="L1597" s="683"/>
      <c r="M1597" s="683"/>
      <c r="X1597" s="656"/>
      <c r="Y1597" s="657"/>
      <c r="Z1597" s="657"/>
      <c r="AA1597" s="481"/>
      <c r="AC1597" s="456"/>
      <c r="AD1597" s="522"/>
      <c r="AE1597" s="699"/>
      <c r="AF1597" s="456"/>
      <c r="AG1597" s="699"/>
      <c r="AH1597" s="481"/>
      <c r="AI1597" s="491" t="s">
        <v>1701</v>
      </c>
      <c r="AJ1597" s="481"/>
    </row>
    <row r="1598" spans="1:37" s="454" customFormat="1" ht="15" x14ac:dyDescent="0.25">
      <c r="A1598" s="2685" t="s">
        <v>2458</v>
      </c>
      <c r="B1598" s="2686"/>
      <c r="C1598" s="2686"/>
      <c r="D1598" s="2686"/>
      <c r="E1598" s="2686"/>
      <c r="F1598" s="2686"/>
      <c r="G1598" s="2686"/>
      <c r="H1598" s="2687"/>
      <c r="I1598" s="661">
        <v>178553</v>
      </c>
      <c r="J1598" s="661"/>
      <c r="K1598" s="661"/>
      <c r="L1598" s="681"/>
      <c r="M1598" s="672">
        <v>7505.47</v>
      </c>
      <c r="X1598" s="656"/>
      <c r="Y1598" s="657"/>
      <c r="Z1598" s="657"/>
      <c r="AA1598" s="481"/>
      <c r="AC1598" s="456"/>
      <c r="AD1598" s="522"/>
      <c r="AE1598" s="699"/>
      <c r="AF1598" s="456"/>
      <c r="AG1598" s="699"/>
      <c r="AH1598" s="481"/>
      <c r="AJ1598" s="481" t="s">
        <v>2458</v>
      </c>
    </row>
    <row r="1599" spans="1:37" s="454" customFormat="1" ht="22.5" x14ac:dyDescent="0.25">
      <c r="A1599" s="2685" t="s">
        <v>1619</v>
      </c>
      <c r="B1599" s="2686"/>
      <c r="C1599" s="2686"/>
      <c r="D1599" s="2686"/>
      <c r="E1599" s="2686"/>
      <c r="F1599" s="2686"/>
      <c r="G1599" s="2686"/>
      <c r="H1599" s="2687"/>
      <c r="I1599" s="661">
        <v>13563714</v>
      </c>
      <c r="J1599" s="661">
        <v>848471</v>
      </c>
      <c r="K1599" s="661" t="s">
        <v>4000</v>
      </c>
      <c r="L1599" s="681"/>
      <c r="M1599" s="692">
        <v>86562.2</v>
      </c>
      <c r="AK1599" s="481" t="s">
        <v>1619</v>
      </c>
    </row>
    <row r="1600" spans="1:37" s="454" customFormat="1" ht="15" x14ac:dyDescent="0.25">
      <c r="A1600" s="2685" t="s">
        <v>1416</v>
      </c>
      <c r="B1600" s="2686"/>
      <c r="C1600" s="2686"/>
      <c r="D1600" s="2686"/>
      <c r="E1600" s="2686"/>
      <c r="F1600" s="2686"/>
      <c r="G1600" s="2686"/>
      <c r="H1600" s="2687"/>
      <c r="I1600" s="661">
        <v>1170315</v>
      </c>
      <c r="J1600" s="661"/>
      <c r="K1600" s="661"/>
      <c r="L1600" s="681"/>
      <c r="M1600" s="681"/>
      <c r="AK1600" s="481" t="s">
        <v>1416</v>
      </c>
    </row>
    <row r="1601" spans="1:38" s="454" customFormat="1" ht="15" x14ac:dyDescent="0.25">
      <c r="A1601" s="2688" t="s">
        <v>1681</v>
      </c>
      <c r="B1601" s="2689"/>
      <c r="C1601" s="2689"/>
      <c r="D1601" s="2689"/>
      <c r="E1601" s="2689"/>
      <c r="F1601" s="2689"/>
      <c r="G1601" s="2689"/>
      <c r="H1601" s="2690"/>
      <c r="I1601" s="682"/>
      <c r="J1601" s="682"/>
      <c r="K1601" s="682"/>
      <c r="L1601" s="683"/>
      <c r="M1601" s="683"/>
      <c r="AK1601" s="481"/>
      <c r="AL1601" s="491" t="s">
        <v>1681</v>
      </c>
    </row>
    <row r="1602" spans="1:38" s="454" customFormat="1" ht="15" x14ac:dyDescent="0.25">
      <c r="A1602" s="2688" t="s">
        <v>3971</v>
      </c>
      <c r="B1602" s="2689"/>
      <c r="C1602" s="2689"/>
      <c r="D1602" s="2689"/>
      <c r="E1602" s="2689"/>
      <c r="F1602" s="2689"/>
      <c r="G1602" s="2689"/>
      <c r="H1602" s="2690"/>
      <c r="I1602" s="682">
        <v>14708</v>
      </c>
      <c r="J1602" s="682"/>
      <c r="K1602" s="682"/>
      <c r="L1602" s="683"/>
      <c r="M1602" s="683"/>
      <c r="AK1602" s="481"/>
      <c r="AL1602" s="491" t="s">
        <v>3971</v>
      </c>
    </row>
    <row r="1603" spans="1:38" s="454" customFormat="1" ht="15" x14ac:dyDescent="0.25">
      <c r="A1603" s="2688" t="s">
        <v>4001</v>
      </c>
      <c r="B1603" s="2689"/>
      <c r="C1603" s="2689"/>
      <c r="D1603" s="2689"/>
      <c r="E1603" s="2689"/>
      <c r="F1603" s="2689"/>
      <c r="G1603" s="2689"/>
      <c r="H1603" s="2690"/>
      <c r="I1603" s="682">
        <v>200965</v>
      </c>
      <c r="J1603" s="682"/>
      <c r="K1603" s="682"/>
      <c r="L1603" s="683"/>
      <c r="M1603" s="683"/>
      <c r="AK1603" s="481"/>
      <c r="AL1603" s="491" t="s">
        <v>4001</v>
      </c>
    </row>
    <row r="1604" spans="1:38" s="454" customFormat="1" ht="15" x14ac:dyDescent="0.25">
      <c r="A1604" s="2688" t="s">
        <v>4002</v>
      </c>
      <c r="B1604" s="2689"/>
      <c r="C1604" s="2689"/>
      <c r="D1604" s="2689"/>
      <c r="E1604" s="2689"/>
      <c r="F1604" s="2689"/>
      <c r="G1604" s="2689"/>
      <c r="H1604" s="2690"/>
      <c r="I1604" s="682">
        <v>52198</v>
      </c>
      <c r="J1604" s="682"/>
      <c r="K1604" s="682"/>
      <c r="L1604" s="683"/>
      <c r="M1604" s="683"/>
      <c r="AK1604" s="481"/>
      <c r="AL1604" s="491" t="s">
        <v>4002</v>
      </c>
    </row>
    <row r="1605" spans="1:38" s="454" customFormat="1" ht="15" x14ac:dyDescent="0.25">
      <c r="A1605" s="2688" t="s">
        <v>4003</v>
      </c>
      <c r="B1605" s="2689"/>
      <c r="C1605" s="2689"/>
      <c r="D1605" s="2689"/>
      <c r="E1605" s="2689"/>
      <c r="F1605" s="2689"/>
      <c r="G1605" s="2689"/>
      <c r="H1605" s="2690"/>
      <c r="I1605" s="682">
        <v>2365</v>
      </c>
      <c r="J1605" s="682"/>
      <c r="K1605" s="682"/>
      <c r="L1605" s="683"/>
      <c r="M1605" s="683"/>
      <c r="AK1605" s="481"/>
      <c r="AL1605" s="491" t="s">
        <v>4003</v>
      </c>
    </row>
    <row r="1606" spans="1:38" s="454" customFormat="1" ht="15" x14ac:dyDescent="0.25">
      <c r="A1606" s="2688" t="s">
        <v>3973</v>
      </c>
      <c r="B1606" s="2689"/>
      <c r="C1606" s="2689"/>
      <c r="D1606" s="2689"/>
      <c r="E1606" s="2689"/>
      <c r="F1606" s="2689"/>
      <c r="G1606" s="2689"/>
      <c r="H1606" s="2690"/>
      <c r="I1606" s="682">
        <v>803</v>
      </c>
      <c r="J1606" s="682"/>
      <c r="K1606" s="682"/>
      <c r="L1606" s="683"/>
      <c r="M1606" s="683"/>
      <c r="AK1606" s="481"/>
      <c r="AL1606" s="491" t="s">
        <v>3973</v>
      </c>
    </row>
    <row r="1607" spans="1:38" s="454" customFormat="1" ht="15" x14ac:dyDescent="0.25">
      <c r="A1607" s="2688" t="s">
        <v>4004</v>
      </c>
      <c r="B1607" s="2689"/>
      <c r="C1607" s="2689"/>
      <c r="D1607" s="2689"/>
      <c r="E1607" s="2689"/>
      <c r="F1607" s="2689"/>
      <c r="G1607" s="2689"/>
      <c r="H1607" s="2690"/>
      <c r="I1607" s="682">
        <v>728</v>
      </c>
      <c r="J1607" s="682"/>
      <c r="K1607" s="682"/>
      <c r="L1607" s="683"/>
      <c r="M1607" s="683"/>
      <c r="AK1607" s="481"/>
      <c r="AL1607" s="491" t="s">
        <v>4004</v>
      </c>
    </row>
    <row r="1608" spans="1:38" s="454" customFormat="1" ht="15" x14ac:dyDescent="0.25">
      <c r="A1608" s="2688" t="s">
        <v>3316</v>
      </c>
      <c r="B1608" s="2689"/>
      <c r="C1608" s="2689"/>
      <c r="D1608" s="2689"/>
      <c r="E1608" s="2689"/>
      <c r="F1608" s="2689"/>
      <c r="G1608" s="2689"/>
      <c r="H1608" s="2690"/>
      <c r="I1608" s="682">
        <v>28151</v>
      </c>
      <c r="J1608" s="682"/>
      <c r="K1608" s="682"/>
      <c r="L1608" s="683"/>
      <c r="M1608" s="683"/>
      <c r="AK1608" s="481"/>
      <c r="AL1608" s="491" t="s">
        <v>3316</v>
      </c>
    </row>
    <row r="1609" spans="1:38" s="454" customFormat="1" ht="15" x14ac:dyDescent="0.25">
      <c r="A1609" s="2688" t="s">
        <v>4005</v>
      </c>
      <c r="B1609" s="2689"/>
      <c r="C1609" s="2689"/>
      <c r="D1609" s="2689"/>
      <c r="E1609" s="2689"/>
      <c r="F1609" s="2689"/>
      <c r="G1609" s="2689"/>
      <c r="H1609" s="2690"/>
      <c r="I1609" s="682">
        <v>868528</v>
      </c>
      <c r="J1609" s="682"/>
      <c r="K1609" s="682"/>
      <c r="L1609" s="683"/>
      <c r="M1609" s="683"/>
      <c r="AK1609" s="481"/>
      <c r="AL1609" s="491" t="s">
        <v>4005</v>
      </c>
    </row>
    <row r="1610" spans="1:38" s="454" customFormat="1" ht="15" x14ac:dyDescent="0.25">
      <c r="A1610" s="2688" t="s">
        <v>3974</v>
      </c>
      <c r="B1610" s="2689"/>
      <c r="C1610" s="2689"/>
      <c r="D1610" s="2689"/>
      <c r="E1610" s="2689"/>
      <c r="F1610" s="2689"/>
      <c r="G1610" s="2689"/>
      <c r="H1610" s="2690"/>
      <c r="I1610" s="682">
        <v>1869</v>
      </c>
      <c r="J1610" s="682"/>
      <c r="K1610" s="682"/>
      <c r="L1610" s="683"/>
      <c r="M1610" s="683"/>
      <c r="AK1610" s="481"/>
      <c r="AL1610" s="491" t="s">
        <v>3974</v>
      </c>
    </row>
    <row r="1611" spans="1:38" s="454" customFormat="1" ht="15" x14ac:dyDescent="0.25">
      <c r="A1611" s="2685" t="s">
        <v>1417</v>
      </c>
      <c r="B1611" s="2686"/>
      <c r="C1611" s="2686"/>
      <c r="D1611" s="2686"/>
      <c r="E1611" s="2686"/>
      <c r="F1611" s="2686"/>
      <c r="G1611" s="2686"/>
      <c r="H1611" s="2687"/>
      <c r="I1611" s="661">
        <v>578598</v>
      </c>
      <c r="J1611" s="661"/>
      <c r="K1611" s="661"/>
      <c r="L1611" s="681"/>
      <c r="M1611" s="681"/>
      <c r="AK1611" s="481" t="s">
        <v>1417</v>
      </c>
    </row>
    <row r="1612" spans="1:38" s="454" customFormat="1" ht="15" x14ac:dyDescent="0.25">
      <c r="A1612" s="2688" t="s">
        <v>1681</v>
      </c>
      <c r="B1612" s="2689"/>
      <c r="C1612" s="2689"/>
      <c r="D1612" s="2689"/>
      <c r="E1612" s="2689"/>
      <c r="F1612" s="2689"/>
      <c r="G1612" s="2689"/>
      <c r="H1612" s="2690"/>
      <c r="I1612" s="682"/>
      <c r="J1612" s="682"/>
      <c r="K1612" s="682"/>
      <c r="L1612" s="683"/>
      <c r="M1612" s="683"/>
      <c r="AK1612" s="481"/>
      <c r="AL1612" s="491" t="s">
        <v>1681</v>
      </c>
    </row>
    <row r="1613" spans="1:38" s="454" customFormat="1" ht="15" x14ac:dyDescent="0.25">
      <c r="A1613" s="2688" t="s">
        <v>3975</v>
      </c>
      <c r="B1613" s="2689"/>
      <c r="C1613" s="2689"/>
      <c r="D1613" s="2689"/>
      <c r="E1613" s="2689"/>
      <c r="F1613" s="2689"/>
      <c r="G1613" s="2689"/>
      <c r="H1613" s="2690"/>
      <c r="I1613" s="682">
        <v>8914</v>
      </c>
      <c r="J1613" s="682"/>
      <c r="K1613" s="682"/>
      <c r="L1613" s="683"/>
      <c r="M1613" s="683"/>
      <c r="AK1613" s="481"/>
      <c r="AL1613" s="491" t="s">
        <v>3975</v>
      </c>
    </row>
    <row r="1614" spans="1:38" s="454" customFormat="1" ht="15" x14ac:dyDescent="0.25">
      <c r="A1614" s="2688" t="s">
        <v>4006</v>
      </c>
      <c r="B1614" s="2689"/>
      <c r="C1614" s="2689"/>
      <c r="D1614" s="2689"/>
      <c r="E1614" s="2689"/>
      <c r="F1614" s="2689"/>
      <c r="G1614" s="2689"/>
      <c r="H1614" s="2690"/>
      <c r="I1614" s="682">
        <v>112075</v>
      </c>
      <c r="J1614" s="682"/>
      <c r="K1614" s="682"/>
      <c r="L1614" s="683"/>
      <c r="M1614" s="683"/>
      <c r="AK1614" s="481"/>
      <c r="AL1614" s="491" t="s">
        <v>4006</v>
      </c>
    </row>
    <row r="1615" spans="1:38" s="454" customFormat="1" ht="15" x14ac:dyDescent="0.25">
      <c r="A1615" s="2688" t="s">
        <v>3977</v>
      </c>
      <c r="B1615" s="2689"/>
      <c r="C1615" s="2689"/>
      <c r="D1615" s="2689"/>
      <c r="E1615" s="2689"/>
      <c r="F1615" s="2689"/>
      <c r="G1615" s="2689"/>
      <c r="H1615" s="2690"/>
      <c r="I1615" s="682">
        <v>423</v>
      </c>
      <c r="J1615" s="682"/>
      <c r="K1615" s="682"/>
      <c r="L1615" s="683"/>
      <c r="M1615" s="683"/>
      <c r="AK1615" s="481"/>
      <c r="AL1615" s="491" t="s">
        <v>3977</v>
      </c>
    </row>
    <row r="1616" spans="1:38" s="454" customFormat="1" ht="15" x14ac:dyDescent="0.25">
      <c r="A1616" s="2688" t="s">
        <v>4007</v>
      </c>
      <c r="B1616" s="2689"/>
      <c r="C1616" s="2689"/>
      <c r="D1616" s="2689"/>
      <c r="E1616" s="2689"/>
      <c r="F1616" s="2689"/>
      <c r="G1616" s="2689"/>
      <c r="H1616" s="2690"/>
      <c r="I1616" s="682">
        <v>395490</v>
      </c>
      <c r="J1616" s="682"/>
      <c r="K1616" s="682"/>
      <c r="L1616" s="683"/>
      <c r="M1616" s="683"/>
      <c r="AK1616" s="481"/>
      <c r="AL1616" s="491" t="s">
        <v>4007</v>
      </c>
    </row>
    <row r="1617" spans="1:38" s="454" customFormat="1" ht="15" x14ac:dyDescent="0.25">
      <c r="A1617" s="2688" t="s">
        <v>4008</v>
      </c>
      <c r="B1617" s="2689"/>
      <c r="C1617" s="2689"/>
      <c r="D1617" s="2689"/>
      <c r="E1617" s="2689"/>
      <c r="F1617" s="2689"/>
      <c r="G1617" s="2689"/>
      <c r="H1617" s="2690"/>
      <c r="I1617" s="682">
        <v>37288</v>
      </c>
      <c r="J1617" s="682"/>
      <c r="K1617" s="682"/>
      <c r="L1617" s="683"/>
      <c r="M1617" s="683"/>
      <c r="AK1617" s="481"/>
      <c r="AL1617" s="491" t="s">
        <v>4008</v>
      </c>
    </row>
    <row r="1618" spans="1:38" s="454" customFormat="1" ht="15" x14ac:dyDescent="0.25">
      <c r="A1618" s="2688" t="s">
        <v>4009</v>
      </c>
      <c r="B1618" s="2689"/>
      <c r="C1618" s="2689"/>
      <c r="D1618" s="2689"/>
      <c r="E1618" s="2689"/>
      <c r="F1618" s="2689"/>
      <c r="G1618" s="2689"/>
      <c r="H1618" s="2690"/>
      <c r="I1618" s="682">
        <v>450</v>
      </c>
      <c r="J1618" s="682"/>
      <c r="K1618" s="682"/>
      <c r="L1618" s="683"/>
      <c r="M1618" s="683"/>
      <c r="AK1618" s="481"/>
      <c r="AL1618" s="491" t="s">
        <v>4009</v>
      </c>
    </row>
    <row r="1619" spans="1:38" s="454" customFormat="1" ht="15" x14ac:dyDescent="0.25">
      <c r="A1619" s="2688" t="s">
        <v>3322</v>
      </c>
      <c r="B1619" s="2689"/>
      <c r="C1619" s="2689"/>
      <c r="D1619" s="2689"/>
      <c r="E1619" s="2689"/>
      <c r="F1619" s="2689"/>
      <c r="G1619" s="2689"/>
      <c r="H1619" s="2690"/>
      <c r="I1619" s="682">
        <v>20474</v>
      </c>
      <c r="J1619" s="682"/>
      <c r="K1619" s="682"/>
      <c r="L1619" s="683"/>
      <c r="M1619" s="683"/>
      <c r="AK1619" s="481"/>
      <c r="AL1619" s="491" t="s">
        <v>3322</v>
      </c>
    </row>
    <row r="1620" spans="1:38" s="454" customFormat="1" ht="15" x14ac:dyDescent="0.25">
      <c r="A1620" s="2688" t="s">
        <v>4010</v>
      </c>
      <c r="B1620" s="2689"/>
      <c r="C1620" s="2689"/>
      <c r="D1620" s="2689"/>
      <c r="E1620" s="2689"/>
      <c r="F1620" s="2689"/>
      <c r="G1620" s="2689"/>
      <c r="H1620" s="2690"/>
      <c r="I1620" s="682">
        <v>2234</v>
      </c>
      <c r="J1620" s="682"/>
      <c r="K1620" s="682"/>
      <c r="L1620" s="683"/>
      <c r="M1620" s="683"/>
      <c r="AK1620" s="481"/>
      <c r="AL1620" s="491" t="s">
        <v>4010</v>
      </c>
    </row>
    <row r="1621" spans="1:38" s="454" customFormat="1" ht="15" x14ac:dyDescent="0.25">
      <c r="A1621" s="2688" t="s">
        <v>3978</v>
      </c>
      <c r="B1621" s="2689"/>
      <c r="C1621" s="2689"/>
      <c r="D1621" s="2689"/>
      <c r="E1621" s="2689"/>
      <c r="F1621" s="2689"/>
      <c r="G1621" s="2689"/>
      <c r="H1621" s="2690"/>
      <c r="I1621" s="682">
        <v>1250</v>
      </c>
      <c r="J1621" s="682"/>
      <c r="K1621" s="682"/>
      <c r="L1621" s="683"/>
      <c r="M1621" s="683"/>
      <c r="AK1621" s="481"/>
      <c r="AL1621" s="491" t="s">
        <v>3978</v>
      </c>
    </row>
    <row r="1622" spans="1:38" s="454" customFormat="1" ht="15" x14ac:dyDescent="0.25">
      <c r="A1622" s="2685" t="s">
        <v>921</v>
      </c>
      <c r="B1622" s="2686"/>
      <c r="C1622" s="2686"/>
      <c r="D1622" s="2686"/>
      <c r="E1622" s="2686"/>
      <c r="F1622" s="2686"/>
      <c r="G1622" s="2686"/>
      <c r="H1622" s="2687"/>
      <c r="I1622" s="661"/>
      <c r="J1622" s="661"/>
      <c r="K1622" s="661"/>
      <c r="L1622" s="681"/>
      <c r="M1622" s="681"/>
      <c r="AK1622" s="481" t="s">
        <v>921</v>
      </c>
    </row>
    <row r="1623" spans="1:38" s="454" customFormat="1" ht="15" x14ac:dyDescent="0.25">
      <c r="A1623" s="2688" t="s">
        <v>1685</v>
      </c>
      <c r="B1623" s="2689"/>
      <c r="C1623" s="2689"/>
      <c r="D1623" s="2689"/>
      <c r="E1623" s="2689"/>
      <c r="F1623" s="2689"/>
      <c r="G1623" s="2689"/>
      <c r="H1623" s="2690"/>
      <c r="I1623" s="682"/>
      <c r="J1623" s="682"/>
      <c r="K1623" s="682"/>
      <c r="L1623" s="683"/>
      <c r="M1623" s="683"/>
      <c r="AK1623" s="481"/>
      <c r="AL1623" s="491" t="s">
        <v>1685</v>
      </c>
    </row>
    <row r="1624" spans="1:38" s="454" customFormat="1" ht="15" x14ac:dyDescent="0.25">
      <c r="A1624" s="2688" t="s">
        <v>2382</v>
      </c>
      <c r="B1624" s="2689"/>
      <c r="C1624" s="2689"/>
      <c r="D1624" s="2689"/>
      <c r="E1624" s="2689"/>
      <c r="F1624" s="2689"/>
      <c r="G1624" s="2689"/>
      <c r="H1624" s="2690"/>
      <c r="I1624" s="682"/>
      <c r="J1624" s="682"/>
      <c r="K1624" s="682"/>
      <c r="L1624" s="683"/>
      <c r="M1624" s="683"/>
      <c r="AK1624" s="481"/>
      <c r="AL1624" s="491" t="s">
        <v>2382</v>
      </c>
    </row>
    <row r="1625" spans="1:38" s="454" customFormat="1" ht="22.5" x14ac:dyDescent="0.25">
      <c r="A1625" s="2688" t="s">
        <v>4011</v>
      </c>
      <c r="B1625" s="2689"/>
      <c r="C1625" s="2689"/>
      <c r="D1625" s="2689"/>
      <c r="E1625" s="2689"/>
      <c r="F1625" s="2689"/>
      <c r="G1625" s="2689"/>
      <c r="H1625" s="2690"/>
      <c r="I1625" s="682">
        <v>250579</v>
      </c>
      <c r="J1625" s="682">
        <v>248313</v>
      </c>
      <c r="K1625" s="682" t="s">
        <v>4012</v>
      </c>
      <c r="L1625" s="683"/>
      <c r="M1625" s="684">
        <v>23537.47</v>
      </c>
      <c r="AK1625" s="481"/>
      <c r="AL1625" s="491" t="s">
        <v>4011</v>
      </c>
    </row>
    <row r="1626" spans="1:38" s="454" customFormat="1" ht="15" x14ac:dyDescent="0.25">
      <c r="A1626" s="2688" t="s">
        <v>4013</v>
      </c>
      <c r="B1626" s="2689"/>
      <c r="C1626" s="2689"/>
      <c r="D1626" s="2689"/>
      <c r="E1626" s="2689"/>
      <c r="F1626" s="2689"/>
      <c r="G1626" s="2689"/>
      <c r="H1626" s="2690"/>
      <c r="I1626" s="682">
        <v>198781</v>
      </c>
      <c r="J1626" s="682"/>
      <c r="K1626" s="682"/>
      <c r="L1626" s="683"/>
      <c r="M1626" s="683"/>
      <c r="AK1626" s="481"/>
      <c r="AL1626" s="491" t="s">
        <v>4013</v>
      </c>
    </row>
    <row r="1627" spans="1:38" s="454" customFormat="1" ht="15" x14ac:dyDescent="0.25">
      <c r="A1627" s="2688" t="s">
        <v>4014</v>
      </c>
      <c r="B1627" s="2689"/>
      <c r="C1627" s="2689"/>
      <c r="D1627" s="2689"/>
      <c r="E1627" s="2689"/>
      <c r="F1627" s="2689"/>
      <c r="G1627" s="2689"/>
      <c r="H1627" s="2690"/>
      <c r="I1627" s="682">
        <v>111814</v>
      </c>
      <c r="J1627" s="682"/>
      <c r="K1627" s="682"/>
      <c r="L1627" s="683"/>
      <c r="M1627" s="683"/>
      <c r="AK1627" s="481"/>
      <c r="AL1627" s="491" t="s">
        <v>4014</v>
      </c>
    </row>
    <row r="1628" spans="1:38" s="454" customFormat="1" ht="15" x14ac:dyDescent="0.25">
      <c r="A1628" s="2688" t="s">
        <v>1694</v>
      </c>
      <c r="B1628" s="2689"/>
      <c r="C1628" s="2689"/>
      <c r="D1628" s="2689"/>
      <c r="E1628" s="2689"/>
      <c r="F1628" s="2689"/>
      <c r="G1628" s="2689"/>
      <c r="H1628" s="2690"/>
      <c r="I1628" s="682">
        <v>561174</v>
      </c>
      <c r="J1628" s="682"/>
      <c r="K1628" s="682"/>
      <c r="L1628" s="683"/>
      <c r="M1628" s="684">
        <v>23537.47</v>
      </c>
      <c r="AK1628" s="481"/>
      <c r="AL1628" s="491" t="s">
        <v>1694</v>
      </c>
    </row>
    <row r="1629" spans="1:38" s="454" customFormat="1" ht="15" x14ac:dyDescent="0.25">
      <c r="A1629" s="2688" t="s">
        <v>2386</v>
      </c>
      <c r="B1629" s="2689"/>
      <c r="C1629" s="2689"/>
      <c r="D1629" s="2689"/>
      <c r="E1629" s="2689"/>
      <c r="F1629" s="2689"/>
      <c r="G1629" s="2689"/>
      <c r="H1629" s="2690"/>
      <c r="I1629" s="682"/>
      <c r="J1629" s="682"/>
      <c r="K1629" s="682"/>
      <c r="L1629" s="683"/>
      <c r="M1629" s="683"/>
      <c r="AK1629" s="481"/>
      <c r="AL1629" s="491" t="s">
        <v>2386</v>
      </c>
    </row>
    <row r="1630" spans="1:38" s="454" customFormat="1" ht="22.5" x14ac:dyDescent="0.25">
      <c r="A1630" s="2688" t="s">
        <v>4015</v>
      </c>
      <c r="B1630" s="2689"/>
      <c r="C1630" s="2689"/>
      <c r="D1630" s="2689"/>
      <c r="E1630" s="2689"/>
      <c r="F1630" s="2689"/>
      <c r="G1630" s="2689"/>
      <c r="H1630" s="2690"/>
      <c r="I1630" s="682">
        <v>1197</v>
      </c>
      <c r="J1630" s="682">
        <v>651</v>
      </c>
      <c r="K1630" s="682" t="s">
        <v>4016</v>
      </c>
      <c r="L1630" s="683"/>
      <c r="M1630" s="684">
        <v>76.33</v>
      </c>
      <c r="AK1630" s="481"/>
      <c r="AL1630" s="491" t="s">
        <v>4015</v>
      </c>
    </row>
    <row r="1631" spans="1:38" s="454" customFormat="1" ht="15" x14ac:dyDescent="0.25">
      <c r="A1631" s="2688" t="s">
        <v>4017</v>
      </c>
      <c r="B1631" s="2689"/>
      <c r="C1631" s="2689"/>
      <c r="D1631" s="2689"/>
      <c r="E1631" s="2689"/>
      <c r="F1631" s="2689"/>
      <c r="G1631" s="2689"/>
      <c r="H1631" s="2690"/>
      <c r="I1631" s="682">
        <v>728</v>
      </c>
      <c r="J1631" s="682"/>
      <c r="K1631" s="682"/>
      <c r="L1631" s="683"/>
      <c r="M1631" s="683"/>
      <c r="AK1631" s="481"/>
      <c r="AL1631" s="491" t="s">
        <v>4017</v>
      </c>
    </row>
    <row r="1632" spans="1:38" s="454" customFormat="1" ht="15" x14ac:dyDescent="0.25">
      <c r="A1632" s="2688" t="s">
        <v>4018</v>
      </c>
      <c r="B1632" s="2689"/>
      <c r="C1632" s="2689"/>
      <c r="D1632" s="2689"/>
      <c r="E1632" s="2689"/>
      <c r="F1632" s="2689"/>
      <c r="G1632" s="2689"/>
      <c r="H1632" s="2690"/>
      <c r="I1632" s="682">
        <v>450</v>
      </c>
      <c r="J1632" s="682"/>
      <c r="K1632" s="682"/>
      <c r="L1632" s="683"/>
      <c r="M1632" s="683"/>
      <c r="AK1632" s="481"/>
      <c r="AL1632" s="491" t="s">
        <v>4018</v>
      </c>
    </row>
    <row r="1633" spans="1:38" s="454" customFormat="1" ht="15" x14ac:dyDescent="0.25">
      <c r="A1633" s="2688" t="s">
        <v>1694</v>
      </c>
      <c r="B1633" s="2689"/>
      <c r="C1633" s="2689"/>
      <c r="D1633" s="2689"/>
      <c r="E1633" s="2689"/>
      <c r="F1633" s="2689"/>
      <c r="G1633" s="2689"/>
      <c r="H1633" s="2690"/>
      <c r="I1633" s="682">
        <v>2375</v>
      </c>
      <c r="J1633" s="682"/>
      <c r="K1633" s="682"/>
      <c r="L1633" s="683"/>
      <c r="M1633" s="684">
        <v>76.33</v>
      </c>
      <c r="AK1633" s="481"/>
      <c r="AL1633" s="491" t="s">
        <v>1694</v>
      </c>
    </row>
    <row r="1634" spans="1:38" s="454" customFormat="1" ht="15" x14ac:dyDescent="0.25">
      <c r="A1634" s="2688" t="s">
        <v>1686</v>
      </c>
      <c r="B1634" s="2689"/>
      <c r="C1634" s="2689"/>
      <c r="D1634" s="2689"/>
      <c r="E1634" s="2689"/>
      <c r="F1634" s="2689"/>
      <c r="G1634" s="2689"/>
      <c r="H1634" s="2690"/>
      <c r="I1634" s="682"/>
      <c r="J1634" s="682"/>
      <c r="K1634" s="682"/>
      <c r="L1634" s="683"/>
      <c r="M1634" s="683"/>
      <c r="AK1634" s="481"/>
      <c r="AL1634" s="491" t="s">
        <v>1686</v>
      </c>
    </row>
    <row r="1635" spans="1:38" s="454" customFormat="1" ht="23.25" x14ac:dyDescent="0.25">
      <c r="A1635" s="2688" t="s">
        <v>4019</v>
      </c>
      <c r="B1635" s="2689"/>
      <c r="C1635" s="2689"/>
      <c r="D1635" s="2689"/>
      <c r="E1635" s="2689"/>
      <c r="F1635" s="2689"/>
      <c r="G1635" s="2689"/>
      <c r="H1635" s="2690"/>
      <c r="I1635" s="682">
        <v>145989</v>
      </c>
      <c r="J1635" s="682"/>
      <c r="K1635" s="682"/>
      <c r="L1635" s="683"/>
      <c r="M1635" s="683"/>
      <c r="AK1635" s="481"/>
      <c r="AL1635" s="491" t="s">
        <v>4019</v>
      </c>
    </row>
    <row r="1636" spans="1:38" s="454" customFormat="1" ht="15" x14ac:dyDescent="0.25">
      <c r="A1636" s="2688" t="s">
        <v>2391</v>
      </c>
      <c r="B1636" s="2689"/>
      <c r="C1636" s="2689"/>
      <c r="D1636" s="2689"/>
      <c r="E1636" s="2689"/>
      <c r="F1636" s="2689"/>
      <c r="G1636" s="2689"/>
      <c r="H1636" s="2690"/>
      <c r="I1636" s="682"/>
      <c r="J1636" s="682"/>
      <c r="K1636" s="682"/>
      <c r="L1636" s="683"/>
      <c r="M1636" s="683"/>
      <c r="AK1636" s="481"/>
      <c r="AL1636" s="491" t="s">
        <v>2391</v>
      </c>
    </row>
    <row r="1637" spans="1:38" s="454" customFormat="1" ht="22.5" x14ac:dyDescent="0.25">
      <c r="A1637" s="2688" t="s">
        <v>4020</v>
      </c>
      <c r="B1637" s="2689"/>
      <c r="C1637" s="2689"/>
      <c r="D1637" s="2689"/>
      <c r="E1637" s="2689"/>
      <c r="F1637" s="2689"/>
      <c r="G1637" s="2689"/>
      <c r="H1637" s="2690"/>
      <c r="I1637" s="682">
        <v>6565</v>
      </c>
      <c r="J1637" s="682">
        <v>2249</v>
      </c>
      <c r="K1637" s="682" t="s">
        <v>4021</v>
      </c>
      <c r="L1637" s="683"/>
      <c r="M1637" s="684">
        <v>219.07</v>
      </c>
      <c r="AK1637" s="481"/>
      <c r="AL1637" s="491" t="s">
        <v>4020</v>
      </c>
    </row>
    <row r="1638" spans="1:38" s="454" customFormat="1" ht="15" x14ac:dyDescent="0.25">
      <c r="A1638" s="2688" t="s">
        <v>4022</v>
      </c>
      <c r="B1638" s="2689"/>
      <c r="C1638" s="2689"/>
      <c r="D1638" s="2689"/>
      <c r="E1638" s="2689"/>
      <c r="F1638" s="2689"/>
      <c r="G1638" s="2689"/>
      <c r="H1638" s="2690"/>
      <c r="I1638" s="682">
        <v>2365</v>
      </c>
      <c r="J1638" s="682"/>
      <c r="K1638" s="682"/>
      <c r="L1638" s="683"/>
      <c r="M1638" s="683"/>
      <c r="AK1638" s="481"/>
      <c r="AL1638" s="491" t="s">
        <v>4022</v>
      </c>
    </row>
    <row r="1639" spans="1:38" s="454" customFormat="1" ht="15" x14ac:dyDescent="0.25">
      <c r="A1639" s="2688" t="s">
        <v>4023</v>
      </c>
      <c r="B1639" s="2689"/>
      <c r="C1639" s="2689"/>
      <c r="D1639" s="2689"/>
      <c r="E1639" s="2689"/>
      <c r="F1639" s="2689"/>
      <c r="G1639" s="2689"/>
      <c r="H1639" s="2690"/>
      <c r="I1639" s="682">
        <v>2234</v>
      </c>
      <c r="J1639" s="682"/>
      <c r="K1639" s="682"/>
      <c r="L1639" s="683"/>
      <c r="M1639" s="683"/>
      <c r="AK1639" s="481"/>
      <c r="AL1639" s="491" t="s">
        <v>4023</v>
      </c>
    </row>
    <row r="1640" spans="1:38" s="454" customFormat="1" ht="15" x14ac:dyDescent="0.25">
      <c r="A1640" s="2688" t="s">
        <v>1694</v>
      </c>
      <c r="B1640" s="2689"/>
      <c r="C1640" s="2689"/>
      <c r="D1640" s="2689"/>
      <c r="E1640" s="2689"/>
      <c r="F1640" s="2689"/>
      <c r="G1640" s="2689"/>
      <c r="H1640" s="2690"/>
      <c r="I1640" s="682">
        <v>11164</v>
      </c>
      <c r="J1640" s="682"/>
      <c r="K1640" s="682"/>
      <c r="L1640" s="683"/>
      <c r="M1640" s="684">
        <v>219.07</v>
      </c>
      <c r="AK1640" s="481"/>
      <c r="AL1640" s="491" t="s">
        <v>1694</v>
      </c>
    </row>
    <row r="1641" spans="1:38" s="454" customFormat="1" ht="15" x14ac:dyDescent="0.25">
      <c r="A1641" s="2688" t="s">
        <v>2396</v>
      </c>
      <c r="B1641" s="2689"/>
      <c r="C1641" s="2689"/>
      <c r="D1641" s="2689"/>
      <c r="E1641" s="2689"/>
      <c r="F1641" s="2689"/>
      <c r="G1641" s="2689"/>
      <c r="H1641" s="2690"/>
      <c r="I1641" s="682"/>
      <c r="J1641" s="682"/>
      <c r="K1641" s="682"/>
      <c r="L1641" s="683"/>
      <c r="M1641" s="683"/>
      <c r="AK1641" s="481"/>
      <c r="AL1641" s="491" t="s">
        <v>2396</v>
      </c>
    </row>
    <row r="1642" spans="1:38" s="454" customFormat="1" ht="15" x14ac:dyDescent="0.25">
      <c r="A1642" s="2688" t="s">
        <v>4024</v>
      </c>
      <c r="B1642" s="2689"/>
      <c r="C1642" s="2689"/>
      <c r="D1642" s="2689"/>
      <c r="E1642" s="2689"/>
      <c r="F1642" s="2689"/>
      <c r="G1642" s="2689"/>
      <c r="H1642" s="2690"/>
      <c r="I1642" s="682">
        <v>6173874</v>
      </c>
      <c r="J1642" s="682"/>
      <c r="K1642" s="682"/>
      <c r="L1642" s="683"/>
      <c r="M1642" s="683"/>
      <c r="AK1642" s="481"/>
      <c r="AL1642" s="491" t="s">
        <v>4024</v>
      </c>
    </row>
    <row r="1643" spans="1:38" s="454" customFormat="1" ht="15" x14ac:dyDescent="0.25">
      <c r="A1643" s="2688" t="s">
        <v>2398</v>
      </c>
      <c r="B1643" s="2689"/>
      <c r="C1643" s="2689"/>
      <c r="D1643" s="2689"/>
      <c r="E1643" s="2689"/>
      <c r="F1643" s="2689"/>
      <c r="G1643" s="2689"/>
      <c r="H1643" s="2690"/>
      <c r="I1643" s="682"/>
      <c r="J1643" s="682"/>
      <c r="K1643" s="682"/>
      <c r="L1643" s="683"/>
      <c r="M1643" s="683"/>
      <c r="AK1643" s="481"/>
      <c r="AL1643" s="491" t="s">
        <v>2398</v>
      </c>
    </row>
    <row r="1644" spans="1:38" s="454" customFormat="1" ht="22.5" x14ac:dyDescent="0.25">
      <c r="A1644" s="2688" t="s">
        <v>4025</v>
      </c>
      <c r="B1644" s="2689"/>
      <c r="C1644" s="2689"/>
      <c r="D1644" s="2689"/>
      <c r="E1644" s="2689"/>
      <c r="F1644" s="2689"/>
      <c r="G1644" s="2689"/>
      <c r="H1644" s="2690"/>
      <c r="I1644" s="682">
        <v>6619792</v>
      </c>
      <c r="J1644" s="682">
        <v>509816</v>
      </c>
      <c r="K1644" s="682" t="s">
        <v>4026</v>
      </c>
      <c r="L1644" s="683"/>
      <c r="M1644" s="684">
        <v>53007.81</v>
      </c>
      <c r="AK1644" s="481"/>
      <c r="AL1644" s="491" t="s">
        <v>4025</v>
      </c>
    </row>
    <row r="1645" spans="1:38" s="454" customFormat="1" ht="15" x14ac:dyDescent="0.25">
      <c r="A1645" s="2688" t="s">
        <v>4027</v>
      </c>
      <c r="B1645" s="2689"/>
      <c r="C1645" s="2689"/>
      <c r="D1645" s="2689"/>
      <c r="E1645" s="2689"/>
      <c r="F1645" s="2689"/>
      <c r="G1645" s="2689"/>
      <c r="H1645" s="2690"/>
      <c r="I1645" s="682">
        <v>868528</v>
      </c>
      <c r="J1645" s="682"/>
      <c r="K1645" s="682"/>
      <c r="L1645" s="683"/>
      <c r="M1645" s="683"/>
      <c r="AK1645" s="481"/>
      <c r="AL1645" s="491" t="s">
        <v>4027</v>
      </c>
    </row>
    <row r="1646" spans="1:38" s="454" customFormat="1" ht="15" x14ac:dyDescent="0.25">
      <c r="A1646" s="2688" t="s">
        <v>4028</v>
      </c>
      <c r="B1646" s="2689"/>
      <c r="C1646" s="2689"/>
      <c r="D1646" s="2689"/>
      <c r="E1646" s="2689"/>
      <c r="F1646" s="2689"/>
      <c r="G1646" s="2689"/>
      <c r="H1646" s="2690"/>
      <c r="I1646" s="682">
        <v>395490</v>
      </c>
      <c r="J1646" s="682"/>
      <c r="K1646" s="682"/>
      <c r="L1646" s="683"/>
      <c r="M1646" s="683"/>
      <c r="AK1646" s="481"/>
      <c r="AL1646" s="491" t="s">
        <v>4028</v>
      </c>
    </row>
    <row r="1647" spans="1:38" s="454" customFormat="1" ht="15" x14ac:dyDescent="0.25">
      <c r="A1647" s="2688" t="s">
        <v>1694</v>
      </c>
      <c r="B1647" s="2689"/>
      <c r="C1647" s="2689"/>
      <c r="D1647" s="2689"/>
      <c r="E1647" s="2689"/>
      <c r="F1647" s="2689"/>
      <c r="G1647" s="2689"/>
      <c r="H1647" s="2690"/>
      <c r="I1647" s="682">
        <v>7883810</v>
      </c>
      <c r="J1647" s="682"/>
      <c r="K1647" s="682"/>
      <c r="L1647" s="683"/>
      <c r="M1647" s="684">
        <v>53007.81</v>
      </c>
      <c r="AK1647" s="481"/>
      <c r="AL1647" s="491" t="s">
        <v>1694</v>
      </c>
    </row>
    <row r="1648" spans="1:38" s="454" customFormat="1" ht="15" x14ac:dyDescent="0.25">
      <c r="A1648" s="2688" t="s">
        <v>2403</v>
      </c>
      <c r="B1648" s="2689"/>
      <c r="C1648" s="2689"/>
      <c r="D1648" s="2689"/>
      <c r="E1648" s="2689"/>
      <c r="F1648" s="2689"/>
      <c r="G1648" s="2689"/>
      <c r="H1648" s="2690"/>
      <c r="I1648" s="682"/>
      <c r="J1648" s="682"/>
      <c r="K1648" s="682"/>
      <c r="L1648" s="683"/>
      <c r="M1648" s="683"/>
      <c r="AK1648" s="481"/>
      <c r="AL1648" s="491" t="s">
        <v>2403</v>
      </c>
    </row>
    <row r="1649" spans="1:38" s="454" customFormat="1" ht="22.5" x14ac:dyDescent="0.25">
      <c r="A1649" s="2688" t="s">
        <v>4029</v>
      </c>
      <c r="B1649" s="2689"/>
      <c r="C1649" s="2689"/>
      <c r="D1649" s="2689"/>
      <c r="E1649" s="2689"/>
      <c r="F1649" s="2689"/>
      <c r="G1649" s="2689"/>
      <c r="H1649" s="2690"/>
      <c r="I1649" s="682">
        <v>278719</v>
      </c>
      <c r="J1649" s="682">
        <v>37379</v>
      </c>
      <c r="K1649" s="682" t="s">
        <v>4030</v>
      </c>
      <c r="L1649" s="683"/>
      <c r="M1649" s="684">
        <v>3885.53</v>
      </c>
      <c r="AK1649" s="481"/>
      <c r="AL1649" s="491" t="s">
        <v>4029</v>
      </c>
    </row>
    <row r="1650" spans="1:38" s="454" customFormat="1" ht="15" x14ac:dyDescent="0.25">
      <c r="A1650" s="2688" t="s">
        <v>4031</v>
      </c>
      <c r="B1650" s="2689"/>
      <c r="C1650" s="2689"/>
      <c r="D1650" s="2689"/>
      <c r="E1650" s="2689"/>
      <c r="F1650" s="2689"/>
      <c r="G1650" s="2689"/>
      <c r="H1650" s="2690"/>
      <c r="I1650" s="682">
        <v>52198</v>
      </c>
      <c r="J1650" s="682"/>
      <c r="K1650" s="682"/>
      <c r="L1650" s="683"/>
      <c r="M1650" s="683"/>
      <c r="AK1650" s="481"/>
      <c r="AL1650" s="491" t="s">
        <v>4031</v>
      </c>
    </row>
    <row r="1651" spans="1:38" s="454" customFormat="1" ht="15" x14ac:dyDescent="0.25">
      <c r="A1651" s="2688" t="s">
        <v>4032</v>
      </c>
      <c r="B1651" s="2689"/>
      <c r="C1651" s="2689"/>
      <c r="D1651" s="2689"/>
      <c r="E1651" s="2689"/>
      <c r="F1651" s="2689"/>
      <c r="G1651" s="2689"/>
      <c r="H1651" s="2690"/>
      <c r="I1651" s="682">
        <v>35999</v>
      </c>
      <c r="J1651" s="682"/>
      <c r="K1651" s="682"/>
      <c r="L1651" s="683"/>
      <c r="M1651" s="683"/>
      <c r="AK1651" s="481"/>
      <c r="AL1651" s="491" t="s">
        <v>4032</v>
      </c>
    </row>
    <row r="1652" spans="1:38" s="454" customFormat="1" ht="15" x14ac:dyDescent="0.25">
      <c r="A1652" s="2688" t="s">
        <v>1694</v>
      </c>
      <c r="B1652" s="2689"/>
      <c r="C1652" s="2689"/>
      <c r="D1652" s="2689"/>
      <c r="E1652" s="2689"/>
      <c r="F1652" s="2689"/>
      <c r="G1652" s="2689"/>
      <c r="H1652" s="2690"/>
      <c r="I1652" s="682">
        <v>366916</v>
      </c>
      <c r="J1652" s="682"/>
      <c r="K1652" s="682"/>
      <c r="L1652" s="683"/>
      <c r="M1652" s="684">
        <v>3885.53</v>
      </c>
      <c r="AK1652" s="481"/>
      <c r="AL1652" s="491" t="s">
        <v>1694</v>
      </c>
    </row>
    <row r="1653" spans="1:38" s="454" customFormat="1" ht="15" x14ac:dyDescent="0.25">
      <c r="A1653" s="2688" t="s">
        <v>3344</v>
      </c>
      <c r="B1653" s="2689"/>
      <c r="C1653" s="2689"/>
      <c r="D1653" s="2689"/>
      <c r="E1653" s="2689"/>
      <c r="F1653" s="2689"/>
      <c r="G1653" s="2689"/>
      <c r="H1653" s="2690"/>
      <c r="I1653" s="682"/>
      <c r="J1653" s="682"/>
      <c r="K1653" s="682"/>
      <c r="L1653" s="683"/>
      <c r="M1653" s="683"/>
      <c r="AK1653" s="481"/>
      <c r="AL1653" s="491" t="s">
        <v>3344</v>
      </c>
    </row>
    <row r="1654" spans="1:38" s="454" customFormat="1" ht="22.5" x14ac:dyDescent="0.25">
      <c r="A1654" s="2688" t="s">
        <v>3345</v>
      </c>
      <c r="B1654" s="2689"/>
      <c r="C1654" s="2689"/>
      <c r="D1654" s="2689"/>
      <c r="E1654" s="2689"/>
      <c r="F1654" s="2689"/>
      <c r="G1654" s="2689"/>
      <c r="H1654" s="2690"/>
      <c r="I1654" s="682">
        <v>41945</v>
      </c>
      <c r="J1654" s="682">
        <v>24869</v>
      </c>
      <c r="K1654" s="682" t="s">
        <v>3346</v>
      </c>
      <c r="L1654" s="683"/>
      <c r="M1654" s="684">
        <v>2816.51</v>
      </c>
      <c r="AK1654" s="481"/>
      <c r="AL1654" s="491" t="s">
        <v>3345</v>
      </c>
    </row>
    <row r="1655" spans="1:38" s="454" customFormat="1" ht="15" x14ac:dyDescent="0.25">
      <c r="A1655" s="2688" t="s">
        <v>3347</v>
      </c>
      <c r="B1655" s="2689"/>
      <c r="C1655" s="2689"/>
      <c r="D1655" s="2689"/>
      <c r="E1655" s="2689"/>
      <c r="F1655" s="2689"/>
      <c r="G1655" s="2689"/>
      <c r="H1655" s="2690"/>
      <c r="I1655" s="682">
        <v>28151</v>
      </c>
      <c r="J1655" s="682"/>
      <c r="K1655" s="682"/>
      <c r="L1655" s="683"/>
      <c r="M1655" s="683"/>
      <c r="AK1655" s="481"/>
      <c r="AL1655" s="491" t="s">
        <v>3347</v>
      </c>
    </row>
    <row r="1656" spans="1:38" s="454" customFormat="1" ht="15" x14ac:dyDescent="0.25">
      <c r="A1656" s="2688" t="s">
        <v>3348</v>
      </c>
      <c r="B1656" s="2689"/>
      <c r="C1656" s="2689"/>
      <c r="D1656" s="2689"/>
      <c r="E1656" s="2689"/>
      <c r="F1656" s="2689"/>
      <c r="G1656" s="2689"/>
      <c r="H1656" s="2690"/>
      <c r="I1656" s="682">
        <v>20474</v>
      </c>
      <c r="J1656" s="682"/>
      <c r="K1656" s="682"/>
      <c r="L1656" s="683"/>
      <c r="M1656" s="683"/>
      <c r="AK1656" s="481"/>
      <c r="AL1656" s="491" t="s">
        <v>3348</v>
      </c>
    </row>
    <row r="1657" spans="1:38" s="454" customFormat="1" ht="15" x14ac:dyDescent="0.25">
      <c r="A1657" s="2688" t="s">
        <v>1694</v>
      </c>
      <c r="B1657" s="2689"/>
      <c r="C1657" s="2689"/>
      <c r="D1657" s="2689"/>
      <c r="E1657" s="2689"/>
      <c r="F1657" s="2689"/>
      <c r="G1657" s="2689"/>
      <c r="H1657" s="2690"/>
      <c r="I1657" s="682">
        <v>90570</v>
      </c>
      <c r="J1657" s="682"/>
      <c r="K1657" s="682"/>
      <c r="L1657" s="683"/>
      <c r="M1657" s="684">
        <v>2816.51</v>
      </c>
      <c r="AK1657" s="481"/>
      <c r="AL1657" s="491" t="s">
        <v>1694</v>
      </c>
    </row>
    <row r="1658" spans="1:38" s="454" customFormat="1" ht="23.25" x14ac:dyDescent="0.25">
      <c r="A1658" s="2688" t="s">
        <v>4033</v>
      </c>
      <c r="B1658" s="2689"/>
      <c r="C1658" s="2689"/>
      <c r="D1658" s="2689"/>
      <c r="E1658" s="2689"/>
      <c r="F1658" s="2689"/>
      <c r="G1658" s="2689"/>
      <c r="H1658" s="2690"/>
      <c r="I1658" s="682"/>
      <c r="J1658" s="682"/>
      <c r="K1658" s="682"/>
      <c r="L1658" s="683"/>
      <c r="M1658" s="683"/>
      <c r="AK1658" s="481"/>
      <c r="AL1658" s="491" t="s">
        <v>4033</v>
      </c>
    </row>
    <row r="1659" spans="1:38" s="454" customFormat="1" ht="15" x14ac:dyDescent="0.25">
      <c r="A1659" s="2688" t="s">
        <v>4034</v>
      </c>
      <c r="B1659" s="2689"/>
      <c r="C1659" s="2689"/>
      <c r="D1659" s="2689"/>
      <c r="E1659" s="2689"/>
      <c r="F1659" s="2689"/>
      <c r="G1659" s="2689"/>
      <c r="H1659" s="2690"/>
      <c r="I1659" s="682">
        <v>22285</v>
      </c>
      <c r="J1659" s="682">
        <v>22285</v>
      </c>
      <c r="K1659" s="682"/>
      <c r="L1659" s="683"/>
      <c r="M1659" s="684">
        <v>2659.28</v>
      </c>
      <c r="AK1659" s="481"/>
      <c r="AL1659" s="491" t="s">
        <v>4034</v>
      </c>
    </row>
    <row r="1660" spans="1:38" s="454" customFormat="1" ht="15" x14ac:dyDescent="0.25">
      <c r="A1660" s="2688" t="s">
        <v>4035</v>
      </c>
      <c r="B1660" s="2689"/>
      <c r="C1660" s="2689"/>
      <c r="D1660" s="2689"/>
      <c r="E1660" s="2689"/>
      <c r="F1660" s="2689"/>
      <c r="G1660" s="2689"/>
      <c r="H1660" s="2690"/>
      <c r="I1660" s="682">
        <v>14708</v>
      </c>
      <c r="J1660" s="682"/>
      <c r="K1660" s="682"/>
      <c r="L1660" s="683"/>
      <c r="M1660" s="683"/>
      <c r="AK1660" s="481"/>
      <c r="AL1660" s="491" t="s">
        <v>4035</v>
      </c>
    </row>
    <row r="1661" spans="1:38" s="454" customFormat="1" ht="15" x14ac:dyDescent="0.25">
      <c r="A1661" s="2688" t="s">
        <v>4036</v>
      </c>
      <c r="B1661" s="2689"/>
      <c r="C1661" s="2689"/>
      <c r="D1661" s="2689"/>
      <c r="E1661" s="2689"/>
      <c r="F1661" s="2689"/>
      <c r="G1661" s="2689"/>
      <c r="H1661" s="2690"/>
      <c r="I1661" s="682">
        <v>8914</v>
      </c>
      <c r="J1661" s="682"/>
      <c r="K1661" s="682"/>
      <c r="L1661" s="683"/>
      <c r="M1661" s="683"/>
      <c r="AK1661" s="481"/>
      <c r="AL1661" s="491" t="s">
        <v>4036</v>
      </c>
    </row>
    <row r="1662" spans="1:38" s="454" customFormat="1" ht="15" x14ac:dyDescent="0.25">
      <c r="A1662" s="2688" t="s">
        <v>1694</v>
      </c>
      <c r="B1662" s="2689"/>
      <c r="C1662" s="2689"/>
      <c r="D1662" s="2689"/>
      <c r="E1662" s="2689"/>
      <c r="F1662" s="2689"/>
      <c r="G1662" s="2689"/>
      <c r="H1662" s="2690"/>
      <c r="I1662" s="682">
        <v>45907</v>
      </c>
      <c r="J1662" s="682"/>
      <c r="K1662" s="682"/>
      <c r="L1662" s="683"/>
      <c r="M1662" s="684">
        <v>2659.28</v>
      </c>
      <c r="AK1662" s="481"/>
      <c r="AL1662" s="491" t="s">
        <v>1694</v>
      </c>
    </row>
    <row r="1663" spans="1:38" s="454" customFormat="1" ht="15" x14ac:dyDescent="0.25">
      <c r="A1663" s="2688" t="s">
        <v>4037</v>
      </c>
      <c r="B1663" s="2689"/>
      <c r="C1663" s="2689"/>
      <c r="D1663" s="2689"/>
      <c r="E1663" s="2689"/>
      <c r="F1663" s="2689"/>
      <c r="G1663" s="2689"/>
      <c r="H1663" s="2690"/>
      <c r="I1663" s="682"/>
      <c r="J1663" s="682"/>
      <c r="K1663" s="682"/>
      <c r="L1663" s="683"/>
      <c r="M1663" s="683"/>
      <c r="AK1663" s="481"/>
      <c r="AL1663" s="491" t="s">
        <v>4037</v>
      </c>
    </row>
    <row r="1664" spans="1:38" s="454" customFormat="1" ht="22.5" x14ac:dyDescent="0.25">
      <c r="A1664" s="2688" t="s">
        <v>4038</v>
      </c>
      <c r="B1664" s="2689"/>
      <c r="C1664" s="2689"/>
      <c r="D1664" s="2689"/>
      <c r="E1664" s="2689"/>
      <c r="F1664" s="2689"/>
      <c r="G1664" s="2689"/>
      <c r="H1664" s="2690"/>
      <c r="I1664" s="682">
        <v>9840</v>
      </c>
      <c r="J1664" s="682">
        <v>543</v>
      </c>
      <c r="K1664" s="682" t="s">
        <v>3906</v>
      </c>
      <c r="L1664" s="683"/>
      <c r="M1664" s="684">
        <v>67.13</v>
      </c>
      <c r="AK1664" s="481"/>
      <c r="AL1664" s="491" t="s">
        <v>4038</v>
      </c>
    </row>
    <row r="1665" spans="1:38" s="454" customFormat="1" ht="15" x14ac:dyDescent="0.25">
      <c r="A1665" s="2688" t="s">
        <v>4039</v>
      </c>
      <c r="B1665" s="2689"/>
      <c r="C1665" s="2689"/>
      <c r="D1665" s="2689"/>
      <c r="E1665" s="2689"/>
      <c r="F1665" s="2689"/>
      <c r="G1665" s="2689"/>
      <c r="H1665" s="2690"/>
      <c r="I1665" s="682">
        <v>1869</v>
      </c>
      <c r="J1665" s="682"/>
      <c r="K1665" s="682"/>
      <c r="L1665" s="683"/>
      <c r="M1665" s="683"/>
      <c r="AK1665" s="481"/>
      <c r="AL1665" s="491" t="s">
        <v>4039</v>
      </c>
    </row>
    <row r="1666" spans="1:38" s="454" customFormat="1" ht="15" x14ac:dyDescent="0.25">
      <c r="A1666" s="2688" t="s">
        <v>4040</v>
      </c>
      <c r="B1666" s="2689"/>
      <c r="C1666" s="2689"/>
      <c r="D1666" s="2689"/>
      <c r="E1666" s="2689"/>
      <c r="F1666" s="2689"/>
      <c r="G1666" s="2689"/>
      <c r="H1666" s="2690"/>
      <c r="I1666" s="682">
        <v>1250</v>
      </c>
      <c r="J1666" s="682"/>
      <c r="K1666" s="682"/>
      <c r="L1666" s="683"/>
      <c r="M1666" s="683"/>
      <c r="AK1666" s="481"/>
      <c r="AL1666" s="491" t="s">
        <v>4040</v>
      </c>
    </row>
    <row r="1667" spans="1:38" s="454" customFormat="1" ht="15" x14ac:dyDescent="0.25">
      <c r="A1667" s="2688" t="s">
        <v>1694</v>
      </c>
      <c r="B1667" s="2689"/>
      <c r="C1667" s="2689"/>
      <c r="D1667" s="2689"/>
      <c r="E1667" s="2689"/>
      <c r="F1667" s="2689"/>
      <c r="G1667" s="2689"/>
      <c r="H1667" s="2690"/>
      <c r="I1667" s="682">
        <v>12959</v>
      </c>
      <c r="J1667" s="682"/>
      <c r="K1667" s="682"/>
      <c r="L1667" s="683"/>
      <c r="M1667" s="684">
        <v>67.13</v>
      </c>
      <c r="AK1667" s="481"/>
      <c r="AL1667" s="491" t="s">
        <v>1694</v>
      </c>
    </row>
    <row r="1668" spans="1:38" s="454" customFormat="1" ht="15" x14ac:dyDescent="0.25">
      <c r="A1668" s="2688" t="s">
        <v>2468</v>
      </c>
      <c r="B1668" s="2689"/>
      <c r="C1668" s="2689"/>
      <c r="D1668" s="2689"/>
      <c r="E1668" s="2689"/>
      <c r="F1668" s="2689"/>
      <c r="G1668" s="2689"/>
      <c r="H1668" s="2690"/>
      <c r="I1668" s="682"/>
      <c r="J1668" s="682"/>
      <c r="K1668" s="682"/>
      <c r="L1668" s="683"/>
      <c r="M1668" s="683"/>
      <c r="AK1668" s="481"/>
      <c r="AL1668" s="491" t="s">
        <v>2468</v>
      </c>
    </row>
    <row r="1669" spans="1:38" s="454" customFormat="1" ht="22.5" x14ac:dyDescent="0.25">
      <c r="A1669" s="2688" t="s">
        <v>4041</v>
      </c>
      <c r="B1669" s="2689"/>
      <c r="C1669" s="2689"/>
      <c r="D1669" s="2689"/>
      <c r="E1669" s="2689"/>
      <c r="F1669" s="2689"/>
      <c r="G1669" s="2689"/>
      <c r="H1669" s="2690"/>
      <c r="I1669" s="682">
        <v>5909</v>
      </c>
      <c r="J1669" s="682">
        <v>38</v>
      </c>
      <c r="K1669" s="682" t="s">
        <v>3993</v>
      </c>
      <c r="L1669" s="683"/>
      <c r="M1669" s="700">
        <v>4.9000000000000004</v>
      </c>
      <c r="AK1669" s="481"/>
      <c r="AL1669" s="491" t="s">
        <v>4041</v>
      </c>
    </row>
    <row r="1670" spans="1:38" s="454" customFormat="1" ht="15" x14ac:dyDescent="0.25">
      <c r="A1670" s="2688" t="s">
        <v>4042</v>
      </c>
      <c r="B1670" s="2689"/>
      <c r="C1670" s="2689"/>
      <c r="D1670" s="2689"/>
      <c r="E1670" s="2689"/>
      <c r="F1670" s="2689"/>
      <c r="G1670" s="2689"/>
      <c r="H1670" s="2690"/>
      <c r="I1670" s="682">
        <v>803</v>
      </c>
      <c r="J1670" s="682"/>
      <c r="K1670" s="682"/>
      <c r="L1670" s="683"/>
      <c r="M1670" s="683"/>
      <c r="AK1670" s="481"/>
      <c r="AL1670" s="491" t="s">
        <v>4042</v>
      </c>
    </row>
    <row r="1671" spans="1:38" s="454" customFormat="1" ht="15" x14ac:dyDescent="0.25">
      <c r="A1671" s="2688" t="s">
        <v>4043</v>
      </c>
      <c r="B1671" s="2689"/>
      <c r="C1671" s="2689"/>
      <c r="D1671" s="2689"/>
      <c r="E1671" s="2689"/>
      <c r="F1671" s="2689"/>
      <c r="G1671" s="2689"/>
      <c r="H1671" s="2690"/>
      <c r="I1671" s="682">
        <v>423</v>
      </c>
      <c r="J1671" s="682"/>
      <c r="K1671" s="682"/>
      <c r="L1671" s="683"/>
      <c r="M1671" s="683"/>
      <c r="AK1671" s="481"/>
      <c r="AL1671" s="491" t="s">
        <v>4043</v>
      </c>
    </row>
    <row r="1672" spans="1:38" s="454" customFormat="1" ht="15" x14ac:dyDescent="0.25">
      <c r="A1672" s="2688" t="s">
        <v>1694</v>
      </c>
      <c r="B1672" s="2689"/>
      <c r="C1672" s="2689"/>
      <c r="D1672" s="2689"/>
      <c r="E1672" s="2689"/>
      <c r="F1672" s="2689"/>
      <c r="G1672" s="2689"/>
      <c r="H1672" s="2690"/>
      <c r="I1672" s="682">
        <v>7135</v>
      </c>
      <c r="J1672" s="682"/>
      <c r="K1672" s="682"/>
      <c r="L1672" s="683"/>
      <c r="M1672" s="700">
        <v>4.9000000000000004</v>
      </c>
      <c r="AK1672" s="481"/>
      <c r="AL1672" s="491" t="s">
        <v>1694</v>
      </c>
    </row>
    <row r="1673" spans="1:38" s="454" customFormat="1" ht="15" x14ac:dyDescent="0.25">
      <c r="A1673" s="2688" t="s">
        <v>2464</v>
      </c>
      <c r="B1673" s="2689"/>
      <c r="C1673" s="2689"/>
      <c r="D1673" s="2689"/>
      <c r="E1673" s="2689"/>
      <c r="F1673" s="2689"/>
      <c r="G1673" s="2689"/>
      <c r="H1673" s="2690"/>
      <c r="I1673" s="682"/>
      <c r="J1673" s="682"/>
      <c r="K1673" s="682"/>
      <c r="L1673" s="683"/>
      <c r="M1673" s="683"/>
      <c r="AK1673" s="481"/>
      <c r="AL1673" s="491" t="s">
        <v>2464</v>
      </c>
    </row>
    <row r="1674" spans="1:38" s="454" customFormat="1" ht="15" x14ac:dyDescent="0.25">
      <c r="A1674" s="2688" t="s">
        <v>4044</v>
      </c>
      <c r="B1674" s="2689"/>
      <c r="C1674" s="2689"/>
      <c r="D1674" s="2689"/>
      <c r="E1674" s="2689"/>
      <c r="F1674" s="2689"/>
      <c r="G1674" s="2689"/>
      <c r="H1674" s="2690"/>
      <c r="I1674" s="682">
        <v>581</v>
      </c>
      <c r="J1674" s="682">
        <v>581</v>
      </c>
      <c r="K1674" s="682"/>
      <c r="L1674" s="683"/>
      <c r="M1674" s="684">
        <v>74.430000000000007</v>
      </c>
      <c r="AK1674" s="481"/>
      <c r="AL1674" s="491" t="s">
        <v>4044</v>
      </c>
    </row>
    <row r="1675" spans="1:38" s="454" customFormat="1" ht="15" x14ac:dyDescent="0.25">
      <c r="A1675" s="2688" t="s">
        <v>4045</v>
      </c>
      <c r="B1675" s="2689"/>
      <c r="C1675" s="2689"/>
      <c r="D1675" s="2689"/>
      <c r="E1675" s="2689"/>
      <c r="F1675" s="2689"/>
      <c r="G1675" s="2689"/>
      <c r="H1675" s="2690"/>
      <c r="I1675" s="682">
        <v>465</v>
      </c>
      <c r="J1675" s="682"/>
      <c r="K1675" s="682"/>
      <c r="L1675" s="683"/>
      <c r="M1675" s="683"/>
      <c r="AK1675" s="481"/>
      <c r="AL1675" s="491" t="s">
        <v>4045</v>
      </c>
    </row>
    <row r="1676" spans="1:38" s="454" customFormat="1" ht="15" x14ac:dyDescent="0.25">
      <c r="A1676" s="2688" t="s">
        <v>4046</v>
      </c>
      <c r="B1676" s="2689"/>
      <c r="C1676" s="2689"/>
      <c r="D1676" s="2689"/>
      <c r="E1676" s="2689"/>
      <c r="F1676" s="2689"/>
      <c r="G1676" s="2689"/>
      <c r="H1676" s="2690"/>
      <c r="I1676" s="682">
        <v>261</v>
      </c>
      <c r="J1676" s="682"/>
      <c r="K1676" s="682"/>
      <c r="L1676" s="683"/>
      <c r="M1676" s="683"/>
      <c r="AK1676" s="481"/>
      <c r="AL1676" s="491" t="s">
        <v>4046</v>
      </c>
    </row>
    <row r="1677" spans="1:38" s="454" customFormat="1" ht="15" x14ac:dyDescent="0.25">
      <c r="A1677" s="2688" t="s">
        <v>1694</v>
      </c>
      <c r="B1677" s="2689"/>
      <c r="C1677" s="2689"/>
      <c r="D1677" s="2689"/>
      <c r="E1677" s="2689"/>
      <c r="F1677" s="2689"/>
      <c r="G1677" s="2689"/>
      <c r="H1677" s="2690"/>
      <c r="I1677" s="682">
        <v>1307</v>
      </c>
      <c r="J1677" s="682"/>
      <c r="K1677" s="682"/>
      <c r="L1677" s="683"/>
      <c r="M1677" s="684">
        <v>74.430000000000007</v>
      </c>
      <c r="AK1677" s="481"/>
      <c r="AL1677" s="491" t="s">
        <v>1694</v>
      </c>
    </row>
    <row r="1678" spans="1:38" s="454" customFormat="1" ht="15" x14ac:dyDescent="0.25">
      <c r="A1678" s="2688" t="s">
        <v>2472</v>
      </c>
      <c r="B1678" s="2689"/>
      <c r="C1678" s="2689"/>
      <c r="D1678" s="2689"/>
      <c r="E1678" s="2689"/>
      <c r="F1678" s="2689"/>
      <c r="G1678" s="2689"/>
      <c r="H1678" s="2690"/>
      <c r="I1678" s="682"/>
      <c r="J1678" s="682"/>
      <c r="K1678" s="682"/>
      <c r="L1678" s="683"/>
      <c r="M1678" s="683"/>
      <c r="AK1678" s="481"/>
      <c r="AL1678" s="491" t="s">
        <v>2472</v>
      </c>
    </row>
    <row r="1679" spans="1:38" s="454" customFormat="1" ht="15" x14ac:dyDescent="0.25">
      <c r="A1679" s="2688" t="s">
        <v>4047</v>
      </c>
      <c r="B1679" s="2689"/>
      <c r="C1679" s="2689"/>
      <c r="D1679" s="2689"/>
      <c r="E1679" s="2689"/>
      <c r="F1679" s="2689"/>
      <c r="G1679" s="2689"/>
      <c r="H1679" s="2690"/>
      <c r="I1679" s="682">
        <v>1328</v>
      </c>
      <c r="J1679" s="682"/>
      <c r="K1679" s="682">
        <v>1328</v>
      </c>
      <c r="L1679" s="683"/>
      <c r="M1679" s="683"/>
      <c r="AK1679" s="481"/>
      <c r="AL1679" s="491" t="s">
        <v>4047</v>
      </c>
    </row>
    <row r="1680" spans="1:38" s="454" customFormat="1" ht="15" x14ac:dyDescent="0.25">
      <c r="A1680" s="2688" t="s">
        <v>1688</v>
      </c>
      <c r="B1680" s="2689"/>
      <c r="C1680" s="2689"/>
      <c r="D1680" s="2689"/>
      <c r="E1680" s="2689"/>
      <c r="F1680" s="2689"/>
      <c r="G1680" s="2689"/>
      <c r="H1680" s="2690"/>
      <c r="I1680" s="682">
        <v>15304508</v>
      </c>
      <c r="J1680" s="682"/>
      <c r="K1680" s="682"/>
      <c r="L1680" s="683"/>
      <c r="M1680" s="684">
        <v>86348.46</v>
      </c>
      <c r="AK1680" s="481"/>
      <c r="AL1680" s="491" t="s">
        <v>1688</v>
      </c>
    </row>
    <row r="1681" spans="1:39" s="454" customFormat="1" ht="15" x14ac:dyDescent="0.25">
      <c r="A1681" s="2688" t="s">
        <v>1689</v>
      </c>
      <c r="B1681" s="2689"/>
      <c r="C1681" s="2689"/>
      <c r="D1681" s="2689"/>
      <c r="E1681" s="2689"/>
      <c r="F1681" s="2689"/>
      <c r="G1681" s="2689"/>
      <c r="H1681" s="2690"/>
      <c r="I1681" s="682"/>
      <c r="J1681" s="682"/>
      <c r="K1681" s="682"/>
      <c r="L1681" s="683"/>
      <c r="M1681" s="683"/>
      <c r="AK1681" s="481"/>
      <c r="AL1681" s="491" t="s">
        <v>1689</v>
      </c>
    </row>
    <row r="1682" spans="1:39" s="454" customFormat="1" ht="15" x14ac:dyDescent="0.25">
      <c r="A1682" s="2688" t="s">
        <v>1690</v>
      </c>
      <c r="B1682" s="2689"/>
      <c r="C1682" s="2689"/>
      <c r="D1682" s="2689"/>
      <c r="E1682" s="2689"/>
      <c r="F1682" s="2689"/>
      <c r="G1682" s="2689"/>
      <c r="H1682" s="2690"/>
      <c r="I1682" s="682"/>
      <c r="J1682" s="682"/>
      <c r="K1682" s="682"/>
      <c r="L1682" s="683"/>
      <c r="M1682" s="683"/>
      <c r="AK1682" s="481"/>
      <c r="AL1682" s="491" t="s">
        <v>1690</v>
      </c>
    </row>
    <row r="1683" spans="1:39" s="454" customFormat="1" ht="22.5" x14ac:dyDescent="0.25">
      <c r="A1683" s="2688" t="s">
        <v>4048</v>
      </c>
      <c r="B1683" s="2689"/>
      <c r="C1683" s="2689"/>
      <c r="D1683" s="2689"/>
      <c r="E1683" s="2689"/>
      <c r="F1683" s="2689"/>
      <c r="G1683" s="2689"/>
      <c r="H1683" s="2690"/>
      <c r="I1683" s="682">
        <v>5111</v>
      </c>
      <c r="J1683" s="682">
        <v>1747</v>
      </c>
      <c r="K1683" s="682" t="s">
        <v>4049</v>
      </c>
      <c r="L1683" s="683"/>
      <c r="M1683" s="684">
        <v>213.74</v>
      </c>
      <c r="AK1683" s="481"/>
      <c r="AL1683" s="491" t="s">
        <v>4048</v>
      </c>
    </row>
    <row r="1684" spans="1:39" s="454" customFormat="1" ht="15" x14ac:dyDescent="0.25">
      <c r="A1684" s="2688" t="s">
        <v>4050</v>
      </c>
      <c r="B1684" s="2689"/>
      <c r="C1684" s="2689"/>
      <c r="D1684" s="2689"/>
      <c r="E1684" s="2689"/>
      <c r="F1684" s="2689"/>
      <c r="G1684" s="2689"/>
      <c r="H1684" s="2690"/>
      <c r="I1684" s="682">
        <v>1719</v>
      </c>
      <c r="J1684" s="682"/>
      <c r="K1684" s="682"/>
      <c r="L1684" s="683"/>
      <c r="M1684" s="683"/>
      <c r="AK1684" s="481"/>
      <c r="AL1684" s="491" t="s">
        <v>4050</v>
      </c>
    </row>
    <row r="1685" spans="1:39" s="454" customFormat="1" ht="15" x14ac:dyDescent="0.25">
      <c r="A1685" s="2688" t="s">
        <v>4051</v>
      </c>
      <c r="B1685" s="2689"/>
      <c r="C1685" s="2689"/>
      <c r="D1685" s="2689"/>
      <c r="E1685" s="2689"/>
      <c r="F1685" s="2689"/>
      <c r="G1685" s="2689"/>
      <c r="H1685" s="2690"/>
      <c r="I1685" s="682">
        <v>1289</v>
      </c>
      <c r="J1685" s="682"/>
      <c r="K1685" s="682"/>
      <c r="L1685" s="683"/>
      <c r="M1685" s="683"/>
      <c r="AK1685" s="481"/>
      <c r="AL1685" s="491" t="s">
        <v>4051</v>
      </c>
    </row>
    <row r="1686" spans="1:39" s="454" customFormat="1" ht="15" x14ac:dyDescent="0.25">
      <c r="A1686" s="2688" t="s">
        <v>1694</v>
      </c>
      <c r="B1686" s="2689"/>
      <c r="C1686" s="2689"/>
      <c r="D1686" s="2689"/>
      <c r="E1686" s="2689"/>
      <c r="F1686" s="2689"/>
      <c r="G1686" s="2689"/>
      <c r="H1686" s="2690"/>
      <c r="I1686" s="682">
        <v>8119</v>
      </c>
      <c r="J1686" s="682"/>
      <c r="K1686" s="682"/>
      <c r="L1686" s="683"/>
      <c r="M1686" s="684">
        <v>213.74</v>
      </c>
      <c r="AK1686" s="481"/>
      <c r="AL1686" s="491" t="s">
        <v>1694</v>
      </c>
    </row>
    <row r="1687" spans="1:39" s="454" customFormat="1" ht="15" x14ac:dyDescent="0.25">
      <c r="A1687" s="2688" t="s">
        <v>1688</v>
      </c>
      <c r="B1687" s="2689"/>
      <c r="C1687" s="2689"/>
      <c r="D1687" s="2689"/>
      <c r="E1687" s="2689"/>
      <c r="F1687" s="2689"/>
      <c r="G1687" s="2689"/>
      <c r="H1687" s="2690"/>
      <c r="I1687" s="682">
        <v>8119</v>
      </c>
      <c r="J1687" s="682"/>
      <c r="K1687" s="682"/>
      <c r="L1687" s="683"/>
      <c r="M1687" s="684">
        <v>213.74</v>
      </c>
      <c r="AK1687" s="481"/>
      <c r="AL1687" s="491" t="s">
        <v>1688</v>
      </c>
    </row>
    <row r="1688" spans="1:39" s="454" customFormat="1" ht="15" x14ac:dyDescent="0.25">
      <c r="A1688" s="2688" t="s">
        <v>1695</v>
      </c>
      <c r="B1688" s="2689"/>
      <c r="C1688" s="2689"/>
      <c r="D1688" s="2689"/>
      <c r="E1688" s="2689"/>
      <c r="F1688" s="2689"/>
      <c r="G1688" s="2689"/>
      <c r="H1688" s="2690"/>
      <c r="I1688" s="682">
        <v>15312627</v>
      </c>
      <c r="J1688" s="682"/>
      <c r="K1688" s="682"/>
      <c r="L1688" s="683"/>
      <c r="M1688" s="700">
        <v>86562.2</v>
      </c>
      <c r="AK1688" s="481"/>
      <c r="AL1688" s="491" t="s">
        <v>1695</v>
      </c>
    </row>
    <row r="1689" spans="1:39" s="454" customFormat="1" ht="15" x14ac:dyDescent="0.25">
      <c r="A1689" s="2688" t="s">
        <v>1696</v>
      </c>
      <c r="B1689" s="2689"/>
      <c r="C1689" s="2689"/>
      <c r="D1689" s="2689"/>
      <c r="E1689" s="2689"/>
      <c r="F1689" s="2689"/>
      <c r="G1689" s="2689"/>
      <c r="H1689" s="2690"/>
      <c r="I1689" s="682"/>
      <c r="J1689" s="682"/>
      <c r="K1689" s="682"/>
      <c r="L1689" s="683"/>
      <c r="M1689" s="683"/>
      <c r="AK1689" s="481"/>
      <c r="AL1689" s="491" t="s">
        <v>1696</v>
      </c>
    </row>
    <row r="1690" spans="1:39" s="454" customFormat="1" ht="15" x14ac:dyDescent="0.25">
      <c r="A1690" s="2688" t="s">
        <v>1697</v>
      </c>
      <c r="B1690" s="2689"/>
      <c r="C1690" s="2689"/>
      <c r="D1690" s="2689"/>
      <c r="E1690" s="2689"/>
      <c r="F1690" s="2689"/>
      <c r="G1690" s="2689"/>
      <c r="H1690" s="2690"/>
      <c r="I1690" s="682">
        <v>6432699</v>
      </c>
      <c r="J1690" s="682"/>
      <c r="K1690" s="682"/>
      <c r="L1690" s="683"/>
      <c r="M1690" s="683"/>
      <c r="AK1690" s="481"/>
      <c r="AL1690" s="491" t="s">
        <v>1697</v>
      </c>
    </row>
    <row r="1691" spans="1:39" s="454" customFormat="1" ht="15" x14ac:dyDescent="0.25">
      <c r="A1691" s="2688" t="s">
        <v>1698</v>
      </c>
      <c r="B1691" s="2689"/>
      <c r="C1691" s="2689"/>
      <c r="D1691" s="2689"/>
      <c r="E1691" s="2689"/>
      <c r="F1691" s="2689"/>
      <c r="G1691" s="2689"/>
      <c r="H1691" s="2690"/>
      <c r="I1691" s="682">
        <v>6282544</v>
      </c>
      <c r="J1691" s="682"/>
      <c r="K1691" s="682"/>
      <c r="L1691" s="683"/>
      <c r="M1691" s="683"/>
      <c r="AK1691" s="481"/>
      <c r="AL1691" s="491" t="s">
        <v>1698</v>
      </c>
    </row>
    <row r="1692" spans="1:39" s="454" customFormat="1" ht="15" x14ac:dyDescent="0.25">
      <c r="A1692" s="2688" t="s">
        <v>1699</v>
      </c>
      <c r="B1692" s="2689"/>
      <c r="C1692" s="2689"/>
      <c r="D1692" s="2689"/>
      <c r="E1692" s="2689"/>
      <c r="F1692" s="2689"/>
      <c r="G1692" s="2689"/>
      <c r="H1692" s="2690"/>
      <c r="I1692" s="682">
        <v>1140034</v>
      </c>
      <c r="J1692" s="682"/>
      <c r="K1692" s="682"/>
      <c r="L1692" s="683"/>
      <c r="M1692" s="683"/>
      <c r="AK1692" s="481"/>
      <c r="AL1692" s="491" t="s">
        <v>1699</v>
      </c>
    </row>
    <row r="1693" spans="1:39" s="454" customFormat="1" ht="15" x14ac:dyDescent="0.25">
      <c r="A1693" s="2688" t="s">
        <v>1700</v>
      </c>
      <c r="B1693" s="2689"/>
      <c r="C1693" s="2689"/>
      <c r="D1693" s="2689"/>
      <c r="E1693" s="2689"/>
      <c r="F1693" s="2689"/>
      <c r="G1693" s="2689"/>
      <c r="H1693" s="2690"/>
      <c r="I1693" s="682">
        <v>1170315</v>
      </c>
      <c r="J1693" s="682"/>
      <c r="K1693" s="682"/>
      <c r="L1693" s="683"/>
      <c r="M1693" s="683"/>
      <c r="AK1693" s="481"/>
      <c r="AL1693" s="491" t="s">
        <v>1700</v>
      </c>
    </row>
    <row r="1694" spans="1:39" s="454" customFormat="1" ht="15" x14ac:dyDescent="0.25">
      <c r="A1694" s="2688" t="s">
        <v>1701</v>
      </c>
      <c r="B1694" s="2689"/>
      <c r="C1694" s="2689"/>
      <c r="D1694" s="2689"/>
      <c r="E1694" s="2689"/>
      <c r="F1694" s="2689"/>
      <c r="G1694" s="2689"/>
      <c r="H1694" s="2690"/>
      <c r="I1694" s="682">
        <v>578598</v>
      </c>
      <c r="J1694" s="682"/>
      <c r="K1694" s="682"/>
      <c r="L1694" s="683"/>
      <c r="M1694" s="683"/>
      <c r="AK1694" s="481"/>
      <c r="AL1694" s="491" t="s">
        <v>1701</v>
      </c>
    </row>
    <row r="1695" spans="1:39" s="454" customFormat="1" ht="15" x14ac:dyDescent="0.25">
      <c r="A1695" s="2685" t="s">
        <v>1630</v>
      </c>
      <c r="B1695" s="2686"/>
      <c r="C1695" s="2686"/>
      <c r="D1695" s="2686"/>
      <c r="E1695" s="2686"/>
      <c r="F1695" s="2686"/>
      <c r="G1695" s="2686"/>
      <c r="H1695" s="2687"/>
      <c r="I1695" s="661">
        <v>15312627</v>
      </c>
      <c r="J1695" s="661"/>
      <c r="K1695" s="661"/>
      <c r="L1695" s="681"/>
      <c r="M1695" s="692">
        <v>86562.2</v>
      </c>
      <c r="AK1695" s="481"/>
      <c r="AM1695" s="481" t="s">
        <v>1630</v>
      </c>
    </row>
    <row r="1696" spans="1:39" s="454" customFormat="1" ht="53.25" customHeight="1" x14ac:dyDescent="0.25">
      <c r="A1696" s="452"/>
      <c r="B1696" s="452"/>
      <c r="C1696" s="452"/>
      <c r="D1696" s="452"/>
      <c r="E1696" s="452"/>
      <c r="F1696" s="452"/>
      <c r="G1696" s="452"/>
      <c r="H1696" s="452"/>
      <c r="I1696" s="452"/>
      <c r="J1696" s="452"/>
      <c r="K1696" s="452"/>
      <c r="L1696" s="452"/>
      <c r="M1696" s="452"/>
    </row>
    <row r="1697" spans="1:39" s="469" customFormat="1" ht="12.75" customHeight="1" x14ac:dyDescent="0.2">
      <c r="A1697" s="2691" t="s">
        <v>4052</v>
      </c>
      <c r="B1697" s="2691"/>
      <c r="C1697" s="2691"/>
      <c r="D1697" s="2691"/>
      <c r="E1697" s="2691"/>
      <c r="F1697" s="2691"/>
      <c r="G1697" s="2691"/>
      <c r="H1697" s="2691"/>
      <c r="I1697" s="2691"/>
      <c r="J1697" s="2691"/>
      <c r="K1697" s="2691"/>
      <c r="L1697" s="2691"/>
      <c r="M1697" s="2691"/>
      <c r="N1697" s="323"/>
      <c r="O1697" s="323"/>
      <c r="P1697" s="323"/>
      <c r="Q1697" s="323"/>
      <c r="R1697" s="323"/>
      <c r="S1697" s="456"/>
      <c r="T1697" s="456"/>
      <c r="U1697" s="456"/>
      <c r="V1697" s="456"/>
      <c r="W1697" s="456"/>
      <c r="X1697" s="456"/>
      <c r="Y1697" s="456"/>
      <c r="Z1697" s="456"/>
      <c r="AA1697" s="456"/>
      <c r="AB1697" s="456"/>
      <c r="AC1697" s="456"/>
      <c r="AD1697" s="456"/>
      <c r="AE1697" s="456"/>
      <c r="AF1697" s="456"/>
      <c r="AG1697" s="456"/>
      <c r="AH1697" s="456"/>
      <c r="AI1697" s="456"/>
      <c r="AJ1697" s="456"/>
      <c r="AK1697" s="456"/>
      <c r="AL1697" s="456"/>
      <c r="AM1697" s="456"/>
    </row>
    <row r="1698" spans="1:39" s="469" customFormat="1" ht="12.75" customHeight="1" x14ac:dyDescent="0.2">
      <c r="A1698" s="2692" t="s">
        <v>929</v>
      </c>
      <c r="B1698" s="2692"/>
      <c r="C1698" s="2692"/>
      <c r="D1698" s="2692"/>
      <c r="E1698" s="2692"/>
      <c r="F1698" s="2692"/>
      <c r="G1698" s="2692"/>
      <c r="H1698" s="2692"/>
      <c r="I1698" s="2692"/>
      <c r="J1698" s="2692"/>
      <c r="K1698" s="2692"/>
      <c r="L1698" s="2692"/>
      <c r="M1698" s="2692"/>
      <c r="N1698" s="702"/>
      <c r="O1698" s="702"/>
      <c r="P1698" s="702"/>
      <c r="Q1698" s="702"/>
      <c r="R1698" s="702"/>
      <c r="S1698" s="456"/>
      <c r="T1698" s="456"/>
      <c r="U1698" s="456"/>
      <c r="V1698" s="456"/>
      <c r="W1698" s="456"/>
      <c r="X1698" s="456"/>
      <c r="Y1698" s="456"/>
      <c r="Z1698" s="456"/>
      <c r="AA1698" s="456"/>
      <c r="AB1698" s="456"/>
      <c r="AC1698" s="456"/>
      <c r="AD1698" s="456"/>
      <c r="AE1698" s="456"/>
      <c r="AF1698" s="456"/>
      <c r="AG1698" s="456"/>
      <c r="AH1698" s="456"/>
      <c r="AI1698" s="456"/>
      <c r="AJ1698" s="456"/>
      <c r="AK1698" s="456"/>
      <c r="AL1698" s="456"/>
      <c r="AM1698" s="456"/>
    </row>
    <row r="1699" spans="1:39" s="469" customFormat="1" ht="13.5" customHeight="1" x14ac:dyDescent="0.25">
      <c r="A1699" s="455"/>
      <c r="B1699" s="455"/>
      <c r="C1699" s="455"/>
      <c r="D1699" s="455"/>
      <c r="E1699" s="455"/>
      <c r="F1699" s="455"/>
      <c r="G1699" s="455"/>
      <c r="H1699" s="703"/>
      <c r="I1699" s="461"/>
      <c r="J1699" s="461"/>
      <c r="K1699" s="461"/>
      <c r="L1699" s="461"/>
      <c r="M1699" s="455"/>
      <c r="N1699" s="454"/>
      <c r="O1699" s="454"/>
      <c r="P1699" s="454"/>
      <c r="Q1699" s="454"/>
      <c r="R1699" s="454"/>
      <c r="S1699" s="456"/>
      <c r="T1699" s="456"/>
      <c r="U1699" s="456"/>
      <c r="V1699" s="456"/>
      <c r="W1699" s="456"/>
      <c r="X1699" s="456"/>
      <c r="Y1699" s="456"/>
      <c r="Z1699" s="456"/>
      <c r="AA1699" s="456"/>
      <c r="AB1699" s="456"/>
      <c r="AC1699" s="456"/>
      <c r="AD1699" s="456"/>
      <c r="AE1699" s="456"/>
      <c r="AF1699" s="456"/>
      <c r="AG1699" s="456"/>
      <c r="AH1699" s="456"/>
      <c r="AI1699" s="456"/>
      <c r="AJ1699" s="456"/>
      <c r="AK1699" s="456"/>
      <c r="AL1699" s="456"/>
      <c r="AM1699" s="456"/>
    </row>
    <row r="1700" spans="1:39" s="454" customFormat="1" ht="15" x14ac:dyDescent="0.25">
      <c r="A1700" s="452"/>
      <c r="B1700" s="452"/>
      <c r="C1700" s="452"/>
      <c r="D1700" s="452"/>
      <c r="E1700" s="452"/>
      <c r="F1700" s="452"/>
      <c r="G1700" s="452"/>
      <c r="H1700" s="455"/>
      <c r="I1700" s="2693"/>
      <c r="J1700" s="2693"/>
      <c r="K1700" s="2693"/>
      <c r="L1700" s="2693"/>
      <c r="M1700" s="452"/>
    </row>
  </sheetData>
  <mergeCells count="1321">
    <mergeCell ref="A1697:M1697"/>
    <mergeCell ref="A1698:M1698"/>
    <mergeCell ref="I1700:L1700"/>
    <mergeCell ref="A1690:H1690"/>
    <mergeCell ref="A1691:H1691"/>
    <mergeCell ref="A1692:H1692"/>
    <mergeCell ref="A1693:H1693"/>
    <mergeCell ref="A1694:H1694"/>
    <mergeCell ref="A1695:H1695"/>
    <mergeCell ref="A1684:H1684"/>
    <mergeCell ref="A1685:H1685"/>
    <mergeCell ref="A1686:H1686"/>
    <mergeCell ref="A1687:H1687"/>
    <mergeCell ref="A1688:H1688"/>
    <mergeCell ref="A1689:H1689"/>
    <mergeCell ref="A1678:H1678"/>
    <mergeCell ref="A1679:H1679"/>
    <mergeCell ref="A1680:H1680"/>
    <mergeCell ref="A1681:H1681"/>
    <mergeCell ref="A1682:H1682"/>
    <mergeCell ref="A1683:H1683"/>
    <mergeCell ref="A1672:H1672"/>
    <mergeCell ref="A1673:H1673"/>
    <mergeCell ref="A1674:H1674"/>
    <mergeCell ref="A1675:H1675"/>
    <mergeCell ref="A1676:H1676"/>
    <mergeCell ref="A1677:H1677"/>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54:H1654"/>
    <mergeCell ref="A1655:H1655"/>
    <mergeCell ref="A1656:H1656"/>
    <mergeCell ref="A1657:H1657"/>
    <mergeCell ref="A1658:H1658"/>
    <mergeCell ref="A1659:H1659"/>
    <mergeCell ref="A1648:H1648"/>
    <mergeCell ref="A1649:H1649"/>
    <mergeCell ref="A1650:H1650"/>
    <mergeCell ref="A1651:H1651"/>
    <mergeCell ref="A1652:H1652"/>
    <mergeCell ref="A1653:H1653"/>
    <mergeCell ref="A1642:H1642"/>
    <mergeCell ref="A1643:H1643"/>
    <mergeCell ref="A1644:H1644"/>
    <mergeCell ref="A1645:H1645"/>
    <mergeCell ref="A1646:H1646"/>
    <mergeCell ref="A1647:H1647"/>
    <mergeCell ref="A1636:H1636"/>
    <mergeCell ref="A1637:H1637"/>
    <mergeCell ref="A1638:H1638"/>
    <mergeCell ref="A1639:H1639"/>
    <mergeCell ref="A1640:H1640"/>
    <mergeCell ref="A1641:H1641"/>
    <mergeCell ref="A1630:H1630"/>
    <mergeCell ref="A1631:H1631"/>
    <mergeCell ref="A1632:H1632"/>
    <mergeCell ref="A1633:H1633"/>
    <mergeCell ref="A1634:H1634"/>
    <mergeCell ref="A1635:H1635"/>
    <mergeCell ref="A1624:H1624"/>
    <mergeCell ref="A1625:H1625"/>
    <mergeCell ref="A1626:H1626"/>
    <mergeCell ref="A1627:H1627"/>
    <mergeCell ref="A1628:H1628"/>
    <mergeCell ref="A1629:H1629"/>
    <mergeCell ref="A1618:H1618"/>
    <mergeCell ref="A1619:H1619"/>
    <mergeCell ref="A1620:H1620"/>
    <mergeCell ref="A1621:H1621"/>
    <mergeCell ref="A1622:H1622"/>
    <mergeCell ref="A1623:H1623"/>
    <mergeCell ref="A1612:H1612"/>
    <mergeCell ref="A1613:H1613"/>
    <mergeCell ref="A1614:H1614"/>
    <mergeCell ref="A1615:H1615"/>
    <mergeCell ref="A1616:H1616"/>
    <mergeCell ref="A1617:H1617"/>
    <mergeCell ref="A1606:H1606"/>
    <mergeCell ref="A1607:H1607"/>
    <mergeCell ref="A1608:H1608"/>
    <mergeCell ref="A1609:H1609"/>
    <mergeCell ref="A1610:H1610"/>
    <mergeCell ref="A1611:H1611"/>
    <mergeCell ref="A1600:H1600"/>
    <mergeCell ref="A1601:H1601"/>
    <mergeCell ref="A1602:H1602"/>
    <mergeCell ref="A1603:H1603"/>
    <mergeCell ref="A1604:H1604"/>
    <mergeCell ref="A1605:H1605"/>
    <mergeCell ref="A1594:H1594"/>
    <mergeCell ref="A1595:H1595"/>
    <mergeCell ref="A1596:H1596"/>
    <mergeCell ref="A1597:H1597"/>
    <mergeCell ref="A1598:H1598"/>
    <mergeCell ref="A1599:H1599"/>
    <mergeCell ref="A1588:H1588"/>
    <mergeCell ref="A1589:H1589"/>
    <mergeCell ref="A1590:H1590"/>
    <mergeCell ref="A1591:H1591"/>
    <mergeCell ref="A1592:H1592"/>
    <mergeCell ref="A1593:H1593"/>
    <mergeCell ref="A1582:H1582"/>
    <mergeCell ref="A1583:H1583"/>
    <mergeCell ref="A1584:H1584"/>
    <mergeCell ref="A1585:H1585"/>
    <mergeCell ref="A1586:H1586"/>
    <mergeCell ref="A1587:H1587"/>
    <mergeCell ref="A1576:H1576"/>
    <mergeCell ref="A1577:H1577"/>
    <mergeCell ref="A1578:H1578"/>
    <mergeCell ref="A1579:H1579"/>
    <mergeCell ref="A1580:H1580"/>
    <mergeCell ref="A1581:H1581"/>
    <mergeCell ref="A1570:H1570"/>
    <mergeCell ref="A1571:H1571"/>
    <mergeCell ref="A1572:H1572"/>
    <mergeCell ref="A1573:H1573"/>
    <mergeCell ref="A1574:H1574"/>
    <mergeCell ref="A1575:H1575"/>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C1546:E1546"/>
    <mergeCell ref="C1547:E1547"/>
    <mergeCell ref="A1548:H1548"/>
    <mergeCell ref="A1549:H1549"/>
    <mergeCell ref="A1550:H1550"/>
    <mergeCell ref="A1551:H1551"/>
    <mergeCell ref="C1536:M1536"/>
    <mergeCell ref="C1537:E1537"/>
    <mergeCell ref="C1539:M1539"/>
    <mergeCell ref="C1543:E1543"/>
    <mergeCell ref="C1544:E1544"/>
    <mergeCell ref="C1545:E1545"/>
    <mergeCell ref="C1525:E1525"/>
    <mergeCell ref="C1526:E1526"/>
    <mergeCell ref="C1528:M1528"/>
    <mergeCell ref="C1532:E1532"/>
    <mergeCell ref="C1533:E1533"/>
    <mergeCell ref="C1534:E1534"/>
    <mergeCell ref="C1512:M1512"/>
    <mergeCell ref="C1516:E1516"/>
    <mergeCell ref="C1517:E1517"/>
    <mergeCell ref="C1518:E1518"/>
    <mergeCell ref="C1520:M1520"/>
    <mergeCell ref="C1521:M1521"/>
    <mergeCell ref="C1504:E1504"/>
    <mergeCell ref="C1505:E1505"/>
    <mergeCell ref="C1506:E1506"/>
    <mergeCell ref="C1507:E1507"/>
    <mergeCell ref="A1509:M1509"/>
    <mergeCell ref="C1510:E1510"/>
    <mergeCell ref="C1498:E1498"/>
    <mergeCell ref="C1499:E1499"/>
    <mergeCell ref="C1500:E1500"/>
    <mergeCell ref="C1501:E1501"/>
    <mergeCell ref="C1502:E1502"/>
    <mergeCell ref="C1503:E1503"/>
    <mergeCell ref="C1488:E1488"/>
    <mergeCell ref="C1489:E1489"/>
    <mergeCell ref="C1490:E1490"/>
    <mergeCell ref="A1491:M1491"/>
    <mergeCell ref="C1492:E1492"/>
    <mergeCell ref="C1494:M1494"/>
    <mergeCell ref="C1478:E1478"/>
    <mergeCell ref="C1479:E1479"/>
    <mergeCell ref="C1480:E1480"/>
    <mergeCell ref="C1481:E1481"/>
    <mergeCell ref="C1483:M1483"/>
    <mergeCell ref="C1487:E1487"/>
    <mergeCell ref="A1468:H1468"/>
    <mergeCell ref="A1469:H1469"/>
    <mergeCell ref="A1470:M1470"/>
    <mergeCell ref="A1471:M1471"/>
    <mergeCell ref="C1472:E1472"/>
    <mergeCell ref="C1474:M1474"/>
    <mergeCell ref="A1462:H1462"/>
    <mergeCell ref="A1463:H1463"/>
    <mergeCell ref="A1464:H1464"/>
    <mergeCell ref="A1465:H1465"/>
    <mergeCell ref="A1466:H1466"/>
    <mergeCell ref="A1467:H1467"/>
    <mergeCell ref="A1456:H1456"/>
    <mergeCell ref="A1457:H1457"/>
    <mergeCell ref="A1458:H1458"/>
    <mergeCell ref="A1459:H1459"/>
    <mergeCell ref="A1460:H1460"/>
    <mergeCell ref="A1461:H1461"/>
    <mergeCell ref="A1450:H1450"/>
    <mergeCell ref="A1451:H1451"/>
    <mergeCell ref="A1452:H1452"/>
    <mergeCell ref="A1453:H1453"/>
    <mergeCell ref="A1454:H1454"/>
    <mergeCell ref="A1455:H1455"/>
    <mergeCell ref="A1444:H1444"/>
    <mergeCell ref="A1445:H1445"/>
    <mergeCell ref="A1446:H1446"/>
    <mergeCell ref="A1447:H1447"/>
    <mergeCell ref="A1448:H1448"/>
    <mergeCell ref="A1449:H1449"/>
    <mergeCell ref="A1438:H1438"/>
    <mergeCell ref="A1439:H1439"/>
    <mergeCell ref="A1440:H1440"/>
    <mergeCell ref="A1441:H1441"/>
    <mergeCell ref="A1442:H1442"/>
    <mergeCell ref="A1443:H1443"/>
    <mergeCell ref="A1432:H1432"/>
    <mergeCell ref="A1433:H1433"/>
    <mergeCell ref="A1434:H1434"/>
    <mergeCell ref="A1435:H1435"/>
    <mergeCell ref="A1436:H1436"/>
    <mergeCell ref="A1437:H1437"/>
    <mergeCell ref="A1426:H1426"/>
    <mergeCell ref="A1427:H1427"/>
    <mergeCell ref="A1428:H1428"/>
    <mergeCell ref="A1429:H1429"/>
    <mergeCell ref="A1430:H1430"/>
    <mergeCell ref="A1431:H1431"/>
    <mergeCell ref="A1420:H1420"/>
    <mergeCell ref="A1421:H1421"/>
    <mergeCell ref="A1422:H1422"/>
    <mergeCell ref="A1423:H1423"/>
    <mergeCell ref="A1424:H1424"/>
    <mergeCell ref="A1425:H1425"/>
    <mergeCell ref="A1414:H1414"/>
    <mergeCell ref="A1415:H1415"/>
    <mergeCell ref="A1416:H1416"/>
    <mergeCell ref="A1417:H1417"/>
    <mergeCell ref="A1418:H1418"/>
    <mergeCell ref="A1419:H1419"/>
    <mergeCell ref="A1408:H1408"/>
    <mergeCell ref="A1409:H1409"/>
    <mergeCell ref="A1410:H1410"/>
    <mergeCell ref="A1411:H1411"/>
    <mergeCell ref="A1412:H1412"/>
    <mergeCell ref="A1413:H1413"/>
    <mergeCell ref="C1399:E1399"/>
    <mergeCell ref="C1400:E1400"/>
    <mergeCell ref="C1401:E1401"/>
    <mergeCell ref="C1402:E1402"/>
    <mergeCell ref="C1403:M1403"/>
    <mergeCell ref="C1407:E1407"/>
    <mergeCell ref="C1388:E1388"/>
    <mergeCell ref="C1391:E1391"/>
    <mergeCell ref="C1392:M1392"/>
    <mergeCell ref="C1396:E1396"/>
    <mergeCell ref="C1397:E1397"/>
    <mergeCell ref="C1398:E1398"/>
    <mergeCell ref="C1372:E1372"/>
    <mergeCell ref="C1374:E1374"/>
    <mergeCell ref="C1376:E1376"/>
    <mergeCell ref="C1379:E1379"/>
    <mergeCell ref="C1382:E1382"/>
    <mergeCell ref="C1385:E1385"/>
    <mergeCell ref="C1366:E1366"/>
    <mergeCell ref="C1367:E1367"/>
    <mergeCell ref="C1368:E1368"/>
    <mergeCell ref="C1369:E1369"/>
    <mergeCell ref="C1370:E1370"/>
    <mergeCell ref="C1371:E1371"/>
    <mergeCell ref="C1360:E1360"/>
    <mergeCell ref="C1361:E1361"/>
    <mergeCell ref="C1362:E1362"/>
    <mergeCell ref="C1363:E1363"/>
    <mergeCell ref="C1364:E1364"/>
    <mergeCell ref="C1365:E1365"/>
    <mergeCell ref="C1354:E1354"/>
    <mergeCell ref="C1355:E1355"/>
    <mergeCell ref="C1356:E1356"/>
    <mergeCell ref="C1357:E1357"/>
    <mergeCell ref="C1358:E1358"/>
    <mergeCell ref="C1359:E1359"/>
    <mergeCell ref="C1348:E1348"/>
    <mergeCell ref="C1349:E1349"/>
    <mergeCell ref="C1350:E1350"/>
    <mergeCell ref="C1351:E1351"/>
    <mergeCell ref="C1352:E1352"/>
    <mergeCell ref="C1353:E1353"/>
    <mergeCell ref="C1335:E1335"/>
    <mergeCell ref="C1336:E1336"/>
    <mergeCell ref="C1337:E1337"/>
    <mergeCell ref="C1339:E1339"/>
    <mergeCell ref="C1341:E1341"/>
    <mergeCell ref="C1344:M1344"/>
    <mergeCell ref="C1329:E1329"/>
    <mergeCell ref="C1330:E1330"/>
    <mergeCell ref="C1331:E1331"/>
    <mergeCell ref="C1332:E1332"/>
    <mergeCell ref="C1333:E1333"/>
    <mergeCell ref="C1334:E1334"/>
    <mergeCell ref="C1320:M1320"/>
    <mergeCell ref="C1321:M1321"/>
    <mergeCell ref="C1325:E1325"/>
    <mergeCell ref="C1326:E1326"/>
    <mergeCell ref="C1327:E1327"/>
    <mergeCell ref="C1328:E1328"/>
    <mergeCell ref="C1313:E1313"/>
    <mergeCell ref="C1314:E1314"/>
    <mergeCell ref="C1315:E1315"/>
    <mergeCell ref="C1316:E1316"/>
    <mergeCell ref="C1318:M1318"/>
    <mergeCell ref="C1319:M1319"/>
    <mergeCell ref="C1307:E1307"/>
    <mergeCell ref="C1308:E1308"/>
    <mergeCell ref="C1309:E1309"/>
    <mergeCell ref="C1310:E1310"/>
    <mergeCell ref="C1311:E1311"/>
    <mergeCell ref="C1312:E1312"/>
    <mergeCell ref="C1298:M1298"/>
    <mergeCell ref="C1299:M1299"/>
    <mergeCell ref="C1300:M1300"/>
    <mergeCell ref="C1304:E1304"/>
    <mergeCell ref="C1305:E1305"/>
    <mergeCell ref="C1306:E1306"/>
    <mergeCell ref="C1291:E1291"/>
    <mergeCell ref="C1292:E1292"/>
    <mergeCell ref="C1293:E1293"/>
    <mergeCell ref="A1294:M1294"/>
    <mergeCell ref="C1295:E1295"/>
    <mergeCell ref="C1297:M1297"/>
    <mergeCell ref="C1280:E1280"/>
    <mergeCell ref="C1283:E1283"/>
    <mergeCell ref="C1284:M1284"/>
    <mergeCell ref="C1288:E1288"/>
    <mergeCell ref="C1289:E1289"/>
    <mergeCell ref="C1290:E1290"/>
    <mergeCell ref="C1264:E1264"/>
    <mergeCell ref="C1266:E1266"/>
    <mergeCell ref="C1268:E1268"/>
    <mergeCell ref="C1271:E1271"/>
    <mergeCell ref="C1274:E1274"/>
    <mergeCell ref="C1277:E1277"/>
    <mergeCell ref="C1258:E1258"/>
    <mergeCell ref="C1259:E1259"/>
    <mergeCell ref="C1260:E1260"/>
    <mergeCell ref="C1261:E1261"/>
    <mergeCell ref="C1262:E1262"/>
    <mergeCell ref="C1263:E1263"/>
    <mergeCell ref="C1252:E1252"/>
    <mergeCell ref="C1253:E1253"/>
    <mergeCell ref="C1254:E1254"/>
    <mergeCell ref="C1255:E1255"/>
    <mergeCell ref="C1256:E1256"/>
    <mergeCell ref="C1257:E1257"/>
    <mergeCell ref="C1246:E1246"/>
    <mergeCell ref="C1247:E1247"/>
    <mergeCell ref="C1248:E1248"/>
    <mergeCell ref="C1249:E1249"/>
    <mergeCell ref="C1250:E1250"/>
    <mergeCell ref="C1251:E1251"/>
    <mergeCell ref="C1240:E1240"/>
    <mergeCell ref="C1241:E1241"/>
    <mergeCell ref="C1242:E1242"/>
    <mergeCell ref="C1243:E1243"/>
    <mergeCell ref="C1244:E1244"/>
    <mergeCell ref="C1245:E1245"/>
    <mergeCell ref="C1227:E1227"/>
    <mergeCell ref="C1228:E1228"/>
    <mergeCell ref="C1229:E1229"/>
    <mergeCell ref="C1231:E1231"/>
    <mergeCell ref="C1233:E1233"/>
    <mergeCell ref="C1236:M1236"/>
    <mergeCell ref="C1221:E1221"/>
    <mergeCell ref="C1222:E1222"/>
    <mergeCell ref="C1223:E1223"/>
    <mergeCell ref="C1224:E1224"/>
    <mergeCell ref="C1225:E1225"/>
    <mergeCell ref="C1226:E1226"/>
    <mergeCell ref="C1212:M1212"/>
    <mergeCell ref="C1213:M1213"/>
    <mergeCell ref="C1217:E1217"/>
    <mergeCell ref="C1218:E1218"/>
    <mergeCell ref="C1219:E1219"/>
    <mergeCell ref="C1220:E1220"/>
    <mergeCell ref="C1205:E1205"/>
    <mergeCell ref="C1206:E1206"/>
    <mergeCell ref="C1207:E1207"/>
    <mergeCell ref="C1208:E1208"/>
    <mergeCell ref="C1210:M1210"/>
    <mergeCell ref="C1211:M1211"/>
    <mergeCell ref="C1199:E1199"/>
    <mergeCell ref="C1200:E1200"/>
    <mergeCell ref="C1201:E1201"/>
    <mergeCell ref="C1202:E1202"/>
    <mergeCell ref="C1203:E1203"/>
    <mergeCell ref="C1204:E1204"/>
    <mergeCell ref="C1190:M1190"/>
    <mergeCell ref="C1191:M1191"/>
    <mergeCell ref="C1192:M1192"/>
    <mergeCell ref="C1196:E1196"/>
    <mergeCell ref="C1197:E1197"/>
    <mergeCell ref="C1198:E1198"/>
    <mergeCell ref="C1183:E1183"/>
    <mergeCell ref="C1184:E1184"/>
    <mergeCell ref="C1185:E1185"/>
    <mergeCell ref="A1186:M1186"/>
    <mergeCell ref="C1187:E1187"/>
    <mergeCell ref="C1189:M1189"/>
    <mergeCell ref="C1172:E1172"/>
    <mergeCell ref="C1175:E1175"/>
    <mergeCell ref="C1176:M1176"/>
    <mergeCell ref="C1180:E1180"/>
    <mergeCell ref="C1181:E1181"/>
    <mergeCell ref="C1182:E1182"/>
    <mergeCell ref="C1156:E1156"/>
    <mergeCell ref="C1158:E1158"/>
    <mergeCell ref="C1160:E1160"/>
    <mergeCell ref="C1163:E1163"/>
    <mergeCell ref="C1166:E1166"/>
    <mergeCell ref="C1169:E1169"/>
    <mergeCell ref="C1150:E1150"/>
    <mergeCell ref="C1151:E1151"/>
    <mergeCell ref="C1152:E1152"/>
    <mergeCell ref="C1153:E1153"/>
    <mergeCell ref="C1154:E1154"/>
    <mergeCell ref="C1155:E1155"/>
    <mergeCell ref="C1144:E1144"/>
    <mergeCell ref="C1145:E1145"/>
    <mergeCell ref="C1146:E1146"/>
    <mergeCell ref="C1147:E1147"/>
    <mergeCell ref="C1148:E1148"/>
    <mergeCell ref="C1149:E1149"/>
    <mergeCell ref="C1138:E1138"/>
    <mergeCell ref="C1139:E1139"/>
    <mergeCell ref="C1140:E1140"/>
    <mergeCell ref="C1141:E1141"/>
    <mergeCell ref="C1142:E1142"/>
    <mergeCell ref="C1143:E1143"/>
    <mergeCell ref="C1132:E1132"/>
    <mergeCell ref="C1133:E1133"/>
    <mergeCell ref="C1134:E1134"/>
    <mergeCell ref="C1135:E1135"/>
    <mergeCell ref="C1136:E1136"/>
    <mergeCell ref="C1137:E1137"/>
    <mergeCell ref="C1119:E1119"/>
    <mergeCell ref="C1120:E1120"/>
    <mergeCell ref="C1121:E1121"/>
    <mergeCell ref="C1123:E1123"/>
    <mergeCell ref="C1125:E1125"/>
    <mergeCell ref="C1128:M1128"/>
    <mergeCell ref="C1113:E1113"/>
    <mergeCell ref="C1114:E1114"/>
    <mergeCell ref="C1115:E1115"/>
    <mergeCell ref="C1116:E1116"/>
    <mergeCell ref="C1117:E1117"/>
    <mergeCell ref="C1118:E1118"/>
    <mergeCell ref="C1104:M1104"/>
    <mergeCell ref="C1105:M1105"/>
    <mergeCell ref="C1109:E1109"/>
    <mergeCell ref="C1110:E1110"/>
    <mergeCell ref="C1111:E1111"/>
    <mergeCell ref="C1112:E1112"/>
    <mergeCell ref="C1097:E1097"/>
    <mergeCell ref="C1098:E1098"/>
    <mergeCell ref="C1099:E1099"/>
    <mergeCell ref="C1100:E1100"/>
    <mergeCell ref="C1102:M1102"/>
    <mergeCell ref="C1103:M1103"/>
    <mergeCell ref="C1091:E1091"/>
    <mergeCell ref="C1092:E1092"/>
    <mergeCell ref="C1093:E1093"/>
    <mergeCell ref="C1094:E1094"/>
    <mergeCell ref="C1095:E1095"/>
    <mergeCell ref="C1096:E1096"/>
    <mergeCell ref="C1082:M1082"/>
    <mergeCell ref="C1083:M1083"/>
    <mergeCell ref="C1084:M1084"/>
    <mergeCell ref="C1088:E1088"/>
    <mergeCell ref="C1089:E1089"/>
    <mergeCell ref="C1090:E1090"/>
    <mergeCell ref="C1075:E1075"/>
    <mergeCell ref="C1076:E1076"/>
    <mergeCell ref="C1077:E1077"/>
    <mergeCell ref="A1078:M1078"/>
    <mergeCell ref="C1079:E1079"/>
    <mergeCell ref="C1081:M1081"/>
    <mergeCell ref="C1064:E1064"/>
    <mergeCell ref="C1067:E1067"/>
    <mergeCell ref="C1068:M1068"/>
    <mergeCell ref="C1072:E1072"/>
    <mergeCell ref="C1073:E1073"/>
    <mergeCell ref="C1074:E1074"/>
    <mergeCell ref="C1048:E1048"/>
    <mergeCell ref="C1050:E1050"/>
    <mergeCell ref="C1052:E1052"/>
    <mergeCell ref="C1055:E1055"/>
    <mergeCell ref="C1058:E1058"/>
    <mergeCell ref="C1061:E1061"/>
    <mergeCell ref="C1042:E1042"/>
    <mergeCell ref="C1043:E1043"/>
    <mergeCell ref="C1044:E1044"/>
    <mergeCell ref="C1045:E1045"/>
    <mergeCell ref="C1046:E1046"/>
    <mergeCell ref="C1047:E1047"/>
    <mergeCell ref="C1036:E1036"/>
    <mergeCell ref="C1037:E1037"/>
    <mergeCell ref="C1038:E1038"/>
    <mergeCell ref="C1039:E1039"/>
    <mergeCell ref="C1040:E1040"/>
    <mergeCell ref="C1041:E1041"/>
    <mergeCell ref="C1030:E1030"/>
    <mergeCell ref="C1031:E1031"/>
    <mergeCell ref="C1032:E1032"/>
    <mergeCell ref="C1033:E1033"/>
    <mergeCell ref="C1034:E1034"/>
    <mergeCell ref="C1035:E1035"/>
    <mergeCell ref="C1024:E1024"/>
    <mergeCell ref="C1025:E1025"/>
    <mergeCell ref="C1026:E1026"/>
    <mergeCell ref="C1027:E1027"/>
    <mergeCell ref="C1028:E1028"/>
    <mergeCell ref="C1029:E1029"/>
    <mergeCell ref="C1011:E1011"/>
    <mergeCell ref="C1012:E1012"/>
    <mergeCell ref="C1013:E1013"/>
    <mergeCell ref="C1015:E1015"/>
    <mergeCell ref="C1017:E1017"/>
    <mergeCell ref="C1020:M1020"/>
    <mergeCell ref="C1005:E1005"/>
    <mergeCell ref="C1006:E1006"/>
    <mergeCell ref="C1007:E1007"/>
    <mergeCell ref="C1008:E1008"/>
    <mergeCell ref="C1009:E1009"/>
    <mergeCell ref="C1010:E1010"/>
    <mergeCell ref="C996:M996"/>
    <mergeCell ref="C997:M997"/>
    <mergeCell ref="C1001:E1001"/>
    <mergeCell ref="C1002:E1002"/>
    <mergeCell ref="C1003:E1003"/>
    <mergeCell ref="C1004:E1004"/>
    <mergeCell ref="C989:E989"/>
    <mergeCell ref="C990:E990"/>
    <mergeCell ref="C991:E991"/>
    <mergeCell ref="C992:E992"/>
    <mergeCell ref="C994:M994"/>
    <mergeCell ref="C995:M995"/>
    <mergeCell ref="C983:E983"/>
    <mergeCell ref="C984:E984"/>
    <mergeCell ref="C985:E985"/>
    <mergeCell ref="C986:E986"/>
    <mergeCell ref="C987:E987"/>
    <mergeCell ref="C988:E988"/>
    <mergeCell ref="C974:M974"/>
    <mergeCell ref="C975:M975"/>
    <mergeCell ref="C976:M976"/>
    <mergeCell ref="C980:E980"/>
    <mergeCell ref="C981:E981"/>
    <mergeCell ref="C982:E982"/>
    <mergeCell ref="C966:E966"/>
    <mergeCell ref="C967:E967"/>
    <mergeCell ref="C968:E968"/>
    <mergeCell ref="A970:M970"/>
    <mergeCell ref="C971:E971"/>
    <mergeCell ref="C973:M973"/>
    <mergeCell ref="C957:M957"/>
    <mergeCell ref="C961:E961"/>
    <mergeCell ref="C962:E962"/>
    <mergeCell ref="C963:E963"/>
    <mergeCell ref="C964:E964"/>
    <mergeCell ref="C965:E965"/>
    <mergeCell ref="C946:M946"/>
    <mergeCell ref="C950:E950"/>
    <mergeCell ref="C951:E951"/>
    <mergeCell ref="C952:E952"/>
    <mergeCell ref="C953:E953"/>
    <mergeCell ref="C954:E954"/>
    <mergeCell ref="C937:M937"/>
    <mergeCell ref="C941:E941"/>
    <mergeCell ref="C942:E942"/>
    <mergeCell ref="C943:E943"/>
    <mergeCell ref="C944:E944"/>
    <mergeCell ref="C945:E945"/>
    <mergeCell ref="C927:E927"/>
    <mergeCell ref="C928:E928"/>
    <mergeCell ref="C930:M930"/>
    <mergeCell ref="C934:E934"/>
    <mergeCell ref="C935:E935"/>
    <mergeCell ref="C936:E936"/>
    <mergeCell ref="C917:E917"/>
    <mergeCell ref="C918:E918"/>
    <mergeCell ref="C920:M920"/>
    <mergeCell ref="C924:E924"/>
    <mergeCell ref="C925:E925"/>
    <mergeCell ref="C926:E926"/>
    <mergeCell ref="C911:E911"/>
    <mergeCell ref="C912:E912"/>
    <mergeCell ref="C913:E913"/>
    <mergeCell ref="C914:E914"/>
    <mergeCell ref="C915:E915"/>
    <mergeCell ref="C916:E916"/>
    <mergeCell ref="C905:E905"/>
    <mergeCell ref="C906:E906"/>
    <mergeCell ref="C907:E907"/>
    <mergeCell ref="C908:E908"/>
    <mergeCell ref="C909:E909"/>
    <mergeCell ref="C910:E910"/>
    <mergeCell ref="C899:E899"/>
    <mergeCell ref="C900:E900"/>
    <mergeCell ref="C901:E901"/>
    <mergeCell ref="C902:E902"/>
    <mergeCell ref="C903:E903"/>
    <mergeCell ref="C904:E904"/>
    <mergeCell ref="C889:E889"/>
    <mergeCell ref="C891:M891"/>
    <mergeCell ref="C892:M892"/>
    <mergeCell ref="C896:E896"/>
    <mergeCell ref="C897:E897"/>
    <mergeCell ref="C898:E898"/>
    <mergeCell ref="C883:E883"/>
    <mergeCell ref="C884:E884"/>
    <mergeCell ref="C885:E885"/>
    <mergeCell ref="C886:E886"/>
    <mergeCell ref="C887:E887"/>
    <mergeCell ref="C888:E888"/>
    <mergeCell ref="C877:E877"/>
    <mergeCell ref="C878:E878"/>
    <mergeCell ref="C879:E879"/>
    <mergeCell ref="C880:E880"/>
    <mergeCell ref="C881:E881"/>
    <mergeCell ref="C882:E882"/>
    <mergeCell ref="C871:E871"/>
    <mergeCell ref="C872:E872"/>
    <mergeCell ref="C873:E873"/>
    <mergeCell ref="C874:E874"/>
    <mergeCell ref="C875:E875"/>
    <mergeCell ref="C876:E876"/>
    <mergeCell ref="C862:M862"/>
    <mergeCell ref="C863:M863"/>
    <mergeCell ref="C867:E867"/>
    <mergeCell ref="C868:E868"/>
    <mergeCell ref="C869:E869"/>
    <mergeCell ref="C870:E870"/>
    <mergeCell ref="C855:E855"/>
    <mergeCell ref="C856:E856"/>
    <mergeCell ref="C857:E857"/>
    <mergeCell ref="C858:E858"/>
    <mergeCell ref="C859:E859"/>
    <mergeCell ref="C860:E860"/>
    <mergeCell ref="C849:E849"/>
    <mergeCell ref="C850:E850"/>
    <mergeCell ref="C851:E851"/>
    <mergeCell ref="C852:E852"/>
    <mergeCell ref="C853:E853"/>
    <mergeCell ref="C854:E854"/>
    <mergeCell ref="C843:E843"/>
    <mergeCell ref="C844:E844"/>
    <mergeCell ref="C845:E845"/>
    <mergeCell ref="C846:E846"/>
    <mergeCell ref="C847:E847"/>
    <mergeCell ref="C848:E848"/>
    <mergeCell ref="C834:M834"/>
    <mergeCell ref="C838:E838"/>
    <mergeCell ref="C839:E839"/>
    <mergeCell ref="C840:E840"/>
    <mergeCell ref="C841:E841"/>
    <mergeCell ref="C842:E842"/>
    <mergeCell ref="C825:E825"/>
    <mergeCell ref="C827:E827"/>
    <mergeCell ref="C829:E829"/>
    <mergeCell ref="A830:M830"/>
    <mergeCell ref="C831:E831"/>
    <mergeCell ref="C833:M833"/>
    <mergeCell ref="C819:E819"/>
    <mergeCell ref="C820:E820"/>
    <mergeCell ref="C821:E821"/>
    <mergeCell ref="C822:E822"/>
    <mergeCell ref="C823:E823"/>
    <mergeCell ref="C824:E824"/>
    <mergeCell ref="C813:E813"/>
    <mergeCell ref="C814:E814"/>
    <mergeCell ref="C815:E815"/>
    <mergeCell ref="C816:E816"/>
    <mergeCell ref="C817:E817"/>
    <mergeCell ref="C818:E818"/>
    <mergeCell ref="C804:M804"/>
    <mergeCell ref="C808:E808"/>
    <mergeCell ref="C809:E809"/>
    <mergeCell ref="C810:E810"/>
    <mergeCell ref="C811:E811"/>
    <mergeCell ref="C812:E812"/>
    <mergeCell ref="C794:M794"/>
    <mergeCell ref="C798:E798"/>
    <mergeCell ref="C799:E799"/>
    <mergeCell ref="C800:E800"/>
    <mergeCell ref="C801:E801"/>
    <mergeCell ref="C802:E802"/>
    <mergeCell ref="A787:H787"/>
    <mergeCell ref="A788:H788"/>
    <mergeCell ref="A789:M789"/>
    <mergeCell ref="A790:M790"/>
    <mergeCell ref="A791:M791"/>
    <mergeCell ref="C792:E792"/>
    <mergeCell ref="A781:H781"/>
    <mergeCell ref="A782:H782"/>
    <mergeCell ref="A783:H783"/>
    <mergeCell ref="A784:H784"/>
    <mergeCell ref="A785:H785"/>
    <mergeCell ref="A786:H786"/>
    <mergeCell ref="A775:H775"/>
    <mergeCell ref="A776:H776"/>
    <mergeCell ref="A777:H777"/>
    <mergeCell ref="A778:H778"/>
    <mergeCell ref="A779:H779"/>
    <mergeCell ref="A780:H780"/>
    <mergeCell ref="A769:H769"/>
    <mergeCell ref="A770:H770"/>
    <mergeCell ref="A771:H771"/>
    <mergeCell ref="A772:H772"/>
    <mergeCell ref="A773:H773"/>
    <mergeCell ref="A774:H774"/>
    <mergeCell ref="A763:H763"/>
    <mergeCell ref="A764:H764"/>
    <mergeCell ref="A765:H765"/>
    <mergeCell ref="A766:H766"/>
    <mergeCell ref="A767:H767"/>
    <mergeCell ref="A768:H768"/>
    <mergeCell ref="A757:H757"/>
    <mergeCell ref="A758:H758"/>
    <mergeCell ref="A759:H759"/>
    <mergeCell ref="A760:H760"/>
    <mergeCell ref="A761:H761"/>
    <mergeCell ref="A762:H762"/>
    <mergeCell ref="A751:H751"/>
    <mergeCell ref="A752:H752"/>
    <mergeCell ref="A753:H753"/>
    <mergeCell ref="A754:H754"/>
    <mergeCell ref="A755:H755"/>
    <mergeCell ref="A756:H756"/>
    <mergeCell ref="A745:H745"/>
    <mergeCell ref="A746:H746"/>
    <mergeCell ref="A747:H747"/>
    <mergeCell ref="A748:H748"/>
    <mergeCell ref="A749:H749"/>
    <mergeCell ref="A750:H750"/>
    <mergeCell ref="A739:H739"/>
    <mergeCell ref="A740:H740"/>
    <mergeCell ref="A741:H741"/>
    <mergeCell ref="A742:H742"/>
    <mergeCell ref="A743:H743"/>
    <mergeCell ref="A744:H744"/>
    <mergeCell ref="A733:H733"/>
    <mergeCell ref="A734:H734"/>
    <mergeCell ref="A735:H735"/>
    <mergeCell ref="A736:H736"/>
    <mergeCell ref="A737:H737"/>
    <mergeCell ref="A738:H738"/>
    <mergeCell ref="A727:H727"/>
    <mergeCell ref="A728:H728"/>
    <mergeCell ref="A729:H729"/>
    <mergeCell ref="A730:H730"/>
    <mergeCell ref="A731:H731"/>
    <mergeCell ref="A732:H732"/>
    <mergeCell ref="A721:H721"/>
    <mergeCell ref="A722:H722"/>
    <mergeCell ref="A723:H723"/>
    <mergeCell ref="A724:H724"/>
    <mergeCell ref="A725:H725"/>
    <mergeCell ref="A726:H726"/>
    <mergeCell ref="C712:E712"/>
    <mergeCell ref="C713:E713"/>
    <mergeCell ref="C714:E714"/>
    <mergeCell ref="C715:M715"/>
    <mergeCell ref="C719:E719"/>
    <mergeCell ref="A720:H720"/>
    <mergeCell ref="C703:M703"/>
    <mergeCell ref="C707:E707"/>
    <mergeCell ref="C708:E708"/>
    <mergeCell ref="C709:E709"/>
    <mergeCell ref="C710:E710"/>
    <mergeCell ref="C711:E711"/>
    <mergeCell ref="C695:E695"/>
    <mergeCell ref="C696:E696"/>
    <mergeCell ref="C697:E697"/>
    <mergeCell ref="C698:E698"/>
    <mergeCell ref="C700:E700"/>
    <mergeCell ref="C702:E702"/>
    <mergeCell ref="C689:E689"/>
    <mergeCell ref="C690:E690"/>
    <mergeCell ref="C691:E691"/>
    <mergeCell ref="C692:E692"/>
    <mergeCell ref="C693:E693"/>
    <mergeCell ref="C694:E694"/>
    <mergeCell ref="C683:E683"/>
    <mergeCell ref="C684:E684"/>
    <mergeCell ref="C685:E685"/>
    <mergeCell ref="C686:E686"/>
    <mergeCell ref="C687:E687"/>
    <mergeCell ref="C688:E688"/>
    <mergeCell ref="C677:E677"/>
    <mergeCell ref="C678:E678"/>
    <mergeCell ref="C679:E679"/>
    <mergeCell ref="C680:E680"/>
    <mergeCell ref="C681:E681"/>
    <mergeCell ref="C682:E682"/>
    <mergeCell ref="C666:E666"/>
    <mergeCell ref="C667:E667"/>
    <mergeCell ref="C668:E668"/>
    <mergeCell ref="C670:E670"/>
    <mergeCell ref="C672:M672"/>
    <mergeCell ref="C676:E676"/>
    <mergeCell ref="C660:E660"/>
    <mergeCell ref="C661:E661"/>
    <mergeCell ref="C662:E662"/>
    <mergeCell ref="C663:E663"/>
    <mergeCell ref="C664:E664"/>
    <mergeCell ref="C665:E665"/>
    <mergeCell ref="C654:E654"/>
    <mergeCell ref="C655:E655"/>
    <mergeCell ref="C656:E656"/>
    <mergeCell ref="C657:E657"/>
    <mergeCell ref="C658:E658"/>
    <mergeCell ref="C659:E659"/>
    <mergeCell ref="C648:E648"/>
    <mergeCell ref="C649:E649"/>
    <mergeCell ref="C650:E650"/>
    <mergeCell ref="C651:E651"/>
    <mergeCell ref="C652:E652"/>
    <mergeCell ref="C653:E653"/>
    <mergeCell ref="C638:E638"/>
    <mergeCell ref="C639:E639"/>
    <mergeCell ref="C640:E640"/>
    <mergeCell ref="A641:M641"/>
    <mergeCell ref="C642:E642"/>
    <mergeCell ref="C644:M644"/>
    <mergeCell ref="C627:E627"/>
    <mergeCell ref="C630:E630"/>
    <mergeCell ref="C631:M631"/>
    <mergeCell ref="C635:E635"/>
    <mergeCell ref="C636:E636"/>
    <mergeCell ref="C637:E637"/>
    <mergeCell ref="C611:E611"/>
    <mergeCell ref="C613:E613"/>
    <mergeCell ref="C615:E615"/>
    <mergeCell ref="C618:E618"/>
    <mergeCell ref="C621:E621"/>
    <mergeCell ref="C624:E624"/>
    <mergeCell ref="C605:E605"/>
    <mergeCell ref="C606:E606"/>
    <mergeCell ref="C607:E607"/>
    <mergeCell ref="C608:E608"/>
    <mergeCell ref="C609:E609"/>
    <mergeCell ref="C610:E610"/>
    <mergeCell ref="C599:E599"/>
    <mergeCell ref="C600:E600"/>
    <mergeCell ref="C601:E601"/>
    <mergeCell ref="C602:E602"/>
    <mergeCell ref="C603:E603"/>
    <mergeCell ref="C604:E604"/>
    <mergeCell ref="C593:E593"/>
    <mergeCell ref="C594:E594"/>
    <mergeCell ref="C595:E595"/>
    <mergeCell ref="C596:E596"/>
    <mergeCell ref="C597:E597"/>
    <mergeCell ref="C598:E598"/>
    <mergeCell ref="C587:E587"/>
    <mergeCell ref="C588:E588"/>
    <mergeCell ref="C589:E589"/>
    <mergeCell ref="C590:E590"/>
    <mergeCell ref="C591:E591"/>
    <mergeCell ref="C592:E592"/>
    <mergeCell ref="C574:E574"/>
    <mergeCell ref="C575:E575"/>
    <mergeCell ref="C576:E576"/>
    <mergeCell ref="C578:E578"/>
    <mergeCell ref="C580:E580"/>
    <mergeCell ref="C583:M583"/>
    <mergeCell ref="C568:E568"/>
    <mergeCell ref="C569:E569"/>
    <mergeCell ref="C570:E570"/>
    <mergeCell ref="C571:E571"/>
    <mergeCell ref="C572:E572"/>
    <mergeCell ref="C573:E573"/>
    <mergeCell ref="C559:M559"/>
    <mergeCell ref="C560:M560"/>
    <mergeCell ref="C564:E564"/>
    <mergeCell ref="C565:E565"/>
    <mergeCell ref="C566:E566"/>
    <mergeCell ref="C567:E567"/>
    <mergeCell ref="C552:E552"/>
    <mergeCell ref="C553:E553"/>
    <mergeCell ref="C554:E554"/>
    <mergeCell ref="C555:E555"/>
    <mergeCell ref="C557:M557"/>
    <mergeCell ref="C558:M558"/>
    <mergeCell ref="C546:E546"/>
    <mergeCell ref="C547:E547"/>
    <mergeCell ref="C548:E548"/>
    <mergeCell ref="C549:E549"/>
    <mergeCell ref="C550:E550"/>
    <mergeCell ref="C551:E551"/>
    <mergeCell ref="C537:M537"/>
    <mergeCell ref="C538:M538"/>
    <mergeCell ref="C539:M539"/>
    <mergeCell ref="C543:E543"/>
    <mergeCell ref="C544:E544"/>
    <mergeCell ref="C545:E545"/>
    <mergeCell ref="C530:E530"/>
    <mergeCell ref="C531:E531"/>
    <mergeCell ref="C532:E532"/>
    <mergeCell ref="A533:M533"/>
    <mergeCell ref="C534:E534"/>
    <mergeCell ref="C536:M536"/>
    <mergeCell ref="C519:E519"/>
    <mergeCell ref="C522:E522"/>
    <mergeCell ref="C523:M523"/>
    <mergeCell ref="C527:E527"/>
    <mergeCell ref="C528:E528"/>
    <mergeCell ref="C529:E529"/>
    <mergeCell ref="C503:E503"/>
    <mergeCell ref="C505:E505"/>
    <mergeCell ref="C507:E507"/>
    <mergeCell ref="C510:E510"/>
    <mergeCell ref="C513:E513"/>
    <mergeCell ref="C516:E516"/>
    <mergeCell ref="C497:E497"/>
    <mergeCell ref="C498:E498"/>
    <mergeCell ref="C499:E499"/>
    <mergeCell ref="C500:E500"/>
    <mergeCell ref="C501:E501"/>
    <mergeCell ref="C502:E502"/>
    <mergeCell ref="C491:E491"/>
    <mergeCell ref="C492:E492"/>
    <mergeCell ref="C493:E493"/>
    <mergeCell ref="C494:E494"/>
    <mergeCell ref="C495:E495"/>
    <mergeCell ref="C496:E496"/>
    <mergeCell ref="C485:E485"/>
    <mergeCell ref="C486:E486"/>
    <mergeCell ref="C487:E487"/>
    <mergeCell ref="C488:E488"/>
    <mergeCell ref="C489:E489"/>
    <mergeCell ref="C490:E490"/>
    <mergeCell ref="C479:E479"/>
    <mergeCell ref="C480:E480"/>
    <mergeCell ref="C481:E481"/>
    <mergeCell ref="C482:E482"/>
    <mergeCell ref="C483:E483"/>
    <mergeCell ref="C484:E484"/>
    <mergeCell ref="C466:E466"/>
    <mergeCell ref="C467:E467"/>
    <mergeCell ref="C468:E468"/>
    <mergeCell ref="C470:E470"/>
    <mergeCell ref="C472:E472"/>
    <mergeCell ref="C475:M475"/>
    <mergeCell ref="C460:E460"/>
    <mergeCell ref="C461:E461"/>
    <mergeCell ref="C462:E462"/>
    <mergeCell ref="C463:E463"/>
    <mergeCell ref="C464:E464"/>
    <mergeCell ref="C465:E465"/>
    <mergeCell ref="C451:M451"/>
    <mergeCell ref="C452:M452"/>
    <mergeCell ref="C456:E456"/>
    <mergeCell ref="C457:E457"/>
    <mergeCell ref="C458:E458"/>
    <mergeCell ref="C459:E459"/>
    <mergeCell ref="C444:E444"/>
    <mergeCell ref="C445:E445"/>
    <mergeCell ref="C446:E446"/>
    <mergeCell ref="C447:E447"/>
    <mergeCell ref="C449:M449"/>
    <mergeCell ref="C450:M450"/>
    <mergeCell ref="C438:E438"/>
    <mergeCell ref="C439:E439"/>
    <mergeCell ref="C440:E440"/>
    <mergeCell ref="C441:E441"/>
    <mergeCell ref="C442:E442"/>
    <mergeCell ref="C443:E443"/>
    <mergeCell ref="C429:M429"/>
    <mergeCell ref="C430:M430"/>
    <mergeCell ref="C431:M431"/>
    <mergeCell ref="C435:E435"/>
    <mergeCell ref="C436:E436"/>
    <mergeCell ref="C437:E437"/>
    <mergeCell ref="C422:E422"/>
    <mergeCell ref="C423:E423"/>
    <mergeCell ref="C424:E424"/>
    <mergeCell ref="A425:M425"/>
    <mergeCell ref="C426:E426"/>
    <mergeCell ref="C428:M428"/>
    <mergeCell ref="C411:E411"/>
    <mergeCell ref="C414:E414"/>
    <mergeCell ref="C415:M415"/>
    <mergeCell ref="C419:E419"/>
    <mergeCell ref="C420:E420"/>
    <mergeCell ref="C421:E421"/>
    <mergeCell ref="C395:E395"/>
    <mergeCell ref="C397:E397"/>
    <mergeCell ref="C399:E399"/>
    <mergeCell ref="C402:E402"/>
    <mergeCell ref="C405:E405"/>
    <mergeCell ref="C408:E408"/>
    <mergeCell ref="C389:E389"/>
    <mergeCell ref="C390:E390"/>
    <mergeCell ref="C391:E391"/>
    <mergeCell ref="C392:E392"/>
    <mergeCell ref="C393:E393"/>
    <mergeCell ref="C394:E394"/>
    <mergeCell ref="C383:E383"/>
    <mergeCell ref="C384:E384"/>
    <mergeCell ref="C385:E385"/>
    <mergeCell ref="C386:E386"/>
    <mergeCell ref="C387:E387"/>
    <mergeCell ref="C388:E388"/>
    <mergeCell ref="C377:E377"/>
    <mergeCell ref="C378:E378"/>
    <mergeCell ref="C379:E379"/>
    <mergeCell ref="C380:E380"/>
    <mergeCell ref="C381:E381"/>
    <mergeCell ref="C382:E382"/>
    <mergeCell ref="C371:E371"/>
    <mergeCell ref="C372:E372"/>
    <mergeCell ref="C373:E373"/>
    <mergeCell ref="C374:E374"/>
    <mergeCell ref="C375:E375"/>
    <mergeCell ref="C376:E376"/>
    <mergeCell ref="C358:E358"/>
    <mergeCell ref="C359:E359"/>
    <mergeCell ref="C360:E360"/>
    <mergeCell ref="C362:E362"/>
    <mergeCell ref="C364:E364"/>
    <mergeCell ref="C367:M367"/>
    <mergeCell ref="C352:E352"/>
    <mergeCell ref="C353:E353"/>
    <mergeCell ref="C354:E354"/>
    <mergeCell ref="C355:E355"/>
    <mergeCell ref="C356:E356"/>
    <mergeCell ref="C357:E357"/>
    <mergeCell ref="C343:M343"/>
    <mergeCell ref="C344:M344"/>
    <mergeCell ref="C348:E348"/>
    <mergeCell ref="C349:E349"/>
    <mergeCell ref="C350:E350"/>
    <mergeCell ref="C351:E351"/>
    <mergeCell ref="C336:E336"/>
    <mergeCell ref="C337:E337"/>
    <mergeCell ref="C338:E338"/>
    <mergeCell ref="C339:E339"/>
    <mergeCell ref="C341:M341"/>
    <mergeCell ref="C342:M342"/>
    <mergeCell ref="C330:E330"/>
    <mergeCell ref="C331:E331"/>
    <mergeCell ref="C332:E332"/>
    <mergeCell ref="C333:E333"/>
    <mergeCell ref="C334:E334"/>
    <mergeCell ref="C335:E335"/>
    <mergeCell ref="C321:M321"/>
    <mergeCell ref="C322:M322"/>
    <mergeCell ref="C323:M323"/>
    <mergeCell ref="C327:E327"/>
    <mergeCell ref="C328:E328"/>
    <mergeCell ref="C329:E329"/>
    <mergeCell ref="C314:E314"/>
    <mergeCell ref="C315:E315"/>
    <mergeCell ref="C316:E316"/>
    <mergeCell ref="A317:M317"/>
    <mergeCell ref="C318:E318"/>
    <mergeCell ref="C320:M320"/>
    <mergeCell ref="C303:E303"/>
    <mergeCell ref="C306:E306"/>
    <mergeCell ref="C307:M307"/>
    <mergeCell ref="C311:E311"/>
    <mergeCell ref="C312:E312"/>
    <mergeCell ref="C313:E313"/>
    <mergeCell ref="C287:E287"/>
    <mergeCell ref="C289:E289"/>
    <mergeCell ref="C291:E291"/>
    <mergeCell ref="C294:E294"/>
    <mergeCell ref="C297:E297"/>
    <mergeCell ref="C300:E300"/>
    <mergeCell ref="C281:E281"/>
    <mergeCell ref="C282:E282"/>
    <mergeCell ref="C283:E283"/>
    <mergeCell ref="C284:E284"/>
    <mergeCell ref="C285:E285"/>
    <mergeCell ref="C286:E286"/>
    <mergeCell ref="C275:E275"/>
    <mergeCell ref="C276:E276"/>
    <mergeCell ref="C277:E277"/>
    <mergeCell ref="C278:E278"/>
    <mergeCell ref="C279:E279"/>
    <mergeCell ref="C280:E280"/>
    <mergeCell ref="C269:E269"/>
    <mergeCell ref="C270:E270"/>
    <mergeCell ref="C271:E271"/>
    <mergeCell ref="C272:E272"/>
    <mergeCell ref="C273:E273"/>
    <mergeCell ref="C274:E274"/>
    <mergeCell ref="C263:E263"/>
    <mergeCell ref="C264:E264"/>
    <mergeCell ref="C265:E265"/>
    <mergeCell ref="C266:E266"/>
    <mergeCell ref="C267:E267"/>
    <mergeCell ref="C268:E268"/>
    <mergeCell ref="C250:E250"/>
    <mergeCell ref="C251:E251"/>
    <mergeCell ref="C252:E252"/>
    <mergeCell ref="C254:E254"/>
    <mergeCell ref="C256:E256"/>
    <mergeCell ref="C259:M259"/>
    <mergeCell ref="C244:E244"/>
    <mergeCell ref="C245:E245"/>
    <mergeCell ref="C246:E246"/>
    <mergeCell ref="C247:E247"/>
    <mergeCell ref="C248:E248"/>
    <mergeCell ref="C249:E249"/>
    <mergeCell ref="C235:M235"/>
    <mergeCell ref="C236:M236"/>
    <mergeCell ref="C240:E240"/>
    <mergeCell ref="C241:E241"/>
    <mergeCell ref="C242:E242"/>
    <mergeCell ref="C243:E243"/>
    <mergeCell ref="C228:E228"/>
    <mergeCell ref="C229:E229"/>
    <mergeCell ref="C230:E230"/>
    <mergeCell ref="C231:E231"/>
    <mergeCell ref="C233:M233"/>
    <mergeCell ref="C234:M234"/>
    <mergeCell ref="C222:E222"/>
    <mergeCell ref="C223:E223"/>
    <mergeCell ref="C224:E224"/>
    <mergeCell ref="C225:E225"/>
    <mergeCell ref="C226:E226"/>
    <mergeCell ref="C227:E227"/>
    <mergeCell ref="C213:M213"/>
    <mergeCell ref="C214:M214"/>
    <mergeCell ref="C215:M215"/>
    <mergeCell ref="C219:E219"/>
    <mergeCell ref="C220:E220"/>
    <mergeCell ref="C221:E221"/>
    <mergeCell ref="C205:E205"/>
    <mergeCell ref="C206:E206"/>
    <mergeCell ref="C207:E207"/>
    <mergeCell ref="A209:M209"/>
    <mergeCell ref="C210:E210"/>
    <mergeCell ref="C212:M212"/>
    <mergeCell ref="C196:M196"/>
    <mergeCell ref="C200:E200"/>
    <mergeCell ref="C201:E201"/>
    <mergeCell ref="C202:E202"/>
    <mergeCell ref="C203:E203"/>
    <mergeCell ref="C204:E204"/>
    <mergeCell ref="C185:M185"/>
    <mergeCell ref="C189:E189"/>
    <mergeCell ref="C190:E190"/>
    <mergeCell ref="C191:E191"/>
    <mergeCell ref="C192:E192"/>
    <mergeCell ref="C193:E193"/>
    <mergeCell ref="C176:M176"/>
    <mergeCell ref="C180:E180"/>
    <mergeCell ref="C181:E181"/>
    <mergeCell ref="C182:E182"/>
    <mergeCell ref="C183:E183"/>
    <mergeCell ref="C184:E184"/>
    <mergeCell ref="C166:E166"/>
    <mergeCell ref="C167:E167"/>
    <mergeCell ref="C169:M169"/>
    <mergeCell ref="C173:E173"/>
    <mergeCell ref="C174:E174"/>
    <mergeCell ref="C175:E175"/>
    <mergeCell ref="C156:E156"/>
    <mergeCell ref="C157:E157"/>
    <mergeCell ref="C159:M159"/>
    <mergeCell ref="C163:E163"/>
    <mergeCell ref="C164:E164"/>
    <mergeCell ref="C165:E165"/>
    <mergeCell ref="C150:E150"/>
    <mergeCell ref="C151:E151"/>
    <mergeCell ref="C152:E152"/>
    <mergeCell ref="C153:E153"/>
    <mergeCell ref="C154:E154"/>
    <mergeCell ref="C155:E155"/>
    <mergeCell ref="C144:E144"/>
    <mergeCell ref="C145:E145"/>
    <mergeCell ref="C146:E146"/>
    <mergeCell ref="C147:E147"/>
    <mergeCell ref="C148:E148"/>
    <mergeCell ref="C149:E149"/>
    <mergeCell ref="C138:E138"/>
    <mergeCell ref="C139:E139"/>
    <mergeCell ref="C140:E140"/>
    <mergeCell ref="C141:E141"/>
    <mergeCell ref="C142:E142"/>
    <mergeCell ref="C143:E143"/>
    <mergeCell ref="C128:E128"/>
    <mergeCell ref="C130:M130"/>
    <mergeCell ref="C131:M131"/>
    <mergeCell ref="C135:E135"/>
    <mergeCell ref="C136:E136"/>
    <mergeCell ref="C137:E137"/>
    <mergeCell ref="C122:E122"/>
    <mergeCell ref="C123:E123"/>
    <mergeCell ref="C124:E124"/>
    <mergeCell ref="C125:E125"/>
    <mergeCell ref="C126:E126"/>
    <mergeCell ref="C127:E127"/>
    <mergeCell ref="C116:E116"/>
    <mergeCell ref="C117:E117"/>
    <mergeCell ref="C118:E118"/>
    <mergeCell ref="C119:E119"/>
    <mergeCell ref="C120:E120"/>
    <mergeCell ref="C121:E121"/>
    <mergeCell ref="C110:E110"/>
    <mergeCell ref="C111:E111"/>
    <mergeCell ref="C112:E112"/>
    <mergeCell ref="C113:E113"/>
    <mergeCell ref="C114:E114"/>
    <mergeCell ref="C115:E115"/>
    <mergeCell ref="C101:M101"/>
    <mergeCell ref="C102:M102"/>
    <mergeCell ref="C106:E106"/>
    <mergeCell ref="C107:E107"/>
    <mergeCell ref="C108:E108"/>
    <mergeCell ref="C109:E109"/>
    <mergeCell ref="C94:E94"/>
    <mergeCell ref="C95:E95"/>
    <mergeCell ref="C96:E96"/>
    <mergeCell ref="C97:E97"/>
    <mergeCell ref="C98:E98"/>
    <mergeCell ref="C99:E99"/>
    <mergeCell ref="C88:E88"/>
    <mergeCell ref="C89:E89"/>
    <mergeCell ref="C90:E90"/>
    <mergeCell ref="C91:E91"/>
    <mergeCell ref="C92:E92"/>
    <mergeCell ref="C93:E93"/>
    <mergeCell ref="C82:E82"/>
    <mergeCell ref="C83:E83"/>
    <mergeCell ref="C84:E84"/>
    <mergeCell ref="C85:E85"/>
    <mergeCell ref="C86:E86"/>
    <mergeCell ref="C87:E87"/>
    <mergeCell ref="C73:M73"/>
    <mergeCell ref="C77:E77"/>
    <mergeCell ref="C78:E78"/>
    <mergeCell ref="C79:E79"/>
    <mergeCell ref="C80:E80"/>
    <mergeCell ref="C81:E81"/>
    <mergeCell ref="C64:E64"/>
    <mergeCell ref="C66:E66"/>
    <mergeCell ref="C68:E68"/>
    <mergeCell ref="A69:M69"/>
    <mergeCell ref="C70:E70"/>
    <mergeCell ref="C72:M72"/>
    <mergeCell ref="C58:E58"/>
    <mergeCell ref="C59:E59"/>
    <mergeCell ref="C60:E60"/>
    <mergeCell ref="C61:E61"/>
    <mergeCell ref="C62:E62"/>
    <mergeCell ref="C63:E63"/>
    <mergeCell ref="C52:E52"/>
    <mergeCell ref="C53:E53"/>
    <mergeCell ref="C54:E54"/>
    <mergeCell ref="C55:E55"/>
    <mergeCell ref="C56:E56"/>
    <mergeCell ref="C57:E57"/>
    <mergeCell ref="C43:M43"/>
    <mergeCell ref="C47:E47"/>
    <mergeCell ref="C48:E48"/>
    <mergeCell ref="C49:E49"/>
    <mergeCell ref="C50:E50"/>
    <mergeCell ref="C51:E51"/>
    <mergeCell ref="C33:M33"/>
    <mergeCell ref="C37:E37"/>
    <mergeCell ref="C38:E38"/>
    <mergeCell ref="C39:E39"/>
    <mergeCell ref="C40:E40"/>
    <mergeCell ref="C41:E41"/>
    <mergeCell ref="J25:J26"/>
    <mergeCell ref="C27:E27"/>
    <mergeCell ref="A28:M28"/>
    <mergeCell ref="A29:M29"/>
    <mergeCell ref="A30:M30"/>
    <mergeCell ref="C31:E31"/>
    <mergeCell ref="C15:G15"/>
    <mergeCell ref="F21:M21"/>
    <mergeCell ref="A24:A26"/>
    <mergeCell ref="B24:B26"/>
    <mergeCell ref="C24:E26"/>
    <mergeCell ref="F24:F26"/>
    <mergeCell ref="G24:H24"/>
    <mergeCell ref="I24:K24"/>
    <mergeCell ref="L24:M25"/>
    <mergeCell ref="I25:I26"/>
    <mergeCell ref="A8:M8"/>
    <mergeCell ref="A9:M9"/>
    <mergeCell ref="A11:M11"/>
    <mergeCell ref="A12:M12"/>
    <mergeCell ref="A13:M13"/>
    <mergeCell ref="A14:M14"/>
    <mergeCell ref="A2:C2"/>
    <mergeCell ref="J2:M2"/>
    <mergeCell ref="A3:D3"/>
    <mergeCell ref="I3:M3"/>
    <mergeCell ref="A4:D4"/>
    <mergeCell ref="I4:M4"/>
  </mergeCells>
  <printOptions horizontalCentered="1"/>
  <pageMargins left="0.39370077848434498" right="0.39370077848434498" top="0.35433071851730302" bottom="0.31496062874794001" header="0.118110239505768" footer="0.118110239505768"/>
  <pageSetup paperSize="9" fitToHeight="0" orientation="landscape"/>
  <headerFooter>
    <oddFooter>&amp;RСтраница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M815"/>
  <sheetViews>
    <sheetView topLeftCell="A10" workbookViewId="0">
      <selection activeCell="I24" sqref="I24:K24"/>
    </sheetView>
  </sheetViews>
  <sheetFormatPr defaultColWidth="9.140625" defaultRowHeight="11.25" customHeight="1" x14ac:dyDescent="0.2"/>
  <cols>
    <col min="1" max="1" width="9" style="552" customWidth="1"/>
    <col min="2" max="2" width="20.140625" style="552" customWidth="1"/>
    <col min="3" max="4" width="10.42578125" style="552" customWidth="1"/>
    <col min="5" max="5" width="13.28515625" style="552" customWidth="1"/>
    <col min="6" max="8" width="11.7109375" style="552" customWidth="1"/>
    <col min="9" max="10" width="12.7109375" style="552" customWidth="1"/>
    <col min="11" max="12" width="11.7109375" style="552" customWidth="1"/>
    <col min="13" max="13" width="12.7109375" style="552" customWidth="1"/>
    <col min="14" max="14" width="11.140625" style="552" customWidth="1"/>
    <col min="15" max="16" width="9.140625" style="552"/>
    <col min="17" max="17" width="8.42578125" style="552" customWidth="1"/>
    <col min="18" max="18" width="8.7109375" style="552" customWidth="1"/>
    <col min="19" max="19" width="50" style="491" hidden="1" customWidth="1"/>
    <col min="20" max="20" width="61.5703125" style="491" hidden="1" customWidth="1"/>
    <col min="21" max="22" width="160" style="491" hidden="1" customWidth="1"/>
    <col min="23" max="23" width="96.7109375" style="491" hidden="1" customWidth="1"/>
    <col min="24" max="26" width="160" style="491" hidden="1" customWidth="1"/>
    <col min="27" max="27" width="34.140625" style="491" hidden="1" customWidth="1"/>
    <col min="28" max="28" width="130.85546875" style="491" hidden="1" customWidth="1"/>
    <col min="29" max="29" width="34.140625" style="491" hidden="1" customWidth="1"/>
    <col min="30" max="32" width="98.42578125" style="491" hidden="1" customWidth="1"/>
    <col min="33" max="36" width="34.140625" style="491" hidden="1" customWidth="1"/>
    <col min="37" max="39" width="98.42578125" style="491" hidden="1" customWidth="1"/>
    <col min="40" max="16384" width="9.140625" style="552"/>
  </cols>
  <sheetData>
    <row r="1" spans="1:22" s="454" customFormat="1" ht="15" x14ac:dyDescent="0.25">
      <c r="A1" s="452"/>
      <c r="B1" s="452"/>
      <c r="C1" s="452"/>
      <c r="D1" s="452"/>
      <c r="E1" s="452"/>
      <c r="F1" s="452"/>
      <c r="G1" s="452"/>
      <c r="H1" s="452"/>
      <c r="I1" s="452"/>
      <c r="J1" s="452"/>
      <c r="K1" s="452"/>
      <c r="L1" s="452"/>
      <c r="M1" s="452"/>
      <c r="N1" s="642"/>
    </row>
    <row r="2" spans="1:22" s="454" customFormat="1" ht="11.25" customHeight="1" x14ac:dyDescent="0.25">
      <c r="A2" s="2666" t="s">
        <v>1145</v>
      </c>
      <c r="B2" s="2666"/>
      <c r="C2" s="2666"/>
      <c r="D2" s="643"/>
      <c r="E2" s="452"/>
      <c r="F2" s="452"/>
      <c r="G2" s="452"/>
      <c r="H2" s="452"/>
      <c r="I2" s="452"/>
      <c r="J2" s="2666" t="s">
        <v>1146</v>
      </c>
      <c r="K2" s="2666"/>
      <c r="L2" s="2666"/>
      <c r="M2" s="2666"/>
    </row>
    <row r="3" spans="1:22" s="454" customFormat="1" ht="11.25" customHeight="1" x14ac:dyDescent="0.25">
      <c r="A3" s="2667"/>
      <c r="B3" s="2667"/>
      <c r="C3" s="2667"/>
      <c r="D3" s="2667"/>
      <c r="E3" s="452"/>
      <c r="F3" s="452"/>
      <c r="G3" s="452"/>
      <c r="H3" s="452"/>
      <c r="I3" s="2668"/>
      <c r="J3" s="2668"/>
      <c r="K3" s="2668"/>
      <c r="L3" s="2668"/>
      <c r="M3" s="2668"/>
    </row>
    <row r="4" spans="1:22" s="454" customFormat="1" ht="15" x14ac:dyDescent="0.25">
      <c r="A4" s="2669"/>
      <c r="B4" s="2669"/>
      <c r="C4" s="2669"/>
      <c r="D4" s="2669"/>
      <c r="E4" s="452"/>
      <c r="F4" s="452"/>
      <c r="G4" s="452"/>
      <c r="H4" s="452"/>
      <c r="I4" s="2669"/>
      <c r="J4" s="2669"/>
      <c r="K4" s="2669"/>
      <c r="L4" s="2669"/>
      <c r="M4" s="2669"/>
      <c r="S4" s="491" t="s">
        <v>588</v>
      </c>
      <c r="T4" s="491" t="s">
        <v>588</v>
      </c>
    </row>
    <row r="5" spans="1:22" s="454" customFormat="1" ht="11.25" customHeight="1" x14ac:dyDescent="0.25">
      <c r="A5" s="644"/>
      <c r="B5" s="645"/>
      <c r="C5" s="646"/>
      <c r="D5" s="646"/>
      <c r="E5" s="452"/>
      <c r="F5" s="452"/>
      <c r="G5" s="452"/>
      <c r="H5" s="452"/>
      <c r="I5" s="644"/>
      <c r="J5" s="644"/>
      <c r="K5" s="644"/>
      <c r="L5" s="644"/>
      <c r="M5" s="645"/>
    </row>
    <row r="6" spans="1:22" s="454" customFormat="1" ht="11.25" customHeight="1" x14ac:dyDescent="0.25">
      <c r="A6" s="452" t="s">
        <v>1633</v>
      </c>
      <c r="B6" s="461"/>
      <c r="C6" s="461"/>
      <c r="D6" s="461"/>
      <c r="E6" s="452"/>
      <c r="F6" s="452"/>
      <c r="G6" s="452"/>
      <c r="H6" s="452"/>
      <c r="I6" s="452"/>
      <c r="J6" s="452"/>
      <c r="K6" s="461"/>
      <c r="L6" s="461"/>
      <c r="M6" s="477" t="s">
        <v>1633</v>
      </c>
    </row>
    <row r="7" spans="1:22" s="454" customFormat="1" ht="11.25" customHeight="1" x14ac:dyDescent="0.25">
      <c r="A7" s="452"/>
      <c r="B7" s="452"/>
      <c r="C7" s="452"/>
      <c r="D7" s="452"/>
      <c r="E7" s="452"/>
      <c r="F7" s="452"/>
      <c r="G7" s="452"/>
      <c r="H7" s="452"/>
      <c r="I7" s="452"/>
      <c r="J7" s="452"/>
      <c r="K7" s="452"/>
      <c r="L7" s="452"/>
      <c r="M7" s="452"/>
      <c r="N7" s="642"/>
    </row>
    <row r="8" spans="1:22" s="454" customFormat="1" ht="15" x14ac:dyDescent="0.25">
      <c r="A8" s="2663" t="s">
        <v>1151</v>
      </c>
      <c r="B8" s="2663"/>
      <c r="C8" s="2663"/>
      <c r="D8" s="2663"/>
      <c r="E8" s="2663"/>
      <c r="F8" s="2663"/>
      <c r="G8" s="2663"/>
      <c r="H8" s="2663"/>
      <c r="I8" s="2663"/>
      <c r="J8" s="2663"/>
      <c r="K8" s="2663"/>
      <c r="L8" s="2663"/>
      <c r="M8" s="2663"/>
      <c r="U8" s="647" t="s">
        <v>1151</v>
      </c>
    </row>
    <row r="9" spans="1:22" s="454" customFormat="1" ht="15" x14ac:dyDescent="0.25">
      <c r="A9" s="2664" t="s">
        <v>675</v>
      </c>
      <c r="B9" s="2664"/>
      <c r="C9" s="2664"/>
      <c r="D9" s="2664"/>
      <c r="E9" s="2664"/>
      <c r="F9" s="2664"/>
      <c r="G9" s="2664"/>
      <c r="H9" s="2664"/>
      <c r="I9" s="2664"/>
      <c r="J9" s="2664"/>
      <c r="K9" s="2664"/>
      <c r="L9" s="2664"/>
      <c r="M9" s="2664"/>
    </row>
    <row r="10" spans="1:22" s="454" customFormat="1" ht="15" x14ac:dyDescent="0.25">
      <c r="A10" s="463"/>
      <c r="B10" s="463"/>
      <c r="C10" s="463"/>
      <c r="D10" s="463"/>
      <c r="E10" s="463"/>
      <c r="F10" s="463"/>
      <c r="G10" s="463"/>
      <c r="H10" s="463"/>
      <c r="I10" s="463"/>
      <c r="J10" s="463"/>
      <c r="K10" s="463"/>
      <c r="L10" s="463"/>
      <c r="M10" s="463"/>
    </row>
    <row r="11" spans="1:22" s="454" customFormat="1" ht="28.5" customHeight="1" x14ac:dyDescent="0.25">
      <c r="A11" s="2665" t="s">
        <v>1634</v>
      </c>
      <c r="B11" s="2665"/>
      <c r="C11" s="2665"/>
      <c r="D11" s="2665"/>
      <c r="E11" s="2665"/>
      <c r="F11" s="2665"/>
      <c r="G11" s="2665"/>
      <c r="H11" s="2665"/>
      <c r="I11" s="2665"/>
      <c r="J11" s="2665"/>
      <c r="K11" s="2665"/>
      <c r="L11" s="2665"/>
      <c r="M11" s="2665"/>
    </row>
    <row r="12" spans="1:22" s="454" customFormat="1" ht="21" customHeight="1" x14ac:dyDescent="0.25">
      <c r="A12" s="2664" t="s">
        <v>1153</v>
      </c>
      <c r="B12" s="2664"/>
      <c r="C12" s="2664"/>
      <c r="D12" s="2664"/>
      <c r="E12" s="2664"/>
      <c r="F12" s="2664"/>
      <c r="G12" s="2664"/>
      <c r="H12" s="2664"/>
      <c r="I12" s="2664"/>
      <c r="J12" s="2664"/>
      <c r="K12" s="2664"/>
      <c r="L12" s="2664"/>
      <c r="M12" s="2664"/>
    </row>
    <row r="13" spans="1:22" s="454" customFormat="1" ht="15" x14ac:dyDescent="0.25">
      <c r="A13" s="2663" t="s">
        <v>1635</v>
      </c>
      <c r="B13" s="2663"/>
      <c r="C13" s="2663"/>
      <c r="D13" s="2663"/>
      <c r="E13" s="2663"/>
      <c r="F13" s="2663"/>
      <c r="G13" s="2663"/>
      <c r="H13" s="2663"/>
      <c r="I13" s="2663"/>
      <c r="J13" s="2663"/>
      <c r="K13" s="2663"/>
      <c r="L13" s="2663"/>
      <c r="M13" s="2663"/>
      <c r="V13" s="647" t="s">
        <v>1635</v>
      </c>
    </row>
    <row r="14" spans="1:22" s="454" customFormat="1" ht="15.75" customHeight="1" x14ac:dyDescent="0.25">
      <c r="A14" s="2664" t="s">
        <v>184</v>
      </c>
      <c r="B14" s="2664"/>
      <c r="C14" s="2664"/>
      <c r="D14" s="2664"/>
      <c r="E14" s="2664"/>
      <c r="F14" s="2664"/>
      <c r="G14" s="2664"/>
      <c r="H14" s="2664"/>
      <c r="I14" s="2664"/>
      <c r="J14" s="2664"/>
      <c r="K14" s="2664"/>
      <c r="L14" s="2664"/>
      <c r="M14" s="2664"/>
    </row>
    <row r="15" spans="1:22" s="454" customFormat="1" ht="30.75" customHeight="1" x14ac:dyDescent="0.25">
      <c r="A15" s="452"/>
      <c r="B15" s="455" t="s">
        <v>1636</v>
      </c>
      <c r="C15" s="2653" t="s">
        <v>1637</v>
      </c>
      <c r="D15" s="2653"/>
      <c r="E15" s="2653"/>
      <c r="F15" s="2653"/>
      <c r="G15" s="2653"/>
      <c r="H15" s="464"/>
      <c r="I15" s="464"/>
      <c r="J15" s="464"/>
      <c r="K15" s="464"/>
      <c r="L15" s="464"/>
      <c r="M15" s="464"/>
      <c r="N15" s="456"/>
      <c r="O15" s="456"/>
    </row>
    <row r="16" spans="1:22" s="454" customFormat="1" ht="12.75" customHeight="1" x14ac:dyDescent="0.25">
      <c r="B16" s="469" t="s">
        <v>1638</v>
      </c>
      <c r="C16" s="469"/>
      <c r="D16" s="648"/>
      <c r="E16" s="649">
        <v>-3213.27</v>
      </c>
      <c r="F16" s="479" t="s">
        <v>782</v>
      </c>
      <c r="H16" s="469"/>
      <c r="I16" s="469"/>
      <c r="J16" s="469"/>
      <c r="K16" s="469"/>
      <c r="L16" s="469"/>
      <c r="M16" s="474"/>
      <c r="N16" s="474"/>
      <c r="O16" s="469"/>
    </row>
    <row r="17" spans="1:27" s="454" customFormat="1" ht="12.75" customHeight="1" x14ac:dyDescent="0.25">
      <c r="B17" s="469" t="s">
        <v>1639</v>
      </c>
      <c r="D17" s="648"/>
      <c r="E17" s="649">
        <v>-3209.65</v>
      </c>
      <c r="F17" s="479" t="s">
        <v>782</v>
      </c>
      <c r="H17" s="469"/>
      <c r="I17" s="469"/>
      <c r="J17" s="469"/>
      <c r="K17" s="469"/>
      <c r="L17" s="469"/>
      <c r="M17" s="474"/>
      <c r="N17" s="474"/>
      <c r="O17" s="469"/>
    </row>
    <row r="18" spans="1:27" s="454" customFormat="1" ht="12.75" customHeight="1" x14ac:dyDescent="0.25">
      <c r="B18" s="469" t="s">
        <v>1640</v>
      </c>
      <c r="D18" s="648"/>
      <c r="E18" s="649">
        <v>-3.63</v>
      </c>
      <c r="F18" s="479" t="s">
        <v>782</v>
      </c>
      <c r="H18" s="469"/>
      <c r="I18" s="469"/>
      <c r="J18" s="469"/>
      <c r="K18" s="469"/>
      <c r="L18" s="469"/>
      <c r="M18" s="474"/>
      <c r="N18" s="474"/>
      <c r="O18" s="469"/>
    </row>
    <row r="19" spans="1:27" s="454" customFormat="1" ht="12.75" customHeight="1" x14ac:dyDescent="0.25">
      <c r="B19" s="469" t="s">
        <v>1641</v>
      </c>
      <c r="C19" s="469"/>
      <c r="D19" s="648"/>
      <c r="E19" s="649">
        <v>-230.07</v>
      </c>
      <c r="F19" s="479" t="s">
        <v>782</v>
      </c>
      <c r="H19" s="469"/>
      <c r="J19" s="469"/>
      <c r="K19" s="469"/>
      <c r="L19" s="469"/>
      <c r="M19" s="476"/>
      <c r="N19" s="453"/>
      <c r="O19" s="473"/>
    </row>
    <row r="20" spans="1:27" s="454" customFormat="1" ht="12.75" customHeight="1" x14ac:dyDescent="0.25">
      <c r="B20" s="469" t="s">
        <v>1642</v>
      </c>
      <c r="C20" s="469"/>
      <c r="D20" s="650"/>
      <c r="E20" s="649">
        <v>-17347.93</v>
      </c>
      <c r="F20" s="479" t="s">
        <v>1167</v>
      </c>
      <c r="H20" s="469"/>
      <c r="J20" s="469"/>
      <c r="K20" s="469"/>
      <c r="L20" s="469"/>
      <c r="M20" s="480"/>
      <c r="N20" s="480"/>
      <c r="O20" s="479"/>
    </row>
    <row r="21" spans="1:27" s="454" customFormat="1" ht="15" x14ac:dyDescent="0.25">
      <c r="B21" s="469" t="s">
        <v>1643</v>
      </c>
      <c r="C21" s="469"/>
      <c r="E21" s="476"/>
      <c r="F21" s="2654" t="s">
        <v>1644</v>
      </c>
      <c r="G21" s="2654"/>
      <c r="H21" s="2654"/>
      <c r="I21" s="2654"/>
      <c r="J21" s="2654"/>
      <c r="K21" s="2654"/>
      <c r="L21" s="2654"/>
      <c r="M21" s="2654"/>
      <c r="N21" s="480"/>
      <c r="O21" s="479"/>
      <c r="W21" s="456" t="s">
        <v>1644</v>
      </c>
    </row>
    <row r="22" spans="1:27" s="454" customFormat="1" ht="12.75" customHeight="1" x14ac:dyDescent="0.25">
      <c r="A22" s="469"/>
      <c r="B22" s="469"/>
      <c r="D22" s="476"/>
      <c r="E22" s="473"/>
      <c r="F22" s="651"/>
      <c r="G22" s="470"/>
      <c r="H22" s="469"/>
      <c r="I22" s="469"/>
      <c r="J22" s="469"/>
      <c r="K22" s="469"/>
      <c r="L22" s="469"/>
      <c r="M22" s="469"/>
      <c r="N22" s="469"/>
    </row>
    <row r="23" spans="1:27" s="454" customFormat="1" ht="15" x14ac:dyDescent="0.25">
      <c r="A23" s="652"/>
    </row>
    <row r="24" spans="1:27" s="454" customFormat="1" ht="36" customHeight="1" x14ac:dyDescent="0.25">
      <c r="A24" s="2655" t="s">
        <v>5</v>
      </c>
      <c r="B24" s="2655" t="s">
        <v>1169</v>
      </c>
      <c r="C24" s="2655" t="s">
        <v>1170</v>
      </c>
      <c r="D24" s="2655"/>
      <c r="E24" s="2655"/>
      <c r="F24" s="2655" t="s">
        <v>188</v>
      </c>
      <c r="G24" s="2656" t="s">
        <v>1171</v>
      </c>
      <c r="H24" s="2657"/>
      <c r="I24" s="2656" t="s">
        <v>1172</v>
      </c>
      <c r="J24" s="2658"/>
      <c r="K24" s="2657"/>
      <c r="L24" s="2659" t="s">
        <v>1645</v>
      </c>
      <c r="M24" s="2660"/>
    </row>
    <row r="25" spans="1:27" s="454" customFormat="1" ht="46.5" customHeight="1" x14ac:dyDescent="0.25">
      <c r="A25" s="2655"/>
      <c r="B25" s="2655"/>
      <c r="C25" s="2655"/>
      <c r="D25" s="2655"/>
      <c r="E25" s="2655"/>
      <c r="F25" s="2655"/>
      <c r="G25" s="653" t="s">
        <v>631</v>
      </c>
      <c r="H25" s="653" t="s">
        <v>1646</v>
      </c>
      <c r="I25" s="2655" t="s">
        <v>631</v>
      </c>
      <c r="J25" s="2694" t="s">
        <v>1175</v>
      </c>
      <c r="K25" s="653" t="s">
        <v>1646</v>
      </c>
      <c r="L25" s="2661"/>
      <c r="M25" s="2662"/>
    </row>
    <row r="26" spans="1:27" s="454" customFormat="1" ht="24" x14ac:dyDescent="0.25">
      <c r="A26" s="2655"/>
      <c r="B26" s="2655"/>
      <c r="C26" s="2655"/>
      <c r="D26" s="2655"/>
      <c r="E26" s="2655"/>
      <c r="F26" s="2655"/>
      <c r="G26" s="653" t="s">
        <v>1175</v>
      </c>
      <c r="H26" s="654" t="s">
        <v>1177</v>
      </c>
      <c r="I26" s="2655"/>
      <c r="J26" s="2675"/>
      <c r="K26" s="654" t="s">
        <v>1177</v>
      </c>
      <c r="L26" s="653" t="s">
        <v>1178</v>
      </c>
      <c r="M26" s="653" t="s">
        <v>683</v>
      </c>
    </row>
    <row r="27" spans="1:27" s="454" customFormat="1" ht="15" x14ac:dyDescent="0.25">
      <c r="A27" s="655">
        <v>1</v>
      </c>
      <c r="B27" s="655">
        <v>2</v>
      </c>
      <c r="C27" s="2676">
        <v>3</v>
      </c>
      <c r="D27" s="2676"/>
      <c r="E27" s="2676"/>
      <c r="F27" s="655">
        <v>4</v>
      </c>
      <c r="G27" s="655">
        <v>5</v>
      </c>
      <c r="H27" s="655">
        <v>6</v>
      </c>
      <c r="I27" s="655">
        <v>7</v>
      </c>
      <c r="J27" s="655">
        <v>8</v>
      </c>
      <c r="K27" s="655">
        <v>9</v>
      </c>
      <c r="L27" s="655">
        <v>10</v>
      </c>
      <c r="M27" s="655">
        <v>11</v>
      </c>
    </row>
    <row r="28" spans="1:27" s="454" customFormat="1" ht="15" x14ac:dyDescent="0.25">
      <c r="A28" s="2677" t="s">
        <v>1179</v>
      </c>
      <c r="B28" s="2678"/>
      <c r="C28" s="2678"/>
      <c r="D28" s="2678"/>
      <c r="E28" s="2678"/>
      <c r="F28" s="2678"/>
      <c r="G28" s="2678"/>
      <c r="H28" s="2678"/>
      <c r="I28" s="2678"/>
      <c r="J28" s="2678"/>
      <c r="K28" s="2678"/>
      <c r="L28" s="2678"/>
      <c r="M28" s="2679"/>
      <c r="X28" s="656" t="s">
        <v>1179</v>
      </c>
    </row>
    <row r="29" spans="1:27" s="454" customFormat="1" ht="15" x14ac:dyDescent="0.25">
      <c r="A29" s="2680" t="s">
        <v>1180</v>
      </c>
      <c r="B29" s="2681"/>
      <c r="C29" s="2681"/>
      <c r="D29" s="2681"/>
      <c r="E29" s="2681"/>
      <c r="F29" s="2681"/>
      <c r="G29" s="2681"/>
      <c r="H29" s="2681"/>
      <c r="I29" s="2681"/>
      <c r="J29" s="2681"/>
      <c r="K29" s="2681"/>
      <c r="L29" s="2681"/>
      <c r="M29" s="2682"/>
      <c r="X29" s="656"/>
      <c r="Y29" s="657" t="s">
        <v>1180</v>
      </c>
    </row>
    <row r="30" spans="1:27" s="454" customFormat="1" ht="15" x14ac:dyDescent="0.25">
      <c r="A30" s="2680" t="s">
        <v>1181</v>
      </c>
      <c r="B30" s="2681"/>
      <c r="C30" s="2681"/>
      <c r="D30" s="2681"/>
      <c r="E30" s="2681"/>
      <c r="F30" s="2681"/>
      <c r="G30" s="2681"/>
      <c r="H30" s="2681"/>
      <c r="I30" s="2681"/>
      <c r="J30" s="2681"/>
      <c r="K30" s="2681"/>
      <c r="L30" s="2681"/>
      <c r="M30" s="2682"/>
      <c r="X30" s="656"/>
      <c r="Y30" s="657"/>
      <c r="Z30" s="657" t="s">
        <v>1181</v>
      </c>
    </row>
    <row r="31" spans="1:27" s="454" customFormat="1" ht="45" x14ac:dyDescent="0.25">
      <c r="A31" s="658" t="s">
        <v>190</v>
      </c>
      <c r="B31" s="659" t="s">
        <v>1647</v>
      </c>
      <c r="C31" s="2673" t="s">
        <v>1195</v>
      </c>
      <c r="D31" s="2673"/>
      <c r="E31" s="2673"/>
      <c r="F31" s="660">
        <v>-4.4409999999999998</v>
      </c>
      <c r="G31" s="661">
        <v>725.69</v>
      </c>
      <c r="H31" s="661"/>
      <c r="I31" s="661">
        <v>-3223</v>
      </c>
      <c r="J31" s="661"/>
      <c r="K31" s="662"/>
      <c r="L31" s="663">
        <v>0</v>
      </c>
      <c r="M31" s="663">
        <v>0</v>
      </c>
      <c r="X31" s="656"/>
      <c r="Y31" s="657"/>
      <c r="Z31" s="657"/>
      <c r="AA31" s="481" t="s">
        <v>1195</v>
      </c>
    </row>
    <row r="32" spans="1:27" s="454" customFormat="1" ht="15" x14ac:dyDescent="0.25">
      <c r="A32" s="664"/>
      <c r="B32" s="665"/>
      <c r="C32" s="666" t="s">
        <v>1648</v>
      </c>
      <c r="D32" s="667"/>
      <c r="E32" s="667"/>
      <c r="F32" s="667"/>
      <c r="G32" s="667"/>
      <c r="H32" s="667"/>
      <c r="I32" s="667"/>
      <c r="J32" s="667"/>
      <c r="K32" s="667"/>
      <c r="L32" s="667"/>
      <c r="M32" s="668"/>
      <c r="X32" s="656"/>
      <c r="Y32" s="657"/>
      <c r="Z32" s="657"/>
      <c r="AA32" s="481"/>
    </row>
    <row r="33" spans="1:29" s="454" customFormat="1" ht="34.5" x14ac:dyDescent="0.25">
      <c r="A33" s="658" t="s">
        <v>639</v>
      </c>
      <c r="B33" s="659" t="s">
        <v>1197</v>
      </c>
      <c r="C33" s="2673" t="s">
        <v>1198</v>
      </c>
      <c r="D33" s="2673"/>
      <c r="E33" s="2673"/>
      <c r="F33" s="660">
        <v>-4.375</v>
      </c>
      <c r="G33" s="661" t="s">
        <v>1649</v>
      </c>
      <c r="H33" s="661"/>
      <c r="I33" s="661">
        <v>-141</v>
      </c>
      <c r="J33" s="661"/>
      <c r="K33" s="662"/>
      <c r="L33" s="663">
        <v>0</v>
      </c>
      <c r="M33" s="663">
        <v>0</v>
      </c>
      <c r="X33" s="656"/>
      <c r="Y33" s="657"/>
      <c r="Z33" s="657"/>
      <c r="AA33" s="481" t="s">
        <v>1198</v>
      </c>
    </row>
    <row r="34" spans="1:29" s="454" customFormat="1" ht="15" x14ac:dyDescent="0.25">
      <c r="A34" s="542"/>
      <c r="B34" s="665"/>
      <c r="C34" s="666" t="s">
        <v>1650</v>
      </c>
      <c r="D34" s="667"/>
      <c r="E34" s="667"/>
      <c r="F34" s="667"/>
      <c r="G34" s="667"/>
      <c r="H34" s="667"/>
      <c r="I34" s="667"/>
      <c r="J34" s="667"/>
      <c r="K34" s="667"/>
      <c r="L34" s="667"/>
      <c r="M34" s="669"/>
      <c r="X34" s="656"/>
      <c r="Y34" s="657"/>
      <c r="Z34" s="657"/>
      <c r="AA34" s="481"/>
    </row>
    <row r="35" spans="1:29" s="454" customFormat="1" ht="45" x14ac:dyDescent="0.25">
      <c r="A35" s="658" t="s">
        <v>640</v>
      </c>
      <c r="B35" s="659" t="s">
        <v>1651</v>
      </c>
      <c r="C35" s="2673" t="s">
        <v>1201</v>
      </c>
      <c r="D35" s="2673"/>
      <c r="E35" s="2673"/>
      <c r="F35" s="660">
        <v>-0.875</v>
      </c>
      <c r="G35" s="661">
        <v>5584.58</v>
      </c>
      <c r="H35" s="661"/>
      <c r="I35" s="661">
        <v>-4887</v>
      </c>
      <c r="J35" s="661"/>
      <c r="K35" s="662"/>
      <c r="L35" s="663">
        <v>0</v>
      </c>
      <c r="M35" s="663">
        <v>0</v>
      </c>
      <c r="X35" s="656"/>
      <c r="Y35" s="657"/>
      <c r="Z35" s="657"/>
      <c r="AA35" s="481" t="s">
        <v>1201</v>
      </c>
    </row>
    <row r="36" spans="1:29" s="454" customFormat="1" ht="15" x14ac:dyDescent="0.25">
      <c r="A36" s="2680" t="s">
        <v>1202</v>
      </c>
      <c r="B36" s="2681"/>
      <c r="C36" s="2681"/>
      <c r="D36" s="2681"/>
      <c r="E36" s="2681"/>
      <c r="F36" s="2681"/>
      <c r="G36" s="2681"/>
      <c r="H36" s="2681"/>
      <c r="I36" s="2681"/>
      <c r="J36" s="2681"/>
      <c r="K36" s="2681"/>
      <c r="L36" s="2681"/>
      <c r="M36" s="2682"/>
      <c r="X36" s="656"/>
      <c r="Y36" s="657"/>
      <c r="Z36" s="657" t="s">
        <v>1202</v>
      </c>
      <c r="AA36" s="481"/>
    </row>
    <row r="37" spans="1:29" s="454" customFormat="1" ht="57" x14ac:dyDescent="0.25">
      <c r="A37" s="658" t="s">
        <v>232</v>
      </c>
      <c r="B37" s="659" t="s">
        <v>1652</v>
      </c>
      <c r="C37" s="2673" t="s">
        <v>1653</v>
      </c>
      <c r="D37" s="2673"/>
      <c r="E37" s="2673"/>
      <c r="F37" s="670">
        <v>-8</v>
      </c>
      <c r="G37" s="661" t="s">
        <v>1221</v>
      </c>
      <c r="H37" s="661" t="s">
        <v>1222</v>
      </c>
      <c r="I37" s="661">
        <v>-485</v>
      </c>
      <c r="J37" s="661">
        <v>-107</v>
      </c>
      <c r="K37" s="662" t="s">
        <v>1654</v>
      </c>
      <c r="L37" s="671">
        <v>1.635</v>
      </c>
      <c r="M37" s="672">
        <v>-13.08</v>
      </c>
      <c r="X37" s="656"/>
      <c r="Y37" s="657"/>
      <c r="Z37" s="657"/>
      <c r="AA37" s="481" t="s">
        <v>1653</v>
      </c>
    </row>
    <row r="38" spans="1:29" s="454" customFormat="1" ht="33.75" x14ac:dyDescent="0.25">
      <c r="A38" s="542"/>
      <c r="B38" s="673" t="s">
        <v>1655</v>
      </c>
      <c r="C38" s="2670" t="s">
        <v>1656</v>
      </c>
      <c r="D38" s="2670"/>
      <c r="E38" s="2670"/>
      <c r="F38" s="2670"/>
      <c r="G38" s="2670"/>
      <c r="H38" s="2670"/>
      <c r="I38" s="2670"/>
      <c r="J38" s="2670"/>
      <c r="K38" s="2670"/>
      <c r="L38" s="2670"/>
      <c r="M38" s="2671"/>
      <c r="X38" s="656"/>
      <c r="Y38" s="657"/>
      <c r="Z38" s="657"/>
      <c r="AA38" s="481"/>
      <c r="AB38" s="491" t="s">
        <v>1656</v>
      </c>
    </row>
    <row r="39" spans="1:29" s="454" customFormat="1" ht="23.25" x14ac:dyDescent="0.25">
      <c r="A39" s="507"/>
      <c r="B39" s="674" t="s">
        <v>1657</v>
      </c>
      <c r="C39" s="2672" t="s">
        <v>1658</v>
      </c>
      <c r="D39" s="2672"/>
      <c r="E39" s="2672"/>
      <c r="F39" s="675" t="s">
        <v>1659</v>
      </c>
      <c r="G39" s="676" t="s">
        <v>1660</v>
      </c>
      <c r="H39" s="676"/>
      <c r="I39" s="676">
        <v>-106.86</v>
      </c>
      <c r="J39" s="676">
        <v>-106.86</v>
      </c>
      <c r="K39" s="676"/>
      <c r="L39" s="677"/>
      <c r="M39" s="678"/>
      <c r="X39" s="656"/>
      <c r="Y39" s="657"/>
      <c r="Z39" s="657"/>
      <c r="AA39" s="481"/>
      <c r="AC39" s="456" t="s">
        <v>1658</v>
      </c>
    </row>
    <row r="40" spans="1:29" s="454" customFormat="1" ht="23.25" x14ac:dyDescent="0.25">
      <c r="A40" s="507"/>
      <c r="B40" s="674" t="s">
        <v>639</v>
      </c>
      <c r="C40" s="2672" t="s">
        <v>1661</v>
      </c>
      <c r="D40" s="2672"/>
      <c r="E40" s="2672"/>
      <c r="F40" s="675" t="s">
        <v>1662</v>
      </c>
      <c r="G40" s="676">
        <v>0</v>
      </c>
      <c r="H40" s="676">
        <v>0</v>
      </c>
      <c r="I40" s="676">
        <v>0</v>
      </c>
      <c r="J40" s="676"/>
      <c r="K40" s="676">
        <v>0</v>
      </c>
      <c r="L40" s="677"/>
      <c r="M40" s="678"/>
      <c r="X40" s="656"/>
      <c r="Y40" s="657"/>
      <c r="Z40" s="657"/>
      <c r="AA40" s="481"/>
      <c r="AC40" s="456" t="s">
        <v>1661</v>
      </c>
    </row>
    <row r="41" spans="1:29" s="454" customFormat="1" ht="34.5" x14ac:dyDescent="0.25">
      <c r="A41" s="507"/>
      <c r="B41" s="674" t="s">
        <v>1663</v>
      </c>
      <c r="C41" s="2672" t="s">
        <v>1664</v>
      </c>
      <c r="D41" s="2672"/>
      <c r="E41" s="2672"/>
      <c r="F41" s="675" t="s">
        <v>1665</v>
      </c>
      <c r="G41" s="676">
        <v>111.99</v>
      </c>
      <c r="H41" s="676" t="s">
        <v>1666</v>
      </c>
      <c r="I41" s="676">
        <v>-250.86</v>
      </c>
      <c r="J41" s="676"/>
      <c r="K41" s="676" t="s">
        <v>1667</v>
      </c>
      <c r="L41" s="677"/>
      <c r="M41" s="678"/>
      <c r="X41" s="656"/>
      <c r="Y41" s="657"/>
      <c r="Z41" s="657"/>
      <c r="AA41" s="481"/>
      <c r="AC41" s="456" t="s">
        <v>1664</v>
      </c>
    </row>
    <row r="42" spans="1:29" s="454" customFormat="1" ht="34.5" x14ac:dyDescent="0.25">
      <c r="A42" s="507"/>
      <c r="B42" s="674" t="s">
        <v>1668</v>
      </c>
      <c r="C42" s="2672" t="s">
        <v>1669</v>
      </c>
      <c r="D42" s="2672"/>
      <c r="E42" s="2672"/>
      <c r="F42" s="675" t="s">
        <v>1670</v>
      </c>
      <c r="G42" s="676">
        <v>1</v>
      </c>
      <c r="H42" s="676"/>
      <c r="I42" s="676">
        <v>-1.44</v>
      </c>
      <c r="J42" s="676"/>
      <c r="K42" s="676"/>
      <c r="L42" s="677"/>
      <c r="M42" s="678"/>
      <c r="X42" s="656"/>
      <c r="Y42" s="657"/>
      <c r="Z42" s="657"/>
      <c r="AA42" s="481"/>
      <c r="AC42" s="456" t="s">
        <v>1669</v>
      </c>
    </row>
    <row r="43" spans="1:29" s="454" customFormat="1" ht="57" x14ac:dyDescent="0.25">
      <c r="A43" s="658" t="s">
        <v>233</v>
      </c>
      <c r="B43" s="659" t="s">
        <v>1671</v>
      </c>
      <c r="C43" s="2673" t="s">
        <v>1672</v>
      </c>
      <c r="D43" s="2673"/>
      <c r="E43" s="2673"/>
      <c r="F43" s="670">
        <v>-27</v>
      </c>
      <c r="G43" s="661" t="s">
        <v>1673</v>
      </c>
      <c r="H43" s="661"/>
      <c r="I43" s="661">
        <v>-312</v>
      </c>
      <c r="J43" s="661">
        <v>-308</v>
      </c>
      <c r="K43" s="662"/>
      <c r="L43" s="671">
        <v>1.395</v>
      </c>
      <c r="M43" s="672">
        <v>-37.67</v>
      </c>
      <c r="X43" s="656"/>
      <c r="Y43" s="657"/>
      <c r="Z43" s="657"/>
      <c r="AA43" s="481" t="s">
        <v>1672</v>
      </c>
      <c r="AC43" s="456"/>
    </row>
    <row r="44" spans="1:29" s="454" customFormat="1" ht="33.75" x14ac:dyDescent="0.25">
      <c r="A44" s="542"/>
      <c r="B44" s="673" t="s">
        <v>1655</v>
      </c>
      <c r="C44" s="2670" t="s">
        <v>1656</v>
      </c>
      <c r="D44" s="2670"/>
      <c r="E44" s="2670"/>
      <c r="F44" s="2670"/>
      <c r="G44" s="2670"/>
      <c r="H44" s="2670"/>
      <c r="I44" s="2670"/>
      <c r="J44" s="2670"/>
      <c r="K44" s="2670"/>
      <c r="L44" s="2670"/>
      <c r="M44" s="2671"/>
      <c r="X44" s="656"/>
      <c r="Y44" s="657"/>
      <c r="Z44" s="657"/>
      <c r="AA44" s="481"/>
      <c r="AB44" s="491" t="s">
        <v>1656</v>
      </c>
      <c r="AC44" s="456"/>
    </row>
    <row r="45" spans="1:29" s="454" customFormat="1" ht="23.25" x14ac:dyDescent="0.25">
      <c r="A45" s="507"/>
      <c r="B45" s="674" t="s">
        <v>1657</v>
      </c>
      <c r="C45" s="2672" t="s">
        <v>1658</v>
      </c>
      <c r="D45" s="2672"/>
      <c r="E45" s="2672"/>
      <c r="F45" s="675" t="s">
        <v>1674</v>
      </c>
      <c r="G45" s="676" t="s">
        <v>1660</v>
      </c>
      <c r="H45" s="676"/>
      <c r="I45" s="676">
        <v>-307.76</v>
      </c>
      <c r="J45" s="676">
        <v>-307.76</v>
      </c>
      <c r="K45" s="676"/>
      <c r="L45" s="677"/>
      <c r="M45" s="678"/>
      <c r="X45" s="656"/>
      <c r="Y45" s="657"/>
      <c r="Z45" s="657"/>
      <c r="AA45" s="481"/>
      <c r="AC45" s="456" t="s">
        <v>1658</v>
      </c>
    </row>
    <row r="46" spans="1:29" s="454" customFormat="1" ht="34.5" x14ac:dyDescent="0.25">
      <c r="A46" s="507"/>
      <c r="B46" s="674" t="s">
        <v>1668</v>
      </c>
      <c r="C46" s="2672" t="s">
        <v>1669</v>
      </c>
      <c r="D46" s="2672"/>
      <c r="E46" s="2672"/>
      <c r="F46" s="675" t="s">
        <v>1675</v>
      </c>
      <c r="G46" s="676">
        <v>1</v>
      </c>
      <c r="H46" s="676"/>
      <c r="I46" s="676">
        <v>-4.05</v>
      </c>
      <c r="J46" s="676"/>
      <c r="K46" s="676"/>
      <c r="L46" s="677"/>
      <c r="M46" s="678"/>
      <c r="X46" s="656"/>
      <c r="Y46" s="657"/>
      <c r="Z46" s="657"/>
      <c r="AA46" s="481"/>
      <c r="AC46" s="456" t="s">
        <v>1669</v>
      </c>
    </row>
    <row r="47" spans="1:29" s="454" customFormat="1" ht="15" x14ac:dyDescent="0.25">
      <c r="A47" s="2680" t="s">
        <v>1240</v>
      </c>
      <c r="B47" s="2681"/>
      <c r="C47" s="2681"/>
      <c r="D47" s="2681"/>
      <c r="E47" s="2681"/>
      <c r="F47" s="2681"/>
      <c r="G47" s="2681"/>
      <c r="H47" s="2681"/>
      <c r="I47" s="2681"/>
      <c r="J47" s="2681"/>
      <c r="K47" s="2681"/>
      <c r="L47" s="2681"/>
      <c r="M47" s="2682"/>
      <c r="X47" s="656"/>
      <c r="Y47" s="657" t="s">
        <v>1240</v>
      </c>
      <c r="Z47" s="657"/>
      <c r="AA47" s="481"/>
      <c r="AC47" s="456"/>
    </row>
    <row r="48" spans="1:29" s="454" customFormat="1" ht="15" x14ac:dyDescent="0.25">
      <c r="A48" s="2680" t="s">
        <v>1291</v>
      </c>
      <c r="B48" s="2681"/>
      <c r="C48" s="2681"/>
      <c r="D48" s="2681"/>
      <c r="E48" s="2681"/>
      <c r="F48" s="2681"/>
      <c r="G48" s="2681"/>
      <c r="H48" s="2681"/>
      <c r="I48" s="2681"/>
      <c r="J48" s="2681"/>
      <c r="K48" s="2681"/>
      <c r="L48" s="2681"/>
      <c r="M48" s="2682"/>
      <c r="X48" s="656"/>
      <c r="Y48" s="657" t="s">
        <v>1291</v>
      </c>
      <c r="Z48" s="657"/>
      <c r="AA48" s="481"/>
      <c r="AC48" s="456"/>
    </row>
    <row r="49" spans="1:31" s="454" customFormat="1" ht="15" x14ac:dyDescent="0.25">
      <c r="A49" s="2680" t="s">
        <v>1318</v>
      </c>
      <c r="B49" s="2681"/>
      <c r="C49" s="2681"/>
      <c r="D49" s="2681"/>
      <c r="E49" s="2681"/>
      <c r="F49" s="2681"/>
      <c r="G49" s="2681"/>
      <c r="H49" s="2681"/>
      <c r="I49" s="2681"/>
      <c r="J49" s="2681"/>
      <c r="K49" s="2681"/>
      <c r="L49" s="2681"/>
      <c r="M49" s="2682"/>
      <c r="X49" s="656"/>
      <c r="Y49" s="657" t="s">
        <v>1318</v>
      </c>
      <c r="Z49" s="657"/>
      <c r="AA49" s="481"/>
      <c r="AC49" s="456"/>
    </row>
    <row r="50" spans="1:31" s="454" customFormat="1" ht="15" x14ac:dyDescent="0.25">
      <c r="A50" s="2680" t="s">
        <v>1351</v>
      </c>
      <c r="B50" s="2681"/>
      <c r="C50" s="2681"/>
      <c r="D50" s="2681"/>
      <c r="E50" s="2681"/>
      <c r="F50" s="2681"/>
      <c r="G50" s="2681"/>
      <c r="H50" s="2681"/>
      <c r="I50" s="2681"/>
      <c r="J50" s="2681"/>
      <c r="K50" s="2681"/>
      <c r="L50" s="2681"/>
      <c r="M50" s="2682"/>
      <c r="X50" s="656"/>
      <c r="Y50" s="657" t="s">
        <v>1351</v>
      </c>
      <c r="Z50" s="657"/>
      <c r="AA50" s="481"/>
      <c r="AC50" s="456"/>
    </row>
    <row r="51" spans="1:31" s="454" customFormat="1" ht="15" x14ac:dyDescent="0.25">
      <c r="A51" s="2680" t="s">
        <v>1383</v>
      </c>
      <c r="B51" s="2681"/>
      <c r="C51" s="2681"/>
      <c r="D51" s="2681"/>
      <c r="E51" s="2681"/>
      <c r="F51" s="2681"/>
      <c r="G51" s="2681"/>
      <c r="H51" s="2681"/>
      <c r="I51" s="2681"/>
      <c r="J51" s="2681"/>
      <c r="K51" s="2681"/>
      <c r="L51" s="2681"/>
      <c r="M51" s="2682"/>
      <c r="X51" s="656"/>
      <c r="Y51" s="657" t="s">
        <v>1383</v>
      </c>
      <c r="Z51" s="657"/>
      <c r="AA51" s="481"/>
      <c r="AC51" s="456"/>
    </row>
    <row r="52" spans="1:31" s="454" customFormat="1" ht="45" x14ac:dyDescent="0.25">
      <c r="A52" s="658" t="s">
        <v>238</v>
      </c>
      <c r="B52" s="659" t="s">
        <v>1676</v>
      </c>
      <c r="C52" s="2673" t="s">
        <v>1408</v>
      </c>
      <c r="D52" s="2673"/>
      <c r="E52" s="2673"/>
      <c r="F52" s="679">
        <v>-85.05</v>
      </c>
      <c r="G52" s="661">
        <v>196.49</v>
      </c>
      <c r="H52" s="661"/>
      <c r="I52" s="661">
        <v>-16711</v>
      </c>
      <c r="J52" s="661"/>
      <c r="K52" s="662"/>
      <c r="L52" s="663">
        <v>0</v>
      </c>
      <c r="M52" s="663">
        <v>0</v>
      </c>
      <c r="X52" s="656"/>
      <c r="Y52" s="657"/>
      <c r="Z52" s="657"/>
      <c r="AA52" s="481" t="s">
        <v>1408</v>
      </c>
      <c r="AC52" s="456"/>
    </row>
    <row r="53" spans="1:31" s="454" customFormat="1" ht="15" x14ac:dyDescent="0.25">
      <c r="A53" s="664"/>
      <c r="B53" s="665"/>
      <c r="C53" s="666" t="s">
        <v>1677</v>
      </c>
      <c r="D53" s="667"/>
      <c r="E53" s="667"/>
      <c r="F53" s="667"/>
      <c r="G53" s="667"/>
      <c r="H53" s="667"/>
      <c r="I53" s="667"/>
      <c r="J53" s="667"/>
      <c r="K53" s="667"/>
      <c r="L53" s="667"/>
      <c r="M53" s="668"/>
      <c r="X53" s="656"/>
      <c r="Y53" s="657"/>
      <c r="Z53" s="657"/>
      <c r="AA53" s="481"/>
      <c r="AC53" s="456"/>
    </row>
    <row r="54" spans="1:31" s="454" customFormat="1" ht="45" x14ac:dyDescent="0.25">
      <c r="A54" s="658" t="s">
        <v>641</v>
      </c>
      <c r="B54" s="659" t="s">
        <v>1678</v>
      </c>
      <c r="C54" s="2673" t="s">
        <v>1679</v>
      </c>
      <c r="D54" s="2673"/>
      <c r="E54" s="2673"/>
      <c r="F54" s="680">
        <v>-7.5</v>
      </c>
      <c r="G54" s="661">
        <v>124.77</v>
      </c>
      <c r="H54" s="661"/>
      <c r="I54" s="661">
        <v>-936</v>
      </c>
      <c r="J54" s="661"/>
      <c r="K54" s="662"/>
      <c r="L54" s="663">
        <v>0</v>
      </c>
      <c r="M54" s="663">
        <v>0</v>
      </c>
      <c r="X54" s="656"/>
      <c r="Y54" s="657"/>
      <c r="Z54" s="657"/>
      <c r="AA54" s="481" t="s">
        <v>1679</v>
      </c>
      <c r="AC54" s="456"/>
    </row>
    <row r="55" spans="1:31" s="454" customFormat="1" ht="15" x14ac:dyDescent="0.25">
      <c r="A55" s="664"/>
      <c r="B55" s="665"/>
      <c r="C55" s="666" t="s">
        <v>1680</v>
      </c>
      <c r="D55" s="667"/>
      <c r="E55" s="667"/>
      <c r="F55" s="667"/>
      <c r="G55" s="667"/>
      <c r="H55" s="667"/>
      <c r="I55" s="667"/>
      <c r="J55" s="667"/>
      <c r="K55" s="667"/>
      <c r="L55" s="667"/>
      <c r="M55" s="668"/>
      <c r="X55" s="656"/>
      <c r="Y55" s="657"/>
      <c r="Z55" s="657"/>
      <c r="AA55" s="481"/>
      <c r="AC55" s="456"/>
    </row>
    <row r="56" spans="1:31" s="454" customFormat="1" ht="22.5" x14ac:dyDescent="0.25">
      <c r="A56" s="2685" t="s">
        <v>1414</v>
      </c>
      <c r="B56" s="2686"/>
      <c r="C56" s="2686"/>
      <c r="D56" s="2686"/>
      <c r="E56" s="2686"/>
      <c r="F56" s="2686"/>
      <c r="G56" s="2686"/>
      <c r="H56" s="2687"/>
      <c r="I56" s="661">
        <v>-26695</v>
      </c>
      <c r="J56" s="661">
        <v>-415</v>
      </c>
      <c r="K56" s="661" t="s">
        <v>1654</v>
      </c>
      <c r="L56" s="681"/>
      <c r="M56" s="672">
        <v>-50.75</v>
      </c>
      <c r="X56" s="656"/>
      <c r="Y56" s="657"/>
      <c r="Z56" s="657"/>
      <c r="AA56" s="481"/>
      <c r="AC56" s="456"/>
      <c r="AD56" s="481" t="s">
        <v>1414</v>
      </c>
    </row>
    <row r="57" spans="1:31" s="454" customFormat="1" ht="15" x14ac:dyDescent="0.25">
      <c r="A57" s="2685" t="s">
        <v>1416</v>
      </c>
      <c r="B57" s="2686"/>
      <c r="C57" s="2686"/>
      <c r="D57" s="2686"/>
      <c r="E57" s="2686"/>
      <c r="F57" s="2686"/>
      <c r="G57" s="2686"/>
      <c r="H57" s="2687"/>
      <c r="I57" s="661">
        <v>-368</v>
      </c>
      <c r="J57" s="661"/>
      <c r="K57" s="661"/>
      <c r="L57" s="681"/>
      <c r="M57" s="681"/>
      <c r="X57" s="656"/>
      <c r="Y57" s="657"/>
      <c r="Z57" s="657"/>
      <c r="AA57" s="481"/>
      <c r="AC57" s="456"/>
      <c r="AD57" s="481" t="s">
        <v>1416</v>
      </c>
    </row>
    <row r="58" spans="1:31" s="454" customFormat="1" ht="15" x14ac:dyDescent="0.25">
      <c r="A58" s="2688" t="s">
        <v>1681</v>
      </c>
      <c r="B58" s="2689"/>
      <c r="C58" s="2689"/>
      <c r="D58" s="2689"/>
      <c r="E58" s="2689"/>
      <c r="F58" s="2689"/>
      <c r="G58" s="2689"/>
      <c r="H58" s="2690"/>
      <c r="I58" s="682"/>
      <c r="J58" s="682"/>
      <c r="K58" s="682"/>
      <c r="L58" s="683"/>
      <c r="M58" s="683"/>
      <c r="X58" s="656"/>
      <c r="Y58" s="657"/>
      <c r="Z58" s="657"/>
      <c r="AA58" s="481"/>
      <c r="AC58" s="456"/>
      <c r="AD58" s="481"/>
      <c r="AE58" s="491" t="s">
        <v>1681</v>
      </c>
    </row>
    <row r="59" spans="1:31" s="454" customFormat="1" ht="15" x14ac:dyDescent="0.25">
      <c r="A59" s="2688" t="s">
        <v>1682</v>
      </c>
      <c r="B59" s="2689"/>
      <c r="C59" s="2689"/>
      <c r="D59" s="2689"/>
      <c r="E59" s="2689"/>
      <c r="F59" s="2689"/>
      <c r="G59" s="2689"/>
      <c r="H59" s="2690"/>
      <c r="I59" s="682">
        <v>-368</v>
      </c>
      <c r="J59" s="682"/>
      <c r="K59" s="682"/>
      <c r="L59" s="683"/>
      <c r="M59" s="683"/>
      <c r="X59" s="656"/>
      <c r="Y59" s="657"/>
      <c r="Z59" s="657"/>
      <c r="AA59" s="481"/>
      <c r="AC59" s="456"/>
      <c r="AD59" s="481"/>
      <c r="AE59" s="491" t="s">
        <v>1682</v>
      </c>
    </row>
    <row r="60" spans="1:31" s="454" customFormat="1" ht="15" x14ac:dyDescent="0.25">
      <c r="A60" s="2685" t="s">
        <v>1417</v>
      </c>
      <c r="B60" s="2686"/>
      <c r="C60" s="2686"/>
      <c r="D60" s="2686"/>
      <c r="E60" s="2686"/>
      <c r="F60" s="2686"/>
      <c r="G60" s="2686"/>
      <c r="H60" s="2687"/>
      <c r="I60" s="661">
        <v>-276</v>
      </c>
      <c r="J60" s="661"/>
      <c r="K60" s="661"/>
      <c r="L60" s="681"/>
      <c r="M60" s="681"/>
      <c r="X60" s="656"/>
      <c r="Y60" s="657"/>
      <c r="Z60" s="657"/>
      <c r="AA60" s="481"/>
      <c r="AC60" s="456"/>
      <c r="AD60" s="481" t="s">
        <v>1417</v>
      </c>
    </row>
    <row r="61" spans="1:31" s="454" customFormat="1" ht="15" x14ac:dyDescent="0.25">
      <c r="A61" s="2688" t="s">
        <v>1681</v>
      </c>
      <c r="B61" s="2689"/>
      <c r="C61" s="2689"/>
      <c r="D61" s="2689"/>
      <c r="E61" s="2689"/>
      <c r="F61" s="2689"/>
      <c r="G61" s="2689"/>
      <c r="H61" s="2690"/>
      <c r="I61" s="682"/>
      <c r="J61" s="682"/>
      <c r="K61" s="682"/>
      <c r="L61" s="683"/>
      <c r="M61" s="683"/>
      <c r="X61" s="656"/>
      <c r="Y61" s="657"/>
      <c r="Z61" s="657"/>
      <c r="AA61" s="481"/>
      <c r="AC61" s="456"/>
      <c r="AD61" s="481"/>
      <c r="AE61" s="491" t="s">
        <v>1681</v>
      </c>
    </row>
    <row r="62" spans="1:31" s="454" customFormat="1" ht="15" x14ac:dyDescent="0.25">
      <c r="A62" s="2688" t="s">
        <v>1683</v>
      </c>
      <c r="B62" s="2689"/>
      <c r="C62" s="2689"/>
      <c r="D62" s="2689"/>
      <c r="E62" s="2689"/>
      <c r="F62" s="2689"/>
      <c r="G62" s="2689"/>
      <c r="H62" s="2690"/>
      <c r="I62" s="682">
        <v>-276</v>
      </c>
      <c r="J62" s="682"/>
      <c r="K62" s="682"/>
      <c r="L62" s="683"/>
      <c r="M62" s="683"/>
      <c r="X62" s="656"/>
      <c r="Y62" s="657"/>
      <c r="Z62" s="657"/>
      <c r="AA62" s="481"/>
      <c r="AC62" s="456"/>
      <c r="AD62" s="481"/>
      <c r="AE62" s="491" t="s">
        <v>1683</v>
      </c>
    </row>
    <row r="63" spans="1:31" s="454" customFormat="1" ht="15" x14ac:dyDescent="0.25">
      <c r="A63" s="2685" t="s">
        <v>1684</v>
      </c>
      <c r="B63" s="2686"/>
      <c r="C63" s="2686"/>
      <c r="D63" s="2686"/>
      <c r="E63" s="2686"/>
      <c r="F63" s="2686"/>
      <c r="G63" s="2686"/>
      <c r="H63" s="2687"/>
      <c r="I63" s="661"/>
      <c r="J63" s="661"/>
      <c r="K63" s="661"/>
      <c r="L63" s="681"/>
      <c r="M63" s="681"/>
      <c r="X63" s="656"/>
      <c r="Y63" s="657"/>
      <c r="Z63" s="657"/>
      <c r="AA63" s="481"/>
      <c r="AC63" s="456"/>
      <c r="AD63" s="481" t="s">
        <v>1684</v>
      </c>
    </row>
    <row r="64" spans="1:31" s="454" customFormat="1" ht="15" x14ac:dyDescent="0.25">
      <c r="A64" s="2688" t="s">
        <v>1685</v>
      </c>
      <c r="B64" s="2689"/>
      <c r="C64" s="2689"/>
      <c r="D64" s="2689"/>
      <c r="E64" s="2689"/>
      <c r="F64" s="2689"/>
      <c r="G64" s="2689"/>
      <c r="H64" s="2690"/>
      <c r="I64" s="682"/>
      <c r="J64" s="682"/>
      <c r="K64" s="682"/>
      <c r="L64" s="683"/>
      <c r="M64" s="683"/>
      <c r="X64" s="656"/>
      <c r="Y64" s="657"/>
      <c r="Z64" s="657"/>
      <c r="AA64" s="481"/>
      <c r="AC64" s="456"/>
      <c r="AD64" s="481"/>
      <c r="AE64" s="491" t="s">
        <v>1685</v>
      </c>
    </row>
    <row r="65" spans="1:31" s="454" customFormat="1" ht="15" x14ac:dyDescent="0.25">
      <c r="A65" s="2688" t="s">
        <v>1686</v>
      </c>
      <c r="B65" s="2689"/>
      <c r="C65" s="2689"/>
      <c r="D65" s="2689"/>
      <c r="E65" s="2689"/>
      <c r="F65" s="2689"/>
      <c r="G65" s="2689"/>
      <c r="H65" s="2690"/>
      <c r="I65" s="682"/>
      <c r="J65" s="682"/>
      <c r="K65" s="682"/>
      <c r="L65" s="683"/>
      <c r="M65" s="683"/>
      <c r="X65" s="656"/>
      <c r="Y65" s="657"/>
      <c r="Z65" s="657"/>
      <c r="AA65" s="481"/>
      <c r="AC65" s="456"/>
      <c r="AD65" s="481"/>
      <c r="AE65" s="491" t="s">
        <v>1686</v>
      </c>
    </row>
    <row r="66" spans="1:31" s="454" customFormat="1" ht="15" x14ac:dyDescent="0.25">
      <c r="A66" s="2688" t="s">
        <v>1687</v>
      </c>
      <c r="B66" s="2689"/>
      <c r="C66" s="2689"/>
      <c r="D66" s="2689"/>
      <c r="E66" s="2689"/>
      <c r="F66" s="2689"/>
      <c r="G66" s="2689"/>
      <c r="H66" s="2690"/>
      <c r="I66" s="682">
        <v>-25898</v>
      </c>
      <c r="J66" s="682"/>
      <c r="K66" s="682"/>
      <c r="L66" s="683"/>
      <c r="M66" s="683"/>
      <c r="X66" s="656"/>
      <c r="Y66" s="657"/>
      <c r="Z66" s="657"/>
      <c r="AA66" s="481"/>
      <c r="AC66" s="456"/>
      <c r="AD66" s="481"/>
      <c r="AE66" s="491" t="s">
        <v>1687</v>
      </c>
    </row>
    <row r="67" spans="1:31" s="454" customFormat="1" ht="15" x14ac:dyDescent="0.25">
      <c r="A67" s="2688" t="s">
        <v>1688</v>
      </c>
      <c r="B67" s="2689"/>
      <c r="C67" s="2689"/>
      <c r="D67" s="2689"/>
      <c r="E67" s="2689"/>
      <c r="F67" s="2689"/>
      <c r="G67" s="2689"/>
      <c r="H67" s="2690"/>
      <c r="I67" s="682">
        <v>-25898</v>
      </c>
      <c r="J67" s="682"/>
      <c r="K67" s="682"/>
      <c r="L67" s="683"/>
      <c r="M67" s="683"/>
      <c r="X67" s="656"/>
      <c r="Y67" s="657"/>
      <c r="Z67" s="657"/>
      <c r="AA67" s="481"/>
      <c r="AC67" s="456"/>
      <c r="AD67" s="481"/>
      <c r="AE67" s="491" t="s">
        <v>1688</v>
      </c>
    </row>
    <row r="68" spans="1:31" s="454" customFormat="1" ht="15" x14ac:dyDescent="0.25">
      <c r="A68" s="2688" t="s">
        <v>1689</v>
      </c>
      <c r="B68" s="2689"/>
      <c r="C68" s="2689"/>
      <c r="D68" s="2689"/>
      <c r="E68" s="2689"/>
      <c r="F68" s="2689"/>
      <c r="G68" s="2689"/>
      <c r="H68" s="2690"/>
      <c r="I68" s="682"/>
      <c r="J68" s="682"/>
      <c r="K68" s="682"/>
      <c r="L68" s="683"/>
      <c r="M68" s="683"/>
      <c r="X68" s="656"/>
      <c r="Y68" s="657"/>
      <c r="Z68" s="657"/>
      <c r="AA68" s="481"/>
      <c r="AC68" s="456"/>
      <c r="AD68" s="481"/>
      <c r="AE68" s="491" t="s">
        <v>1689</v>
      </c>
    </row>
    <row r="69" spans="1:31" s="454" customFormat="1" ht="15" x14ac:dyDescent="0.25">
      <c r="A69" s="2688" t="s">
        <v>1690</v>
      </c>
      <c r="B69" s="2689"/>
      <c r="C69" s="2689"/>
      <c r="D69" s="2689"/>
      <c r="E69" s="2689"/>
      <c r="F69" s="2689"/>
      <c r="G69" s="2689"/>
      <c r="H69" s="2690"/>
      <c r="I69" s="682"/>
      <c r="J69" s="682"/>
      <c r="K69" s="682"/>
      <c r="L69" s="683"/>
      <c r="M69" s="683"/>
      <c r="X69" s="656"/>
      <c r="Y69" s="657"/>
      <c r="Z69" s="657"/>
      <c r="AA69" s="481"/>
      <c r="AC69" s="456"/>
      <c r="AD69" s="481"/>
      <c r="AE69" s="491" t="s">
        <v>1690</v>
      </c>
    </row>
    <row r="70" spans="1:31" s="454" customFormat="1" ht="22.5" x14ac:dyDescent="0.25">
      <c r="A70" s="2688" t="s">
        <v>1691</v>
      </c>
      <c r="B70" s="2689"/>
      <c r="C70" s="2689"/>
      <c r="D70" s="2689"/>
      <c r="E70" s="2689"/>
      <c r="F70" s="2689"/>
      <c r="G70" s="2689"/>
      <c r="H70" s="2690"/>
      <c r="I70" s="682">
        <v>-797</v>
      </c>
      <c r="J70" s="682">
        <v>-415</v>
      </c>
      <c r="K70" s="682" t="s">
        <v>1654</v>
      </c>
      <c r="L70" s="683"/>
      <c r="M70" s="684">
        <v>-50.75</v>
      </c>
      <c r="X70" s="656"/>
      <c r="Y70" s="657"/>
      <c r="Z70" s="657"/>
      <c r="AA70" s="481"/>
      <c r="AC70" s="456"/>
      <c r="AD70" s="481"/>
      <c r="AE70" s="491" t="s">
        <v>1691</v>
      </c>
    </row>
    <row r="71" spans="1:31" s="454" customFormat="1" ht="15" x14ac:dyDescent="0.25">
      <c r="A71" s="2688" t="s">
        <v>1692</v>
      </c>
      <c r="B71" s="2689"/>
      <c r="C71" s="2689"/>
      <c r="D71" s="2689"/>
      <c r="E71" s="2689"/>
      <c r="F71" s="2689"/>
      <c r="G71" s="2689"/>
      <c r="H71" s="2690"/>
      <c r="I71" s="682">
        <v>-368</v>
      </c>
      <c r="J71" s="682"/>
      <c r="K71" s="682"/>
      <c r="L71" s="683"/>
      <c r="M71" s="683"/>
      <c r="X71" s="656"/>
      <c r="Y71" s="657"/>
      <c r="Z71" s="657"/>
      <c r="AA71" s="481"/>
      <c r="AC71" s="456"/>
      <c r="AD71" s="481"/>
      <c r="AE71" s="491" t="s">
        <v>1692</v>
      </c>
    </row>
    <row r="72" spans="1:31" s="454" customFormat="1" ht="15" x14ac:dyDescent="0.25">
      <c r="A72" s="2688" t="s">
        <v>1693</v>
      </c>
      <c r="B72" s="2689"/>
      <c r="C72" s="2689"/>
      <c r="D72" s="2689"/>
      <c r="E72" s="2689"/>
      <c r="F72" s="2689"/>
      <c r="G72" s="2689"/>
      <c r="H72" s="2690"/>
      <c r="I72" s="682">
        <v>-276</v>
      </c>
      <c r="J72" s="682"/>
      <c r="K72" s="682"/>
      <c r="L72" s="683"/>
      <c r="M72" s="683"/>
      <c r="X72" s="656"/>
      <c r="Y72" s="657"/>
      <c r="Z72" s="657"/>
      <c r="AA72" s="481"/>
      <c r="AC72" s="456"/>
      <c r="AD72" s="481"/>
      <c r="AE72" s="491" t="s">
        <v>1693</v>
      </c>
    </row>
    <row r="73" spans="1:31" s="454" customFormat="1" ht="15" x14ac:dyDescent="0.25">
      <c r="A73" s="2688" t="s">
        <v>1694</v>
      </c>
      <c r="B73" s="2689"/>
      <c r="C73" s="2689"/>
      <c r="D73" s="2689"/>
      <c r="E73" s="2689"/>
      <c r="F73" s="2689"/>
      <c r="G73" s="2689"/>
      <c r="H73" s="2690"/>
      <c r="I73" s="682">
        <v>-1441</v>
      </c>
      <c r="J73" s="682"/>
      <c r="K73" s="682"/>
      <c r="L73" s="683"/>
      <c r="M73" s="684">
        <v>-50.75</v>
      </c>
      <c r="X73" s="656"/>
      <c r="Y73" s="657"/>
      <c r="Z73" s="657"/>
      <c r="AA73" s="481"/>
      <c r="AC73" s="456"/>
      <c r="AD73" s="481"/>
      <c r="AE73" s="491" t="s">
        <v>1694</v>
      </c>
    </row>
    <row r="74" spans="1:31" s="454" customFormat="1" ht="15" x14ac:dyDescent="0.25">
      <c r="A74" s="2688" t="s">
        <v>1688</v>
      </c>
      <c r="B74" s="2689"/>
      <c r="C74" s="2689"/>
      <c r="D74" s="2689"/>
      <c r="E74" s="2689"/>
      <c r="F74" s="2689"/>
      <c r="G74" s="2689"/>
      <c r="H74" s="2690"/>
      <c r="I74" s="682">
        <v>-1441</v>
      </c>
      <c r="J74" s="682"/>
      <c r="K74" s="682"/>
      <c r="L74" s="683"/>
      <c r="M74" s="684">
        <v>-50.75</v>
      </c>
      <c r="X74" s="656"/>
      <c r="Y74" s="657"/>
      <c r="Z74" s="657"/>
      <c r="AA74" s="481"/>
      <c r="AC74" s="456"/>
      <c r="AD74" s="481"/>
      <c r="AE74" s="491" t="s">
        <v>1688</v>
      </c>
    </row>
    <row r="75" spans="1:31" s="454" customFormat="1" ht="15" x14ac:dyDescent="0.25">
      <c r="A75" s="2688" t="s">
        <v>1695</v>
      </c>
      <c r="B75" s="2689"/>
      <c r="C75" s="2689"/>
      <c r="D75" s="2689"/>
      <c r="E75" s="2689"/>
      <c r="F75" s="2689"/>
      <c r="G75" s="2689"/>
      <c r="H75" s="2690"/>
      <c r="I75" s="682">
        <v>-27339</v>
      </c>
      <c r="J75" s="682"/>
      <c r="K75" s="682"/>
      <c r="L75" s="683"/>
      <c r="M75" s="684">
        <v>-50.75</v>
      </c>
      <c r="X75" s="656"/>
      <c r="Y75" s="657"/>
      <c r="Z75" s="657"/>
      <c r="AA75" s="481"/>
      <c r="AC75" s="456"/>
      <c r="AD75" s="481"/>
      <c r="AE75" s="491" t="s">
        <v>1695</v>
      </c>
    </row>
    <row r="76" spans="1:31" s="454" customFormat="1" ht="15" x14ac:dyDescent="0.25">
      <c r="A76" s="2688" t="s">
        <v>1696</v>
      </c>
      <c r="B76" s="2689"/>
      <c r="C76" s="2689"/>
      <c r="D76" s="2689"/>
      <c r="E76" s="2689"/>
      <c r="F76" s="2689"/>
      <c r="G76" s="2689"/>
      <c r="H76" s="2690"/>
      <c r="I76" s="682"/>
      <c r="J76" s="682"/>
      <c r="K76" s="682"/>
      <c r="L76" s="683"/>
      <c r="M76" s="683"/>
      <c r="X76" s="656"/>
      <c r="Y76" s="657"/>
      <c r="Z76" s="657"/>
      <c r="AA76" s="481"/>
      <c r="AC76" s="456"/>
      <c r="AD76" s="481"/>
      <c r="AE76" s="491" t="s">
        <v>1696</v>
      </c>
    </row>
    <row r="77" spans="1:31" s="454" customFormat="1" ht="15" x14ac:dyDescent="0.25">
      <c r="A77" s="2688" t="s">
        <v>1697</v>
      </c>
      <c r="B77" s="2689"/>
      <c r="C77" s="2689"/>
      <c r="D77" s="2689"/>
      <c r="E77" s="2689"/>
      <c r="F77" s="2689"/>
      <c r="G77" s="2689"/>
      <c r="H77" s="2690"/>
      <c r="I77" s="682">
        <v>-25904</v>
      </c>
      <c r="J77" s="682"/>
      <c r="K77" s="682"/>
      <c r="L77" s="683"/>
      <c r="M77" s="683"/>
      <c r="X77" s="656"/>
      <c r="Y77" s="657"/>
      <c r="Z77" s="657"/>
      <c r="AA77" s="481"/>
      <c r="AC77" s="456"/>
      <c r="AD77" s="481"/>
      <c r="AE77" s="491" t="s">
        <v>1697</v>
      </c>
    </row>
    <row r="78" spans="1:31" s="454" customFormat="1" ht="15" x14ac:dyDescent="0.25">
      <c r="A78" s="2688" t="s">
        <v>1698</v>
      </c>
      <c r="B78" s="2689"/>
      <c r="C78" s="2689"/>
      <c r="D78" s="2689"/>
      <c r="E78" s="2689"/>
      <c r="F78" s="2689"/>
      <c r="G78" s="2689"/>
      <c r="H78" s="2690"/>
      <c r="I78" s="682">
        <v>-376</v>
      </c>
      <c r="J78" s="682"/>
      <c r="K78" s="682"/>
      <c r="L78" s="683"/>
      <c r="M78" s="683"/>
      <c r="X78" s="656"/>
      <c r="Y78" s="657"/>
      <c r="Z78" s="657"/>
      <c r="AA78" s="481"/>
      <c r="AC78" s="456"/>
      <c r="AD78" s="481"/>
      <c r="AE78" s="491" t="s">
        <v>1698</v>
      </c>
    </row>
    <row r="79" spans="1:31" s="454" customFormat="1" ht="15" x14ac:dyDescent="0.25">
      <c r="A79" s="2688" t="s">
        <v>1699</v>
      </c>
      <c r="B79" s="2689"/>
      <c r="C79" s="2689"/>
      <c r="D79" s="2689"/>
      <c r="E79" s="2689"/>
      <c r="F79" s="2689"/>
      <c r="G79" s="2689"/>
      <c r="H79" s="2690"/>
      <c r="I79" s="682">
        <v>-460</v>
      </c>
      <c r="J79" s="682"/>
      <c r="K79" s="682"/>
      <c r="L79" s="683"/>
      <c r="M79" s="683"/>
      <c r="X79" s="656"/>
      <c r="Y79" s="657"/>
      <c r="Z79" s="657"/>
      <c r="AA79" s="481"/>
      <c r="AC79" s="456"/>
      <c r="AD79" s="481"/>
      <c r="AE79" s="491" t="s">
        <v>1699</v>
      </c>
    </row>
    <row r="80" spans="1:31" s="454" customFormat="1" ht="15" x14ac:dyDescent="0.25">
      <c r="A80" s="2688" t="s">
        <v>1700</v>
      </c>
      <c r="B80" s="2689"/>
      <c r="C80" s="2689"/>
      <c r="D80" s="2689"/>
      <c r="E80" s="2689"/>
      <c r="F80" s="2689"/>
      <c r="G80" s="2689"/>
      <c r="H80" s="2690"/>
      <c r="I80" s="682">
        <v>-368</v>
      </c>
      <c r="J80" s="682"/>
      <c r="K80" s="682"/>
      <c r="L80" s="683"/>
      <c r="M80" s="683"/>
      <c r="X80" s="656"/>
      <c r="Y80" s="657"/>
      <c r="Z80" s="657"/>
      <c r="AA80" s="481"/>
      <c r="AC80" s="456"/>
      <c r="AD80" s="481"/>
      <c r="AE80" s="491" t="s">
        <v>1700</v>
      </c>
    </row>
    <row r="81" spans="1:32" s="454" customFormat="1" ht="15" x14ac:dyDescent="0.25">
      <c r="A81" s="2688" t="s">
        <v>1701</v>
      </c>
      <c r="B81" s="2689"/>
      <c r="C81" s="2689"/>
      <c r="D81" s="2689"/>
      <c r="E81" s="2689"/>
      <c r="F81" s="2689"/>
      <c r="G81" s="2689"/>
      <c r="H81" s="2690"/>
      <c r="I81" s="682">
        <v>-276</v>
      </c>
      <c r="J81" s="682"/>
      <c r="K81" s="682"/>
      <c r="L81" s="683"/>
      <c r="M81" s="683"/>
      <c r="X81" s="656"/>
      <c r="Y81" s="657"/>
      <c r="Z81" s="657"/>
      <c r="AA81" s="481"/>
      <c r="AC81" s="456"/>
      <c r="AD81" s="481"/>
      <c r="AE81" s="491" t="s">
        <v>1701</v>
      </c>
    </row>
    <row r="82" spans="1:32" s="454" customFormat="1" ht="15" x14ac:dyDescent="0.25">
      <c r="A82" s="2685" t="s">
        <v>1702</v>
      </c>
      <c r="B82" s="2686"/>
      <c r="C82" s="2686"/>
      <c r="D82" s="2686"/>
      <c r="E82" s="2686"/>
      <c r="F82" s="2686"/>
      <c r="G82" s="2686"/>
      <c r="H82" s="2687"/>
      <c r="I82" s="661">
        <v>-27339</v>
      </c>
      <c r="J82" s="661"/>
      <c r="K82" s="661"/>
      <c r="L82" s="681"/>
      <c r="M82" s="672">
        <v>-50.75</v>
      </c>
      <c r="X82" s="656"/>
      <c r="Y82" s="657"/>
      <c r="Z82" s="657"/>
      <c r="AA82" s="481"/>
      <c r="AC82" s="456"/>
      <c r="AD82" s="481"/>
      <c r="AF82" s="481" t="s">
        <v>1702</v>
      </c>
    </row>
    <row r="83" spans="1:32" s="454" customFormat="1" ht="15" x14ac:dyDescent="0.25">
      <c r="A83" s="2677" t="s">
        <v>1419</v>
      </c>
      <c r="B83" s="2678"/>
      <c r="C83" s="2678"/>
      <c r="D83" s="2678"/>
      <c r="E83" s="2678"/>
      <c r="F83" s="2678"/>
      <c r="G83" s="2678"/>
      <c r="H83" s="2678"/>
      <c r="I83" s="2678"/>
      <c r="J83" s="2678"/>
      <c r="K83" s="2678"/>
      <c r="L83" s="2678"/>
      <c r="M83" s="2679"/>
      <c r="X83" s="656" t="s">
        <v>1419</v>
      </c>
      <c r="Y83" s="657"/>
      <c r="Z83" s="657"/>
      <c r="AA83" s="481"/>
      <c r="AC83" s="456"/>
      <c r="AD83" s="481"/>
      <c r="AF83" s="481"/>
    </row>
    <row r="84" spans="1:32" s="454" customFormat="1" ht="15" x14ac:dyDescent="0.25">
      <c r="A84" s="2680" t="s">
        <v>1420</v>
      </c>
      <c r="B84" s="2681"/>
      <c r="C84" s="2681"/>
      <c r="D84" s="2681"/>
      <c r="E84" s="2681"/>
      <c r="F84" s="2681"/>
      <c r="G84" s="2681"/>
      <c r="H84" s="2681"/>
      <c r="I84" s="2681"/>
      <c r="J84" s="2681"/>
      <c r="K84" s="2681"/>
      <c r="L84" s="2681"/>
      <c r="M84" s="2682"/>
      <c r="X84" s="656"/>
      <c r="Y84" s="657" t="s">
        <v>1420</v>
      </c>
      <c r="Z84" s="657"/>
      <c r="AA84" s="481"/>
      <c r="AC84" s="456"/>
      <c r="AD84" s="481"/>
      <c r="AF84" s="481"/>
    </row>
    <row r="85" spans="1:32" s="454" customFormat="1" ht="15" x14ac:dyDescent="0.25">
      <c r="A85" s="2680" t="s">
        <v>1181</v>
      </c>
      <c r="B85" s="2681"/>
      <c r="C85" s="2681"/>
      <c r="D85" s="2681"/>
      <c r="E85" s="2681"/>
      <c r="F85" s="2681"/>
      <c r="G85" s="2681"/>
      <c r="H85" s="2681"/>
      <c r="I85" s="2681"/>
      <c r="J85" s="2681"/>
      <c r="K85" s="2681"/>
      <c r="L85" s="2681"/>
      <c r="M85" s="2682"/>
      <c r="X85" s="656"/>
      <c r="Y85" s="657"/>
      <c r="Z85" s="657" t="s">
        <v>1181</v>
      </c>
      <c r="AA85" s="481"/>
      <c r="AC85" s="456"/>
      <c r="AD85" s="481"/>
      <c r="AF85" s="481"/>
    </row>
    <row r="86" spans="1:32" s="454" customFormat="1" ht="45.75" x14ac:dyDescent="0.25">
      <c r="A86" s="658" t="s">
        <v>650</v>
      </c>
      <c r="B86" s="659" t="s">
        <v>1703</v>
      </c>
      <c r="C86" s="2673" t="s">
        <v>1704</v>
      </c>
      <c r="D86" s="2673"/>
      <c r="E86" s="2673"/>
      <c r="F86" s="685">
        <v>-2.0400000000000001E-2</v>
      </c>
      <c r="G86" s="661" t="s">
        <v>1705</v>
      </c>
      <c r="H86" s="661" t="s">
        <v>1706</v>
      </c>
      <c r="I86" s="661">
        <v>-523</v>
      </c>
      <c r="J86" s="661">
        <v>-173</v>
      </c>
      <c r="K86" s="662" t="s">
        <v>1707</v>
      </c>
      <c r="L86" s="672">
        <v>1038.78</v>
      </c>
      <c r="M86" s="672">
        <v>-21.19</v>
      </c>
      <c r="X86" s="656"/>
      <c r="Y86" s="657"/>
      <c r="Z86" s="657"/>
      <c r="AA86" s="481" t="s">
        <v>1704</v>
      </c>
      <c r="AC86" s="456"/>
      <c r="AD86" s="481"/>
      <c r="AF86" s="481"/>
    </row>
    <row r="87" spans="1:32" s="454" customFormat="1" ht="15" x14ac:dyDescent="0.25">
      <c r="A87" s="664"/>
      <c r="B87" s="665"/>
      <c r="C87" s="666" t="s">
        <v>1708</v>
      </c>
      <c r="D87" s="667"/>
      <c r="E87" s="667"/>
      <c r="F87" s="667"/>
      <c r="G87" s="667"/>
      <c r="H87" s="667"/>
      <c r="I87" s="667"/>
      <c r="J87" s="667"/>
      <c r="K87" s="667"/>
      <c r="L87" s="667"/>
      <c r="M87" s="668"/>
      <c r="X87" s="656"/>
      <c r="Y87" s="657"/>
      <c r="Z87" s="657"/>
      <c r="AA87" s="481"/>
      <c r="AC87" s="456"/>
      <c r="AD87" s="481"/>
      <c r="AF87" s="481"/>
    </row>
    <row r="88" spans="1:32" s="454" customFormat="1" ht="33.75" x14ac:dyDescent="0.25">
      <c r="A88" s="542"/>
      <c r="B88" s="673" t="s">
        <v>1655</v>
      </c>
      <c r="C88" s="2670" t="s">
        <v>1656</v>
      </c>
      <c r="D88" s="2670"/>
      <c r="E88" s="2670"/>
      <c r="F88" s="2670"/>
      <c r="G88" s="2670"/>
      <c r="H88" s="2670"/>
      <c r="I88" s="2670"/>
      <c r="J88" s="2670"/>
      <c r="K88" s="2670"/>
      <c r="L88" s="2670"/>
      <c r="M88" s="2671"/>
      <c r="X88" s="656"/>
      <c r="Y88" s="657"/>
      <c r="Z88" s="657"/>
      <c r="AA88" s="481"/>
      <c r="AB88" s="491" t="s">
        <v>1656</v>
      </c>
      <c r="AC88" s="456"/>
      <c r="AD88" s="481"/>
      <c r="AF88" s="481"/>
    </row>
    <row r="89" spans="1:32" s="454" customFormat="1" ht="23.25" x14ac:dyDescent="0.25">
      <c r="A89" s="507"/>
      <c r="B89" s="674" t="s">
        <v>1657</v>
      </c>
      <c r="C89" s="2672" t="s">
        <v>1709</v>
      </c>
      <c r="D89" s="2672"/>
      <c r="E89" s="2672"/>
      <c r="F89" s="675" t="s">
        <v>1710</v>
      </c>
      <c r="G89" s="676" t="s">
        <v>1660</v>
      </c>
      <c r="H89" s="676"/>
      <c r="I89" s="676">
        <v>-173.12</v>
      </c>
      <c r="J89" s="676">
        <v>-173.12</v>
      </c>
      <c r="K89" s="676"/>
      <c r="L89" s="677"/>
      <c r="M89" s="678"/>
      <c r="X89" s="656"/>
      <c r="Y89" s="657"/>
      <c r="Z89" s="657"/>
      <c r="AA89" s="481"/>
      <c r="AC89" s="456" t="s">
        <v>1709</v>
      </c>
      <c r="AD89" s="481"/>
      <c r="AF89" s="481"/>
    </row>
    <row r="90" spans="1:32" s="454" customFormat="1" ht="23.25" x14ac:dyDescent="0.25">
      <c r="A90" s="507"/>
      <c r="B90" s="674" t="s">
        <v>639</v>
      </c>
      <c r="C90" s="2672" t="s">
        <v>1711</v>
      </c>
      <c r="D90" s="2672"/>
      <c r="E90" s="2672"/>
      <c r="F90" s="675" t="s">
        <v>1712</v>
      </c>
      <c r="G90" s="676">
        <v>0</v>
      </c>
      <c r="H90" s="676">
        <v>0</v>
      </c>
      <c r="I90" s="676">
        <v>0</v>
      </c>
      <c r="J90" s="676"/>
      <c r="K90" s="676">
        <v>0</v>
      </c>
      <c r="L90" s="677"/>
      <c r="M90" s="678"/>
      <c r="X90" s="656"/>
      <c r="Y90" s="657"/>
      <c r="Z90" s="657"/>
      <c r="AA90" s="481"/>
      <c r="AC90" s="456" t="s">
        <v>1711</v>
      </c>
      <c r="AD90" s="481"/>
      <c r="AF90" s="481"/>
    </row>
    <row r="91" spans="1:32" s="454" customFormat="1" ht="57" x14ac:dyDescent="0.25">
      <c r="A91" s="507"/>
      <c r="B91" s="674" t="s">
        <v>1713</v>
      </c>
      <c r="C91" s="2672" t="s">
        <v>1714</v>
      </c>
      <c r="D91" s="2672"/>
      <c r="E91" s="2672"/>
      <c r="F91" s="675" t="s">
        <v>1715</v>
      </c>
      <c r="G91" s="676">
        <v>90</v>
      </c>
      <c r="H91" s="676" t="s">
        <v>1716</v>
      </c>
      <c r="I91" s="676">
        <v>-218.7</v>
      </c>
      <c r="J91" s="676"/>
      <c r="K91" s="676" t="s">
        <v>1717</v>
      </c>
      <c r="L91" s="677"/>
      <c r="M91" s="678"/>
      <c r="X91" s="656"/>
      <c r="Y91" s="657"/>
      <c r="Z91" s="657"/>
      <c r="AA91" s="481"/>
      <c r="AC91" s="456" t="s">
        <v>1714</v>
      </c>
      <c r="AD91" s="481"/>
      <c r="AF91" s="481"/>
    </row>
    <row r="92" spans="1:32" s="454" customFormat="1" ht="45.75" x14ac:dyDescent="0.25">
      <c r="A92" s="507"/>
      <c r="B92" s="674" t="s">
        <v>1718</v>
      </c>
      <c r="C92" s="2672" t="s">
        <v>1719</v>
      </c>
      <c r="D92" s="2672"/>
      <c r="E92" s="2672"/>
      <c r="F92" s="675" t="s">
        <v>1720</v>
      </c>
      <c r="G92" s="676">
        <v>1.53</v>
      </c>
      <c r="H92" s="676" t="s">
        <v>1721</v>
      </c>
      <c r="I92" s="676">
        <v>-14.84</v>
      </c>
      <c r="J92" s="676"/>
      <c r="K92" s="676" t="s">
        <v>1722</v>
      </c>
      <c r="L92" s="677"/>
      <c r="M92" s="678"/>
      <c r="X92" s="656"/>
      <c r="Y92" s="657"/>
      <c r="Z92" s="657"/>
      <c r="AA92" s="481"/>
      <c r="AC92" s="456" t="s">
        <v>1719</v>
      </c>
      <c r="AD92" s="481"/>
      <c r="AF92" s="481"/>
    </row>
    <row r="93" spans="1:32" s="454" customFormat="1" ht="57" x14ac:dyDescent="0.25">
      <c r="A93" s="658" t="s">
        <v>651</v>
      </c>
      <c r="B93" s="659" t="s">
        <v>1723</v>
      </c>
      <c r="C93" s="2673" t="s">
        <v>1724</v>
      </c>
      <c r="D93" s="2673"/>
      <c r="E93" s="2673"/>
      <c r="F93" s="660">
        <v>-2.1000000000000001E-2</v>
      </c>
      <c r="G93" s="661" t="s">
        <v>1725</v>
      </c>
      <c r="H93" s="661" t="s">
        <v>1726</v>
      </c>
      <c r="I93" s="661">
        <v>-388</v>
      </c>
      <c r="J93" s="661">
        <v>-211</v>
      </c>
      <c r="K93" s="662" t="s">
        <v>1727</v>
      </c>
      <c r="L93" s="672">
        <v>1178.82</v>
      </c>
      <c r="M93" s="672">
        <v>-24.76</v>
      </c>
      <c r="X93" s="656"/>
      <c r="Y93" s="657"/>
      <c r="Z93" s="657"/>
      <c r="AA93" s="481" t="s">
        <v>1724</v>
      </c>
      <c r="AC93" s="456"/>
      <c r="AD93" s="481"/>
      <c r="AF93" s="481"/>
    </row>
    <row r="94" spans="1:32" s="454" customFormat="1" ht="15" x14ac:dyDescent="0.25">
      <c r="A94" s="664"/>
      <c r="B94" s="665"/>
      <c r="C94" s="666" t="s">
        <v>1728</v>
      </c>
      <c r="D94" s="667"/>
      <c r="E94" s="667"/>
      <c r="F94" s="667"/>
      <c r="G94" s="667"/>
      <c r="H94" s="667"/>
      <c r="I94" s="667"/>
      <c r="J94" s="667"/>
      <c r="K94" s="667"/>
      <c r="L94" s="667"/>
      <c r="M94" s="668"/>
      <c r="X94" s="656"/>
      <c r="Y94" s="657"/>
      <c r="Z94" s="657"/>
      <c r="AA94" s="481"/>
      <c r="AC94" s="456"/>
      <c r="AD94" s="481"/>
      <c r="AF94" s="481"/>
    </row>
    <row r="95" spans="1:32" s="454" customFormat="1" ht="33.75" x14ac:dyDescent="0.25">
      <c r="A95" s="542"/>
      <c r="B95" s="673" t="s">
        <v>1655</v>
      </c>
      <c r="C95" s="2670" t="s">
        <v>1656</v>
      </c>
      <c r="D95" s="2670"/>
      <c r="E95" s="2670"/>
      <c r="F95" s="2670"/>
      <c r="G95" s="2670"/>
      <c r="H95" s="2670"/>
      <c r="I95" s="2670"/>
      <c r="J95" s="2670"/>
      <c r="K95" s="2670"/>
      <c r="L95" s="2670"/>
      <c r="M95" s="2671"/>
      <c r="X95" s="656"/>
      <c r="Y95" s="657"/>
      <c r="Z95" s="657"/>
      <c r="AA95" s="481"/>
      <c r="AB95" s="491" t="s">
        <v>1656</v>
      </c>
      <c r="AC95" s="456"/>
      <c r="AD95" s="481"/>
      <c r="AF95" s="481"/>
    </row>
    <row r="96" spans="1:32" s="454" customFormat="1" ht="23.25" x14ac:dyDescent="0.25">
      <c r="A96" s="507"/>
      <c r="B96" s="674" t="s">
        <v>1729</v>
      </c>
      <c r="C96" s="2672" t="s">
        <v>1730</v>
      </c>
      <c r="D96" s="2672"/>
      <c r="E96" s="2672"/>
      <c r="F96" s="675" t="s">
        <v>1731</v>
      </c>
      <c r="G96" s="676" t="s">
        <v>1732</v>
      </c>
      <c r="H96" s="676"/>
      <c r="I96" s="676">
        <v>-211.2</v>
      </c>
      <c r="J96" s="676">
        <v>-211.2</v>
      </c>
      <c r="K96" s="676"/>
      <c r="L96" s="677"/>
      <c r="M96" s="678"/>
      <c r="X96" s="656"/>
      <c r="Y96" s="657"/>
      <c r="Z96" s="657"/>
      <c r="AA96" s="481"/>
      <c r="AC96" s="456" t="s">
        <v>1730</v>
      </c>
      <c r="AD96" s="481"/>
      <c r="AF96" s="481"/>
    </row>
    <row r="97" spans="1:33" s="454" customFormat="1" ht="23.25" x14ac:dyDescent="0.25">
      <c r="A97" s="507"/>
      <c r="B97" s="674" t="s">
        <v>639</v>
      </c>
      <c r="C97" s="2672" t="s">
        <v>1711</v>
      </c>
      <c r="D97" s="2672"/>
      <c r="E97" s="2672"/>
      <c r="F97" s="675" t="s">
        <v>1733</v>
      </c>
      <c r="G97" s="676">
        <v>0</v>
      </c>
      <c r="H97" s="676">
        <v>0</v>
      </c>
      <c r="I97" s="676">
        <v>0</v>
      </c>
      <c r="J97" s="676"/>
      <c r="K97" s="676">
        <v>0</v>
      </c>
      <c r="L97" s="677"/>
      <c r="M97" s="678"/>
      <c r="X97" s="656"/>
      <c r="Y97" s="657"/>
      <c r="Z97" s="657"/>
      <c r="AA97" s="481"/>
      <c r="AC97" s="456" t="s">
        <v>1711</v>
      </c>
      <c r="AD97" s="481"/>
      <c r="AF97" s="481"/>
    </row>
    <row r="98" spans="1:33" s="454" customFormat="1" ht="23.25" x14ac:dyDescent="0.25">
      <c r="A98" s="507"/>
      <c r="B98" s="674" t="s">
        <v>1734</v>
      </c>
      <c r="C98" s="2672" t="s">
        <v>1735</v>
      </c>
      <c r="D98" s="2672"/>
      <c r="E98" s="2672"/>
      <c r="F98" s="675" t="s">
        <v>1736</v>
      </c>
      <c r="G98" s="676">
        <v>86.4</v>
      </c>
      <c r="H98" s="676" t="s">
        <v>1737</v>
      </c>
      <c r="I98" s="676">
        <v>-55.3</v>
      </c>
      <c r="J98" s="676"/>
      <c r="K98" s="676" t="s">
        <v>1738</v>
      </c>
      <c r="L98" s="677"/>
      <c r="M98" s="678"/>
      <c r="X98" s="656"/>
      <c r="Y98" s="657"/>
      <c r="Z98" s="657"/>
      <c r="AA98" s="481"/>
      <c r="AC98" s="456" t="s">
        <v>1735</v>
      </c>
      <c r="AD98" s="481"/>
      <c r="AF98" s="481"/>
    </row>
    <row r="99" spans="1:33" s="454" customFormat="1" ht="34.5" x14ac:dyDescent="0.25">
      <c r="A99" s="507"/>
      <c r="B99" s="674" t="s">
        <v>1663</v>
      </c>
      <c r="C99" s="2672" t="s">
        <v>1664</v>
      </c>
      <c r="D99" s="2672"/>
      <c r="E99" s="2672"/>
      <c r="F99" s="675" t="s">
        <v>1739</v>
      </c>
      <c r="G99" s="676">
        <v>111.99</v>
      </c>
      <c r="H99" s="676" t="s">
        <v>1666</v>
      </c>
      <c r="I99" s="676">
        <v>-1.1200000000000001</v>
      </c>
      <c r="J99" s="676"/>
      <c r="K99" s="676" t="s">
        <v>1740</v>
      </c>
      <c r="L99" s="677"/>
      <c r="M99" s="678"/>
      <c r="X99" s="656"/>
      <c r="Y99" s="657"/>
      <c r="Z99" s="657"/>
      <c r="AA99" s="481"/>
      <c r="AC99" s="456" t="s">
        <v>1664</v>
      </c>
      <c r="AD99" s="481"/>
      <c r="AF99" s="481"/>
    </row>
    <row r="100" spans="1:33" s="454" customFormat="1" ht="23.25" x14ac:dyDescent="0.25">
      <c r="A100" s="507"/>
      <c r="B100" s="674" t="s">
        <v>1741</v>
      </c>
      <c r="C100" s="2672" t="s">
        <v>1742</v>
      </c>
      <c r="D100" s="2672"/>
      <c r="E100" s="2672"/>
      <c r="F100" s="675" t="s">
        <v>1743</v>
      </c>
      <c r="G100" s="676">
        <v>89.99</v>
      </c>
      <c r="H100" s="676" t="s">
        <v>1744</v>
      </c>
      <c r="I100" s="676">
        <v>-0.9</v>
      </c>
      <c r="J100" s="676"/>
      <c r="K100" s="676" t="s">
        <v>1745</v>
      </c>
      <c r="L100" s="677"/>
      <c r="M100" s="678"/>
      <c r="X100" s="656"/>
      <c r="Y100" s="657"/>
      <c r="Z100" s="657"/>
      <c r="AA100" s="481"/>
      <c r="AC100" s="456" t="s">
        <v>1742</v>
      </c>
      <c r="AD100" s="481"/>
      <c r="AF100" s="481"/>
    </row>
    <row r="101" spans="1:33" s="454" customFormat="1" ht="23.25" x14ac:dyDescent="0.25">
      <c r="A101" s="507"/>
      <c r="B101" s="674" t="s">
        <v>1746</v>
      </c>
      <c r="C101" s="2672" t="s">
        <v>1747</v>
      </c>
      <c r="D101" s="2672"/>
      <c r="E101" s="2672"/>
      <c r="F101" s="675" t="s">
        <v>1748</v>
      </c>
      <c r="G101" s="676">
        <v>1.9</v>
      </c>
      <c r="H101" s="676" t="s">
        <v>1749</v>
      </c>
      <c r="I101" s="676">
        <v>-1.5</v>
      </c>
      <c r="J101" s="676"/>
      <c r="K101" s="676" t="s">
        <v>1750</v>
      </c>
      <c r="L101" s="677"/>
      <c r="M101" s="678"/>
      <c r="X101" s="656"/>
      <c r="Y101" s="657"/>
      <c r="Z101" s="657"/>
      <c r="AA101" s="481"/>
      <c r="AC101" s="456" t="s">
        <v>1747</v>
      </c>
      <c r="AD101" s="481"/>
      <c r="AF101" s="481"/>
    </row>
    <row r="102" spans="1:33" s="454" customFormat="1" ht="34.5" x14ac:dyDescent="0.25">
      <c r="A102" s="507"/>
      <c r="B102" s="674" t="s">
        <v>821</v>
      </c>
      <c r="C102" s="2672" t="s">
        <v>1751</v>
      </c>
      <c r="D102" s="2672"/>
      <c r="E102" s="2672"/>
      <c r="F102" s="675" t="s">
        <v>1752</v>
      </c>
      <c r="G102" s="676">
        <v>65.709999999999994</v>
      </c>
      <c r="H102" s="676" t="s">
        <v>1753</v>
      </c>
      <c r="I102" s="676">
        <v>-1.31</v>
      </c>
      <c r="J102" s="676"/>
      <c r="K102" s="676" t="s">
        <v>1754</v>
      </c>
      <c r="L102" s="677"/>
      <c r="M102" s="678"/>
      <c r="X102" s="656"/>
      <c r="Y102" s="657"/>
      <c r="Z102" s="657"/>
      <c r="AA102" s="481"/>
      <c r="AC102" s="456" t="s">
        <v>1751</v>
      </c>
      <c r="AD102" s="481"/>
      <c r="AF102" s="481"/>
    </row>
    <row r="103" spans="1:33" s="454" customFormat="1" ht="23.25" x14ac:dyDescent="0.25">
      <c r="A103" s="507"/>
      <c r="B103" s="674" t="s">
        <v>1755</v>
      </c>
      <c r="C103" s="2672" t="s">
        <v>1257</v>
      </c>
      <c r="D103" s="2672"/>
      <c r="E103" s="2672"/>
      <c r="F103" s="675" t="s">
        <v>1756</v>
      </c>
      <c r="G103" s="676">
        <v>2.44</v>
      </c>
      <c r="H103" s="676"/>
      <c r="I103" s="676">
        <v>-0.02</v>
      </c>
      <c r="J103" s="676"/>
      <c r="K103" s="676"/>
      <c r="L103" s="677"/>
      <c r="M103" s="678"/>
      <c r="X103" s="656"/>
      <c r="Y103" s="657"/>
      <c r="Z103" s="657"/>
      <c r="AA103" s="481"/>
      <c r="AC103" s="456" t="s">
        <v>1257</v>
      </c>
      <c r="AD103" s="481"/>
      <c r="AF103" s="481"/>
    </row>
    <row r="104" spans="1:33" s="454" customFormat="1" ht="23.25" x14ac:dyDescent="0.25">
      <c r="A104" s="507"/>
      <c r="B104" s="674" t="s">
        <v>1757</v>
      </c>
      <c r="C104" s="2672" t="s">
        <v>1758</v>
      </c>
      <c r="D104" s="2672"/>
      <c r="E104" s="2672"/>
      <c r="F104" s="675" t="s">
        <v>1759</v>
      </c>
      <c r="G104" s="676">
        <v>3.62</v>
      </c>
      <c r="H104" s="676"/>
      <c r="I104" s="676">
        <v>-11.63</v>
      </c>
      <c r="J104" s="676"/>
      <c r="K104" s="676"/>
      <c r="L104" s="677"/>
      <c r="M104" s="678"/>
      <c r="X104" s="656"/>
      <c r="Y104" s="657"/>
      <c r="Z104" s="657"/>
      <c r="AA104" s="481"/>
      <c r="AC104" s="456" t="s">
        <v>1758</v>
      </c>
      <c r="AD104" s="481"/>
      <c r="AF104" s="481"/>
    </row>
    <row r="105" spans="1:33" s="454" customFormat="1" ht="23.25" x14ac:dyDescent="0.25">
      <c r="A105" s="507"/>
      <c r="B105" s="674" t="s">
        <v>841</v>
      </c>
      <c r="C105" s="2672" t="s">
        <v>1760</v>
      </c>
      <c r="D105" s="2672"/>
      <c r="E105" s="2672"/>
      <c r="F105" s="675" t="s">
        <v>1761</v>
      </c>
      <c r="G105" s="676">
        <v>11978</v>
      </c>
      <c r="H105" s="676"/>
      <c r="I105" s="676">
        <v>-5.99</v>
      </c>
      <c r="J105" s="676"/>
      <c r="K105" s="676"/>
      <c r="L105" s="677"/>
      <c r="M105" s="678"/>
      <c r="X105" s="656"/>
      <c r="Y105" s="657"/>
      <c r="Z105" s="657"/>
      <c r="AA105" s="481"/>
      <c r="AC105" s="456" t="s">
        <v>1760</v>
      </c>
      <c r="AD105" s="481"/>
      <c r="AF105" s="481"/>
    </row>
    <row r="106" spans="1:33" s="454" customFormat="1" ht="34.5" x14ac:dyDescent="0.25">
      <c r="A106" s="507"/>
      <c r="B106" s="674" t="s">
        <v>1762</v>
      </c>
      <c r="C106" s="2672" t="s">
        <v>1763</v>
      </c>
      <c r="D106" s="2672"/>
      <c r="E106" s="2672"/>
      <c r="F106" s="675" t="s">
        <v>1764</v>
      </c>
      <c r="G106" s="676">
        <v>734.5</v>
      </c>
      <c r="H106" s="676"/>
      <c r="I106" s="676">
        <v>-0.44</v>
      </c>
      <c r="J106" s="676"/>
      <c r="K106" s="676"/>
      <c r="L106" s="677"/>
      <c r="M106" s="678"/>
      <c r="X106" s="656"/>
      <c r="Y106" s="657"/>
      <c r="Z106" s="657"/>
      <c r="AA106" s="481"/>
      <c r="AC106" s="456" t="s">
        <v>1763</v>
      </c>
      <c r="AD106" s="481"/>
      <c r="AF106" s="481"/>
    </row>
    <row r="107" spans="1:33" s="454" customFormat="1" ht="23.25" x14ac:dyDescent="0.25">
      <c r="A107" s="515" t="s">
        <v>863</v>
      </c>
      <c r="B107" s="686" t="s">
        <v>1765</v>
      </c>
      <c r="C107" s="2683" t="s">
        <v>1766</v>
      </c>
      <c r="D107" s="2683"/>
      <c r="E107" s="2683"/>
      <c r="F107" s="687" t="s">
        <v>1767</v>
      </c>
      <c r="G107" s="688">
        <v>0</v>
      </c>
      <c r="H107" s="688"/>
      <c r="I107" s="688">
        <v>0</v>
      </c>
      <c r="J107" s="688"/>
      <c r="K107" s="688"/>
      <c r="L107" s="689"/>
      <c r="M107" s="690"/>
      <c r="X107" s="656"/>
      <c r="Y107" s="657"/>
      <c r="Z107" s="657"/>
      <c r="AA107" s="481"/>
      <c r="AC107" s="456"/>
      <c r="AD107" s="481"/>
      <c r="AF107" s="481"/>
      <c r="AG107" s="522" t="s">
        <v>1766</v>
      </c>
    </row>
    <row r="108" spans="1:33" s="454" customFormat="1" ht="23.25" x14ac:dyDescent="0.25">
      <c r="A108" s="507"/>
      <c r="B108" s="674" t="s">
        <v>1768</v>
      </c>
      <c r="C108" s="2672" t="s">
        <v>1769</v>
      </c>
      <c r="D108" s="2672"/>
      <c r="E108" s="2672"/>
      <c r="F108" s="675" t="s">
        <v>1770</v>
      </c>
      <c r="G108" s="676">
        <v>10200</v>
      </c>
      <c r="H108" s="676"/>
      <c r="I108" s="676">
        <v>-1.02</v>
      </c>
      <c r="J108" s="676"/>
      <c r="K108" s="676"/>
      <c r="L108" s="677"/>
      <c r="M108" s="678"/>
      <c r="X108" s="656"/>
      <c r="Y108" s="657"/>
      <c r="Z108" s="657"/>
      <c r="AA108" s="481"/>
      <c r="AC108" s="456" t="s">
        <v>1769</v>
      </c>
      <c r="AD108" s="481"/>
      <c r="AF108" s="481"/>
      <c r="AG108" s="522"/>
    </row>
    <row r="109" spans="1:33" s="454" customFormat="1" ht="34.5" x14ac:dyDescent="0.25">
      <c r="A109" s="507"/>
      <c r="B109" s="674" t="s">
        <v>850</v>
      </c>
      <c r="C109" s="2672" t="s">
        <v>1771</v>
      </c>
      <c r="D109" s="2672"/>
      <c r="E109" s="2672"/>
      <c r="F109" s="675" t="s">
        <v>1772</v>
      </c>
      <c r="G109" s="676">
        <v>4455.2</v>
      </c>
      <c r="H109" s="676"/>
      <c r="I109" s="676">
        <v>-3.56</v>
      </c>
      <c r="J109" s="676"/>
      <c r="K109" s="676"/>
      <c r="L109" s="677"/>
      <c r="M109" s="678"/>
      <c r="X109" s="656"/>
      <c r="Y109" s="657"/>
      <c r="Z109" s="657"/>
      <c r="AA109" s="481"/>
      <c r="AC109" s="456" t="s">
        <v>1771</v>
      </c>
      <c r="AD109" s="481"/>
      <c r="AF109" s="481"/>
      <c r="AG109" s="522"/>
    </row>
    <row r="110" spans="1:33" s="454" customFormat="1" ht="23.25" x14ac:dyDescent="0.25">
      <c r="A110" s="515" t="s">
        <v>863</v>
      </c>
      <c r="B110" s="686" t="s">
        <v>1773</v>
      </c>
      <c r="C110" s="2683" t="s">
        <v>1774</v>
      </c>
      <c r="D110" s="2683"/>
      <c r="E110" s="2683"/>
      <c r="F110" s="687" t="s">
        <v>1775</v>
      </c>
      <c r="G110" s="688">
        <v>0</v>
      </c>
      <c r="H110" s="688"/>
      <c r="I110" s="688">
        <v>0</v>
      </c>
      <c r="J110" s="688"/>
      <c r="K110" s="688"/>
      <c r="L110" s="689"/>
      <c r="M110" s="690"/>
      <c r="X110" s="656"/>
      <c r="Y110" s="657"/>
      <c r="Z110" s="657"/>
      <c r="AA110" s="481"/>
      <c r="AC110" s="456"/>
      <c r="AD110" s="481"/>
      <c r="AF110" s="481"/>
      <c r="AG110" s="522" t="s">
        <v>1774</v>
      </c>
    </row>
    <row r="111" spans="1:33" s="454" customFormat="1" ht="45.75" x14ac:dyDescent="0.25">
      <c r="A111" s="507"/>
      <c r="B111" s="674" t="s">
        <v>1776</v>
      </c>
      <c r="C111" s="2672" t="s">
        <v>1777</v>
      </c>
      <c r="D111" s="2672"/>
      <c r="E111" s="2672"/>
      <c r="F111" s="675" t="s">
        <v>1778</v>
      </c>
      <c r="G111" s="676">
        <v>1056</v>
      </c>
      <c r="H111" s="676"/>
      <c r="I111" s="676">
        <v>-16.37</v>
      </c>
      <c r="J111" s="676"/>
      <c r="K111" s="676"/>
      <c r="L111" s="677"/>
      <c r="M111" s="678"/>
      <c r="X111" s="656"/>
      <c r="Y111" s="657"/>
      <c r="Z111" s="657"/>
      <c r="AA111" s="481"/>
      <c r="AC111" s="456" t="s">
        <v>1777</v>
      </c>
      <c r="AD111" s="481"/>
      <c r="AF111" s="481"/>
      <c r="AG111" s="522"/>
    </row>
    <row r="112" spans="1:33" s="454" customFormat="1" ht="23.25" x14ac:dyDescent="0.25">
      <c r="A112" s="507"/>
      <c r="B112" s="674" t="s">
        <v>1779</v>
      </c>
      <c r="C112" s="2672" t="s">
        <v>1780</v>
      </c>
      <c r="D112" s="2672"/>
      <c r="E112" s="2672"/>
      <c r="F112" s="675" t="s">
        <v>1781</v>
      </c>
      <c r="G112" s="676">
        <v>35.53</v>
      </c>
      <c r="H112" s="676"/>
      <c r="I112" s="676">
        <v>-47.82</v>
      </c>
      <c r="J112" s="676"/>
      <c r="K112" s="676"/>
      <c r="L112" s="677"/>
      <c r="M112" s="678"/>
      <c r="X112" s="656"/>
      <c r="Y112" s="657"/>
      <c r="Z112" s="657"/>
      <c r="AA112" s="481"/>
      <c r="AC112" s="456" t="s">
        <v>1780</v>
      </c>
      <c r="AD112" s="481"/>
      <c r="AF112" s="481"/>
      <c r="AG112" s="522"/>
    </row>
    <row r="113" spans="1:33" s="454" customFormat="1" ht="45" x14ac:dyDescent="0.25">
      <c r="A113" s="658" t="s">
        <v>652</v>
      </c>
      <c r="B113" s="659" t="s">
        <v>1647</v>
      </c>
      <c r="C113" s="2673" t="s">
        <v>1195</v>
      </c>
      <c r="D113" s="2673"/>
      <c r="E113" s="2673"/>
      <c r="F113" s="660">
        <v>-2.1320000000000001</v>
      </c>
      <c r="G113" s="661">
        <v>725.69</v>
      </c>
      <c r="H113" s="661"/>
      <c r="I113" s="661">
        <v>-1547</v>
      </c>
      <c r="J113" s="661"/>
      <c r="K113" s="662"/>
      <c r="L113" s="663">
        <v>0</v>
      </c>
      <c r="M113" s="663">
        <v>0</v>
      </c>
      <c r="X113" s="656"/>
      <c r="Y113" s="657"/>
      <c r="Z113" s="657"/>
      <c r="AA113" s="481" t="s">
        <v>1195</v>
      </c>
      <c r="AC113" s="456"/>
      <c r="AD113" s="481"/>
      <c r="AF113" s="481"/>
      <c r="AG113" s="522"/>
    </row>
    <row r="114" spans="1:33" s="454" customFormat="1" ht="15" x14ac:dyDescent="0.25">
      <c r="A114" s="664"/>
      <c r="B114" s="665"/>
      <c r="C114" s="666" t="s">
        <v>1782</v>
      </c>
      <c r="D114" s="667"/>
      <c r="E114" s="667"/>
      <c r="F114" s="667"/>
      <c r="G114" s="667"/>
      <c r="H114" s="667"/>
      <c r="I114" s="667"/>
      <c r="J114" s="667"/>
      <c r="K114" s="667"/>
      <c r="L114" s="667"/>
      <c r="M114" s="668"/>
      <c r="X114" s="656"/>
      <c r="Y114" s="657"/>
      <c r="Z114" s="657"/>
      <c r="AA114" s="481"/>
      <c r="AC114" s="456"/>
      <c r="AD114" s="481"/>
      <c r="AF114" s="481"/>
      <c r="AG114" s="522"/>
    </row>
    <row r="115" spans="1:33" s="454" customFormat="1" ht="34.5" x14ac:dyDescent="0.25">
      <c r="A115" s="658" t="s">
        <v>653</v>
      </c>
      <c r="B115" s="659" t="s">
        <v>1197</v>
      </c>
      <c r="C115" s="2673" t="s">
        <v>1198</v>
      </c>
      <c r="D115" s="2673"/>
      <c r="E115" s="2673"/>
      <c r="F115" s="680">
        <v>-2.1</v>
      </c>
      <c r="G115" s="661" t="s">
        <v>1649</v>
      </c>
      <c r="H115" s="661"/>
      <c r="I115" s="661">
        <v>-68</v>
      </c>
      <c r="J115" s="661"/>
      <c r="K115" s="662"/>
      <c r="L115" s="663">
        <v>0</v>
      </c>
      <c r="M115" s="663">
        <v>0</v>
      </c>
      <c r="X115" s="656"/>
      <c r="Y115" s="657"/>
      <c r="Z115" s="657"/>
      <c r="AA115" s="481" t="s">
        <v>1198</v>
      </c>
      <c r="AC115" s="456"/>
      <c r="AD115" s="481"/>
      <c r="AF115" s="481"/>
      <c r="AG115" s="522"/>
    </row>
    <row r="116" spans="1:33" s="454" customFormat="1" ht="15" x14ac:dyDescent="0.25">
      <c r="A116" s="542"/>
      <c r="B116" s="665"/>
      <c r="C116" s="666" t="s">
        <v>1650</v>
      </c>
      <c r="D116" s="667"/>
      <c r="E116" s="667"/>
      <c r="F116" s="667"/>
      <c r="G116" s="667"/>
      <c r="H116" s="667"/>
      <c r="I116" s="667"/>
      <c r="J116" s="667"/>
      <c r="K116" s="667"/>
      <c r="L116" s="667"/>
      <c r="M116" s="669"/>
      <c r="X116" s="656"/>
      <c r="Y116" s="657"/>
      <c r="Z116" s="657"/>
      <c r="AA116" s="481"/>
      <c r="AC116" s="456"/>
      <c r="AD116" s="481"/>
      <c r="AF116" s="481"/>
      <c r="AG116" s="522"/>
    </row>
    <row r="117" spans="1:33" s="454" customFormat="1" ht="45" x14ac:dyDescent="0.25">
      <c r="A117" s="658" t="s">
        <v>654</v>
      </c>
      <c r="B117" s="659" t="s">
        <v>1651</v>
      </c>
      <c r="C117" s="2673" t="s">
        <v>1201</v>
      </c>
      <c r="D117" s="2673"/>
      <c r="E117" s="2673"/>
      <c r="F117" s="680">
        <v>-0.3</v>
      </c>
      <c r="G117" s="661">
        <v>5584.58</v>
      </c>
      <c r="H117" s="661"/>
      <c r="I117" s="661">
        <v>-1675</v>
      </c>
      <c r="J117" s="661"/>
      <c r="K117" s="662"/>
      <c r="L117" s="663">
        <v>0</v>
      </c>
      <c r="M117" s="663">
        <v>0</v>
      </c>
      <c r="X117" s="656"/>
      <c r="Y117" s="657"/>
      <c r="Z117" s="657"/>
      <c r="AA117" s="481" t="s">
        <v>1201</v>
      </c>
      <c r="AC117" s="456"/>
      <c r="AD117" s="481"/>
      <c r="AF117" s="481"/>
      <c r="AG117" s="522"/>
    </row>
    <row r="118" spans="1:33" s="454" customFormat="1" ht="15" x14ac:dyDescent="0.25">
      <c r="A118" s="2680" t="s">
        <v>1202</v>
      </c>
      <c r="B118" s="2681"/>
      <c r="C118" s="2681"/>
      <c r="D118" s="2681"/>
      <c r="E118" s="2681"/>
      <c r="F118" s="2681"/>
      <c r="G118" s="2681"/>
      <c r="H118" s="2681"/>
      <c r="I118" s="2681"/>
      <c r="J118" s="2681"/>
      <c r="K118" s="2681"/>
      <c r="L118" s="2681"/>
      <c r="M118" s="2682"/>
      <c r="X118" s="656"/>
      <c r="Y118" s="657"/>
      <c r="Z118" s="657" t="s">
        <v>1202</v>
      </c>
      <c r="AA118" s="481"/>
      <c r="AC118" s="456"/>
      <c r="AD118" s="481"/>
      <c r="AF118" s="481"/>
      <c r="AG118" s="522"/>
    </row>
    <row r="119" spans="1:33" s="454" customFormat="1" ht="45" x14ac:dyDescent="0.25">
      <c r="A119" s="658" t="s">
        <v>655</v>
      </c>
      <c r="B119" s="659" t="s">
        <v>1783</v>
      </c>
      <c r="C119" s="2673" t="s">
        <v>1784</v>
      </c>
      <c r="D119" s="2673"/>
      <c r="E119" s="2673"/>
      <c r="F119" s="660">
        <v>-0.68799999999999994</v>
      </c>
      <c r="G119" s="661" t="s">
        <v>1785</v>
      </c>
      <c r="H119" s="661" t="s">
        <v>1207</v>
      </c>
      <c r="I119" s="661">
        <v>-566</v>
      </c>
      <c r="J119" s="661">
        <v>-222</v>
      </c>
      <c r="K119" s="662" t="s">
        <v>1786</v>
      </c>
      <c r="L119" s="691">
        <v>31.1355</v>
      </c>
      <c r="M119" s="672">
        <v>-21.42</v>
      </c>
      <c r="X119" s="656"/>
      <c r="Y119" s="657"/>
      <c r="Z119" s="657"/>
      <c r="AA119" s="481" t="s">
        <v>1784</v>
      </c>
      <c r="AC119" s="456"/>
      <c r="AD119" s="481"/>
      <c r="AF119" s="481"/>
      <c r="AG119" s="522"/>
    </row>
    <row r="120" spans="1:33" s="454" customFormat="1" ht="15" x14ac:dyDescent="0.25">
      <c r="A120" s="664"/>
      <c r="B120" s="665"/>
      <c r="C120" s="666" t="s">
        <v>1787</v>
      </c>
      <c r="D120" s="667"/>
      <c r="E120" s="667"/>
      <c r="F120" s="667"/>
      <c r="G120" s="667"/>
      <c r="H120" s="667"/>
      <c r="I120" s="667"/>
      <c r="J120" s="667"/>
      <c r="K120" s="667"/>
      <c r="L120" s="667"/>
      <c r="M120" s="668"/>
      <c r="X120" s="656"/>
      <c r="Y120" s="657"/>
      <c r="Z120" s="657"/>
      <c r="AA120" s="481"/>
      <c r="AC120" s="456"/>
      <c r="AD120" s="481"/>
      <c r="AF120" s="481"/>
      <c r="AG120" s="522"/>
    </row>
    <row r="121" spans="1:33" s="454" customFormat="1" ht="15" x14ac:dyDescent="0.25">
      <c r="A121" s="542"/>
      <c r="B121" s="673" t="s">
        <v>1788</v>
      </c>
      <c r="C121" s="2670" t="s">
        <v>1789</v>
      </c>
      <c r="D121" s="2670"/>
      <c r="E121" s="2670"/>
      <c r="F121" s="2670"/>
      <c r="G121" s="2670"/>
      <c r="H121" s="2670"/>
      <c r="I121" s="2670"/>
      <c r="J121" s="2670"/>
      <c r="K121" s="2670"/>
      <c r="L121" s="2670"/>
      <c r="M121" s="2671"/>
      <c r="X121" s="656"/>
      <c r="Y121" s="657"/>
      <c r="Z121" s="657"/>
      <c r="AA121" s="481"/>
      <c r="AB121" s="491" t="s">
        <v>1789</v>
      </c>
      <c r="AC121" s="456"/>
      <c r="AD121" s="481"/>
      <c r="AF121" s="481"/>
      <c r="AG121" s="522"/>
    </row>
    <row r="122" spans="1:33" s="454" customFormat="1" ht="33.75" x14ac:dyDescent="0.25">
      <c r="A122" s="542"/>
      <c r="B122" s="673" t="s">
        <v>1655</v>
      </c>
      <c r="C122" s="2670" t="s">
        <v>1656</v>
      </c>
      <c r="D122" s="2670"/>
      <c r="E122" s="2670"/>
      <c r="F122" s="2670"/>
      <c r="G122" s="2670"/>
      <c r="H122" s="2670"/>
      <c r="I122" s="2670"/>
      <c r="J122" s="2670"/>
      <c r="K122" s="2670"/>
      <c r="L122" s="2670"/>
      <c r="M122" s="2671"/>
      <c r="X122" s="656"/>
      <c r="Y122" s="657"/>
      <c r="Z122" s="657"/>
      <c r="AA122" s="481"/>
      <c r="AB122" s="491" t="s">
        <v>1656</v>
      </c>
      <c r="AC122" s="456"/>
      <c r="AD122" s="481"/>
      <c r="AF122" s="481"/>
      <c r="AG122" s="522"/>
    </row>
    <row r="123" spans="1:33" s="454" customFormat="1" ht="23.25" x14ac:dyDescent="0.25">
      <c r="A123" s="507"/>
      <c r="B123" s="674" t="s">
        <v>1790</v>
      </c>
      <c r="C123" s="2672" t="s">
        <v>1791</v>
      </c>
      <c r="D123" s="2672"/>
      <c r="E123" s="2672"/>
      <c r="F123" s="675" t="s">
        <v>1792</v>
      </c>
      <c r="G123" s="676" t="s">
        <v>1793</v>
      </c>
      <c r="H123" s="676"/>
      <c r="I123" s="676">
        <v>-221.7</v>
      </c>
      <c r="J123" s="676">
        <v>-221.7</v>
      </c>
      <c r="K123" s="676"/>
      <c r="L123" s="677"/>
      <c r="M123" s="678"/>
      <c r="X123" s="656"/>
      <c r="Y123" s="657"/>
      <c r="Z123" s="657"/>
      <c r="AA123" s="481"/>
      <c r="AC123" s="456" t="s">
        <v>1791</v>
      </c>
      <c r="AD123" s="481"/>
      <c r="AF123" s="481"/>
      <c r="AG123" s="522"/>
    </row>
    <row r="124" spans="1:33" s="454" customFormat="1" ht="23.25" x14ac:dyDescent="0.25">
      <c r="A124" s="507"/>
      <c r="B124" s="674" t="s">
        <v>639</v>
      </c>
      <c r="C124" s="2672" t="s">
        <v>1661</v>
      </c>
      <c r="D124" s="2672"/>
      <c r="E124" s="2672"/>
      <c r="F124" s="675" t="s">
        <v>1794</v>
      </c>
      <c r="G124" s="676">
        <v>0</v>
      </c>
      <c r="H124" s="676">
        <v>0</v>
      </c>
      <c r="I124" s="676">
        <v>0</v>
      </c>
      <c r="J124" s="676"/>
      <c r="K124" s="676">
        <v>0</v>
      </c>
      <c r="L124" s="677"/>
      <c r="M124" s="678"/>
      <c r="X124" s="656"/>
      <c r="Y124" s="657"/>
      <c r="Z124" s="657"/>
      <c r="AA124" s="481"/>
      <c r="AC124" s="456" t="s">
        <v>1661</v>
      </c>
      <c r="AD124" s="481"/>
      <c r="AF124" s="481"/>
      <c r="AG124" s="522"/>
    </row>
    <row r="125" spans="1:33" s="454" customFormat="1" ht="34.5" x14ac:dyDescent="0.25">
      <c r="A125" s="507"/>
      <c r="B125" s="674" t="s">
        <v>1663</v>
      </c>
      <c r="C125" s="2672" t="s">
        <v>1664</v>
      </c>
      <c r="D125" s="2672"/>
      <c r="E125" s="2672"/>
      <c r="F125" s="675" t="s">
        <v>1795</v>
      </c>
      <c r="G125" s="676">
        <v>111.99</v>
      </c>
      <c r="H125" s="676" t="s">
        <v>1666</v>
      </c>
      <c r="I125" s="676">
        <v>-15.68</v>
      </c>
      <c r="J125" s="676"/>
      <c r="K125" s="676" t="s">
        <v>1796</v>
      </c>
      <c r="L125" s="677"/>
      <c r="M125" s="678"/>
      <c r="X125" s="656"/>
      <c r="Y125" s="657"/>
      <c r="Z125" s="657"/>
      <c r="AA125" s="481"/>
      <c r="AC125" s="456" t="s">
        <v>1664</v>
      </c>
      <c r="AD125" s="481"/>
      <c r="AF125" s="481"/>
      <c r="AG125" s="522"/>
    </row>
    <row r="126" spans="1:33" s="454" customFormat="1" ht="34.5" x14ac:dyDescent="0.25">
      <c r="A126" s="507"/>
      <c r="B126" s="674" t="s">
        <v>1797</v>
      </c>
      <c r="C126" s="2672" t="s">
        <v>1798</v>
      </c>
      <c r="D126" s="2672"/>
      <c r="E126" s="2672"/>
      <c r="F126" s="675" t="s">
        <v>1799</v>
      </c>
      <c r="G126" s="676">
        <v>120.04</v>
      </c>
      <c r="H126" s="676" t="s">
        <v>1800</v>
      </c>
      <c r="I126" s="676">
        <v>-138.05000000000001</v>
      </c>
      <c r="J126" s="676"/>
      <c r="K126" s="676" t="s">
        <v>1801</v>
      </c>
      <c r="L126" s="677"/>
      <c r="M126" s="678"/>
      <c r="X126" s="656"/>
      <c r="Y126" s="657"/>
      <c r="Z126" s="657"/>
      <c r="AA126" s="481"/>
      <c r="AC126" s="456" t="s">
        <v>1798</v>
      </c>
      <c r="AD126" s="481"/>
      <c r="AF126" s="481"/>
      <c r="AG126" s="522"/>
    </row>
    <row r="127" spans="1:33" s="454" customFormat="1" ht="34.5" x14ac:dyDescent="0.25">
      <c r="A127" s="507"/>
      <c r="B127" s="674" t="s">
        <v>819</v>
      </c>
      <c r="C127" s="2672" t="s">
        <v>1802</v>
      </c>
      <c r="D127" s="2672"/>
      <c r="E127" s="2672"/>
      <c r="F127" s="675" t="s">
        <v>1803</v>
      </c>
      <c r="G127" s="676">
        <v>0.9</v>
      </c>
      <c r="H127" s="676" t="s">
        <v>1804</v>
      </c>
      <c r="I127" s="676">
        <v>-0.05</v>
      </c>
      <c r="J127" s="676"/>
      <c r="K127" s="676" t="s">
        <v>1805</v>
      </c>
      <c r="L127" s="677"/>
      <c r="M127" s="678"/>
      <c r="X127" s="656"/>
      <c r="Y127" s="657"/>
      <c r="Z127" s="657"/>
      <c r="AA127" s="481"/>
      <c r="AC127" s="456" t="s">
        <v>1802</v>
      </c>
      <c r="AD127" s="481"/>
      <c r="AF127" s="481"/>
      <c r="AG127" s="522"/>
    </row>
    <row r="128" spans="1:33" s="454" customFormat="1" ht="34.5" x14ac:dyDescent="0.25">
      <c r="A128" s="507"/>
      <c r="B128" s="674" t="s">
        <v>821</v>
      </c>
      <c r="C128" s="2672" t="s">
        <v>1751</v>
      </c>
      <c r="D128" s="2672"/>
      <c r="E128" s="2672"/>
      <c r="F128" s="675" t="s">
        <v>1806</v>
      </c>
      <c r="G128" s="676">
        <v>65.709999999999994</v>
      </c>
      <c r="H128" s="676" t="s">
        <v>1753</v>
      </c>
      <c r="I128" s="676">
        <v>-13.14</v>
      </c>
      <c r="J128" s="676"/>
      <c r="K128" s="676" t="s">
        <v>1807</v>
      </c>
      <c r="L128" s="677"/>
      <c r="M128" s="678"/>
      <c r="X128" s="656"/>
      <c r="Y128" s="657"/>
      <c r="Z128" s="657"/>
      <c r="AA128" s="481"/>
      <c r="AC128" s="456" t="s">
        <v>1751</v>
      </c>
      <c r="AD128" s="481"/>
      <c r="AF128" s="481"/>
      <c r="AG128" s="522"/>
    </row>
    <row r="129" spans="1:33" s="454" customFormat="1" ht="23.25" x14ac:dyDescent="0.25">
      <c r="A129" s="507"/>
      <c r="B129" s="674" t="s">
        <v>825</v>
      </c>
      <c r="C129" s="2672" t="s">
        <v>1808</v>
      </c>
      <c r="D129" s="2672"/>
      <c r="E129" s="2672"/>
      <c r="F129" s="675" t="s">
        <v>1809</v>
      </c>
      <c r="G129" s="676">
        <v>1.2</v>
      </c>
      <c r="H129" s="676" t="s">
        <v>1810</v>
      </c>
      <c r="I129" s="676">
        <v>-1.85</v>
      </c>
      <c r="J129" s="676"/>
      <c r="K129" s="676" t="s">
        <v>1811</v>
      </c>
      <c r="L129" s="677"/>
      <c r="M129" s="678"/>
      <c r="X129" s="656"/>
      <c r="Y129" s="657"/>
      <c r="Z129" s="657"/>
      <c r="AA129" s="481"/>
      <c r="AC129" s="456" t="s">
        <v>1808</v>
      </c>
      <c r="AD129" s="481"/>
      <c r="AF129" s="481"/>
      <c r="AG129" s="522"/>
    </row>
    <row r="130" spans="1:33" s="454" customFormat="1" ht="34.5" x14ac:dyDescent="0.25">
      <c r="A130" s="507"/>
      <c r="B130" s="674" t="s">
        <v>827</v>
      </c>
      <c r="C130" s="2672" t="s">
        <v>1812</v>
      </c>
      <c r="D130" s="2672"/>
      <c r="E130" s="2672"/>
      <c r="F130" s="675" t="s">
        <v>1813</v>
      </c>
      <c r="G130" s="676">
        <v>12.31</v>
      </c>
      <c r="H130" s="676" t="s">
        <v>1814</v>
      </c>
      <c r="I130" s="676">
        <v>-10.96</v>
      </c>
      <c r="J130" s="676"/>
      <c r="K130" s="676" t="s">
        <v>1815</v>
      </c>
      <c r="L130" s="677"/>
      <c r="M130" s="678"/>
      <c r="X130" s="656"/>
      <c r="Y130" s="657"/>
      <c r="Z130" s="657"/>
      <c r="AA130" s="481"/>
      <c r="AC130" s="456" t="s">
        <v>1812</v>
      </c>
      <c r="AD130" s="481"/>
      <c r="AF130" s="481"/>
      <c r="AG130" s="522"/>
    </row>
    <row r="131" spans="1:33" s="454" customFormat="1" ht="23.25" x14ac:dyDescent="0.25">
      <c r="A131" s="507"/>
      <c r="B131" s="674" t="s">
        <v>830</v>
      </c>
      <c r="C131" s="2672" t="s">
        <v>1816</v>
      </c>
      <c r="D131" s="2672"/>
      <c r="E131" s="2672"/>
      <c r="F131" s="675" t="s">
        <v>1817</v>
      </c>
      <c r="G131" s="676">
        <v>6.22</v>
      </c>
      <c r="H131" s="676"/>
      <c r="I131" s="676">
        <v>-8.35</v>
      </c>
      <c r="J131" s="676"/>
      <c r="K131" s="676"/>
      <c r="L131" s="677"/>
      <c r="M131" s="678"/>
      <c r="X131" s="656"/>
      <c r="Y131" s="657"/>
      <c r="Z131" s="657"/>
      <c r="AA131" s="481"/>
      <c r="AC131" s="456" t="s">
        <v>1816</v>
      </c>
      <c r="AD131" s="481"/>
      <c r="AF131" s="481"/>
      <c r="AG131" s="522"/>
    </row>
    <row r="132" spans="1:33" s="454" customFormat="1" ht="23.25" x14ac:dyDescent="0.25">
      <c r="A132" s="507"/>
      <c r="B132" s="674" t="s">
        <v>833</v>
      </c>
      <c r="C132" s="2672" t="s">
        <v>1818</v>
      </c>
      <c r="D132" s="2672"/>
      <c r="E132" s="2672"/>
      <c r="F132" s="675" t="s">
        <v>1819</v>
      </c>
      <c r="G132" s="676">
        <v>6.09</v>
      </c>
      <c r="H132" s="676"/>
      <c r="I132" s="676">
        <v>-2.4700000000000002</v>
      </c>
      <c r="J132" s="676"/>
      <c r="K132" s="676"/>
      <c r="L132" s="677"/>
      <c r="M132" s="678"/>
      <c r="X132" s="656"/>
      <c r="Y132" s="657"/>
      <c r="Z132" s="657"/>
      <c r="AA132" s="481"/>
      <c r="AC132" s="456" t="s">
        <v>1818</v>
      </c>
      <c r="AD132" s="481"/>
      <c r="AF132" s="481"/>
      <c r="AG132" s="522"/>
    </row>
    <row r="133" spans="1:33" s="454" customFormat="1" ht="23.25" x14ac:dyDescent="0.25">
      <c r="A133" s="507"/>
      <c r="B133" s="674" t="s">
        <v>1820</v>
      </c>
      <c r="C133" s="2672" t="s">
        <v>1821</v>
      </c>
      <c r="D133" s="2672"/>
      <c r="E133" s="2672"/>
      <c r="F133" s="675" t="s">
        <v>1822</v>
      </c>
      <c r="G133" s="676">
        <v>10749</v>
      </c>
      <c r="H133" s="676"/>
      <c r="I133" s="676">
        <v>-7.52</v>
      </c>
      <c r="J133" s="676"/>
      <c r="K133" s="676"/>
      <c r="L133" s="677"/>
      <c r="M133" s="678"/>
      <c r="X133" s="656"/>
      <c r="Y133" s="657"/>
      <c r="Z133" s="657"/>
      <c r="AA133" s="481"/>
      <c r="AC133" s="456" t="s">
        <v>1821</v>
      </c>
      <c r="AD133" s="481"/>
      <c r="AF133" s="481"/>
      <c r="AG133" s="522"/>
    </row>
    <row r="134" spans="1:33" s="454" customFormat="1" ht="23.25" x14ac:dyDescent="0.25">
      <c r="A134" s="507"/>
      <c r="B134" s="674" t="s">
        <v>1823</v>
      </c>
      <c r="C134" s="2672" t="s">
        <v>1824</v>
      </c>
      <c r="D134" s="2672"/>
      <c r="E134" s="2672"/>
      <c r="F134" s="675" t="s">
        <v>1825</v>
      </c>
      <c r="G134" s="676">
        <v>9040.01</v>
      </c>
      <c r="H134" s="676"/>
      <c r="I134" s="676">
        <v>-13.56</v>
      </c>
      <c r="J134" s="676"/>
      <c r="K134" s="676"/>
      <c r="L134" s="677"/>
      <c r="M134" s="678"/>
      <c r="X134" s="656"/>
      <c r="Y134" s="657"/>
      <c r="Z134" s="657"/>
      <c r="AA134" s="481"/>
      <c r="AC134" s="456" t="s">
        <v>1824</v>
      </c>
      <c r="AD134" s="481"/>
      <c r="AF134" s="481"/>
      <c r="AG134" s="522"/>
    </row>
    <row r="135" spans="1:33" s="454" customFormat="1" ht="23.25" x14ac:dyDescent="0.25">
      <c r="A135" s="507"/>
      <c r="B135" s="674" t="s">
        <v>841</v>
      </c>
      <c r="C135" s="2672" t="s">
        <v>1760</v>
      </c>
      <c r="D135" s="2672"/>
      <c r="E135" s="2672"/>
      <c r="F135" s="675" t="s">
        <v>1826</v>
      </c>
      <c r="G135" s="676">
        <v>11978</v>
      </c>
      <c r="H135" s="676"/>
      <c r="I135" s="676">
        <v>0</v>
      </c>
      <c r="J135" s="676"/>
      <c r="K135" s="676"/>
      <c r="L135" s="677"/>
      <c r="M135" s="678"/>
      <c r="X135" s="656"/>
      <c r="Y135" s="657"/>
      <c r="Z135" s="657"/>
      <c r="AA135" s="481"/>
      <c r="AC135" s="456" t="s">
        <v>1760</v>
      </c>
      <c r="AD135" s="481"/>
      <c r="AF135" s="481"/>
      <c r="AG135" s="522"/>
    </row>
    <row r="136" spans="1:33" s="454" customFormat="1" ht="23.25" x14ac:dyDescent="0.25">
      <c r="A136" s="507"/>
      <c r="B136" s="674" t="s">
        <v>843</v>
      </c>
      <c r="C136" s="2672" t="s">
        <v>1827</v>
      </c>
      <c r="D136" s="2672"/>
      <c r="E136" s="2672"/>
      <c r="F136" s="675" t="s">
        <v>1828</v>
      </c>
      <c r="G136" s="676">
        <v>37900</v>
      </c>
      <c r="H136" s="676"/>
      <c r="I136" s="676">
        <v>-3.79</v>
      </c>
      <c r="J136" s="676"/>
      <c r="K136" s="676"/>
      <c r="L136" s="677"/>
      <c r="M136" s="678"/>
      <c r="X136" s="656"/>
      <c r="Y136" s="657"/>
      <c r="Z136" s="657"/>
      <c r="AA136" s="481"/>
      <c r="AC136" s="456" t="s">
        <v>1827</v>
      </c>
      <c r="AD136" s="481"/>
      <c r="AF136" s="481"/>
      <c r="AG136" s="522"/>
    </row>
    <row r="137" spans="1:33" s="454" customFormat="1" ht="57" x14ac:dyDescent="0.25">
      <c r="A137" s="507"/>
      <c r="B137" s="674" t="s">
        <v>1829</v>
      </c>
      <c r="C137" s="2672" t="s">
        <v>1830</v>
      </c>
      <c r="D137" s="2672"/>
      <c r="E137" s="2672"/>
      <c r="F137" s="675" t="s">
        <v>1831</v>
      </c>
      <c r="G137" s="676">
        <v>7712</v>
      </c>
      <c r="H137" s="676"/>
      <c r="I137" s="676">
        <v>-23.91</v>
      </c>
      <c r="J137" s="676"/>
      <c r="K137" s="676"/>
      <c r="L137" s="677"/>
      <c r="M137" s="678"/>
      <c r="X137" s="656"/>
      <c r="Y137" s="657"/>
      <c r="Z137" s="657"/>
      <c r="AA137" s="481"/>
      <c r="AC137" s="456" t="s">
        <v>1830</v>
      </c>
      <c r="AD137" s="481"/>
      <c r="AF137" s="481"/>
      <c r="AG137" s="522"/>
    </row>
    <row r="138" spans="1:33" s="454" customFormat="1" ht="23.25" x14ac:dyDescent="0.25">
      <c r="A138" s="515" t="s">
        <v>863</v>
      </c>
      <c r="B138" s="686" t="s">
        <v>1832</v>
      </c>
      <c r="C138" s="2683" t="s">
        <v>1833</v>
      </c>
      <c r="D138" s="2683"/>
      <c r="E138" s="2683"/>
      <c r="F138" s="687" t="s">
        <v>1834</v>
      </c>
      <c r="G138" s="688">
        <v>0</v>
      </c>
      <c r="H138" s="688"/>
      <c r="I138" s="688">
        <v>0</v>
      </c>
      <c r="J138" s="688"/>
      <c r="K138" s="688"/>
      <c r="L138" s="689"/>
      <c r="M138" s="690"/>
      <c r="X138" s="656"/>
      <c r="Y138" s="657"/>
      <c r="Z138" s="657"/>
      <c r="AA138" s="481"/>
      <c r="AC138" s="456"/>
      <c r="AD138" s="481"/>
      <c r="AF138" s="481"/>
      <c r="AG138" s="522" t="s">
        <v>1833</v>
      </c>
    </row>
    <row r="139" spans="1:33" s="454" customFormat="1" ht="68.25" x14ac:dyDescent="0.25">
      <c r="A139" s="507"/>
      <c r="B139" s="674" t="s">
        <v>847</v>
      </c>
      <c r="C139" s="2672" t="s">
        <v>1835</v>
      </c>
      <c r="D139" s="2672"/>
      <c r="E139" s="2672"/>
      <c r="F139" s="675" t="s">
        <v>1836</v>
      </c>
      <c r="G139" s="676">
        <v>50.24</v>
      </c>
      <c r="H139" s="676"/>
      <c r="I139" s="676">
        <v>-0.65</v>
      </c>
      <c r="J139" s="676"/>
      <c r="K139" s="676"/>
      <c r="L139" s="677"/>
      <c r="M139" s="678"/>
      <c r="X139" s="656"/>
      <c r="Y139" s="657"/>
      <c r="Z139" s="657"/>
      <c r="AA139" s="481"/>
      <c r="AC139" s="456" t="s">
        <v>1835</v>
      </c>
      <c r="AD139" s="481"/>
      <c r="AF139" s="481"/>
      <c r="AG139" s="522"/>
    </row>
    <row r="140" spans="1:33" s="454" customFormat="1" ht="34.5" x14ac:dyDescent="0.25">
      <c r="A140" s="507"/>
      <c r="B140" s="674" t="s">
        <v>850</v>
      </c>
      <c r="C140" s="2672" t="s">
        <v>1771</v>
      </c>
      <c r="D140" s="2672"/>
      <c r="E140" s="2672"/>
      <c r="F140" s="675" t="s">
        <v>1837</v>
      </c>
      <c r="G140" s="676">
        <v>4455.2</v>
      </c>
      <c r="H140" s="676"/>
      <c r="I140" s="676">
        <v>0</v>
      </c>
      <c r="J140" s="676"/>
      <c r="K140" s="676"/>
      <c r="L140" s="677"/>
      <c r="M140" s="678"/>
      <c r="X140" s="656"/>
      <c r="Y140" s="657"/>
      <c r="Z140" s="657"/>
      <c r="AA140" s="481"/>
      <c r="AC140" s="456" t="s">
        <v>1771</v>
      </c>
      <c r="AD140" s="481"/>
      <c r="AF140" s="481"/>
      <c r="AG140" s="522"/>
    </row>
    <row r="141" spans="1:33" s="454" customFormat="1" ht="23.25" x14ac:dyDescent="0.25">
      <c r="A141" s="507"/>
      <c r="B141" s="674" t="s">
        <v>1838</v>
      </c>
      <c r="C141" s="2672" t="s">
        <v>1839</v>
      </c>
      <c r="D141" s="2672"/>
      <c r="E141" s="2672"/>
      <c r="F141" s="675" t="s">
        <v>1840</v>
      </c>
      <c r="G141" s="676">
        <v>4920</v>
      </c>
      <c r="H141" s="676"/>
      <c r="I141" s="676">
        <v>-6.4</v>
      </c>
      <c r="J141" s="676"/>
      <c r="K141" s="676"/>
      <c r="L141" s="677"/>
      <c r="M141" s="678"/>
      <c r="X141" s="656"/>
      <c r="Y141" s="657"/>
      <c r="Z141" s="657"/>
      <c r="AA141" s="481"/>
      <c r="AC141" s="456" t="s">
        <v>1839</v>
      </c>
      <c r="AD141" s="481"/>
      <c r="AF141" s="481"/>
      <c r="AG141" s="522"/>
    </row>
    <row r="142" spans="1:33" s="454" customFormat="1" ht="45.75" x14ac:dyDescent="0.25">
      <c r="A142" s="507"/>
      <c r="B142" s="674" t="s">
        <v>1841</v>
      </c>
      <c r="C142" s="2672" t="s">
        <v>1842</v>
      </c>
      <c r="D142" s="2672"/>
      <c r="E142" s="2672"/>
      <c r="F142" s="675" t="s">
        <v>1843</v>
      </c>
      <c r="G142" s="676">
        <v>1700</v>
      </c>
      <c r="H142" s="676"/>
      <c r="I142" s="676">
        <v>-1.19</v>
      </c>
      <c r="J142" s="676"/>
      <c r="K142" s="676"/>
      <c r="L142" s="677"/>
      <c r="M142" s="678"/>
      <c r="X142" s="656"/>
      <c r="Y142" s="657"/>
      <c r="Z142" s="657"/>
      <c r="AA142" s="481"/>
      <c r="AC142" s="456" t="s">
        <v>1842</v>
      </c>
      <c r="AD142" s="481"/>
      <c r="AF142" s="481"/>
      <c r="AG142" s="522"/>
    </row>
    <row r="143" spans="1:33" s="454" customFormat="1" ht="23.25" x14ac:dyDescent="0.25">
      <c r="A143" s="507"/>
      <c r="B143" s="674" t="s">
        <v>856</v>
      </c>
      <c r="C143" s="2672" t="s">
        <v>1844</v>
      </c>
      <c r="D143" s="2672"/>
      <c r="E143" s="2672"/>
      <c r="F143" s="675" t="s">
        <v>1845</v>
      </c>
      <c r="G143" s="676">
        <v>15620</v>
      </c>
      <c r="H143" s="676"/>
      <c r="I143" s="676">
        <v>-3.12</v>
      </c>
      <c r="J143" s="676"/>
      <c r="K143" s="676"/>
      <c r="L143" s="677"/>
      <c r="M143" s="678"/>
      <c r="X143" s="656"/>
      <c r="Y143" s="657"/>
      <c r="Z143" s="657"/>
      <c r="AA143" s="481"/>
      <c r="AC143" s="456" t="s">
        <v>1844</v>
      </c>
      <c r="AD143" s="481"/>
      <c r="AF143" s="481"/>
      <c r="AG143" s="522"/>
    </row>
    <row r="144" spans="1:33" s="454" customFormat="1" ht="23.25" x14ac:dyDescent="0.25">
      <c r="A144" s="507"/>
      <c r="B144" s="674" t="s">
        <v>1846</v>
      </c>
      <c r="C144" s="2672" t="s">
        <v>1847</v>
      </c>
      <c r="D144" s="2672"/>
      <c r="E144" s="2672"/>
      <c r="F144" s="675" t="s">
        <v>1848</v>
      </c>
      <c r="G144" s="676">
        <v>9420</v>
      </c>
      <c r="H144" s="676"/>
      <c r="I144" s="676">
        <v>-3.77</v>
      </c>
      <c r="J144" s="676"/>
      <c r="K144" s="676"/>
      <c r="L144" s="677"/>
      <c r="M144" s="678"/>
      <c r="X144" s="656"/>
      <c r="Y144" s="657"/>
      <c r="Z144" s="657"/>
      <c r="AA144" s="481"/>
      <c r="AC144" s="456" t="s">
        <v>1847</v>
      </c>
      <c r="AD144" s="481"/>
      <c r="AF144" s="481"/>
      <c r="AG144" s="522"/>
    </row>
    <row r="145" spans="1:33" s="454" customFormat="1" ht="45" x14ac:dyDescent="0.25">
      <c r="A145" s="658" t="s">
        <v>656</v>
      </c>
      <c r="B145" s="659" t="s">
        <v>1783</v>
      </c>
      <c r="C145" s="2673" t="s">
        <v>1849</v>
      </c>
      <c r="D145" s="2673"/>
      <c r="E145" s="2673"/>
      <c r="F145" s="679">
        <v>-0.96</v>
      </c>
      <c r="G145" s="661" t="s">
        <v>1785</v>
      </c>
      <c r="H145" s="661" t="s">
        <v>1207</v>
      </c>
      <c r="I145" s="661">
        <v>-790</v>
      </c>
      <c r="J145" s="661">
        <v>-309</v>
      </c>
      <c r="K145" s="662" t="s">
        <v>1850</v>
      </c>
      <c r="L145" s="691">
        <v>31.1355</v>
      </c>
      <c r="M145" s="672">
        <v>-29.89</v>
      </c>
      <c r="X145" s="656"/>
      <c r="Y145" s="657"/>
      <c r="Z145" s="657"/>
      <c r="AA145" s="481" t="s">
        <v>1849</v>
      </c>
      <c r="AC145" s="456"/>
      <c r="AD145" s="481"/>
      <c r="AF145" s="481"/>
      <c r="AG145" s="522"/>
    </row>
    <row r="146" spans="1:33" s="454" customFormat="1" ht="15" x14ac:dyDescent="0.25">
      <c r="A146" s="664"/>
      <c r="B146" s="665"/>
      <c r="C146" s="666" t="s">
        <v>1851</v>
      </c>
      <c r="D146" s="667"/>
      <c r="E146" s="667"/>
      <c r="F146" s="667"/>
      <c r="G146" s="667"/>
      <c r="H146" s="667"/>
      <c r="I146" s="667"/>
      <c r="J146" s="667"/>
      <c r="K146" s="667"/>
      <c r="L146" s="667"/>
      <c r="M146" s="668"/>
      <c r="X146" s="656"/>
      <c r="Y146" s="657"/>
      <c r="Z146" s="657"/>
      <c r="AA146" s="481"/>
      <c r="AC146" s="456"/>
      <c r="AD146" s="481"/>
      <c r="AF146" s="481"/>
      <c r="AG146" s="522"/>
    </row>
    <row r="147" spans="1:33" s="454" customFormat="1" ht="15" x14ac:dyDescent="0.25">
      <c r="A147" s="542"/>
      <c r="B147" s="673" t="s">
        <v>1788</v>
      </c>
      <c r="C147" s="2670" t="s">
        <v>1789</v>
      </c>
      <c r="D147" s="2670"/>
      <c r="E147" s="2670"/>
      <c r="F147" s="2670"/>
      <c r="G147" s="2670"/>
      <c r="H147" s="2670"/>
      <c r="I147" s="2670"/>
      <c r="J147" s="2670"/>
      <c r="K147" s="2670"/>
      <c r="L147" s="2670"/>
      <c r="M147" s="2671"/>
      <c r="X147" s="656"/>
      <c r="Y147" s="657"/>
      <c r="Z147" s="657"/>
      <c r="AA147" s="481"/>
      <c r="AB147" s="491" t="s">
        <v>1789</v>
      </c>
      <c r="AC147" s="456"/>
      <c r="AD147" s="481"/>
      <c r="AF147" s="481"/>
      <c r="AG147" s="522"/>
    </row>
    <row r="148" spans="1:33" s="454" customFormat="1" ht="33.75" x14ac:dyDescent="0.25">
      <c r="A148" s="542"/>
      <c r="B148" s="673" t="s">
        <v>1655</v>
      </c>
      <c r="C148" s="2670" t="s">
        <v>1656</v>
      </c>
      <c r="D148" s="2670"/>
      <c r="E148" s="2670"/>
      <c r="F148" s="2670"/>
      <c r="G148" s="2670"/>
      <c r="H148" s="2670"/>
      <c r="I148" s="2670"/>
      <c r="J148" s="2670"/>
      <c r="K148" s="2670"/>
      <c r="L148" s="2670"/>
      <c r="M148" s="2671"/>
      <c r="X148" s="656"/>
      <c r="Y148" s="657"/>
      <c r="Z148" s="657"/>
      <c r="AA148" s="481"/>
      <c r="AB148" s="491" t="s">
        <v>1656</v>
      </c>
      <c r="AC148" s="456"/>
      <c r="AD148" s="481"/>
      <c r="AF148" s="481"/>
      <c r="AG148" s="522"/>
    </row>
    <row r="149" spans="1:33" s="454" customFormat="1" ht="23.25" x14ac:dyDescent="0.25">
      <c r="A149" s="507"/>
      <c r="B149" s="674" t="s">
        <v>1790</v>
      </c>
      <c r="C149" s="2672" t="s">
        <v>1791</v>
      </c>
      <c r="D149" s="2672"/>
      <c r="E149" s="2672"/>
      <c r="F149" s="675" t="s">
        <v>1852</v>
      </c>
      <c r="G149" s="676" t="s">
        <v>1793</v>
      </c>
      <c r="H149" s="676"/>
      <c r="I149" s="676">
        <v>-309.36</v>
      </c>
      <c r="J149" s="676">
        <v>-309.36</v>
      </c>
      <c r="K149" s="676"/>
      <c r="L149" s="677"/>
      <c r="M149" s="678"/>
      <c r="X149" s="656"/>
      <c r="Y149" s="657"/>
      <c r="Z149" s="657"/>
      <c r="AA149" s="481"/>
      <c r="AC149" s="456" t="s">
        <v>1791</v>
      </c>
      <c r="AD149" s="481"/>
      <c r="AF149" s="481"/>
      <c r="AG149" s="522"/>
    </row>
    <row r="150" spans="1:33" s="454" customFormat="1" ht="23.25" x14ac:dyDescent="0.25">
      <c r="A150" s="507"/>
      <c r="B150" s="674" t="s">
        <v>639</v>
      </c>
      <c r="C150" s="2672" t="s">
        <v>1661</v>
      </c>
      <c r="D150" s="2672"/>
      <c r="E150" s="2672"/>
      <c r="F150" s="675" t="s">
        <v>1853</v>
      </c>
      <c r="G150" s="676">
        <v>0</v>
      </c>
      <c r="H150" s="676">
        <v>0</v>
      </c>
      <c r="I150" s="676">
        <v>0</v>
      </c>
      <c r="J150" s="676"/>
      <c r="K150" s="676">
        <v>0</v>
      </c>
      <c r="L150" s="677"/>
      <c r="M150" s="678"/>
      <c r="X150" s="656"/>
      <c r="Y150" s="657"/>
      <c r="Z150" s="657"/>
      <c r="AA150" s="481"/>
      <c r="AC150" s="456" t="s">
        <v>1661</v>
      </c>
      <c r="AD150" s="481"/>
      <c r="AF150" s="481"/>
      <c r="AG150" s="522"/>
    </row>
    <row r="151" spans="1:33" s="454" customFormat="1" ht="34.5" x14ac:dyDescent="0.25">
      <c r="A151" s="507"/>
      <c r="B151" s="674" t="s">
        <v>1663</v>
      </c>
      <c r="C151" s="2672" t="s">
        <v>1664</v>
      </c>
      <c r="D151" s="2672"/>
      <c r="E151" s="2672"/>
      <c r="F151" s="675" t="s">
        <v>1854</v>
      </c>
      <c r="G151" s="676">
        <v>111.99</v>
      </c>
      <c r="H151" s="676" t="s">
        <v>1666</v>
      </c>
      <c r="I151" s="676">
        <v>-22.4</v>
      </c>
      <c r="J151" s="676"/>
      <c r="K151" s="676" t="s">
        <v>1855</v>
      </c>
      <c r="L151" s="677"/>
      <c r="M151" s="678"/>
      <c r="X151" s="656"/>
      <c r="Y151" s="657"/>
      <c r="Z151" s="657"/>
      <c r="AA151" s="481"/>
      <c r="AC151" s="456" t="s">
        <v>1664</v>
      </c>
      <c r="AD151" s="481"/>
      <c r="AF151" s="481"/>
      <c r="AG151" s="522"/>
    </row>
    <row r="152" spans="1:33" s="454" customFormat="1" ht="34.5" x14ac:dyDescent="0.25">
      <c r="A152" s="507"/>
      <c r="B152" s="674" t="s">
        <v>1797</v>
      </c>
      <c r="C152" s="2672" t="s">
        <v>1798</v>
      </c>
      <c r="D152" s="2672"/>
      <c r="E152" s="2672"/>
      <c r="F152" s="675" t="s">
        <v>1856</v>
      </c>
      <c r="G152" s="676">
        <v>120.04</v>
      </c>
      <c r="H152" s="676" t="s">
        <v>1800</v>
      </c>
      <c r="I152" s="676">
        <v>-192.06</v>
      </c>
      <c r="J152" s="676"/>
      <c r="K152" s="676" t="s">
        <v>1857</v>
      </c>
      <c r="L152" s="677"/>
      <c r="M152" s="678"/>
      <c r="X152" s="656"/>
      <c r="Y152" s="657"/>
      <c r="Z152" s="657"/>
      <c r="AA152" s="481"/>
      <c r="AC152" s="456" t="s">
        <v>1798</v>
      </c>
      <c r="AD152" s="481"/>
      <c r="AF152" s="481"/>
      <c r="AG152" s="522"/>
    </row>
    <row r="153" spans="1:33" s="454" customFormat="1" ht="34.5" x14ac:dyDescent="0.25">
      <c r="A153" s="507"/>
      <c r="B153" s="674" t="s">
        <v>819</v>
      </c>
      <c r="C153" s="2672" t="s">
        <v>1802</v>
      </c>
      <c r="D153" s="2672"/>
      <c r="E153" s="2672"/>
      <c r="F153" s="675" t="s">
        <v>1858</v>
      </c>
      <c r="G153" s="676">
        <v>0.9</v>
      </c>
      <c r="H153" s="676" t="s">
        <v>1804</v>
      </c>
      <c r="I153" s="676">
        <v>-0.08</v>
      </c>
      <c r="J153" s="676"/>
      <c r="K153" s="676" t="s">
        <v>1859</v>
      </c>
      <c r="L153" s="677"/>
      <c r="M153" s="678"/>
      <c r="X153" s="656"/>
      <c r="Y153" s="657"/>
      <c r="Z153" s="657"/>
      <c r="AA153" s="481"/>
      <c r="AC153" s="456" t="s">
        <v>1802</v>
      </c>
      <c r="AD153" s="481"/>
      <c r="AF153" s="481"/>
      <c r="AG153" s="522"/>
    </row>
    <row r="154" spans="1:33" s="454" customFormat="1" ht="34.5" x14ac:dyDescent="0.25">
      <c r="A154" s="507"/>
      <c r="B154" s="674" t="s">
        <v>821</v>
      </c>
      <c r="C154" s="2672" t="s">
        <v>1751</v>
      </c>
      <c r="D154" s="2672"/>
      <c r="E154" s="2672"/>
      <c r="F154" s="675" t="s">
        <v>1860</v>
      </c>
      <c r="G154" s="676">
        <v>65.709999999999994</v>
      </c>
      <c r="H154" s="676" t="s">
        <v>1753</v>
      </c>
      <c r="I154" s="676">
        <v>-18.399999999999999</v>
      </c>
      <c r="J154" s="676"/>
      <c r="K154" s="676" t="s">
        <v>1861</v>
      </c>
      <c r="L154" s="677"/>
      <c r="M154" s="678"/>
      <c r="X154" s="656"/>
      <c r="Y154" s="657"/>
      <c r="Z154" s="657"/>
      <c r="AA154" s="481"/>
      <c r="AC154" s="456" t="s">
        <v>1751</v>
      </c>
      <c r="AD154" s="481"/>
      <c r="AF154" s="481"/>
      <c r="AG154" s="522"/>
    </row>
    <row r="155" spans="1:33" s="454" customFormat="1" ht="23.25" x14ac:dyDescent="0.25">
      <c r="A155" s="507"/>
      <c r="B155" s="674" t="s">
        <v>825</v>
      </c>
      <c r="C155" s="2672" t="s">
        <v>1808</v>
      </c>
      <c r="D155" s="2672"/>
      <c r="E155" s="2672"/>
      <c r="F155" s="675" t="s">
        <v>1862</v>
      </c>
      <c r="G155" s="676">
        <v>1.2</v>
      </c>
      <c r="H155" s="676" t="s">
        <v>1810</v>
      </c>
      <c r="I155" s="676">
        <v>-2.58</v>
      </c>
      <c r="J155" s="676"/>
      <c r="K155" s="676" t="s">
        <v>1863</v>
      </c>
      <c r="L155" s="677"/>
      <c r="M155" s="678"/>
      <c r="X155" s="656"/>
      <c r="Y155" s="657"/>
      <c r="Z155" s="657"/>
      <c r="AA155" s="481"/>
      <c r="AC155" s="456" t="s">
        <v>1808</v>
      </c>
      <c r="AD155" s="481"/>
      <c r="AF155" s="481"/>
      <c r="AG155" s="522"/>
    </row>
    <row r="156" spans="1:33" s="454" customFormat="1" ht="34.5" x14ac:dyDescent="0.25">
      <c r="A156" s="507"/>
      <c r="B156" s="674" t="s">
        <v>827</v>
      </c>
      <c r="C156" s="2672" t="s">
        <v>1812</v>
      </c>
      <c r="D156" s="2672"/>
      <c r="E156" s="2672"/>
      <c r="F156" s="675" t="s">
        <v>1864</v>
      </c>
      <c r="G156" s="676">
        <v>12.31</v>
      </c>
      <c r="H156" s="676" t="s">
        <v>1814</v>
      </c>
      <c r="I156" s="676">
        <v>-15.39</v>
      </c>
      <c r="J156" s="676"/>
      <c r="K156" s="676" t="s">
        <v>1865</v>
      </c>
      <c r="L156" s="677"/>
      <c r="M156" s="678"/>
      <c r="X156" s="656"/>
      <c r="Y156" s="657"/>
      <c r="Z156" s="657"/>
      <c r="AA156" s="481"/>
      <c r="AC156" s="456" t="s">
        <v>1812</v>
      </c>
      <c r="AD156" s="481"/>
      <c r="AF156" s="481"/>
      <c r="AG156" s="522"/>
    </row>
    <row r="157" spans="1:33" s="454" customFormat="1" ht="23.25" x14ac:dyDescent="0.25">
      <c r="A157" s="507"/>
      <c r="B157" s="674" t="s">
        <v>830</v>
      </c>
      <c r="C157" s="2672" t="s">
        <v>1816</v>
      </c>
      <c r="D157" s="2672"/>
      <c r="E157" s="2672"/>
      <c r="F157" s="675" t="s">
        <v>1866</v>
      </c>
      <c r="G157" s="676">
        <v>6.22</v>
      </c>
      <c r="H157" s="676"/>
      <c r="I157" s="676">
        <v>-11.64</v>
      </c>
      <c r="J157" s="676"/>
      <c r="K157" s="676"/>
      <c r="L157" s="677"/>
      <c r="M157" s="678"/>
      <c r="X157" s="656"/>
      <c r="Y157" s="657"/>
      <c r="Z157" s="657"/>
      <c r="AA157" s="481"/>
      <c r="AC157" s="456" t="s">
        <v>1816</v>
      </c>
      <c r="AD157" s="481"/>
      <c r="AF157" s="481"/>
      <c r="AG157" s="522"/>
    </row>
    <row r="158" spans="1:33" s="454" customFormat="1" ht="23.25" x14ac:dyDescent="0.25">
      <c r="A158" s="507"/>
      <c r="B158" s="674" t="s">
        <v>833</v>
      </c>
      <c r="C158" s="2672" t="s">
        <v>1818</v>
      </c>
      <c r="D158" s="2672"/>
      <c r="E158" s="2672"/>
      <c r="F158" s="675" t="s">
        <v>1867</v>
      </c>
      <c r="G158" s="676">
        <v>6.09</v>
      </c>
      <c r="H158" s="676"/>
      <c r="I158" s="676">
        <v>-3.45</v>
      </c>
      <c r="J158" s="676"/>
      <c r="K158" s="676"/>
      <c r="L158" s="677"/>
      <c r="M158" s="678"/>
      <c r="X158" s="656"/>
      <c r="Y158" s="657"/>
      <c r="Z158" s="657"/>
      <c r="AA158" s="481"/>
      <c r="AC158" s="456" t="s">
        <v>1818</v>
      </c>
      <c r="AD158" s="481"/>
      <c r="AF158" s="481"/>
      <c r="AG158" s="522"/>
    </row>
    <row r="159" spans="1:33" s="454" customFormat="1" ht="23.25" x14ac:dyDescent="0.25">
      <c r="A159" s="507"/>
      <c r="B159" s="674" t="s">
        <v>1820</v>
      </c>
      <c r="C159" s="2672" t="s">
        <v>1821</v>
      </c>
      <c r="D159" s="2672"/>
      <c r="E159" s="2672"/>
      <c r="F159" s="675" t="s">
        <v>1868</v>
      </c>
      <c r="G159" s="676">
        <v>10749</v>
      </c>
      <c r="H159" s="676"/>
      <c r="I159" s="676">
        <v>-10.75</v>
      </c>
      <c r="J159" s="676"/>
      <c r="K159" s="676"/>
      <c r="L159" s="677"/>
      <c r="M159" s="678"/>
      <c r="X159" s="656"/>
      <c r="Y159" s="657"/>
      <c r="Z159" s="657"/>
      <c r="AA159" s="481"/>
      <c r="AC159" s="456" t="s">
        <v>1821</v>
      </c>
      <c r="AD159" s="481"/>
      <c r="AF159" s="481"/>
      <c r="AG159" s="522"/>
    </row>
    <row r="160" spans="1:33" s="454" customFormat="1" ht="23.25" x14ac:dyDescent="0.25">
      <c r="A160" s="507"/>
      <c r="B160" s="674" t="s">
        <v>1823</v>
      </c>
      <c r="C160" s="2672" t="s">
        <v>1824</v>
      </c>
      <c r="D160" s="2672"/>
      <c r="E160" s="2672"/>
      <c r="F160" s="675" t="s">
        <v>1869</v>
      </c>
      <c r="G160" s="676">
        <v>9040.01</v>
      </c>
      <c r="H160" s="676"/>
      <c r="I160" s="676">
        <v>-18.98</v>
      </c>
      <c r="J160" s="676"/>
      <c r="K160" s="676"/>
      <c r="L160" s="677"/>
      <c r="M160" s="678"/>
      <c r="X160" s="656"/>
      <c r="Y160" s="657"/>
      <c r="Z160" s="657"/>
      <c r="AA160" s="481"/>
      <c r="AC160" s="456" t="s">
        <v>1824</v>
      </c>
      <c r="AD160" s="481"/>
      <c r="AF160" s="481"/>
      <c r="AG160" s="522"/>
    </row>
    <row r="161" spans="1:33" s="454" customFormat="1" ht="23.25" x14ac:dyDescent="0.25">
      <c r="A161" s="507"/>
      <c r="B161" s="674" t="s">
        <v>841</v>
      </c>
      <c r="C161" s="2672" t="s">
        <v>1760</v>
      </c>
      <c r="D161" s="2672"/>
      <c r="E161" s="2672"/>
      <c r="F161" s="675" t="s">
        <v>1826</v>
      </c>
      <c r="G161" s="676">
        <v>11978</v>
      </c>
      <c r="H161" s="676"/>
      <c r="I161" s="676">
        <v>0</v>
      </c>
      <c r="J161" s="676"/>
      <c r="K161" s="676"/>
      <c r="L161" s="677"/>
      <c r="M161" s="678"/>
      <c r="X161" s="656"/>
      <c r="Y161" s="657"/>
      <c r="Z161" s="657"/>
      <c r="AA161" s="481"/>
      <c r="AC161" s="456" t="s">
        <v>1760</v>
      </c>
      <c r="AD161" s="481"/>
      <c r="AF161" s="481"/>
      <c r="AG161" s="522"/>
    </row>
    <row r="162" spans="1:33" s="454" customFormat="1" ht="23.25" x14ac:dyDescent="0.25">
      <c r="A162" s="507"/>
      <c r="B162" s="674" t="s">
        <v>843</v>
      </c>
      <c r="C162" s="2672" t="s">
        <v>1827</v>
      </c>
      <c r="D162" s="2672"/>
      <c r="E162" s="2672"/>
      <c r="F162" s="675" t="s">
        <v>1828</v>
      </c>
      <c r="G162" s="676">
        <v>37900</v>
      </c>
      <c r="H162" s="676"/>
      <c r="I162" s="676">
        <v>-3.79</v>
      </c>
      <c r="J162" s="676"/>
      <c r="K162" s="676"/>
      <c r="L162" s="677"/>
      <c r="M162" s="678"/>
      <c r="X162" s="656"/>
      <c r="Y162" s="657"/>
      <c r="Z162" s="657"/>
      <c r="AA162" s="481"/>
      <c r="AC162" s="456" t="s">
        <v>1827</v>
      </c>
      <c r="AD162" s="481"/>
      <c r="AF162" s="481"/>
      <c r="AG162" s="522"/>
    </row>
    <row r="163" spans="1:33" s="454" customFormat="1" ht="57" x14ac:dyDescent="0.25">
      <c r="A163" s="507"/>
      <c r="B163" s="674" t="s">
        <v>1829</v>
      </c>
      <c r="C163" s="2672" t="s">
        <v>1830</v>
      </c>
      <c r="D163" s="2672"/>
      <c r="E163" s="2672"/>
      <c r="F163" s="675" t="s">
        <v>1870</v>
      </c>
      <c r="G163" s="676">
        <v>7712</v>
      </c>
      <c r="H163" s="676"/>
      <c r="I163" s="676">
        <v>-33.159999999999997</v>
      </c>
      <c r="J163" s="676"/>
      <c r="K163" s="676"/>
      <c r="L163" s="677"/>
      <c r="M163" s="678"/>
      <c r="X163" s="656"/>
      <c r="Y163" s="657"/>
      <c r="Z163" s="657"/>
      <c r="AA163" s="481"/>
      <c r="AC163" s="456" t="s">
        <v>1830</v>
      </c>
      <c r="AD163" s="481"/>
      <c r="AF163" s="481"/>
      <c r="AG163" s="522"/>
    </row>
    <row r="164" spans="1:33" s="454" customFormat="1" ht="23.25" x14ac:dyDescent="0.25">
      <c r="A164" s="515" t="s">
        <v>863</v>
      </c>
      <c r="B164" s="686" t="s">
        <v>1832</v>
      </c>
      <c r="C164" s="2683" t="s">
        <v>1833</v>
      </c>
      <c r="D164" s="2683"/>
      <c r="E164" s="2683"/>
      <c r="F164" s="687" t="s">
        <v>1871</v>
      </c>
      <c r="G164" s="688">
        <v>0</v>
      </c>
      <c r="H164" s="688"/>
      <c r="I164" s="688">
        <v>0</v>
      </c>
      <c r="J164" s="688"/>
      <c r="K164" s="688"/>
      <c r="L164" s="689"/>
      <c r="M164" s="690"/>
      <c r="X164" s="656"/>
      <c r="Y164" s="657"/>
      <c r="Z164" s="657"/>
      <c r="AA164" s="481"/>
      <c r="AC164" s="456"/>
      <c r="AD164" s="481"/>
      <c r="AF164" s="481"/>
      <c r="AG164" s="522" t="s">
        <v>1833</v>
      </c>
    </row>
    <row r="165" spans="1:33" s="454" customFormat="1" ht="68.25" x14ac:dyDescent="0.25">
      <c r="A165" s="507"/>
      <c r="B165" s="674" t="s">
        <v>847</v>
      </c>
      <c r="C165" s="2672" t="s">
        <v>1835</v>
      </c>
      <c r="D165" s="2672"/>
      <c r="E165" s="2672"/>
      <c r="F165" s="675" t="s">
        <v>1872</v>
      </c>
      <c r="G165" s="676">
        <v>50.24</v>
      </c>
      <c r="H165" s="676"/>
      <c r="I165" s="676">
        <v>-0.9</v>
      </c>
      <c r="J165" s="676"/>
      <c r="K165" s="676"/>
      <c r="L165" s="677"/>
      <c r="M165" s="678"/>
      <c r="X165" s="656"/>
      <c r="Y165" s="657"/>
      <c r="Z165" s="657"/>
      <c r="AA165" s="481"/>
      <c r="AC165" s="456" t="s">
        <v>1835</v>
      </c>
      <c r="AD165" s="481"/>
      <c r="AF165" s="481"/>
      <c r="AG165" s="522"/>
    </row>
    <row r="166" spans="1:33" s="454" customFormat="1" ht="34.5" x14ac:dyDescent="0.25">
      <c r="A166" s="507"/>
      <c r="B166" s="674" t="s">
        <v>850</v>
      </c>
      <c r="C166" s="2672" t="s">
        <v>1771</v>
      </c>
      <c r="D166" s="2672"/>
      <c r="E166" s="2672"/>
      <c r="F166" s="675" t="s">
        <v>1837</v>
      </c>
      <c r="G166" s="676">
        <v>4455.2</v>
      </c>
      <c r="H166" s="676"/>
      <c r="I166" s="676">
        <v>0</v>
      </c>
      <c r="J166" s="676"/>
      <c r="K166" s="676"/>
      <c r="L166" s="677"/>
      <c r="M166" s="678"/>
      <c r="X166" s="656"/>
      <c r="Y166" s="657"/>
      <c r="Z166" s="657"/>
      <c r="AA166" s="481"/>
      <c r="AC166" s="456" t="s">
        <v>1771</v>
      </c>
      <c r="AD166" s="481"/>
      <c r="AF166" s="481"/>
      <c r="AG166" s="522"/>
    </row>
    <row r="167" spans="1:33" s="454" customFormat="1" ht="23.25" x14ac:dyDescent="0.25">
      <c r="A167" s="507"/>
      <c r="B167" s="674" t="s">
        <v>1838</v>
      </c>
      <c r="C167" s="2672" t="s">
        <v>1839</v>
      </c>
      <c r="D167" s="2672"/>
      <c r="E167" s="2672"/>
      <c r="F167" s="675" t="s">
        <v>1873</v>
      </c>
      <c r="G167" s="676">
        <v>4920</v>
      </c>
      <c r="H167" s="676"/>
      <c r="I167" s="676">
        <v>-9.35</v>
      </c>
      <c r="J167" s="676"/>
      <c r="K167" s="676"/>
      <c r="L167" s="677"/>
      <c r="M167" s="678"/>
      <c r="X167" s="656"/>
      <c r="Y167" s="657"/>
      <c r="Z167" s="657"/>
      <c r="AA167" s="481"/>
      <c r="AC167" s="456" t="s">
        <v>1839</v>
      </c>
      <c r="AD167" s="481"/>
      <c r="AF167" s="481"/>
      <c r="AG167" s="522"/>
    </row>
    <row r="168" spans="1:33" s="454" customFormat="1" ht="45.75" x14ac:dyDescent="0.25">
      <c r="A168" s="507"/>
      <c r="B168" s="674" t="s">
        <v>1841</v>
      </c>
      <c r="C168" s="2672" t="s">
        <v>1842</v>
      </c>
      <c r="D168" s="2672"/>
      <c r="E168" s="2672"/>
      <c r="F168" s="675" t="s">
        <v>1874</v>
      </c>
      <c r="G168" s="676">
        <v>1700</v>
      </c>
      <c r="H168" s="676"/>
      <c r="I168" s="676">
        <v>-1.7</v>
      </c>
      <c r="J168" s="676"/>
      <c r="K168" s="676"/>
      <c r="L168" s="677"/>
      <c r="M168" s="678"/>
      <c r="X168" s="656"/>
      <c r="Y168" s="657"/>
      <c r="Z168" s="657"/>
      <c r="AA168" s="481"/>
      <c r="AC168" s="456" t="s">
        <v>1842</v>
      </c>
      <c r="AD168" s="481"/>
      <c r="AF168" s="481"/>
      <c r="AG168" s="522"/>
    </row>
    <row r="169" spans="1:33" s="454" customFormat="1" ht="23.25" x14ac:dyDescent="0.25">
      <c r="A169" s="507"/>
      <c r="B169" s="674" t="s">
        <v>856</v>
      </c>
      <c r="C169" s="2672" t="s">
        <v>1844</v>
      </c>
      <c r="D169" s="2672"/>
      <c r="E169" s="2672"/>
      <c r="F169" s="675" t="s">
        <v>1875</v>
      </c>
      <c r="G169" s="676">
        <v>15620</v>
      </c>
      <c r="H169" s="676"/>
      <c r="I169" s="676">
        <v>-4.6900000000000004</v>
      </c>
      <c r="J169" s="676"/>
      <c r="K169" s="676"/>
      <c r="L169" s="677"/>
      <c r="M169" s="678"/>
      <c r="X169" s="656"/>
      <c r="Y169" s="657"/>
      <c r="Z169" s="657"/>
      <c r="AA169" s="481"/>
      <c r="AC169" s="456" t="s">
        <v>1844</v>
      </c>
      <c r="AD169" s="481"/>
      <c r="AF169" s="481"/>
      <c r="AG169" s="522"/>
    </row>
    <row r="170" spans="1:33" s="454" customFormat="1" ht="23.25" x14ac:dyDescent="0.25">
      <c r="A170" s="507"/>
      <c r="B170" s="674" t="s">
        <v>1846</v>
      </c>
      <c r="C170" s="2672" t="s">
        <v>1847</v>
      </c>
      <c r="D170" s="2672"/>
      <c r="E170" s="2672"/>
      <c r="F170" s="675" t="s">
        <v>1876</v>
      </c>
      <c r="G170" s="676">
        <v>9420</v>
      </c>
      <c r="H170" s="676"/>
      <c r="I170" s="676">
        <v>-5.65</v>
      </c>
      <c r="J170" s="676"/>
      <c r="K170" s="676"/>
      <c r="L170" s="677"/>
      <c r="M170" s="678"/>
      <c r="X170" s="656"/>
      <c r="Y170" s="657"/>
      <c r="Z170" s="657"/>
      <c r="AA170" s="481"/>
      <c r="AC170" s="456" t="s">
        <v>1847</v>
      </c>
      <c r="AD170" s="481"/>
      <c r="AF170" s="481"/>
      <c r="AG170" s="522"/>
    </row>
    <row r="171" spans="1:33" s="454" customFormat="1" ht="45" x14ac:dyDescent="0.25">
      <c r="A171" s="658" t="s">
        <v>657</v>
      </c>
      <c r="B171" s="659" t="s">
        <v>1877</v>
      </c>
      <c r="C171" s="2673" t="s">
        <v>1878</v>
      </c>
      <c r="D171" s="2673"/>
      <c r="E171" s="2673"/>
      <c r="F171" s="660">
        <v>-0.16200000000000001</v>
      </c>
      <c r="G171" s="661" t="s">
        <v>1879</v>
      </c>
      <c r="H171" s="661" t="s">
        <v>1880</v>
      </c>
      <c r="I171" s="661">
        <v>-360</v>
      </c>
      <c r="J171" s="661">
        <v>-59</v>
      </c>
      <c r="K171" s="662" t="s">
        <v>1881</v>
      </c>
      <c r="L171" s="671">
        <v>37.884</v>
      </c>
      <c r="M171" s="672">
        <v>-6.14</v>
      </c>
      <c r="X171" s="656"/>
      <c r="Y171" s="657"/>
      <c r="Z171" s="657"/>
      <c r="AA171" s="481" t="s">
        <v>1878</v>
      </c>
      <c r="AC171" s="456"/>
      <c r="AD171" s="481"/>
      <c r="AF171" s="481"/>
      <c r="AG171" s="522"/>
    </row>
    <row r="172" spans="1:33" s="454" customFormat="1" ht="15" x14ac:dyDescent="0.25">
      <c r="A172" s="664"/>
      <c r="B172" s="665"/>
      <c r="C172" s="666" t="s">
        <v>1882</v>
      </c>
      <c r="D172" s="667"/>
      <c r="E172" s="667"/>
      <c r="F172" s="667"/>
      <c r="G172" s="667"/>
      <c r="H172" s="667"/>
      <c r="I172" s="667"/>
      <c r="J172" s="667"/>
      <c r="K172" s="667"/>
      <c r="L172" s="667"/>
      <c r="M172" s="668"/>
      <c r="X172" s="656"/>
      <c r="Y172" s="657"/>
      <c r="Z172" s="657"/>
      <c r="AA172" s="481"/>
      <c r="AC172" s="456"/>
      <c r="AD172" s="481"/>
      <c r="AF172" s="481"/>
      <c r="AG172" s="522"/>
    </row>
    <row r="173" spans="1:33" s="454" customFormat="1" ht="15" x14ac:dyDescent="0.25">
      <c r="A173" s="542"/>
      <c r="B173" s="673" t="s">
        <v>1788</v>
      </c>
      <c r="C173" s="2670" t="s">
        <v>1789</v>
      </c>
      <c r="D173" s="2670"/>
      <c r="E173" s="2670"/>
      <c r="F173" s="2670"/>
      <c r="G173" s="2670"/>
      <c r="H173" s="2670"/>
      <c r="I173" s="2670"/>
      <c r="J173" s="2670"/>
      <c r="K173" s="2670"/>
      <c r="L173" s="2670"/>
      <c r="M173" s="2671"/>
      <c r="X173" s="656"/>
      <c r="Y173" s="657"/>
      <c r="Z173" s="657"/>
      <c r="AA173" s="481"/>
      <c r="AB173" s="491" t="s">
        <v>1789</v>
      </c>
      <c r="AC173" s="456"/>
      <c r="AD173" s="481"/>
      <c r="AF173" s="481"/>
      <c r="AG173" s="522"/>
    </row>
    <row r="174" spans="1:33" s="454" customFormat="1" ht="33.75" x14ac:dyDescent="0.25">
      <c r="A174" s="542"/>
      <c r="B174" s="673" t="s">
        <v>1655</v>
      </c>
      <c r="C174" s="2670" t="s">
        <v>1656</v>
      </c>
      <c r="D174" s="2670"/>
      <c r="E174" s="2670"/>
      <c r="F174" s="2670"/>
      <c r="G174" s="2670"/>
      <c r="H174" s="2670"/>
      <c r="I174" s="2670"/>
      <c r="J174" s="2670"/>
      <c r="K174" s="2670"/>
      <c r="L174" s="2670"/>
      <c r="M174" s="2671"/>
      <c r="X174" s="656"/>
      <c r="Y174" s="657"/>
      <c r="Z174" s="657"/>
      <c r="AA174" s="481"/>
      <c r="AB174" s="491" t="s">
        <v>1656</v>
      </c>
      <c r="AC174" s="456"/>
      <c r="AD174" s="481"/>
      <c r="AF174" s="481"/>
      <c r="AG174" s="522"/>
    </row>
    <row r="175" spans="1:33" s="454" customFormat="1" ht="23.25" x14ac:dyDescent="0.25">
      <c r="A175" s="507"/>
      <c r="B175" s="674" t="s">
        <v>1883</v>
      </c>
      <c r="C175" s="2672" t="s">
        <v>1884</v>
      </c>
      <c r="D175" s="2672"/>
      <c r="E175" s="2672"/>
      <c r="F175" s="675" t="s">
        <v>1885</v>
      </c>
      <c r="G175" s="676" t="s">
        <v>1886</v>
      </c>
      <c r="H175" s="676"/>
      <c r="I175" s="676">
        <v>-59.07</v>
      </c>
      <c r="J175" s="676">
        <v>-59.07</v>
      </c>
      <c r="K175" s="676"/>
      <c r="L175" s="677"/>
      <c r="M175" s="678"/>
      <c r="X175" s="656"/>
      <c r="Y175" s="657"/>
      <c r="Z175" s="657"/>
      <c r="AA175" s="481"/>
      <c r="AC175" s="456" t="s">
        <v>1884</v>
      </c>
      <c r="AD175" s="481"/>
      <c r="AF175" s="481"/>
      <c r="AG175" s="522"/>
    </row>
    <row r="176" spans="1:33" s="454" customFormat="1" ht="23.25" x14ac:dyDescent="0.25">
      <c r="A176" s="507"/>
      <c r="B176" s="674" t="s">
        <v>639</v>
      </c>
      <c r="C176" s="2672" t="s">
        <v>1661</v>
      </c>
      <c r="D176" s="2672"/>
      <c r="E176" s="2672"/>
      <c r="F176" s="675" t="s">
        <v>1887</v>
      </c>
      <c r="G176" s="676">
        <v>0</v>
      </c>
      <c r="H176" s="676">
        <v>0</v>
      </c>
      <c r="I176" s="676">
        <v>0</v>
      </c>
      <c r="J176" s="676"/>
      <c r="K176" s="676">
        <v>0</v>
      </c>
      <c r="L176" s="677"/>
      <c r="M176" s="678"/>
      <c r="X176" s="656"/>
      <c r="Y176" s="657"/>
      <c r="Z176" s="657"/>
      <c r="AA176" s="481"/>
      <c r="AC176" s="456" t="s">
        <v>1661</v>
      </c>
      <c r="AD176" s="481"/>
      <c r="AF176" s="481"/>
      <c r="AG176" s="522"/>
    </row>
    <row r="177" spans="1:33" s="454" customFormat="1" ht="23.25" x14ac:dyDescent="0.25">
      <c r="A177" s="507"/>
      <c r="B177" s="674" t="s">
        <v>812</v>
      </c>
      <c r="C177" s="2672" t="s">
        <v>1888</v>
      </c>
      <c r="D177" s="2672"/>
      <c r="E177" s="2672"/>
      <c r="F177" s="675" t="s">
        <v>1889</v>
      </c>
      <c r="G177" s="676">
        <v>120.24</v>
      </c>
      <c r="H177" s="676" t="s">
        <v>1890</v>
      </c>
      <c r="I177" s="676">
        <v>-2.4</v>
      </c>
      <c r="J177" s="676"/>
      <c r="K177" s="676" t="s">
        <v>1891</v>
      </c>
      <c r="L177" s="677"/>
      <c r="M177" s="678"/>
      <c r="X177" s="656"/>
      <c r="Y177" s="657"/>
      <c r="Z177" s="657"/>
      <c r="AA177" s="481"/>
      <c r="AC177" s="456" t="s">
        <v>1888</v>
      </c>
      <c r="AD177" s="481"/>
      <c r="AF177" s="481"/>
      <c r="AG177" s="522"/>
    </row>
    <row r="178" spans="1:33" s="454" customFormat="1" ht="34.5" x14ac:dyDescent="0.25">
      <c r="A178" s="507"/>
      <c r="B178" s="674" t="s">
        <v>1663</v>
      </c>
      <c r="C178" s="2672" t="s">
        <v>1664</v>
      </c>
      <c r="D178" s="2672"/>
      <c r="E178" s="2672"/>
      <c r="F178" s="675" t="s">
        <v>1892</v>
      </c>
      <c r="G178" s="676">
        <v>111.99</v>
      </c>
      <c r="H178" s="676" t="s">
        <v>1666</v>
      </c>
      <c r="I178" s="676">
        <v>-3.36</v>
      </c>
      <c r="J178" s="676"/>
      <c r="K178" s="676" t="s">
        <v>1893</v>
      </c>
      <c r="L178" s="677"/>
      <c r="M178" s="678"/>
      <c r="X178" s="656"/>
      <c r="Y178" s="657"/>
      <c r="Z178" s="657"/>
      <c r="AA178" s="481"/>
      <c r="AC178" s="456" t="s">
        <v>1664</v>
      </c>
      <c r="AD178" s="481"/>
      <c r="AF178" s="481"/>
      <c r="AG178" s="522"/>
    </row>
    <row r="179" spans="1:33" s="454" customFormat="1" ht="34.5" x14ac:dyDescent="0.25">
      <c r="A179" s="507"/>
      <c r="B179" s="674" t="s">
        <v>1797</v>
      </c>
      <c r="C179" s="2672" t="s">
        <v>1798</v>
      </c>
      <c r="D179" s="2672"/>
      <c r="E179" s="2672"/>
      <c r="F179" s="675" t="s">
        <v>1894</v>
      </c>
      <c r="G179" s="676">
        <v>120.04</v>
      </c>
      <c r="H179" s="676" t="s">
        <v>1800</v>
      </c>
      <c r="I179" s="676">
        <v>-152.44999999999999</v>
      </c>
      <c r="J179" s="676"/>
      <c r="K179" s="676" t="s">
        <v>1895</v>
      </c>
      <c r="L179" s="677"/>
      <c r="M179" s="678"/>
      <c r="X179" s="656"/>
      <c r="Y179" s="657"/>
      <c r="Z179" s="657"/>
      <c r="AA179" s="481"/>
      <c r="AC179" s="456" t="s">
        <v>1798</v>
      </c>
      <c r="AD179" s="481"/>
      <c r="AF179" s="481"/>
      <c r="AG179" s="522"/>
    </row>
    <row r="180" spans="1:33" s="454" customFormat="1" ht="34.5" x14ac:dyDescent="0.25">
      <c r="A180" s="507"/>
      <c r="B180" s="674" t="s">
        <v>821</v>
      </c>
      <c r="C180" s="2672" t="s">
        <v>1751</v>
      </c>
      <c r="D180" s="2672"/>
      <c r="E180" s="2672"/>
      <c r="F180" s="675" t="s">
        <v>1896</v>
      </c>
      <c r="G180" s="676">
        <v>65.709999999999994</v>
      </c>
      <c r="H180" s="676" t="s">
        <v>1753</v>
      </c>
      <c r="I180" s="676">
        <v>-3.29</v>
      </c>
      <c r="J180" s="676"/>
      <c r="K180" s="676" t="s">
        <v>1897</v>
      </c>
      <c r="L180" s="677"/>
      <c r="M180" s="678"/>
      <c r="X180" s="656"/>
      <c r="Y180" s="657"/>
      <c r="Z180" s="657"/>
      <c r="AA180" s="481"/>
      <c r="AC180" s="456" t="s">
        <v>1751</v>
      </c>
      <c r="AD180" s="481"/>
      <c r="AF180" s="481"/>
      <c r="AG180" s="522"/>
    </row>
    <row r="181" spans="1:33" s="454" customFormat="1" ht="23.25" x14ac:dyDescent="0.25">
      <c r="A181" s="507"/>
      <c r="B181" s="674" t="s">
        <v>825</v>
      </c>
      <c r="C181" s="2672" t="s">
        <v>1808</v>
      </c>
      <c r="D181" s="2672"/>
      <c r="E181" s="2672"/>
      <c r="F181" s="675" t="s">
        <v>1898</v>
      </c>
      <c r="G181" s="676">
        <v>1.2</v>
      </c>
      <c r="H181" s="676" t="s">
        <v>1810</v>
      </c>
      <c r="I181" s="676">
        <v>-0.65</v>
      </c>
      <c r="J181" s="676"/>
      <c r="K181" s="676" t="s">
        <v>1899</v>
      </c>
      <c r="L181" s="677"/>
      <c r="M181" s="678"/>
      <c r="X181" s="656"/>
      <c r="Y181" s="657"/>
      <c r="Z181" s="657"/>
      <c r="AA181" s="481"/>
      <c r="AC181" s="456" t="s">
        <v>1808</v>
      </c>
      <c r="AD181" s="481"/>
      <c r="AF181" s="481"/>
      <c r="AG181" s="522"/>
    </row>
    <row r="182" spans="1:33" s="454" customFormat="1" ht="34.5" x14ac:dyDescent="0.25">
      <c r="A182" s="507"/>
      <c r="B182" s="674" t="s">
        <v>827</v>
      </c>
      <c r="C182" s="2672" t="s">
        <v>1812</v>
      </c>
      <c r="D182" s="2672"/>
      <c r="E182" s="2672"/>
      <c r="F182" s="675" t="s">
        <v>1900</v>
      </c>
      <c r="G182" s="676">
        <v>12.31</v>
      </c>
      <c r="H182" s="676" t="s">
        <v>1814</v>
      </c>
      <c r="I182" s="676">
        <v>-3.08</v>
      </c>
      <c r="J182" s="676"/>
      <c r="K182" s="676" t="s">
        <v>1901</v>
      </c>
      <c r="L182" s="677"/>
      <c r="M182" s="678"/>
      <c r="X182" s="656"/>
      <c r="Y182" s="657"/>
      <c r="Z182" s="657"/>
      <c r="AA182" s="481"/>
      <c r="AC182" s="456" t="s">
        <v>1812</v>
      </c>
      <c r="AD182" s="481"/>
      <c r="AF182" s="481"/>
      <c r="AG182" s="522"/>
    </row>
    <row r="183" spans="1:33" s="454" customFormat="1" ht="23.25" x14ac:dyDescent="0.25">
      <c r="A183" s="507"/>
      <c r="B183" s="674" t="s">
        <v>830</v>
      </c>
      <c r="C183" s="2672" t="s">
        <v>1816</v>
      </c>
      <c r="D183" s="2672"/>
      <c r="E183" s="2672"/>
      <c r="F183" s="675" t="s">
        <v>1902</v>
      </c>
      <c r="G183" s="676">
        <v>6.22</v>
      </c>
      <c r="H183" s="676"/>
      <c r="I183" s="676">
        <v>-3.02</v>
      </c>
      <c r="J183" s="676"/>
      <c r="K183" s="676"/>
      <c r="L183" s="677"/>
      <c r="M183" s="678"/>
      <c r="X183" s="656"/>
      <c r="Y183" s="657"/>
      <c r="Z183" s="657"/>
      <c r="AA183" s="481"/>
      <c r="AC183" s="456" t="s">
        <v>1816</v>
      </c>
      <c r="AD183" s="481"/>
      <c r="AF183" s="481"/>
      <c r="AG183" s="522"/>
    </row>
    <row r="184" spans="1:33" s="454" customFormat="1" ht="23.25" x14ac:dyDescent="0.25">
      <c r="A184" s="507"/>
      <c r="B184" s="674" t="s">
        <v>833</v>
      </c>
      <c r="C184" s="2672" t="s">
        <v>1818</v>
      </c>
      <c r="D184" s="2672"/>
      <c r="E184" s="2672"/>
      <c r="F184" s="675" t="s">
        <v>1903</v>
      </c>
      <c r="G184" s="676">
        <v>6.09</v>
      </c>
      <c r="H184" s="676"/>
      <c r="I184" s="676">
        <v>-0.89</v>
      </c>
      <c r="J184" s="676"/>
      <c r="K184" s="676"/>
      <c r="L184" s="677"/>
      <c r="M184" s="678"/>
      <c r="X184" s="656"/>
      <c r="Y184" s="657"/>
      <c r="Z184" s="657"/>
      <c r="AA184" s="481"/>
      <c r="AC184" s="456" t="s">
        <v>1818</v>
      </c>
      <c r="AD184" s="481"/>
      <c r="AF184" s="481"/>
      <c r="AG184" s="522"/>
    </row>
    <row r="185" spans="1:33" s="454" customFormat="1" ht="23.25" x14ac:dyDescent="0.25">
      <c r="A185" s="507"/>
      <c r="B185" s="674" t="s">
        <v>1904</v>
      </c>
      <c r="C185" s="2672" t="s">
        <v>1905</v>
      </c>
      <c r="D185" s="2672"/>
      <c r="E185" s="2672"/>
      <c r="F185" s="675" t="s">
        <v>1906</v>
      </c>
      <c r="G185" s="676">
        <v>10315.01</v>
      </c>
      <c r="H185" s="676"/>
      <c r="I185" s="676">
        <v>-11.35</v>
      </c>
      <c r="J185" s="676"/>
      <c r="K185" s="676"/>
      <c r="L185" s="677"/>
      <c r="M185" s="678"/>
      <c r="X185" s="656"/>
      <c r="Y185" s="657"/>
      <c r="Z185" s="657"/>
      <c r="AA185" s="481"/>
      <c r="AC185" s="456" t="s">
        <v>1905</v>
      </c>
      <c r="AD185" s="481"/>
      <c r="AF185" s="481"/>
      <c r="AG185" s="522"/>
    </row>
    <row r="186" spans="1:33" s="454" customFormat="1" ht="23.25" x14ac:dyDescent="0.25">
      <c r="A186" s="507"/>
      <c r="B186" s="674" t="s">
        <v>1823</v>
      </c>
      <c r="C186" s="2672" t="s">
        <v>1824</v>
      </c>
      <c r="D186" s="2672"/>
      <c r="E186" s="2672"/>
      <c r="F186" s="675" t="s">
        <v>1907</v>
      </c>
      <c r="G186" s="676">
        <v>9040.01</v>
      </c>
      <c r="H186" s="676"/>
      <c r="I186" s="676">
        <v>-13.56</v>
      </c>
      <c r="J186" s="676"/>
      <c r="K186" s="676"/>
      <c r="L186" s="677"/>
      <c r="M186" s="678"/>
      <c r="X186" s="656"/>
      <c r="Y186" s="657"/>
      <c r="Z186" s="657"/>
      <c r="AA186" s="481"/>
      <c r="AC186" s="456" t="s">
        <v>1824</v>
      </c>
      <c r="AD186" s="481"/>
      <c r="AF186" s="481"/>
      <c r="AG186" s="522"/>
    </row>
    <row r="187" spans="1:33" s="454" customFormat="1" ht="23.25" x14ac:dyDescent="0.25">
      <c r="A187" s="507"/>
      <c r="B187" s="674" t="s">
        <v>841</v>
      </c>
      <c r="C187" s="2672" t="s">
        <v>1760</v>
      </c>
      <c r="D187" s="2672"/>
      <c r="E187" s="2672"/>
      <c r="F187" s="675" t="s">
        <v>1826</v>
      </c>
      <c r="G187" s="676">
        <v>11978</v>
      </c>
      <c r="H187" s="676"/>
      <c r="I187" s="676">
        <v>0</v>
      </c>
      <c r="J187" s="676"/>
      <c r="K187" s="676"/>
      <c r="L187" s="677"/>
      <c r="M187" s="678"/>
      <c r="X187" s="656"/>
      <c r="Y187" s="657"/>
      <c r="Z187" s="657"/>
      <c r="AA187" s="481"/>
      <c r="AC187" s="456" t="s">
        <v>1760</v>
      </c>
      <c r="AD187" s="481"/>
      <c r="AF187" s="481"/>
      <c r="AG187" s="522"/>
    </row>
    <row r="188" spans="1:33" s="454" customFormat="1" ht="23.25" x14ac:dyDescent="0.25">
      <c r="A188" s="507"/>
      <c r="B188" s="674" t="s">
        <v>843</v>
      </c>
      <c r="C188" s="2672" t="s">
        <v>1827</v>
      </c>
      <c r="D188" s="2672"/>
      <c r="E188" s="2672"/>
      <c r="F188" s="675" t="s">
        <v>1908</v>
      </c>
      <c r="G188" s="676">
        <v>37900</v>
      </c>
      <c r="H188" s="676"/>
      <c r="I188" s="676">
        <v>0</v>
      </c>
      <c r="J188" s="676"/>
      <c r="K188" s="676"/>
      <c r="L188" s="677"/>
      <c r="M188" s="678"/>
      <c r="X188" s="656"/>
      <c r="Y188" s="657"/>
      <c r="Z188" s="657"/>
      <c r="AA188" s="481"/>
      <c r="AC188" s="456" t="s">
        <v>1827</v>
      </c>
      <c r="AD188" s="481"/>
      <c r="AF188" s="481"/>
      <c r="AG188" s="522"/>
    </row>
    <row r="189" spans="1:33" s="454" customFormat="1" ht="23.25" x14ac:dyDescent="0.25">
      <c r="A189" s="515" t="s">
        <v>863</v>
      </c>
      <c r="B189" s="686" t="s">
        <v>1832</v>
      </c>
      <c r="C189" s="2683" t="s">
        <v>1833</v>
      </c>
      <c r="D189" s="2683"/>
      <c r="E189" s="2683"/>
      <c r="F189" s="687" t="s">
        <v>1909</v>
      </c>
      <c r="G189" s="688">
        <v>0</v>
      </c>
      <c r="H189" s="688"/>
      <c r="I189" s="688">
        <v>0</v>
      </c>
      <c r="J189" s="688"/>
      <c r="K189" s="688"/>
      <c r="L189" s="689"/>
      <c r="M189" s="690"/>
      <c r="X189" s="656"/>
      <c r="Y189" s="657"/>
      <c r="Z189" s="657"/>
      <c r="AA189" s="481"/>
      <c r="AC189" s="456"/>
      <c r="AD189" s="481"/>
      <c r="AF189" s="481"/>
      <c r="AG189" s="522" t="s">
        <v>1833</v>
      </c>
    </row>
    <row r="190" spans="1:33" s="454" customFormat="1" ht="34.5" x14ac:dyDescent="0.25">
      <c r="A190" s="507"/>
      <c r="B190" s="674" t="s">
        <v>1910</v>
      </c>
      <c r="C190" s="2672" t="s">
        <v>1911</v>
      </c>
      <c r="D190" s="2672"/>
      <c r="E190" s="2672"/>
      <c r="F190" s="675" t="s">
        <v>1912</v>
      </c>
      <c r="G190" s="676">
        <v>5989</v>
      </c>
      <c r="H190" s="676"/>
      <c r="I190" s="676">
        <v>-20.36</v>
      </c>
      <c r="J190" s="676"/>
      <c r="K190" s="676"/>
      <c r="L190" s="677"/>
      <c r="M190" s="678"/>
      <c r="X190" s="656"/>
      <c r="Y190" s="657"/>
      <c r="Z190" s="657"/>
      <c r="AA190" s="481"/>
      <c r="AC190" s="456" t="s">
        <v>1911</v>
      </c>
      <c r="AD190" s="481"/>
      <c r="AF190" s="481"/>
      <c r="AG190" s="522"/>
    </row>
    <row r="191" spans="1:33" s="454" customFormat="1" ht="68.25" x14ac:dyDescent="0.25">
      <c r="A191" s="507"/>
      <c r="B191" s="674" t="s">
        <v>847</v>
      </c>
      <c r="C191" s="2672" t="s">
        <v>1835</v>
      </c>
      <c r="D191" s="2672"/>
      <c r="E191" s="2672"/>
      <c r="F191" s="675" t="s">
        <v>1913</v>
      </c>
      <c r="G191" s="676">
        <v>50.24</v>
      </c>
      <c r="H191" s="676"/>
      <c r="I191" s="676">
        <v>-0.15</v>
      </c>
      <c r="J191" s="676"/>
      <c r="K191" s="676"/>
      <c r="L191" s="677"/>
      <c r="M191" s="678"/>
      <c r="X191" s="656"/>
      <c r="Y191" s="657"/>
      <c r="Z191" s="657"/>
      <c r="AA191" s="481"/>
      <c r="AC191" s="456" t="s">
        <v>1835</v>
      </c>
      <c r="AD191" s="481"/>
      <c r="AF191" s="481"/>
      <c r="AG191" s="522"/>
    </row>
    <row r="192" spans="1:33" s="454" customFormat="1" ht="34.5" x14ac:dyDescent="0.25">
      <c r="A192" s="507"/>
      <c r="B192" s="674" t="s">
        <v>850</v>
      </c>
      <c r="C192" s="2672" t="s">
        <v>1771</v>
      </c>
      <c r="D192" s="2672"/>
      <c r="E192" s="2672"/>
      <c r="F192" s="675" t="s">
        <v>1837</v>
      </c>
      <c r="G192" s="676">
        <v>4455.2</v>
      </c>
      <c r="H192" s="676"/>
      <c r="I192" s="676">
        <v>0</v>
      </c>
      <c r="J192" s="676"/>
      <c r="K192" s="676"/>
      <c r="L192" s="677"/>
      <c r="M192" s="678"/>
      <c r="X192" s="656"/>
      <c r="Y192" s="657"/>
      <c r="Z192" s="657"/>
      <c r="AA192" s="481"/>
      <c r="AC192" s="456" t="s">
        <v>1771</v>
      </c>
      <c r="AD192" s="481"/>
      <c r="AF192" s="481"/>
      <c r="AG192" s="522"/>
    </row>
    <row r="193" spans="1:33" s="454" customFormat="1" ht="23.25" x14ac:dyDescent="0.25">
      <c r="A193" s="507"/>
      <c r="B193" s="674" t="s">
        <v>1838</v>
      </c>
      <c r="C193" s="2672" t="s">
        <v>1839</v>
      </c>
      <c r="D193" s="2672"/>
      <c r="E193" s="2672"/>
      <c r="F193" s="675" t="s">
        <v>1914</v>
      </c>
      <c r="G193" s="676">
        <v>4920</v>
      </c>
      <c r="H193" s="676"/>
      <c r="I193" s="676">
        <v>-1.48</v>
      </c>
      <c r="J193" s="676"/>
      <c r="K193" s="676"/>
      <c r="L193" s="677"/>
      <c r="M193" s="678"/>
      <c r="X193" s="656"/>
      <c r="Y193" s="657"/>
      <c r="Z193" s="657"/>
      <c r="AA193" s="481"/>
      <c r="AC193" s="456" t="s">
        <v>1839</v>
      </c>
      <c r="AD193" s="481"/>
      <c r="AF193" s="481"/>
      <c r="AG193" s="522"/>
    </row>
    <row r="194" spans="1:33" s="454" customFormat="1" ht="45.75" x14ac:dyDescent="0.25">
      <c r="A194" s="507"/>
      <c r="B194" s="674" t="s">
        <v>1841</v>
      </c>
      <c r="C194" s="2672" t="s">
        <v>1842</v>
      </c>
      <c r="D194" s="2672"/>
      <c r="E194" s="2672"/>
      <c r="F194" s="675" t="s">
        <v>1915</v>
      </c>
      <c r="G194" s="676">
        <v>1700</v>
      </c>
      <c r="H194" s="676"/>
      <c r="I194" s="676">
        <v>-0.34</v>
      </c>
      <c r="J194" s="676"/>
      <c r="K194" s="676"/>
      <c r="L194" s="677"/>
      <c r="M194" s="678"/>
      <c r="X194" s="656"/>
      <c r="Y194" s="657"/>
      <c r="Z194" s="657"/>
      <c r="AA194" s="481"/>
      <c r="AC194" s="456" t="s">
        <v>1842</v>
      </c>
      <c r="AD194" s="481"/>
      <c r="AF194" s="481"/>
      <c r="AG194" s="522"/>
    </row>
    <row r="195" spans="1:33" s="454" customFormat="1" ht="23.25" x14ac:dyDescent="0.25">
      <c r="A195" s="507"/>
      <c r="B195" s="674" t="s">
        <v>856</v>
      </c>
      <c r="C195" s="2672" t="s">
        <v>1844</v>
      </c>
      <c r="D195" s="2672"/>
      <c r="E195" s="2672"/>
      <c r="F195" s="675" t="s">
        <v>1916</v>
      </c>
      <c r="G195" s="676">
        <v>15620</v>
      </c>
      <c r="H195" s="676"/>
      <c r="I195" s="676">
        <v>-1.56</v>
      </c>
      <c r="J195" s="676"/>
      <c r="K195" s="676"/>
      <c r="L195" s="677"/>
      <c r="M195" s="678"/>
      <c r="X195" s="656"/>
      <c r="Y195" s="657"/>
      <c r="Z195" s="657"/>
      <c r="AA195" s="481"/>
      <c r="AC195" s="456" t="s">
        <v>1844</v>
      </c>
      <c r="AD195" s="481"/>
      <c r="AF195" s="481"/>
      <c r="AG195" s="522"/>
    </row>
    <row r="196" spans="1:33" s="454" customFormat="1" ht="23.25" x14ac:dyDescent="0.25">
      <c r="A196" s="507"/>
      <c r="B196" s="674" t="s">
        <v>1846</v>
      </c>
      <c r="C196" s="2672" t="s">
        <v>1847</v>
      </c>
      <c r="D196" s="2672"/>
      <c r="E196" s="2672"/>
      <c r="F196" s="675" t="s">
        <v>1917</v>
      </c>
      <c r="G196" s="676">
        <v>9420</v>
      </c>
      <c r="H196" s="676"/>
      <c r="I196" s="676">
        <v>-0.94</v>
      </c>
      <c r="J196" s="676"/>
      <c r="K196" s="676"/>
      <c r="L196" s="677"/>
      <c r="M196" s="678"/>
      <c r="X196" s="656"/>
      <c r="Y196" s="657"/>
      <c r="Z196" s="657"/>
      <c r="AA196" s="481"/>
      <c r="AC196" s="456" t="s">
        <v>1847</v>
      </c>
      <c r="AD196" s="481"/>
      <c r="AF196" s="481"/>
      <c r="AG196" s="522"/>
    </row>
    <row r="197" spans="1:33" s="454" customFormat="1" ht="57" x14ac:dyDescent="0.25">
      <c r="A197" s="658" t="s">
        <v>658</v>
      </c>
      <c r="B197" s="659" t="s">
        <v>1652</v>
      </c>
      <c r="C197" s="2673" t="s">
        <v>1653</v>
      </c>
      <c r="D197" s="2673"/>
      <c r="E197" s="2673"/>
      <c r="F197" s="670">
        <v>-8</v>
      </c>
      <c r="G197" s="661" t="s">
        <v>1221</v>
      </c>
      <c r="H197" s="661" t="s">
        <v>1222</v>
      </c>
      <c r="I197" s="661">
        <v>-485</v>
      </c>
      <c r="J197" s="661">
        <v>-107</v>
      </c>
      <c r="K197" s="662" t="s">
        <v>1654</v>
      </c>
      <c r="L197" s="671">
        <v>1.635</v>
      </c>
      <c r="M197" s="672">
        <v>-13.08</v>
      </c>
      <c r="X197" s="656"/>
      <c r="Y197" s="657"/>
      <c r="Z197" s="657"/>
      <c r="AA197" s="481" t="s">
        <v>1653</v>
      </c>
      <c r="AC197" s="456"/>
      <c r="AD197" s="481"/>
      <c r="AF197" s="481"/>
      <c r="AG197" s="522"/>
    </row>
    <row r="198" spans="1:33" s="454" customFormat="1" ht="33.75" x14ac:dyDescent="0.25">
      <c r="A198" s="542"/>
      <c r="B198" s="673" t="s">
        <v>1655</v>
      </c>
      <c r="C198" s="2670" t="s">
        <v>1656</v>
      </c>
      <c r="D198" s="2670"/>
      <c r="E198" s="2670"/>
      <c r="F198" s="2670"/>
      <c r="G198" s="2670"/>
      <c r="H198" s="2670"/>
      <c r="I198" s="2670"/>
      <c r="J198" s="2670"/>
      <c r="K198" s="2670"/>
      <c r="L198" s="2670"/>
      <c r="M198" s="2671"/>
      <c r="X198" s="656"/>
      <c r="Y198" s="657"/>
      <c r="Z198" s="657"/>
      <c r="AA198" s="481"/>
      <c r="AB198" s="491" t="s">
        <v>1656</v>
      </c>
      <c r="AC198" s="456"/>
      <c r="AD198" s="481"/>
      <c r="AF198" s="481"/>
      <c r="AG198" s="522"/>
    </row>
    <row r="199" spans="1:33" s="454" customFormat="1" ht="23.25" x14ac:dyDescent="0.25">
      <c r="A199" s="507"/>
      <c r="B199" s="674" t="s">
        <v>1657</v>
      </c>
      <c r="C199" s="2672" t="s">
        <v>1658</v>
      </c>
      <c r="D199" s="2672"/>
      <c r="E199" s="2672"/>
      <c r="F199" s="675" t="s">
        <v>1659</v>
      </c>
      <c r="G199" s="676" t="s">
        <v>1660</v>
      </c>
      <c r="H199" s="676"/>
      <c r="I199" s="676">
        <v>-106.86</v>
      </c>
      <c r="J199" s="676">
        <v>-106.86</v>
      </c>
      <c r="K199" s="676"/>
      <c r="L199" s="677"/>
      <c r="M199" s="678"/>
      <c r="X199" s="656"/>
      <c r="Y199" s="657"/>
      <c r="Z199" s="657"/>
      <c r="AA199" s="481"/>
      <c r="AC199" s="456" t="s">
        <v>1658</v>
      </c>
      <c r="AD199" s="481"/>
      <c r="AF199" s="481"/>
      <c r="AG199" s="522"/>
    </row>
    <row r="200" spans="1:33" s="454" customFormat="1" ht="23.25" x14ac:dyDescent="0.25">
      <c r="A200" s="507"/>
      <c r="B200" s="674" t="s">
        <v>639</v>
      </c>
      <c r="C200" s="2672" t="s">
        <v>1661</v>
      </c>
      <c r="D200" s="2672"/>
      <c r="E200" s="2672"/>
      <c r="F200" s="675" t="s">
        <v>1662</v>
      </c>
      <c r="G200" s="676">
        <v>0</v>
      </c>
      <c r="H200" s="676">
        <v>0</v>
      </c>
      <c r="I200" s="676">
        <v>0</v>
      </c>
      <c r="J200" s="676"/>
      <c r="K200" s="676">
        <v>0</v>
      </c>
      <c r="L200" s="677"/>
      <c r="M200" s="678"/>
      <c r="X200" s="656"/>
      <c r="Y200" s="657"/>
      <c r="Z200" s="657"/>
      <c r="AA200" s="481"/>
      <c r="AC200" s="456" t="s">
        <v>1661</v>
      </c>
      <c r="AD200" s="481"/>
      <c r="AF200" s="481"/>
      <c r="AG200" s="522"/>
    </row>
    <row r="201" spans="1:33" s="454" customFormat="1" ht="34.5" x14ac:dyDescent="0.25">
      <c r="A201" s="507"/>
      <c r="B201" s="674" t="s">
        <v>1663</v>
      </c>
      <c r="C201" s="2672" t="s">
        <v>1664</v>
      </c>
      <c r="D201" s="2672"/>
      <c r="E201" s="2672"/>
      <c r="F201" s="675" t="s">
        <v>1665</v>
      </c>
      <c r="G201" s="676">
        <v>111.99</v>
      </c>
      <c r="H201" s="676" t="s">
        <v>1666</v>
      </c>
      <c r="I201" s="676">
        <v>-250.86</v>
      </c>
      <c r="J201" s="676"/>
      <c r="K201" s="676" t="s">
        <v>1667</v>
      </c>
      <c r="L201" s="677"/>
      <c r="M201" s="678"/>
      <c r="X201" s="656"/>
      <c r="Y201" s="657"/>
      <c r="Z201" s="657"/>
      <c r="AA201" s="481"/>
      <c r="AC201" s="456" t="s">
        <v>1664</v>
      </c>
      <c r="AD201" s="481"/>
      <c r="AF201" s="481"/>
      <c r="AG201" s="522"/>
    </row>
    <row r="202" spans="1:33" s="454" customFormat="1" ht="34.5" x14ac:dyDescent="0.25">
      <c r="A202" s="507"/>
      <c r="B202" s="674" t="s">
        <v>1668</v>
      </c>
      <c r="C202" s="2672" t="s">
        <v>1669</v>
      </c>
      <c r="D202" s="2672"/>
      <c r="E202" s="2672"/>
      <c r="F202" s="675" t="s">
        <v>1670</v>
      </c>
      <c r="G202" s="676">
        <v>1</v>
      </c>
      <c r="H202" s="676"/>
      <c r="I202" s="676">
        <v>-1.44</v>
      </c>
      <c r="J202" s="676"/>
      <c r="K202" s="676"/>
      <c r="L202" s="677"/>
      <c r="M202" s="678"/>
      <c r="X202" s="656"/>
      <c r="Y202" s="657"/>
      <c r="Z202" s="657"/>
      <c r="AA202" s="481"/>
      <c r="AC202" s="456" t="s">
        <v>1669</v>
      </c>
      <c r="AD202" s="481"/>
      <c r="AF202" s="481"/>
      <c r="AG202" s="522"/>
    </row>
    <row r="203" spans="1:33" s="454" customFormat="1" ht="57" x14ac:dyDescent="0.25">
      <c r="A203" s="658" t="s">
        <v>659</v>
      </c>
      <c r="B203" s="659" t="s">
        <v>1671</v>
      </c>
      <c r="C203" s="2673" t="s">
        <v>1672</v>
      </c>
      <c r="D203" s="2673"/>
      <c r="E203" s="2673"/>
      <c r="F203" s="670">
        <v>-16</v>
      </c>
      <c r="G203" s="661" t="s">
        <v>1673</v>
      </c>
      <c r="H203" s="661"/>
      <c r="I203" s="661">
        <v>-185</v>
      </c>
      <c r="J203" s="661">
        <v>-182</v>
      </c>
      <c r="K203" s="662"/>
      <c r="L203" s="671">
        <v>1.395</v>
      </c>
      <c r="M203" s="672">
        <v>-22.32</v>
      </c>
      <c r="X203" s="656"/>
      <c r="Y203" s="657"/>
      <c r="Z203" s="657"/>
      <c r="AA203" s="481" t="s">
        <v>1672</v>
      </c>
      <c r="AC203" s="456"/>
      <c r="AD203" s="481"/>
      <c r="AF203" s="481"/>
      <c r="AG203" s="522"/>
    </row>
    <row r="204" spans="1:33" s="454" customFormat="1" ht="33.75" x14ac:dyDescent="0.25">
      <c r="A204" s="542"/>
      <c r="B204" s="673" t="s">
        <v>1655</v>
      </c>
      <c r="C204" s="2670" t="s">
        <v>1656</v>
      </c>
      <c r="D204" s="2670"/>
      <c r="E204" s="2670"/>
      <c r="F204" s="2670"/>
      <c r="G204" s="2670"/>
      <c r="H204" s="2670"/>
      <c r="I204" s="2670"/>
      <c r="J204" s="2670"/>
      <c r="K204" s="2670"/>
      <c r="L204" s="2670"/>
      <c r="M204" s="2671"/>
      <c r="X204" s="656"/>
      <c r="Y204" s="657"/>
      <c r="Z204" s="657"/>
      <c r="AA204" s="481"/>
      <c r="AB204" s="491" t="s">
        <v>1656</v>
      </c>
      <c r="AC204" s="456"/>
      <c r="AD204" s="481"/>
      <c r="AF204" s="481"/>
      <c r="AG204" s="522"/>
    </row>
    <row r="205" spans="1:33" s="454" customFormat="1" ht="23.25" x14ac:dyDescent="0.25">
      <c r="A205" s="507"/>
      <c r="B205" s="674" t="s">
        <v>1657</v>
      </c>
      <c r="C205" s="2672" t="s">
        <v>1658</v>
      </c>
      <c r="D205" s="2672"/>
      <c r="E205" s="2672"/>
      <c r="F205" s="675" t="s">
        <v>1918</v>
      </c>
      <c r="G205" s="676" t="s">
        <v>1660</v>
      </c>
      <c r="H205" s="676"/>
      <c r="I205" s="676">
        <v>-182.35</v>
      </c>
      <c r="J205" s="676">
        <v>-182.35</v>
      </c>
      <c r="K205" s="676"/>
      <c r="L205" s="677"/>
      <c r="M205" s="678"/>
      <c r="X205" s="656"/>
      <c r="Y205" s="657"/>
      <c r="Z205" s="657"/>
      <c r="AA205" s="481"/>
      <c r="AC205" s="456" t="s">
        <v>1658</v>
      </c>
      <c r="AD205" s="481"/>
      <c r="AF205" s="481"/>
      <c r="AG205" s="522"/>
    </row>
    <row r="206" spans="1:33" s="454" customFormat="1" ht="34.5" x14ac:dyDescent="0.25">
      <c r="A206" s="507"/>
      <c r="B206" s="674" t="s">
        <v>1668</v>
      </c>
      <c r="C206" s="2672" t="s">
        <v>1669</v>
      </c>
      <c r="D206" s="2672"/>
      <c r="E206" s="2672"/>
      <c r="F206" s="675" t="s">
        <v>1919</v>
      </c>
      <c r="G206" s="676">
        <v>1</v>
      </c>
      <c r="H206" s="676"/>
      <c r="I206" s="676">
        <v>-2.4</v>
      </c>
      <c r="J206" s="676"/>
      <c r="K206" s="676"/>
      <c r="L206" s="677"/>
      <c r="M206" s="678"/>
      <c r="X206" s="656"/>
      <c r="Y206" s="657"/>
      <c r="Z206" s="657"/>
      <c r="AA206" s="481"/>
      <c r="AC206" s="456" t="s">
        <v>1669</v>
      </c>
      <c r="AD206" s="481"/>
      <c r="AF206" s="481"/>
      <c r="AG206" s="522"/>
    </row>
    <row r="207" spans="1:33" s="454" customFormat="1" ht="57" x14ac:dyDescent="0.25">
      <c r="A207" s="658" t="s">
        <v>660</v>
      </c>
      <c r="B207" s="659" t="s">
        <v>1652</v>
      </c>
      <c r="C207" s="2673" t="s">
        <v>1920</v>
      </c>
      <c r="D207" s="2673"/>
      <c r="E207" s="2673"/>
      <c r="F207" s="670">
        <v>-4</v>
      </c>
      <c r="G207" s="661" t="s">
        <v>1221</v>
      </c>
      <c r="H207" s="661" t="s">
        <v>1222</v>
      </c>
      <c r="I207" s="661">
        <v>-242</v>
      </c>
      <c r="J207" s="661">
        <v>-53</v>
      </c>
      <c r="K207" s="662" t="s">
        <v>1921</v>
      </c>
      <c r="L207" s="671">
        <v>1.635</v>
      </c>
      <c r="M207" s="672">
        <v>-6.54</v>
      </c>
      <c r="X207" s="656"/>
      <c r="Y207" s="657"/>
      <c r="Z207" s="657"/>
      <c r="AA207" s="481" t="s">
        <v>1920</v>
      </c>
      <c r="AC207" s="456"/>
      <c r="AD207" s="481"/>
      <c r="AF207" s="481"/>
      <c r="AG207" s="522"/>
    </row>
    <row r="208" spans="1:33" s="454" customFormat="1" ht="33.75" x14ac:dyDescent="0.25">
      <c r="A208" s="542"/>
      <c r="B208" s="673" t="s">
        <v>1655</v>
      </c>
      <c r="C208" s="2670" t="s">
        <v>1656</v>
      </c>
      <c r="D208" s="2670"/>
      <c r="E208" s="2670"/>
      <c r="F208" s="2670"/>
      <c r="G208" s="2670"/>
      <c r="H208" s="2670"/>
      <c r="I208" s="2670"/>
      <c r="J208" s="2670"/>
      <c r="K208" s="2670"/>
      <c r="L208" s="2670"/>
      <c r="M208" s="2671"/>
      <c r="X208" s="656"/>
      <c r="Y208" s="657"/>
      <c r="Z208" s="657"/>
      <c r="AA208" s="481"/>
      <c r="AB208" s="491" t="s">
        <v>1656</v>
      </c>
      <c r="AC208" s="456"/>
      <c r="AD208" s="481"/>
      <c r="AF208" s="481"/>
      <c r="AG208" s="522"/>
    </row>
    <row r="209" spans="1:33" s="454" customFormat="1" ht="23.25" x14ac:dyDescent="0.25">
      <c r="A209" s="507"/>
      <c r="B209" s="674" t="s">
        <v>1657</v>
      </c>
      <c r="C209" s="2672" t="s">
        <v>1658</v>
      </c>
      <c r="D209" s="2672"/>
      <c r="E209" s="2672"/>
      <c r="F209" s="675" t="s">
        <v>1922</v>
      </c>
      <c r="G209" s="676" t="s">
        <v>1660</v>
      </c>
      <c r="H209" s="676"/>
      <c r="I209" s="676">
        <v>-53.43</v>
      </c>
      <c r="J209" s="676">
        <v>-53.43</v>
      </c>
      <c r="K209" s="676"/>
      <c r="L209" s="677"/>
      <c r="M209" s="678"/>
      <c r="X209" s="656"/>
      <c r="Y209" s="657"/>
      <c r="Z209" s="657"/>
      <c r="AA209" s="481"/>
      <c r="AC209" s="456" t="s">
        <v>1658</v>
      </c>
      <c r="AD209" s="481"/>
      <c r="AF209" s="481"/>
      <c r="AG209" s="522"/>
    </row>
    <row r="210" spans="1:33" s="454" customFormat="1" ht="23.25" x14ac:dyDescent="0.25">
      <c r="A210" s="507"/>
      <c r="B210" s="674" t="s">
        <v>639</v>
      </c>
      <c r="C210" s="2672" t="s">
        <v>1661</v>
      </c>
      <c r="D210" s="2672"/>
      <c r="E210" s="2672"/>
      <c r="F210" s="675" t="s">
        <v>1923</v>
      </c>
      <c r="G210" s="676">
        <v>0</v>
      </c>
      <c r="H210" s="676">
        <v>0</v>
      </c>
      <c r="I210" s="676">
        <v>0</v>
      </c>
      <c r="J210" s="676"/>
      <c r="K210" s="676">
        <v>0</v>
      </c>
      <c r="L210" s="677"/>
      <c r="M210" s="678"/>
      <c r="X210" s="656"/>
      <c r="Y210" s="657"/>
      <c r="Z210" s="657"/>
      <c r="AA210" s="481"/>
      <c r="AC210" s="456" t="s">
        <v>1661</v>
      </c>
      <c r="AD210" s="481"/>
      <c r="AF210" s="481"/>
      <c r="AG210" s="522"/>
    </row>
    <row r="211" spans="1:33" s="454" customFormat="1" ht="34.5" x14ac:dyDescent="0.25">
      <c r="A211" s="507"/>
      <c r="B211" s="674" t="s">
        <v>1663</v>
      </c>
      <c r="C211" s="2672" t="s">
        <v>1664</v>
      </c>
      <c r="D211" s="2672"/>
      <c r="E211" s="2672"/>
      <c r="F211" s="675" t="s">
        <v>1924</v>
      </c>
      <c r="G211" s="676">
        <v>111.99</v>
      </c>
      <c r="H211" s="676" t="s">
        <v>1666</v>
      </c>
      <c r="I211" s="676">
        <v>-125.43</v>
      </c>
      <c r="J211" s="676"/>
      <c r="K211" s="676" t="s">
        <v>1925</v>
      </c>
      <c r="L211" s="677"/>
      <c r="M211" s="678"/>
      <c r="X211" s="656"/>
      <c r="Y211" s="657"/>
      <c r="Z211" s="657"/>
      <c r="AA211" s="481"/>
      <c r="AC211" s="456" t="s">
        <v>1664</v>
      </c>
      <c r="AD211" s="481"/>
      <c r="AF211" s="481"/>
      <c r="AG211" s="522"/>
    </row>
    <row r="212" spans="1:33" s="454" customFormat="1" ht="34.5" x14ac:dyDescent="0.25">
      <c r="A212" s="507"/>
      <c r="B212" s="674" t="s">
        <v>1668</v>
      </c>
      <c r="C212" s="2672" t="s">
        <v>1669</v>
      </c>
      <c r="D212" s="2672"/>
      <c r="E212" s="2672"/>
      <c r="F212" s="675" t="s">
        <v>1926</v>
      </c>
      <c r="G212" s="676">
        <v>1</v>
      </c>
      <c r="H212" s="676"/>
      <c r="I212" s="676">
        <v>-0.72</v>
      </c>
      <c r="J212" s="676"/>
      <c r="K212" s="676"/>
      <c r="L212" s="677"/>
      <c r="M212" s="678"/>
      <c r="X212" s="656"/>
      <c r="Y212" s="657"/>
      <c r="Z212" s="657"/>
      <c r="AA212" s="481"/>
      <c r="AC212" s="456" t="s">
        <v>1669</v>
      </c>
      <c r="AD212" s="481"/>
      <c r="AF212" s="481"/>
      <c r="AG212" s="522"/>
    </row>
    <row r="213" spans="1:33" s="454" customFormat="1" ht="68.25" x14ac:dyDescent="0.25">
      <c r="A213" s="658" t="s">
        <v>915</v>
      </c>
      <c r="B213" s="659" t="s">
        <v>1652</v>
      </c>
      <c r="C213" s="2673" t="s">
        <v>1927</v>
      </c>
      <c r="D213" s="2673"/>
      <c r="E213" s="2673"/>
      <c r="F213" s="670">
        <v>-8</v>
      </c>
      <c r="G213" s="661" t="s">
        <v>1221</v>
      </c>
      <c r="H213" s="661" t="s">
        <v>1222</v>
      </c>
      <c r="I213" s="661">
        <v>-485</v>
      </c>
      <c r="J213" s="661">
        <v>-107</v>
      </c>
      <c r="K213" s="662" t="s">
        <v>1654</v>
      </c>
      <c r="L213" s="671">
        <v>1.635</v>
      </c>
      <c r="M213" s="672">
        <v>-13.08</v>
      </c>
      <c r="X213" s="656"/>
      <c r="Y213" s="657"/>
      <c r="Z213" s="657"/>
      <c r="AA213" s="481" t="s">
        <v>1927</v>
      </c>
      <c r="AC213" s="456"/>
      <c r="AD213" s="481"/>
      <c r="AF213" s="481"/>
      <c r="AG213" s="522"/>
    </row>
    <row r="214" spans="1:33" s="454" customFormat="1" ht="33.75" x14ac:dyDescent="0.25">
      <c r="A214" s="542"/>
      <c r="B214" s="673" t="s">
        <v>1655</v>
      </c>
      <c r="C214" s="2670" t="s">
        <v>1656</v>
      </c>
      <c r="D214" s="2670"/>
      <c r="E214" s="2670"/>
      <c r="F214" s="2670"/>
      <c r="G214" s="2670"/>
      <c r="H214" s="2670"/>
      <c r="I214" s="2670"/>
      <c r="J214" s="2670"/>
      <c r="K214" s="2670"/>
      <c r="L214" s="2670"/>
      <c r="M214" s="2671"/>
      <c r="X214" s="656"/>
      <c r="Y214" s="657"/>
      <c r="Z214" s="657"/>
      <c r="AA214" s="481"/>
      <c r="AB214" s="491" t="s">
        <v>1656</v>
      </c>
      <c r="AC214" s="456"/>
      <c r="AD214" s="481"/>
      <c r="AF214" s="481"/>
      <c r="AG214" s="522"/>
    </row>
    <row r="215" spans="1:33" s="454" customFormat="1" ht="23.25" x14ac:dyDescent="0.25">
      <c r="A215" s="507"/>
      <c r="B215" s="674" t="s">
        <v>1657</v>
      </c>
      <c r="C215" s="2672" t="s">
        <v>1658</v>
      </c>
      <c r="D215" s="2672"/>
      <c r="E215" s="2672"/>
      <c r="F215" s="675" t="s">
        <v>1659</v>
      </c>
      <c r="G215" s="676" t="s">
        <v>1660</v>
      </c>
      <c r="H215" s="676"/>
      <c r="I215" s="676">
        <v>-106.86</v>
      </c>
      <c r="J215" s="676">
        <v>-106.86</v>
      </c>
      <c r="K215" s="676"/>
      <c r="L215" s="677"/>
      <c r="M215" s="678"/>
      <c r="X215" s="656"/>
      <c r="Y215" s="657"/>
      <c r="Z215" s="657"/>
      <c r="AA215" s="481"/>
      <c r="AC215" s="456" t="s">
        <v>1658</v>
      </c>
      <c r="AD215" s="481"/>
      <c r="AF215" s="481"/>
      <c r="AG215" s="522"/>
    </row>
    <row r="216" spans="1:33" s="454" customFormat="1" ht="23.25" x14ac:dyDescent="0.25">
      <c r="A216" s="507"/>
      <c r="B216" s="674" t="s">
        <v>639</v>
      </c>
      <c r="C216" s="2672" t="s">
        <v>1661</v>
      </c>
      <c r="D216" s="2672"/>
      <c r="E216" s="2672"/>
      <c r="F216" s="675" t="s">
        <v>1662</v>
      </c>
      <c r="G216" s="676">
        <v>0</v>
      </c>
      <c r="H216" s="676">
        <v>0</v>
      </c>
      <c r="I216" s="676">
        <v>0</v>
      </c>
      <c r="J216" s="676"/>
      <c r="K216" s="676">
        <v>0</v>
      </c>
      <c r="L216" s="677"/>
      <c r="M216" s="678"/>
      <c r="X216" s="656"/>
      <c r="Y216" s="657"/>
      <c r="Z216" s="657"/>
      <c r="AA216" s="481"/>
      <c r="AC216" s="456" t="s">
        <v>1661</v>
      </c>
      <c r="AD216" s="481"/>
      <c r="AF216" s="481"/>
      <c r="AG216" s="522"/>
    </row>
    <row r="217" spans="1:33" s="454" customFormat="1" ht="34.5" x14ac:dyDescent="0.25">
      <c r="A217" s="507"/>
      <c r="B217" s="674" t="s">
        <v>1663</v>
      </c>
      <c r="C217" s="2672" t="s">
        <v>1664</v>
      </c>
      <c r="D217" s="2672"/>
      <c r="E217" s="2672"/>
      <c r="F217" s="675" t="s">
        <v>1665</v>
      </c>
      <c r="G217" s="676">
        <v>111.99</v>
      </c>
      <c r="H217" s="676" t="s">
        <v>1666</v>
      </c>
      <c r="I217" s="676">
        <v>-250.86</v>
      </c>
      <c r="J217" s="676"/>
      <c r="K217" s="676" t="s">
        <v>1667</v>
      </c>
      <c r="L217" s="677"/>
      <c r="M217" s="678"/>
      <c r="X217" s="656"/>
      <c r="Y217" s="657"/>
      <c r="Z217" s="657"/>
      <c r="AA217" s="481"/>
      <c r="AC217" s="456" t="s">
        <v>1664</v>
      </c>
      <c r="AD217" s="481"/>
      <c r="AF217" s="481"/>
      <c r="AG217" s="522"/>
    </row>
    <row r="218" spans="1:33" s="454" customFormat="1" ht="34.5" x14ac:dyDescent="0.25">
      <c r="A218" s="507"/>
      <c r="B218" s="674" t="s">
        <v>1668</v>
      </c>
      <c r="C218" s="2672" t="s">
        <v>1669</v>
      </c>
      <c r="D218" s="2672"/>
      <c r="E218" s="2672"/>
      <c r="F218" s="675" t="s">
        <v>1670</v>
      </c>
      <c r="G218" s="676">
        <v>1</v>
      </c>
      <c r="H218" s="676"/>
      <c r="I218" s="676">
        <v>-1.44</v>
      </c>
      <c r="J218" s="676"/>
      <c r="K218" s="676"/>
      <c r="L218" s="677"/>
      <c r="M218" s="678"/>
      <c r="X218" s="656"/>
      <c r="Y218" s="657"/>
      <c r="Z218" s="657"/>
      <c r="AA218" s="481"/>
      <c r="AC218" s="456" t="s">
        <v>1669</v>
      </c>
      <c r="AD218" s="481"/>
      <c r="AF218" s="481"/>
      <c r="AG218" s="522"/>
    </row>
    <row r="219" spans="1:33" s="454" customFormat="1" ht="45.75" x14ac:dyDescent="0.25">
      <c r="A219" s="658" t="s">
        <v>916</v>
      </c>
      <c r="B219" s="659" t="s">
        <v>1928</v>
      </c>
      <c r="C219" s="2673" t="s">
        <v>1929</v>
      </c>
      <c r="D219" s="2673"/>
      <c r="E219" s="2673"/>
      <c r="F219" s="670">
        <v>-160</v>
      </c>
      <c r="G219" s="661" t="s">
        <v>1235</v>
      </c>
      <c r="H219" s="661"/>
      <c r="I219" s="661">
        <v>-4206</v>
      </c>
      <c r="J219" s="661">
        <v>-4018</v>
      </c>
      <c r="K219" s="662"/>
      <c r="L219" s="672">
        <v>2.61</v>
      </c>
      <c r="M219" s="692">
        <v>-417.6</v>
      </c>
      <c r="X219" s="656"/>
      <c r="Y219" s="657"/>
      <c r="Z219" s="657"/>
      <c r="AA219" s="481" t="s">
        <v>1929</v>
      </c>
      <c r="AC219" s="456"/>
      <c r="AD219" s="481"/>
      <c r="AF219" s="481"/>
      <c r="AG219" s="522"/>
    </row>
    <row r="220" spans="1:33" s="454" customFormat="1" ht="15" x14ac:dyDescent="0.25">
      <c r="A220" s="664"/>
      <c r="B220" s="665"/>
      <c r="C220" s="666" t="s">
        <v>1930</v>
      </c>
      <c r="D220" s="667"/>
      <c r="E220" s="667"/>
      <c r="F220" s="667"/>
      <c r="G220" s="667"/>
      <c r="H220" s="667"/>
      <c r="I220" s="667"/>
      <c r="J220" s="667"/>
      <c r="K220" s="667"/>
      <c r="L220" s="667"/>
      <c r="M220" s="668"/>
      <c r="X220" s="656"/>
      <c r="Y220" s="657"/>
      <c r="Z220" s="657"/>
      <c r="AA220" s="481"/>
      <c r="AC220" s="456"/>
      <c r="AD220" s="481"/>
      <c r="AF220" s="481"/>
      <c r="AG220" s="522"/>
    </row>
    <row r="221" spans="1:33" s="454" customFormat="1" ht="15" x14ac:dyDescent="0.25">
      <c r="A221" s="542"/>
      <c r="B221" s="665"/>
      <c r="C221" s="666" t="s">
        <v>1931</v>
      </c>
      <c r="D221" s="667"/>
      <c r="E221" s="667"/>
      <c r="F221" s="667"/>
      <c r="G221" s="667"/>
      <c r="H221" s="667"/>
      <c r="I221" s="667"/>
      <c r="J221" s="667"/>
      <c r="K221" s="667"/>
      <c r="L221" s="667"/>
      <c r="M221" s="669"/>
      <c r="X221" s="656"/>
      <c r="Y221" s="657"/>
      <c r="Z221" s="657"/>
      <c r="AA221" s="481"/>
      <c r="AC221" s="456"/>
      <c r="AD221" s="481"/>
      <c r="AF221" s="481"/>
      <c r="AG221" s="522"/>
    </row>
    <row r="222" spans="1:33" s="454" customFormat="1" ht="33.75" x14ac:dyDescent="0.25">
      <c r="A222" s="542"/>
      <c r="B222" s="673" t="s">
        <v>1655</v>
      </c>
      <c r="C222" s="2670" t="s">
        <v>1656</v>
      </c>
      <c r="D222" s="2670"/>
      <c r="E222" s="2670"/>
      <c r="F222" s="2670"/>
      <c r="G222" s="2670"/>
      <c r="H222" s="2670"/>
      <c r="I222" s="2670"/>
      <c r="J222" s="2670"/>
      <c r="K222" s="2670"/>
      <c r="L222" s="2670"/>
      <c r="M222" s="2671"/>
      <c r="X222" s="656"/>
      <c r="Y222" s="657"/>
      <c r="Z222" s="657"/>
      <c r="AA222" s="481"/>
      <c r="AB222" s="491" t="s">
        <v>1656</v>
      </c>
      <c r="AC222" s="456"/>
      <c r="AD222" s="481"/>
      <c r="AF222" s="481"/>
      <c r="AG222" s="522"/>
    </row>
    <row r="223" spans="1:33" s="454" customFormat="1" ht="23.25" x14ac:dyDescent="0.25">
      <c r="A223" s="507"/>
      <c r="B223" s="674" t="s">
        <v>1883</v>
      </c>
      <c r="C223" s="2672" t="s">
        <v>1884</v>
      </c>
      <c r="D223" s="2672"/>
      <c r="E223" s="2672"/>
      <c r="F223" s="675" t="s">
        <v>1932</v>
      </c>
      <c r="G223" s="676" t="s">
        <v>1886</v>
      </c>
      <c r="H223" s="676"/>
      <c r="I223" s="676">
        <v>-4017.31</v>
      </c>
      <c r="J223" s="676">
        <v>-4017.31</v>
      </c>
      <c r="K223" s="676"/>
      <c r="L223" s="677"/>
      <c r="M223" s="678"/>
      <c r="X223" s="656"/>
      <c r="Y223" s="657"/>
      <c r="Z223" s="657"/>
      <c r="AA223" s="481"/>
      <c r="AC223" s="456" t="s">
        <v>1884</v>
      </c>
      <c r="AD223" s="481"/>
      <c r="AF223" s="481"/>
      <c r="AG223" s="522"/>
    </row>
    <row r="224" spans="1:33" s="454" customFormat="1" ht="23.25" x14ac:dyDescent="0.25">
      <c r="A224" s="515" t="s">
        <v>860</v>
      </c>
      <c r="B224" s="686" t="s">
        <v>1933</v>
      </c>
      <c r="C224" s="2683" t="s">
        <v>1934</v>
      </c>
      <c r="D224" s="2683"/>
      <c r="E224" s="2683"/>
      <c r="F224" s="687" t="s">
        <v>1935</v>
      </c>
      <c r="G224" s="688">
        <v>0</v>
      </c>
      <c r="H224" s="688"/>
      <c r="I224" s="688">
        <v>0</v>
      </c>
      <c r="J224" s="688"/>
      <c r="K224" s="688"/>
      <c r="L224" s="689"/>
      <c r="M224" s="690"/>
      <c r="X224" s="656"/>
      <c r="Y224" s="657"/>
      <c r="Z224" s="657"/>
      <c r="AA224" s="481"/>
      <c r="AC224" s="456"/>
      <c r="AD224" s="481"/>
      <c r="AF224" s="481"/>
      <c r="AG224" s="522" t="s">
        <v>1934</v>
      </c>
    </row>
    <row r="225" spans="1:34" s="454" customFormat="1" ht="34.5" x14ac:dyDescent="0.25">
      <c r="A225" s="693" t="s">
        <v>1936</v>
      </c>
      <c r="B225" s="694" t="s">
        <v>1937</v>
      </c>
      <c r="C225" s="2684" t="s">
        <v>1938</v>
      </c>
      <c r="D225" s="2684"/>
      <c r="E225" s="2684"/>
      <c r="F225" s="695" t="s">
        <v>1939</v>
      </c>
      <c r="G225" s="696">
        <v>25.97</v>
      </c>
      <c r="H225" s="696"/>
      <c r="I225" s="696">
        <v>-8406.49</v>
      </c>
      <c r="J225" s="696"/>
      <c r="K225" s="696"/>
      <c r="L225" s="697"/>
      <c r="M225" s="698"/>
      <c r="X225" s="656"/>
      <c r="Y225" s="657"/>
      <c r="Z225" s="657"/>
      <c r="AA225" s="481"/>
      <c r="AC225" s="456"/>
      <c r="AD225" s="481"/>
      <c r="AF225" s="481"/>
      <c r="AG225" s="522"/>
      <c r="AH225" s="699" t="s">
        <v>1938</v>
      </c>
    </row>
    <row r="226" spans="1:34" s="454" customFormat="1" ht="23.25" x14ac:dyDescent="0.25">
      <c r="A226" s="507"/>
      <c r="B226" s="674" t="s">
        <v>1940</v>
      </c>
      <c r="C226" s="2672" t="s">
        <v>1941</v>
      </c>
      <c r="D226" s="2672"/>
      <c r="E226" s="2672"/>
      <c r="F226" s="675" t="s">
        <v>1942</v>
      </c>
      <c r="G226" s="676">
        <v>9.5</v>
      </c>
      <c r="H226" s="676"/>
      <c r="I226" s="676">
        <v>-188.48</v>
      </c>
      <c r="J226" s="676"/>
      <c r="K226" s="676"/>
      <c r="L226" s="677"/>
      <c r="M226" s="678"/>
      <c r="X226" s="656"/>
      <c r="Y226" s="657"/>
      <c r="Z226" s="657"/>
      <c r="AA226" s="481"/>
      <c r="AC226" s="456" t="s">
        <v>1941</v>
      </c>
      <c r="AD226" s="481"/>
      <c r="AF226" s="481"/>
      <c r="AG226" s="522"/>
      <c r="AH226" s="699"/>
    </row>
    <row r="227" spans="1:34" s="454" customFormat="1" ht="23.25" x14ac:dyDescent="0.25">
      <c r="A227" s="515" t="s">
        <v>863</v>
      </c>
      <c r="B227" s="686" t="s">
        <v>1943</v>
      </c>
      <c r="C227" s="2683" t="s">
        <v>1944</v>
      </c>
      <c r="D227" s="2683"/>
      <c r="E227" s="2683"/>
      <c r="F227" s="687" t="s">
        <v>1945</v>
      </c>
      <c r="G227" s="688">
        <v>0</v>
      </c>
      <c r="H227" s="688"/>
      <c r="I227" s="688">
        <v>0</v>
      </c>
      <c r="J227" s="688"/>
      <c r="K227" s="688"/>
      <c r="L227" s="689"/>
      <c r="M227" s="690"/>
      <c r="X227" s="656"/>
      <c r="Y227" s="657"/>
      <c r="Z227" s="657"/>
      <c r="AA227" s="481"/>
      <c r="AC227" s="456"/>
      <c r="AD227" s="481"/>
      <c r="AF227" s="481"/>
      <c r="AG227" s="522" t="s">
        <v>1944</v>
      </c>
      <c r="AH227" s="699"/>
    </row>
    <row r="228" spans="1:34" s="454" customFormat="1" ht="23.25" x14ac:dyDescent="0.25">
      <c r="A228" s="515" t="s">
        <v>863</v>
      </c>
      <c r="B228" s="686" t="s">
        <v>1946</v>
      </c>
      <c r="C228" s="2683" t="s">
        <v>1947</v>
      </c>
      <c r="D228" s="2683"/>
      <c r="E228" s="2683"/>
      <c r="F228" s="687" t="s">
        <v>1948</v>
      </c>
      <c r="G228" s="688">
        <v>0</v>
      </c>
      <c r="H228" s="688"/>
      <c r="I228" s="688">
        <v>0</v>
      </c>
      <c r="J228" s="688"/>
      <c r="K228" s="688"/>
      <c r="L228" s="689"/>
      <c r="M228" s="690"/>
      <c r="X228" s="656"/>
      <c r="Y228" s="657"/>
      <c r="Z228" s="657"/>
      <c r="AA228" s="481"/>
      <c r="AC228" s="456"/>
      <c r="AD228" s="481"/>
      <c r="AF228" s="481"/>
      <c r="AG228" s="522" t="s">
        <v>1947</v>
      </c>
      <c r="AH228" s="699"/>
    </row>
    <row r="229" spans="1:34" s="454" customFormat="1" ht="23.25" x14ac:dyDescent="0.25">
      <c r="A229" s="515" t="s">
        <v>863</v>
      </c>
      <c r="B229" s="686" t="s">
        <v>1949</v>
      </c>
      <c r="C229" s="2683" t="s">
        <v>1950</v>
      </c>
      <c r="D229" s="2683"/>
      <c r="E229" s="2683"/>
      <c r="F229" s="687" t="s">
        <v>1951</v>
      </c>
      <c r="G229" s="688">
        <v>0</v>
      </c>
      <c r="H229" s="688"/>
      <c r="I229" s="688">
        <v>0</v>
      </c>
      <c r="J229" s="688"/>
      <c r="K229" s="688"/>
      <c r="L229" s="689"/>
      <c r="M229" s="690"/>
      <c r="X229" s="656"/>
      <c r="Y229" s="657"/>
      <c r="Z229" s="657"/>
      <c r="AA229" s="481"/>
      <c r="AC229" s="456"/>
      <c r="AD229" s="481"/>
      <c r="AF229" s="481"/>
      <c r="AG229" s="522" t="s">
        <v>1950</v>
      </c>
      <c r="AH229" s="699"/>
    </row>
    <row r="230" spans="1:34" s="454" customFormat="1" ht="33.75" x14ac:dyDescent="0.25">
      <c r="A230" s="658" t="s">
        <v>917</v>
      </c>
      <c r="B230" s="659" t="s">
        <v>1449</v>
      </c>
      <c r="C230" s="2673" t="s">
        <v>1237</v>
      </c>
      <c r="D230" s="2673"/>
      <c r="E230" s="2673"/>
      <c r="F230" s="680">
        <v>-41.5</v>
      </c>
      <c r="G230" s="661" t="s">
        <v>1952</v>
      </c>
      <c r="H230" s="661"/>
      <c r="I230" s="661">
        <v>-887678</v>
      </c>
      <c r="J230" s="661"/>
      <c r="K230" s="662"/>
      <c r="L230" s="663">
        <v>0</v>
      </c>
      <c r="M230" s="663">
        <v>0</v>
      </c>
      <c r="X230" s="656"/>
      <c r="Y230" s="657"/>
      <c r="Z230" s="657"/>
      <c r="AA230" s="481" t="s">
        <v>1237</v>
      </c>
      <c r="AC230" s="456"/>
      <c r="AD230" s="481"/>
      <c r="AF230" s="481"/>
      <c r="AG230" s="522"/>
      <c r="AH230" s="699"/>
    </row>
    <row r="231" spans="1:34" s="454" customFormat="1" ht="15" x14ac:dyDescent="0.25">
      <c r="A231" s="542"/>
      <c r="B231" s="665"/>
      <c r="C231" s="666" t="s">
        <v>1953</v>
      </c>
      <c r="D231" s="667"/>
      <c r="E231" s="667"/>
      <c r="F231" s="667"/>
      <c r="G231" s="667"/>
      <c r="H231" s="667"/>
      <c r="I231" s="667"/>
      <c r="J231" s="667"/>
      <c r="K231" s="667"/>
      <c r="L231" s="667"/>
      <c r="M231" s="669"/>
      <c r="X231" s="656"/>
      <c r="Y231" s="657"/>
      <c r="Z231" s="657"/>
      <c r="AA231" s="481"/>
      <c r="AC231" s="456"/>
      <c r="AD231" s="481"/>
      <c r="AF231" s="481"/>
      <c r="AG231" s="522"/>
      <c r="AH231" s="699"/>
    </row>
    <row r="232" spans="1:34" s="454" customFormat="1" ht="15" x14ac:dyDescent="0.25">
      <c r="A232" s="2680" t="s">
        <v>1450</v>
      </c>
      <c r="B232" s="2681"/>
      <c r="C232" s="2681"/>
      <c r="D232" s="2681"/>
      <c r="E232" s="2681"/>
      <c r="F232" s="2681"/>
      <c r="G232" s="2681"/>
      <c r="H232" s="2681"/>
      <c r="I232" s="2681"/>
      <c r="J232" s="2681"/>
      <c r="K232" s="2681"/>
      <c r="L232" s="2681"/>
      <c r="M232" s="2682"/>
      <c r="X232" s="656"/>
      <c r="Y232" s="657" t="s">
        <v>1450</v>
      </c>
      <c r="Z232" s="657"/>
      <c r="AA232" s="481"/>
      <c r="AC232" s="456"/>
      <c r="AD232" s="481"/>
      <c r="AF232" s="481"/>
      <c r="AG232" s="522"/>
      <c r="AH232" s="699"/>
    </row>
    <row r="233" spans="1:34" s="454" customFormat="1" ht="57" x14ac:dyDescent="0.25">
      <c r="A233" s="658" t="s">
        <v>918</v>
      </c>
      <c r="B233" s="659" t="s">
        <v>1954</v>
      </c>
      <c r="C233" s="2673" t="s">
        <v>1955</v>
      </c>
      <c r="D233" s="2673"/>
      <c r="E233" s="2673"/>
      <c r="F233" s="660">
        <v>-1.4279999999999999</v>
      </c>
      <c r="G233" s="661" t="s">
        <v>1956</v>
      </c>
      <c r="H233" s="661" t="s">
        <v>1957</v>
      </c>
      <c r="I233" s="661">
        <v>-182639</v>
      </c>
      <c r="J233" s="661">
        <v>-14283</v>
      </c>
      <c r="K233" s="662" t="s">
        <v>1958</v>
      </c>
      <c r="L233" s="691">
        <v>1039.7328</v>
      </c>
      <c r="M233" s="672">
        <v>-1484.74</v>
      </c>
      <c r="X233" s="656"/>
      <c r="Y233" s="657"/>
      <c r="Z233" s="657"/>
      <c r="AA233" s="481" t="s">
        <v>1955</v>
      </c>
      <c r="AC233" s="456"/>
      <c r="AD233" s="481"/>
      <c r="AF233" s="481"/>
      <c r="AG233" s="522"/>
      <c r="AH233" s="699"/>
    </row>
    <row r="234" spans="1:34" s="454" customFormat="1" ht="15" x14ac:dyDescent="0.25">
      <c r="A234" s="664"/>
      <c r="B234" s="665"/>
      <c r="C234" s="666" t="s">
        <v>1959</v>
      </c>
      <c r="D234" s="667"/>
      <c r="E234" s="667"/>
      <c r="F234" s="667"/>
      <c r="G234" s="667"/>
      <c r="H234" s="667"/>
      <c r="I234" s="667"/>
      <c r="J234" s="667"/>
      <c r="K234" s="667"/>
      <c r="L234" s="667"/>
      <c r="M234" s="668"/>
      <c r="X234" s="656"/>
      <c r="Y234" s="657"/>
      <c r="Z234" s="657"/>
      <c r="AA234" s="481"/>
      <c r="AC234" s="456"/>
      <c r="AD234" s="481"/>
      <c r="AF234" s="481"/>
      <c r="AG234" s="522"/>
      <c r="AH234" s="699"/>
    </row>
    <row r="235" spans="1:34" s="454" customFormat="1" ht="15" x14ac:dyDescent="0.25">
      <c r="A235" s="542"/>
      <c r="B235" s="673" t="s">
        <v>1960</v>
      </c>
      <c r="C235" s="2670" t="s">
        <v>1961</v>
      </c>
      <c r="D235" s="2670"/>
      <c r="E235" s="2670"/>
      <c r="F235" s="2670"/>
      <c r="G235" s="2670"/>
      <c r="H235" s="2670"/>
      <c r="I235" s="2670"/>
      <c r="J235" s="2670"/>
      <c r="K235" s="2670"/>
      <c r="L235" s="2670"/>
      <c r="M235" s="2671"/>
      <c r="X235" s="656"/>
      <c r="Y235" s="657"/>
      <c r="Z235" s="657"/>
      <c r="AA235" s="481"/>
      <c r="AB235" s="491" t="s">
        <v>1961</v>
      </c>
      <c r="AC235" s="456"/>
      <c r="AD235" s="481"/>
      <c r="AF235" s="481"/>
      <c r="AG235" s="522"/>
      <c r="AH235" s="699"/>
    </row>
    <row r="236" spans="1:34" s="454" customFormat="1" ht="15" x14ac:dyDescent="0.25">
      <c r="A236" s="542"/>
      <c r="B236" s="673" t="s">
        <v>1962</v>
      </c>
      <c r="C236" s="2670" t="s">
        <v>1963</v>
      </c>
      <c r="D236" s="2670"/>
      <c r="E236" s="2670"/>
      <c r="F236" s="2670"/>
      <c r="G236" s="2670"/>
      <c r="H236" s="2670"/>
      <c r="I236" s="2670"/>
      <c r="J236" s="2670"/>
      <c r="K236" s="2670"/>
      <c r="L236" s="2670"/>
      <c r="M236" s="2671"/>
      <c r="X236" s="656"/>
      <c r="Y236" s="657"/>
      <c r="Z236" s="657"/>
      <c r="AA236" s="481"/>
      <c r="AB236" s="491" t="s">
        <v>1963</v>
      </c>
      <c r="AC236" s="456"/>
      <c r="AD236" s="481"/>
      <c r="AF236" s="481"/>
      <c r="AG236" s="522"/>
      <c r="AH236" s="699"/>
    </row>
    <row r="237" spans="1:34" s="454" customFormat="1" ht="15" x14ac:dyDescent="0.25">
      <c r="A237" s="542"/>
      <c r="B237" s="673" t="s">
        <v>1964</v>
      </c>
      <c r="C237" s="2670" t="s">
        <v>1965</v>
      </c>
      <c r="D237" s="2670"/>
      <c r="E237" s="2670"/>
      <c r="F237" s="2670"/>
      <c r="G237" s="2670"/>
      <c r="H237" s="2670"/>
      <c r="I237" s="2670"/>
      <c r="J237" s="2670"/>
      <c r="K237" s="2670"/>
      <c r="L237" s="2670"/>
      <c r="M237" s="2671"/>
      <c r="X237" s="656"/>
      <c r="Y237" s="657"/>
      <c r="Z237" s="657"/>
      <c r="AA237" s="481"/>
      <c r="AB237" s="491" t="s">
        <v>1965</v>
      </c>
      <c r="AC237" s="456"/>
      <c r="AD237" s="481"/>
      <c r="AF237" s="481"/>
      <c r="AG237" s="522"/>
      <c r="AH237" s="699"/>
    </row>
    <row r="238" spans="1:34" s="454" customFormat="1" ht="33.75" x14ac:dyDescent="0.25">
      <c r="A238" s="542"/>
      <c r="B238" s="673" t="s">
        <v>1655</v>
      </c>
      <c r="C238" s="2670" t="s">
        <v>1656</v>
      </c>
      <c r="D238" s="2670"/>
      <c r="E238" s="2670"/>
      <c r="F238" s="2670"/>
      <c r="G238" s="2670"/>
      <c r="H238" s="2670"/>
      <c r="I238" s="2670"/>
      <c r="J238" s="2670"/>
      <c r="K238" s="2670"/>
      <c r="L238" s="2670"/>
      <c r="M238" s="2671"/>
      <c r="X238" s="656"/>
      <c r="Y238" s="657"/>
      <c r="Z238" s="657"/>
      <c r="AA238" s="481"/>
      <c r="AB238" s="491" t="s">
        <v>1656</v>
      </c>
      <c r="AC238" s="456"/>
      <c r="AD238" s="481"/>
      <c r="AF238" s="481"/>
      <c r="AG238" s="522"/>
      <c r="AH238" s="699"/>
    </row>
    <row r="239" spans="1:34" s="454" customFormat="1" ht="23.25" x14ac:dyDescent="0.25">
      <c r="A239" s="507"/>
      <c r="B239" s="674" t="s">
        <v>1883</v>
      </c>
      <c r="C239" s="2672" t="s">
        <v>1884</v>
      </c>
      <c r="D239" s="2672"/>
      <c r="E239" s="2672"/>
      <c r="F239" s="675" t="s">
        <v>1966</v>
      </c>
      <c r="G239" s="676" t="s">
        <v>1886</v>
      </c>
      <c r="H239" s="676"/>
      <c r="I239" s="676">
        <v>-14283.2</v>
      </c>
      <c r="J239" s="676">
        <v>-14283.2</v>
      </c>
      <c r="K239" s="676"/>
      <c r="L239" s="677"/>
      <c r="M239" s="678"/>
      <c r="X239" s="656"/>
      <c r="Y239" s="657"/>
      <c r="Z239" s="657"/>
      <c r="AA239" s="481"/>
      <c r="AC239" s="456" t="s">
        <v>1884</v>
      </c>
      <c r="AD239" s="481"/>
      <c r="AF239" s="481"/>
      <c r="AG239" s="522"/>
      <c r="AH239" s="699"/>
    </row>
    <row r="240" spans="1:34" s="454" customFormat="1" ht="23.25" x14ac:dyDescent="0.25">
      <c r="A240" s="507"/>
      <c r="B240" s="674" t="s">
        <v>639</v>
      </c>
      <c r="C240" s="2672" t="s">
        <v>1661</v>
      </c>
      <c r="D240" s="2672"/>
      <c r="E240" s="2672"/>
      <c r="F240" s="675" t="s">
        <v>1967</v>
      </c>
      <c r="G240" s="676">
        <v>0</v>
      </c>
      <c r="H240" s="676">
        <v>0</v>
      </c>
      <c r="I240" s="676">
        <v>0</v>
      </c>
      <c r="J240" s="676"/>
      <c r="K240" s="676">
        <v>0</v>
      </c>
      <c r="L240" s="677"/>
      <c r="M240" s="678"/>
      <c r="X240" s="656"/>
      <c r="Y240" s="657"/>
      <c r="Z240" s="657"/>
      <c r="AA240" s="481"/>
      <c r="AC240" s="456" t="s">
        <v>1661</v>
      </c>
      <c r="AD240" s="481"/>
      <c r="AF240" s="481"/>
      <c r="AG240" s="522"/>
      <c r="AH240" s="699"/>
    </row>
    <row r="241" spans="1:34" s="454" customFormat="1" ht="23.25" x14ac:dyDescent="0.25">
      <c r="A241" s="507"/>
      <c r="B241" s="674" t="s">
        <v>1968</v>
      </c>
      <c r="C241" s="2672" t="s">
        <v>1969</v>
      </c>
      <c r="D241" s="2672"/>
      <c r="E241" s="2672"/>
      <c r="F241" s="675" t="s">
        <v>1970</v>
      </c>
      <c r="G241" s="676">
        <v>79.069999999999993</v>
      </c>
      <c r="H241" s="676" t="s">
        <v>1971</v>
      </c>
      <c r="I241" s="676">
        <v>-330.51</v>
      </c>
      <c r="J241" s="676"/>
      <c r="K241" s="676" t="s">
        <v>1972</v>
      </c>
      <c r="L241" s="677"/>
      <c r="M241" s="678"/>
      <c r="X241" s="656"/>
      <c r="Y241" s="657"/>
      <c r="Z241" s="657"/>
      <c r="AA241" s="481"/>
      <c r="AC241" s="456" t="s">
        <v>1969</v>
      </c>
      <c r="AD241" s="481"/>
      <c r="AF241" s="481"/>
      <c r="AG241" s="522"/>
      <c r="AH241" s="699"/>
    </row>
    <row r="242" spans="1:34" s="454" customFormat="1" ht="45.75" x14ac:dyDescent="0.25">
      <c r="A242" s="507"/>
      <c r="B242" s="674" t="s">
        <v>1973</v>
      </c>
      <c r="C242" s="2672" t="s">
        <v>1974</v>
      </c>
      <c r="D242" s="2672"/>
      <c r="E242" s="2672"/>
      <c r="F242" s="675" t="s">
        <v>1975</v>
      </c>
      <c r="G242" s="676">
        <v>70.010000000000005</v>
      </c>
      <c r="H242" s="676" t="s">
        <v>1976</v>
      </c>
      <c r="I242" s="676">
        <v>-394.16</v>
      </c>
      <c r="J242" s="676"/>
      <c r="K242" s="676" t="s">
        <v>1977</v>
      </c>
      <c r="L242" s="677"/>
      <c r="M242" s="678"/>
      <c r="X242" s="656"/>
      <c r="Y242" s="657"/>
      <c r="Z242" s="657"/>
      <c r="AA242" s="481"/>
      <c r="AC242" s="456" t="s">
        <v>1974</v>
      </c>
      <c r="AD242" s="481"/>
      <c r="AF242" s="481"/>
      <c r="AG242" s="522"/>
      <c r="AH242" s="699"/>
    </row>
    <row r="243" spans="1:34" s="454" customFormat="1" ht="57" x14ac:dyDescent="0.25">
      <c r="A243" s="507"/>
      <c r="B243" s="674" t="s">
        <v>1978</v>
      </c>
      <c r="C243" s="2672" t="s">
        <v>1979</v>
      </c>
      <c r="D243" s="2672"/>
      <c r="E243" s="2672"/>
      <c r="F243" s="675" t="s">
        <v>1980</v>
      </c>
      <c r="G243" s="676">
        <v>340</v>
      </c>
      <c r="H243" s="676" t="s">
        <v>1981</v>
      </c>
      <c r="I243" s="676">
        <v>-107987.4</v>
      </c>
      <c r="J243" s="676"/>
      <c r="K243" s="676" t="s">
        <v>1982</v>
      </c>
      <c r="L243" s="677"/>
      <c r="M243" s="678"/>
      <c r="X243" s="656"/>
      <c r="Y243" s="657"/>
      <c r="Z243" s="657"/>
      <c r="AA243" s="481"/>
      <c r="AC243" s="456" t="s">
        <v>1979</v>
      </c>
      <c r="AD243" s="481"/>
      <c r="AF243" s="481"/>
      <c r="AG243" s="522"/>
      <c r="AH243" s="699"/>
    </row>
    <row r="244" spans="1:34" s="454" customFormat="1" ht="34.5" x14ac:dyDescent="0.25">
      <c r="A244" s="507"/>
      <c r="B244" s="674" t="s">
        <v>1663</v>
      </c>
      <c r="C244" s="2672" t="s">
        <v>1664</v>
      </c>
      <c r="D244" s="2672"/>
      <c r="E244" s="2672"/>
      <c r="F244" s="675" t="s">
        <v>1983</v>
      </c>
      <c r="G244" s="676">
        <v>111.99</v>
      </c>
      <c r="H244" s="676" t="s">
        <v>1666</v>
      </c>
      <c r="I244" s="676">
        <v>-618.17999999999995</v>
      </c>
      <c r="J244" s="676"/>
      <c r="K244" s="676" t="s">
        <v>1984</v>
      </c>
      <c r="L244" s="677"/>
      <c r="M244" s="678"/>
      <c r="X244" s="656"/>
      <c r="Y244" s="657"/>
      <c r="Z244" s="657"/>
      <c r="AA244" s="481"/>
      <c r="AC244" s="456" t="s">
        <v>1664</v>
      </c>
      <c r="AD244" s="481"/>
      <c r="AF244" s="481"/>
      <c r="AG244" s="522"/>
      <c r="AH244" s="699"/>
    </row>
    <row r="245" spans="1:34" s="454" customFormat="1" ht="23.25" x14ac:dyDescent="0.25">
      <c r="A245" s="507"/>
      <c r="B245" s="674" t="s">
        <v>1985</v>
      </c>
      <c r="C245" s="2672" t="s">
        <v>1986</v>
      </c>
      <c r="D245" s="2672"/>
      <c r="E245" s="2672"/>
      <c r="F245" s="675" t="s">
        <v>1987</v>
      </c>
      <c r="G245" s="676">
        <v>26.5</v>
      </c>
      <c r="H245" s="676" t="s">
        <v>1988</v>
      </c>
      <c r="I245" s="676">
        <v>-1999.43</v>
      </c>
      <c r="J245" s="676"/>
      <c r="K245" s="676" t="s">
        <v>1989</v>
      </c>
      <c r="L245" s="677"/>
      <c r="M245" s="678"/>
      <c r="X245" s="656"/>
      <c r="Y245" s="657"/>
      <c r="Z245" s="657"/>
      <c r="AA245" s="481"/>
      <c r="AC245" s="456" t="s">
        <v>1986</v>
      </c>
      <c r="AD245" s="481"/>
      <c r="AF245" s="481"/>
      <c r="AG245" s="522"/>
      <c r="AH245" s="699"/>
    </row>
    <row r="246" spans="1:34" s="454" customFormat="1" ht="34.5" x14ac:dyDescent="0.25">
      <c r="A246" s="507"/>
      <c r="B246" s="674" t="s">
        <v>821</v>
      </c>
      <c r="C246" s="2672" t="s">
        <v>1751</v>
      </c>
      <c r="D246" s="2672"/>
      <c r="E246" s="2672"/>
      <c r="F246" s="675" t="s">
        <v>1990</v>
      </c>
      <c r="G246" s="676">
        <v>65.709999999999994</v>
      </c>
      <c r="H246" s="676" t="s">
        <v>1753</v>
      </c>
      <c r="I246" s="676">
        <v>-544.08000000000004</v>
      </c>
      <c r="J246" s="676"/>
      <c r="K246" s="676" t="s">
        <v>1991</v>
      </c>
      <c r="L246" s="677"/>
      <c r="M246" s="678"/>
      <c r="X246" s="656"/>
      <c r="Y246" s="657"/>
      <c r="Z246" s="657"/>
      <c r="AA246" s="481"/>
      <c r="AC246" s="456" t="s">
        <v>1751</v>
      </c>
      <c r="AD246" s="481"/>
      <c r="AF246" s="481"/>
      <c r="AG246" s="522"/>
      <c r="AH246" s="699"/>
    </row>
    <row r="247" spans="1:34" s="454" customFormat="1" ht="23.25" x14ac:dyDescent="0.25">
      <c r="A247" s="515" t="s">
        <v>863</v>
      </c>
      <c r="B247" s="686" t="s">
        <v>1992</v>
      </c>
      <c r="C247" s="2683" t="s">
        <v>1993</v>
      </c>
      <c r="D247" s="2683"/>
      <c r="E247" s="2683"/>
      <c r="F247" s="687" t="s">
        <v>1994</v>
      </c>
      <c r="G247" s="688">
        <v>0</v>
      </c>
      <c r="H247" s="688"/>
      <c r="I247" s="688">
        <v>0</v>
      </c>
      <c r="J247" s="688"/>
      <c r="K247" s="688"/>
      <c r="L247" s="689"/>
      <c r="M247" s="690"/>
      <c r="X247" s="656"/>
      <c r="Y247" s="657"/>
      <c r="Z247" s="657"/>
      <c r="AA247" s="481"/>
      <c r="AC247" s="456"/>
      <c r="AD247" s="481"/>
      <c r="AF247" s="481"/>
      <c r="AG247" s="522" t="s">
        <v>1993</v>
      </c>
      <c r="AH247" s="699"/>
    </row>
    <row r="248" spans="1:34" s="454" customFormat="1" ht="57" x14ac:dyDescent="0.25">
      <c r="A248" s="507"/>
      <c r="B248" s="674" t="s">
        <v>1995</v>
      </c>
      <c r="C248" s="2672" t="s">
        <v>1996</v>
      </c>
      <c r="D248" s="2672"/>
      <c r="E248" s="2672"/>
      <c r="F248" s="675" t="s">
        <v>1997</v>
      </c>
      <c r="G248" s="676">
        <v>183.68</v>
      </c>
      <c r="H248" s="676"/>
      <c r="I248" s="676">
        <v>-543.51</v>
      </c>
      <c r="J248" s="676"/>
      <c r="K248" s="676"/>
      <c r="L248" s="677"/>
      <c r="M248" s="678"/>
      <c r="X248" s="656"/>
      <c r="Y248" s="657"/>
      <c r="Z248" s="657"/>
      <c r="AA248" s="481"/>
      <c r="AC248" s="456" t="s">
        <v>1996</v>
      </c>
      <c r="AD248" s="481"/>
      <c r="AF248" s="481"/>
      <c r="AG248" s="522"/>
      <c r="AH248" s="699"/>
    </row>
    <row r="249" spans="1:34" s="454" customFormat="1" ht="23.25" x14ac:dyDescent="0.25">
      <c r="A249" s="515" t="s">
        <v>863</v>
      </c>
      <c r="B249" s="686" t="s">
        <v>1998</v>
      </c>
      <c r="C249" s="2683" t="s">
        <v>1999</v>
      </c>
      <c r="D249" s="2683"/>
      <c r="E249" s="2683"/>
      <c r="F249" s="687" t="s">
        <v>2000</v>
      </c>
      <c r="G249" s="688">
        <v>0</v>
      </c>
      <c r="H249" s="688"/>
      <c r="I249" s="688">
        <v>0</v>
      </c>
      <c r="J249" s="688"/>
      <c r="K249" s="688"/>
      <c r="L249" s="689"/>
      <c r="M249" s="690"/>
      <c r="X249" s="656"/>
      <c r="Y249" s="657"/>
      <c r="Z249" s="657"/>
      <c r="AA249" s="481"/>
      <c r="AC249" s="456"/>
      <c r="AD249" s="481"/>
      <c r="AF249" s="481"/>
      <c r="AG249" s="522" t="s">
        <v>1999</v>
      </c>
      <c r="AH249" s="699"/>
    </row>
    <row r="250" spans="1:34" s="454" customFormat="1" ht="22.5" x14ac:dyDescent="0.25">
      <c r="A250" s="515" t="s">
        <v>860</v>
      </c>
      <c r="B250" s="686" t="s">
        <v>2001</v>
      </c>
      <c r="C250" s="2683" t="s">
        <v>2002</v>
      </c>
      <c r="D250" s="2683"/>
      <c r="E250" s="2683"/>
      <c r="F250" s="687" t="s">
        <v>1935</v>
      </c>
      <c r="G250" s="688">
        <v>0</v>
      </c>
      <c r="H250" s="688"/>
      <c r="I250" s="688">
        <v>0</v>
      </c>
      <c r="J250" s="688"/>
      <c r="K250" s="688"/>
      <c r="L250" s="689"/>
      <c r="M250" s="690"/>
      <c r="X250" s="656"/>
      <c r="Y250" s="657"/>
      <c r="Z250" s="657"/>
      <c r="AA250" s="481"/>
      <c r="AC250" s="456"/>
      <c r="AD250" s="481"/>
      <c r="AF250" s="481"/>
      <c r="AG250" s="522" t="s">
        <v>2002</v>
      </c>
      <c r="AH250" s="699"/>
    </row>
    <row r="251" spans="1:34" s="454" customFormat="1" ht="57" x14ac:dyDescent="0.25">
      <c r="A251" s="658" t="s">
        <v>919</v>
      </c>
      <c r="B251" s="659" t="s">
        <v>2003</v>
      </c>
      <c r="C251" s="2673" t="s">
        <v>2004</v>
      </c>
      <c r="D251" s="2673"/>
      <c r="E251" s="2673"/>
      <c r="F251" s="660">
        <v>-0.252</v>
      </c>
      <c r="G251" s="661" t="s">
        <v>2005</v>
      </c>
      <c r="H251" s="661" t="s">
        <v>2006</v>
      </c>
      <c r="I251" s="661">
        <v>-97822</v>
      </c>
      <c r="J251" s="661">
        <v>-7470</v>
      </c>
      <c r="K251" s="662" t="s">
        <v>2007</v>
      </c>
      <c r="L251" s="691">
        <v>3081.2808</v>
      </c>
      <c r="M251" s="672">
        <v>-776.48</v>
      </c>
      <c r="X251" s="656"/>
      <c r="Y251" s="657"/>
      <c r="Z251" s="657"/>
      <c r="AA251" s="481" t="s">
        <v>2004</v>
      </c>
      <c r="AC251" s="456"/>
      <c r="AD251" s="481"/>
      <c r="AF251" s="481"/>
      <c r="AG251" s="522"/>
      <c r="AH251" s="699"/>
    </row>
    <row r="252" spans="1:34" s="454" customFormat="1" ht="15" x14ac:dyDescent="0.25">
      <c r="A252" s="664"/>
      <c r="B252" s="665"/>
      <c r="C252" s="666" t="s">
        <v>2008</v>
      </c>
      <c r="D252" s="667"/>
      <c r="E252" s="667"/>
      <c r="F252" s="667"/>
      <c r="G252" s="667"/>
      <c r="H252" s="667"/>
      <c r="I252" s="667"/>
      <c r="J252" s="667"/>
      <c r="K252" s="667"/>
      <c r="L252" s="667"/>
      <c r="M252" s="668"/>
      <c r="X252" s="656"/>
      <c r="Y252" s="657"/>
      <c r="Z252" s="657"/>
      <c r="AA252" s="481"/>
      <c r="AC252" s="456"/>
      <c r="AD252" s="481"/>
      <c r="AF252" s="481"/>
      <c r="AG252" s="522"/>
      <c r="AH252" s="699"/>
    </row>
    <row r="253" spans="1:34" s="454" customFormat="1" ht="15" x14ac:dyDescent="0.25">
      <c r="A253" s="542"/>
      <c r="B253" s="673" t="s">
        <v>1960</v>
      </c>
      <c r="C253" s="2670" t="s">
        <v>1961</v>
      </c>
      <c r="D253" s="2670"/>
      <c r="E253" s="2670"/>
      <c r="F253" s="2670"/>
      <c r="G253" s="2670"/>
      <c r="H253" s="2670"/>
      <c r="I253" s="2670"/>
      <c r="J253" s="2670"/>
      <c r="K253" s="2670"/>
      <c r="L253" s="2670"/>
      <c r="M253" s="2671"/>
      <c r="X253" s="656"/>
      <c r="Y253" s="657"/>
      <c r="Z253" s="657"/>
      <c r="AA253" s="481"/>
      <c r="AB253" s="491" t="s">
        <v>1961</v>
      </c>
      <c r="AC253" s="456"/>
      <c r="AD253" s="481"/>
      <c r="AF253" s="481"/>
      <c r="AG253" s="522"/>
      <c r="AH253" s="699"/>
    </row>
    <row r="254" spans="1:34" s="454" customFormat="1" ht="15" x14ac:dyDescent="0.25">
      <c r="A254" s="542"/>
      <c r="B254" s="673" t="s">
        <v>1962</v>
      </c>
      <c r="C254" s="2670" t="s">
        <v>1963</v>
      </c>
      <c r="D254" s="2670"/>
      <c r="E254" s="2670"/>
      <c r="F254" s="2670"/>
      <c r="G254" s="2670"/>
      <c r="H254" s="2670"/>
      <c r="I254" s="2670"/>
      <c r="J254" s="2670"/>
      <c r="K254" s="2670"/>
      <c r="L254" s="2670"/>
      <c r="M254" s="2671"/>
      <c r="X254" s="656"/>
      <c r="Y254" s="657"/>
      <c r="Z254" s="657"/>
      <c r="AA254" s="481"/>
      <c r="AB254" s="491" t="s">
        <v>1963</v>
      </c>
      <c r="AC254" s="456"/>
      <c r="AD254" s="481"/>
      <c r="AF254" s="481"/>
      <c r="AG254" s="522"/>
      <c r="AH254" s="699"/>
    </row>
    <row r="255" spans="1:34" s="454" customFormat="1" ht="15" x14ac:dyDescent="0.25">
      <c r="A255" s="542"/>
      <c r="B255" s="673" t="s">
        <v>1964</v>
      </c>
      <c r="C255" s="2670" t="s">
        <v>1965</v>
      </c>
      <c r="D255" s="2670"/>
      <c r="E255" s="2670"/>
      <c r="F255" s="2670"/>
      <c r="G255" s="2670"/>
      <c r="H255" s="2670"/>
      <c r="I255" s="2670"/>
      <c r="J255" s="2670"/>
      <c r="K255" s="2670"/>
      <c r="L255" s="2670"/>
      <c r="M255" s="2671"/>
      <c r="X255" s="656"/>
      <c r="Y255" s="657"/>
      <c r="Z255" s="657"/>
      <c r="AA255" s="481"/>
      <c r="AB255" s="491" t="s">
        <v>1965</v>
      </c>
      <c r="AC255" s="456"/>
      <c r="AD255" s="481"/>
      <c r="AF255" s="481"/>
      <c r="AG255" s="522"/>
      <c r="AH255" s="699"/>
    </row>
    <row r="256" spans="1:34" s="454" customFormat="1" ht="33.75" x14ac:dyDescent="0.25">
      <c r="A256" s="542"/>
      <c r="B256" s="673" t="s">
        <v>1655</v>
      </c>
      <c r="C256" s="2670" t="s">
        <v>1656</v>
      </c>
      <c r="D256" s="2670"/>
      <c r="E256" s="2670"/>
      <c r="F256" s="2670"/>
      <c r="G256" s="2670"/>
      <c r="H256" s="2670"/>
      <c r="I256" s="2670"/>
      <c r="J256" s="2670"/>
      <c r="K256" s="2670"/>
      <c r="L256" s="2670"/>
      <c r="M256" s="2671"/>
      <c r="X256" s="656"/>
      <c r="Y256" s="657"/>
      <c r="Z256" s="657"/>
      <c r="AA256" s="481"/>
      <c r="AB256" s="491" t="s">
        <v>1656</v>
      </c>
      <c r="AC256" s="456"/>
      <c r="AD256" s="481"/>
      <c r="AF256" s="481"/>
      <c r="AG256" s="522"/>
      <c r="AH256" s="699"/>
    </row>
    <row r="257" spans="1:34" s="454" customFormat="1" ht="23.25" x14ac:dyDescent="0.25">
      <c r="A257" s="507"/>
      <c r="B257" s="674" t="s">
        <v>1883</v>
      </c>
      <c r="C257" s="2672" t="s">
        <v>1884</v>
      </c>
      <c r="D257" s="2672"/>
      <c r="E257" s="2672"/>
      <c r="F257" s="675" t="s">
        <v>2009</v>
      </c>
      <c r="G257" s="676" t="s">
        <v>1886</v>
      </c>
      <c r="H257" s="676"/>
      <c r="I257" s="676">
        <v>-7469.74</v>
      </c>
      <c r="J257" s="676">
        <v>-7469.74</v>
      </c>
      <c r="K257" s="676"/>
      <c r="L257" s="677"/>
      <c r="M257" s="678"/>
      <c r="X257" s="656"/>
      <c r="Y257" s="657"/>
      <c r="Z257" s="657"/>
      <c r="AA257" s="481"/>
      <c r="AC257" s="456" t="s">
        <v>1884</v>
      </c>
      <c r="AD257" s="481"/>
      <c r="AF257" s="481"/>
      <c r="AG257" s="522"/>
      <c r="AH257" s="699"/>
    </row>
    <row r="258" spans="1:34" s="454" customFormat="1" ht="23.25" x14ac:dyDescent="0.25">
      <c r="A258" s="507"/>
      <c r="B258" s="674" t="s">
        <v>639</v>
      </c>
      <c r="C258" s="2672" t="s">
        <v>1661</v>
      </c>
      <c r="D258" s="2672"/>
      <c r="E258" s="2672"/>
      <c r="F258" s="675" t="s">
        <v>2010</v>
      </c>
      <c r="G258" s="676">
        <v>0</v>
      </c>
      <c r="H258" s="676">
        <v>0</v>
      </c>
      <c r="I258" s="676">
        <v>0</v>
      </c>
      <c r="J258" s="676"/>
      <c r="K258" s="676">
        <v>0</v>
      </c>
      <c r="L258" s="677"/>
      <c r="M258" s="678"/>
      <c r="X258" s="656"/>
      <c r="Y258" s="657"/>
      <c r="Z258" s="657"/>
      <c r="AA258" s="481"/>
      <c r="AC258" s="456" t="s">
        <v>1661</v>
      </c>
      <c r="AD258" s="481"/>
      <c r="AF258" s="481"/>
      <c r="AG258" s="522"/>
      <c r="AH258" s="699"/>
    </row>
    <row r="259" spans="1:34" s="454" customFormat="1" ht="23.25" x14ac:dyDescent="0.25">
      <c r="A259" s="507"/>
      <c r="B259" s="674" t="s">
        <v>1968</v>
      </c>
      <c r="C259" s="2672" t="s">
        <v>1969</v>
      </c>
      <c r="D259" s="2672"/>
      <c r="E259" s="2672"/>
      <c r="F259" s="675" t="s">
        <v>2011</v>
      </c>
      <c r="G259" s="676">
        <v>79.069999999999993</v>
      </c>
      <c r="H259" s="676" t="s">
        <v>1971</v>
      </c>
      <c r="I259" s="676">
        <v>-58.51</v>
      </c>
      <c r="J259" s="676"/>
      <c r="K259" s="676" t="s">
        <v>2012</v>
      </c>
      <c r="L259" s="677"/>
      <c r="M259" s="678"/>
      <c r="X259" s="656"/>
      <c r="Y259" s="657"/>
      <c r="Z259" s="657"/>
      <c r="AA259" s="481"/>
      <c r="AC259" s="456" t="s">
        <v>1969</v>
      </c>
      <c r="AD259" s="481"/>
      <c r="AF259" s="481"/>
      <c r="AG259" s="522"/>
      <c r="AH259" s="699"/>
    </row>
    <row r="260" spans="1:34" s="454" customFormat="1" ht="45.75" x14ac:dyDescent="0.25">
      <c r="A260" s="507"/>
      <c r="B260" s="674" t="s">
        <v>1973</v>
      </c>
      <c r="C260" s="2672" t="s">
        <v>1974</v>
      </c>
      <c r="D260" s="2672"/>
      <c r="E260" s="2672"/>
      <c r="F260" s="675" t="s">
        <v>2013</v>
      </c>
      <c r="G260" s="676">
        <v>70.010000000000005</v>
      </c>
      <c r="H260" s="676" t="s">
        <v>1976</v>
      </c>
      <c r="I260" s="676">
        <v>-69.31</v>
      </c>
      <c r="J260" s="676"/>
      <c r="K260" s="676" t="s">
        <v>2014</v>
      </c>
      <c r="L260" s="677"/>
      <c r="M260" s="678"/>
      <c r="X260" s="656"/>
      <c r="Y260" s="657"/>
      <c r="Z260" s="657"/>
      <c r="AA260" s="481"/>
      <c r="AC260" s="456" t="s">
        <v>1974</v>
      </c>
      <c r="AD260" s="481"/>
      <c r="AF260" s="481"/>
      <c r="AG260" s="522"/>
      <c r="AH260" s="699"/>
    </row>
    <row r="261" spans="1:34" s="454" customFormat="1" ht="57" x14ac:dyDescent="0.25">
      <c r="A261" s="507"/>
      <c r="B261" s="674" t="s">
        <v>1978</v>
      </c>
      <c r="C261" s="2672" t="s">
        <v>1979</v>
      </c>
      <c r="D261" s="2672"/>
      <c r="E261" s="2672"/>
      <c r="F261" s="675" t="s">
        <v>2015</v>
      </c>
      <c r="G261" s="676">
        <v>340</v>
      </c>
      <c r="H261" s="676" t="s">
        <v>1981</v>
      </c>
      <c r="I261" s="676">
        <v>-59323.199999999997</v>
      </c>
      <c r="J261" s="676"/>
      <c r="K261" s="676" t="s">
        <v>2016</v>
      </c>
      <c r="L261" s="677"/>
      <c r="M261" s="678"/>
      <c r="X261" s="656"/>
      <c r="Y261" s="657"/>
      <c r="Z261" s="657"/>
      <c r="AA261" s="481"/>
      <c r="AC261" s="456" t="s">
        <v>1979</v>
      </c>
      <c r="AD261" s="481"/>
      <c r="AF261" s="481"/>
      <c r="AG261" s="522"/>
      <c r="AH261" s="699"/>
    </row>
    <row r="262" spans="1:34" s="454" customFormat="1" ht="34.5" x14ac:dyDescent="0.25">
      <c r="A262" s="507"/>
      <c r="B262" s="674" t="s">
        <v>1663</v>
      </c>
      <c r="C262" s="2672" t="s">
        <v>1664</v>
      </c>
      <c r="D262" s="2672"/>
      <c r="E262" s="2672"/>
      <c r="F262" s="675" t="s">
        <v>2017</v>
      </c>
      <c r="G262" s="676">
        <v>111.99</v>
      </c>
      <c r="H262" s="676" t="s">
        <v>1666</v>
      </c>
      <c r="I262" s="676">
        <v>-122.07</v>
      </c>
      <c r="J262" s="676"/>
      <c r="K262" s="676" t="s">
        <v>2018</v>
      </c>
      <c r="L262" s="677"/>
      <c r="M262" s="678"/>
      <c r="X262" s="656"/>
      <c r="Y262" s="657"/>
      <c r="Z262" s="657"/>
      <c r="AA262" s="481"/>
      <c r="AC262" s="456" t="s">
        <v>1664</v>
      </c>
      <c r="AD262" s="481"/>
      <c r="AF262" s="481"/>
      <c r="AG262" s="522"/>
      <c r="AH262" s="699"/>
    </row>
    <row r="263" spans="1:34" s="454" customFormat="1" ht="23.25" x14ac:dyDescent="0.25">
      <c r="A263" s="507"/>
      <c r="B263" s="674" t="s">
        <v>1985</v>
      </c>
      <c r="C263" s="2672" t="s">
        <v>1986</v>
      </c>
      <c r="D263" s="2672"/>
      <c r="E263" s="2672"/>
      <c r="F263" s="675" t="s">
        <v>2019</v>
      </c>
      <c r="G263" s="676">
        <v>26.5</v>
      </c>
      <c r="H263" s="676" t="s">
        <v>1988</v>
      </c>
      <c r="I263" s="676">
        <v>-352.98</v>
      </c>
      <c r="J263" s="676"/>
      <c r="K263" s="676" t="s">
        <v>2020</v>
      </c>
      <c r="L263" s="677"/>
      <c r="M263" s="678"/>
      <c r="X263" s="656"/>
      <c r="Y263" s="657"/>
      <c r="Z263" s="657"/>
      <c r="AA263" s="481"/>
      <c r="AC263" s="456" t="s">
        <v>1986</v>
      </c>
      <c r="AD263" s="481"/>
      <c r="AF263" s="481"/>
      <c r="AG263" s="522"/>
      <c r="AH263" s="699"/>
    </row>
    <row r="264" spans="1:34" s="454" customFormat="1" ht="34.5" x14ac:dyDescent="0.25">
      <c r="A264" s="507"/>
      <c r="B264" s="674" t="s">
        <v>821</v>
      </c>
      <c r="C264" s="2672" t="s">
        <v>1751</v>
      </c>
      <c r="D264" s="2672"/>
      <c r="E264" s="2672"/>
      <c r="F264" s="675" t="s">
        <v>2021</v>
      </c>
      <c r="G264" s="676">
        <v>65.709999999999994</v>
      </c>
      <c r="H264" s="676" t="s">
        <v>1753</v>
      </c>
      <c r="I264" s="676">
        <v>-107.76</v>
      </c>
      <c r="J264" s="676"/>
      <c r="K264" s="676" t="s">
        <v>2022</v>
      </c>
      <c r="L264" s="677"/>
      <c r="M264" s="678"/>
      <c r="X264" s="656"/>
      <c r="Y264" s="657"/>
      <c r="Z264" s="657"/>
      <c r="AA264" s="481"/>
      <c r="AC264" s="456" t="s">
        <v>1751</v>
      </c>
      <c r="AD264" s="481"/>
      <c r="AF264" s="481"/>
      <c r="AG264" s="522"/>
      <c r="AH264" s="699"/>
    </row>
    <row r="265" spans="1:34" s="454" customFormat="1" ht="23.25" x14ac:dyDescent="0.25">
      <c r="A265" s="515" t="s">
        <v>863</v>
      </c>
      <c r="B265" s="686" t="s">
        <v>1992</v>
      </c>
      <c r="C265" s="2683" t="s">
        <v>1993</v>
      </c>
      <c r="D265" s="2683"/>
      <c r="E265" s="2683"/>
      <c r="F265" s="687" t="s">
        <v>2023</v>
      </c>
      <c r="G265" s="688">
        <v>0</v>
      </c>
      <c r="H265" s="688"/>
      <c r="I265" s="688">
        <v>0</v>
      </c>
      <c r="J265" s="688"/>
      <c r="K265" s="688"/>
      <c r="L265" s="689"/>
      <c r="M265" s="690"/>
      <c r="X265" s="656"/>
      <c r="Y265" s="657"/>
      <c r="Z265" s="657"/>
      <c r="AA265" s="481"/>
      <c r="AC265" s="456"/>
      <c r="AD265" s="481"/>
      <c r="AF265" s="481"/>
      <c r="AG265" s="522" t="s">
        <v>1993</v>
      </c>
      <c r="AH265" s="699"/>
    </row>
    <row r="266" spans="1:34" s="454" customFormat="1" ht="57" x14ac:dyDescent="0.25">
      <c r="A266" s="507"/>
      <c r="B266" s="674" t="s">
        <v>1995</v>
      </c>
      <c r="C266" s="2672" t="s">
        <v>1996</v>
      </c>
      <c r="D266" s="2672"/>
      <c r="E266" s="2672"/>
      <c r="F266" s="675" t="s">
        <v>2024</v>
      </c>
      <c r="G266" s="676">
        <v>183.68</v>
      </c>
      <c r="H266" s="676"/>
      <c r="I266" s="676">
        <v>-299.95</v>
      </c>
      <c r="J266" s="676"/>
      <c r="K266" s="676"/>
      <c r="L266" s="677"/>
      <c r="M266" s="678"/>
      <c r="X266" s="656"/>
      <c r="Y266" s="657"/>
      <c r="Z266" s="657"/>
      <c r="AA266" s="481"/>
      <c r="AC266" s="456" t="s">
        <v>1996</v>
      </c>
      <c r="AD266" s="481"/>
      <c r="AF266" s="481"/>
      <c r="AG266" s="522"/>
      <c r="AH266" s="699"/>
    </row>
    <row r="267" spans="1:34" s="454" customFormat="1" ht="23.25" x14ac:dyDescent="0.25">
      <c r="A267" s="515" t="s">
        <v>863</v>
      </c>
      <c r="B267" s="686" t="s">
        <v>1998</v>
      </c>
      <c r="C267" s="2683" t="s">
        <v>1999</v>
      </c>
      <c r="D267" s="2683"/>
      <c r="E267" s="2683"/>
      <c r="F267" s="687" t="s">
        <v>2025</v>
      </c>
      <c r="G267" s="688">
        <v>0</v>
      </c>
      <c r="H267" s="688"/>
      <c r="I267" s="688">
        <v>0</v>
      </c>
      <c r="J267" s="688"/>
      <c r="K267" s="688"/>
      <c r="L267" s="689"/>
      <c r="M267" s="690"/>
      <c r="X267" s="656"/>
      <c r="Y267" s="657"/>
      <c r="Z267" s="657"/>
      <c r="AA267" s="481"/>
      <c r="AC267" s="456"/>
      <c r="AD267" s="481"/>
      <c r="AF267" s="481"/>
      <c r="AG267" s="522" t="s">
        <v>1999</v>
      </c>
      <c r="AH267" s="699"/>
    </row>
    <row r="268" spans="1:34" s="454" customFormat="1" ht="22.5" x14ac:dyDescent="0.25">
      <c r="A268" s="515" t="s">
        <v>860</v>
      </c>
      <c r="B268" s="686" t="s">
        <v>2001</v>
      </c>
      <c r="C268" s="2683" t="s">
        <v>2002</v>
      </c>
      <c r="D268" s="2683"/>
      <c r="E268" s="2683"/>
      <c r="F268" s="687" t="s">
        <v>1935</v>
      </c>
      <c r="G268" s="688">
        <v>0</v>
      </c>
      <c r="H268" s="688"/>
      <c r="I268" s="688">
        <v>0</v>
      </c>
      <c r="J268" s="688"/>
      <c r="K268" s="688"/>
      <c r="L268" s="689"/>
      <c r="M268" s="690"/>
      <c r="X268" s="656"/>
      <c r="Y268" s="657"/>
      <c r="Z268" s="657"/>
      <c r="AA268" s="481"/>
      <c r="AC268" s="456"/>
      <c r="AD268" s="481"/>
      <c r="AF268" s="481"/>
      <c r="AG268" s="522" t="s">
        <v>2002</v>
      </c>
      <c r="AH268" s="699"/>
    </row>
    <row r="269" spans="1:34" s="454" customFormat="1" ht="45" x14ac:dyDescent="0.25">
      <c r="A269" s="658" t="s">
        <v>920</v>
      </c>
      <c r="B269" s="659" t="s">
        <v>2026</v>
      </c>
      <c r="C269" s="2673" t="s">
        <v>1254</v>
      </c>
      <c r="D269" s="2673"/>
      <c r="E269" s="2673"/>
      <c r="F269" s="679">
        <v>-5.04</v>
      </c>
      <c r="G269" s="661">
        <v>480</v>
      </c>
      <c r="H269" s="661"/>
      <c r="I269" s="661">
        <v>-2419</v>
      </c>
      <c r="J269" s="661"/>
      <c r="K269" s="662"/>
      <c r="L269" s="663">
        <v>0</v>
      </c>
      <c r="M269" s="663">
        <v>0</v>
      </c>
      <c r="X269" s="656"/>
      <c r="Y269" s="657"/>
      <c r="Z269" s="657"/>
      <c r="AA269" s="481" t="s">
        <v>1254</v>
      </c>
      <c r="AC269" s="456"/>
      <c r="AD269" s="481"/>
      <c r="AF269" s="481"/>
      <c r="AG269" s="522"/>
      <c r="AH269" s="699"/>
    </row>
    <row r="270" spans="1:34" s="454" customFormat="1" ht="15" x14ac:dyDescent="0.25">
      <c r="A270" s="664"/>
      <c r="B270" s="665"/>
      <c r="C270" s="666" t="s">
        <v>2027</v>
      </c>
      <c r="D270" s="667"/>
      <c r="E270" s="667"/>
      <c r="F270" s="667"/>
      <c r="G270" s="667"/>
      <c r="H270" s="667"/>
      <c r="I270" s="667"/>
      <c r="J270" s="667"/>
      <c r="K270" s="667"/>
      <c r="L270" s="667"/>
      <c r="M270" s="668"/>
      <c r="X270" s="656"/>
      <c r="Y270" s="657"/>
      <c r="Z270" s="657"/>
      <c r="AA270" s="481"/>
      <c r="AC270" s="456"/>
      <c r="AD270" s="481"/>
      <c r="AF270" s="481"/>
      <c r="AG270" s="522"/>
      <c r="AH270" s="699"/>
    </row>
    <row r="271" spans="1:34" s="454" customFormat="1" ht="45" x14ac:dyDescent="0.25">
      <c r="A271" s="658" t="s">
        <v>1048</v>
      </c>
      <c r="B271" s="659" t="s">
        <v>2028</v>
      </c>
      <c r="C271" s="2673" t="s">
        <v>1257</v>
      </c>
      <c r="D271" s="2673"/>
      <c r="E271" s="2673"/>
      <c r="F271" s="680">
        <v>-3.5</v>
      </c>
      <c r="G271" s="661">
        <v>2.44</v>
      </c>
      <c r="H271" s="661"/>
      <c r="I271" s="661">
        <v>-9</v>
      </c>
      <c r="J271" s="661"/>
      <c r="K271" s="662"/>
      <c r="L271" s="663">
        <v>0</v>
      </c>
      <c r="M271" s="663">
        <v>0</v>
      </c>
      <c r="X271" s="656"/>
      <c r="Y271" s="657"/>
      <c r="Z271" s="657"/>
      <c r="AA271" s="481" t="s">
        <v>1257</v>
      </c>
      <c r="AC271" s="456"/>
      <c r="AD271" s="481"/>
      <c r="AF271" s="481"/>
      <c r="AG271" s="522"/>
      <c r="AH271" s="699"/>
    </row>
    <row r="272" spans="1:34" s="454" customFormat="1" ht="15" x14ac:dyDescent="0.25">
      <c r="A272" s="664"/>
      <c r="B272" s="665"/>
      <c r="C272" s="666" t="s">
        <v>2029</v>
      </c>
      <c r="D272" s="667"/>
      <c r="E272" s="667"/>
      <c r="F272" s="667"/>
      <c r="G272" s="667"/>
      <c r="H272" s="667"/>
      <c r="I272" s="667"/>
      <c r="J272" s="667"/>
      <c r="K272" s="667"/>
      <c r="L272" s="667"/>
      <c r="M272" s="668"/>
      <c r="X272" s="656"/>
      <c r="Y272" s="657"/>
      <c r="Z272" s="657"/>
      <c r="AA272" s="481"/>
      <c r="AC272" s="456"/>
      <c r="AD272" s="481"/>
      <c r="AF272" s="481"/>
      <c r="AG272" s="522"/>
      <c r="AH272" s="699"/>
    </row>
    <row r="273" spans="1:34" s="454" customFormat="1" ht="45.75" x14ac:dyDescent="0.25">
      <c r="A273" s="658" t="s">
        <v>1053</v>
      </c>
      <c r="B273" s="659" t="s">
        <v>2030</v>
      </c>
      <c r="C273" s="2673" t="s">
        <v>2031</v>
      </c>
      <c r="D273" s="2673"/>
      <c r="E273" s="2673"/>
      <c r="F273" s="679">
        <v>-1.68</v>
      </c>
      <c r="G273" s="661" t="s">
        <v>2032</v>
      </c>
      <c r="H273" s="661" t="s">
        <v>2033</v>
      </c>
      <c r="I273" s="661">
        <v>-18805</v>
      </c>
      <c r="J273" s="661">
        <v>-2522</v>
      </c>
      <c r="K273" s="662" t="s">
        <v>2034</v>
      </c>
      <c r="L273" s="671">
        <v>156.04499999999999</v>
      </c>
      <c r="M273" s="672">
        <v>-262.16000000000003</v>
      </c>
      <c r="X273" s="656"/>
      <c r="Y273" s="657"/>
      <c r="Z273" s="657"/>
      <c r="AA273" s="481" t="s">
        <v>2031</v>
      </c>
      <c r="AC273" s="456"/>
      <c r="AD273" s="481"/>
      <c r="AF273" s="481"/>
      <c r="AG273" s="522"/>
      <c r="AH273" s="699"/>
    </row>
    <row r="274" spans="1:34" s="454" customFormat="1" ht="15" x14ac:dyDescent="0.25">
      <c r="A274" s="664"/>
      <c r="B274" s="665"/>
      <c r="C274" s="666" t="s">
        <v>2035</v>
      </c>
      <c r="D274" s="667"/>
      <c r="E274" s="667"/>
      <c r="F274" s="667"/>
      <c r="G274" s="667"/>
      <c r="H274" s="667"/>
      <c r="I274" s="667"/>
      <c r="J274" s="667"/>
      <c r="K274" s="667"/>
      <c r="L274" s="667"/>
      <c r="M274" s="668"/>
      <c r="X274" s="656"/>
      <c r="Y274" s="657"/>
      <c r="Z274" s="657"/>
      <c r="AA274" s="481"/>
      <c r="AC274" s="456"/>
      <c r="AD274" s="481"/>
      <c r="AF274" s="481"/>
      <c r="AG274" s="522"/>
      <c r="AH274" s="699"/>
    </row>
    <row r="275" spans="1:34" s="454" customFormat="1" ht="15" x14ac:dyDescent="0.25">
      <c r="A275" s="542"/>
      <c r="B275" s="665"/>
      <c r="C275" s="666" t="s">
        <v>2036</v>
      </c>
      <c r="D275" s="667"/>
      <c r="E275" s="667"/>
      <c r="F275" s="667"/>
      <c r="G275" s="667"/>
      <c r="H275" s="667"/>
      <c r="I275" s="667"/>
      <c r="J275" s="667"/>
      <c r="K275" s="667"/>
      <c r="L275" s="667"/>
      <c r="M275" s="669"/>
      <c r="X275" s="656"/>
      <c r="Y275" s="657"/>
      <c r="Z275" s="657"/>
      <c r="AA275" s="481"/>
      <c r="AC275" s="456"/>
      <c r="AD275" s="481"/>
      <c r="AF275" s="481"/>
      <c r="AG275" s="522"/>
      <c r="AH275" s="699"/>
    </row>
    <row r="276" spans="1:34" s="454" customFormat="1" ht="33.75" x14ac:dyDescent="0.25">
      <c r="A276" s="542"/>
      <c r="B276" s="673" t="s">
        <v>1655</v>
      </c>
      <c r="C276" s="2670" t="s">
        <v>1656</v>
      </c>
      <c r="D276" s="2670"/>
      <c r="E276" s="2670"/>
      <c r="F276" s="2670"/>
      <c r="G276" s="2670"/>
      <c r="H276" s="2670"/>
      <c r="I276" s="2670"/>
      <c r="J276" s="2670"/>
      <c r="K276" s="2670"/>
      <c r="L276" s="2670"/>
      <c r="M276" s="2671"/>
      <c r="X276" s="656"/>
      <c r="Y276" s="657"/>
      <c r="Z276" s="657"/>
      <c r="AA276" s="481"/>
      <c r="AB276" s="491" t="s">
        <v>1656</v>
      </c>
      <c r="AC276" s="456"/>
      <c r="AD276" s="481"/>
      <c r="AF276" s="481"/>
      <c r="AG276" s="522"/>
      <c r="AH276" s="699"/>
    </row>
    <row r="277" spans="1:34" s="454" customFormat="1" ht="23.25" x14ac:dyDescent="0.25">
      <c r="A277" s="507"/>
      <c r="B277" s="674" t="s">
        <v>1883</v>
      </c>
      <c r="C277" s="2672" t="s">
        <v>1884</v>
      </c>
      <c r="D277" s="2672"/>
      <c r="E277" s="2672"/>
      <c r="F277" s="675" t="s">
        <v>2037</v>
      </c>
      <c r="G277" s="676" t="s">
        <v>1886</v>
      </c>
      <c r="H277" s="676"/>
      <c r="I277" s="676">
        <v>-2521.98</v>
      </c>
      <c r="J277" s="676">
        <v>-2521.98</v>
      </c>
      <c r="K277" s="676"/>
      <c r="L277" s="677"/>
      <c r="M277" s="678"/>
      <c r="X277" s="656"/>
      <c r="Y277" s="657"/>
      <c r="Z277" s="657"/>
      <c r="AA277" s="481"/>
      <c r="AC277" s="456" t="s">
        <v>1884</v>
      </c>
      <c r="AD277" s="481"/>
      <c r="AF277" s="481"/>
      <c r="AG277" s="522"/>
      <c r="AH277" s="699"/>
    </row>
    <row r="278" spans="1:34" s="454" customFormat="1" ht="23.25" x14ac:dyDescent="0.25">
      <c r="A278" s="507"/>
      <c r="B278" s="674" t="s">
        <v>639</v>
      </c>
      <c r="C278" s="2672" t="s">
        <v>1661</v>
      </c>
      <c r="D278" s="2672"/>
      <c r="E278" s="2672"/>
      <c r="F278" s="675" t="s">
        <v>2038</v>
      </c>
      <c r="G278" s="676">
        <v>0</v>
      </c>
      <c r="H278" s="676">
        <v>0</v>
      </c>
      <c r="I278" s="676">
        <v>0</v>
      </c>
      <c r="J278" s="676"/>
      <c r="K278" s="676">
        <v>0</v>
      </c>
      <c r="L278" s="677"/>
      <c r="M278" s="678"/>
      <c r="X278" s="656"/>
      <c r="Y278" s="657"/>
      <c r="Z278" s="657"/>
      <c r="AA278" s="481"/>
      <c r="AC278" s="456" t="s">
        <v>1661</v>
      </c>
      <c r="AD278" s="481"/>
      <c r="AF278" s="481"/>
      <c r="AG278" s="522"/>
      <c r="AH278" s="699"/>
    </row>
    <row r="279" spans="1:34" s="454" customFormat="1" ht="45.75" x14ac:dyDescent="0.25">
      <c r="A279" s="507"/>
      <c r="B279" s="674" t="s">
        <v>2039</v>
      </c>
      <c r="C279" s="2672" t="s">
        <v>2040</v>
      </c>
      <c r="D279" s="2672"/>
      <c r="E279" s="2672"/>
      <c r="F279" s="675" t="s">
        <v>2041</v>
      </c>
      <c r="G279" s="676">
        <v>179.46</v>
      </c>
      <c r="H279" s="676" t="s">
        <v>2042</v>
      </c>
      <c r="I279" s="676">
        <v>-2173.2600000000002</v>
      </c>
      <c r="J279" s="676"/>
      <c r="K279" s="676" t="s">
        <v>2043</v>
      </c>
      <c r="L279" s="677"/>
      <c r="M279" s="678"/>
      <c r="X279" s="656"/>
      <c r="Y279" s="657"/>
      <c r="Z279" s="657"/>
      <c r="AA279" s="481"/>
      <c r="AC279" s="456" t="s">
        <v>2040</v>
      </c>
      <c r="AD279" s="481"/>
      <c r="AF279" s="481"/>
      <c r="AG279" s="522"/>
      <c r="AH279" s="699"/>
    </row>
    <row r="280" spans="1:34" s="454" customFormat="1" ht="34.5" x14ac:dyDescent="0.25">
      <c r="A280" s="507"/>
      <c r="B280" s="674" t="s">
        <v>1663</v>
      </c>
      <c r="C280" s="2672" t="s">
        <v>1664</v>
      </c>
      <c r="D280" s="2672"/>
      <c r="E280" s="2672"/>
      <c r="F280" s="675" t="s">
        <v>2044</v>
      </c>
      <c r="G280" s="676">
        <v>111.99</v>
      </c>
      <c r="H280" s="676" t="s">
        <v>1666</v>
      </c>
      <c r="I280" s="676">
        <v>-35.840000000000003</v>
      </c>
      <c r="J280" s="676"/>
      <c r="K280" s="676" t="s">
        <v>2045</v>
      </c>
      <c r="L280" s="677"/>
      <c r="M280" s="678"/>
      <c r="X280" s="656"/>
      <c r="Y280" s="657"/>
      <c r="Z280" s="657"/>
      <c r="AA280" s="481"/>
      <c r="AC280" s="456" t="s">
        <v>1664</v>
      </c>
      <c r="AD280" s="481"/>
      <c r="AF280" s="481"/>
      <c r="AG280" s="522"/>
      <c r="AH280" s="699"/>
    </row>
    <row r="281" spans="1:34" s="454" customFormat="1" ht="34.5" x14ac:dyDescent="0.25">
      <c r="A281" s="507"/>
      <c r="B281" s="674" t="s">
        <v>2046</v>
      </c>
      <c r="C281" s="2672" t="s">
        <v>2047</v>
      </c>
      <c r="D281" s="2672"/>
      <c r="E281" s="2672"/>
      <c r="F281" s="675" t="s">
        <v>2048</v>
      </c>
      <c r="G281" s="676">
        <v>6.9</v>
      </c>
      <c r="H281" s="676" t="s">
        <v>2049</v>
      </c>
      <c r="I281" s="676">
        <v>-43.33</v>
      </c>
      <c r="J281" s="676"/>
      <c r="K281" s="676" t="s">
        <v>2050</v>
      </c>
      <c r="L281" s="677"/>
      <c r="M281" s="678"/>
      <c r="X281" s="656"/>
      <c r="Y281" s="657"/>
      <c r="Z281" s="657"/>
      <c r="AA281" s="481"/>
      <c r="AC281" s="456" t="s">
        <v>2047</v>
      </c>
      <c r="AD281" s="481"/>
      <c r="AF281" s="481"/>
      <c r="AG281" s="522"/>
      <c r="AH281" s="699"/>
    </row>
    <row r="282" spans="1:34" s="454" customFormat="1" ht="34.5" x14ac:dyDescent="0.25">
      <c r="A282" s="507"/>
      <c r="B282" s="674" t="s">
        <v>2051</v>
      </c>
      <c r="C282" s="2672" t="s">
        <v>2052</v>
      </c>
      <c r="D282" s="2672"/>
      <c r="E282" s="2672"/>
      <c r="F282" s="675" t="s">
        <v>2053</v>
      </c>
      <c r="G282" s="676">
        <v>80.349999999999994</v>
      </c>
      <c r="H282" s="676" t="s">
        <v>2054</v>
      </c>
      <c r="I282" s="676">
        <v>-5005</v>
      </c>
      <c r="J282" s="676"/>
      <c r="K282" s="676" t="s">
        <v>2055</v>
      </c>
      <c r="L282" s="677"/>
      <c r="M282" s="678"/>
      <c r="X282" s="656"/>
      <c r="Y282" s="657"/>
      <c r="Z282" s="657"/>
      <c r="AA282" s="481"/>
      <c r="AC282" s="456" t="s">
        <v>2052</v>
      </c>
      <c r="AD282" s="481"/>
      <c r="AF282" s="481"/>
      <c r="AG282" s="522"/>
      <c r="AH282" s="699"/>
    </row>
    <row r="283" spans="1:34" s="454" customFormat="1" ht="34.5" x14ac:dyDescent="0.25">
      <c r="A283" s="507"/>
      <c r="B283" s="674" t="s">
        <v>821</v>
      </c>
      <c r="C283" s="2672" t="s">
        <v>1751</v>
      </c>
      <c r="D283" s="2672"/>
      <c r="E283" s="2672"/>
      <c r="F283" s="675" t="s">
        <v>2056</v>
      </c>
      <c r="G283" s="676">
        <v>65.709999999999994</v>
      </c>
      <c r="H283" s="676" t="s">
        <v>1753</v>
      </c>
      <c r="I283" s="676">
        <v>-48.63</v>
      </c>
      <c r="J283" s="676"/>
      <c r="K283" s="676" t="s">
        <v>2057</v>
      </c>
      <c r="L283" s="677"/>
      <c r="M283" s="678"/>
      <c r="X283" s="656"/>
      <c r="Y283" s="657"/>
      <c r="Z283" s="657"/>
      <c r="AA283" s="481"/>
      <c r="AC283" s="456" t="s">
        <v>1751</v>
      </c>
      <c r="AD283" s="481"/>
      <c r="AF283" s="481"/>
      <c r="AG283" s="522"/>
      <c r="AH283" s="699"/>
    </row>
    <row r="284" spans="1:34" s="454" customFormat="1" ht="23.25" x14ac:dyDescent="0.25">
      <c r="A284" s="515" t="s">
        <v>860</v>
      </c>
      <c r="B284" s="686" t="s">
        <v>1755</v>
      </c>
      <c r="C284" s="2683" t="s">
        <v>1257</v>
      </c>
      <c r="D284" s="2683"/>
      <c r="E284" s="2683"/>
      <c r="F284" s="687" t="s">
        <v>1935</v>
      </c>
      <c r="G284" s="688">
        <v>2.44</v>
      </c>
      <c r="H284" s="688"/>
      <c r="I284" s="688">
        <v>0</v>
      </c>
      <c r="J284" s="688"/>
      <c r="K284" s="688"/>
      <c r="L284" s="689"/>
      <c r="M284" s="690"/>
      <c r="X284" s="656"/>
      <c r="Y284" s="657"/>
      <c r="Z284" s="657"/>
      <c r="AA284" s="481"/>
      <c r="AC284" s="456"/>
      <c r="AD284" s="481"/>
      <c r="AF284" s="481"/>
      <c r="AG284" s="522" t="s">
        <v>1257</v>
      </c>
      <c r="AH284" s="699"/>
    </row>
    <row r="285" spans="1:34" s="454" customFormat="1" ht="23.25" x14ac:dyDescent="0.25">
      <c r="A285" s="507"/>
      <c r="B285" s="674" t="s">
        <v>2058</v>
      </c>
      <c r="C285" s="2672" t="s">
        <v>2059</v>
      </c>
      <c r="D285" s="2672"/>
      <c r="E285" s="2672"/>
      <c r="F285" s="675" t="s">
        <v>2060</v>
      </c>
      <c r="G285" s="676">
        <v>30030</v>
      </c>
      <c r="H285" s="676"/>
      <c r="I285" s="676">
        <v>-3</v>
      </c>
      <c r="J285" s="676"/>
      <c r="K285" s="676"/>
      <c r="L285" s="677"/>
      <c r="M285" s="678"/>
      <c r="X285" s="656"/>
      <c r="Y285" s="657"/>
      <c r="Z285" s="657"/>
      <c r="AA285" s="481"/>
      <c r="AC285" s="456" t="s">
        <v>2059</v>
      </c>
      <c r="AD285" s="481"/>
      <c r="AF285" s="481"/>
      <c r="AG285" s="522"/>
      <c r="AH285" s="699"/>
    </row>
    <row r="286" spans="1:34" s="454" customFormat="1" ht="23.25" x14ac:dyDescent="0.25">
      <c r="A286" s="507"/>
      <c r="B286" s="674" t="s">
        <v>1823</v>
      </c>
      <c r="C286" s="2672" t="s">
        <v>1824</v>
      </c>
      <c r="D286" s="2672"/>
      <c r="E286" s="2672"/>
      <c r="F286" s="675" t="s">
        <v>2061</v>
      </c>
      <c r="G286" s="676">
        <v>9040.01</v>
      </c>
      <c r="H286" s="676"/>
      <c r="I286" s="676">
        <v>-30.74</v>
      </c>
      <c r="J286" s="676"/>
      <c r="K286" s="676"/>
      <c r="L286" s="677"/>
      <c r="M286" s="678"/>
      <c r="X286" s="656"/>
      <c r="Y286" s="657"/>
      <c r="Z286" s="657"/>
      <c r="AA286" s="481"/>
      <c r="AC286" s="456" t="s">
        <v>1824</v>
      </c>
      <c r="AD286" s="481"/>
      <c r="AF286" s="481"/>
      <c r="AG286" s="522"/>
      <c r="AH286" s="699"/>
    </row>
    <row r="287" spans="1:34" s="454" customFormat="1" ht="45.75" x14ac:dyDescent="0.25">
      <c r="A287" s="507"/>
      <c r="B287" s="674" t="s">
        <v>2062</v>
      </c>
      <c r="C287" s="2672" t="s">
        <v>2063</v>
      </c>
      <c r="D287" s="2672"/>
      <c r="E287" s="2672"/>
      <c r="F287" s="675" t="s">
        <v>2064</v>
      </c>
      <c r="G287" s="676">
        <v>67.099999999999994</v>
      </c>
      <c r="H287" s="676"/>
      <c r="I287" s="676">
        <v>-112.73</v>
      </c>
      <c r="J287" s="676"/>
      <c r="K287" s="676"/>
      <c r="L287" s="677"/>
      <c r="M287" s="678"/>
      <c r="X287" s="656"/>
      <c r="Y287" s="657"/>
      <c r="Z287" s="657"/>
      <c r="AA287" s="481"/>
      <c r="AC287" s="456" t="s">
        <v>2063</v>
      </c>
      <c r="AD287" s="481"/>
      <c r="AF287" s="481"/>
      <c r="AG287" s="522"/>
      <c r="AH287" s="699"/>
    </row>
    <row r="288" spans="1:34" s="454" customFormat="1" ht="23.25" x14ac:dyDescent="0.25">
      <c r="A288" s="515" t="s">
        <v>860</v>
      </c>
      <c r="B288" s="686" t="s">
        <v>2065</v>
      </c>
      <c r="C288" s="2683" t="s">
        <v>2066</v>
      </c>
      <c r="D288" s="2683"/>
      <c r="E288" s="2683"/>
      <c r="F288" s="687" t="s">
        <v>1935</v>
      </c>
      <c r="G288" s="688">
        <v>0</v>
      </c>
      <c r="H288" s="688"/>
      <c r="I288" s="688">
        <v>0</v>
      </c>
      <c r="J288" s="688"/>
      <c r="K288" s="688"/>
      <c r="L288" s="689"/>
      <c r="M288" s="690"/>
      <c r="X288" s="656"/>
      <c r="Y288" s="657"/>
      <c r="Z288" s="657"/>
      <c r="AA288" s="481"/>
      <c r="AC288" s="456"/>
      <c r="AD288" s="481"/>
      <c r="AF288" s="481"/>
      <c r="AG288" s="522" t="s">
        <v>2066</v>
      </c>
      <c r="AH288" s="699"/>
    </row>
    <row r="289" spans="1:36" s="454" customFormat="1" ht="34.5" x14ac:dyDescent="0.25">
      <c r="A289" s="515" t="s">
        <v>860</v>
      </c>
      <c r="B289" s="686" t="s">
        <v>2067</v>
      </c>
      <c r="C289" s="2683" t="s">
        <v>2068</v>
      </c>
      <c r="D289" s="2683"/>
      <c r="E289" s="2683"/>
      <c r="F289" s="687" t="s">
        <v>1935</v>
      </c>
      <c r="G289" s="688">
        <v>412</v>
      </c>
      <c r="H289" s="688"/>
      <c r="I289" s="688">
        <v>0</v>
      </c>
      <c r="J289" s="688"/>
      <c r="K289" s="688"/>
      <c r="L289" s="689"/>
      <c r="M289" s="690"/>
      <c r="X289" s="656"/>
      <c r="Y289" s="657"/>
      <c r="Z289" s="657"/>
      <c r="AA289" s="481"/>
      <c r="AC289" s="456"/>
      <c r="AD289" s="481"/>
      <c r="AF289" s="481"/>
      <c r="AG289" s="522" t="s">
        <v>2068</v>
      </c>
      <c r="AH289" s="699"/>
    </row>
    <row r="290" spans="1:36" s="454" customFormat="1" ht="45.75" x14ac:dyDescent="0.25">
      <c r="A290" s="507" t="s">
        <v>2069</v>
      </c>
      <c r="B290" s="674" t="s">
        <v>2070</v>
      </c>
      <c r="C290" s="2672" t="s">
        <v>2071</v>
      </c>
      <c r="D290" s="2672"/>
      <c r="E290" s="2672"/>
      <c r="F290" s="675" t="s">
        <v>2072</v>
      </c>
      <c r="G290" s="676">
        <v>1553</v>
      </c>
      <c r="H290" s="676"/>
      <c r="I290" s="676">
        <v>-3391.75</v>
      </c>
      <c r="J290" s="676"/>
      <c r="K290" s="676"/>
      <c r="L290" s="677"/>
      <c r="M290" s="678"/>
      <c r="X290" s="656"/>
      <c r="Y290" s="657"/>
      <c r="Z290" s="657"/>
      <c r="AA290" s="481"/>
      <c r="AC290" s="456"/>
      <c r="AD290" s="481"/>
      <c r="AF290" s="481"/>
      <c r="AG290" s="522"/>
      <c r="AH290" s="699"/>
      <c r="AI290" s="456" t="s">
        <v>2071</v>
      </c>
    </row>
    <row r="291" spans="1:36" s="454" customFormat="1" ht="45.75" x14ac:dyDescent="0.25">
      <c r="A291" s="693" t="s">
        <v>1936</v>
      </c>
      <c r="B291" s="694" t="s">
        <v>2070</v>
      </c>
      <c r="C291" s="2684" t="s">
        <v>2071</v>
      </c>
      <c r="D291" s="2684"/>
      <c r="E291" s="2684"/>
      <c r="F291" s="695" t="s">
        <v>2073</v>
      </c>
      <c r="G291" s="696">
        <v>1553</v>
      </c>
      <c r="H291" s="696"/>
      <c r="I291" s="696">
        <v>-33917.519999999997</v>
      </c>
      <c r="J291" s="696"/>
      <c r="K291" s="696"/>
      <c r="L291" s="697"/>
      <c r="M291" s="698"/>
      <c r="X291" s="656"/>
      <c r="Y291" s="657"/>
      <c r="Z291" s="657"/>
      <c r="AA291" s="481"/>
      <c r="AC291" s="456"/>
      <c r="AD291" s="481"/>
      <c r="AF291" s="481"/>
      <c r="AG291" s="522"/>
      <c r="AH291" s="699"/>
      <c r="AI291" s="456"/>
      <c r="AJ291" s="699" t="s">
        <v>2071</v>
      </c>
    </row>
    <row r="292" spans="1:36" s="454" customFormat="1" ht="23.25" x14ac:dyDescent="0.25">
      <c r="A292" s="515" t="s">
        <v>863</v>
      </c>
      <c r="B292" s="686" t="s">
        <v>2074</v>
      </c>
      <c r="C292" s="2683" t="s">
        <v>2075</v>
      </c>
      <c r="D292" s="2683"/>
      <c r="E292" s="2683"/>
      <c r="F292" s="687" t="s">
        <v>2076</v>
      </c>
      <c r="G292" s="688">
        <v>0</v>
      </c>
      <c r="H292" s="688"/>
      <c r="I292" s="688">
        <v>0</v>
      </c>
      <c r="J292" s="688"/>
      <c r="K292" s="688"/>
      <c r="L292" s="689"/>
      <c r="M292" s="690"/>
      <c r="X292" s="656"/>
      <c r="Y292" s="657"/>
      <c r="Z292" s="657"/>
      <c r="AA292" s="481"/>
      <c r="AC292" s="456"/>
      <c r="AD292" s="481"/>
      <c r="AF292" s="481"/>
      <c r="AG292" s="522" t="s">
        <v>2075</v>
      </c>
      <c r="AH292" s="699"/>
      <c r="AI292" s="456"/>
      <c r="AJ292" s="699"/>
    </row>
    <row r="293" spans="1:36" s="454" customFormat="1" ht="23.25" x14ac:dyDescent="0.25">
      <c r="A293" s="507"/>
      <c r="B293" s="674" t="s">
        <v>2077</v>
      </c>
      <c r="C293" s="2672" t="s">
        <v>2078</v>
      </c>
      <c r="D293" s="2672"/>
      <c r="E293" s="2672"/>
      <c r="F293" s="675" t="s">
        <v>2079</v>
      </c>
      <c r="G293" s="676">
        <v>176.1</v>
      </c>
      <c r="H293" s="676"/>
      <c r="I293" s="676">
        <v>-236.68</v>
      </c>
      <c r="J293" s="676"/>
      <c r="K293" s="676"/>
      <c r="L293" s="677"/>
      <c r="M293" s="678"/>
      <c r="X293" s="656"/>
      <c r="Y293" s="657"/>
      <c r="Z293" s="657"/>
      <c r="AA293" s="481"/>
      <c r="AC293" s="456" t="s">
        <v>2078</v>
      </c>
      <c r="AD293" s="481"/>
      <c r="AF293" s="481"/>
      <c r="AG293" s="522"/>
      <c r="AH293" s="699"/>
      <c r="AI293" s="456"/>
      <c r="AJ293" s="699"/>
    </row>
    <row r="294" spans="1:36" s="454" customFormat="1" ht="23.25" x14ac:dyDescent="0.25">
      <c r="A294" s="507"/>
      <c r="B294" s="674" t="s">
        <v>2080</v>
      </c>
      <c r="C294" s="2672" t="s">
        <v>2081</v>
      </c>
      <c r="D294" s="2672"/>
      <c r="E294" s="2672"/>
      <c r="F294" s="675" t="s">
        <v>2082</v>
      </c>
      <c r="G294" s="676">
        <v>207.8</v>
      </c>
      <c r="H294" s="676"/>
      <c r="I294" s="676">
        <v>-272.22000000000003</v>
      </c>
      <c r="J294" s="676"/>
      <c r="K294" s="676"/>
      <c r="L294" s="677"/>
      <c r="M294" s="678"/>
      <c r="X294" s="656"/>
      <c r="Y294" s="657"/>
      <c r="Z294" s="657"/>
      <c r="AA294" s="481"/>
      <c r="AC294" s="456" t="s">
        <v>2081</v>
      </c>
      <c r="AD294" s="481"/>
      <c r="AF294" s="481"/>
      <c r="AG294" s="522"/>
      <c r="AH294" s="699"/>
      <c r="AI294" s="456"/>
      <c r="AJ294" s="699"/>
    </row>
    <row r="295" spans="1:36" s="454" customFormat="1" ht="23.25" x14ac:dyDescent="0.25">
      <c r="A295" s="507"/>
      <c r="B295" s="674" t="s">
        <v>2083</v>
      </c>
      <c r="C295" s="2672" t="s">
        <v>2084</v>
      </c>
      <c r="D295" s="2672"/>
      <c r="E295" s="2672"/>
      <c r="F295" s="675" t="s">
        <v>2085</v>
      </c>
      <c r="G295" s="676">
        <v>3468.64</v>
      </c>
      <c r="H295" s="676"/>
      <c r="I295" s="676">
        <v>-1165.46</v>
      </c>
      <c r="J295" s="676"/>
      <c r="K295" s="676"/>
      <c r="L295" s="677"/>
      <c r="M295" s="678"/>
      <c r="X295" s="656"/>
      <c r="Y295" s="657"/>
      <c r="Z295" s="657"/>
      <c r="AA295" s="481"/>
      <c r="AC295" s="456" t="s">
        <v>2084</v>
      </c>
      <c r="AD295" s="481"/>
      <c r="AF295" s="481"/>
      <c r="AG295" s="522"/>
      <c r="AH295" s="699"/>
      <c r="AI295" s="456"/>
      <c r="AJ295" s="699"/>
    </row>
    <row r="296" spans="1:36" s="454" customFormat="1" ht="23.25" x14ac:dyDescent="0.25">
      <c r="A296" s="515" t="s">
        <v>863</v>
      </c>
      <c r="B296" s="686" t="s">
        <v>2086</v>
      </c>
      <c r="C296" s="2683" t="s">
        <v>2087</v>
      </c>
      <c r="D296" s="2683"/>
      <c r="E296" s="2683"/>
      <c r="F296" s="687" t="s">
        <v>2088</v>
      </c>
      <c r="G296" s="688">
        <v>0</v>
      </c>
      <c r="H296" s="688"/>
      <c r="I296" s="688">
        <v>0</v>
      </c>
      <c r="J296" s="688"/>
      <c r="K296" s="688"/>
      <c r="L296" s="689"/>
      <c r="M296" s="690"/>
      <c r="X296" s="656"/>
      <c r="Y296" s="657"/>
      <c r="Z296" s="657"/>
      <c r="AA296" s="481"/>
      <c r="AC296" s="456"/>
      <c r="AD296" s="481"/>
      <c r="AF296" s="481"/>
      <c r="AG296" s="522" t="s">
        <v>2087</v>
      </c>
      <c r="AH296" s="699"/>
      <c r="AI296" s="456"/>
      <c r="AJ296" s="699"/>
    </row>
    <row r="297" spans="1:36" s="454" customFormat="1" ht="34.5" x14ac:dyDescent="0.25">
      <c r="A297" s="507"/>
      <c r="B297" s="674" t="s">
        <v>2089</v>
      </c>
      <c r="C297" s="2672" t="s">
        <v>2090</v>
      </c>
      <c r="D297" s="2672"/>
      <c r="E297" s="2672"/>
      <c r="F297" s="675" t="s">
        <v>2091</v>
      </c>
      <c r="G297" s="676">
        <v>11.99</v>
      </c>
      <c r="H297" s="676"/>
      <c r="I297" s="676">
        <v>-60.43</v>
      </c>
      <c r="J297" s="676"/>
      <c r="K297" s="676"/>
      <c r="L297" s="677"/>
      <c r="M297" s="678"/>
      <c r="X297" s="656"/>
      <c r="Y297" s="657"/>
      <c r="Z297" s="657"/>
      <c r="AA297" s="481"/>
      <c r="AC297" s="456" t="s">
        <v>2090</v>
      </c>
      <c r="AD297" s="481"/>
      <c r="AF297" s="481"/>
      <c r="AG297" s="522"/>
      <c r="AH297" s="699"/>
      <c r="AI297" s="456"/>
      <c r="AJ297" s="699"/>
    </row>
    <row r="298" spans="1:36" s="454" customFormat="1" ht="45.75" x14ac:dyDescent="0.25">
      <c r="A298" s="507"/>
      <c r="B298" s="674" t="s">
        <v>2092</v>
      </c>
      <c r="C298" s="2672" t="s">
        <v>2093</v>
      </c>
      <c r="D298" s="2672"/>
      <c r="E298" s="2672"/>
      <c r="F298" s="675" t="s">
        <v>2094</v>
      </c>
      <c r="G298" s="676">
        <v>272.62</v>
      </c>
      <c r="H298" s="676"/>
      <c r="I298" s="676">
        <v>-22.9</v>
      </c>
      <c r="J298" s="676"/>
      <c r="K298" s="676"/>
      <c r="L298" s="677"/>
      <c r="M298" s="678"/>
      <c r="X298" s="656"/>
      <c r="Y298" s="657"/>
      <c r="Z298" s="657"/>
      <c r="AA298" s="481"/>
      <c r="AC298" s="456" t="s">
        <v>2093</v>
      </c>
      <c r="AD298" s="481"/>
      <c r="AF298" s="481"/>
      <c r="AG298" s="522"/>
      <c r="AH298" s="699"/>
      <c r="AI298" s="456"/>
      <c r="AJ298" s="699"/>
    </row>
    <row r="299" spans="1:36" s="454" customFormat="1" ht="57" x14ac:dyDescent="0.25">
      <c r="A299" s="507"/>
      <c r="B299" s="674" t="s">
        <v>2095</v>
      </c>
      <c r="C299" s="2672" t="s">
        <v>2096</v>
      </c>
      <c r="D299" s="2672"/>
      <c r="E299" s="2672"/>
      <c r="F299" s="675" t="s">
        <v>2097</v>
      </c>
      <c r="G299" s="676">
        <v>156.83000000000001</v>
      </c>
      <c r="H299" s="676"/>
      <c r="I299" s="676">
        <v>-26.35</v>
      </c>
      <c r="J299" s="676"/>
      <c r="K299" s="676"/>
      <c r="L299" s="677"/>
      <c r="M299" s="678"/>
      <c r="X299" s="656"/>
      <c r="Y299" s="657"/>
      <c r="Z299" s="657"/>
      <c r="AA299" s="481"/>
      <c r="AC299" s="456" t="s">
        <v>2096</v>
      </c>
      <c r="AD299" s="481"/>
      <c r="AF299" s="481"/>
      <c r="AG299" s="522"/>
      <c r="AH299" s="699"/>
      <c r="AI299" s="456"/>
      <c r="AJ299" s="699"/>
    </row>
    <row r="300" spans="1:36" s="454" customFormat="1" ht="23.25" x14ac:dyDescent="0.25">
      <c r="A300" s="515" t="s">
        <v>863</v>
      </c>
      <c r="B300" s="686" t="s">
        <v>2098</v>
      </c>
      <c r="C300" s="2683" t="s">
        <v>2099</v>
      </c>
      <c r="D300" s="2683"/>
      <c r="E300" s="2683"/>
      <c r="F300" s="687" t="s">
        <v>2100</v>
      </c>
      <c r="G300" s="688">
        <v>0</v>
      </c>
      <c r="H300" s="688"/>
      <c r="I300" s="688">
        <v>0</v>
      </c>
      <c r="J300" s="688"/>
      <c r="K300" s="688"/>
      <c r="L300" s="689"/>
      <c r="M300" s="690"/>
      <c r="X300" s="656"/>
      <c r="Y300" s="657"/>
      <c r="Z300" s="657"/>
      <c r="AA300" s="481"/>
      <c r="AC300" s="456"/>
      <c r="AD300" s="481"/>
      <c r="AF300" s="481"/>
      <c r="AG300" s="522" t="s">
        <v>2099</v>
      </c>
      <c r="AH300" s="699"/>
      <c r="AI300" s="456"/>
      <c r="AJ300" s="699"/>
    </row>
    <row r="301" spans="1:36" s="454" customFormat="1" ht="45" x14ac:dyDescent="0.25">
      <c r="A301" s="658" t="s">
        <v>1058</v>
      </c>
      <c r="B301" s="659" t="s">
        <v>2026</v>
      </c>
      <c r="C301" s="2673" t="s">
        <v>1254</v>
      </c>
      <c r="D301" s="2673"/>
      <c r="E301" s="2673"/>
      <c r="F301" s="680">
        <v>-8.4</v>
      </c>
      <c r="G301" s="661">
        <v>480</v>
      </c>
      <c r="H301" s="661"/>
      <c r="I301" s="661">
        <v>-4032</v>
      </c>
      <c r="J301" s="661"/>
      <c r="K301" s="662"/>
      <c r="L301" s="663">
        <v>0</v>
      </c>
      <c r="M301" s="663">
        <v>0</v>
      </c>
      <c r="X301" s="656"/>
      <c r="Y301" s="657"/>
      <c r="Z301" s="657"/>
      <c r="AA301" s="481" t="s">
        <v>1254</v>
      </c>
      <c r="AC301" s="456"/>
      <c r="AD301" s="481"/>
      <c r="AF301" s="481"/>
      <c r="AG301" s="522"/>
      <c r="AH301" s="699"/>
      <c r="AI301" s="456"/>
      <c r="AJ301" s="699"/>
    </row>
    <row r="302" spans="1:36" s="454" customFormat="1" ht="15" x14ac:dyDescent="0.25">
      <c r="A302" s="664"/>
      <c r="B302" s="665"/>
      <c r="C302" s="666" t="s">
        <v>2101</v>
      </c>
      <c r="D302" s="667"/>
      <c r="E302" s="667"/>
      <c r="F302" s="667"/>
      <c r="G302" s="667"/>
      <c r="H302" s="667"/>
      <c r="I302" s="667"/>
      <c r="J302" s="667"/>
      <c r="K302" s="667"/>
      <c r="L302" s="667"/>
      <c r="M302" s="668"/>
      <c r="X302" s="656"/>
      <c r="Y302" s="657"/>
      <c r="Z302" s="657"/>
      <c r="AA302" s="481"/>
      <c r="AC302" s="456"/>
      <c r="AD302" s="481"/>
      <c r="AF302" s="481"/>
      <c r="AG302" s="522"/>
      <c r="AH302" s="699"/>
      <c r="AI302" s="456"/>
      <c r="AJ302" s="699"/>
    </row>
    <row r="303" spans="1:36" s="454" customFormat="1" ht="45" x14ac:dyDescent="0.25">
      <c r="A303" s="658" t="s">
        <v>1063</v>
      </c>
      <c r="B303" s="659" t="s">
        <v>2028</v>
      </c>
      <c r="C303" s="2673" t="s">
        <v>1257</v>
      </c>
      <c r="D303" s="2673"/>
      <c r="E303" s="2673"/>
      <c r="F303" s="680">
        <v>-3.4</v>
      </c>
      <c r="G303" s="661">
        <v>2.44</v>
      </c>
      <c r="H303" s="661"/>
      <c r="I303" s="661">
        <v>-8</v>
      </c>
      <c r="J303" s="661"/>
      <c r="K303" s="662"/>
      <c r="L303" s="663">
        <v>0</v>
      </c>
      <c r="M303" s="663">
        <v>0</v>
      </c>
      <c r="X303" s="656"/>
      <c r="Y303" s="657"/>
      <c r="Z303" s="657"/>
      <c r="AA303" s="481" t="s">
        <v>1257</v>
      </c>
      <c r="AC303" s="456"/>
      <c r="AD303" s="481"/>
      <c r="AF303" s="481"/>
      <c r="AG303" s="522"/>
      <c r="AH303" s="699"/>
      <c r="AI303" s="456"/>
      <c r="AJ303" s="699"/>
    </row>
    <row r="304" spans="1:36" s="454" customFormat="1" ht="15" x14ac:dyDescent="0.25">
      <c r="A304" s="664"/>
      <c r="B304" s="665"/>
      <c r="C304" s="666" t="s">
        <v>2102</v>
      </c>
      <c r="D304" s="667"/>
      <c r="E304" s="667"/>
      <c r="F304" s="667"/>
      <c r="G304" s="667"/>
      <c r="H304" s="667"/>
      <c r="I304" s="667"/>
      <c r="J304" s="667"/>
      <c r="K304" s="667"/>
      <c r="L304" s="667"/>
      <c r="M304" s="668"/>
      <c r="X304" s="656"/>
      <c r="Y304" s="657"/>
      <c r="Z304" s="657"/>
      <c r="AA304" s="481"/>
      <c r="AC304" s="456"/>
      <c r="AD304" s="481"/>
      <c r="AF304" s="481"/>
      <c r="AG304" s="522"/>
      <c r="AH304" s="699"/>
      <c r="AI304" s="456"/>
      <c r="AJ304" s="699"/>
    </row>
    <row r="305" spans="1:36" s="454" customFormat="1" ht="34.5" x14ac:dyDescent="0.25">
      <c r="A305" s="658" t="s">
        <v>1068</v>
      </c>
      <c r="B305" s="659" t="s">
        <v>1267</v>
      </c>
      <c r="C305" s="2673" t="s">
        <v>1268</v>
      </c>
      <c r="D305" s="2673"/>
      <c r="E305" s="2673"/>
      <c r="F305" s="670">
        <v>-8</v>
      </c>
      <c r="G305" s="661" t="s">
        <v>2103</v>
      </c>
      <c r="H305" s="661"/>
      <c r="I305" s="661">
        <v>-19143</v>
      </c>
      <c r="J305" s="661"/>
      <c r="K305" s="662"/>
      <c r="L305" s="663">
        <v>0</v>
      </c>
      <c r="M305" s="663">
        <v>0</v>
      </c>
      <c r="X305" s="656"/>
      <c r="Y305" s="657"/>
      <c r="Z305" s="657"/>
      <c r="AA305" s="481" t="s">
        <v>1268</v>
      </c>
      <c r="AC305" s="456"/>
      <c r="AD305" s="481"/>
      <c r="AF305" s="481"/>
      <c r="AG305" s="522"/>
      <c r="AH305" s="699"/>
      <c r="AI305" s="456"/>
      <c r="AJ305" s="699"/>
    </row>
    <row r="306" spans="1:36" s="454" customFormat="1" ht="15" x14ac:dyDescent="0.25">
      <c r="A306" s="664"/>
      <c r="B306" s="665"/>
      <c r="C306" s="666" t="s">
        <v>2104</v>
      </c>
      <c r="D306" s="667"/>
      <c r="E306" s="667"/>
      <c r="F306" s="667"/>
      <c r="G306" s="667"/>
      <c r="H306" s="667"/>
      <c r="I306" s="667"/>
      <c r="J306" s="667"/>
      <c r="K306" s="667"/>
      <c r="L306" s="667"/>
      <c r="M306" s="668"/>
      <c r="X306" s="656"/>
      <c r="Y306" s="657"/>
      <c r="Z306" s="657"/>
      <c r="AA306" s="481"/>
      <c r="AC306" s="456"/>
      <c r="AD306" s="481"/>
      <c r="AF306" s="481"/>
      <c r="AG306" s="522"/>
      <c r="AH306" s="699"/>
      <c r="AI306" s="456"/>
      <c r="AJ306" s="699"/>
    </row>
    <row r="307" spans="1:36" s="454" customFormat="1" ht="15" x14ac:dyDescent="0.25">
      <c r="A307" s="542"/>
      <c r="B307" s="665"/>
      <c r="C307" s="666" t="s">
        <v>2105</v>
      </c>
      <c r="D307" s="667"/>
      <c r="E307" s="667"/>
      <c r="F307" s="667"/>
      <c r="G307" s="667"/>
      <c r="H307" s="667"/>
      <c r="I307" s="667"/>
      <c r="J307" s="667"/>
      <c r="K307" s="667"/>
      <c r="L307" s="667"/>
      <c r="M307" s="669"/>
      <c r="X307" s="656"/>
      <c r="Y307" s="657"/>
      <c r="Z307" s="657"/>
      <c r="AA307" s="481"/>
      <c r="AC307" s="456"/>
      <c r="AD307" s="481"/>
      <c r="AF307" s="481"/>
      <c r="AG307" s="522"/>
      <c r="AH307" s="699"/>
      <c r="AI307" s="456"/>
      <c r="AJ307" s="699"/>
    </row>
    <row r="308" spans="1:36" s="454" customFormat="1" ht="34.5" x14ac:dyDescent="0.25">
      <c r="A308" s="658" t="s">
        <v>1073</v>
      </c>
      <c r="B308" s="659" t="s">
        <v>1272</v>
      </c>
      <c r="C308" s="2673" t="s">
        <v>1273</v>
      </c>
      <c r="D308" s="2673"/>
      <c r="E308" s="2673"/>
      <c r="F308" s="670">
        <v>-48</v>
      </c>
      <c r="G308" s="661" t="s">
        <v>2106</v>
      </c>
      <c r="H308" s="661"/>
      <c r="I308" s="661">
        <v>-82644</v>
      </c>
      <c r="J308" s="661"/>
      <c r="K308" s="662"/>
      <c r="L308" s="663">
        <v>0</v>
      </c>
      <c r="M308" s="663">
        <v>0</v>
      </c>
      <c r="X308" s="656"/>
      <c r="Y308" s="657"/>
      <c r="Z308" s="657"/>
      <c r="AA308" s="481" t="s">
        <v>1273</v>
      </c>
      <c r="AC308" s="456"/>
      <c r="AD308" s="481"/>
      <c r="AF308" s="481"/>
      <c r="AG308" s="522"/>
      <c r="AH308" s="699"/>
      <c r="AI308" s="456"/>
      <c r="AJ308" s="699"/>
    </row>
    <row r="309" spans="1:36" s="454" customFormat="1" ht="15" x14ac:dyDescent="0.25">
      <c r="A309" s="664"/>
      <c r="B309" s="665"/>
      <c r="C309" s="666" t="s">
        <v>2107</v>
      </c>
      <c r="D309" s="667"/>
      <c r="E309" s="667"/>
      <c r="F309" s="667"/>
      <c r="G309" s="667"/>
      <c r="H309" s="667"/>
      <c r="I309" s="667"/>
      <c r="J309" s="667"/>
      <c r="K309" s="667"/>
      <c r="L309" s="667"/>
      <c r="M309" s="668"/>
      <c r="X309" s="656"/>
      <c r="Y309" s="657"/>
      <c r="Z309" s="657"/>
      <c r="AA309" s="481"/>
      <c r="AC309" s="456"/>
      <c r="AD309" s="481"/>
      <c r="AF309" s="481"/>
      <c r="AG309" s="522"/>
      <c r="AH309" s="699"/>
      <c r="AI309" s="456"/>
      <c r="AJ309" s="699"/>
    </row>
    <row r="310" spans="1:36" s="454" customFormat="1" ht="15" x14ac:dyDescent="0.25">
      <c r="A310" s="542"/>
      <c r="B310" s="665"/>
      <c r="C310" s="666" t="s">
        <v>2108</v>
      </c>
      <c r="D310" s="667"/>
      <c r="E310" s="667"/>
      <c r="F310" s="667"/>
      <c r="G310" s="667"/>
      <c r="H310" s="667"/>
      <c r="I310" s="667"/>
      <c r="J310" s="667"/>
      <c r="K310" s="667"/>
      <c r="L310" s="667"/>
      <c r="M310" s="669"/>
      <c r="X310" s="656"/>
      <c r="Y310" s="657"/>
      <c r="Z310" s="657"/>
      <c r="AA310" s="481"/>
      <c r="AC310" s="456"/>
      <c r="AD310" s="481"/>
      <c r="AF310" s="481"/>
      <c r="AG310" s="522"/>
      <c r="AH310" s="699"/>
      <c r="AI310" s="456"/>
      <c r="AJ310" s="699"/>
    </row>
    <row r="311" spans="1:36" s="454" customFormat="1" ht="34.5" x14ac:dyDescent="0.25">
      <c r="A311" s="658" t="s">
        <v>1078</v>
      </c>
      <c r="B311" s="659" t="s">
        <v>1276</v>
      </c>
      <c r="C311" s="2673" t="s">
        <v>1277</v>
      </c>
      <c r="D311" s="2673"/>
      <c r="E311" s="2673"/>
      <c r="F311" s="670">
        <v>-104</v>
      </c>
      <c r="G311" s="661" t="s">
        <v>2109</v>
      </c>
      <c r="H311" s="661"/>
      <c r="I311" s="661">
        <v>-47939</v>
      </c>
      <c r="J311" s="661"/>
      <c r="K311" s="662"/>
      <c r="L311" s="663">
        <v>0</v>
      </c>
      <c r="M311" s="663">
        <v>0</v>
      </c>
      <c r="X311" s="656"/>
      <c r="Y311" s="657"/>
      <c r="Z311" s="657"/>
      <c r="AA311" s="481" t="s">
        <v>1277</v>
      </c>
      <c r="AC311" s="456"/>
      <c r="AD311" s="481"/>
      <c r="AF311" s="481"/>
      <c r="AG311" s="522"/>
      <c r="AH311" s="699"/>
      <c r="AI311" s="456"/>
      <c r="AJ311" s="699"/>
    </row>
    <row r="312" spans="1:36" s="454" customFormat="1" ht="15" x14ac:dyDescent="0.25">
      <c r="A312" s="664"/>
      <c r="B312" s="665"/>
      <c r="C312" s="666" t="s">
        <v>2110</v>
      </c>
      <c r="D312" s="667"/>
      <c r="E312" s="667"/>
      <c r="F312" s="667"/>
      <c r="G312" s="667"/>
      <c r="H312" s="667"/>
      <c r="I312" s="667"/>
      <c r="J312" s="667"/>
      <c r="K312" s="667"/>
      <c r="L312" s="667"/>
      <c r="M312" s="668"/>
      <c r="X312" s="656"/>
      <c r="Y312" s="657"/>
      <c r="Z312" s="657"/>
      <c r="AA312" s="481"/>
      <c r="AC312" s="456"/>
      <c r="AD312" s="481"/>
      <c r="AF312" s="481"/>
      <c r="AG312" s="522"/>
      <c r="AH312" s="699"/>
      <c r="AI312" s="456"/>
      <c r="AJ312" s="699"/>
    </row>
    <row r="313" spans="1:36" s="454" customFormat="1" ht="15" x14ac:dyDescent="0.25">
      <c r="A313" s="542"/>
      <c r="B313" s="665"/>
      <c r="C313" s="666" t="s">
        <v>2111</v>
      </c>
      <c r="D313" s="667"/>
      <c r="E313" s="667"/>
      <c r="F313" s="667"/>
      <c r="G313" s="667"/>
      <c r="H313" s="667"/>
      <c r="I313" s="667"/>
      <c r="J313" s="667"/>
      <c r="K313" s="667"/>
      <c r="L313" s="667"/>
      <c r="M313" s="669"/>
      <c r="X313" s="656"/>
      <c r="Y313" s="657"/>
      <c r="Z313" s="657"/>
      <c r="AA313" s="481"/>
      <c r="AC313" s="456"/>
      <c r="AD313" s="481"/>
      <c r="AF313" s="481"/>
      <c r="AG313" s="522"/>
      <c r="AH313" s="699"/>
      <c r="AI313" s="456"/>
      <c r="AJ313" s="699"/>
    </row>
    <row r="314" spans="1:36" s="454" customFormat="1" ht="33.75" x14ac:dyDescent="0.25">
      <c r="A314" s="658" t="s">
        <v>1088</v>
      </c>
      <c r="B314" s="659" t="s">
        <v>1280</v>
      </c>
      <c r="C314" s="2673" t="s">
        <v>1281</v>
      </c>
      <c r="D314" s="2673"/>
      <c r="E314" s="2673"/>
      <c r="F314" s="670">
        <v>-48</v>
      </c>
      <c r="G314" s="661" t="s">
        <v>2112</v>
      </c>
      <c r="H314" s="661"/>
      <c r="I314" s="661">
        <v>-6812</v>
      </c>
      <c r="J314" s="661"/>
      <c r="K314" s="662"/>
      <c r="L314" s="663">
        <v>0</v>
      </c>
      <c r="M314" s="663">
        <v>0</v>
      </c>
      <c r="X314" s="656"/>
      <c r="Y314" s="657"/>
      <c r="Z314" s="657"/>
      <c r="AA314" s="481" t="s">
        <v>1281</v>
      </c>
      <c r="AC314" s="456"/>
      <c r="AD314" s="481"/>
      <c r="AF314" s="481"/>
      <c r="AG314" s="522"/>
      <c r="AH314" s="699"/>
      <c r="AI314" s="456"/>
      <c r="AJ314" s="699"/>
    </row>
    <row r="315" spans="1:36" s="454" customFormat="1" ht="15" x14ac:dyDescent="0.25">
      <c r="A315" s="664"/>
      <c r="B315" s="665"/>
      <c r="C315" s="666" t="s">
        <v>2107</v>
      </c>
      <c r="D315" s="667"/>
      <c r="E315" s="667"/>
      <c r="F315" s="667"/>
      <c r="G315" s="667"/>
      <c r="H315" s="667"/>
      <c r="I315" s="667"/>
      <c r="J315" s="667"/>
      <c r="K315" s="667"/>
      <c r="L315" s="667"/>
      <c r="M315" s="668"/>
      <c r="X315" s="656"/>
      <c r="Y315" s="657"/>
      <c r="Z315" s="657"/>
      <c r="AA315" s="481"/>
      <c r="AC315" s="456"/>
      <c r="AD315" s="481"/>
      <c r="AF315" s="481"/>
      <c r="AG315" s="522"/>
      <c r="AH315" s="699"/>
      <c r="AI315" s="456"/>
      <c r="AJ315" s="699"/>
    </row>
    <row r="316" spans="1:36" s="454" customFormat="1" ht="15" x14ac:dyDescent="0.25">
      <c r="A316" s="542"/>
      <c r="B316" s="665"/>
      <c r="C316" s="666" t="s">
        <v>2113</v>
      </c>
      <c r="D316" s="667"/>
      <c r="E316" s="667"/>
      <c r="F316" s="667"/>
      <c r="G316" s="667"/>
      <c r="H316" s="667"/>
      <c r="I316" s="667"/>
      <c r="J316" s="667"/>
      <c r="K316" s="667"/>
      <c r="L316" s="667"/>
      <c r="M316" s="669"/>
      <c r="X316" s="656"/>
      <c r="Y316" s="657"/>
      <c r="Z316" s="657"/>
      <c r="AA316" s="481"/>
      <c r="AC316" s="456"/>
      <c r="AD316" s="481"/>
      <c r="AF316" s="481"/>
      <c r="AG316" s="522"/>
      <c r="AH316" s="699"/>
      <c r="AI316" s="456"/>
      <c r="AJ316" s="699"/>
    </row>
    <row r="317" spans="1:36" s="454" customFormat="1" ht="34.5" x14ac:dyDescent="0.25">
      <c r="A317" s="658" t="s">
        <v>1093</v>
      </c>
      <c r="B317" s="659" t="s">
        <v>1283</v>
      </c>
      <c r="C317" s="2673" t="s">
        <v>1284</v>
      </c>
      <c r="D317" s="2673"/>
      <c r="E317" s="2673"/>
      <c r="F317" s="670">
        <v>-8</v>
      </c>
      <c r="G317" s="661" t="s">
        <v>2114</v>
      </c>
      <c r="H317" s="661"/>
      <c r="I317" s="661">
        <v>-13914</v>
      </c>
      <c r="J317" s="661"/>
      <c r="K317" s="662"/>
      <c r="L317" s="663">
        <v>0</v>
      </c>
      <c r="M317" s="663">
        <v>0</v>
      </c>
      <c r="X317" s="656"/>
      <c r="Y317" s="657"/>
      <c r="Z317" s="657"/>
      <c r="AA317" s="481" t="s">
        <v>1284</v>
      </c>
      <c r="AC317" s="456"/>
      <c r="AD317" s="481"/>
      <c r="AF317" s="481"/>
      <c r="AG317" s="522"/>
      <c r="AH317" s="699"/>
      <c r="AI317" s="456"/>
      <c r="AJ317" s="699"/>
    </row>
    <row r="318" spans="1:36" s="454" customFormat="1" ht="15" x14ac:dyDescent="0.25">
      <c r="A318" s="664"/>
      <c r="B318" s="665"/>
      <c r="C318" s="666" t="s">
        <v>2104</v>
      </c>
      <c r="D318" s="667"/>
      <c r="E318" s="667"/>
      <c r="F318" s="667"/>
      <c r="G318" s="667"/>
      <c r="H318" s="667"/>
      <c r="I318" s="667"/>
      <c r="J318" s="667"/>
      <c r="K318" s="667"/>
      <c r="L318" s="667"/>
      <c r="M318" s="668"/>
      <c r="X318" s="656"/>
      <c r="Y318" s="657"/>
      <c r="Z318" s="657"/>
      <c r="AA318" s="481"/>
      <c r="AC318" s="456"/>
      <c r="AD318" s="481"/>
      <c r="AF318" s="481"/>
      <c r="AG318" s="522"/>
      <c r="AH318" s="699"/>
      <c r="AI318" s="456"/>
      <c r="AJ318" s="699"/>
    </row>
    <row r="319" spans="1:36" s="454" customFormat="1" ht="15" x14ac:dyDescent="0.25">
      <c r="A319" s="542"/>
      <c r="B319" s="665"/>
      <c r="C319" s="666" t="s">
        <v>2115</v>
      </c>
      <c r="D319" s="667"/>
      <c r="E319" s="667"/>
      <c r="F319" s="667"/>
      <c r="G319" s="667"/>
      <c r="H319" s="667"/>
      <c r="I319" s="667"/>
      <c r="J319" s="667"/>
      <c r="K319" s="667"/>
      <c r="L319" s="667"/>
      <c r="M319" s="669"/>
      <c r="X319" s="656"/>
      <c r="Y319" s="657"/>
      <c r="Z319" s="657"/>
      <c r="AA319" s="481"/>
      <c r="AC319" s="456"/>
      <c r="AD319" s="481"/>
      <c r="AF319" s="481"/>
      <c r="AG319" s="522"/>
      <c r="AH319" s="699"/>
      <c r="AI319" s="456"/>
      <c r="AJ319" s="699"/>
    </row>
    <row r="320" spans="1:36" s="454" customFormat="1" ht="45.75" x14ac:dyDescent="0.25">
      <c r="A320" s="658" t="s">
        <v>1098</v>
      </c>
      <c r="B320" s="659" t="s">
        <v>2116</v>
      </c>
      <c r="C320" s="2673" t="s">
        <v>2117</v>
      </c>
      <c r="D320" s="2673"/>
      <c r="E320" s="2673"/>
      <c r="F320" s="670">
        <v>-56</v>
      </c>
      <c r="G320" s="661" t="s">
        <v>1288</v>
      </c>
      <c r="H320" s="661" t="s">
        <v>1289</v>
      </c>
      <c r="I320" s="661">
        <v>-317</v>
      </c>
      <c r="J320" s="661">
        <v>-129</v>
      </c>
      <c r="K320" s="662" t="s">
        <v>2118</v>
      </c>
      <c r="L320" s="671">
        <v>0.255</v>
      </c>
      <c r="M320" s="672">
        <v>-14.28</v>
      </c>
      <c r="X320" s="656"/>
      <c r="Y320" s="657"/>
      <c r="Z320" s="657"/>
      <c r="AA320" s="481" t="s">
        <v>2117</v>
      </c>
      <c r="AC320" s="456"/>
      <c r="AD320" s="481"/>
      <c r="AF320" s="481"/>
      <c r="AG320" s="522"/>
      <c r="AH320" s="699"/>
      <c r="AI320" s="456"/>
      <c r="AJ320" s="699"/>
    </row>
    <row r="321" spans="1:36" s="454" customFormat="1" ht="33.75" x14ac:dyDescent="0.25">
      <c r="A321" s="542"/>
      <c r="B321" s="673" t="s">
        <v>1655</v>
      </c>
      <c r="C321" s="2670" t="s">
        <v>1656</v>
      </c>
      <c r="D321" s="2670"/>
      <c r="E321" s="2670"/>
      <c r="F321" s="2670"/>
      <c r="G321" s="2670"/>
      <c r="H321" s="2670"/>
      <c r="I321" s="2670"/>
      <c r="J321" s="2670"/>
      <c r="K321" s="2670"/>
      <c r="L321" s="2670"/>
      <c r="M321" s="2671"/>
      <c r="X321" s="656"/>
      <c r="Y321" s="657"/>
      <c r="Z321" s="657"/>
      <c r="AA321" s="481"/>
      <c r="AB321" s="491" t="s">
        <v>1656</v>
      </c>
      <c r="AC321" s="456"/>
      <c r="AD321" s="481"/>
      <c r="AF321" s="481"/>
      <c r="AG321" s="522"/>
      <c r="AH321" s="699"/>
      <c r="AI321" s="456"/>
      <c r="AJ321" s="699"/>
    </row>
    <row r="322" spans="1:36" s="454" customFormat="1" ht="23.25" x14ac:dyDescent="0.25">
      <c r="A322" s="507"/>
      <c r="B322" s="674" t="s">
        <v>2119</v>
      </c>
      <c r="C322" s="2672" t="s">
        <v>2120</v>
      </c>
      <c r="D322" s="2672"/>
      <c r="E322" s="2672"/>
      <c r="F322" s="675" t="s">
        <v>2121</v>
      </c>
      <c r="G322" s="676" t="s">
        <v>2122</v>
      </c>
      <c r="H322" s="676"/>
      <c r="I322" s="676">
        <v>-129.52000000000001</v>
      </c>
      <c r="J322" s="676">
        <v>-129.52000000000001</v>
      </c>
      <c r="K322" s="676"/>
      <c r="L322" s="677"/>
      <c r="M322" s="678"/>
      <c r="X322" s="656"/>
      <c r="Y322" s="657"/>
      <c r="Z322" s="657"/>
      <c r="AA322" s="481"/>
      <c r="AC322" s="456" t="s">
        <v>2120</v>
      </c>
      <c r="AD322" s="481"/>
      <c r="AF322" s="481"/>
      <c r="AG322" s="522"/>
      <c r="AH322" s="699"/>
      <c r="AI322" s="456"/>
      <c r="AJ322" s="699"/>
    </row>
    <row r="323" spans="1:36" s="454" customFormat="1" ht="23.25" x14ac:dyDescent="0.25">
      <c r="A323" s="507"/>
      <c r="B323" s="674" t="s">
        <v>639</v>
      </c>
      <c r="C323" s="2672" t="s">
        <v>1661</v>
      </c>
      <c r="D323" s="2672"/>
      <c r="E323" s="2672"/>
      <c r="F323" s="675" t="s">
        <v>2123</v>
      </c>
      <c r="G323" s="676">
        <v>0</v>
      </c>
      <c r="H323" s="676">
        <v>0</v>
      </c>
      <c r="I323" s="676">
        <v>0</v>
      </c>
      <c r="J323" s="676"/>
      <c r="K323" s="676">
        <v>0</v>
      </c>
      <c r="L323" s="677"/>
      <c r="M323" s="678"/>
      <c r="X323" s="656"/>
      <c r="Y323" s="657"/>
      <c r="Z323" s="657"/>
      <c r="AA323" s="481"/>
      <c r="AC323" s="456" t="s">
        <v>1661</v>
      </c>
      <c r="AD323" s="481"/>
      <c r="AF323" s="481"/>
      <c r="AG323" s="522"/>
      <c r="AH323" s="699"/>
      <c r="AI323" s="456"/>
      <c r="AJ323" s="699"/>
    </row>
    <row r="324" spans="1:36" s="454" customFormat="1" ht="34.5" x14ac:dyDescent="0.25">
      <c r="A324" s="507"/>
      <c r="B324" s="674" t="s">
        <v>821</v>
      </c>
      <c r="C324" s="2672" t="s">
        <v>1751</v>
      </c>
      <c r="D324" s="2672"/>
      <c r="E324" s="2672"/>
      <c r="F324" s="675" t="s">
        <v>2124</v>
      </c>
      <c r="G324" s="676">
        <v>65.709999999999994</v>
      </c>
      <c r="H324" s="676" t="s">
        <v>1753</v>
      </c>
      <c r="I324" s="676">
        <v>-73.599999999999994</v>
      </c>
      <c r="J324" s="676"/>
      <c r="K324" s="676" t="s">
        <v>2125</v>
      </c>
      <c r="L324" s="677"/>
      <c r="M324" s="678"/>
      <c r="X324" s="656"/>
      <c r="Y324" s="657"/>
      <c r="Z324" s="657"/>
      <c r="AA324" s="481"/>
      <c r="AC324" s="456" t="s">
        <v>1751</v>
      </c>
      <c r="AD324" s="481"/>
      <c r="AF324" s="481"/>
      <c r="AG324" s="522"/>
      <c r="AH324" s="699"/>
      <c r="AI324" s="456"/>
      <c r="AJ324" s="699"/>
    </row>
    <row r="325" spans="1:36" s="454" customFormat="1" ht="23.25" x14ac:dyDescent="0.25">
      <c r="A325" s="507"/>
      <c r="B325" s="674" t="s">
        <v>825</v>
      </c>
      <c r="C325" s="2672" t="s">
        <v>1808</v>
      </c>
      <c r="D325" s="2672"/>
      <c r="E325" s="2672"/>
      <c r="F325" s="675" t="s">
        <v>2126</v>
      </c>
      <c r="G325" s="676">
        <v>1.2</v>
      </c>
      <c r="H325" s="676" t="s">
        <v>1810</v>
      </c>
      <c r="I325" s="676">
        <v>-10.08</v>
      </c>
      <c r="J325" s="676"/>
      <c r="K325" s="676" t="s">
        <v>2127</v>
      </c>
      <c r="L325" s="677"/>
      <c r="M325" s="678"/>
      <c r="X325" s="656"/>
      <c r="Y325" s="657"/>
      <c r="Z325" s="657"/>
      <c r="AA325" s="481"/>
      <c r="AC325" s="456" t="s">
        <v>1808</v>
      </c>
      <c r="AD325" s="481"/>
      <c r="AF325" s="481"/>
      <c r="AG325" s="522"/>
      <c r="AH325" s="699"/>
      <c r="AI325" s="456"/>
      <c r="AJ325" s="699"/>
    </row>
    <row r="326" spans="1:36" s="454" customFormat="1" ht="23.25" x14ac:dyDescent="0.25">
      <c r="A326" s="507"/>
      <c r="B326" s="674" t="s">
        <v>830</v>
      </c>
      <c r="C326" s="2672" t="s">
        <v>1816</v>
      </c>
      <c r="D326" s="2672"/>
      <c r="E326" s="2672"/>
      <c r="F326" s="675" t="s">
        <v>2126</v>
      </c>
      <c r="G326" s="676">
        <v>6.22</v>
      </c>
      <c r="H326" s="676"/>
      <c r="I326" s="676">
        <v>-52.25</v>
      </c>
      <c r="J326" s="676"/>
      <c r="K326" s="676"/>
      <c r="L326" s="677"/>
      <c r="M326" s="678"/>
      <c r="X326" s="656"/>
      <c r="Y326" s="657"/>
      <c r="Z326" s="657"/>
      <c r="AA326" s="481"/>
      <c r="AC326" s="456" t="s">
        <v>1816</v>
      </c>
      <c r="AD326" s="481"/>
      <c r="AF326" s="481"/>
      <c r="AG326" s="522"/>
      <c r="AH326" s="699"/>
      <c r="AI326" s="456"/>
      <c r="AJ326" s="699"/>
    </row>
    <row r="327" spans="1:36" s="454" customFormat="1" ht="23.25" x14ac:dyDescent="0.25">
      <c r="A327" s="507"/>
      <c r="B327" s="674" t="s">
        <v>833</v>
      </c>
      <c r="C327" s="2672" t="s">
        <v>1818</v>
      </c>
      <c r="D327" s="2672"/>
      <c r="E327" s="2672"/>
      <c r="F327" s="675" t="s">
        <v>2123</v>
      </c>
      <c r="G327" s="676">
        <v>6.09</v>
      </c>
      <c r="H327" s="676"/>
      <c r="I327" s="676">
        <v>-10.23</v>
      </c>
      <c r="J327" s="676"/>
      <c r="K327" s="676"/>
      <c r="L327" s="677"/>
      <c r="M327" s="678"/>
      <c r="X327" s="656"/>
      <c r="Y327" s="657"/>
      <c r="Z327" s="657"/>
      <c r="AA327" s="481"/>
      <c r="AC327" s="456" t="s">
        <v>1818</v>
      </c>
      <c r="AD327" s="481"/>
      <c r="AF327" s="481"/>
      <c r="AG327" s="522"/>
      <c r="AH327" s="699"/>
      <c r="AI327" s="456"/>
      <c r="AJ327" s="699"/>
    </row>
    <row r="328" spans="1:36" s="454" customFormat="1" ht="15" x14ac:dyDescent="0.25">
      <c r="A328" s="2680" t="s">
        <v>1477</v>
      </c>
      <c r="B328" s="2681"/>
      <c r="C328" s="2681"/>
      <c r="D328" s="2681"/>
      <c r="E328" s="2681"/>
      <c r="F328" s="2681"/>
      <c r="G328" s="2681"/>
      <c r="H328" s="2681"/>
      <c r="I328" s="2681"/>
      <c r="J328" s="2681"/>
      <c r="K328" s="2681"/>
      <c r="L328" s="2681"/>
      <c r="M328" s="2682"/>
      <c r="X328" s="656"/>
      <c r="Y328" s="657" t="s">
        <v>1477</v>
      </c>
      <c r="Z328" s="657"/>
      <c r="AA328" s="481"/>
      <c r="AC328" s="456"/>
      <c r="AD328" s="481"/>
      <c r="AF328" s="481"/>
      <c r="AG328" s="522"/>
      <c r="AH328" s="699"/>
      <c r="AI328" s="456"/>
      <c r="AJ328" s="699"/>
    </row>
    <row r="329" spans="1:36" s="454" customFormat="1" ht="57" x14ac:dyDescent="0.25">
      <c r="A329" s="658" t="s">
        <v>1302</v>
      </c>
      <c r="B329" s="659" t="s">
        <v>1954</v>
      </c>
      <c r="C329" s="2673" t="s">
        <v>1955</v>
      </c>
      <c r="D329" s="2673"/>
      <c r="E329" s="2673"/>
      <c r="F329" s="660">
        <v>-0.81599999999999995</v>
      </c>
      <c r="G329" s="661" t="s">
        <v>1956</v>
      </c>
      <c r="H329" s="661" t="s">
        <v>1957</v>
      </c>
      <c r="I329" s="661">
        <v>-104365</v>
      </c>
      <c r="J329" s="661">
        <v>-8162</v>
      </c>
      <c r="K329" s="662" t="s">
        <v>2128</v>
      </c>
      <c r="L329" s="691">
        <v>1039.7328</v>
      </c>
      <c r="M329" s="672">
        <v>-848.42</v>
      </c>
      <c r="X329" s="656"/>
      <c r="Y329" s="657"/>
      <c r="Z329" s="657"/>
      <c r="AA329" s="481" t="s">
        <v>1955</v>
      </c>
      <c r="AC329" s="456"/>
      <c r="AD329" s="481"/>
      <c r="AF329" s="481"/>
      <c r="AG329" s="522"/>
      <c r="AH329" s="699"/>
      <c r="AI329" s="456"/>
      <c r="AJ329" s="699"/>
    </row>
    <row r="330" spans="1:36" s="454" customFormat="1" ht="15" x14ac:dyDescent="0.25">
      <c r="A330" s="664"/>
      <c r="B330" s="665"/>
      <c r="C330" s="666" t="s">
        <v>2129</v>
      </c>
      <c r="D330" s="667"/>
      <c r="E330" s="667"/>
      <c r="F330" s="667"/>
      <c r="G330" s="667"/>
      <c r="H330" s="667"/>
      <c r="I330" s="667"/>
      <c r="J330" s="667"/>
      <c r="K330" s="667"/>
      <c r="L330" s="667"/>
      <c r="M330" s="668"/>
      <c r="X330" s="656"/>
      <c r="Y330" s="657"/>
      <c r="Z330" s="657"/>
      <c r="AA330" s="481"/>
      <c r="AC330" s="456"/>
      <c r="AD330" s="481"/>
      <c r="AF330" s="481"/>
      <c r="AG330" s="522"/>
      <c r="AH330" s="699"/>
      <c r="AI330" s="456"/>
      <c r="AJ330" s="699"/>
    </row>
    <row r="331" spans="1:36" s="454" customFormat="1" ht="15" x14ac:dyDescent="0.25">
      <c r="A331" s="542"/>
      <c r="B331" s="673" t="s">
        <v>1960</v>
      </c>
      <c r="C331" s="2670" t="s">
        <v>1961</v>
      </c>
      <c r="D331" s="2670"/>
      <c r="E331" s="2670"/>
      <c r="F331" s="2670"/>
      <c r="G331" s="2670"/>
      <c r="H331" s="2670"/>
      <c r="I331" s="2670"/>
      <c r="J331" s="2670"/>
      <c r="K331" s="2670"/>
      <c r="L331" s="2670"/>
      <c r="M331" s="2671"/>
      <c r="X331" s="656"/>
      <c r="Y331" s="657"/>
      <c r="Z331" s="657"/>
      <c r="AA331" s="481"/>
      <c r="AB331" s="491" t="s">
        <v>1961</v>
      </c>
      <c r="AC331" s="456"/>
      <c r="AD331" s="481"/>
      <c r="AF331" s="481"/>
      <c r="AG331" s="522"/>
      <c r="AH331" s="699"/>
      <c r="AI331" s="456"/>
      <c r="AJ331" s="699"/>
    </row>
    <row r="332" spans="1:36" s="454" customFormat="1" ht="15" x14ac:dyDescent="0.25">
      <c r="A332" s="542"/>
      <c r="B332" s="673" t="s">
        <v>1962</v>
      </c>
      <c r="C332" s="2670" t="s">
        <v>1963</v>
      </c>
      <c r="D332" s="2670"/>
      <c r="E332" s="2670"/>
      <c r="F332" s="2670"/>
      <c r="G332" s="2670"/>
      <c r="H332" s="2670"/>
      <c r="I332" s="2670"/>
      <c r="J332" s="2670"/>
      <c r="K332" s="2670"/>
      <c r="L332" s="2670"/>
      <c r="M332" s="2671"/>
      <c r="X332" s="656"/>
      <c r="Y332" s="657"/>
      <c r="Z332" s="657"/>
      <c r="AA332" s="481"/>
      <c r="AB332" s="491" t="s">
        <v>1963</v>
      </c>
      <c r="AC332" s="456"/>
      <c r="AD332" s="481"/>
      <c r="AF332" s="481"/>
      <c r="AG332" s="522"/>
      <c r="AH332" s="699"/>
      <c r="AI332" s="456"/>
      <c r="AJ332" s="699"/>
    </row>
    <row r="333" spans="1:36" s="454" customFormat="1" ht="15" x14ac:dyDescent="0.25">
      <c r="A333" s="542"/>
      <c r="B333" s="673" t="s">
        <v>1964</v>
      </c>
      <c r="C333" s="2670" t="s">
        <v>1965</v>
      </c>
      <c r="D333" s="2670"/>
      <c r="E333" s="2670"/>
      <c r="F333" s="2670"/>
      <c r="G333" s="2670"/>
      <c r="H333" s="2670"/>
      <c r="I333" s="2670"/>
      <c r="J333" s="2670"/>
      <c r="K333" s="2670"/>
      <c r="L333" s="2670"/>
      <c r="M333" s="2671"/>
      <c r="X333" s="656"/>
      <c r="Y333" s="657"/>
      <c r="Z333" s="657"/>
      <c r="AA333" s="481"/>
      <c r="AB333" s="491" t="s">
        <v>1965</v>
      </c>
      <c r="AC333" s="456"/>
      <c r="AD333" s="481"/>
      <c r="AF333" s="481"/>
      <c r="AG333" s="522"/>
      <c r="AH333" s="699"/>
      <c r="AI333" s="456"/>
      <c r="AJ333" s="699"/>
    </row>
    <row r="334" spans="1:36" s="454" customFormat="1" ht="33.75" x14ac:dyDescent="0.25">
      <c r="A334" s="542"/>
      <c r="B334" s="673" t="s">
        <v>1655</v>
      </c>
      <c r="C334" s="2670" t="s">
        <v>1656</v>
      </c>
      <c r="D334" s="2670"/>
      <c r="E334" s="2670"/>
      <c r="F334" s="2670"/>
      <c r="G334" s="2670"/>
      <c r="H334" s="2670"/>
      <c r="I334" s="2670"/>
      <c r="J334" s="2670"/>
      <c r="K334" s="2670"/>
      <c r="L334" s="2670"/>
      <c r="M334" s="2671"/>
      <c r="X334" s="656"/>
      <c r="Y334" s="657"/>
      <c r="Z334" s="657"/>
      <c r="AA334" s="481"/>
      <c r="AB334" s="491" t="s">
        <v>1656</v>
      </c>
      <c r="AC334" s="456"/>
      <c r="AD334" s="481"/>
      <c r="AF334" s="481"/>
      <c r="AG334" s="522"/>
      <c r="AH334" s="699"/>
      <c r="AI334" s="456"/>
      <c r="AJ334" s="699"/>
    </row>
    <row r="335" spans="1:36" s="454" customFormat="1" ht="23.25" x14ac:dyDescent="0.25">
      <c r="A335" s="507"/>
      <c r="B335" s="674" t="s">
        <v>1883</v>
      </c>
      <c r="C335" s="2672" t="s">
        <v>1884</v>
      </c>
      <c r="D335" s="2672"/>
      <c r="E335" s="2672"/>
      <c r="F335" s="675" t="s">
        <v>2130</v>
      </c>
      <c r="G335" s="676" t="s">
        <v>1886</v>
      </c>
      <c r="H335" s="676"/>
      <c r="I335" s="676">
        <v>-8161.8</v>
      </c>
      <c r="J335" s="676">
        <v>-8161.8</v>
      </c>
      <c r="K335" s="676"/>
      <c r="L335" s="677"/>
      <c r="M335" s="678"/>
      <c r="X335" s="656"/>
      <c r="Y335" s="657"/>
      <c r="Z335" s="657"/>
      <c r="AA335" s="481"/>
      <c r="AC335" s="456" t="s">
        <v>1884</v>
      </c>
      <c r="AD335" s="481"/>
      <c r="AF335" s="481"/>
      <c r="AG335" s="522"/>
      <c r="AH335" s="699"/>
      <c r="AI335" s="456"/>
      <c r="AJ335" s="699"/>
    </row>
    <row r="336" spans="1:36" s="454" customFormat="1" ht="23.25" x14ac:dyDescent="0.25">
      <c r="A336" s="507"/>
      <c r="B336" s="674" t="s">
        <v>639</v>
      </c>
      <c r="C336" s="2672" t="s">
        <v>1661</v>
      </c>
      <c r="D336" s="2672"/>
      <c r="E336" s="2672"/>
      <c r="F336" s="675" t="s">
        <v>2131</v>
      </c>
      <c r="G336" s="676">
        <v>0</v>
      </c>
      <c r="H336" s="676">
        <v>0</v>
      </c>
      <c r="I336" s="676">
        <v>0</v>
      </c>
      <c r="J336" s="676"/>
      <c r="K336" s="676">
        <v>0</v>
      </c>
      <c r="L336" s="677"/>
      <c r="M336" s="678"/>
      <c r="X336" s="656"/>
      <c r="Y336" s="657"/>
      <c r="Z336" s="657"/>
      <c r="AA336" s="481"/>
      <c r="AC336" s="456" t="s">
        <v>1661</v>
      </c>
      <c r="AD336" s="481"/>
      <c r="AF336" s="481"/>
      <c r="AG336" s="522"/>
      <c r="AH336" s="699"/>
      <c r="AI336" s="456"/>
      <c r="AJ336" s="699"/>
    </row>
    <row r="337" spans="1:36" s="454" customFormat="1" ht="23.25" x14ac:dyDescent="0.25">
      <c r="A337" s="507"/>
      <c r="B337" s="674" t="s">
        <v>1968</v>
      </c>
      <c r="C337" s="2672" t="s">
        <v>1969</v>
      </c>
      <c r="D337" s="2672"/>
      <c r="E337" s="2672"/>
      <c r="F337" s="675" t="s">
        <v>2132</v>
      </c>
      <c r="G337" s="676">
        <v>79.069999999999993</v>
      </c>
      <c r="H337" s="676" t="s">
        <v>1971</v>
      </c>
      <c r="I337" s="676">
        <v>-188.98</v>
      </c>
      <c r="J337" s="676"/>
      <c r="K337" s="676" t="s">
        <v>2133</v>
      </c>
      <c r="L337" s="677"/>
      <c r="M337" s="678"/>
      <c r="X337" s="656"/>
      <c r="Y337" s="657"/>
      <c r="Z337" s="657"/>
      <c r="AA337" s="481"/>
      <c r="AC337" s="456" t="s">
        <v>1969</v>
      </c>
      <c r="AD337" s="481"/>
      <c r="AF337" s="481"/>
      <c r="AG337" s="522"/>
      <c r="AH337" s="699"/>
      <c r="AI337" s="456"/>
      <c r="AJ337" s="699"/>
    </row>
    <row r="338" spans="1:36" s="454" customFormat="1" ht="45.75" x14ac:dyDescent="0.25">
      <c r="A338" s="507"/>
      <c r="B338" s="674" t="s">
        <v>1973</v>
      </c>
      <c r="C338" s="2672" t="s">
        <v>1974</v>
      </c>
      <c r="D338" s="2672"/>
      <c r="E338" s="2672"/>
      <c r="F338" s="675" t="s">
        <v>2134</v>
      </c>
      <c r="G338" s="676">
        <v>70.010000000000005</v>
      </c>
      <c r="H338" s="676" t="s">
        <v>1976</v>
      </c>
      <c r="I338" s="676">
        <v>-225.43</v>
      </c>
      <c r="J338" s="676"/>
      <c r="K338" s="676" t="s">
        <v>2135</v>
      </c>
      <c r="L338" s="677"/>
      <c r="M338" s="678"/>
      <c r="X338" s="656"/>
      <c r="Y338" s="657"/>
      <c r="Z338" s="657"/>
      <c r="AA338" s="481"/>
      <c r="AC338" s="456" t="s">
        <v>1974</v>
      </c>
      <c r="AD338" s="481"/>
      <c r="AF338" s="481"/>
      <c r="AG338" s="522"/>
      <c r="AH338" s="699"/>
      <c r="AI338" s="456"/>
      <c r="AJ338" s="699"/>
    </row>
    <row r="339" spans="1:36" s="454" customFormat="1" ht="57" x14ac:dyDescent="0.25">
      <c r="A339" s="507"/>
      <c r="B339" s="674" t="s">
        <v>1978</v>
      </c>
      <c r="C339" s="2672" t="s">
        <v>1979</v>
      </c>
      <c r="D339" s="2672"/>
      <c r="E339" s="2672"/>
      <c r="F339" s="675" t="s">
        <v>2136</v>
      </c>
      <c r="G339" s="676">
        <v>340</v>
      </c>
      <c r="H339" s="676" t="s">
        <v>1981</v>
      </c>
      <c r="I339" s="676">
        <v>-61706.6</v>
      </c>
      <c r="J339" s="676"/>
      <c r="K339" s="676" t="s">
        <v>2137</v>
      </c>
      <c r="L339" s="677"/>
      <c r="M339" s="678"/>
      <c r="X339" s="656"/>
      <c r="Y339" s="657"/>
      <c r="Z339" s="657"/>
      <c r="AA339" s="481"/>
      <c r="AC339" s="456" t="s">
        <v>1979</v>
      </c>
      <c r="AD339" s="481"/>
      <c r="AF339" s="481"/>
      <c r="AG339" s="522"/>
      <c r="AH339" s="699"/>
      <c r="AI339" s="456"/>
      <c r="AJ339" s="699"/>
    </row>
    <row r="340" spans="1:36" s="454" customFormat="1" ht="34.5" x14ac:dyDescent="0.25">
      <c r="A340" s="507"/>
      <c r="B340" s="674" t="s">
        <v>1663</v>
      </c>
      <c r="C340" s="2672" t="s">
        <v>1664</v>
      </c>
      <c r="D340" s="2672"/>
      <c r="E340" s="2672"/>
      <c r="F340" s="675" t="s">
        <v>2138</v>
      </c>
      <c r="G340" s="676">
        <v>111.99</v>
      </c>
      <c r="H340" s="676" t="s">
        <v>1666</v>
      </c>
      <c r="I340" s="676">
        <v>-353.89</v>
      </c>
      <c r="J340" s="676"/>
      <c r="K340" s="676" t="s">
        <v>2139</v>
      </c>
      <c r="L340" s="677"/>
      <c r="M340" s="678"/>
      <c r="X340" s="656"/>
      <c r="Y340" s="657"/>
      <c r="Z340" s="657"/>
      <c r="AA340" s="481"/>
      <c r="AC340" s="456" t="s">
        <v>1664</v>
      </c>
      <c r="AD340" s="481"/>
      <c r="AF340" s="481"/>
      <c r="AG340" s="522"/>
      <c r="AH340" s="699"/>
      <c r="AI340" s="456"/>
      <c r="AJ340" s="699"/>
    </row>
    <row r="341" spans="1:36" s="454" customFormat="1" ht="23.25" x14ac:dyDescent="0.25">
      <c r="A341" s="507"/>
      <c r="B341" s="674" t="s">
        <v>1985</v>
      </c>
      <c r="C341" s="2672" t="s">
        <v>1986</v>
      </c>
      <c r="D341" s="2672"/>
      <c r="E341" s="2672"/>
      <c r="F341" s="675" t="s">
        <v>2140</v>
      </c>
      <c r="G341" s="676">
        <v>26.5</v>
      </c>
      <c r="H341" s="676" t="s">
        <v>1988</v>
      </c>
      <c r="I341" s="676">
        <v>-1142.68</v>
      </c>
      <c r="J341" s="676"/>
      <c r="K341" s="676" t="s">
        <v>2141</v>
      </c>
      <c r="L341" s="677"/>
      <c r="M341" s="678"/>
      <c r="X341" s="656"/>
      <c r="Y341" s="657"/>
      <c r="Z341" s="657"/>
      <c r="AA341" s="481"/>
      <c r="AC341" s="456" t="s">
        <v>1986</v>
      </c>
      <c r="AD341" s="481"/>
      <c r="AF341" s="481"/>
      <c r="AG341" s="522"/>
      <c r="AH341" s="699"/>
      <c r="AI341" s="456"/>
      <c r="AJ341" s="699"/>
    </row>
    <row r="342" spans="1:36" s="454" customFormat="1" ht="34.5" x14ac:dyDescent="0.25">
      <c r="A342" s="507"/>
      <c r="B342" s="674" t="s">
        <v>821</v>
      </c>
      <c r="C342" s="2672" t="s">
        <v>1751</v>
      </c>
      <c r="D342" s="2672"/>
      <c r="E342" s="2672"/>
      <c r="F342" s="675" t="s">
        <v>2142</v>
      </c>
      <c r="G342" s="676">
        <v>65.709999999999994</v>
      </c>
      <c r="H342" s="676" t="s">
        <v>1753</v>
      </c>
      <c r="I342" s="676">
        <v>-310.81</v>
      </c>
      <c r="J342" s="676"/>
      <c r="K342" s="676" t="s">
        <v>2143</v>
      </c>
      <c r="L342" s="677"/>
      <c r="M342" s="678"/>
      <c r="X342" s="656"/>
      <c r="Y342" s="657"/>
      <c r="Z342" s="657"/>
      <c r="AA342" s="481"/>
      <c r="AC342" s="456" t="s">
        <v>1751</v>
      </c>
      <c r="AD342" s="481"/>
      <c r="AF342" s="481"/>
      <c r="AG342" s="522"/>
      <c r="AH342" s="699"/>
      <c r="AI342" s="456"/>
      <c r="AJ342" s="699"/>
    </row>
    <row r="343" spans="1:36" s="454" customFormat="1" ht="23.25" x14ac:dyDescent="0.25">
      <c r="A343" s="515" t="s">
        <v>863</v>
      </c>
      <c r="B343" s="686" t="s">
        <v>1992</v>
      </c>
      <c r="C343" s="2683" t="s">
        <v>1993</v>
      </c>
      <c r="D343" s="2683"/>
      <c r="E343" s="2683"/>
      <c r="F343" s="687" t="s">
        <v>2144</v>
      </c>
      <c r="G343" s="688">
        <v>0</v>
      </c>
      <c r="H343" s="688"/>
      <c r="I343" s="688">
        <v>0</v>
      </c>
      <c r="J343" s="688"/>
      <c r="K343" s="688"/>
      <c r="L343" s="689"/>
      <c r="M343" s="690"/>
      <c r="X343" s="656"/>
      <c r="Y343" s="657"/>
      <c r="Z343" s="657"/>
      <c r="AA343" s="481"/>
      <c r="AC343" s="456"/>
      <c r="AD343" s="481"/>
      <c r="AF343" s="481"/>
      <c r="AG343" s="522" t="s">
        <v>1993</v>
      </c>
      <c r="AH343" s="699"/>
      <c r="AI343" s="456"/>
      <c r="AJ343" s="699"/>
    </row>
    <row r="344" spans="1:36" s="454" customFormat="1" ht="57" x14ac:dyDescent="0.25">
      <c r="A344" s="507"/>
      <c r="B344" s="674" t="s">
        <v>1995</v>
      </c>
      <c r="C344" s="2672" t="s">
        <v>1996</v>
      </c>
      <c r="D344" s="2672"/>
      <c r="E344" s="2672"/>
      <c r="F344" s="675" t="s">
        <v>2145</v>
      </c>
      <c r="G344" s="676">
        <v>183.68</v>
      </c>
      <c r="H344" s="676"/>
      <c r="I344" s="676">
        <v>-310.60000000000002</v>
      </c>
      <c r="J344" s="676"/>
      <c r="K344" s="676"/>
      <c r="L344" s="677"/>
      <c r="M344" s="678"/>
      <c r="X344" s="656"/>
      <c r="Y344" s="657"/>
      <c r="Z344" s="657"/>
      <c r="AA344" s="481"/>
      <c r="AC344" s="456" t="s">
        <v>1996</v>
      </c>
      <c r="AD344" s="481"/>
      <c r="AF344" s="481"/>
      <c r="AG344" s="522"/>
      <c r="AH344" s="699"/>
      <c r="AI344" s="456"/>
      <c r="AJ344" s="699"/>
    </row>
    <row r="345" spans="1:36" s="454" customFormat="1" ht="23.25" x14ac:dyDescent="0.25">
      <c r="A345" s="515" t="s">
        <v>863</v>
      </c>
      <c r="B345" s="686" t="s">
        <v>1998</v>
      </c>
      <c r="C345" s="2683" t="s">
        <v>1999</v>
      </c>
      <c r="D345" s="2683"/>
      <c r="E345" s="2683"/>
      <c r="F345" s="687" t="s">
        <v>2146</v>
      </c>
      <c r="G345" s="688">
        <v>0</v>
      </c>
      <c r="H345" s="688"/>
      <c r="I345" s="688">
        <v>0</v>
      </c>
      <c r="J345" s="688"/>
      <c r="K345" s="688"/>
      <c r="L345" s="689"/>
      <c r="M345" s="690"/>
      <c r="X345" s="656"/>
      <c r="Y345" s="657"/>
      <c r="Z345" s="657"/>
      <c r="AA345" s="481"/>
      <c r="AC345" s="456"/>
      <c r="AD345" s="481"/>
      <c r="AF345" s="481"/>
      <c r="AG345" s="522" t="s">
        <v>1999</v>
      </c>
      <c r="AH345" s="699"/>
      <c r="AI345" s="456"/>
      <c r="AJ345" s="699"/>
    </row>
    <row r="346" spans="1:36" s="454" customFormat="1" ht="22.5" x14ac:dyDescent="0.25">
      <c r="A346" s="515" t="s">
        <v>860</v>
      </c>
      <c r="B346" s="686" t="s">
        <v>2001</v>
      </c>
      <c r="C346" s="2683" t="s">
        <v>2002</v>
      </c>
      <c r="D346" s="2683"/>
      <c r="E346" s="2683"/>
      <c r="F346" s="687" t="s">
        <v>1935</v>
      </c>
      <c r="G346" s="688">
        <v>0</v>
      </c>
      <c r="H346" s="688"/>
      <c r="I346" s="688">
        <v>0</v>
      </c>
      <c r="J346" s="688"/>
      <c r="K346" s="688"/>
      <c r="L346" s="689"/>
      <c r="M346" s="690"/>
      <c r="X346" s="656"/>
      <c r="Y346" s="657"/>
      <c r="Z346" s="657"/>
      <c r="AA346" s="481"/>
      <c r="AC346" s="456"/>
      <c r="AD346" s="481"/>
      <c r="AF346" s="481"/>
      <c r="AG346" s="522" t="s">
        <v>2002</v>
      </c>
      <c r="AH346" s="699"/>
      <c r="AI346" s="456"/>
      <c r="AJ346" s="699"/>
    </row>
    <row r="347" spans="1:36" s="454" customFormat="1" ht="57" x14ac:dyDescent="0.25">
      <c r="A347" s="658" t="s">
        <v>1306</v>
      </c>
      <c r="B347" s="659" t="s">
        <v>2003</v>
      </c>
      <c r="C347" s="2673" t="s">
        <v>2004</v>
      </c>
      <c r="D347" s="2673"/>
      <c r="E347" s="2673"/>
      <c r="F347" s="660">
        <v>-0.14399999999999999</v>
      </c>
      <c r="G347" s="661" t="s">
        <v>2005</v>
      </c>
      <c r="H347" s="661" t="s">
        <v>2006</v>
      </c>
      <c r="I347" s="661">
        <v>-55898</v>
      </c>
      <c r="J347" s="661">
        <v>-4268</v>
      </c>
      <c r="K347" s="662" t="s">
        <v>2147</v>
      </c>
      <c r="L347" s="691">
        <v>3081.2808</v>
      </c>
      <c r="M347" s="692">
        <v>-443.7</v>
      </c>
      <c r="X347" s="656"/>
      <c r="Y347" s="657"/>
      <c r="Z347" s="657"/>
      <c r="AA347" s="481" t="s">
        <v>2004</v>
      </c>
      <c r="AC347" s="456"/>
      <c r="AD347" s="481"/>
      <c r="AF347" s="481"/>
      <c r="AG347" s="522"/>
      <c r="AH347" s="699"/>
      <c r="AI347" s="456"/>
      <c r="AJ347" s="699"/>
    </row>
    <row r="348" spans="1:36" s="454" customFormat="1" ht="15" x14ac:dyDescent="0.25">
      <c r="A348" s="664"/>
      <c r="B348" s="665"/>
      <c r="C348" s="666" t="s">
        <v>2148</v>
      </c>
      <c r="D348" s="667"/>
      <c r="E348" s="667"/>
      <c r="F348" s="667"/>
      <c r="G348" s="667"/>
      <c r="H348" s="667"/>
      <c r="I348" s="667"/>
      <c r="J348" s="667"/>
      <c r="K348" s="667"/>
      <c r="L348" s="667"/>
      <c r="M348" s="668"/>
      <c r="X348" s="656"/>
      <c r="Y348" s="657"/>
      <c r="Z348" s="657"/>
      <c r="AA348" s="481"/>
      <c r="AC348" s="456"/>
      <c r="AD348" s="481"/>
      <c r="AF348" s="481"/>
      <c r="AG348" s="522"/>
      <c r="AH348" s="699"/>
      <c r="AI348" s="456"/>
      <c r="AJ348" s="699"/>
    </row>
    <row r="349" spans="1:36" s="454" customFormat="1" ht="15" x14ac:dyDescent="0.25">
      <c r="A349" s="542"/>
      <c r="B349" s="673" t="s">
        <v>1960</v>
      </c>
      <c r="C349" s="2670" t="s">
        <v>1961</v>
      </c>
      <c r="D349" s="2670"/>
      <c r="E349" s="2670"/>
      <c r="F349" s="2670"/>
      <c r="G349" s="2670"/>
      <c r="H349" s="2670"/>
      <c r="I349" s="2670"/>
      <c r="J349" s="2670"/>
      <c r="K349" s="2670"/>
      <c r="L349" s="2670"/>
      <c r="M349" s="2671"/>
      <c r="X349" s="656"/>
      <c r="Y349" s="657"/>
      <c r="Z349" s="657"/>
      <c r="AA349" s="481"/>
      <c r="AB349" s="491" t="s">
        <v>1961</v>
      </c>
      <c r="AC349" s="456"/>
      <c r="AD349" s="481"/>
      <c r="AF349" s="481"/>
      <c r="AG349" s="522"/>
      <c r="AH349" s="699"/>
      <c r="AI349" s="456"/>
      <c r="AJ349" s="699"/>
    </row>
    <row r="350" spans="1:36" s="454" customFormat="1" ht="15" x14ac:dyDescent="0.25">
      <c r="A350" s="542"/>
      <c r="B350" s="673" t="s">
        <v>1962</v>
      </c>
      <c r="C350" s="2670" t="s">
        <v>1963</v>
      </c>
      <c r="D350" s="2670"/>
      <c r="E350" s="2670"/>
      <c r="F350" s="2670"/>
      <c r="G350" s="2670"/>
      <c r="H350" s="2670"/>
      <c r="I350" s="2670"/>
      <c r="J350" s="2670"/>
      <c r="K350" s="2670"/>
      <c r="L350" s="2670"/>
      <c r="M350" s="2671"/>
      <c r="X350" s="656"/>
      <c r="Y350" s="657"/>
      <c r="Z350" s="657"/>
      <c r="AA350" s="481"/>
      <c r="AB350" s="491" t="s">
        <v>1963</v>
      </c>
      <c r="AC350" s="456"/>
      <c r="AD350" s="481"/>
      <c r="AF350" s="481"/>
      <c r="AG350" s="522"/>
      <c r="AH350" s="699"/>
      <c r="AI350" s="456"/>
      <c r="AJ350" s="699"/>
    </row>
    <row r="351" spans="1:36" s="454" customFormat="1" ht="15" x14ac:dyDescent="0.25">
      <c r="A351" s="542"/>
      <c r="B351" s="673" t="s">
        <v>1964</v>
      </c>
      <c r="C351" s="2670" t="s">
        <v>1965</v>
      </c>
      <c r="D351" s="2670"/>
      <c r="E351" s="2670"/>
      <c r="F351" s="2670"/>
      <c r="G351" s="2670"/>
      <c r="H351" s="2670"/>
      <c r="I351" s="2670"/>
      <c r="J351" s="2670"/>
      <c r="K351" s="2670"/>
      <c r="L351" s="2670"/>
      <c r="M351" s="2671"/>
      <c r="X351" s="656"/>
      <c r="Y351" s="657"/>
      <c r="Z351" s="657"/>
      <c r="AA351" s="481"/>
      <c r="AB351" s="491" t="s">
        <v>1965</v>
      </c>
      <c r="AC351" s="456"/>
      <c r="AD351" s="481"/>
      <c r="AF351" s="481"/>
      <c r="AG351" s="522"/>
      <c r="AH351" s="699"/>
      <c r="AI351" s="456"/>
      <c r="AJ351" s="699"/>
    </row>
    <row r="352" spans="1:36" s="454" customFormat="1" ht="33.75" x14ac:dyDescent="0.25">
      <c r="A352" s="542"/>
      <c r="B352" s="673" t="s">
        <v>1655</v>
      </c>
      <c r="C352" s="2670" t="s">
        <v>1656</v>
      </c>
      <c r="D352" s="2670"/>
      <c r="E352" s="2670"/>
      <c r="F352" s="2670"/>
      <c r="G352" s="2670"/>
      <c r="H352" s="2670"/>
      <c r="I352" s="2670"/>
      <c r="J352" s="2670"/>
      <c r="K352" s="2670"/>
      <c r="L352" s="2670"/>
      <c r="M352" s="2671"/>
      <c r="X352" s="656"/>
      <c r="Y352" s="657"/>
      <c r="Z352" s="657"/>
      <c r="AA352" s="481"/>
      <c r="AB352" s="491" t="s">
        <v>1656</v>
      </c>
      <c r="AC352" s="456"/>
      <c r="AD352" s="481"/>
      <c r="AF352" s="481"/>
      <c r="AG352" s="522"/>
      <c r="AH352" s="699"/>
      <c r="AI352" s="456"/>
      <c r="AJ352" s="699"/>
    </row>
    <row r="353" spans="1:36" s="454" customFormat="1" ht="23.25" x14ac:dyDescent="0.25">
      <c r="A353" s="507"/>
      <c r="B353" s="674" t="s">
        <v>1883</v>
      </c>
      <c r="C353" s="2672" t="s">
        <v>1884</v>
      </c>
      <c r="D353" s="2672"/>
      <c r="E353" s="2672"/>
      <c r="F353" s="675" t="s">
        <v>2149</v>
      </c>
      <c r="G353" s="676" t="s">
        <v>1886</v>
      </c>
      <c r="H353" s="676"/>
      <c r="I353" s="676">
        <v>-4268.3900000000003</v>
      </c>
      <c r="J353" s="676">
        <v>-4268.3900000000003</v>
      </c>
      <c r="K353" s="676"/>
      <c r="L353" s="677"/>
      <c r="M353" s="678"/>
      <c r="X353" s="656"/>
      <c r="Y353" s="657"/>
      <c r="Z353" s="657"/>
      <c r="AA353" s="481"/>
      <c r="AC353" s="456" t="s">
        <v>1884</v>
      </c>
      <c r="AD353" s="481"/>
      <c r="AF353" s="481"/>
      <c r="AG353" s="522"/>
      <c r="AH353" s="699"/>
      <c r="AI353" s="456"/>
      <c r="AJ353" s="699"/>
    </row>
    <row r="354" spans="1:36" s="454" customFormat="1" ht="23.25" x14ac:dyDescent="0.25">
      <c r="A354" s="507"/>
      <c r="B354" s="674" t="s">
        <v>639</v>
      </c>
      <c r="C354" s="2672" t="s">
        <v>1661</v>
      </c>
      <c r="D354" s="2672"/>
      <c r="E354" s="2672"/>
      <c r="F354" s="675" t="s">
        <v>2150</v>
      </c>
      <c r="G354" s="676">
        <v>0</v>
      </c>
      <c r="H354" s="676">
        <v>0</v>
      </c>
      <c r="I354" s="676">
        <v>0</v>
      </c>
      <c r="J354" s="676"/>
      <c r="K354" s="676">
        <v>0</v>
      </c>
      <c r="L354" s="677"/>
      <c r="M354" s="678"/>
      <c r="X354" s="656"/>
      <c r="Y354" s="657"/>
      <c r="Z354" s="657"/>
      <c r="AA354" s="481"/>
      <c r="AC354" s="456" t="s">
        <v>1661</v>
      </c>
      <c r="AD354" s="481"/>
      <c r="AF354" s="481"/>
      <c r="AG354" s="522"/>
      <c r="AH354" s="699"/>
      <c r="AI354" s="456"/>
      <c r="AJ354" s="699"/>
    </row>
    <row r="355" spans="1:36" s="454" customFormat="1" ht="23.25" x14ac:dyDescent="0.25">
      <c r="A355" s="507"/>
      <c r="B355" s="674" t="s">
        <v>1968</v>
      </c>
      <c r="C355" s="2672" t="s">
        <v>1969</v>
      </c>
      <c r="D355" s="2672"/>
      <c r="E355" s="2672"/>
      <c r="F355" s="675" t="s">
        <v>2151</v>
      </c>
      <c r="G355" s="676">
        <v>79.069999999999993</v>
      </c>
      <c r="H355" s="676" t="s">
        <v>1971</v>
      </c>
      <c r="I355" s="676">
        <v>-33.21</v>
      </c>
      <c r="J355" s="676"/>
      <c r="K355" s="676" t="s">
        <v>2152</v>
      </c>
      <c r="L355" s="677"/>
      <c r="M355" s="678"/>
      <c r="X355" s="656"/>
      <c r="Y355" s="657"/>
      <c r="Z355" s="657"/>
      <c r="AA355" s="481"/>
      <c r="AC355" s="456" t="s">
        <v>1969</v>
      </c>
      <c r="AD355" s="481"/>
      <c r="AF355" s="481"/>
      <c r="AG355" s="522"/>
      <c r="AH355" s="699"/>
      <c r="AI355" s="456"/>
      <c r="AJ355" s="699"/>
    </row>
    <row r="356" spans="1:36" s="454" customFormat="1" ht="45.75" x14ac:dyDescent="0.25">
      <c r="A356" s="507"/>
      <c r="B356" s="674" t="s">
        <v>1973</v>
      </c>
      <c r="C356" s="2672" t="s">
        <v>1974</v>
      </c>
      <c r="D356" s="2672"/>
      <c r="E356" s="2672"/>
      <c r="F356" s="675" t="s">
        <v>2153</v>
      </c>
      <c r="G356" s="676">
        <v>70.010000000000005</v>
      </c>
      <c r="H356" s="676" t="s">
        <v>1976</v>
      </c>
      <c r="I356" s="676">
        <v>-39.909999999999997</v>
      </c>
      <c r="J356" s="676"/>
      <c r="K356" s="676" t="s">
        <v>2154</v>
      </c>
      <c r="L356" s="677"/>
      <c r="M356" s="678"/>
      <c r="X356" s="656"/>
      <c r="Y356" s="657"/>
      <c r="Z356" s="657"/>
      <c r="AA356" s="481"/>
      <c r="AC356" s="456" t="s">
        <v>1974</v>
      </c>
      <c r="AD356" s="481"/>
      <c r="AF356" s="481"/>
      <c r="AG356" s="522"/>
      <c r="AH356" s="699"/>
      <c r="AI356" s="456"/>
      <c r="AJ356" s="699"/>
    </row>
    <row r="357" spans="1:36" s="454" customFormat="1" ht="57" x14ac:dyDescent="0.25">
      <c r="A357" s="507"/>
      <c r="B357" s="674" t="s">
        <v>1978</v>
      </c>
      <c r="C357" s="2672" t="s">
        <v>1979</v>
      </c>
      <c r="D357" s="2672"/>
      <c r="E357" s="2672"/>
      <c r="F357" s="675" t="s">
        <v>2155</v>
      </c>
      <c r="G357" s="676">
        <v>340</v>
      </c>
      <c r="H357" s="676" t="s">
        <v>1981</v>
      </c>
      <c r="I357" s="676">
        <v>-33898</v>
      </c>
      <c r="J357" s="676"/>
      <c r="K357" s="676" t="s">
        <v>2156</v>
      </c>
      <c r="L357" s="677"/>
      <c r="M357" s="678"/>
      <c r="X357" s="656"/>
      <c r="Y357" s="657"/>
      <c r="Z357" s="657"/>
      <c r="AA357" s="481"/>
      <c r="AC357" s="456" t="s">
        <v>1979</v>
      </c>
      <c r="AD357" s="481"/>
      <c r="AF357" s="481"/>
      <c r="AG357" s="522"/>
      <c r="AH357" s="699"/>
      <c r="AI357" s="456"/>
      <c r="AJ357" s="699"/>
    </row>
    <row r="358" spans="1:36" s="454" customFormat="1" ht="34.5" x14ac:dyDescent="0.25">
      <c r="A358" s="507"/>
      <c r="B358" s="674" t="s">
        <v>1663</v>
      </c>
      <c r="C358" s="2672" t="s">
        <v>1664</v>
      </c>
      <c r="D358" s="2672"/>
      <c r="E358" s="2672"/>
      <c r="F358" s="675" t="s">
        <v>2157</v>
      </c>
      <c r="G358" s="676">
        <v>111.99</v>
      </c>
      <c r="H358" s="676" t="s">
        <v>1666</v>
      </c>
      <c r="I358" s="676">
        <v>-70.55</v>
      </c>
      <c r="J358" s="676"/>
      <c r="K358" s="676" t="s">
        <v>2158</v>
      </c>
      <c r="L358" s="677"/>
      <c r="M358" s="678"/>
      <c r="X358" s="656"/>
      <c r="Y358" s="657"/>
      <c r="Z358" s="657"/>
      <c r="AA358" s="481"/>
      <c r="AC358" s="456" t="s">
        <v>1664</v>
      </c>
      <c r="AD358" s="481"/>
      <c r="AF358" s="481"/>
      <c r="AG358" s="522"/>
      <c r="AH358" s="699"/>
      <c r="AI358" s="456"/>
      <c r="AJ358" s="699"/>
    </row>
    <row r="359" spans="1:36" s="454" customFormat="1" ht="23.25" x14ac:dyDescent="0.25">
      <c r="A359" s="507"/>
      <c r="B359" s="674" t="s">
        <v>1985</v>
      </c>
      <c r="C359" s="2672" t="s">
        <v>1986</v>
      </c>
      <c r="D359" s="2672"/>
      <c r="E359" s="2672"/>
      <c r="F359" s="675" t="s">
        <v>2159</v>
      </c>
      <c r="G359" s="676">
        <v>26.5</v>
      </c>
      <c r="H359" s="676" t="s">
        <v>1988</v>
      </c>
      <c r="I359" s="676">
        <v>-201.67</v>
      </c>
      <c r="J359" s="676"/>
      <c r="K359" s="676" t="s">
        <v>2160</v>
      </c>
      <c r="L359" s="677"/>
      <c r="M359" s="678"/>
      <c r="X359" s="656"/>
      <c r="Y359" s="657"/>
      <c r="Z359" s="657"/>
      <c r="AA359" s="481"/>
      <c r="AC359" s="456" t="s">
        <v>1986</v>
      </c>
      <c r="AD359" s="481"/>
      <c r="AF359" s="481"/>
      <c r="AG359" s="522"/>
      <c r="AH359" s="699"/>
      <c r="AI359" s="456"/>
      <c r="AJ359" s="699"/>
    </row>
    <row r="360" spans="1:36" s="454" customFormat="1" ht="34.5" x14ac:dyDescent="0.25">
      <c r="A360" s="507"/>
      <c r="B360" s="674" t="s">
        <v>821</v>
      </c>
      <c r="C360" s="2672" t="s">
        <v>1751</v>
      </c>
      <c r="D360" s="2672"/>
      <c r="E360" s="2672"/>
      <c r="F360" s="675" t="s">
        <v>2161</v>
      </c>
      <c r="G360" s="676">
        <v>65.709999999999994</v>
      </c>
      <c r="H360" s="676" t="s">
        <v>1753</v>
      </c>
      <c r="I360" s="676">
        <v>-61.77</v>
      </c>
      <c r="J360" s="676"/>
      <c r="K360" s="676" t="s">
        <v>2162</v>
      </c>
      <c r="L360" s="677"/>
      <c r="M360" s="678"/>
      <c r="X360" s="656"/>
      <c r="Y360" s="657"/>
      <c r="Z360" s="657"/>
      <c r="AA360" s="481"/>
      <c r="AC360" s="456" t="s">
        <v>1751</v>
      </c>
      <c r="AD360" s="481"/>
      <c r="AF360" s="481"/>
      <c r="AG360" s="522"/>
      <c r="AH360" s="699"/>
      <c r="AI360" s="456"/>
      <c r="AJ360" s="699"/>
    </row>
    <row r="361" spans="1:36" s="454" customFormat="1" ht="23.25" x14ac:dyDescent="0.25">
      <c r="A361" s="515" t="s">
        <v>863</v>
      </c>
      <c r="B361" s="686" t="s">
        <v>1992</v>
      </c>
      <c r="C361" s="2683" t="s">
        <v>1993</v>
      </c>
      <c r="D361" s="2683"/>
      <c r="E361" s="2683"/>
      <c r="F361" s="687" t="s">
        <v>2163</v>
      </c>
      <c r="G361" s="688">
        <v>0</v>
      </c>
      <c r="H361" s="688"/>
      <c r="I361" s="688">
        <v>0</v>
      </c>
      <c r="J361" s="688"/>
      <c r="K361" s="688"/>
      <c r="L361" s="689"/>
      <c r="M361" s="690"/>
      <c r="X361" s="656"/>
      <c r="Y361" s="657"/>
      <c r="Z361" s="657"/>
      <c r="AA361" s="481"/>
      <c r="AC361" s="456"/>
      <c r="AD361" s="481"/>
      <c r="AF361" s="481"/>
      <c r="AG361" s="522" t="s">
        <v>1993</v>
      </c>
      <c r="AH361" s="699"/>
      <c r="AI361" s="456"/>
      <c r="AJ361" s="699"/>
    </row>
    <row r="362" spans="1:36" s="454" customFormat="1" ht="57" x14ac:dyDescent="0.25">
      <c r="A362" s="507"/>
      <c r="B362" s="674" t="s">
        <v>1995</v>
      </c>
      <c r="C362" s="2672" t="s">
        <v>1996</v>
      </c>
      <c r="D362" s="2672"/>
      <c r="E362" s="2672"/>
      <c r="F362" s="675" t="s">
        <v>2164</v>
      </c>
      <c r="G362" s="676">
        <v>183.68</v>
      </c>
      <c r="H362" s="676"/>
      <c r="I362" s="676">
        <v>-171.39</v>
      </c>
      <c r="J362" s="676"/>
      <c r="K362" s="676"/>
      <c r="L362" s="677"/>
      <c r="M362" s="678"/>
      <c r="X362" s="656"/>
      <c r="Y362" s="657"/>
      <c r="Z362" s="657"/>
      <c r="AA362" s="481"/>
      <c r="AC362" s="456" t="s">
        <v>1996</v>
      </c>
      <c r="AD362" s="481"/>
      <c r="AF362" s="481"/>
      <c r="AG362" s="522"/>
      <c r="AH362" s="699"/>
      <c r="AI362" s="456"/>
      <c r="AJ362" s="699"/>
    </row>
    <row r="363" spans="1:36" s="454" customFormat="1" ht="23.25" x14ac:dyDescent="0.25">
      <c r="A363" s="515" t="s">
        <v>863</v>
      </c>
      <c r="B363" s="686" t="s">
        <v>1998</v>
      </c>
      <c r="C363" s="2683" t="s">
        <v>1999</v>
      </c>
      <c r="D363" s="2683"/>
      <c r="E363" s="2683"/>
      <c r="F363" s="687" t="s">
        <v>2165</v>
      </c>
      <c r="G363" s="688">
        <v>0</v>
      </c>
      <c r="H363" s="688"/>
      <c r="I363" s="688">
        <v>0</v>
      </c>
      <c r="J363" s="688"/>
      <c r="K363" s="688"/>
      <c r="L363" s="689"/>
      <c r="M363" s="690"/>
      <c r="X363" s="656"/>
      <c r="Y363" s="657"/>
      <c r="Z363" s="657"/>
      <c r="AA363" s="481"/>
      <c r="AC363" s="456"/>
      <c r="AD363" s="481"/>
      <c r="AF363" s="481"/>
      <c r="AG363" s="522" t="s">
        <v>1999</v>
      </c>
      <c r="AH363" s="699"/>
      <c r="AI363" s="456"/>
      <c r="AJ363" s="699"/>
    </row>
    <row r="364" spans="1:36" s="454" customFormat="1" ht="22.5" x14ac:dyDescent="0.25">
      <c r="A364" s="515" t="s">
        <v>860</v>
      </c>
      <c r="B364" s="686" t="s">
        <v>2001</v>
      </c>
      <c r="C364" s="2683" t="s">
        <v>2002</v>
      </c>
      <c r="D364" s="2683"/>
      <c r="E364" s="2683"/>
      <c r="F364" s="687" t="s">
        <v>1935</v>
      </c>
      <c r="G364" s="688">
        <v>0</v>
      </c>
      <c r="H364" s="688"/>
      <c r="I364" s="688">
        <v>0</v>
      </c>
      <c r="J364" s="688"/>
      <c r="K364" s="688"/>
      <c r="L364" s="689"/>
      <c r="M364" s="690"/>
      <c r="X364" s="656"/>
      <c r="Y364" s="657"/>
      <c r="Z364" s="657"/>
      <c r="AA364" s="481"/>
      <c r="AC364" s="456"/>
      <c r="AD364" s="481"/>
      <c r="AF364" s="481"/>
      <c r="AG364" s="522" t="s">
        <v>2002</v>
      </c>
      <c r="AH364" s="699"/>
      <c r="AI364" s="456"/>
      <c r="AJ364" s="699"/>
    </row>
    <row r="365" spans="1:36" s="454" customFormat="1" ht="45" x14ac:dyDescent="0.25">
      <c r="A365" s="658" t="s">
        <v>1309</v>
      </c>
      <c r="B365" s="659" t="s">
        <v>2026</v>
      </c>
      <c r="C365" s="2673" t="s">
        <v>1254</v>
      </c>
      <c r="D365" s="2673"/>
      <c r="E365" s="2673"/>
      <c r="F365" s="679">
        <v>-2.88</v>
      </c>
      <c r="G365" s="661">
        <v>480</v>
      </c>
      <c r="H365" s="661"/>
      <c r="I365" s="661">
        <v>-1382</v>
      </c>
      <c r="J365" s="661"/>
      <c r="K365" s="662"/>
      <c r="L365" s="663">
        <v>0</v>
      </c>
      <c r="M365" s="663">
        <v>0</v>
      </c>
      <c r="X365" s="656"/>
      <c r="Y365" s="657"/>
      <c r="Z365" s="657"/>
      <c r="AA365" s="481" t="s">
        <v>1254</v>
      </c>
      <c r="AC365" s="456"/>
      <c r="AD365" s="481"/>
      <c r="AF365" s="481"/>
      <c r="AG365" s="522"/>
      <c r="AH365" s="699"/>
      <c r="AI365" s="456"/>
      <c r="AJ365" s="699"/>
    </row>
    <row r="366" spans="1:36" s="454" customFormat="1" ht="15" x14ac:dyDescent="0.25">
      <c r="A366" s="664"/>
      <c r="B366" s="665"/>
      <c r="C366" s="666" t="s">
        <v>2166</v>
      </c>
      <c r="D366" s="667"/>
      <c r="E366" s="667"/>
      <c r="F366" s="667"/>
      <c r="G366" s="667"/>
      <c r="H366" s="667"/>
      <c r="I366" s="667"/>
      <c r="J366" s="667"/>
      <c r="K366" s="667"/>
      <c r="L366" s="667"/>
      <c r="M366" s="668"/>
      <c r="X366" s="656"/>
      <c r="Y366" s="657"/>
      <c r="Z366" s="657"/>
      <c r="AA366" s="481"/>
      <c r="AC366" s="456"/>
      <c r="AD366" s="481"/>
      <c r="AF366" s="481"/>
      <c r="AG366" s="522"/>
      <c r="AH366" s="699"/>
      <c r="AI366" s="456"/>
      <c r="AJ366" s="699"/>
    </row>
    <row r="367" spans="1:36" s="454" customFormat="1" ht="45" x14ac:dyDescent="0.25">
      <c r="A367" s="658" t="s">
        <v>1312</v>
      </c>
      <c r="B367" s="659" t="s">
        <v>2028</v>
      </c>
      <c r="C367" s="2673" t="s">
        <v>1257</v>
      </c>
      <c r="D367" s="2673"/>
      <c r="E367" s="2673"/>
      <c r="F367" s="670">
        <v>-2</v>
      </c>
      <c r="G367" s="661">
        <v>2.44</v>
      </c>
      <c r="H367" s="661"/>
      <c r="I367" s="661">
        <v>-5</v>
      </c>
      <c r="J367" s="661"/>
      <c r="K367" s="662"/>
      <c r="L367" s="663">
        <v>0</v>
      </c>
      <c r="M367" s="663">
        <v>0</v>
      </c>
      <c r="X367" s="656"/>
      <c r="Y367" s="657"/>
      <c r="Z367" s="657"/>
      <c r="AA367" s="481" t="s">
        <v>1257</v>
      </c>
      <c r="AC367" s="456"/>
      <c r="AD367" s="481"/>
      <c r="AF367" s="481"/>
      <c r="AG367" s="522"/>
      <c r="AH367" s="699"/>
      <c r="AI367" s="456"/>
      <c r="AJ367" s="699"/>
    </row>
    <row r="368" spans="1:36" s="454" customFormat="1" ht="15" x14ac:dyDescent="0.25">
      <c r="A368" s="664"/>
      <c r="B368" s="665"/>
      <c r="C368" s="666" t="s">
        <v>2167</v>
      </c>
      <c r="D368" s="667"/>
      <c r="E368" s="667"/>
      <c r="F368" s="667"/>
      <c r="G368" s="667"/>
      <c r="H368" s="667"/>
      <c r="I368" s="667"/>
      <c r="J368" s="667"/>
      <c r="K368" s="667"/>
      <c r="L368" s="667"/>
      <c r="M368" s="668"/>
      <c r="X368" s="656"/>
      <c r="Y368" s="657"/>
      <c r="Z368" s="657"/>
      <c r="AA368" s="481"/>
      <c r="AC368" s="456"/>
      <c r="AD368" s="481"/>
      <c r="AF368" s="481"/>
      <c r="AG368" s="522"/>
      <c r="AH368" s="699"/>
      <c r="AI368" s="456"/>
      <c r="AJ368" s="699"/>
    </row>
    <row r="369" spans="1:36" s="454" customFormat="1" ht="45.75" x14ac:dyDescent="0.25">
      <c r="A369" s="658" t="s">
        <v>1314</v>
      </c>
      <c r="B369" s="659" t="s">
        <v>2030</v>
      </c>
      <c r="C369" s="2673" t="s">
        <v>2031</v>
      </c>
      <c r="D369" s="2673"/>
      <c r="E369" s="2673"/>
      <c r="F369" s="679">
        <v>-0.96</v>
      </c>
      <c r="G369" s="661" t="s">
        <v>2032</v>
      </c>
      <c r="H369" s="661" t="s">
        <v>2033</v>
      </c>
      <c r="I369" s="661">
        <v>-10746</v>
      </c>
      <c r="J369" s="661">
        <v>-1441</v>
      </c>
      <c r="K369" s="662" t="s">
        <v>2168</v>
      </c>
      <c r="L369" s="671">
        <v>156.04499999999999</v>
      </c>
      <c r="M369" s="692">
        <v>-149.80000000000001</v>
      </c>
      <c r="X369" s="656"/>
      <c r="Y369" s="657"/>
      <c r="Z369" s="657"/>
      <c r="AA369" s="481" t="s">
        <v>2031</v>
      </c>
      <c r="AC369" s="456"/>
      <c r="AD369" s="481"/>
      <c r="AF369" s="481"/>
      <c r="AG369" s="522"/>
      <c r="AH369" s="699"/>
      <c r="AI369" s="456"/>
      <c r="AJ369" s="699"/>
    </row>
    <row r="370" spans="1:36" s="454" customFormat="1" ht="15" x14ac:dyDescent="0.25">
      <c r="A370" s="664"/>
      <c r="B370" s="665"/>
      <c r="C370" s="666" t="s">
        <v>2169</v>
      </c>
      <c r="D370" s="667"/>
      <c r="E370" s="667"/>
      <c r="F370" s="667"/>
      <c r="G370" s="667"/>
      <c r="H370" s="667"/>
      <c r="I370" s="667"/>
      <c r="J370" s="667"/>
      <c r="K370" s="667"/>
      <c r="L370" s="667"/>
      <c r="M370" s="668"/>
      <c r="X370" s="656"/>
      <c r="Y370" s="657"/>
      <c r="Z370" s="657"/>
      <c r="AA370" s="481"/>
      <c r="AC370" s="456"/>
      <c r="AD370" s="481"/>
      <c r="AF370" s="481"/>
      <c r="AG370" s="522"/>
      <c r="AH370" s="699"/>
      <c r="AI370" s="456"/>
      <c r="AJ370" s="699"/>
    </row>
    <row r="371" spans="1:36" s="454" customFormat="1" ht="15" x14ac:dyDescent="0.25">
      <c r="A371" s="542"/>
      <c r="B371" s="665"/>
      <c r="C371" s="666" t="s">
        <v>2036</v>
      </c>
      <c r="D371" s="667"/>
      <c r="E371" s="667"/>
      <c r="F371" s="667"/>
      <c r="G371" s="667"/>
      <c r="H371" s="667"/>
      <c r="I371" s="667"/>
      <c r="J371" s="667"/>
      <c r="K371" s="667"/>
      <c r="L371" s="667"/>
      <c r="M371" s="669"/>
      <c r="X371" s="656"/>
      <c r="Y371" s="657"/>
      <c r="Z371" s="657"/>
      <c r="AA371" s="481"/>
      <c r="AC371" s="456"/>
      <c r="AD371" s="481"/>
      <c r="AF371" s="481"/>
      <c r="AG371" s="522"/>
      <c r="AH371" s="699"/>
      <c r="AI371" s="456"/>
      <c r="AJ371" s="699"/>
    </row>
    <row r="372" spans="1:36" s="454" customFormat="1" ht="33.75" x14ac:dyDescent="0.25">
      <c r="A372" s="542"/>
      <c r="B372" s="673" t="s">
        <v>1655</v>
      </c>
      <c r="C372" s="2670" t="s">
        <v>1656</v>
      </c>
      <c r="D372" s="2670"/>
      <c r="E372" s="2670"/>
      <c r="F372" s="2670"/>
      <c r="G372" s="2670"/>
      <c r="H372" s="2670"/>
      <c r="I372" s="2670"/>
      <c r="J372" s="2670"/>
      <c r="K372" s="2670"/>
      <c r="L372" s="2670"/>
      <c r="M372" s="2671"/>
      <c r="X372" s="656"/>
      <c r="Y372" s="657"/>
      <c r="Z372" s="657"/>
      <c r="AA372" s="481"/>
      <c r="AB372" s="491" t="s">
        <v>1656</v>
      </c>
      <c r="AC372" s="456"/>
      <c r="AD372" s="481"/>
      <c r="AF372" s="481"/>
      <c r="AG372" s="522"/>
      <c r="AH372" s="699"/>
      <c r="AI372" s="456"/>
      <c r="AJ372" s="699"/>
    </row>
    <row r="373" spans="1:36" s="454" customFormat="1" ht="23.25" x14ac:dyDescent="0.25">
      <c r="A373" s="507"/>
      <c r="B373" s="674" t="s">
        <v>1883</v>
      </c>
      <c r="C373" s="2672" t="s">
        <v>1884</v>
      </c>
      <c r="D373" s="2672"/>
      <c r="E373" s="2672"/>
      <c r="F373" s="675" t="s">
        <v>2170</v>
      </c>
      <c r="G373" s="676" t="s">
        <v>1886</v>
      </c>
      <c r="H373" s="676"/>
      <c r="I373" s="676">
        <v>-1441.08</v>
      </c>
      <c r="J373" s="676">
        <v>-1441.08</v>
      </c>
      <c r="K373" s="676"/>
      <c r="L373" s="677"/>
      <c r="M373" s="678"/>
      <c r="X373" s="656"/>
      <c r="Y373" s="657"/>
      <c r="Z373" s="657"/>
      <c r="AA373" s="481"/>
      <c r="AC373" s="456" t="s">
        <v>1884</v>
      </c>
      <c r="AD373" s="481"/>
      <c r="AF373" s="481"/>
      <c r="AG373" s="522"/>
      <c r="AH373" s="699"/>
      <c r="AI373" s="456"/>
      <c r="AJ373" s="699"/>
    </row>
    <row r="374" spans="1:36" s="454" customFormat="1" ht="23.25" x14ac:dyDescent="0.25">
      <c r="A374" s="507"/>
      <c r="B374" s="674" t="s">
        <v>639</v>
      </c>
      <c r="C374" s="2672" t="s">
        <v>1661</v>
      </c>
      <c r="D374" s="2672"/>
      <c r="E374" s="2672"/>
      <c r="F374" s="675" t="s">
        <v>2171</v>
      </c>
      <c r="G374" s="676">
        <v>0</v>
      </c>
      <c r="H374" s="676">
        <v>0</v>
      </c>
      <c r="I374" s="676">
        <v>0</v>
      </c>
      <c r="J374" s="676"/>
      <c r="K374" s="676">
        <v>0</v>
      </c>
      <c r="L374" s="677"/>
      <c r="M374" s="678"/>
      <c r="X374" s="656"/>
      <c r="Y374" s="657"/>
      <c r="Z374" s="657"/>
      <c r="AA374" s="481"/>
      <c r="AC374" s="456" t="s">
        <v>1661</v>
      </c>
      <c r="AD374" s="481"/>
      <c r="AF374" s="481"/>
      <c r="AG374" s="522"/>
      <c r="AH374" s="699"/>
      <c r="AI374" s="456"/>
      <c r="AJ374" s="699"/>
    </row>
    <row r="375" spans="1:36" s="454" customFormat="1" ht="45.75" x14ac:dyDescent="0.25">
      <c r="A375" s="507"/>
      <c r="B375" s="674" t="s">
        <v>2039</v>
      </c>
      <c r="C375" s="2672" t="s">
        <v>2040</v>
      </c>
      <c r="D375" s="2672"/>
      <c r="E375" s="2672"/>
      <c r="F375" s="675" t="s">
        <v>2172</v>
      </c>
      <c r="G375" s="676">
        <v>179.46</v>
      </c>
      <c r="H375" s="676" t="s">
        <v>2042</v>
      </c>
      <c r="I375" s="676">
        <v>-1241.8599999999999</v>
      </c>
      <c r="J375" s="676"/>
      <c r="K375" s="676" t="s">
        <v>2173</v>
      </c>
      <c r="L375" s="677"/>
      <c r="M375" s="678"/>
      <c r="X375" s="656"/>
      <c r="Y375" s="657"/>
      <c r="Z375" s="657"/>
      <c r="AA375" s="481"/>
      <c r="AC375" s="456" t="s">
        <v>2040</v>
      </c>
      <c r="AD375" s="481"/>
      <c r="AF375" s="481"/>
      <c r="AG375" s="522"/>
      <c r="AH375" s="699"/>
      <c r="AI375" s="456"/>
      <c r="AJ375" s="699"/>
    </row>
    <row r="376" spans="1:36" s="454" customFormat="1" ht="34.5" x14ac:dyDescent="0.25">
      <c r="A376" s="507"/>
      <c r="B376" s="674" t="s">
        <v>1663</v>
      </c>
      <c r="C376" s="2672" t="s">
        <v>1664</v>
      </c>
      <c r="D376" s="2672"/>
      <c r="E376" s="2672"/>
      <c r="F376" s="675" t="s">
        <v>2174</v>
      </c>
      <c r="G376" s="676">
        <v>111.99</v>
      </c>
      <c r="H376" s="676" t="s">
        <v>1666</v>
      </c>
      <c r="I376" s="676">
        <v>-20.16</v>
      </c>
      <c r="J376" s="676"/>
      <c r="K376" s="676" t="s">
        <v>2175</v>
      </c>
      <c r="L376" s="677"/>
      <c r="M376" s="678"/>
      <c r="X376" s="656"/>
      <c r="Y376" s="657"/>
      <c r="Z376" s="657"/>
      <c r="AA376" s="481"/>
      <c r="AC376" s="456" t="s">
        <v>1664</v>
      </c>
      <c r="AD376" s="481"/>
      <c r="AF376" s="481"/>
      <c r="AG376" s="522"/>
      <c r="AH376" s="699"/>
      <c r="AI376" s="456"/>
      <c r="AJ376" s="699"/>
    </row>
    <row r="377" spans="1:36" s="454" customFormat="1" ht="34.5" x14ac:dyDescent="0.25">
      <c r="A377" s="507"/>
      <c r="B377" s="674" t="s">
        <v>2046</v>
      </c>
      <c r="C377" s="2672" t="s">
        <v>2047</v>
      </c>
      <c r="D377" s="2672"/>
      <c r="E377" s="2672"/>
      <c r="F377" s="675" t="s">
        <v>2176</v>
      </c>
      <c r="G377" s="676">
        <v>6.9</v>
      </c>
      <c r="H377" s="676" t="s">
        <v>2049</v>
      </c>
      <c r="I377" s="676">
        <v>-24.77</v>
      </c>
      <c r="J377" s="676"/>
      <c r="K377" s="676" t="s">
        <v>2177</v>
      </c>
      <c r="L377" s="677"/>
      <c r="M377" s="678"/>
      <c r="X377" s="656"/>
      <c r="Y377" s="657"/>
      <c r="Z377" s="657"/>
      <c r="AA377" s="481"/>
      <c r="AC377" s="456" t="s">
        <v>2047</v>
      </c>
      <c r="AD377" s="481"/>
      <c r="AF377" s="481"/>
      <c r="AG377" s="522"/>
      <c r="AH377" s="699"/>
      <c r="AI377" s="456"/>
      <c r="AJ377" s="699"/>
    </row>
    <row r="378" spans="1:36" s="454" customFormat="1" ht="34.5" x14ac:dyDescent="0.25">
      <c r="A378" s="507"/>
      <c r="B378" s="674" t="s">
        <v>2051</v>
      </c>
      <c r="C378" s="2672" t="s">
        <v>2052</v>
      </c>
      <c r="D378" s="2672"/>
      <c r="E378" s="2672"/>
      <c r="F378" s="675" t="s">
        <v>2178</v>
      </c>
      <c r="G378" s="676">
        <v>80.349999999999994</v>
      </c>
      <c r="H378" s="676" t="s">
        <v>2054</v>
      </c>
      <c r="I378" s="676">
        <v>-2860.46</v>
      </c>
      <c r="J378" s="676"/>
      <c r="K378" s="676" t="s">
        <v>2179</v>
      </c>
      <c r="L378" s="677"/>
      <c r="M378" s="678"/>
      <c r="X378" s="656"/>
      <c r="Y378" s="657"/>
      <c r="Z378" s="657"/>
      <c r="AA378" s="481"/>
      <c r="AC378" s="456" t="s">
        <v>2052</v>
      </c>
      <c r="AD378" s="481"/>
      <c r="AF378" s="481"/>
      <c r="AG378" s="522"/>
      <c r="AH378" s="699"/>
      <c r="AI378" s="456"/>
      <c r="AJ378" s="699"/>
    </row>
    <row r="379" spans="1:36" s="454" customFormat="1" ht="34.5" x14ac:dyDescent="0.25">
      <c r="A379" s="507"/>
      <c r="B379" s="674" t="s">
        <v>821</v>
      </c>
      <c r="C379" s="2672" t="s">
        <v>1751</v>
      </c>
      <c r="D379" s="2672"/>
      <c r="E379" s="2672"/>
      <c r="F379" s="675" t="s">
        <v>2180</v>
      </c>
      <c r="G379" s="676">
        <v>65.709999999999994</v>
      </c>
      <c r="H379" s="676" t="s">
        <v>1753</v>
      </c>
      <c r="I379" s="676">
        <v>-27.6</v>
      </c>
      <c r="J379" s="676"/>
      <c r="K379" s="676" t="s">
        <v>2181</v>
      </c>
      <c r="L379" s="677"/>
      <c r="M379" s="678"/>
      <c r="X379" s="656"/>
      <c r="Y379" s="657"/>
      <c r="Z379" s="657"/>
      <c r="AA379" s="481"/>
      <c r="AC379" s="456" t="s">
        <v>1751</v>
      </c>
      <c r="AD379" s="481"/>
      <c r="AF379" s="481"/>
      <c r="AG379" s="522"/>
      <c r="AH379" s="699"/>
      <c r="AI379" s="456"/>
      <c r="AJ379" s="699"/>
    </row>
    <row r="380" spans="1:36" s="454" customFormat="1" ht="23.25" x14ac:dyDescent="0.25">
      <c r="A380" s="515" t="s">
        <v>860</v>
      </c>
      <c r="B380" s="686" t="s">
        <v>1755</v>
      </c>
      <c r="C380" s="2683" t="s">
        <v>1257</v>
      </c>
      <c r="D380" s="2683"/>
      <c r="E380" s="2683"/>
      <c r="F380" s="687" t="s">
        <v>1935</v>
      </c>
      <c r="G380" s="688">
        <v>2.44</v>
      </c>
      <c r="H380" s="688"/>
      <c r="I380" s="688">
        <v>0</v>
      </c>
      <c r="J380" s="688"/>
      <c r="K380" s="688"/>
      <c r="L380" s="689"/>
      <c r="M380" s="690"/>
      <c r="X380" s="656"/>
      <c r="Y380" s="657"/>
      <c r="Z380" s="657"/>
      <c r="AA380" s="481"/>
      <c r="AC380" s="456"/>
      <c r="AD380" s="481"/>
      <c r="AF380" s="481"/>
      <c r="AG380" s="522" t="s">
        <v>1257</v>
      </c>
      <c r="AH380" s="699"/>
      <c r="AI380" s="456"/>
      <c r="AJ380" s="699"/>
    </row>
    <row r="381" spans="1:36" s="454" customFormat="1" ht="23.25" x14ac:dyDescent="0.25">
      <c r="A381" s="507"/>
      <c r="B381" s="674" t="s">
        <v>2058</v>
      </c>
      <c r="C381" s="2672" t="s">
        <v>2059</v>
      </c>
      <c r="D381" s="2672"/>
      <c r="E381" s="2672"/>
      <c r="F381" s="675" t="s">
        <v>2060</v>
      </c>
      <c r="G381" s="676">
        <v>30030</v>
      </c>
      <c r="H381" s="676"/>
      <c r="I381" s="676">
        <v>-3</v>
      </c>
      <c r="J381" s="676"/>
      <c r="K381" s="676"/>
      <c r="L381" s="677"/>
      <c r="M381" s="678"/>
      <c r="X381" s="656"/>
      <c r="Y381" s="657"/>
      <c r="Z381" s="657"/>
      <c r="AA381" s="481"/>
      <c r="AC381" s="456" t="s">
        <v>2059</v>
      </c>
      <c r="AD381" s="481"/>
      <c r="AF381" s="481"/>
      <c r="AG381" s="522"/>
      <c r="AH381" s="699"/>
      <c r="AI381" s="456"/>
      <c r="AJ381" s="699"/>
    </row>
    <row r="382" spans="1:36" s="454" customFormat="1" ht="23.25" x14ac:dyDescent="0.25">
      <c r="A382" s="507"/>
      <c r="B382" s="674" t="s">
        <v>1823</v>
      </c>
      <c r="C382" s="2672" t="s">
        <v>1824</v>
      </c>
      <c r="D382" s="2672"/>
      <c r="E382" s="2672"/>
      <c r="F382" s="675" t="s">
        <v>2182</v>
      </c>
      <c r="G382" s="676">
        <v>9040.01</v>
      </c>
      <c r="H382" s="676"/>
      <c r="I382" s="676">
        <v>-17.18</v>
      </c>
      <c r="J382" s="676"/>
      <c r="K382" s="676"/>
      <c r="L382" s="677"/>
      <c r="M382" s="678"/>
      <c r="X382" s="656"/>
      <c r="Y382" s="657"/>
      <c r="Z382" s="657"/>
      <c r="AA382" s="481"/>
      <c r="AC382" s="456" t="s">
        <v>1824</v>
      </c>
      <c r="AD382" s="481"/>
      <c r="AF382" s="481"/>
      <c r="AG382" s="522"/>
      <c r="AH382" s="699"/>
      <c r="AI382" s="456"/>
      <c r="AJ382" s="699"/>
    </row>
    <row r="383" spans="1:36" s="454" customFormat="1" ht="45.75" x14ac:dyDescent="0.25">
      <c r="A383" s="507"/>
      <c r="B383" s="674" t="s">
        <v>2062</v>
      </c>
      <c r="C383" s="2672" t="s">
        <v>2063</v>
      </c>
      <c r="D383" s="2672"/>
      <c r="E383" s="2672"/>
      <c r="F383" s="675" t="s">
        <v>1871</v>
      </c>
      <c r="G383" s="676">
        <v>67.099999999999994</v>
      </c>
      <c r="H383" s="676"/>
      <c r="I383" s="676">
        <v>-64.42</v>
      </c>
      <c r="J383" s="676"/>
      <c r="K383" s="676"/>
      <c r="L383" s="677"/>
      <c r="M383" s="678"/>
      <c r="X383" s="656"/>
      <c r="Y383" s="657"/>
      <c r="Z383" s="657"/>
      <c r="AA383" s="481"/>
      <c r="AC383" s="456" t="s">
        <v>2063</v>
      </c>
      <c r="AD383" s="481"/>
      <c r="AF383" s="481"/>
      <c r="AG383" s="522"/>
      <c r="AH383" s="699"/>
      <c r="AI383" s="456"/>
      <c r="AJ383" s="699"/>
    </row>
    <row r="384" spans="1:36" s="454" customFormat="1" ht="23.25" x14ac:dyDescent="0.25">
      <c r="A384" s="515" t="s">
        <v>860</v>
      </c>
      <c r="B384" s="686" t="s">
        <v>2065</v>
      </c>
      <c r="C384" s="2683" t="s">
        <v>2066</v>
      </c>
      <c r="D384" s="2683"/>
      <c r="E384" s="2683"/>
      <c r="F384" s="687" t="s">
        <v>1935</v>
      </c>
      <c r="G384" s="688">
        <v>0</v>
      </c>
      <c r="H384" s="688"/>
      <c r="I384" s="688">
        <v>0</v>
      </c>
      <c r="J384" s="688"/>
      <c r="K384" s="688"/>
      <c r="L384" s="689"/>
      <c r="M384" s="690"/>
      <c r="X384" s="656"/>
      <c r="Y384" s="657"/>
      <c r="Z384" s="657"/>
      <c r="AA384" s="481"/>
      <c r="AC384" s="456"/>
      <c r="AD384" s="481"/>
      <c r="AF384" s="481"/>
      <c r="AG384" s="522" t="s">
        <v>2066</v>
      </c>
      <c r="AH384" s="699"/>
      <c r="AI384" s="456"/>
      <c r="AJ384" s="699"/>
    </row>
    <row r="385" spans="1:36" s="454" customFormat="1" ht="34.5" x14ac:dyDescent="0.25">
      <c r="A385" s="515" t="s">
        <v>860</v>
      </c>
      <c r="B385" s="686" t="s">
        <v>2067</v>
      </c>
      <c r="C385" s="2683" t="s">
        <v>2068</v>
      </c>
      <c r="D385" s="2683"/>
      <c r="E385" s="2683"/>
      <c r="F385" s="687" t="s">
        <v>1935</v>
      </c>
      <c r="G385" s="688">
        <v>412</v>
      </c>
      <c r="H385" s="688"/>
      <c r="I385" s="688">
        <v>0</v>
      </c>
      <c r="J385" s="688"/>
      <c r="K385" s="688"/>
      <c r="L385" s="689"/>
      <c r="M385" s="690"/>
      <c r="X385" s="656"/>
      <c r="Y385" s="657"/>
      <c r="Z385" s="657"/>
      <c r="AA385" s="481"/>
      <c r="AC385" s="456"/>
      <c r="AD385" s="481"/>
      <c r="AF385" s="481"/>
      <c r="AG385" s="522" t="s">
        <v>2068</v>
      </c>
      <c r="AH385" s="699"/>
      <c r="AI385" s="456"/>
      <c r="AJ385" s="699"/>
    </row>
    <row r="386" spans="1:36" s="454" customFormat="1" ht="45.75" x14ac:dyDescent="0.25">
      <c r="A386" s="507" t="s">
        <v>2069</v>
      </c>
      <c r="B386" s="674" t="s">
        <v>2070</v>
      </c>
      <c r="C386" s="2672" t="s">
        <v>2071</v>
      </c>
      <c r="D386" s="2672"/>
      <c r="E386" s="2672"/>
      <c r="F386" s="675" t="s">
        <v>2183</v>
      </c>
      <c r="G386" s="676">
        <v>1553</v>
      </c>
      <c r="H386" s="676"/>
      <c r="I386" s="676">
        <v>-1938.14</v>
      </c>
      <c r="J386" s="676"/>
      <c r="K386" s="676"/>
      <c r="L386" s="677"/>
      <c r="M386" s="678"/>
      <c r="X386" s="656"/>
      <c r="Y386" s="657"/>
      <c r="Z386" s="657"/>
      <c r="AA386" s="481"/>
      <c r="AC386" s="456"/>
      <c r="AD386" s="481"/>
      <c r="AF386" s="481"/>
      <c r="AG386" s="522"/>
      <c r="AH386" s="699"/>
      <c r="AI386" s="456" t="s">
        <v>2071</v>
      </c>
      <c r="AJ386" s="699"/>
    </row>
    <row r="387" spans="1:36" s="454" customFormat="1" ht="45.75" x14ac:dyDescent="0.25">
      <c r="A387" s="693" t="s">
        <v>1936</v>
      </c>
      <c r="B387" s="694" t="s">
        <v>2070</v>
      </c>
      <c r="C387" s="2684" t="s">
        <v>2071</v>
      </c>
      <c r="D387" s="2684"/>
      <c r="E387" s="2684"/>
      <c r="F387" s="695" t="s">
        <v>2184</v>
      </c>
      <c r="G387" s="696">
        <v>1553</v>
      </c>
      <c r="H387" s="696"/>
      <c r="I387" s="696">
        <v>-19381.439999999999</v>
      </c>
      <c r="J387" s="696"/>
      <c r="K387" s="696"/>
      <c r="L387" s="697"/>
      <c r="M387" s="698"/>
      <c r="X387" s="656"/>
      <c r="Y387" s="657"/>
      <c r="Z387" s="657"/>
      <c r="AA387" s="481"/>
      <c r="AC387" s="456"/>
      <c r="AD387" s="481"/>
      <c r="AF387" s="481"/>
      <c r="AG387" s="522"/>
      <c r="AH387" s="699"/>
      <c r="AI387" s="456"/>
      <c r="AJ387" s="699" t="s">
        <v>2071</v>
      </c>
    </row>
    <row r="388" spans="1:36" s="454" customFormat="1" ht="23.25" x14ac:dyDescent="0.25">
      <c r="A388" s="515" t="s">
        <v>863</v>
      </c>
      <c r="B388" s="686" t="s">
        <v>2074</v>
      </c>
      <c r="C388" s="2683" t="s">
        <v>2075</v>
      </c>
      <c r="D388" s="2683"/>
      <c r="E388" s="2683"/>
      <c r="F388" s="687" t="s">
        <v>2185</v>
      </c>
      <c r="G388" s="688">
        <v>0</v>
      </c>
      <c r="H388" s="688"/>
      <c r="I388" s="688">
        <v>0</v>
      </c>
      <c r="J388" s="688"/>
      <c r="K388" s="688"/>
      <c r="L388" s="689"/>
      <c r="M388" s="690"/>
      <c r="X388" s="656"/>
      <c r="Y388" s="657"/>
      <c r="Z388" s="657"/>
      <c r="AA388" s="481"/>
      <c r="AC388" s="456"/>
      <c r="AD388" s="481"/>
      <c r="AF388" s="481"/>
      <c r="AG388" s="522" t="s">
        <v>2075</v>
      </c>
      <c r="AH388" s="699"/>
      <c r="AI388" s="456"/>
      <c r="AJ388" s="699"/>
    </row>
    <row r="389" spans="1:36" s="454" customFormat="1" ht="23.25" x14ac:dyDescent="0.25">
      <c r="A389" s="507"/>
      <c r="B389" s="674" t="s">
        <v>2077</v>
      </c>
      <c r="C389" s="2672" t="s">
        <v>2078</v>
      </c>
      <c r="D389" s="2672"/>
      <c r="E389" s="2672"/>
      <c r="F389" s="675" t="s">
        <v>2186</v>
      </c>
      <c r="G389" s="676">
        <v>176.1</v>
      </c>
      <c r="H389" s="676"/>
      <c r="I389" s="676">
        <v>-135.24</v>
      </c>
      <c r="J389" s="676"/>
      <c r="K389" s="676"/>
      <c r="L389" s="677"/>
      <c r="M389" s="678"/>
      <c r="X389" s="656"/>
      <c r="Y389" s="657"/>
      <c r="Z389" s="657"/>
      <c r="AA389" s="481"/>
      <c r="AC389" s="456" t="s">
        <v>2078</v>
      </c>
      <c r="AD389" s="481"/>
      <c r="AF389" s="481"/>
      <c r="AG389" s="522"/>
      <c r="AH389" s="699"/>
      <c r="AI389" s="456"/>
      <c r="AJ389" s="699"/>
    </row>
    <row r="390" spans="1:36" s="454" customFormat="1" ht="23.25" x14ac:dyDescent="0.25">
      <c r="A390" s="507"/>
      <c r="B390" s="674" t="s">
        <v>2080</v>
      </c>
      <c r="C390" s="2672" t="s">
        <v>2081</v>
      </c>
      <c r="D390" s="2672"/>
      <c r="E390" s="2672"/>
      <c r="F390" s="675" t="s">
        <v>2187</v>
      </c>
      <c r="G390" s="676">
        <v>207.8</v>
      </c>
      <c r="H390" s="676"/>
      <c r="I390" s="676">
        <v>-155.6</v>
      </c>
      <c r="J390" s="676"/>
      <c r="K390" s="676"/>
      <c r="L390" s="677"/>
      <c r="M390" s="678"/>
      <c r="X390" s="656"/>
      <c r="Y390" s="657"/>
      <c r="Z390" s="657"/>
      <c r="AA390" s="481"/>
      <c r="AC390" s="456" t="s">
        <v>2081</v>
      </c>
      <c r="AD390" s="481"/>
      <c r="AF390" s="481"/>
      <c r="AG390" s="522"/>
      <c r="AH390" s="699"/>
      <c r="AI390" s="456"/>
      <c r="AJ390" s="699"/>
    </row>
    <row r="391" spans="1:36" s="454" customFormat="1" ht="23.25" x14ac:dyDescent="0.25">
      <c r="A391" s="507"/>
      <c r="B391" s="674" t="s">
        <v>2083</v>
      </c>
      <c r="C391" s="2672" t="s">
        <v>2084</v>
      </c>
      <c r="D391" s="2672"/>
      <c r="E391" s="2672"/>
      <c r="F391" s="675" t="s">
        <v>2188</v>
      </c>
      <c r="G391" s="676">
        <v>3468.64</v>
      </c>
      <c r="H391" s="676"/>
      <c r="I391" s="676">
        <v>-665.98</v>
      </c>
      <c r="J391" s="676"/>
      <c r="K391" s="676"/>
      <c r="L391" s="677"/>
      <c r="M391" s="678"/>
      <c r="X391" s="656"/>
      <c r="Y391" s="657"/>
      <c r="Z391" s="657"/>
      <c r="AA391" s="481"/>
      <c r="AC391" s="456" t="s">
        <v>2084</v>
      </c>
      <c r="AD391" s="481"/>
      <c r="AF391" s="481"/>
      <c r="AG391" s="522"/>
      <c r="AH391" s="699"/>
      <c r="AI391" s="456"/>
      <c r="AJ391" s="699"/>
    </row>
    <row r="392" spans="1:36" s="454" customFormat="1" ht="23.25" x14ac:dyDescent="0.25">
      <c r="A392" s="515" t="s">
        <v>863</v>
      </c>
      <c r="B392" s="686" t="s">
        <v>2086</v>
      </c>
      <c r="C392" s="2683" t="s">
        <v>2087</v>
      </c>
      <c r="D392" s="2683"/>
      <c r="E392" s="2683"/>
      <c r="F392" s="687" t="s">
        <v>2189</v>
      </c>
      <c r="G392" s="688">
        <v>0</v>
      </c>
      <c r="H392" s="688"/>
      <c r="I392" s="688">
        <v>0</v>
      </c>
      <c r="J392" s="688"/>
      <c r="K392" s="688"/>
      <c r="L392" s="689"/>
      <c r="M392" s="690"/>
      <c r="X392" s="656"/>
      <c r="Y392" s="657"/>
      <c r="Z392" s="657"/>
      <c r="AA392" s="481"/>
      <c r="AC392" s="456"/>
      <c r="AD392" s="481"/>
      <c r="AF392" s="481"/>
      <c r="AG392" s="522" t="s">
        <v>2087</v>
      </c>
      <c r="AH392" s="699"/>
      <c r="AI392" s="456"/>
      <c r="AJ392" s="699"/>
    </row>
    <row r="393" spans="1:36" s="454" customFormat="1" ht="34.5" x14ac:dyDescent="0.25">
      <c r="A393" s="507"/>
      <c r="B393" s="674" t="s">
        <v>2089</v>
      </c>
      <c r="C393" s="2672" t="s">
        <v>2090</v>
      </c>
      <c r="D393" s="2672"/>
      <c r="E393" s="2672"/>
      <c r="F393" s="675" t="s">
        <v>2190</v>
      </c>
      <c r="G393" s="676">
        <v>11.99</v>
      </c>
      <c r="H393" s="676"/>
      <c r="I393" s="676">
        <v>-34.53</v>
      </c>
      <c r="J393" s="676"/>
      <c r="K393" s="676"/>
      <c r="L393" s="677"/>
      <c r="M393" s="678"/>
      <c r="X393" s="656"/>
      <c r="Y393" s="657"/>
      <c r="Z393" s="657"/>
      <c r="AA393" s="481"/>
      <c r="AC393" s="456" t="s">
        <v>2090</v>
      </c>
      <c r="AD393" s="481"/>
      <c r="AF393" s="481"/>
      <c r="AG393" s="522"/>
      <c r="AH393" s="699"/>
      <c r="AI393" s="456"/>
      <c r="AJ393" s="699"/>
    </row>
    <row r="394" spans="1:36" s="454" customFormat="1" ht="45.75" x14ac:dyDescent="0.25">
      <c r="A394" s="507"/>
      <c r="B394" s="674" t="s">
        <v>2092</v>
      </c>
      <c r="C394" s="2672" t="s">
        <v>2093</v>
      </c>
      <c r="D394" s="2672"/>
      <c r="E394" s="2672"/>
      <c r="F394" s="675" t="s">
        <v>2191</v>
      </c>
      <c r="G394" s="676">
        <v>272.62</v>
      </c>
      <c r="H394" s="676"/>
      <c r="I394" s="676">
        <v>-13.09</v>
      </c>
      <c r="J394" s="676"/>
      <c r="K394" s="676"/>
      <c r="L394" s="677"/>
      <c r="M394" s="678"/>
      <c r="X394" s="656"/>
      <c r="Y394" s="657"/>
      <c r="Z394" s="657"/>
      <c r="AA394" s="481"/>
      <c r="AC394" s="456" t="s">
        <v>2093</v>
      </c>
      <c r="AD394" s="481"/>
      <c r="AF394" s="481"/>
      <c r="AG394" s="522"/>
      <c r="AH394" s="699"/>
      <c r="AI394" s="456"/>
      <c r="AJ394" s="699"/>
    </row>
    <row r="395" spans="1:36" s="454" customFormat="1" ht="57" x14ac:dyDescent="0.25">
      <c r="A395" s="507"/>
      <c r="B395" s="674" t="s">
        <v>2095</v>
      </c>
      <c r="C395" s="2672" t="s">
        <v>2096</v>
      </c>
      <c r="D395" s="2672"/>
      <c r="E395" s="2672"/>
      <c r="F395" s="675" t="s">
        <v>2192</v>
      </c>
      <c r="G395" s="676">
        <v>156.83000000000001</v>
      </c>
      <c r="H395" s="676"/>
      <c r="I395" s="676">
        <v>-15.06</v>
      </c>
      <c r="J395" s="676"/>
      <c r="K395" s="676"/>
      <c r="L395" s="677"/>
      <c r="M395" s="678"/>
      <c r="X395" s="656"/>
      <c r="Y395" s="657"/>
      <c r="Z395" s="657"/>
      <c r="AA395" s="481"/>
      <c r="AC395" s="456" t="s">
        <v>2096</v>
      </c>
      <c r="AD395" s="481"/>
      <c r="AF395" s="481"/>
      <c r="AG395" s="522"/>
      <c r="AH395" s="699"/>
      <c r="AI395" s="456"/>
      <c r="AJ395" s="699"/>
    </row>
    <row r="396" spans="1:36" s="454" customFormat="1" ht="23.25" x14ac:dyDescent="0.25">
      <c r="A396" s="515" t="s">
        <v>863</v>
      </c>
      <c r="B396" s="686" t="s">
        <v>2098</v>
      </c>
      <c r="C396" s="2683" t="s">
        <v>2099</v>
      </c>
      <c r="D396" s="2683"/>
      <c r="E396" s="2683"/>
      <c r="F396" s="687" t="s">
        <v>2193</v>
      </c>
      <c r="G396" s="688">
        <v>0</v>
      </c>
      <c r="H396" s="688"/>
      <c r="I396" s="688">
        <v>0</v>
      </c>
      <c r="J396" s="688"/>
      <c r="K396" s="688"/>
      <c r="L396" s="689"/>
      <c r="M396" s="690"/>
      <c r="X396" s="656"/>
      <c r="Y396" s="657"/>
      <c r="Z396" s="657"/>
      <c r="AA396" s="481"/>
      <c r="AC396" s="456"/>
      <c r="AD396" s="481"/>
      <c r="AF396" s="481"/>
      <c r="AG396" s="522" t="s">
        <v>2099</v>
      </c>
      <c r="AH396" s="699"/>
      <c r="AI396" s="456"/>
      <c r="AJ396" s="699"/>
    </row>
    <row r="397" spans="1:36" s="454" customFormat="1" ht="45" x14ac:dyDescent="0.25">
      <c r="A397" s="658" t="s">
        <v>1316</v>
      </c>
      <c r="B397" s="659" t="s">
        <v>2026</v>
      </c>
      <c r="C397" s="2673" t="s">
        <v>1254</v>
      </c>
      <c r="D397" s="2673"/>
      <c r="E397" s="2673"/>
      <c r="F397" s="680">
        <v>-4.8</v>
      </c>
      <c r="G397" s="661">
        <v>480</v>
      </c>
      <c r="H397" s="661"/>
      <c r="I397" s="661">
        <v>-2304</v>
      </c>
      <c r="J397" s="661"/>
      <c r="K397" s="662"/>
      <c r="L397" s="663">
        <v>0</v>
      </c>
      <c r="M397" s="663">
        <v>0</v>
      </c>
      <c r="X397" s="656"/>
      <c r="Y397" s="657"/>
      <c r="Z397" s="657"/>
      <c r="AA397" s="481" t="s">
        <v>1254</v>
      </c>
      <c r="AC397" s="456"/>
      <c r="AD397" s="481"/>
      <c r="AF397" s="481"/>
      <c r="AG397" s="522"/>
      <c r="AH397" s="699"/>
      <c r="AI397" s="456"/>
      <c r="AJ397" s="699"/>
    </row>
    <row r="398" spans="1:36" s="454" customFormat="1" ht="15" x14ac:dyDescent="0.25">
      <c r="A398" s="664"/>
      <c r="B398" s="665"/>
      <c r="C398" s="666" t="s">
        <v>2194</v>
      </c>
      <c r="D398" s="667"/>
      <c r="E398" s="667"/>
      <c r="F398" s="667"/>
      <c r="G398" s="667"/>
      <c r="H398" s="667"/>
      <c r="I398" s="667"/>
      <c r="J398" s="667"/>
      <c r="K398" s="667"/>
      <c r="L398" s="667"/>
      <c r="M398" s="668"/>
      <c r="X398" s="656"/>
      <c r="Y398" s="657"/>
      <c r="Z398" s="657"/>
      <c r="AA398" s="481"/>
      <c r="AC398" s="456"/>
      <c r="AD398" s="481"/>
      <c r="AF398" s="481"/>
      <c r="AG398" s="522"/>
      <c r="AH398" s="699"/>
      <c r="AI398" s="456"/>
      <c r="AJ398" s="699"/>
    </row>
    <row r="399" spans="1:36" s="454" customFormat="1" ht="45" x14ac:dyDescent="0.25">
      <c r="A399" s="658" t="s">
        <v>1319</v>
      </c>
      <c r="B399" s="659" t="s">
        <v>2028</v>
      </c>
      <c r="C399" s="2673" t="s">
        <v>1257</v>
      </c>
      <c r="D399" s="2673"/>
      <c r="E399" s="2673"/>
      <c r="F399" s="680">
        <v>-1.9</v>
      </c>
      <c r="G399" s="661">
        <v>2.44</v>
      </c>
      <c r="H399" s="661"/>
      <c r="I399" s="661">
        <v>-5</v>
      </c>
      <c r="J399" s="661"/>
      <c r="K399" s="662"/>
      <c r="L399" s="663">
        <v>0</v>
      </c>
      <c r="M399" s="663">
        <v>0</v>
      </c>
      <c r="X399" s="656"/>
      <c r="Y399" s="657"/>
      <c r="Z399" s="657"/>
      <c r="AA399" s="481" t="s">
        <v>1257</v>
      </c>
      <c r="AC399" s="456"/>
      <c r="AD399" s="481"/>
      <c r="AF399" s="481"/>
      <c r="AG399" s="522"/>
      <c r="AH399" s="699"/>
      <c r="AI399" s="456"/>
      <c r="AJ399" s="699"/>
    </row>
    <row r="400" spans="1:36" s="454" customFormat="1" ht="15" x14ac:dyDescent="0.25">
      <c r="A400" s="664"/>
      <c r="B400" s="665"/>
      <c r="C400" s="666" t="s">
        <v>2195</v>
      </c>
      <c r="D400" s="667"/>
      <c r="E400" s="667"/>
      <c r="F400" s="667"/>
      <c r="G400" s="667"/>
      <c r="H400" s="667"/>
      <c r="I400" s="667"/>
      <c r="J400" s="667"/>
      <c r="K400" s="667"/>
      <c r="L400" s="667"/>
      <c r="M400" s="668"/>
      <c r="X400" s="656"/>
      <c r="Y400" s="657"/>
      <c r="Z400" s="657"/>
      <c r="AA400" s="481"/>
      <c r="AC400" s="456"/>
      <c r="AD400" s="481"/>
      <c r="AF400" s="481"/>
      <c r="AG400" s="522"/>
      <c r="AH400" s="699"/>
      <c r="AI400" s="456"/>
      <c r="AJ400" s="699"/>
    </row>
    <row r="401" spans="1:36" s="454" customFormat="1" ht="34.5" x14ac:dyDescent="0.25">
      <c r="A401" s="658" t="s">
        <v>1322</v>
      </c>
      <c r="B401" s="659" t="s">
        <v>1303</v>
      </c>
      <c r="C401" s="2673" t="s">
        <v>1268</v>
      </c>
      <c r="D401" s="2673"/>
      <c r="E401" s="2673"/>
      <c r="F401" s="670">
        <v>-4</v>
      </c>
      <c r="G401" s="661" t="s">
        <v>2103</v>
      </c>
      <c r="H401" s="661"/>
      <c r="I401" s="661">
        <v>-9572</v>
      </c>
      <c r="J401" s="661"/>
      <c r="K401" s="662"/>
      <c r="L401" s="663">
        <v>0</v>
      </c>
      <c r="M401" s="663">
        <v>0</v>
      </c>
      <c r="X401" s="656"/>
      <c r="Y401" s="657"/>
      <c r="Z401" s="657"/>
      <c r="AA401" s="481" t="s">
        <v>1268</v>
      </c>
      <c r="AC401" s="456"/>
      <c r="AD401" s="481"/>
      <c r="AF401" s="481"/>
      <c r="AG401" s="522"/>
      <c r="AH401" s="699"/>
      <c r="AI401" s="456"/>
      <c r="AJ401" s="699"/>
    </row>
    <row r="402" spans="1:36" s="454" customFormat="1" ht="15" x14ac:dyDescent="0.25">
      <c r="A402" s="664"/>
      <c r="B402" s="665"/>
      <c r="C402" s="666" t="s">
        <v>2196</v>
      </c>
      <c r="D402" s="667"/>
      <c r="E402" s="667"/>
      <c r="F402" s="667"/>
      <c r="G402" s="667"/>
      <c r="H402" s="667"/>
      <c r="I402" s="667"/>
      <c r="J402" s="667"/>
      <c r="K402" s="667"/>
      <c r="L402" s="667"/>
      <c r="M402" s="668"/>
      <c r="X402" s="656"/>
      <c r="Y402" s="657"/>
      <c r="Z402" s="657"/>
      <c r="AA402" s="481"/>
      <c r="AC402" s="456"/>
      <c r="AD402" s="481"/>
      <c r="AF402" s="481"/>
      <c r="AG402" s="522"/>
      <c r="AH402" s="699"/>
      <c r="AI402" s="456"/>
      <c r="AJ402" s="699"/>
    </row>
    <row r="403" spans="1:36" s="454" customFormat="1" ht="15" x14ac:dyDescent="0.25">
      <c r="A403" s="542"/>
      <c r="B403" s="665"/>
      <c r="C403" s="666" t="s">
        <v>2105</v>
      </c>
      <c r="D403" s="667"/>
      <c r="E403" s="667"/>
      <c r="F403" s="667"/>
      <c r="G403" s="667"/>
      <c r="H403" s="667"/>
      <c r="I403" s="667"/>
      <c r="J403" s="667"/>
      <c r="K403" s="667"/>
      <c r="L403" s="667"/>
      <c r="M403" s="669"/>
      <c r="X403" s="656"/>
      <c r="Y403" s="657"/>
      <c r="Z403" s="657"/>
      <c r="AA403" s="481"/>
      <c r="AC403" s="456"/>
      <c r="AD403" s="481"/>
      <c r="AF403" s="481"/>
      <c r="AG403" s="522"/>
      <c r="AH403" s="699"/>
      <c r="AI403" s="456"/>
      <c r="AJ403" s="699"/>
    </row>
    <row r="404" spans="1:36" s="454" customFormat="1" ht="34.5" x14ac:dyDescent="0.25">
      <c r="A404" s="658" t="s">
        <v>1325</v>
      </c>
      <c r="B404" s="659" t="s">
        <v>1307</v>
      </c>
      <c r="C404" s="2673" t="s">
        <v>1273</v>
      </c>
      <c r="D404" s="2673"/>
      <c r="E404" s="2673"/>
      <c r="F404" s="670">
        <v>-28</v>
      </c>
      <c r="G404" s="661" t="s">
        <v>2106</v>
      </c>
      <c r="H404" s="661"/>
      <c r="I404" s="661">
        <v>-48209</v>
      </c>
      <c r="J404" s="661"/>
      <c r="K404" s="662"/>
      <c r="L404" s="663">
        <v>0</v>
      </c>
      <c r="M404" s="663">
        <v>0</v>
      </c>
      <c r="X404" s="656"/>
      <c r="Y404" s="657"/>
      <c r="Z404" s="657"/>
      <c r="AA404" s="481" t="s">
        <v>1273</v>
      </c>
      <c r="AC404" s="456"/>
      <c r="AD404" s="481"/>
      <c r="AF404" s="481"/>
      <c r="AG404" s="522"/>
      <c r="AH404" s="699"/>
      <c r="AI404" s="456"/>
      <c r="AJ404" s="699"/>
    </row>
    <row r="405" spans="1:36" s="454" customFormat="1" ht="15" x14ac:dyDescent="0.25">
      <c r="A405" s="664"/>
      <c r="B405" s="665"/>
      <c r="C405" s="666" t="s">
        <v>2197</v>
      </c>
      <c r="D405" s="667"/>
      <c r="E405" s="667"/>
      <c r="F405" s="667"/>
      <c r="G405" s="667"/>
      <c r="H405" s="667"/>
      <c r="I405" s="667"/>
      <c r="J405" s="667"/>
      <c r="K405" s="667"/>
      <c r="L405" s="667"/>
      <c r="M405" s="668"/>
      <c r="X405" s="656"/>
      <c r="Y405" s="657"/>
      <c r="Z405" s="657"/>
      <c r="AA405" s="481"/>
      <c r="AC405" s="456"/>
      <c r="AD405" s="481"/>
      <c r="AF405" s="481"/>
      <c r="AG405" s="522"/>
      <c r="AH405" s="699"/>
      <c r="AI405" s="456"/>
      <c r="AJ405" s="699"/>
    </row>
    <row r="406" spans="1:36" s="454" customFormat="1" ht="15" x14ac:dyDescent="0.25">
      <c r="A406" s="542"/>
      <c r="B406" s="665"/>
      <c r="C406" s="666" t="s">
        <v>2108</v>
      </c>
      <c r="D406" s="667"/>
      <c r="E406" s="667"/>
      <c r="F406" s="667"/>
      <c r="G406" s="667"/>
      <c r="H406" s="667"/>
      <c r="I406" s="667"/>
      <c r="J406" s="667"/>
      <c r="K406" s="667"/>
      <c r="L406" s="667"/>
      <c r="M406" s="669"/>
      <c r="X406" s="656"/>
      <c r="Y406" s="657"/>
      <c r="Z406" s="657"/>
      <c r="AA406" s="481"/>
      <c r="AC406" s="456"/>
      <c r="AD406" s="481"/>
      <c r="AF406" s="481"/>
      <c r="AG406" s="522"/>
      <c r="AH406" s="699"/>
      <c r="AI406" s="456"/>
      <c r="AJ406" s="699"/>
    </row>
    <row r="407" spans="1:36" s="454" customFormat="1" ht="34.5" x14ac:dyDescent="0.25">
      <c r="A407" s="658" t="s">
        <v>1327</v>
      </c>
      <c r="B407" s="659" t="s">
        <v>1310</v>
      </c>
      <c r="C407" s="2673" t="s">
        <v>1277</v>
      </c>
      <c r="D407" s="2673"/>
      <c r="E407" s="2673"/>
      <c r="F407" s="670">
        <v>-60</v>
      </c>
      <c r="G407" s="661" t="s">
        <v>2109</v>
      </c>
      <c r="H407" s="661"/>
      <c r="I407" s="661">
        <v>-27657</v>
      </c>
      <c r="J407" s="661"/>
      <c r="K407" s="662"/>
      <c r="L407" s="663">
        <v>0</v>
      </c>
      <c r="M407" s="663">
        <v>0</v>
      </c>
      <c r="X407" s="656"/>
      <c r="Y407" s="657"/>
      <c r="Z407" s="657"/>
      <c r="AA407" s="481" t="s">
        <v>1277</v>
      </c>
      <c r="AC407" s="456"/>
      <c r="AD407" s="481"/>
      <c r="AF407" s="481"/>
      <c r="AG407" s="522"/>
      <c r="AH407" s="699"/>
      <c r="AI407" s="456"/>
      <c r="AJ407" s="699"/>
    </row>
    <row r="408" spans="1:36" s="454" customFormat="1" ht="15" x14ac:dyDescent="0.25">
      <c r="A408" s="664"/>
      <c r="B408" s="665"/>
      <c r="C408" s="666" t="s">
        <v>2198</v>
      </c>
      <c r="D408" s="667"/>
      <c r="E408" s="667"/>
      <c r="F408" s="667"/>
      <c r="G408" s="667"/>
      <c r="H408" s="667"/>
      <c r="I408" s="667"/>
      <c r="J408" s="667"/>
      <c r="K408" s="667"/>
      <c r="L408" s="667"/>
      <c r="M408" s="668"/>
      <c r="X408" s="656"/>
      <c r="Y408" s="657"/>
      <c r="Z408" s="657"/>
      <c r="AA408" s="481"/>
      <c r="AC408" s="456"/>
      <c r="AD408" s="481"/>
      <c r="AF408" s="481"/>
      <c r="AG408" s="522"/>
      <c r="AH408" s="699"/>
      <c r="AI408" s="456"/>
      <c r="AJ408" s="699"/>
    </row>
    <row r="409" spans="1:36" s="454" customFormat="1" ht="15" x14ac:dyDescent="0.25">
      <c r="A409" s="542"/>
      <c r="B409" s="665"/>
      <c r="C409" s="666" t="s">
        <v>2111</v>
      </c>
      <c r="D409" s="667"/>
      <c r="E409" s="667"/>
      <c r="F409" s="667"/>
      <c r="G409" s="667"/>
      <c r="H409" s="667"/>
      <c r="I409" s="667"/>
      <c r="J409" s="667"/>
      <c r="K409" s="667"/>
      <c r="L409" s="667"/>
      <c r="M409" s="669"/>
      <c r="X409" s="656"/>
      <c r="Y409" s="657"/>
      <c r="Z409" s="657"/>
      <c r="AA409" s="481"/>
      <c r="AC409" s="456"/>
      <c r="AD409" s="481"/>
      <c r="AF409" s="481"/>
      <c r="AG409" s="522"/>
      <c r="AH409" s="699"/>
      <c r="AI409" s="456"/>
      <c r="AJ409" s="699"/>
    </row>
    <row r="410" spans="1:36" s="454" customFormat="1" ht="33.75" x14ac:dyDescent="0.25">
      <c r="A410" s="658" t="s">
        <v>1329</v>
      </c>
      <c r="B410" s="659" t="s">
        <v>1313</v>
      </c>
      <c r="C410" s="2673" t="s">
        <v>1281</v>
      </c>
      <c r="D410" s="2673"/>
      <c r="E410" s="2673"/>
      <c r="F410" s="670">
        <v>-28</v>
      </c>
      <c r="G410" s="661" t="s">
        <v>2112</v>
      </c>
      <c r="H410" s="661"/>
      <c r="I410" s="661">
        <v>-3973</v>
      </c>
      <c r="J410" s="661"/>
      <c r="K410" s="662"/>
      <c r="L410" s="663">
        <v>0</v>
      </c>
      <c r="M410" s="663">
        <v>0</v>
      </c>
      <c r="X410" s="656"/>
      <c r="Y410" s="657"/>
      <c r="Z410" s="657"/>
      <c r="AA410" s="481" t="s">
        <v>1281</v>
      </c>
      <c r="AC410" s="456"/>
      <c r="AD410" s="481"/>
      <c r="AF410" s="481"/>
      <c r="AG410" s="522"/>
      <c r="AH410" s="699"/>
      <c r="AI410" s="456"/>
      <c r="AJ410" s="699"/>
    </row>
    <row r="411" spans="1:36" s="454" customFormat="1" ht="15" x14ac:dyDescent="0.25">
      <c r="A411" s="664"/>
      <c r="B411" s="665"/>
      <c r="C411" s="666" t="s">
        <v>2197</v>
      </c>
      <c r="D411" s="667"/>
      <c r="E411" s="667"/>
      <c r="F411" s="667"/>
      <c r="G411" s="667"/>
      <c r="H411" s="667"/>
      <c r="I411" s="667"/>
      <c r="J411" s="667"/>
      <c r="K411" s="667"/>
      <c r="L411" s="667"/>
      <c r="M411" s="668"/>
      <c r="X411" s="656"/>
      <c r="Y411" s="657"/>
      <c r="Z411" s="657"/>
      <c r="AA411" s="481"/>
      <c r="AC411" s="456"/>
      <c r="AD411" s="481"/>
      <c r="AF411" s="481"/>
      <c r="AG411" s="522"/>
      <c r="AH411" s="699"/>
      <c r="AI411" s="456"/>
      <c r="AJ411" s="699"/>
    </row>
    <row r="412" spans="1:36" s="454" customFormat="1" ht="15" x14ac:dyDescent="0.25">
      <c r="A412" s="542"/>
      <c r="B412" s="665"/>
      <c r="C412" s="666" t="s">
        <v>2113</v>
      </c>
      <c r="D412" s="667"/>
      <c r="E412" s="667"/>
      <c r="F412" s="667"/>
      <c r="G412" s="667"/>
      <c r="H412" s="667"/>
      <c r="I412" s="667"/>
      <c r="J412" s="667"/>
      <c r="K412" s="667"/>
      <c r="L412" s="667"/>
      <c r="M412" s="669"/>
      <c r="X412" s="656"/>
      <c r="Y412" s="657"/>
      <c r="Z412" s="657"/>
      <c r="AA412" s="481"/>
      <c r="AC412" s="456"/>
      <c r="AD412" s="481"/>
      <c r="AF412" s="481"/>
      <c r="AG412" s="522"/>
      <c r="AH412" s="699"/>
      <c r="AI412" s="456"/>
      <c r="AJ412" s="699"/>
    </row>
    <row r="413" spans="1:36" s="454" customFormat="1" ht="34.5" x14ac:dyDescent="0.25">
      <c r="A413" s="658" t="s">
        <v>1332</v>
      </c>
      <c r="B413" s="659" t="s">
        <v>1315</v>
      </c>
      <c r="C413" s="2673" t="s">
        <v>1284</v>
      </c>
      <c r="D413" s="2673"/>
      <c r="E413" s="2673"/>
      <c r="F413" s="670">
        <v>-4</v>
      </c>
      <c r="G413" s="661" t="s">
        <v>2114</v>
      </c>
      <c r="H413" s="661"/>
      <c r="I413" s="661">
        <v>-6957</v>
      </c>
      <c r="J413" s="661"/>
      <c r="K413" s="662"/>
      <c r="L413" s="663">
        <v>0</v>
      </c>
      <c r="M413" s="663">
        <v>0</v>
      </c>
      <c r="X413" s="656"/>
      <c r="Y413" s="657"/>
      <c r="Z413" s="657"/>
      <c r="AA413" s="481" t="s">
        <v>1284</v>
      </c>
      <c r="AC413" s="456"/>
      <c r="AD413" s="481"/>
      <c r="AF413" s="481"/>
      <c r="AG413" s="522"/>
      <c r="AH413" s="699"/>
      <c r="AI413" s="456"/>
      <c r="AJ413" s="699"/>
    </row>
    <row r="414" spans="1:36" s="454" customFormat="1" ht="15" x14ac:dyDescent="0.25">
      <c r="A414" s="664"/>
      <c r="B414" s="665"/>
      <c r="C414" s="666" t="s">
        <v>2196</v>
      </c>
      <c r="D414" s="667"/>
      <c r="E414" s="667"/>
      <c r="F414" s="667"/>
      <c r="G414" s="667"/>
      <c r="H414" s="667"/>
      <c r="I414" s="667"/>
      <c r="J414" s="667"/>
      <c r="K414" s="667"/>
      <c r="L414" s="667"/>
      <c r="M414" s="668"/>
      <c r="X414" s="656"/>
      <c r="Y414" s="657"/>
      <c r="Z414" s="657"/>
      <c r="AA414" s="481"/>
      <c r="AC414" s="456"/>
      <c r="AD414" s="481"/>
      <c r="AF414" s="481"/>
      <c r="AG414" s="522"/>
      <c r="AH414" s="699"/>
      <c r="AI414" s="456"/>
      <c r="AJ414" s="699"/>
    </row>
    <row r="415" spans="1:36" s="454" customFormat="1" ht="15" x14ac:dyDescent="0.25">
      <c r="A415" s="542"/>
      <c r="B415" s="665"/>
      <c r="C415" s="666" t="s">
        <v>2115</v>
      </c>
      <c r="D415" s="667"/>
      <c r="E415" s="667"/>
      <c r="F415" s="667"/>
      <c r="G415" s="667"/>
      <c r="H415" s="667"/>
      <c r="I415" s="667"/>
      <c r="J415" s="667"/>
      <c r="K415" s="667"/>
      <c r="L415" s="667"/>
      <c r="M415" s="669"/>
      <c r="X415" s="656"/>
      <c r="Y415" s="657"/>
      <c r="Z415" s="657"/>
      <c r="AA415" s="481"/>
      <c r="AC415" s="456"/>
      <c r="AD415" s="481"/>
      <c r="AF415" s="481"/>
      <c r="AG415" s="522"/>
      <c r="AH415" s="699"/>
      <c r="AI415" s="456"/>
      <c r="AJ415" s="699"/>
    </row>
    <row r="416" spans="1:36" s="454" customFormat="1" ht="45.75" x14ac:dyDescent="0.25">
      <c r="A416" s="658" t="s">
        <v>1334</v>
      </c>
      <c r="B416" s="659" t="s">
        <v>2116</v>
      </c>
      <c r="C416" s="2673" t="s">
        <v>2117</v>
      </c>
      <c r="D416" s="2673"/>
      <c r="E416" s="2673"/>
      <c r="F416" s="670">
        <v>-32</v>
      </c>
      <c r="G416" s="661" t="s">
        <v>1288</v>
      </c>
      <c r="H416" s="661" t="s">
        <v>1289</v>
      </c>
      <c r="I416" s="661">
        <v>-181</v>
      </c>
      <c r="J416" s="661">
        <v>-74</v>
      </c>
      <c r="K416" s="662" t="s">
        <v>2199</v>
      </c>
      <c r="L416" s="671">
        <v>0.255</v>
      </c>
      <c r="M416" s="672">
        <v>-8.16</v>
      </c>
      <c r="X416" s="656"/>
      <c r="Y416" s="657"/>
      <c r="Z416" s="657"/>
      <c r="AA416" s="481" t="s">
        <v>2117</v>
      </c>
      <c r="AC416" s="456"/>
      <c r="AD416" s="481"/>
      <c r="AF416" s="481"/>
      <c r="AG416" s="522"/>
      <c r="AH416" s="699"/>
      <c r="AI416" s="456"/>
      <c r="AJ416" s="699"/>
    </row>
    <row r="417" spans="1:36" s="454" customFormat="1" ht="33.75" x14ac:dyDescent="0.25">
      <c r="A417" s="542"/>
      <c r="B417" s="673" t="s">
        <v>1655</v>
      </c>
      <c r="C417" s="2670" t="s">
        <v>1656</v>
      </c>
      <c r="D417" s="2670"/>
      <c r="E417" s="2670"/>
      <c r="F417" s="2670"/>
      <c r="G417" s="2670"/>
      <c r="H417" s="2670"/>
      <c r="I417" s="2670"/>
      <c r="J417" s="2670"/>
      <c r="K417" s="2670"/>
      <c r="L417" s="2670"/>
      <c r="M417" s="2671"/>
      <c r="X417" s="656"/>
      <c r="Y417" s="657"/>
      <c r="Z417" s="657"/>
      <c r="AA417" s="481"/>
      <c r="AB417" s="491" t="s">
        <v>1656</v>
      </c>
      <c r="AC417" s="456"/>
      <c r="AD417" s="481"/>
      <c r="AF417" s="481"/>
      <c r="AG417" s="522"/>
      <c r="AH417" s="699"/>
      <c r="AI417" s="456"/>
      <c r="AJ417" s="699"/>
    </row>
    <row r="418" spans="1:36" s="454" customFormat="1" ht="23.25" x14ac:dyDescent="0.25">
      <c r="A418" s="507"/>
      <c r="B418" s="674" t="s">
        <v>2119</v>
      </c>
      <c r="C418" s="2672" t="s">
        <v>2120</v>
      </c>
      <c r="D418" s="2672"/>
      <c r="E418" s="2672"/>
      <c r="F418" s="675" t="s">
        <v>2200</v>
      </c>
      <c r="G418" s="676" t="s">
        <v>2122</v>
      </c>
      <c r="H418" s="676"/>
      <c r="I418" s="676">
        <v>-74.010000000000005</v>
      </c>
      <c r="J418" s="676">
        <v>-74.010000000000005</v>
      </c>
      <c r="K418" s="676"/>
      <c r="L418" s="677"/>
      <c r="M418" s="678"/>
      <c r="X418" s="656"/>
      <c r="Y418" s="657"/>
      <c r="Z418" s="657"/>
      <c r="AA418" s="481"/>
      <c r="AC418" s="456" t="s">
        <v>2120</v>
      </c>
      <c r="AD418" s="481"/>
      <c r="AF418" s="481"/>
      <c r="AG418" s="522"/>
      <c r="AH418" s="699"/>
      <c r="AI418" s="456"/>
      <c r="AJ418" s="699"/>
    </row>
    <row r="419" spans="1:36" s="454" customFormat="1" ht="23.25" x14ac:dyDescent="0.25">
      <c r="A419" s="507"/>
      <c r="B419" s="674" t="s">
        <v>639</v>
      </c>
      <c r="C419" s="2672" t="s">
        <v>1661</v>
      </c>
      <c r="D419" s="2672"/>
      <c r="E419" s="2672"/>
      <c r="F419" s="675" t="s">
        <v>2201</v>
      </c>
      <c r="G419" s="676">
        <v>0</v>
      </c>
      <c r="H419" s="676">
        <v>0</v>
      </c>
      <c r="I419" s="676">
        <v>0</v>
      </c>
      <c r="J419" s="676"/>
      <c r="K419" s="676">
        <v>0</v>
      </c>
      <c r="L419" s="677"/>
      <c r="M419" s="678"/>
      <c r="X419" s="656"/>
      <c r="Y419" s="657"/>
      <c r="Z419" s="657"/>
      <c r="AA419" s="481"/>
      <c r="AC419" s="456" t="s">
        <v>1661</v>
      </c>
      <c r="AD419" s="481"/>
      <c r="AF419" s="481"/>
      <c r="AG419" s="522"/>
      <c r="AH419" s="699"/>
      <c r="AI419" s="456"/>
      <c r="AJ419" s="699"/>
    </row>
    <row r="420" spans="1:36" s="454" customFormat="1" ht="34.5" x14ac:dyDescent="0.25">
      <c r="A420" s="507"/>
      <c r="B420" s="674" t="s">
        <v>821</v>
      </c>
      <c r="C420" s="2672" t="s">
        <v>1751</v>
      </c>
      <c r="D420" s="2672"/>
      <c r="E420" s="2672"/>
      <c r="F420" s="675" t="s">
        <v>2202</v>
      </c>
      <c r="G420" s="676">
        <v>65.709999999999994</v>
      </c>
      <c r="H420" s="676" t="s">
        <v>1753</v>
      </c>
      <c r="I420" s="676">
        <v>-42.05</v>
      </c>
      <c r="J420" s="676"/>
      <c r="K420" s="676" t="s">
        <v>2203</v>
      </c>
      <c r="L420" s="677"/>
      <c r="M420" s="678"/>
      <c r="X420" s="656"/>
      <c r="Y420" s="657"/>
      <c r="Z420" s="657"/>
      <c r="AA420" s="481"/>
      <c r="AC420" s="456" t="s">
        <v>1751</v>
      </c>
      <c r="AD420" s="481"/>
      <c r="AF420" s="481"/>
      <c r="AG420" s="522"/>
      <c r="AH420" s="699"/>
      <c r="AI420" s="456"/>
      <c r="AJ420" s="699"/>
    </row>
    <row r="421" spans="1:36" s="454" customFormat="1" ht="23.25" x14ac:dyDescent="0.25">
      <c r="A421" s="507"/>
      <c r="B421" s="674" t="s">
        <v>825</v>
      </c>
      <c r="C421" s="2672" t="s">
        <v>1808</v>
      </c>
      <c r="D421" s="2672"/>
      <c r="E421" s="2672"/>
      <c r="F421" s="675" t="s">
        <v>2204</v>
      </c>
      <c r="G421" s="676">
        <v>1.2</v>
      </c>
      <c r="H421" s="676" t="s">
        <v>1810</v>
      </c>
      <c r="I421" s="676">
        <v>-5.76</v>
      </c>
      <c r="J421" s="676"/>
      <c r="K421" s="676" t="s">
        <v>2205</v>
      </c>
      <c r="L421" s="677"/>
      <c r="M421" s="678"/>
      <c r="X421" s="656"/>
      <c r="Y421" s="657"/>
      <c r="Z421" s="657"/>
      <c r="AA421" s="481"/>
      <c r="AC421" s="456" t="s">
        <v>1808</v>
      </c>
      <c r="AD421" s="481"/>
      <c r="AF421" s="481"/>
      <c r="AG421" s="522"/>
      <c r="AH421" s="699"/>
      <c r="AI421" s="456"/>
      <c r="AJ421" s="699"/>
    </row>
    <row r="422" spans="1:36" s="454" customFormat="1" ht="23.25" x14ac:dyDescent="0.25">
      <c r="A422" s="507"/>
      <c r="B422" s="674" t="s">
        <v>830</v>
      </c>
      <c r="C422" s="2672" t="s">
        <v>1816</v>
      </c>
      <c r="D422" s="2672"/>
      <c r="E422" s="2672"/>
      <c r="F422" s="675" t="s">
        <v>2204</v>
      </c>
      <c r="G422" s="676">
        <v>6.22</v>
      </c>
      <c r="H422" s="676"/>
      <c r="I422" s="676">
        <v>-29.86</v>
      </c>
      <c r="J422" s="676"/>
      <c r="K422" s="676"/>
      <c r="L422" s="677"/>
      <c r="M422" s="678"/>
      <c r="X422" s="656"/>
      <c r="Y422" s="657"/>
      <c r="Z422" s="657"/>
      <c r="AA422" s="481"/>
      <c r="AC422" s="456" t="s">
        <v>1816</v>
      </c>
      <c r="AD422" s="481"/>
      <c r="AF422" s="481"/>
      <c r="AG422" s="522"/>
      <c r="AH422" s="699"/>
      <c r="AI422" s="456"/>
      <c r="AJ422" s="699"/>
    </row>
    <row r="423" spans="1:36" s="454" customFormat="1" ht="23.25" x14ac:dyDescent="0.25">
      <c r="A423" s="507"/>
      <c r="B423" s="674" t="s">
        <v>833</v>
      </c>
      <c r="C423" s="2672" t="s">
        <v>1818</v>
      </c>
      <c r="D423" s="2672"/>
      <c r="E423" s="2672"/>
      <c r="F423" s="675" t="s">
        <v>2201</v>
      </c>
      <c r="G423" s="676">
        <v>6.09</v>
      </c>
      <c r="H423" s="676"/>
      <c r="I423" s="676">
        <v>-5.85</v>
      </c>
      <c r="J423" s="676"/>
      <c r="K423" s="676"/>
      <c r="L423" s="677"/>
      <c r="M423" s="678"/>
      <c r="X423" s="656"/>
      <c r="Y423" s="657"/>
      <c r="Z423" s="657"/>
      <c r="AA423" s="481"/>
      <c r="AC423" s="456" t="s">
        <v>1818</v>
      </c>
      <c r="AD423" s="481"/>
      <c r="AF423" s="481"/>
      <c r="AG423" s="522"/>
      <c r="AH423" s="699"/>
      <c r="AI423" s="456"/>
      <c r="AJ423" s="699"/>
    </row>
    <row r="424" spans="1:36" s="454" customFormat="1" ht="15" x14ac:dyDescent="0.25">
      <c r="A424" s="2680" t="s">
        <v>1505</v>
      </c>
      <c r="B424" s="2681"/>
      <c r="C424" s="2681"/>
      <c r="D424" s="2681"/>
      <c r="E424" s="2681"/>
      <c r="F424" s="2681"/>
      <c r="G424" s="2681"/>
      <c r="H424" s="2681"/>
      <c r="I424" s="2681"/>
      <c r="J424" s="2681"/>
      <c r="K424" s="2681"/>
      <c r="L424" s="2681"/>
      <c r="M424" s="2682"/>
      <c r="X424" s="656"/>
      <c r="Y424" s="657" t="s">
        <v>1505</v>
      </c>
      <c r="Z424" s="657"/>
      <c r="AA424" s="481"/>
      <c r="AC424" s="456"/>
      <c r="AD424" s="481"/>
      <c r="AF424" s="481"/>
      <c r="AG424" s="522"/>
      <c r="AH424" s="699"/>
      <c r="AI424" s="456"/>
      <c r="AJ424" s="699"/>
    </row>
    <row r="425" spans="1:36" s="454" customFormat="1" ht="57" x14ac:dyDescent="0.25">
      <c r="A425" s="658" t="s">
        <v>1336</v>
      </c>
      <c r="B425" s="659" t="s">
        <v>1954</v>
      </c>
      <c r="C425" s="2673" t="s">
        <v>1955</v>
      </c>
      <c r="D425" s="2673"/>
      <c r="E425" s="2673"/>
      <c r="F425" s="660">
        <v>-2.2949999999999999</v>
      </c>
      <c r="G425" s="661" t="s">
        <v>1956</v>
      </c>
      <c r="H425" s="661" t="s">
        <v>1957</v>
      </c>
      <c r="I425" s="661">
        <v>-293527</v>
      </c>
      <c r="J425" s="661">
        <v>-22955</v>
      </c>
      <c r="K425" s="662" t="s">
        <v>2206</v>
      </c>
      <c r="L425" s="691">
        <v>1039.7328</v>
      </c>
      <c r="M425" s="672">
        <v>-2386.19</v>
      </c>
      <c r="X425" s="656"/>
      <c r="Y425" s="657"/>
      <c r="Z425" s="657"/>
      <c r="AA425" s="481" t="s">
        <v>1955</v>
      </c>
      <c r="AC425" s="456"/>
      <c r="AD425" s="481"/>
      <c r="AF425" s="481"/>
      <c r="AG425" s="522"/>
      <c r="AH425" s="699"/>
      <c r="AI425" s="456"/>
      <c r="AJ425" s="699"/>
    </row>
    <row r="426" spans="1:36" s="454" customFormat="1" ht="15" x14ac:dyDescent="0.25">
      <c r="A426" s="664"/>
      <c r="B426" s="665"/>
      <c r="C426" s="666" t="s">
        <v>2207</v>
      </c>
      <c r="D426" s="667"/>
      <c r="E426" s="667"/>
      <c r="F426" s="667"/>
      <c r="G426" s="667"/>
      <c r="H426" s="667"/>
      <c r="I426" s="667"/>
      <c r="J426" s="667"/>
      <c r="K426" s="667"/>
      <c r="L426" s="667"/>
      <c r="M426" s="668"/>
      <c r="X426" s="656"/>
      <c r="Y426" s="657"/>
      <c r="Z426" s="657"/>
      <c r="AA426" s="481"/>
      <c r="AC426" s="456"/>
      <c r="AD426" s="481"/>
      <c r="AF426" s="481"/>
      <c r="AG426" s="522"/>
      <c r="AH426" s="699"/>
      <c r="AI426" s="456"/>
      <c r="AJ426" s="699"/>
    </row>
    <row r="427" spans="1:36" s="454" customFormat="1" ht="15" x14ac:dyDescent="0.25">
      <c r="A427" s="542"/>
      <c r="B427" s="673" t="s">
        <v>1960</v>
      </c>
      <c r="C427" s="2670" t="s">
        <v>1961</v>
      </c>
      <c r="D427" s="2670"/>
      <c r="E427" s="2670"/>
      <c r="F427" s="2670"/>
      <c r="G427" s="2670"/>
      <c r="H427" s="2670"/>
      <c r="I427" s="2670"/>
      <c r="J427" s="2670"/>
      <c r="K427" s="2670"/>
      <c r="L427" s="2670"/>
      <c r="M427" s="2671"/>
      <c r="X427" s="656"/>
      <c r="Y427" s="657"/>
      <c r="Z427" s="657"/>
      <c r="AA427" s="481"/>
      <c r="AB427" s="491" t="s">
        <v>1961</v>
      </c>
      <c r="AC427" s="456"/>
      <c r="AD427" s="481"/>
      <c r="AF427" s="481"/>
      <c r="AG427" s="522"/>
      <c r="AH427" s="699"/>
      <c r="AI427" s="456"/>
      <c r="AJ427" s="699"/>
    </row>
    <row r="428" spans="1:36" s="454" customFormat="1" ht="15" x14ac:dyDescent="0.25">
      <c r="A428" s="542"/>
      <c r="B428" s="673" t="s">
        <v>1962</v>
      </c>
      <c r="C428" s="2670" t="s">
        <v>1963</v>
      </c>
      <c r="D428" s="2670"/>
      <c r="E428" s="2670"/>
      <c r="F428" s="2670"/>
      <c r="G428" s="2670"/>
      <c r="H428" s="2670"/>
      <c r="I428" s="2670"/>
      <c r="J428" s="2670"/>
      <c r="K428" s="2670"/>
      <c r="L428" s="2670"/>
      <c r="M428" s="2671"/>
      <c r="X428" s="656"/>
      <c r="Y428" s="657"/>
      <c r="Z428" s="657"/>
      <c r="AA428" s="481"/>
      <c r="AB428" s="491" t="s">
        <v>1963</v>
      </c>
      <c r="AC428" s="456"/>
      <c r="AD428" s="481"/>
      <c r="AF428" s="481"/>
      <c r="AG428" s="522"/>
      <c r="AH428" s="699"/>
      <c r="AI428" s="456"/>
      <c r="AJ428" s="699"/>
    </row>
    <row r="429" spans="1:36" s="454" customFormat="1" ht="15" x14ac:dyDescent="0.25">
      <c r="A429" s="542"/>
      <c r="B429" s="673" t="s">
        <v>1964</v>
      </c>
      <c r="C429" s="2670" t="s">
        <v>1965</v>
      </c>
      <c r="D429" s="2670"/>
      <c r="E429" s="2670"/>
      <c r="F429" s="2670"/>
      <c r="G429" s="2670"/>
      <c r="H429" s="2670"/>
      <c r="I429" s="2670"/>
      <c r="J429" s="2670"/>
      <c r="K429" s="2670"/>
      <c r="L429" s="2670"/>
      <c r="M429" s="2671"/>
      <c r="X429" s="656"/>
      <c r="Y429" s="657"/>
      <c r="Z429" s="657"/>
      <c r="AA429" s="481"/>
      <c r="AB429" s="491" t="s">
        <v>1965</v>
      </c>
      <c r="AC429" s="456"/>
      <c r="AD429" s="481"/>
      <c r="AF429" s="481"/>
      <c r="AG429" s="522"/>
      <c r="AH429" s="699"/>
      <c r="AI429" s="456"/>
      <c r="AJ429" s="699"/>
    </row>
    <row r="430" spans="1:36" s="454" customFormat="1" ht="33.75" x14ac:dyDescent="0.25">
      <c r="A430" s="542"/>
      <c r="B430" s="673" t="s">
        <v>1655</v>
      </c>
      <c r="C430" s="2670" t="s">
        <v>1656</v>
      </c>
      <c r="D430" s="2670"/>
      <c r="E430" s="2670"/>
      <c r="F430" s="2670"/>
      <c r="G430" s="2670"/>
      <c r="H430" s="2670"/>
      <c r="I430" s="2670"/>
      <c r="J430" s="2670"/>
      <c r="K430" s="2670"/>
      <c r="L430" s="2670"/>
      <c r="M430" s="2671"/>
      <c r="X430" s="656"/>
      <c r="Y430" s="657"/>
      <c r="Z430" s="657"/>
      <c r="AA430" s="481"/>
      <c r="AB430" s="491" t="s">
        <v>1656</v>
      </c>
      <c r="AC430" s="456"/>
      <c r="AD430" s="481"/>
      <c r="AF430" s="481"/>
      <c r="AG430" s="522"/>
      <c r="AH430" s="699"/>
      <c r="AI430" s="456"/>
      <c r="AJ430" s="699"/>
    </row>
    <row r="431" spans="1:36" s="454" customFormat="1" ht="23.25" x14ac:dyDescent="0.25">
      <c r="A431" s="507"/>
      <c r="B431" s="674" t="s">
        <v>1883</v>
      </c>
      <c r="C431" s="2672" t="s">
        <v>1884</v>
      </c>
      <c r="D431" s="2672"/>
      <c r="E431" s="2672"/>
      <c r="F431" s="675" t="s">
        <v>2208</v>
      </c>
      <c r="G431" s="676" t="s">
        <v>1886</v>
      </c>
      <c r="H431" s="676"/>
      <c r="I431" s="676">
        <v>-22955.15</v>
      </c>
      <c r="J431" s="676">
        <v>-22955.15</v>
      </c>
      <c r="K431" s="676"/>
      <c r="L431" s="677"/>
      <c r="M431" s="678"/>
      <c r="X431" s="656"/>
      <c r="Y431" s="657"/>
      <c r="Z431" s="657"/>
      <c r="AA431" s="481"/>
      <c r="AC431" s="456" t="s">
        <v>1884</v>
      </c>
      <c r="AD431" s="481"/>
      <c r="AF431" s="481"/>
      <c r="AG431" s="522"/>
      <c r="AH431" s="699"/>
      <c r="AI431" s="456"/>
      <c r="AJ431" s="699"/>
    </row>
    <row r="432" spans="1:36" s="454" customFormat="1" ht="23.25" x14ac:dyDescent="0.25">
      <c r="A432" s="507"/>
      <c r="B432" s="674" t="s">
        <v>639</v>
      </c>
      <c r="C432" s="2672" t="s">
        <v>1661</v>
      </c>
      <c r="D432" s="2672"/>
      <c r="E432" s="2672"/>
      <c r="F432" s="675" t="s">
        <v>2209</v>
      </c>
      <c r="G432" s="676">
        <v>0</v>
      </c>
      <c r="H432" s="676">
        <v>0</v>
      </c>
      <c r="I432" s="676">
        <v>0</v>
      </c>
      <c r="J432" s="676"/>
      <c r="K432" s="676">
        <v>0</v>
      </c>
      <c r="L432" s="677"/>
      <c r="M432" s="678"/>
      <c r="X432" s="656"/>
      <c r="Y432" s="657"/>
      <c r="Z432" s="657"/>
      <c r="AA432" s="481"/>
      <c r="AC432" s="456" t="s">
        <v>1661</v>
      </c>
      <c r="AD432" s="481"/>
      <c r="AF432" s="481"/>
      <c r="AG432" s="522"/>
      <c r="AH432" s="699"/>
      <c r="AI432" s="456"/>
      <c r="AJ432" s="699"/>
    </row>
    <row r="433" spans="1:36" s="454" customFormat="1" ht="23.25" x14ac:dyDescent="0.25">
      <c r="A433" s="507"/>
      <c r="B433" s="674" t="s">
        <v>1968</v>
      </c>
      <c r="C433" s="2672" t="s">
        <v>1969</v>
      </c>
      <c r="D433" s="2672"/>
      <c r="E433" s="2672"/>
      <c r="F433" s="675" t="s">
        <v>2210</v>
      </c>
      <c r="G433" s="676">
        <v>79.069999999999993</v>
      </c>
      <c r="H433" s="676" t="s">
        <v>1971</v>
      </c>
      <c r="I433" s="676">
        <v>-531.35</v>
      </c>
      <c r="J433" s="676"/>
      <c r="K433" s="676" t="s">
        <v>2211</v>
      </c>
      <c r="L433" s="677"/>
      <c r="M433" s="678"/>
      <c r="X433" s="656"/>
      <c r="Y433" s="657"/>
      <c r="Z433" s="657"/>
      <c r="AA433" s="481"/>
      <c r="AC433" s="456" t="s">
        <v>1969</v>
      </c>
      <c r="AD433" s="481"/>
      <c r="AF433" s="481"/>
      <c r="AG433" s="522"/>
      <c r="AH433" s="699"/>
      <c r="AI433" s="456"/>
      <c r="AJ433" s="699"/>
    </row>
    <row r="434" spans="1:36" s="454" customFormat="1" ht="45.75" x14ac:dyDescent="0.25">
      <c r="A434" s="507"/>
      <c r="B434" s="674" t="s">
        <v>1973</v>
      </c>
      <c r="C434" s="2672" t="s">
        <v>1974</v>
      </c>
      <c r="D434" s="2672"/>
      <c r="E434" s="2672"/>
      <c r="F434" s="675" t="s">
        <v>2212</v>
      </c>
      <c r="G434" s="676">
        <v>70.010000000000005</v>
      </c>
      <c r="H434" s="676" t="s">
        <v>1976</v>
      </c>
      <c r="I434" s="676">
        <v>-632.89</v>
      </c>
      <c r="J434" s="676"/>
      <c r="K434" s="676" t="s">
        <v>2213</v>
      </c>
      <c r="L434" s="677"/>
      <c r="M434" s="678"/>
      <c r="X434" s="656"/>
      <c r="Y434" s="657"/>
      <c r="Z434" s="657"/>
      <c r="AA434" s="481"/>
      <c r="AC434" s="456" t="s">
        <v>1974</v>
      </c>
      <c r="AD434" s="481"/>
      <c r="AF434" s="481"/>
      <c r="AG434" s="522"/>
      <c r="AH434" s="699"/>
      <c r="AI434" s="456"/>
      <c r="AJ434" s="699"/>
    </row>
    <row r="435" spans="1:36" s="454" customFormat="1" ht="57" x14ac:dyDescent="0.25">
      <c r="A435" s="507"/>
      <c r="B435" s="674" t="s">
        <v>1978</v>
      </c>
      <c r="C435" s="2672" t="s">
        <v>1979</v>
      </c>
      <c r="D435" s="2672"/>
      <c r="E435" s="2672"/>
      <c r="F435" s="675" t="s">
        <v>2214</v>
      </c>
      <c r="G435" s="676">
        <v>340</v>
      </c>
      <c r="H435" s="676" t="s">
        <v>1981</v>
      </c>
      <c r="I435" s="676">
        <v>-173553</v>
      </c>
      <c r="J435" s="676"/>
      <c r="K435" s="676" t="s">
        <v>2215</v>
      </c>
      <c r="L435" s="677"/>
      <c r="M435" s="678"/>
      <c r="X435" s="656"/>
      <c r="Y435" s="657"/>
      <c r="Z435" s="657"/>
      <c r="AA435" s="481"/>
      <c r="AC435" s="456" t="s">
        <v>1979</v>
      </c>
      <c r="AD435" s="481"/>
      <c r="AF435" s="481"/>
      <c r="AG435" s="522"/>
      <c r="AH435" s="699"/>
      <c r="AI435" s="456"/>
      <c r="AJ435" s="699"/>
    </row>
    <row r="436" spans="1:36" s="454" customFormat="1" ht="34.5" x14ac:dyDescent="0.25">
      <c r="A436" s="507"/>
      <c r="B436" s="674" t="s">
        <v>1663</v>
      </c>
      <c r="C436" s="2672" t="s">
        <v>1664</v>
      </c>
      <c r="D436" s="2672"/>
      <c r="E436" s="2672"/>
      <c r="F436" s="675" t="s">
        <v>2216</v>
      </c>
      <c r="G436" s="676">
        <v>111.99</v>
      </c>
      <c r="H436" s="676" t="s">
        <v>1666</v>
      </c>
      <c r="I436" s="676">
        <v>-994.47</v>
      </c>
      <c r="J436" s="676"/>
      <c r="K436" s="676" t="s">
        <v>2217</v>
      </c>
      <c r="L436" s="677"/>
      <c r="M436" s="678"/>
      <c r="X436" s="656"/>
      <c r="Y436" s="657"/>
      <c r="Z436" s="657"/>
      <c r="AA436" s="481"/>
      <c r="AC436" s="456" t="s">
        <v>1664</v>
      </c>
      <c r="AD436" s="481"/>
      <c r="AF436" s="481"/>
      <c r="AG436" s="522"/>
      <c r="AH436" s="699"/>
      <c r="AI436" s="456"/>
      <c r="AJ436" s="699"/>
    </row>
    <row r="437" spans="1:36" s="454" customFormat="1" ht="23.25" x14ac:dyDescent="0.25">
      <c r="A437" s="507"/>
      <c r="B437" s="674" t="s">
        <v>1985</v>
      </c>
      <c r="C437" s="2672" t="s">
        <v>1986</v>
      </c>
      <c r="D437" s="2672"/>
      <c r="E437" s="2672"/>
      <c r="F437" s="675" t="s">
        <v>2218</v>
      </c>
      <c r="G437" s="676">
        <v>26.5</v>
      </c>
      <c r="H437" s="676" t="s">
        <v>1988</v>
      </c>
      <c r="I437" s="676">
        <v>-3213.39</v>
      </c>
      <c r="J437" s="676"/>
      <c r="K437" s="676" t="s">
        <v>2219</v>
      </c>
      <c r="L437" s="677"/>
      <c r="M437" s="678"/>
      <c r="X437" s="656"/>
      <c r="Y437" s="657"/>
      <c r="Z437" s="657"/>
      <c r="AA437" s="481"/>
      <c r="AC437" s="456" t="s">
        <v>1986</v>
      </c>
      <c r="AD437" s="481"/>
      <c r="AF437" s="481"/>
      <c r="AG437" s="522"/>
      <c r="AH437" s="699"/>
      <c r="AI437" s="456"/>
      <c r="AJ437" s="699"/>
    </row>
    <row r="438" spans="1:36" s="454" customFormat="1" ht="34.5" x14ac:dyDescent="0.25">
      <c r="A438" s="507"/>
      <c r="B438" s="674" t="s">
        <v>821</v>
      </c>
      <c r="C438" s="2672" t="s">
        <v>1751</v>
      </c>
      <c r="D438" s="2672"/>
      <c r="E438" s="2672"/>
      <c r="F438" s="675" t="s">
        <v>2220</v>
      </c>
      <c r="G438" s="676">
        <v>65.709999999999994</v>
      </c>
      <c r="H438" s="676" t="s">
        <v>1753</v>
      </c>
      <c r="I438" s="676">
        <v>-873.94</v>
      </c>
      <c r="J438" s="676"/>
      <c r="K438" s="676" t="s">
        <v>2221</v>
      </c>
      <c r="L438" s="677"/>
      <c r="M438" s="678"/>
      <c r="X438" s="656"/>
      <c r="Y438" s="657"/>
      <c r="Z438" s="657"/>
      <c r="AA438" s="481"/>
      <c r="AC438" s="456" t="s">
        <v>1751</v>
      </c>
      <c r="AD438" s="481"/>
      <c r="AF438" s="481"/>
      <c r="AG438" s="522"/>
      <c r="AH438" s="699"/>
      <c r="AI438" s="456"/>
      <c r="AJ438" s="699"/>
    </row>
    <row r="439" spans="1:36" s="454" customFormat="1" ht="23.25" x14ac:dyDescent="0.25">
      <c r="A439" s="515" t="s">
        <v>863</v>
      </c>
      <c r="B439" s="686" t="s">
        <v>1992</v>
      </c>
      <c r="C439" s="2683" t="s">
        <v>1993</v>
      </c>
      <c r="D439" s="2683"/>
      <c r="E439" s="2683"/>
      <c r="F439" s="687" t="s">
        <v>2222</v>
      </c>
      <c r="G439" s="688">
        <v>0</v>
      </c>
      <c r="H439" s="688"/>
      <c r="I439" s="688">
        <v>0</v>
      </c>
      <c r="J439" s="688"/>
      <c r="K439" s="688"/>
      <c r="L439" s="689"/>
      <c r="M439" s="690"/>
      <c r="X439" s="656"/>
      <c r="Y439" s="657"/>
      <c r="Z439" s="657"/>
      <c r="AA439" s="481"/>
      <c r="AC439" s="456"/>
      <c r="AD439" s="481"/>
      <c r="AF439" s="481"/>
      <c r="AG439" s="522" t="s">
        <v>1993</v>
      </c>
      <c r="AH439" s="699"/>
      <c r="AI439" s="456"/>
      <c r="AJ439" s="699"/>
    </row>
    <row r="440" spans="1:36" s="454" customFormat="1" ht="57" x14ac:dyDescent="0.25">
      <c r="A440" s="507"/>
      <c r="B440" s="674" t="s">
        <v>1995</v>
      </c>
      <c r="C440" s="2672" t="s">
        <v>1996</v>
      </c>
      <c r="D440" s="2672"/>
      <c r="E440" s="2672"/>
      <c r="F440" s="675" t="s">
        <v>2223</v>
      </c>
      <c r="G440" s="676">
        <v>183.68</v>
      </c>
      <c r="H440" s="676"/>
      <c r="I440" s="676">
        <v>-873.4</v>
      </c>
      <c r="J440" s="676"/>
      <c r="K440" s="676"/>
      <c r="L440" s="677"/>
      <c r="M440" s="678"/>
      <c r="X440" s="656"/>
      <c r="Y440" s="657"/>
      <c r="Z440" s="657"/>
      <c r="AA440" s="481"/>
      <c r="AC440" s="456" t="s">
        <v>1996</v>
      </c>
      <c r="AD440" s="481"/>
      <c r="AF440" s="481"/>
      <c r="AG440" s="522"/>
      <c r="AH440" s="699"/>
      <c r="AI440" s="456"/>
      <c r="AJ440" s="699"/>
    </row>
    <row r="441" spans="1:36" s="454" customFormat="1" ht="23.25" x14ac:dyDescent="0.25">
      <c r="A441" s="515" t="s">
        <v>863</v>
      </c>
      <c r="B441" s="686" t="s">
        <v>1998</v>
      </c>
      <c r="C441" s="2683" t="s">
        <v>1999</v>
      </c>
      <c r="D441" s="2683"/>
      <c r="E441" s="2683"/>
      <c r="F441" s="687" t="s">
        <v>2224</v>
      </c>
      <c r="G441" s="688">
        <v>0</v>
      </c>
      <c r="H441" s="688"/>
      <c r="I441" s="688">
        <v>0</v>
      </c>
      <c r="J441" s="688"/>
      <c r="K441" s="688"/>
      <c r="L441" s="689"/>
      <c r="M441" s="690"/>
      <c r="X441" s="656"/>
      <c r="Y441" s="657"/>
      <c r="Z441" s="657"/>
      <c r="AA441" s="481"/>
      <c r="AC441" s="456"/>
      <c r="AD441" s="481"/>
      <c r="AF441" s="481"/>
      <c r="AG441" s="522" t="s">
        <v>1999</v>
      </c>
      <c r="AH441" s="699"/>
      <c r="AI441" s="456"/>
      <c r="AJ441" s="699"/>
    </row>
    <row r="442" spans="1:36" s="454" customFormat="1" ht="22.5" x14ac:dyDescent="0.25">
      <c r="A442" s="515" t="s">
        <v>860</v>
      </c>
      <c r="B442" s="686" t="s">
        <v>2001</v>
      </c>
      <c r="C442" s="2683" t="s">
        <v>2002</v>
      </c>
      <c r="D442" s="2683"/>
      <c r="E442" s="2683"/>
      <c r="F442" s="687" t="s">
        <v>1935</v>
      </c>
      <c r="G442" s="688">
        <v>0</v>
      </c>
      <c r="H442" s="688"/>
      <c r="I442" s="688">
        <v>0</v>
      </c>
      <c r="J442" s="688"/>
      <c r="K442" s="688"/>
      <c r="L442" s="689"/>
      <c r="M442" s="690"/>
      <c r="X442" s="656"/>
      <c r="Y442" s="657"/>
      <c r="Z442" s="657"/>
      <c r="AA442" s="481"/>
      <c r="AC442" s="456"/>
      <c r="AD442" s="481"/>
      <c r="AF442" s="481"/>
      <c r="AG442" s="522" t="s">
        <v>2002</v>
      </c>
      <c r="AH442" s="699"/>
      <c r="AI442" s="456"/>
      <c r="AJ442" s="699"/>
    </row>
    <row r="443" spans="1:36" s="454" customFormat="1" ht="57" x14ac:dyDescent="0.25">
      <c r="A443" s="658" t="s">
        <v>1339</v>
      </c>
      <c r="B443" s="659" t="s">
        <v>2003</v>
      </c>
      <c r="C443" s="2673" t="s">
        <v>2004</v>
      </c>
      <c r="D443" s="2673"/>
      <c r="E443" s="2673"/>
      <c r="F443" s="660">
        <v>-0.40500000000000003</v>
      </c>
      <c r="G443" s="661" t="s">
        <v>2005</v>
      </c>
      <c r="H443" s="661" t="s">
        <v>2006</v>
      </c>
      <c r="I443" s="661">
        <v>-157213</v>
      </c>
      <c r="J443" s="661">
        <v>-12005</v>
      </c>
      <c r="K443" s="662" t="s">
        <v>2225</v>
      </c>
      <c r="L443" s="691">
        <v>3081.2808</v>
      </c>
      <c r="M443" s="672">
        <v>-1247.92</v>
      </c>
      <c r="X443" s="656"/>
      <c r="Y443" s="657"/>
      <c r="Z443" s="657"/>
      <c r="AA443" s="481" t="s">
        <v>2004</v>
      </c>
      <c r="AC443" s="456"/>
      <c r="AD443" s="481"/>
      <c r="AF443" s="481"/>
      <c r="AG443" s="522"/>
      <c r="AH443" s="699"/>
      <c r="AI443" s="456"/>
      <c r="AJ443" s="699"/>
    </row>
    <row r="444" spans="1:36" s="454" customFormat="1" ht="15" x14ac:dyDescent="0.25">
      <c r="A444" s="664"/>
      <c r="B444" s="665"/>
      <c r="C444" s="666" t="s">
        <v>2226</v>
      </c>
      <c r="D444" s="667"/>
      <c r="E444" s="667"/>
      <c r="F444" s="667"/>
      <c r="G444" s="667"/>
      <c r="H444" s="667"/>
      <c r="I444" s="667"/>
      <c r="J444" s="667"/>
      <c r="K444" s="667"/>
      <c r="L444" s="667"/>
      <c r="M444" s="668"/>
      <c r="X444" s="656"/>
      <c r="Y444" s="657"/>
      <c r="Z444" s="657"/>
      <c r="AA444" s="481"/>
      <c r="AC444" s="456"/>
      <c r="AD444" s="481"/>
      <c r="AF444" s="481"/>
      <c r="AG444" s="522"/>
      <c r="AH444" s="699"/>
      <c r="AI444" s="456"/>
      <c r="AJ444" s="699"/>
    </row>
    <row r="445" spans="1:36" s="454" customFormat="1" ht="15" x14ac:dyDescent="0.25">
      <c r="A445" s="542"/>
      <c r="B445" s="673" t="s">
        <v>1960</v>
      </c>
      <c r="C445" s="2670" t="s">
        <v>1961</v>
      </c>
      <c r="D445" s="2670"/>
      <c r="E445" s="2670"/>
      <c r="F445" s="2670"/>
      <c r="G445" s="2670"/>
      <c r="H445" s="2670"/>
      <c r="I445" s="2670"/>
      <c r="J445" s="2670"/>
      <c r="K445" s="2670"/>
      <c r="L445" s="2670"/>
      <c r="M445" s="2671"/>
      <c r="X445" s="656"/>
      <c r="Y445" s="657"/>
      <c r="Z445" s="657"/>
      <c r="AA445" s="481"/>
      <c r="AB445" s="491" t="s">
        <v>1961</v>
      </c>
      <c r="AC445" s="456"/>
      <c r="AD445" s="481"/>
      <c r="AF445" s="481"/>
      <c r="AG445" s="522"/>
      <c r="AH445" s="699"/>
      <c r="AI445" s="456"/>
      <c r="AJ445" s="699"/>
    </row>
    <row r="446" spans="1:36" s="454" customFormat="1" ht="15" x14ac:dyDescent="0.25">
      <c r="A446" s="542"/>
      <c r="B446" s="673" t="s">
        <v>1962</v>
      </c>
      <c r="C446" s="2670" t="s">
        <v>1963</v>
      </c>
      <c r="D446" s="2670"/>
      <c r="E446" s="2670"/>
      <c r="F446" s="2670"/>
      <c r="G446" s="2670"/>
      <c r="H446" s="2670"/>
      <c r="I446" s="2670"/>
      <c r="J446" s="2670"/>
      <c r="K446" s="2670"/>
      <c r="L446" s="2670"/>
      <c r="M446" s="2671"/>
      <c r="X446" s="656"/>
      <c r="Y446" s="657"/>
      <c r="Z446" s="657"/>
      <c r="AA446" s="481"/>
      <c r="AB446" s="491" t="s">
        <v>1963</v>
      </c>
      <c r="AC446" s="456"/>
      <c r="AD446" s="481"/>
      <c r="AF446" s="481"/>
      <c r="AG446" s="522"/>
      <c r="AH446" s="699"/>
      <c r="AI446" s="456"/>
      <c r="AJ446" s="699"/>
    </row>
    <row r="447" spans="1:36" s="454" customFormat="1" ht="15" x14ac:dyDescent="0.25">
      <c r="A447" s="542"/>
      <c r="B447" s="673" t="s">
        <v>1964</v>
      </c>
      <c r="C447" s="2670" t="s">
        <v>1965</v>
      </c>
      <c r="D447" s="2670"/>
      <c r="E447" s="2670"/>
      <c r="F447" s="2670"/>
      <c r="G447" s="2670"/>
      <c r="H447" s="2670"/>
      <c r="I447" s="2670"/>
      <c r="J447" s="2670"/>
      <c r="K447" s="2670"/>
      <c r="L447" s="2670"/>
      <c r="M447" s="2671"/>
      <c r="X447" s="656"/>
      <c r="Y447" s="657"/>
      <c r="Z447" s="657"/>
      <c r="AA447" s="481"/>
      <c r="AB447" s="491" t="s">
        <v>1965</v>
      </c>
      <c r="AC447" s="456"/>
      <c r="AD447" s="481"/>
      <c r="AF447" s="481"/>
      <c r="AG447" s="522"/>
      <c r="AH447" s="699"/>
      <c r="AI447" s="456"/>
      <c r="AJ447" s="699"/>
    </row>
    <row r="448" spans="1:36" s="454" customFormat="1" ht="33.75" x14ac:dyDescent="0.25">
      <c r="A448" s="542"/>
      <c r="B448" s="673" t="s">
        <v>1655</v>
      </c>
      <c r="C448" s="2670" t="s">
        <v>1656</v>
      </c>
      <c r="D448" s="2670"/>
      <c r="E448" s="2670"/>
      <c r="F448" s="2670"/>
      <c r="G448" s="2670"/>
      <c r="H448" s="2670"/>
      <c r="I448" s="2670"/>
      <c r="J448" s="2670"/>
      <c r="K448" s="2670"/>
      <c r="L448" s="2670"/>
      <c r="M448" s="2671"/>
      <c r="X448" s="656"/>
      <c r="Y448" s="657"/>
      <c r="Z448" s="657"/>
      <c r="AA448" s="481"/>
      <c r="AB448" s="491" t="s">
        <v>1656</v>
      </c>
      <c r="AC448" s="456"/>
      <c r="AD448" s="481"/>
      <c r="AF448" s="481"/>
      <c r="AG448" s="522"/>
      <c r="AH448" s="699"/>
      <c r="AI448" s="456"/>
      <c r="AJ448" s="699"/>
    </row>
    <row r="449" spans="1:36" s="454" customFormat="1" ht="23.25" x14ac:dyDescent="0.25">
      <c r="A449" s="507"/>
      <c r="B449" s="674" t="s">
        <v>1883</v>
      </c>
      <c r="C449" s="2672" t="s">
        <v>1884</v>
      </c>
      <c r="D449" s="2672"/>
      <c r="E449" s="2672"/>
      <c r="F449" s="675" t="s">
        <v>2227</v>
      </c>
      <c r="G449" s="676" t="s">
        <v>1886</v>
      </c>
      <c r="H449" s="676"/>
      <c r="I449" s="676">
        <v>-12004.99</v>
      </c>
      <c r="J449" s="676">
        <v>-12004.99</v>
      </c>
      <c r="K449" s="676"/>
      <c r="L449" s="677"/>
      <c r="M449" s="678"/>
      <c r="X449" s="656"/>
      <c r="Y449" s="657"/>
      <c r="Z449" s="657"/>
      <c r="AA449" s="481"/>
      <c r="AC449" s="456" t="s">
        <v>1884</v>
      </c>
      <c r="AD449" s="481"/>
      <c r="AF449" s="481"/>
      <c r="AG449" s="522"/>
      <c r="AH449" s="699"/>
      <c r="AI449" s="456"/>
      <c r="AJ449" s="699"/>
    </row>
    <row r="450" spans="1:36" s="454" customFormat="1" ht="23.25" x14ac:dyDescent="0.25">
      <c r="A450" s="507"/>
      <c r="B450" s="674" t="s">
        <v>639</v>
      </c>
      <c r="C450" s="2672" t="s">
        <v>1661</v>
      </c>
      <c r="D450" s="2672"/>
      <c r="E450" s="2672"/>
      <c r="F450" s="675" t="s">
        <v>2228</v>
      </c>
      <c r="G450" s="676">
        <v>0</v>
      </c>
      <c r="H450" s="676">
        <v>0</v>
      </c>
      <c r="I450" s="676">
        <v>0</v>
      </c>
      <c r="J450" s="676"/>
      <c r="K450" s="676">
        <v>0</v>
      </c>
      <c r="L450" s="677"/>
      <c r="M450" s="678"/>
      <c r="X450" s="656"/>
      <c r="Y450" s="657"/>
      <c r="Z450" s="657"/>
      <c r="AA450" s="481"/>
      <c r="AC450" s="456" t="s">
        <v>1661</v>
      </c>
      <c r="AD450" s="481"/>
      <c r="AF450" s="481"/>
      <c r="AG450" s="522"/>
      <c r="AH450" s="699"/>
      <c r="AI450" s="456"/>
      <c r="AJ450" s="699"/>
    </row>
    <row r="451" spans="1:36" s="454" customFormat="1" ht="23.25" x14ac:dyDescent="0.25">
      <c r="A451" s="507"/>
      <c r="B451" s="674" t="s">
        <v>1968</v>
      </c>
      <c r="C451" s="2672" t="s">
        <v>1969</v>
      </c>
      <c r="D451" s="2672"/>
      <c r="E451" s="2672"/>
      <c r="F451" s="675" t="s">
        <v>2229</v>
      </c>
      <c r="G451" s="676">
        <v>79.069999999999993</v>
      </c>
      <c r="H451" s="676" t="s">
        <v>1971</v>
      </c>
      <c r="I451" s="676">
        <v>-94.09</v>
      </c>
      <c r="J451" s="676"/>
      <c r="K451" s="676" t="s">
        <v>2230</v>
      </c>
      <c r="L451" s="677"/>
      <c r="M451" s="678"/>
      <c r="X451" s="656"/>
      <c r="Y451" s="657"/>
      <c r="Z451" s="657"/>
      <c r="AA451" s="481"/>
      <c r="AC451" s="456" t="s">
        <v>1969</v>
      </c>
      <c r="AD451" s="481"/>
      <c r="AF451" s="481"/>
      <c r="AG451" s="522"/>
      <c r="AH451" s="699"/>
      <c r="AI451" s="456"/>
      <c r="AJ451" s="699"/>
    </row>
    <row r="452" spans="1:36" s="454" customFormat="1" ht="45.75" x14ac:dyDescent="0.25">
      <c r="A452" s="507"/>
      <c r="B452" s="674" t="s">
        <v>1973</v>
      </c>
      <c r="C452" s="2672" t="s">
        <v>1974</v>
      </c>
      <c r="D452" s="2672"/>
      <c r="E452" s="2672"/>
      <c r="F452" s="675" t="s">
        <v>2231</v>
      </c>
      <c r="G452" s="676">
        <v>70.010000000000005</v>
      </c>
      <c r="H452" s="676" t="s">
        <v>1976</v>
      </c>
      <c r="I452" s="676">
        <v>-112.02</v>
      </c>
      <c r="J452" s="676"/>
      <c r="K452" s="676" t="s">
        <v>2232</v>
      </c>
      <c r="L452" s="677"/>
      <c r="M452" s="678"/>
      <c r="X452" s="656"/>
      <c r="Y452" s="657"/>
      <c r="Z452" s="657"/>
      <c r="AA452" s="481"/>
      <c r="AC452" s="456" t="s">
        <v>1974</v>
      </c>
      <c r="AD452" s="481"/>
      <c r="AF452" s="481"/>
      <c r="AG452" s="522"/>
      <c r="AH452" s="699"/>
      <c r="AI452" s="456"/>
      <c r="AJ452" s="699"/>
    </row>
    <row r="453" spans="1:36" s="454" customFormat="1" ht="57" x14ac:dyDescent="0.25">
      <c r="A453" s="507"/>
      <c r="B453" s="674" t="s">
        <v>1978</v>
      </c>
      <c r="C453" s="2672" t="s">
        <v>1979</v>
      </c>
      <c r="D453" s="2672"/>
      <c r="E453" s="2672"/>
      <c r="F453" s="675" t="s">
        <v>2233</v>
      </c>
      <c r="G453" s="676">
        <v>340</v>
      </c>
      <c r="H453" s="676" t="s">
        <v>1981</v>
      </c>
      <c r="I453" s="676">
        <v>-95342.8</v>
      </c>
      <c r="J453" s="676"/>
      <c r="K453" s="676" t="s">
        <v>2234</v>
      </c>
      <c r="L453" s="677"/>
      <c r="M453" s="678"/>
      <c r="X453" s="656"/>
      <c r="Y453" s="657"/>
      <c r="Z453" s="657"/>
      <c r="AA453" s="481"/>
      <c r="AC453" s="456" t="s">
        <v>1979</v>
      </c>
      <c r="AD453" s="481"/>
      <c r="AF453" s="481"/>
      <c r="AG453" s="522"/>
      <c r="AH453" s="699"/>
      <c r="AI453" s="456"/>
      <c r="AJ453" s="699"/>
    </row>
    <row r="454" spans="1:36" s="454" customFormat="1" ht="34.5" x14ac:dyDescent="0.25">
      <c r="A454" s="507"/>
      <c r="B454" s="674" t="s">
        <v>1663</v>
      </c>
      <c r="C454" s="2672" t="s">
        <v>1664</v>
      </c>
      <c r="D454" s="2672"/>
      <c r="E454" s="2672"/>
      <c r="F454" s="675" t="s">
        <v>2235</v>
      </c>
      <c r="G454" s="676">
        <v>111.99</v>
      </c>
      <c r="H454" s="676" t="s">
        <v>1666</v>
      </c>
      <c r="I454" s="676">
        <v>-197.1</v>
      </c>
      <c r="J454" s="676"/>
      <c r="K454" s="676" t="s">
        <v>2236</v>
      </c>
      <c r="L454" s="677"/>
      <c r="M454" s="678"/>
      <c r="X454" s="656"/>
      <c r="Y454" s="657"/>
      <c r="Z454" s="657"/>
      <c r="AA454" s="481"/>
      <c r="AC454" s="456" t="s">
        <v>1664</v>
      </c>
      <c r="AD454" s="481"/>
      <c r="AF454" s="481"/>
      <c r="AG454" s="522"/>
      <c r="AH454" s="699"/>
      <c r="AI454" s="456"/>
      <c r="AJ454" s="699"/>
    </row>
    <row r="455" spans="1:36" s="454" customFormat="1" ht="23.25" x14ac:dyDescent="0.25">
      <c r="A455" s="507"/>
      <c r="B455" s="674" t="s">
        <v>1985</v>
      </c>
      <c r="C455" s="2672" t="s">
        <v>1986</v>
      </c>
      <c r="D455" s="2672"/>
      <c r="E455" s="2672"/>
      <c r="F455" s="675" t="s">
        <v>2237</v>
      </c>
      <c r="G455" s="676">
        <v>26.5</v>
      </c>
      <c r="H455" s="676" t="s">
        <v>1988</v>
      </c>
      <c r="I455" s="676">
        <v>-567.1</v>
      </c>
      <c r="J455" s="676"/>
      <c r="K455" s="676" t="s">
        <v>2238</v>
      </c>
      <c r="L455" s="677"/>
      <c r="M455" s="678"/>
      <c r="X455" s="656"/>
      <c r="Y455" s="657"/>
      <c r="Z455" s="657"/>
      <c r="AA455" s="481"/>
      <c r="AC455" s="456" t="s">
        <v>1986</v>
      </c>
      <c r="AD455" s="481"/>
      <c r="AF455" s="481"/>
      <c r="AG455" s="522"/>
      <c r="AH455" s="699"/>
      <c r="AI455" s="456"/>
      <c r="AJ455" s="699"/>
    </row>
    <row r="456" spans="1:36" s="454" customFormat="1" ht="34.5" x14ac:dyDescent="0.25">
      <c r="A456" s="507"/>
      <c r="B456" s="674" t="s">
        <v>821</v>
      </c>
      <c r="C456" s="2672" t="s">
        <v>1751</v>
      </c>
      <c r="D456" s="2672"/>
      <c r="E456" s="2672"/>
      <c r="F456" s="675" t="s">
        <v>2239</v>
      </c>
      <c r="G456" s="676">
        <v>65.709999999999994</v>
      </c>
      <c r="H456" s="676" t="s">
        <v>1753</v>
      </c>
      <c r="I456" s="676">
        <v>-172.82</v>
      </c>
      <c r="J456" s="676"/>
      <c r="K456" s="676" t="s">
        <v>2240</v>
      </c>
      <c r="L456" s="677"/>
      <c r="M456" s="678"/>
      <c r="X456" s="656"/>
      <c r="Y456" s="657"/>
      <c r="Z456" s="657"/>
      <c r="AA456" s="481"/>
      <c r="AC456" s="456" t="s">
        <v>1751</v>
      </c>
      <c r="AD456" s="481"/>
      <c r="AF456" s="481"/>
      <c r="AG456" s="522"/>
      <c r="AH456" s="699"/>
      <c r="AI456" s="456"/>
      <c r="AJ456" s="699"/>
    </row>
    <row r="457" spans="1:36" s="454" customFormat="1" ht="23.25" x14ac:dyDescent="0.25">
      <c r="A457" s="515" t="s">
        <v>863</v>
      </c>
      <c r="B457" s="686" t="s">
        <v>1992</v>
      </c>
      <c r="C457" s="2683" t="s">
        <v>1993</v>
      </c>
      <c r="D457" s="2683"/>
      <c r="E457" s="2683"/>
      <c r="F457" s="687" t="s">
        <v>2241</v>
      </c>
      <c r="G457" s="688">
        <v>0</v>
      </c>
      <c r="H457" s="688"/>
      <c r="I457" s="688">
        <v>0</v>
      </c>
      <c r="J457" s="688"/>
      <c r="K457" s="688"/>
      <c r="L457" s="689"/>
      <c r="M457" s="690"/>
      <c r="X457" s="656"/>
      <c r="Y457" s="657"/>
      <c r="Z457" s="657"/>
      <c r="AA457" s="481"/>
      <c r="AC457" s="456"/>
      <c r="AD457" s="481"/>
      <c r="AF457" s="481"/>
      <c r="AG457" s="522" t="s">
        <v>1993</v>
      </c>
      <c r="AH457" s="699"/>
      <c r="AI457" s="456"/>
      <c r="AJ457" s="699"/>
    </row>
    <row r="458" spans="1:36" s="454" customFormat="1" ht="57" x14ac:dyDescent="0.25">
      <c r="A458" s="507"/>
      <c r="B458" s="674" t="s">
        <v>1995</v>
      </c>
      <c r="C458" s="2672" t="s">
        <v>1996</v>
      </c>
      <c r="D458" s="2672"/>
      <c r="E458" s="2672"/>
      <c r="F458" s="675" t="s">
        <v>2242</v>
      </c>
      <c r="G458" s="676">
        <v>183.68</v>
      </c>
      <c r="H458" s="676"/>
      <c r="I458" s="676">
        <v>-481.98</v>
      </c>
      <c r="J458" s="676"/>
      <c r="K458" s="676"/>
      <c r="L458" s="677"/>
      <c r="M458" s="678"/>
      <c r="X458" s="656"/>
      <c r="Y458" s="657"/>
      <c r="Z458" s="657"/>
      <c r="AA458" s="481"/>
      <c r="AC458" s="456" t="s">
        <v>1996</v>
      </c>
      <c r="AD458" s="481"/>
      <c r="AF458" s="481"/>
      <c r="AG458" s="522"/>
      <c r="AH458" s="699"/>
      <c r="AI458" s="456"/>
      <c r="AJ458" s="699"/>
    </row>
    <row r="459" spans="1:36" s="454" customFormat="1" ht="23.25" x14ac:dyDescent="0.25">
      <c r="A459" s="515" t="s">
        <v>863</v>
      </c>
      <c r="B459" s="686" t="s">
        <v>1998</v>
      </c>
      <c r="C459" s="2683" t="s">
        <v>1999</v>
      </c>
      <c r="D459" s="2683"/>
      <c r="E459" s="2683"/>
      <c r="F459" s="687" t="s">
        <v>2243</v>
      </c>
      <c r="G459" s="688">
        <v>0</v>
      </c>
      <c r="H459" s="688"/>
      <c r="I459" s="688">
        <v>0</v>
      </c>
      <c r="J459" s="688"/>
      <c r="K459" s="688"/>
      <c r="L459" s="689"/>
      <c r="M459" s="690"/>
      <c r="X459" s="656"/>
      <c r="Y459" s="657"/>
      <c r="Z459" s="657"/>
      <c r="AA459" s="481"/>
      <c r="AC459" s="456"/>
      <c r="AD459" s="481"/>
      <c r="AF459" s="481"/>
      <c r="AG459" s="522" t="s">
        <v>1999</v>
      </c>
      <c r="AH459" s="699"/>
      <c r="AI459" s="456"/>
      <c r="AJ459" s="699"/>
    </row>
    <row r="460" spans="1:36" s="454" customFormat="1" ht="22.5" x14ac:dyDescent="0.25">
      <c r="A460" s="515" t="s">
        <v>860</v>
      </c>
      <c r="B460" s="686" t="s">
        <v>2001</v>
      </c>
      <c r="C460" s="2683" t="s">
        <v>2002</v>
      </c>
      <c r="D460" s="2683"/>
      <c r="E460" s="2683"/>
      <c r="F460" s="687" t="s">
        <v>1935</v>
      </c>
      <c r="G460" s="688">
        <v>0</v>
      </c>
      <c r="H460" s="688"/>
      <c r="I460" s="688">
        <v>0</v>
      </c>
      <c r="J460" s="688"/>
      <c r="K460" s="688"/>
      <c r="L460" s="689"/>
      <c r="M460" s="690"/>
      <c r="X460" s="656"/>
      <c r="Y460" s="657"/>
      <c r="Z460" s="657"/>
      <c r="AA460" s="481"/>
      <c r="AC460" s="456"/>
      <c r="AD460" s="481"/>
      <c r="AF460" s="481"/>
      <c r="AG460" s="522" t="s">
        <v>2002</v>
      </c>
      <c r="AH460" s="699"/>
      <c r="AI460" s="456"/>
      <c r="AJ460" s="699"/>
    </row>
    <row r="461" spans="1:36" s="454" customFormat="1" ht="45" x14ac:dyDescent="0.25">
      <c r="A461" s="658" t="s">
        <v>1342</v>
      </c>
      <c r="B461" s="659" t="s">
        <v>2026</v>
      </c>
      <c r="C461" s="2673" t="s">
        <v>1254</v>
      </c>
      <c r="D461" s="2673"/>
      <c r="E461" s="2673"/>
      <c r="F461" s="680">
        <v>-8.1</v>
      </c>
      <c r="G461" s="661">
        <v>480</v>
      </c>
      <c r="H461" s="661"/>
      <c r="I461" s="661">
        <v>-3888</v>
      </c>
      <c r="J461" s="661"/>
      <c r="K461" s="662"/>
      <c r="L461" s="663">
        <v>0</v>
      </c>
      <c r="M461" s="663">
        <v>0</v>
      </c>
      <c r="X461" s="656"/>
      <c r="Y461" s="657"/>
      <c r="Z461" s="657"/>
      <c r="AA461" s="481" t="s">
        <v>1254</v>
      </c>
      <c r="AC461" s="456"/>
      <c r="AD461" s="481"/>
      <c r="AF461" s="481"/>
      <c r="AG461" s="522"/>
      <c r="AH461" s="699"/>
      <c r="AI461" s="456"/>
      <c r="AJ461" s="699"/>
    </row>
    <row r="462" spans="1:36" s="454" customFormat="1" ht="15" x14ac:dyDescent="0.25">
      <c r="A462" s="664"/>
      <c r="B462" s="665"/>
      <c r="C462" s="666" t="s">
        <v>2244</v>
      </c>
      <c r="D462" s="667"/>
      <c r="E462" s="667"/>
      <c r="F462" s="667"/>
      <c r="G462" s="667"/>
      <c r="H462" s="667"/>
      <c r="I462" s="667"/>
      <c r="J462" s="667"/>
      <c r="K462" s="667"/>
      <c r="L462" s="667"/>
      <c r="M462" s="668"/>
      <c r="X462" s="656"/>
      <c r="Y462" s="657"/>
      <c r="Z462" s="657"/>
      <c r="AA462" s="481"/>
      <c r="AC462" s="456"/>
      <c r="AD462" s="481"/>
      <c r="AF462" s="481"/>
      <c r="AG462" s="522"/>
      <c r="AH462" s="699"/>
      <c r="AI462" s="456"/>
      <c r="AJ462" s="699"/>
    </row>
    <row r="463" spans="1:36" s="454" customFormat="1" ht="45" x14ac:dyDescent="0.25">
      <c r="A463" s="658" t="s">
        <v>1345</v>
      </c>
      <c r="B463" s="659" t="s">
        <v>2028</v>
      </c>
      <c r="C463" s="2673" t="s">
        <v>1257</v>
      </c>
      <c r="D463" s="2673"/>
      <c r="E463" s="2673"/>
      <c r="F463" s="680">
        <v>-5.7</v>
      </c>
      <c r="G463" s="661">
        <v>2.44</v>
      </c>
      <c r="H463" s="661"/>
      <c r="I463" s="661">
        <v>-14</v>
      </c>
      <c r="J463" s="661"/>
      <c r="K463" s="662"/>
      <c r="L463" s="663">
        <v>0</v>
      </c>
      <c r="M463" s="663">
        <v>0</v>
      </c>
      <c r="X463" s="656"/>
      <c r="Y463" s="657"/>
      <c r="Z463" s="657"/>
      <c r="AA463" s="481" t="s">
        <v>1257</v>
      </c>
      <c r="AC463" s="456"/>
      <c r="AD463" s="481"/>
      <c r="AF463" s="481"/>
      <c r="AG463" s="522"/>
      <c r="AH463" s="699"/>
      <c r="AI463" s="456"/>
      <c r="AJ463" s="699"/>
    </row>
    <row r="464" spans="1:36" s="454" customFormat="1" ht="15" x14ac:dyDescent="0.25">
      <c r="A464" s="664"/>
      <c r="B464" s="665"/>
      <c r="C464" s="666" t="s">
        <v>2245</v>
      </c>
      <c r="D464" s="667"/>
      <c r="E464" s="667"/>
      <c r="F464" s="667"/>
      <c r="G464" s="667"/>
      <c r="H464" s="667"/>
      <c r="I464" s="667"/>
      <c r="J464" s="667"/>
      <c r="K464" s="667"/>
      <c r="L464" s="667"/>
      <c r="M464" s="668"/>
      <c r="X464" s="656"/>
      <c r="Y464" s="657"/>
      <c r="Z464" s="657"/>
      <c r="AA464" s="481"/>
      <c r="AC464" s="456"/>
      <c r="AD464" s="481"/>
      <c r="AF464" s="481"/>
      <c r="AG464" s="522"/>
      <c r="AH464" s="699"/>
      <c r="AI464" s="456"/>
      <c r="AJ464" s="699"/>
    </row>
    <row r="465" spans="1:36" s="454" customFormat="1" ht="45.75" x14ac:dyDescent="0.25">
      <c r="A465" s="658" t="s">
        <v>1347</v>
      </c>
      <c r="B465" s="659" t="s">
        <v>2030</v>
      </c>
      <c r="C465" s="2673" t="s">
        <v>2031</v>
      </c>
      <c r="D465" s="2673"/>
      <c r="E465" s="2673"/>
      <c r="F465" s="680">
        <v>-2.7</v>
      </c>
      <c r="G465" s="661" t="s">
        <v>2032</v>
      </c>
      <c r="H465" s="661" t="s">
        <v>2033</v>
      </c>
      <c r="I465" s="661">
        <v>-30223</v>
      </c>
      <c r="J465" s="661">
        <v>-4053</v>
      </c>
      <c r="K465" s="662" t="s">
        <v>2246</v>
      </c>
      <c r="L465" s="671">
        <v>156.04499999999999</v>
      </c>
      <c r="M465" s="672">
        <v>-421.32</v>
      </c>
      <c r="X465" s="656"/>
      <c r="Y465" s="657"/>
      <c r="Z465" s="657"/>
      <c r="AA465" s="481" t="s">
        <v>2031</v>
      </c>
      <c r="AC465" s="456"/>
      <c r="AD465" s="481"/>
      <c r="AF465" s="481"/>
      <c r="AG465" s="522"/>
      <c r="AH465" s="699"/>
      <c r="AI465" s="456"/>
      <c r="AJ465" s="699"/>
    </row>
    <row r="466" spans="1:36" s="454" customFormat="1" ht="15" x14ac:dyDescent="0.25">
      <c r="A466" s="664"/>
      <c r="B466" s="665"/>
      <c r="C466" s="666" t="s">
        <v>2247</v>
      </c>
      <c r="D466" s="667"/>
      <c r="E466" s="667"/>
      <c r="F466" s="667"/>
      <c r="G466" s="667"/>
      <c r="H466" s="667"/>
      <c r="I466" s="667"/>
      <c r="J466" s="667"/>
      <c r="K466" s="667"/>
      <c r="L466" s="667"/>
      <c r="M466" s="668"/>
      <c r="X466" s="656"/>
      <c r="Y466" s="657"/>
      <c r="Z466" s="657"/>
      <c r="AA466" s="481"/>
      <c r="AC466" s="456"/>
      <c r="AD466" s="481"/>
      <c r="AF466" s="481"/>
      <c r="AG466" s="522"/>
      <c r="AH466" s="699"/>
      <c r="AI466" s="456"/>
      <c r="AJ466" s="699"/>
    </row>
    <row r="467" spans="1:36" s="454" customFormat="1" ht="15" x14ac:dyDescent="0.25">
      <c r="A467" s="542"/>
      <c r="B467" s="665"/>
      <c r="C467" s="666" t="s">
        <v>2036</v>
      </c>
      <c r="D467" s="667"/>
      <c r="E467" s="667"/>
      <c r="F467" s="667"/>
      <c r="G467" s="667"/>
      <c r="H467" s="667"/>
      <c r="I467" s="667"/>
      <c r="J467" s="667"/>
      <c r="K467" s="667"/>
      <c r="L467" s="667"/>
      <c r="M467" s="669"/>
      <c r="X467" s="656"/>
      <c r="Y467" s="657"/>
      <c r="Z467" s="657"/>
      <c r="AA467" s="481"/>
      <c r="AC467" s="456"/>
      <c r="AD467" s="481"/>
      <c r="AF467" s="481"/>
      <c r="AG467" s="522"/>
      <c r="AH467" s="699"/>
      <c r="AI467" s="456"/>
      <c r="AJ467" s="699"/>
    </row>
    <row r="468" spans="1:36" s="454" customFormat="1" ht="33.75" x14ac:dyDescent="0.25">
      <c r="A468" s="542"/>
      <c r="B468" s="673" t="s">
        <v>1655</v>
      </c>
      <c r="C468" s="2670" t="s">
        <v>1656</v>
      </c>
      <c r="D468" s="2670"/>
      <c r="E468" s="2670"/>
      <c r="F468" s="2670"/>
      <c r="G468" s="2670"/>
      <c r="H468" s="2670"/>
      <c r="I468" s="2670"/>
      <c r="J468" s="2670"/>
      <c r="K468" s="2670"/>
      <c r="L468" s="2670"/>
      <c r="M468" s="2671"/>
      <c r="X468" s="656"/>
      <c r="Y468" s="657"/>
      <c r="Z468" s="657"/>
      <c r="AA468" s="481"/>
      <c r="AB468" s="491" t="s">
        <v>1656</v>
      </c>
      <c r="AC468" s="456"/>
      <c r="AD468" s="481"/>
      <c r="AF468" s="481"/>
      <c r="AG468" s="522"/>
      <c r="AH468" s="699"/>
      <c r="AI468" s="456"/>
      <c r="AJ468" s="699"/>
    </row>
    <row r="469" spans="1:36" s="454" customFormat="1" ht="23.25" x14ac:dyDescent="0.25">
      <c r="A469" s="507"/>
      <c r="B469" s="674" t="s">
        <v>1883</v>
      </c>
      <c r="C469" s="2672" t="s">
        <v>1884</v>
      </c>
      <c r="D469" s="2672"/>
      <c r="E469" s="2672"/>
      <c r="F469" s="675" t="s">
        <v>2248</v>
      </c>
      <c r="G469" s="676" t="s">
        <v>1886</v>
      </c>
      <c r="H469" s="676"/>
      <c r="I469" s="676">
        <v>-4053.1</v>
      </c>
      <c r="J469" s="676">
        <v>-4053.1</v>
      </c>
      <c r="K469" s="676"/>
      <c r="L469" s="677"/>
      <c r="M469" s="678"/>
      <c r="X469" s="656"/>
      <c r="Y469" s="657"/>
      <c r="Z469" s="657"/>
      <c r="AA469" s="481"/>
      <c r="AC469" s="456" t="s">
        <v>1884</v>
      </c>
      <c r="AD469" s="481"/>
      <c r="AF469" s="481"/>
      <c r="AG469" s="522"/>
      <c r="AH469" s="699"/>
      <c r="AI469" s="456"/>
      <c r="AJ469" s="699"/>
    </row>
    <row r="470" spans="1:36" s="454" customFormat="1" ht="23.25" x14ac:dyDescent="0.25">
      <c r="A470" s="507"/>
      <c r="B470" s="674" t="s">
        <v>639</v>
      </c>
      <c r="C470" s="2672" t="s">
        <v>1661</v>
      </c>
      <c r="D470" s="2672"/>
      <c r="E470" s="2672"/>
      <c r="F470" s="675" t="s">
        <v>2249</v>
      </c>
      <c r="G470" s="676">
        <v>0</v>
      </c>
      <c r="H470" s="676">
        <v>0</v>
      </c>
      <c r="I470" s="676">
        <v>0</v>
      </c>
      <c r="J470" s="676"/>
      <c r="K470" s="676">
        <v>0</v>
      </c>
      <c r="L470" s="677"/>
      <c r="M470" s="678"/>
      <c r="X470" s="656"/>
      <c r="Y470" s="657"/>
      <c r="Z470" s="657"/>
      <c r="AA470" s="481"/>
      <c r="AC470" s="456" t="s">
        <v>1661</v>
      </c>
      <c r="AD470" s="481"/>
      <c r="AF470" s="481"/>
      <c r="AG470" s="522"/>
      <c r="AH470" s="699"/>
      <c r="AI470" s="456"/>
      <c r="AJ470" s="699"/>
    </row>
    <row r="471" spans="1:36" s="454" customFormat="1" ht="45.75" x14ac:dyDescent="0.25">
      <c r="A471" s="507"/>
      <c r="B471" s="674" t="s">
        <v>2039</v>
      </c>
      <c r="C471" s="2672" t="s">
        <v>2040</v>
      </c>
      <c r="D471" s="2672"/>
      <c r="E471" s="2672"/>
      <c r="F471" s="675" t="s">
        <v>2250</v>
      </c>
      <c r="G471" s="676">
        <v>179.46</v>
      </c>
      <c r="H471" s="676" t="s">
        <v>2042</v>
      </c>
      <c r="I471" s="676">
        <v>-3494.09</v>
      </c>
      <c r="J471" s="676"/>
      <c r="K471" s="676" t="s">
        <v>2251</v>
      </c>
      <c r="L471" s="677"/>
      <c r="M471" s="678"/>
      <c r="X471" s="656"/>
      <c r="Y471" s="657"/>
      <c r="Z471" s="657"/>
      <c r="AA471" s="481"/>
      <c r="AC471" s="456" t="s">
        <v>2040</v>
      </c>
      <c r="AD471" s="481"/>
      <c r="AF471" s="481"/>
      <c r="AG471" s="522"/>
      <c r="AH471" s="699"/>
      <c r="AI471" s="456"/>
      <c r="AJ471" s="699"/>
    </row>
    <row r="472" spans="1:36" s="454" customFormat="1" ht="34.5" x14ac:dyDescent="0.25">
      <c r="A472" s="507"/>
      <c r="B472" s="674" t="s">
        <v>1663</v>
      </c>
      <c r="C472" s="2672" t="s">
        <v>1664</v>
      </c>
      <c r="D472" s="2672"/>
      <c r="E472" s="2672"/>
      <c r="F472" s="675" t="s">
        <v>2252</v>
      </c>
      <c r="G472" s="676">
        <v>111.99</v>
      </c>
      <c r="H472" s="676" t="s">
        <v>1666</v>
      </c>
      <c r="I472" s="676">
        <v>-57.11</v>
      </c>
      <c r="J472" s="676"/>
      <c r="K472" s="676" t="s">
        <v>2253</v>
      </c>
      <c r="L472" s="677"/>
      <c r="M472" s="678"/>
      <c r="X472" s="656"/>
      <c r="Y472" s="657"/>
      <c r="Z472" s="657"/>
      <c r="AA472" s="481"/>
      <c r="AC472" s="456" t="s">
        <v>1664</v>
      </c>
      <c r="AD472" s="481"/>
      <c r="AF472" s="481"/>
      <c r="AG472" s="522"/>
      <c r="AH472" s="699"/>
      <c r="AI472" s="456"/>
      <c r="AJ472" s="699"/>
    </row>
    <row r="473" spans="1:36" s="454" customFormat="1" ht="34.5" x14ac:dyDescent="0.25">
      <c r="A473" s="507"/>
      <c r="B473" s="674" t="s">
        <v>2046</v>
      </c>
      <c r="C473" s="2672" t="s">
        <v>2047</v>
      </c>
      <c r="D473" s="2672"/>
      <c r="E473" s="2672"/>
      <c r="F473" s="675" t="s">
        <v>2254</v>
      </c>
      <c r="G473" s="676">
        <v>6.9</v>
      </c>
      <c r="H473" s="676" t="s">
        <v>2049</v>
      </c>
      <c r="I473" s="676">
        <v>-69.69</v>
      </c>
      <c r="J473" s="676"/>
      <c r="K473" s="676" t="s">
        <v>2255</v>
      </c>
      <c r="L473" s="677"/>
      <c r="M473" s="678"/>
      <c r="X473" s="656"/>
      <c r="Y473" s="657"/>
      <c r="Z473" s="657"/>
      <c r="AA473" s="481"/>
      <c r="AC473" s="456" t="s">
        <v>2047</v>
      </c>
      <c r="AD473" s="481"/>
      <c r="AF473" s="481"/>
      <c r="AG473" s="522"/>
      <c r="AH473" s="699"/>
      <c r="AI473" s="456"/>
      <c r="AJ473" s="699"/>
    </row>
    <row r="474" spans="1:36" s="454" customFormat="1" ht="34.5" x14ac:dyDescent="0.25">
      <c r="A474" s="507"/>
      <c r="B474" s="674" t="s">
        <v>2051</v>
      </c>
      <c r="C474" s="2672" t="s">
        <v>2052</v>
      </c>
      <c r="D474" s="2672"/>
      <c r="E474" s="2672"/>
      <c r="F474" s="675" t="s">
        <v>2256</v>
      </c>
      <c r="G474" s="676">
        <v>80.349999999999994</v>
      </c>
      <c r="H474" s="676" t="s">
        <v>2054</v>
      </c>
      <c r="I474" s="676">
        <v>-8044.64</v>
      </c>
      <c r="J474" s="676"/>
      <c r="K474" s="676" t="s">
        <v>2257</v>
      </c>
      <c r="L474" s="677"/>
      <c r="M474" s="678"/>
      <c r="X474" s="656"/>
      <c r="Y474" s="657"/>
      <c r="Z474" s="657"/>
      <c r="AA474" s="481"/>
      <c r="AC474" s="456" t="s">
        <v>2052</v>
      </c>
      <c r="AD474" s="481"/>
      <c r="AF474" s="481"/>
      <c r="AG474" s="522"/>
      <c r="AH474" s="699"/>
      <c r="AI474" s="456"/>
      <c r="AJ474" s="699"/>
    </row>
    <row r="475" spans="1:36" s="454" customFormat="1" ht="34.5" x14ac:dyDescent="0.25">
      <c r="A475" s="507"/>
      <c r="B475" s="674" t="s">
        <v>821</v>
      </c>
      <c r="C475" s="2672" t="s">
        <v>1751</v>
      </c>
      <c r="D475" s="2672"/>
      <c r="E475" s="2672"/>
      <c r="F475" s="675" t="s">
        <v>2258</v>
      </c>
      <c r="G475" s="676">
        <v>65.709999999999994</v>
      </c>
      <c r="H475" s="676" t="s">
        <v>1753</v>
      </c>
      <c r="I475" s="676">
        <v>-78.19</v>
      </c>
      <c r="J475" s="676"/>
      <c r="K475" s="676" t="s">
        <v>2259</v>
      </c>
      <c r="L475" s="677"/>
      <c r="M475" s="678"/>
      <c r="X475" s="656"/>
      <c r="Y475" s="657"/>
      <c r="Z475" s="657"/>
      <c r="AA475" s="481"/>
      <c r="AC475" s="456" t="s">
        <v>1751</v>
      </c>
      <c r="AD475" s="481"/>
      <c r="AF475" s="481"/>
      <c r="AG475" s="522"/>
      <c r="AH475" s="699"/>
      <c r="AI475" s="456"/>
      <c r="AJ475" s="699"/>
    </row>
    <row r="476" spans="1:36" s="454" customFormat="1" ht="23.25" x14ac:dyDescent="0.25">
      <c r="A476" s="515" t="s">
        <v>860</v>
      </c>
      <c r="B476" s="686" t="s">
        <v>1755</v>
      </c>
      <c r="C476" s="2683" t="s">
        <v>1257</v>
      </c>
      <c r="D476" s="2683"/>
      <c r="E476" s="2683"/>
      <c r="F476" s="687" t="s">
        <v>1935</v>
      </c>
      <c r="G476" s="688">
        <v>2.44</v>
      </c>
      <c r="H476" s="688"/>
      <c r="I476" s="688">
        <v>0</v>
      </c>
      <c r="J476" s="688"/>
      <c r="K476" s="688"/>
      <c r="L476" s="689"/>
      <c r="M476" s="690"/>
      <c r="X476" s="656"/>
      <c r="Y476" s="657"/>
      <c r="Z476" s="657"/>
      <c r="AA476" s="481"/>
      <c r="AC476" s="456"/>
      <c r="AD476" s="481"/>
      <c r="AF476" s="481"/>
      <c r="AG476" s="522" t="s">
        <v>1257</v>
      </c>
      <c r="AH476" s="699"/>
      <c r="AI476" s="456"/>
      <c r="AJ476" s="699"/>
    </row>
    <row r="477" spans="1:36" s="454" customFormat="1" ht="23.25" x14ac:dyDescent="0.25">
      <c r="A477" s="507"/>
      <c r="B477" s="674" t="s">
        <v>2058</v>
      </c>
      <c r="C477" s="2672" t="s">
        <v>2059</v>
      </c>
      <c r="D477" s="2672"/>
      <c r="E477" s="2672"/>
      <c r="F477" s="675" t="s">
        <v>2260</v>
      </c>
      <c r="G477" s="676">
        <v>30030</v>
      </c>
      <c r="H477" s="676"/>
      <c r="I477" s="676">
        <v>-6.01</v>
      </c>
      <c r="J477" s="676"/>
      <c r="K477" s="676"/>
      <c r="L477" s="677"/>
      <c r="M477" s="678"/>
      <c r="X477" s="656"/>
      <c r="Y477" s="657"/>
      <c r="Z477" s="657"/>
      <c r="AA477" s="481"/>
      <c r="AC477" s="456" t="s">
        <v>2059</v>
      </c>
      <c r="AD477" s="481"/>
      <c r="AF477" s="481"/>
      <c r="AG477" s="522"/>
      <c r="AH477" s="699"/>
      <c r="AI477" s="456"/>
      <c r="AJ477" s="699"/>
    </row>
    <row r="478" spans="1:36" s="454" customFormat="1" ht="23.25" x14ac:dyDescent="0.25">
      <c r="A478" s="507"/>
      <c r="B478" s="674" t="s">
        <v>1823</v>
      </c>
      <c r="C478" s="2672" t="s">
        <v>1824</v>
      </c>
      <c r="D478" s="2672"/>
      <c r="E478" s="2672"/>
      <c r="F478" s="675" t="s">
        <v>2261</v>
      </c>
      <c r="G478" s="676">
        <v>9040.01</v>
      </c>
      <c r="H478" s="676"/>
      <c r="I478" s="676">
        <v>-48.82</v>
      </c>
      <c r="J478" s="676"/>
      <c r="K478" s="676"/>
      <c r="L478" s="677"/>
      <c r="M478" s="678"/>
      <c r="X478" s="656"/>
      <c r="Y478" s="657"/>
      <c r="Z478" s="657"/>
      <c r="AA478" s="481"/>
      <c r="AC478" s="456" t="s">
        <v>1824</v>
      </c>
      <c r="AD478" s="481"/>
      <c r="AF478" s="481"/>
      <c r="AG478" s="522"/>
      <c r="AH478" s="699"/>
      <c r="AI478" s="456"/>
      <c r="AJ478" s="699"/>
    </row>
    <row r="479" spans="1:36" s="454" customFormat="1" ht="45.75" x14ac:dyDescent="0.25">
      <c r="A479" s="507"/>
      <c r="B479" s="674" t="s">
        <v>2062</v>
      </c>
      <c r="C479" s="2672" t="s">
        <v>2063</v>
      </c>
      <c r="D479" s="2672"/>
      <c r="E479" s="2672"/>
      <c r="F479" s="675" t="s">
        <v>2262</v>
      </c>
      <c r="G479" s="676">
        <v>67.099999999999994</v>
      </c>
      <c r="H479" s="676"/>
      <c r="I479" s="676">
        <v>-181.17</v>
      </c>
      <c r="J479" s="676"/>
      <c r="K479" s="676"/>
      <c r="L479" s="677"/>
      <c r="M479" s="678"/>
      <c r="X479" s="656"/>
      <c r="Y479" s="657"/>
      <c r="Z479" s="657"/>
      <c r="AA479" s="481"/>
      <c r="AC479" s="456" t="s">
        <v>2063</v>
      </c>
      <c r="AD479" s="481"/>
      <c r="AF479" s="481"/>
      <c r="AG479" s="522"/>
      <c r="AH479" s="699"/>
      <c r="AI479" s="456"/>
      <c r="AJ479" s="699"/>
    </row>
    <row r="480" spans="1:36" s="454" customFormat="1" ht="23.25" x14ac:dyDescent="0.25">
      <c r="A480" s="515" t="s">
        <v>860</v>
      </c>
      <c r="B480" s="686" t="s">
        <v>2065</v>
      </c>
      <c r="C480" s="2683" t="s">
        <v>2066</v>
      </c>
      <c r="D480" s="2683"/>
      <c r="E480" s="2683"/>
      <c r="F480" s="687" t="s">
        <v>1935</v>
      </c>
      <c r="G480" s="688">
        <v>0</v>
      </c>
      <c r="H480" s="688"/>
      <c r="I480" s="688">
        <v>0</v>
      </c>
      <c r="J480" s="688"/>
      <c r="K480" s="688"/>
      <c r="L480" s="689"/>
      <c r="M480" s="690"/>
      <c r="X480" s="656"/>
      <c r="Y480" s="657"/>
      <c r="Z480" s="657"/>
      <c r="AA480" s="481"/>
      <c r="AC480" s="456"/>
      <c r="AD480" s="481"/>
      <c r="AF480" s="481"/>
      <c r="AG480" s="522" t="s">
        <v>2066</v>
      </c>
      <c r="AH480" s="699"/>
      <c r="AI480" s="456"/>
      <c r="AJ480" s="699"/>
    </row>
    <row r="481" spans="1:36" s="454" customFormat="1" ht="34.5" x14ac:dyDescent="0.25">
      <c r="A481" s="515" t="s">
        <v>860</v>
      </c>
      <c r="B481" s="686" t="s">
        <v>2067</v>
      </c>
      <c r="C481" s="2683" t="s">
        <v>2068</v>
      </c>
      <c r="D481" s="2683"/>
      <c r="E481" s="2683"/>
      <c r="F481" s="687" t="s">
        <v>1935</v>
      </c>
      <c r="G481" s="688">
        <v>412</v>
      </c>
      <c r="H481" s="688"/>
      <c r="I481" s="688">
        <v>0</v>
      </c>
      <c r="J481" s="688"/>
      <c r="K481" s="688"/>
      <c r="L481" s="689"/>
      <c r="M481" s="690"/>
      <c r="X481" s="656"/>
      <c r="Y481" s="657"/>
      <c r="Z481" s="657"/>
      <c r="AA481" s="481"/>
      <c r="AC481" s="456"/>
      <c r="AD481" s="481"/>
      <c r="AF481" s="481"/>
      <c r="AG481" s="522" t="s">
        <v>2068</v>
      </c>
      <c r="AH481" s="699"/>
      <c r="AI481" s="456"/>
      <c r="AJ481" s="699"/>
    </row>
    <row r="482" spans="1:36" s="454" customFormat="1" ht="45.75" x14ac:dyDescent="0.25">
      <c r="A482" s="507" t="s">
        <v>2069</v>
      </c>
      <c r="B482" s="674" t="s">
        <v>2070</v>
      </c>
      <c r="C482" s="2672" t="s">
        <v>2071</v>
      </c>
      <c r="D482" s="2672"/>
      <c r="E482" s="2672"/>
      <c r="F482" s="675" t="s">
        <v>2263</v>
      </c>
      <c r="G482" s="676">
        <v>1553</v>
      </c>
      <c r="H482" s="676"/>
      <c r="I482" s="676">
        <v>-5451.03</v>
      </c>
      <c r="J482" s="676"/>
      <c r="K482" s="676"/>
      <c r="L482" s="677"/>
      <c r="M482" s="678"/>
      <c r="X482" s="656"/>
      <c r="Y482" s="657"/>
      <c r="Z482" s="657"/>
      <c r="AA482" s="481"/>
      <c r="AC482" s="456"/>
      <c r="AD482" s="481"/>
      <c r="AF482" s="481"/>
      <c r="AG482" s="522"/>
      <c r="AH482" s="699"/>
      <c r="AI482" s="456" t="s">
        <v>2071</v>
      </c>
      <c r="AJ482" s="699"/>
    </row>
    <row r="483" spans="1:36" s="454" customFormat="1" ht="45.75" x14ac:dyDescent="0.25">
      <c r="A483" s="693" t="s">
        <v>1936</v>
      </c>
      <c r="B483" s="694" t="s">
        <v>2070</v>
      </c>
      <c r="C483" s="2684" t="s">
        <v>2071</v>
      </c>
      <c r="D483" s="2684"/>
      <c r="E483" s="2684"/>
      <c r="F483" s="695" t="s">
        <v>2264</v>
      </c>
      <c r="G483" s="696">
        <v>1553</v>
      </c>
      <c r="H483" s="696"/>
      <c r="I483" s="696">
        <v>-54510.3</v>
      </c>
      <c r="J483" s="696"/>
      <c r="K483" s="696"/>
      <c r="L483" s="697"/>
      <c r="M483" s="698"/>
      <c r="X483" s="656"/>
      <c r="Y483" s="657"/>
      <c r="Z483" s="657"/>
      <c r="AA483" s="481"/>
      <c r="AC483" s="456"/>
      <c r="AD483" s="481"/>
      <c r="AF483" s="481"/>
      <c r="AG483" s="522"/>
      <c r="AH483" s="699"/>
      <c r="AI483" s="456"/>
      <c r="AJ483" s="699" t="s">
        <v>2071</v>
      </c>
    </row>
    <row r="484" spans="1:36" s="454" customFormat="1" ht="23.25" x14ac:dyDescent="0.25">
      <c r="A484" s="515" t="s">
        <v>863</v>
      </c>
      <c r="B484" s="686" t="s">
        <v>2074</v>
      </c>
      <c r="C484" s="2683" t="s">
        <v>2075</v>
      </c>
      <c r="D484" s="2683"/>
      <c r="E484" s="2683"/>
      <c r="F484" s="687" t="s">
        <v>2265</v>
      </c>
      <c r="G484" s="688">
        <v>0</v>
      </c>
      <c r="H484" s="688"/>
      <c r="I484" s="688">
        <v>0</v>
      </c>
      <c r="J484" s="688"/>
      <c r="K484" s="688"/>
      <c r="L484" s="689"/>
      <c r="M484" s="690"/>
      <c r="X484" s="656"/>
      <c r="Y484" s="657"/>
      <c r="Z484" s="657"/>
      <c r="AA484" s="481"/>
      <c r="AC484" s="456"/>
      <c r="AD484" s="481"/>
      <c r="AF484" s="481"/>
      <c r="AG484" s="522" t="s">
        <v>2075</v>
      </c>
      <c r="AH484" s="699"/>
      <c r="AI484" s="456"/>
      <c r="AJ484" s="699"/>
    </row>
    <row r="485" spans="1:36" s="454" customFormat="1" ht="23.25" x14ac:dyDescent="0.25">
      <c r="A485" s="507"/>
      <c r="B485" s="674" t="s">
        <v>2077</v>
      </c>
      <c r="C485" s="2672" t="s">
        <v>2078</v>
      </c>
      <c r="D485" s="2672"/>
      <c r="E485" s="2672"/>
      <c r="F485" s="675" t="s">
        <v>2266</v>
      </c>
      <c r="G485" s="676">
        <v>176.1</v>
      </c>
      <c r="H485" s="676"/>
      <c r="I485" s="676">
        <v>-380.38</v>
      </c>
      <c r="J485" s="676"/>
      <c r="K485" s="676"/>
      <c r="L485" s="677"/>
      <c r="M485" s="678"/>
      <c r="X485" s="656"/>
      <c r="Y485" s="657"/>
      <c r="Z485" s="657"/>
      <c r="AA485" s="481"/>
      <c r="AC485" s="456" t="s">
        <v>2078</v>
      </c>
      <c r="AD485" s="481"/>
      <c r="AF485" s="481"/>
      <c r="AG485" s="522"/>
      <c r="AH485" s="699"/>
      <c r="AI485" s="456"/>
      <c r="AJ485" s="699"/>
    </row>
    <row r="486" spans="1:36" s="454" customFormat="1" ht="23.25" x14ac:dyDescent="0.25">
      <c r="A486" s="507"/>
      <c r="B486" s="674" t="s">
        <v>2080</v>
      </c>
      <c r="C486" s="2672" t="s">
        <v>2081</v>
      </c>
      <c r="D486" s="2672"/>
      <c r="E486" s="2672"/>
      <c r="F486" s="675" t="s">
        <v>2267</v>
      </c>
      <c r="G486" s="676">
        <v>207.8</v>
      </c>
      <c r="H486" s="676"/>
      <c r="I486" s="676">
        <v>-437.63</v>
      </c>
      <c r="J486" s="676"/>
      <c r="K486" s="676"/>
      <c r="L486" s="677"/>
      <c r="M486" s="678"/>
      <c r="X486" s="656"/>
      <c r="Y486" s="657"/>
      <c r="Z486" s="657"/>
      <c r="AA486" s="481"/>
      <c r="AC486" s="456" t="s">
        <v>2081</v>
      </c>
      <c r="AD486" s="481"/>
      <c r="AF486" s="481"/>
      <c r="AG486" s="522"/>
      <c r="AH486" s="699"/>
      <c r="AI486" s="456"/>
      <c r="AJ486" s="699"/>
    </row>
    <row r="487" spans="1:36" s="454" customFormat="1" ht="23.25" x14ac:dyDescent="0.25">
      <c r="A487" s="507"/>
      <c r="B487" s="674" t="s">
        <v>2083</v>
      </c>
      <c r="C487" s="2672" t="s">
        <v>2084</v>
      </c>
      <c r="D487" s="2672"/>
      <c r="E487" s="2672"/>
      <c r="F487" s="675" t="s">
        <v>2268</v>
      </c>
      <c r="G487" s="676">
        <v>3468.64</v>
      </c>
      <c r="H487" s="676"/>
      <c r="I487" s="676">
        <v>-1873.07</v>
      </c>
      <c r="J487" s="676"/>
      <c r="K487" s="676"/>
      <c r="L487" s="677"/>
      <c r="M487" s="678"/>
      <c r="X487" s="656"/>
      <c r="Y487" s="657"/>
      <c r="Z487" s="657"/>
      <c r="AA487" s="481"/>
      <c r="AC487" s="456" t="s">
        <v>2084</v>
      </c>
      <c r="AD487" s="481"/>
      <c r="AF487" s="481"/>
      <c r="AG487" s="522"/>
      <c r="AH487" s="699"/>
      <c r="AI487" s="456"/>
      <c r="AJ487" s="699"/>
    </row>
    <row r="488" spans="1:36" s="454" customFormat="1" ht="23.25" x14ac:dyDescent="0.25">
      <c r="A488" s="515" t="s">
        <v>863</v>
      </c>
      <c r="B488" s="686" t="s">
        <v>2086</v>
      </c>
      <c r="C488" s="2683" t="s">
        <v>2087</v>
      </c>
      <c r="D488" s="2683"/>
      <c r="E488" s="2683"/>
      <c r="F488" s="687" t="s">
        <v>2269</v>
      </c>
      <c r="G488" s="688">
        <v>0</v>
      </c>
      <c r="H488" s="688"/>
      <c r="I488" s="688">
        <v>0</v>
      </c>
      <c r="J488" s="688"/>
      <c r="K488" s="688"/>
      <c r="L488" s="689"/>
      <c r="M488" s="690"/>
      <c r="X488" s="656"/>
      <c r="Y488" s="657"/>
      <c r="Z488" s="657"/>
      <c r="AA488" s="481"/>
      <c r="AC488" s="456"/>
      <c r="AD488" s="481"/>
      <c r="AF488" s="481"/>
      <c r="AG488" s="522" t="s">
        <v>2087</v>
      </c>
      <c r="AH488" s="699"/>
      <c r="AI488" s="456"/>
      <c r="AJ488" s="699"/>
    </row>
    <row r="489" spans="1:36" s="454" customFormat="1" ht="34.5" x14ac:dyDescent="0.25">
      <c r="A489" s="507"/>
      <c r="B489" s="674" t="s">
        <v>2089</v>
      </c>
      <c r="C489" s="2672" t="s">
        <v>2090</v>
      </c>
      <c r="D489" s="2672"/>
      <c r="E489" s="2672"/>
      <c r="F489" s="675" t="s">
        <v>2270</v>
      </c>
      <c r="G489" s="676">
        <v>11.99</v>
      </c>
      <c r="H489" s="676"/>
      <c r="I489" s="676">
        <v>-97.12</v>
      </c>
      <c r="J489" s="676"/>
      <c r="K489" s="676"/>
      <c r="L489" s="677"/>
      <c r="M489" s="678"/>
      <c r="X489" s="656"/>
      <c r="Y489" s="657"/>
      <c r="Z489" s="657"/>
      <c r="AA489" s="481"/>
      <c r="AC489" s="456" t="s">
        <v>2090</v>
      </c>
      <c r="AD489" s="481"/>
      <c r="AF489" s="481"/>
      <c r="AG489" s="522"/>
      <c r="AH489" s="699"/>
      <c r="AI489" s="456"/>
      <c r="AJ489" s="699"/>
    </row>
    <row r="490" spans="1:36" s="454" customFormat="1" ht="45.75" x14ac:dyDescent="0.25">
      <c r="A490" s="507"/>
      <c r="B490" s="674" t="s">
        <v>2092</v>
      </c>
      <c r="C490" s="2672" t="s">
        <v>2093</v>
      </c>
      <c r="D490" s="2672"/>
      <c r="E490" s="2672"/>
      <c r="F490" s="675" t="s">
        <v>2271</v>
      </c>
      <c r="G490" s="676">
        <v>272.62</v>
      </c>
      <c r="H490" s="676"/>
      <c r="I490" s="676">
        <v>-36.799999999999997</v>
      </c>
      <c r="J490" s="676"/>
      <c r="K490" s="676"/>
      <c r="L490" s="677"/>
      <c r="M490" s="678"/>
      <c r="X490" s="656"/>
      <c r="Y490" s="657"/>
      <c r="Z490" s="657"/>
      <c r="AA490" s="481"/>
      <c r="AC490" s="456" t="s">
        <v>2093</v>
      </c>
      <c r="AD490" s="481"/>
      <c r="AF490" s="481"/>
      <c r="AG490" s="522"/>
      <c r="AH490" s="699"/>
      <c r="AI490" s="456"/>
      <c r="AJ490" s="699"/>
    </row>
    <row r="491" spans="1:36" s="454" customFormat="1" ht="57" x14ac:dyDescent="0.25">
      <c r="A491" s="507"/>
      <c r="B491" s="674" t="s">
        <v>2095</v>
      </c>
      <c r="C491" s="2672" t="s">
        <v>2096</v>
      </c>
      <c r="D491" s="2672"/>
      <c r="E491" s="2672"/>
      <c r="F491" s="675" t="s">
        <v>2272</v>
      </c>
      <c r="G491" s="676">
        <v>156.83000000000001</v>
      </c>
      <c r="H491" s="676"/>
      <c r="I491" s="676">
        <v>-42.34</v>
      </c>
      <c r="J491" s="676"/>
      <c r="K491" s="676"/>
      <c r="L491" s="677"/>
      <c r="M491" s="678"/>
      <c r="X491" s="656"/>
      <c r="Y491" s="657"/>
      <c r="Z491" s="657"/>
      <c r="AA491" s="481"/>
      <c r="AC491" s="456" t="s">
        <v>2096</v>
      </c>
      <c r="AD491" s="481"/>
      <c r="AF491" s="481"/>
      <c r="AG491" s="522"/>
      <c r="AH491" s="699"/>
      <c r="AI491" s="456"/>
      <c r="AJ491" s="699"/>
    </row>
    <row r="492" spans="1:36" s="454" customFormat="1" ht="23.25" x14ac:dyDescent="0.25">
      <c r="A492" s="515" t="s">
        <v>863</v>
      </c>
      <c r="B492" s="686" t="s">
        <v>2098</v>
      </c>
      <c r="C492" s="2683" t="s">
        <v>2099</v>
      </c>
      <c r="D492" s="2683"/>
      <c r="E492" s="2683"/>
      <c r="F492" s="687" t="s">
        <v>2273</v>
      </c>
      <c r="G492" s="688">
        <v>0</v>
      </c>
      <c r="H492" s="688"/>
      <c r="I492" s="688">
        <v>0</v>
      </c>
      <c r="J492" s="688"/>
      <c r="K492" s="688"/>
      <c r="L492" s="689"/>
      <c r="M492" s="690"/>
      <c r="X492" s="656"/>
      <c r="Y492" s="657"/>
      <c r="Z492" s="657"/>
      <c r="AA492" s="481"/>
      <c r="AC492" s="456"/>
      <c r="AD492" s="481"/>
      <c r="AF492" s="481"/>
      <c r="AG492" s="522" t="s">
        <v>2099</v>
      </c>
      <c r="AH492" s="699"/>
      <c r="AI492" s="456"/>
      <c r="AJ492" s="699"/>
    </row>
    <row r="493" spans="1:36" s="454" customFormat="1" ht="45" x14ac:dyDescent="0.25">
      <c r="A493" s="658" t="s">
        <v>1349</v>
      </c>
      <c r="B493" s="659" t="s">
        <v>2026</v>
      </c>
      <c r="C493" s="2673" t="s">
        <v>1254</v>
      </c>
      <c r="D493" s="2673"/>
      <c r="E493" s="2673"/>
      <c r="F493" s="680">
        <v>-13.5</v>
      </c>
      <c r="G493" s="661">
        <v>480</v>
      </c>
      <c r="H493" s="661"/>
      <c r="I493" s="661">
        <v>-6480</v>
      </c>
      <c r="J493" s="661"/>
      <c r="K493" s="662"/>
      <c r="L493" s="663">
        <v>0</v>
      </c>
      <c r="M493" s="663">
        <v>0</v>
      </c>
      <c r="X493" s="656"/>
      <c r="Y493" s="657"/>
      <c r="Z493" s="657"/>
      <c r="AA493" s="481" t="s">
        <v>1254</v>
      </c>
      <c r="AC493" s="456"/>
      <c r="AD493" s="481"/>
      <c r="AF493" s="481"/>
      <c r="AG493" s="522"/>
      <c r="AH493" s="699"/>
      <c r="AI493" s="456"/>
      <c r="AJ493" s="699"/>
    </row>
    <row r="494" spans="1:36" s="454" customFormat="1" ht="15" x14ac:dyDescent="0.25">
      <c r="A494" s="664"/>
      <c r="B494" s="665"/>
      <c r="C494" s="666" t="s">
        <v>2274</v>
      </c>
      <c r="D494" s="667"/>
      <c r="E494" s="667"/>
      <c r="F494" s="667"/>
      <c r="G494" s="667"/>
      <c r="H494" s="667"/>
      <c r="I494" s="667"/>
      <c r="J494" s="667"/>
      <c r="K494" s="667"/>
      <c r="L494" s="667"/>
      <c r="M494" s="668"/>
      <c r="X494" s="656"/>
      <c r="Y494" s="657"/>
      <c r="Z494" s="657"/>
      <c r="AA494" s="481"/>
      <c r="AC494" s="456"/>
      <c r="AD494" s="481"/>
      <c r="AF494" s="481"/>
      <c r="AG494" s="522"/>
      <c r="AH494" s="699"/>
      <c r="AI494" s="456"/>
      <c r="AJ494" s="699"/>
    </row>
    <row r="495" spans="1:36" s="454" customFormat="1" ht="45" x14ac:dyDescent="0.25">
      <c r="A495" s="658" t="s">
        <v>1352</v>
      </c>
      <c r="B495" s="659" t="s">
        <v>2028</v>
      </c>
      <c r="C495" s="2673" t="s">
        <v>1257</v>
      </c>
      <c r="D495" s="2673"/>
      <c r="E495" s="2673"/>
      <c r="F495" s="680">
        <v>-5.4</v>
      </c>
      <c r="G495" s="661">
        <v>2.44</v>
      </c>
      <c r="H495" s="661"/>
      <c r="I495" s="661">
        <v>-13</v>
      </c>
      <c r="J495" s="661"/>
      <c r="K495" s="662"/>
      <c r="L495" s="663">
        <v>0</v>
      </c>
      <c r="M495" s="663">
        <v>0</v>
      </c>
      <c r="X495" s="656"/>
      <c r="Y495" s="657"/>
      <c r="Z495" s="657"/>
      <c r="AA495" s="481" t="s">
        <v>1257</v>
      </c>
      <c r="AC495" s="456"/>
      <c r="AD495" s="481"/>
      <c r="AF495" s="481"/>
      <c r="AG495" s="522"/>
      <c r="AH495" s="699"/>
      <c r="AI495" s="456"/>
      <c r="AJ495" s="699"/>
    </row>
    <row r="496" spans="1:36" s="454" customFormat="1" ht="15" x14ac:dyDescent="0.25">
      <c r="A496" s="664"/>
      <c r="B496" s="665"/>
      <c r="C496" s="666" t="s">
        <v>2275</v>
      </c>
      <c r="D496" s="667"/>
      <c r="E496" s="667"/>
      <c r="F496" s="667"/>
      <c r="G496" s="667"/>
      <c r="H496" s="667"/>
      <c r="I496" s="667"/>
      <c r="J496" s="667"/>
      <c r="K496" s="667"/>
      <c r="L496" s="667"/>
      <c r="M496" s="668"/>
      <c r="X496" s="656"/>
      <c r="Y496" s="657"/>
      <c r="Z496" s="657"/>
      <c r="AA496" s="481"/>
      <c r="AC496" s="456"/>
      <c r="AD496" s="481"/>
      <c r="AF496" s="481"/>
      <c r="AG496" s="522"/>
      <c r="AH496" s="699"/>
      <c r="AI496" s="456"/>
      <c r="AJ496" s="699"/>
    </row>
    <row r="497" spans="1:36" s="454" customFormat="1" ht="34.5" x14ac:dyDescent="0.25">
      <c r="A497" s="658" t="s">
        <v>1355</v>
      </c>
      <c r="B497" s="659" t="s">
        <v>1337</v>
      </c>
      <c r="C497" s="2673" t="s">
        <v>1268</v>
      </c>
      <c r="D497" s="2673"/>
      <c r="E497" s="2673"/>
      <c r="F497" s="670">
        <v>-10</v>
      </c>
      <c r="G497" s="661" t="s">
        <v>2103</v>
      </c>
      <c r="H497" s="661"/>
      <c r="I497" s="661">
        <v>-23929</v>
      </c>
      <c r="J497" s="661"/>
      <c r="K497" s="662"/>
      <c r="L497" s="663">
        <v>0</v>
      </c>
      <c r="M497" s="663">
        <v>0</v>
      </c>
      <c r="X497" s="656"/>
      <c r="Y497" s="657"/>
      <c r="Z497" s="657"/>
      <c r="AA497" s="481" t="s">
        <v>1268</v>
      </c>
      <c r="AC497" s="456"/>
      <c r="AD497" s="481"/>
      <c r="AF497" s="481"/>
      <c r="AG497" s="522"/>
      <c r="AH497" s="699"/>
      <c r="AI497" s="456"/>
      <c r="AJ497" s="699"/>
    </row>
    <row r="498" spans="1:36" s="454" customFormat="1" ht="15" x14ac:dyDescent="0.25">
      <c r="A498" s="664"/>
      <c r="B498" s="665"/>
      <c r="C498" s="666" t="s">
        <v>2276</v>
      </c>
      <c r="D498" s="667"/>
      <c r="E498" s="667"/>
      <c r="F498" s="667"/>
      <c r="G498" s="667"/>
      <c r="H498" s="667"/>
      <c r="I498" s="667"/>
      <c r="J498" s="667"/>
      <c r="K498" s="667"/>
      <c r="L498" s="667"/>
      <c r="M498" s="668"/>
      <c r="X498" s="656"/>
      <c r="Y498" s="657"/>
      <c r="Z498" s="657"/>
      <c r="AA498" s="481"/>
      <c r="AC498" s="456"/>
      <c r="AD498" s="481"/>
      <c r="AF498" s="481"/>
      <c r="AG498" s="522"/>
      <c r="AH498" s="699"/>
      <c r="AI498" s="456"/>
      <c r="AJ498" s="699"/>
    </row>
    <row r="499" spans="1:36" s="454" customFormat="1" ht="15" x14ac:dyDescent="0.25">
      <c r="A499" s="542"/>
      <c r="B499" s="665"/>
      <c r="C499" s="666" t="s">
        <v>2105</v>
      </c>
      <c r="D499" s="667"/>
      <c r="E499" s="667"/>
      <c r="F499" s="667"/>
      <c r="G499" s="667"/>
      <c r="H499" s="667"/>
      <c r="I499" s="667"/>
      <c r="J499" s="667"/>
      <c r="K499" s="667"/>
      <c r="L499" s="667"/>
      <c r="M499" s="669"/>
      <c r="X499" s="656"/>
      <c r="Y499" s="657"/>
      <c r="Z499" s="657"/>
      <c r="AA499" s="481"/>
      <c r="AC499" s="456"/>
      <c r="AD499" s="481"/>
      <c r="AF499" s="481"/>
      <c r="AG499" s="522"/>
      <c r="AH499" s="699"/>
      <c r="AI499" s="456"/>
      <c r="AJ499" s="699"/>
    </row>
    <row r="500" spans="1:36" s="454" customFormat="1" ht="34.5" x14ac:dyDescent="0.25">
      <c r="A500" s="658" t="s">
        <v>1358</v>
      </c>
      <c r="B500" s="659" t="s">
        <v>1340</v>
      </c>
      <c r="C500" s="2673" t="s">
        <v>1273</v>
      </c>
      <c r="D500" s="2673"/>
      <c r="E500" s="2673"/>
      <c r="F500" s="670">
        <v>-80</v>
      </c>
      <c r="G500" s="661" t="s">
        <v>2106</v>
      </c>
      <c r="H500" s="661"/>
      <c r="I500" s="661">
        <v>-137741</v>
      </c>
      <c r="J500" s="661"/>
      <c r="K500" s="662"/>
      <c r="L500" s="663">
        <v>0</v>
      </c>
      <c r="M500" s="663">
        <v>0</v>
      </c>
      <c r="X500" s="656"/>
      <c r="Y500" s="657"/>
      <c r="Z500" s="657"/>
      <c r="AA500" s="481" t="s">
        <v>1273</v>
      </c>
      <c r="AC500" s="456"/>
      <c r="AD500" s="481"/>
      <c r="AF500" s="481"/>
      <c r="AG500" s="522"/>
      <c r="AH500" s="699"/>
      <c r="AI500" s="456"/>
      <c r="AJ500" s="699"/>
    </row>
    <row r="501" spans="1:36" s="454" customFormat="1" ht="15" x14ac:dyDescent="0.25">
      <c r="A501" s="664"/>
      <c r="B501" s="665"/>
      <c r="C501" s="666" t="s">
        <v>2277</v>
      </c>
      <c r="D501" s="667"/>
      <c r="E501" s="667"/>
      <c r="F501" s="667"/>
      <c r="G501" s="667"/>
      <c r="H501" s="667"/>
      <c r="I501" s="667"/>
      <c r="J501" s="667"/>
      <c r="K501" s="667"/>
      <c r="L501" s="667"/>
      <c r="M501" s="668"/>
      <c r="X501" s="656"/>
      <c r="Y501" s="657"/>
      <c r="Z501" s="657"/>
      <c r="AA501" s="481"/>
      <c r="AC501" s="456"/>
      <c r="AD501" s="481"/>
      <c r="AF501" s="481"/>
      <c r="AG501" s="522"/>
      <c r="AH501" s="699"/>
      <c r="AI501" s="456"/>
      <c r="AJ501" s="699"/>
    </row>
    <row r="502" spans="1:36" s="454" customFormat="1" ht="15" x14ac:dyDescent="0.25">
      <c r="A502" s="542"/>
      <c r="B502" s="665"/>
      <c r="C502" s="666" t="s">
        <v>2108</v>
      </c>
      <c r="D502" s="667"/>
      <c r="E502" s="667"/>
      <c r="F502" s="667"/>
      <c r="G502" s="667"/>
      <c r="H502" s="667"/>
      <c r="I502" s="667"/>
      <c r="J502" s="667"/>
      <c r="K502" s="667"/>
      <c r="L502" s="667"/>
      <c r="M502" s="669"/>
      <c r="X502" s="656"/>
      <c r="Y502" s="657"/>
      <c r="Z502" s="657"/>
      <c r="AA502" s="481"/>
      <c r="AC502" s="456"/>
      <c r="AD502" s="481"/>
      <c r="AF502" s="481"/>
      <c r="AG502" s="522"/>
      <c r="AH502" s="699"/>
      <c r="AI502" s="456"/>
      <c r="AJ502" s="699"/>
    </row>
    <row r="503" spans="1:36" s="454" customFormat="1" ht="34.5" x14ac:dyDescent="0.25">
      <c r="A503" s="658" t="s">
        <v>1360</v>
      </c>
      <c r="B503" s="659" t="s">
        <v>1343</v>
      </c>
      <c r="C503" s="2673" t="s">
        <v>1277</v>
      </c>
      <c r="D503" s="2673"/>
      <c r="E503" s="2673"/>
      <c r="F503" s="670">
        <v>-170</v>
      </c>
      <c r="G503" s="661" t="s">
        <v>2109</v>
      </c>
      <c r="H503" s="661"/>
      <c r="I503" s="661">
        <v>-78362</v>
      </c>
      <c r="J503" s="661"/>
      <c r="K503" s="662"/>
      <c r="L503" s="663">
        <v>0</v>
      </c>
      <c r="M503" s="663">
        <v>0</v>
      </c>
      <c r="X503" s="656"/>
      <c r="Y503" s="657"/>
      <c r="Z503" s="657"/>
      <c r="AA503" s="481" t="s">
        <v>1277</v>
      </c>
      <c r="AC503" s="456"/>
      <c r="AD503" s="481"/>
      <c r="AF503" s="481"/>
      <c r="AG503" s="522"/>
      <c r="AH503" s="699"/>
      <c r="AI503" s="456"/>
      <c r="AJ503" s="699"/>
    </row>
    <row r="504" spans="1:36" s="454" customFormat="1" ht="15" x14ac:dyDescent="0.25">
      <c r="A504" s="664"/>
      <c r="B504" s="665"/>
      <c r="C504" s="666" t="s">
        <v>2278</v>
      </c>
      <c r="D504" s="667"/>
      <c r="E504" s="667"/>
      <c r="F504" s="667"/>
      <c r="G504" s="667"/>
      <c r="H504" s="667"/>
      <c r="I504" s="667"/>
      <c r="J504" s="667"/>
      <c r="K504" s="667"/>
      <c r="L504" s="667"/>
      <c r="M504" s="668"/>
      <c r="X504" s="656"/>
      <c r="Y504" s="657"/>
      <c r="Z504" s="657"/>
      <c r="AA504" s="481"/>
      <c r="AC504" s="456"/>
      <c r="AD504" s="481"/>
      <c r="AF504" s="481"/>
      <c r="AG504" s="522"/>
      <c r="AH504" s="699"/>
      <c r="AI504" s="456"/>
      <c r="AJ504" s="699"/>
    </row>
    <row r="505" spans="1:36" s="454" customFormat="1" ht="15" x14ac:dyDescent="0.25">
      <c r="A505" s="542"/>
      <c r="B505" s="665"/>
      <c r="C505" s="666" t="s">
        <v>2111</v>
      </c>
      <c r="D505" s="667"/>
      <c r="E505" s="667"/>
      <c r="F505" s="667"/>
      <c r="G505" s="667"/>
      <c r="H505" s="667"/>
      <c r="I505" s="667"/>
      <c r="J505" s="667"/>
      <c r="K505" s="667"/>
      <c r="L505" s="667"/>
      <c r="M505" s="669"/>
      <c r="X505" s="656"/>
      <c r="Y505" s="657"/>
      <c r="Z505" s="657"/>
      <c r="AA505" s="481"/>
      <c r="AC505" s="456"/>
      <c r="AD505" s="481"/>
      <c r="AF505" s="481"/>
      <c r="AG505" s="522"/>
      <c r="AH505" s="699"/>
      <c r="AI505" s="456"/>
      <c r="AJ505" s="699"/>
    </row>
    <row r="506" spans="1:36" s="454" customFormat="1" ht="33.75" x14ac:dyDescent="0.25">
      <c r="A506" s="658" t="s">
        <v>1362</v>
      </c>
      <c r="B506" s="659" t="s">
        <v>1346</v>
      </c>
      <c r="C506" s="2673" t="s">
        <v>1281</v>
      </c>
      <c r="D506" s="2673"/>
      <c r="E506" s="2673"/>
      <c r="F506" s="670">
        <v>-80</v>
      </c>
      <c r="G506" s="661" t="s">
        <v>2112</v>
      </c>
      <c r="H506" s="661"/>
      <c r="I506" s="661">
        <v>-11353</v>
      </c>
      <c r="J506" s="661"/>
      <c r="K506" s="662"/>
      <c r="L506" s="663">
        <v>0</v>
      </c>
      <c r="M506" s="663">
        <v>0</v>
      </c>
      <c r="X506" s="656"/>
      <c r="Y506" s="657"/>
      <c r="Z506" s="657"/>
      <c r="AA506" s="481" t="s">
        <v>1281</v>
      </c>
      <c r="AC506" s="456"/>
      <c r="AD506" s="481"/>
      <c r="AF506" s="481"/>
      <c r="AG506" s="522"/>
      <c r="AH506" s="699"/>
      <c r="AI506" s="456"/>
      <c r="AJ506" s="699"/>
    </row>
    <row r="507" spans="1:36" s="454" customFormat="1" ht="15" x14ac:dyDescent="0.25">
      <c r="A507" s="664"/>
      <c r="B507" s="665"/>
      <c r="C507" s="666" t="s">
        <v>2277</v>
      </c>
      <c r="D507" s="667"/>
      <c r="E507" s="667"/>
      <c r="F507" s="667"/>
      <c r="G507" s="667"/>
      <c r="H507" s="667"/>
      <c r="I507" s="667"/>
      <c r="J507" s="667"/>
      <c r="K507" s="667"/>
      <c r="L507" s="667"/>
      <c r="M507" s="668"/>
      <c r="X507" s="656"/>
      <c r="Y507" s="657"/>
      <c r="Z507" s="657"/>
      <c r="AA507" s="481"/>
      <c r="AC507" s="456"/>
      <c r="AD507" s="481"/>
      <c r="AF507" s="481"/>
      <c r="AG507" s="522"/>
      <c r="AH507" s="699"/>
      <c r="AI507" s="456"/>
      <c r="AJ507" s="699"/>
    </row>
    <row r="508" spans="1:36" s="454" customFormat="1" ht="15" x14ac:dyDescent="0.25">
      <c r="A508" s="542"/>
      <c r="B508" s="665"/>
      <c r="C508" s="666" t="s">
        <v>2113</v>
      </c>
      <c r="D508" s="667"/>
      <c r="E508" s="667"/>
      <c r="F508" s="667"/>
      <c r="G508" s="667"/>
      <c r="H508" s="667"/>
      <c r="I508" s="667"/>
      <c r="J508" s="667"/>
      <c r="K508" s="667"/>
      <c r="L508" s="667"/>
      <c r="M508" s="669"/>
      <c r="X508" s="656"/>
      <c r="Y508" s="657"/>
      <c r="Z508" s="657"/>
      <c r="AA508" s="481"/>
      <c r="AC508" s="456"/>
      <c r="AD508" s="481"/>
      <c r="AF508" s="481"/>
      <c r="AG508" s="522"/>
      <c r="AH508" s="699"/>
      <c r="AI508" s="456"/>
      <c r="AJ508" s="699"/>
    </row>
    <row r="509" spans="1:36" s="454" customFormat="1" ht="34.5" x14ac:dyDescent="0.25">
      <c r="A509" s="658" t="s">
        <v>1365</v>
      </c>
      <c r="B509" s="659" t="s">
        <v>1348</v>
      </c>
      <c r="C509" s="2673" t="s">
        <v>1284</v>
      </c>
      <c r="D509" s="2673"/>
      <c r="E509" s="2673"/>
      <c r="F509" s="670">
        <v>-10</v>
      </c>
      <c r="G509" s="661" t="s">
        <v>2114</v>
      </c>
      <c r="H509" s="661"/>
      <c r="I509" s="661">
        <v>-17392</v>
      </c>
      <c r="J509" s="661"/>
      <c r="K509" s="662"/>
      <c r="L509" s="663">
        <v>0</v>
      </c>
      <c r="M509" s="663">
        <v>0</v>
      </c>
      <c r="X509" s="656"/>
      <c r="Y509" s="657"/>
      <c r="Z509" s="657"/>
      <c r="AA509" s="481" t="s">
        <v>1284</v>
      </c>
      <c r="AC509" s="456"/>
      <c r="AD509" s="481"/>
      <c r="AF509" s="481"/>
      <c r="AG509" s="522"/>
      <c r="AH509" s="699"/>
      <c r="AI509" s="456"/>
      <c r="AJ509" s="699"/>
    </row>
    <row r="510" spans="1:36" s="454" customFormat="1" ht="15" x14ac:dyDescent="0.25">
      <c r="A510" s="664"/>
      <c r="B510" s="665"/>
      <c r="C510" s="666" t="s">
        <v>2276</v>
      </c>
      <c r="D510" s="667"/>
      <c r="E510" s="667"/>
      <c r="F510" s="667"/>
      <c r="G510" s="667"/>
      <c r="H510" s="667"/>
      <c r="I510" s="667"/>
      <c r="J510" s="667"/>
      <c r="K510" s="667"/>
      <c r="L510" s="667"/>
      <c r="M510" s="668"/>
      <c r="X510" s="656"/>
      <c r="Y510" s="657"/>
      <c r="Z510" s="657"/>
      <c r="AA510" s="481"/>
      <c r="AC510" s="456"/>
      <c r="AD510" s="481"/>
      <c r="AF510" s="481"/>
      <c r="AG510" s="522"/>
      <c r="AH510" s="699"/>
      <c r="AI510" s="456"/>
      <c r="AJ510" s="699"/>
    </row>
    <row r="511" spans="1:36" s="454" customFormat="1" ht="15" x14ac:dyDescent="0.25">
      <c r="A511" s="542"/>
      <c r="B511" s="665"/>
      <c r="C511" s="666" t="s">
        <v>2115</v>
      </c>
      <c r="D511" s="667"/>
      <c r="E511" s="667"/>
      <c r="F511" s="667"/>
      <c r="G511" s="667"/>
      <c r="H511" s="667"/>
      <c r="I511" s="667"/>
      <c r="J511" s="667"/>
      <c r="K511" s="667"/>
      <c r="L511" s="667"/>
      <c r="M511" s="669"/>
      <c r="X511" s="656"/>
      <c r="Y511" s="657"/>
      <c r="Z511" s="657"/>
      <c r="AA511" s="481"/>
      <c r="AC511" s="456"/>
      <c r="AD511" s="481"/>
      <c r="AF511" s="481"/>
      <c r="AG511" s="522"/>
      <c r="AH511" s="699"/>
      <c r="AI511" s="456"/>
      <c r="AJ511" s="699"/>
    </row>
    <row r="512" spans="1:36" s="454" customFormat="1" ht="45.75" x14ac:dyDescent="0.25">
      <c r="A512" s="658" t="s">
        <v>1367</v>
      </c>
      <c r="B512" s="659" t="s">
        <v>2116</v>
      </c>
      <c r="C512" s="2673" t="s">
        <v>2117</v>
      </c>
      <c r="D512" s="2673"/>
      <c r="E512" s="2673"/>
      <c r="F512" s="670">
        <v>-90</v>
      </c>
      <c r="G512" s="661" t="s">
        <v>1288</v>
      </c>
      <c r="H512" s="661" t="s">
        <v>1289</v>
      </c>
      <c r="I512" s="661">
        <v>-509</v>
      </c>
      <c r="J512" s="661">
        <v>-208</v>
      </c>
      <c r="K512" s="662" t="s">
        <v>2279</v>
      </c>
      <c r="L512" s="671">
        <v>0.255</v>
      </c>
      <c r="M512" s="672">
        <v>-22.95</v>
      </c>
      <c r="X512" s="656"/>
      <c r="Y512" s="657"/>
      <c r="Z512" s="657"/>
      <c r="AA512" s="481" t="s">
        <v>2117</v>
      </c>
      <c r="AC512" s="456"/>
      <c r="AD512" s="481"/>
      <c r="AF512" s="481"/>
      <c r="AG512" s="522"/>
      <c r="AH512" s="699"/>
      <c r="AI512" s="456"/>
      <c r="AJ512" s="699"/>
    </row>
    <row r="513" spans="1:36" s="454" customFormat="1" ht="33.75" x14ac:dyDescent="0.25">
      <c r="A513" s="542"/>
      <c r="B513" s="673" t="s">
        <v>1655</v>
      </c>
      <c r="C513" s="2670" t="s">
        <v>1656</v>
      </c>
      <c r="D513" s="2670"/>
      <c r="E513" s="2670"/>
      <c r="F513" s="2670"/>
      <c r="G513" s="2670"/>
      <c r="H513" s="2670"/>
      <c r="I513" s="2670"/>
      <c r="J513" s="2670"/>
      <c r="K513" s="2670"/>
      <c r="L513" s="2670"/>
      <c r="M513" s="2671"/>
      <c r="X513" s="656"/>
      <c r="Y513" s="657"/>
      <c r="Z513" s="657"/>
      <c r="AA513" s="481"/>
      <c r="AB513" s="491" t="s">
        <v>1656</v>
      </c>
      <c r="AC513" s="456"/>
      <c r="AD513" s="481"/>
      <c r="AF513" s="481"/>
      <c r="AG513" s="522"/>
      <c r="AH513" s="699"/>
      <c r="AI513" s="456"/>
      <c r="AJ513" s="699"/>
    </row>
    <row r="514" spans="1:36" s="454" customFormat="1" ht="23.25" x14ac:dyDescent="0.25">
      <c r="A514" s="507"/>
      <c r="B514" s="674" t="s">
        <v>2119</v>
      </c>
      <c r="C514" s="2672" t="s">
        <v>2120</v>
      </c>
      <c r="D514" s="2672"/>
      <c r="E514" s="2672"/>
      <c r="F514" s="675" t="s">
        <v>2280</v>
      </c>
      <c r="G514" s="676" t="s">
        <v>2122</v>
      </c>
      <c r="H514" s="676"/>
      <c r="I514" s="676">
        <v>-208.16</v>
      </c>
      <c r="J514" s="676">
        <v>-208.16</v>
      </c>
      <c r="K514" s="676"/>
      <c r="L514" s="677"/>
      <c r="M514" s="678"/>
      <c r="X514" s="656"/>
      <c r="Y514" s="657"/>
      <c r="Z514" s="657"/>
      <c r="AA514" s="481"/>
      <c r="AC514" s="456" t="s">
        <v>2120</v>
      </c>
      <c r="AD514" s="481"/>
      <c r="AF514" s="481"/>
      <c r="AG514" s="522"/>
      <c r="AH514" s="699"/>
      <c r="AI514" s="456"/>
      <c r="AJ514" s="699"/>
    </row>
    <row r="515" spans="1:36" s="454" customFormat="1" ht="23.25" x14ac:dyDescent="0.25">
      <c r="A515" s="507"/>
      <c r="B515" s="674" t="s">
        <v>639</v>
      </c>
      <c r="C515" s="2672" t="s">
        <v>1661</v>
      </c>
      <c r="D515" s="2672"/>
      <c r="E515" s="2672"/>
      <c r="F515" s="675" t="s">
        <v>2281</v>
      </c>
      <c r="G515" s="676">
        <v>0</v>
      </c>
      <c r="H515" s="676">
        <v>0</v>
      </c>
      <c r="I515" s="676">
        <v>0</v>
      </c>
      <c r="J515" s="676"/>
      <c r="K515" s="676">
        <v>0</v>
      </c>
      <c r="L515" s="677"/>
      <c r="M515" s="678"/>
      <c r="X515" s="656"/>
      <c r="Y515" s="657"/>
      <c r="Z515" s="657"/>
      <c r="AA515" s="481"/>
      <c r="AC515" s="456" t="s">
        <v>1661</v>
      </c>
      <c r="AD515" s="481"/>
      <c r="AF515" s="481"/>
      <c r="AG515" s="522"/>
      <c r="AH515" s="699"/>
      <c r="AI515" s="456"/>
      <c r="AJ515" s="699"/>
    </row>
    <row r="516" spans="1:36" s="454" customFormat="1" ht="34.5" x14ac:dyDescent="0.25">
      <c r="A516" s="507"/>
      <c r="B516" s="674" t="s">
        <v>821</v>
      </c>
      <c r="C516" s="2672" t="s">
        <v>1751</v>
      </c>
      <c r="D516" s="2672"/>
      <c r="E516" s="2672"/>
      <c r="F516" s="675" t="s">
        <v>2282</v>
      </c>
      <c r="G516" s="676">
        <v>65.709999999999994</v>
      </c>
      <c r="H516" s="676" t="s">
        <v>1753</v>
      </c>
      <c r="I516" s="676">
        <v>-118.28</v>
      </c>
      <c r="J516" s="676"/>
      <c r="K516" s="676" t="s">
        <v>2283</v>
      </c>
      <c r="L516" s="677"/>
      <c r="M516" s="678"/>
      <c r="X516" s="656"/>
      <c r="Y516" s="657"/>
      <c r="Z516" s="657"/>
      <c r="AA516" s="481"/>
      <c r="AC516" s="456" t="s">
        <v>1751</v>
      </c>
      <c r="AD516" s="481"/>
      <c r="AF516" s="481"/>
      <c r="AG516" s="522"/>
      <c r="AH516" s="699"/>
      <c r="AI516" s="456"/>
      <c r="AJ516" s="699"/>
    </row>
    <row r="517" spans="1:36" s="454" customFormat="1" ht="23.25" x14ac:dyDescent="0.25">
      <c r="A517" s="507"/>
      <c r="B517" s="674" t="s">
        <v>825</v>
      </c>
      <c r="C517" s="2672" t="s">
        <v>1808</v>
      </c>
      <c r="D517" s="2672"/>
      <c r="E517" s="2672"/>
      <c r="F517" s="675" t="s">
        <v>2284</v>
      </c>
      <c r="G517" s="676">
        <v>1.2</v>
      </c>
      <c r="H517" s="676" t="s">
        <v>1810</v>
      </c>
      <c r="I517" s="676">
        <v>-16.2</v>
      </c>
      <c r="J517" s="676"/>
      <c r="K517" s="676" t="s">
        <v>2285</v>
      </c>
      <c r="L517" s="677"/>
      <c r="M517" s="678"/>
      <c r="X517" s="656"/>
      <c r="Y517" s="657"/>
      <c r="Z517" s="657"/>
      <c r="AA517" s="481"/>
      <c r="AC517" s="456" t="s">
        <v>1808</v>
      </c>
      <c r="AD517" s="481"/>
      <c r="AF517" s="481"/>
      <c r="AG517" s="522"/>
      <c r="AH517" s="699"/>
      <c r="AI517" s="456"/>
      <c r="AJ517" s="699"/>
    </row>
    <row r="518" spans="1:36" s="454" customFormat="1" ht="23.25" x14ac:dyDescent="0.25">
      <c r="A518" s="507"/>
      <c r="B518" s="674" t="s">
        <v>830</v>
      </c>
      <c r="C518" s="2672" t="s">
        <v>1816</v>
      </c>
      <c r="D518" s="2672"/>
      <c r="E518" s="2672"/>
      <c r="F518" s="675" t="s">
        <v>2284</v>
      </c>
      <c r="G518" s="676">
        <v>6.22</v>
      </c>
      <c r="H518" s="676"/>
      <c r="I518" s="676">
        <v>-83.97</v>
      </c>
      <c r="J518" s="676"/>
      <c r="K518" s="676"/>
      <c r="L518" s="677"/>
      <c r="M518" s="678"/>
      <c r="X518" s="656"/>
      <c r="Y518" s="657"/>
      <c r="Z518" s="657"/>
      <c r="AA518" s="481"/>
      <c r="AC518" s="456" t="s">
        <v>1816</v>
      </c>
      <c r="AD518" s="481"/>
      <c r="AF518" s="481"/>
      <c r="AG518" s="522"/>
      <c r="AH518" s="699"/>
      <c r="AI518" s="456"/>
      <c r="AJ518" s="699"/>
    </row>
    <row r="519" spans="1:36" s="454" customFormat="1" ht="23.25" x14ac:dyDescent="0.25">
      <c r="A519" s="507"/>
      <c r="B519" s="674" t="s">
        <v>833</v>
      </c>
      <c r="C519" s="2672" t="s">
        <v>1818</v>
      </c>
      <c r="D519" s="2672"/>
      <c r="E519" s="2672"/>
      <c r="F519" s="675" t="s">
        <v>2281</v>
      </c>
      <c r="G519" s="676">
        <v>6.09</v>
      </c>
      <c r="H519" s="676"/>
      <c r="I519" s="676">
        <v>-16.440000000000001</v>
      </c>
      <c r="J519" s="676"/>
      <c r="K519" s="676"/>
      <c r="L519" s="677"/>
      <c r="M519" s="678"/>
      <c r="X519" s="656"/>
      <c r="Y519" s="657"/>
      <c r="Z519" s="657"/>
      <c r="AA519" s="481"/>
      <c r="AC519" s="456" t="s">
        <v>1818</v>
      </c>
      <c r="AD519" s="481"/>
      <c r="AF519" s="481"/>
      <c r="AG519" s="522"/>
      <c r="AH519" s="699"/>
      <c r="AI519" s="456"/>
      <c r="AJ519" s="699"/>
    </row>
    <row r="520" spans="1:36" s="454" customFormat="1" ht="15" x14ac:dyDescent="0.25">
      <c r="A520" s="2680" t="s">
        <v>1533</v>
      </c>
      <c r="B520" s="2681"/>
      <c r="C520" s="2681"/>
      <c r="D520" s="2681"/>
      <c r="E520" s="2681"/>
      <c r="F520" s="2681"/>
      <c r="G520" s="2681"/>
      <c r="H520" s="2681"/>
      <c r="I520" s="2681"/>
      <c r="J520" s="2681"/>
      <c r="K520" s="2681"/>
      <c r="L520" s="2681"/>
      <c r="M520" s="2682"/>
      <c r="X520" s="656"/>
      <c r="Y520" s="657" t="s">
        <v>1533</v>
      </c>
      <c r="Z520" s="657"/>
      <c r="AA520" s="481"/>
      <c r="AC520" s="456"/>
      <c r="AD520" s="481"/>
      <c r="AF520" s="481"/>
      <c r="AG520" s="522"/>
      <c r="AH520" s="699"/>
      <c r="AI520" s="456"/>
      <c r="AJ520" s="699"/>
    </row>
    <row r="521" spans="1:36" s="454" customFormat="1" ht="57" x14ac:dyDescent="0.25">
      <c r="A521" s="658" t="s">
        <v>1369</v>
      </c>
      <c r="B521" s="659" t="s">
        <v>1954</v>
      </c>
      <c r="C521" s="2673" t="s">
        <v>1955</v>
      </c>
      <c r="D521" s="2673"/>
      <c r="E521" s="2673"/>
      <c r="F521" s="679">
        <v>-1.02</v>
      </c>
      <c r="G521" s="661" t="s">
        <v>1956</v>
      </c>
      <c r="H521" s="661" t="s">
        <v>1957</v>
      </c>
      <c r="I521" s="661">
        <v>-130456</v>
      </c>
      <c r="J521" s="661">
        <v>-10202</v>
      </c>
      <c r="K521" s="662" t="s">
        <v>2286</v>
      </c>
      <c r="L521" s="691">
        <v>1039.7328</v>
      </c>
      <c r="M521" s="672">
        <v>-1060.53</v>
      </c>
      <c r="X521" s="656"/>
      <c r="Y521" s="657"/>
      <c r="Z521" s="657"/>
      <c r="AA521" s="481" t="s">
        <v>1955</v>
      </c>
      <c r="AC521" s="456"/>
      <c r="AD521" s="481"/>
      <c r="AF521" s="481"/>
      <c r="AG521" s="522"/>
      <c r="AH521" s="699"/>
      <c r="AI521" s="456"/>
      <c r="AJ521" s="699"/>
    </row>
    <row r="522" spans="1:36" s="454" customFormat="1" ht="15" x14ac:dyDescent="0.25">
      <c r="A522" s="664"/>
      <c r="B522" s="665"/>
      <c r="C522" s="666" t="s">
        <v>2287</v>
      </c>
      <c r="D522" s="667"/>
      <c r="E522" s="667"/>
      <c r="F522" s="667"/>
      <c r="G522" s="667"/>
      <c r="H522" s="667"/>
      <c r="I522" s="667"/>
      <c r="J522" s="667"/>
      <c r="K522" s="667"/>
      <c r="L522" s="667"/>
      <c r="M522" s="668"/>
      <c r="X522" s="656"/>
      <c r="Y522" s="657"/>
      <c r="Z522" s="657"/>
      <c r="AA522" s="481"/>
      <c r="AC522" s="456"/>
      <c r="AD522" s="481"/>
      <c r="AF522" s="481"/>
      <c r="AG522" s="522"/>
      <c r="AH522" s="699"/>
      <c r="AI522" s="456"/>
      <c r="AJ522" s="699"/>
    </row>
    <row r="523" spans="1:36" s="454" customFormat="1" ht="15" x14ac:dyDescent="0.25">
      <c r="A523" s="542"/>
      <c r="B523" s="673" t="s">
        <v>1960</v>
      </c>
      <c r="C523" s="2670" t="s">
        <v>1961</v>
      </c>
      <c r="D523" s="2670"/>
      <c r="E523" s="2670"/>
      <c r="F523" s="2670"/>
      <c r="G523" s="2670"/>
      <c r="H523" s="2670"/>
      <c r="I523" s="2670"/>
      <c r="J523" s="2670"/>
      <c r="K523" s="2670"/>
      <c r="L523" s="2670"/>
      <c r="M523" s="2671"/>
      <c r="X523" s="656"/>
      <c r="Y523" s="657"/>
      <c r="Z523" s="657"/>
      <c r="AA523" s="481"/>
      <c r="AB523" s="491" t="s">
        <v>1961</v>
      </c>
      <c r="AC523" s="456"/>
      <c r="AD523" s="481"/>
      <c r="AF523" s="481"/>
      <c r="AG523" s="522"/>
      <c r="AH523" s="699"/>
      <c r="AI523" s="456"/>
      <c r="AJ523" s="699"/>
    </row>
    <row r="524" spans="1:36" s="454" customFormat="1" ht="15" x14ac:dyDescent="0.25">
      <c r="A524" s="542"/>
      <c r="B524" s="673" t="s">
        <v>1962</v>
      </c>
      <c r="C524" s="2670" t="s">
        <v>1963</v>
      </c>
      <c r="D524" s="2670"/>
      <c r="E524" s="2670"/>
      <c r="F524" s="2670"/>
      <c r="G524" s="2670"/>
      <c r="H524" s="2670"/>
      <c r="I524" s="2670"/>
      <c r="J524" s="2670"/>
      <c r="K524" s="2670"/>
      <c r="L524" s="2670"/>
      <c r="M524" s="2671"/>
      <c r="X524" s="656"/>
      <c r="Y524" s="657"/>
      <c r="Z524" s="657"/>
      <c r="AA524" s="481"/>
      <c r="AB524" s="491" t="s">
        <v>1963</v>
      </c>
      <c r="AC524" s="456"/>
      <c r="AD524" s="481"/>
      <c r="AF524" s="481"/>
      <c r="AG524" s="522"/>
      <c r="AH524" s="699"/>
      <c r="AI524" s="456"/>
      <c r="AJ524" s="699"/>
    </row>
    <row r="525" spans="1:36" s="454" customFormat="1" ht="15" x14ac:dyDescent="0.25">
      <c r="A525" s="542"/>
      <c r="B525" s="673" t="s">
        <v>1964</v>
      </c>
      <c r="C525" s="2670" t="s">
        <v>1965</v>
      </c>
      <c r="D525" s="2670"/>
      <c r="E525" s="2670"/>
      <c r="F525" s="2670"/>
      <c r="G525" s="2670"/>
      <c r="H525" s="2670"/>
      <c r="I525" s="2670"/>
      <c r="J525" s="2670"/>
      <c r="K525" s="2670"/>
      <c r="L525" s="2670"/>
      <c r="M525" s="2671"/>
      <c r="X525" s="656"/>
      <c r="Y525" s="657"/>
      <c r="Z525" s="657"/>
      <c r="AA525" s="481"/>
      <c r="AB525" s="491" t="s">
        <v>1965</v>
      </c>
      <c r="AC525" s="456"/>
      <c r="AD525" s="481"/>
      <c r="AF525" s="481"/>
      <c r="AG525" s="522"/>
      <c r="AH525" s="699"/>
      <c r="AI525" s="456"/>
      <c r="AJ525" s="699"/>
    </row>
    <row r="526" spans="1:36" s="454" customFormat="1" ht="33.75" x14ac:dyDescent="0.25">
      <c r="A526" s="542"/>
      <c r="B526" s="673" t="s">
        <v>1655</v>
      </c>
      <c r="C526" s="2670" t="s">
        <v>1656</v>
      </c>
      <c r="D526" s="2670"/>
      <c r="E526" s="2670"/>
      <c r="F526" s="2670"/>
      <c r="G526" s="2670"/>
      <c r="H526" s="2670"/>
      <c r="I526" s="2670"/>
      <c r="J526" s="2670"/>
      <c r="K526" s="2670"/>
      <c r="L526" s="2670"/>
      <c r="M526" s="2671"/>
      <c r="X526" s="656"/>
      <c r="Y526" s="657"/>
      <c r="Z526" s="657"/>
      <c r="AA526" s="481"/>
      <c r="AB526" s="491" t="s">
        <v>1656</v>
      </c>
      <c r="AC526" s="456"/>
      <c r="AD526" s="481"/>
      <c r="AF526" s="481"/>
      <c r="AG526" s="522"/>
      <c r="AH526" s="699"/>
      <c r="AI526" s="456"/>
      <c r="AJ526" s="699"/>
    </row>
    <row r="527" spans="1:36" s="454" customFormat="1" ht="23.25" x14ac:dyDescent="0.25">
      <c r="A527" s="507"/>
      <c r="B527" s="674" t="s">
        <v>1883</v>
      </c>
      <c r="C527" s="2672" t="s">
        <v>1884</v>
      </c>
      <c r="D527" s="2672"/>
      <c r="E527" s="2672"/>
      <c r="F527" s="675" t="s">
        <v>2288</v>
      </c>
      <c r="G527" s="676" t="s">
        <v>1886</v>
      </c>
      <c r="H527" s="676"/>
      <c r="I527" s="676">
        <v>-10202.299999999999</v>
      </c>
      <c r="J527" s="676">
        <v>-10202.299999999999</v>
      </c>
      <c r="K527" s="676"/>
      <c r="L527" s="677"/>
      <c r="M527" s="678"/>
      <c r="X527" s="656"/>
      <c r="Y527" s="657"/>
      <c r="Z527" s="657"/>
      <c r="AA527" s="481"/>
      <c r="AC527" s="456" t="s">
        <v>1884</v>
      </c>
      <c r="AD527" s="481"/>
      <c r="AF527" s="481"/>
      <c r="AG527" s="522"/>
      <c r="AH527" s="699"/>
      <c r="AI527" s="456"/>
      <c r="AJ527" s="699"/>
    </row>
    <row r="528" spans="1:36" s="454" customFormat="1" ht="23.25" x14ac:dyDescent="0.25">
      <c r="A528" s="507"/>
      <c r="B528" s="674" t="s">
        <v>639</v>
      </c>
      <c r="C528" s="2672" t="s">
        <v>1661</v>
      </c>
      <c r="D528" s="2672"/>
      <c r="E528" s="2672"/>
      <c r="F528" s="675" t="s">
        <v>2289</v>
      </c>
      <c r="G528" s="676">
        <v>0</v>
      </c>
      <c r="H528" s="676">
        <v>0</v>
      </c>
      <c r="I528" s="676">
        <v>0</v>
      </c>
      <c r="J528" s="676"/>
      <c r="K528" s="676">
        <v>0</v>
      </c>
      <c r="L528" s="677"/>
      <c r="M528" s="678"/>
      <c r="X528" s="656"/>
      <c r="Y528" s="657"/>
      <c r="Z528" s="657"/>
      <c r="AA528" s="481"/>
      <c r="AC528" s="456" t="s">
        <v>1661</v>
      </c>
      <c r="AD528" s="481"/>
      <c r="AF528" s="481"/>
      <c r="AG528" s="522"/>
      <c r="AH528" s="699"/>
      <c r="AI528" s="456"/>
      <c r="AJ528" s="699"/>
    </row>
    <row r="529" spans="1:36" s="454" customFormat="1" ht="23.25" x14ac:dyDescent="0.25">
      <c r="A529" s="507"/>
      <c r="B529" s="674" t="s">
        <v>1968</v>
      </c>
      <c r="C529" s="2672" t="s">
        <v>1969</v>
      </c>
      <c r="D529" s="2672"/>
      <c r="E529" s="2672"/>
      <c r="F529" s="675" t="s">
        <v>2290</v>
      </c>
      <c r="G529" s="676">
        <v>79.069999999999993</v>
      </c>
      <c r="H529" s="676" t="s">
        <v>1971</v>
      </c>
      <c r="I529" s="676">
        <v>-236.42</v>
      </c>
      <c r="J529" s="676"/>
      <c r="K529" s="676" t="s">
        <v>2291</v>
      </c>
      <c r="L529" s="677"/>
      <c r="M529" s="678"/>
      <c r="X529" s="656"/>
      <c r="Y529" s="657"/>
      <c r="Z529" s="657"/>
      <c r="AA529" s="481"/>
      <c r="AC529" s="456" t="s">
        <v>1969</v>
      </c>
      <c r="AD529" s="481"/>
      <c r="AF529" s="481"/>
      <c r="AG529" s="522"/>
      <c r="AH529" s="699"/>
      <c r="AI529" s="456"/>
      <c r="AJ529" s="699"/>
    </row>
    <row r="530" spans="1:36" s="454" customFormat="1" ht="45.75" x14ac:dyDescent="0.25">
      <c r="A530" s="507"/>
      <c r="B530" s="674" t="s">
        <v>1973</v>
      </c>
      <c r="C530" s="2672" t="s">
        <v>1974</v>
      </c>
      <c r="D530" s="2672"/>
      <c r="E530" s="2672"/>
      <c r="F530" s="675" t="s">
        <v>2292</v>
      </c>
      <c r="G530" s="676">
        <v>70.010000000000005</v>
      </c>
      <c r="H530" s="676" t="s">
        <v>1976</v>
      </c>
      <c r="I530" s="676">
        <v>-281.44</v>
      </c>
      <c r="J530" s="676"/>
      <c r="K530" s="676" t="s">
        <v>2293</v>
      </c>
      <c r="L530" s="677"/>
      <c r="M530" s="678"/>
      <c r="X530" s="656"/>
      <c r="Y530" s="657"/>
      <c r="Z530" s="657"/>
      <c r="AA530" s="481"/>
      <c r="AC530" s="456" t="s">
        <v>1974</v>
      </c>
      <c r="AD530" s="481"/>
      <c r="AF530" s="481"/>
      <c r="AG530" s="522"/>
      <c r="AH530" s="699"/>
      <c r="AI530" s="456"/>
      <c r="AJ530" s="699"/>
    </row>
    <row r="531" spans="1:36" s="454" customFormat="1" ht="57" x14ac:dyDescent="0.25">
      <c r="A531" s="507"/>
      <c r="B531" s="674" t="s">
        <v>1978</v>
      </c>
      <c r="C531" s="2672" t="s">
        <v>1979</v>
      </c>
      <c r="D531" s="2672"/>
      <c r="E531" s="2672"/>
      <c r="F531" s="675" t="s">
        <v>2294</v>
      </c>
      <c r="G531" s="676">
        <v>340</v>
      </c>
      <c r="H531" s="676" t="s">
        <v>1981</v>
      </c>
      <c r="I531" s="676">
        <v>-77135.8</v>
      </c>
      <c r="J531" s="676"/>
      <c r="K531" s="676" t="s">
        <v>2295</v>
      </c>
      <c r="L531" s="677"/>
      <c r="M531" s="678"/>
      <c r="X531" s="656"/>
      <c r="Y531" s="657"/>
      <c r="Z531" s="657"/>
      <c r="AA531" s="481"/>
      <c r="AC531" s="456" t="s">
        <v>1979</v>
      </c>
      <c r="AD531" s="481"/>
      <c r="AF531" s="481"/>
      <c r="AG531" s="522"/>
      <c r="AH531" s="699"/>
      <c r="AI531" s="456"/>
      <c r="AJ531" s="699"/>
    </row>
    <row r="532" spans="1:36" s="454" customFormat="1" ht="34.5" x14ac:dyDescent="0.25">
      <c r="A532" s="507"/>
      <c r="B532" s="674" t="s">
        <v>1663</v>
      </c>
      <c r="C532" s="2672" t="s">
        <v>1664</v>
      </c>
      <c r="D532" s="2672"/>
      <c r="E532" s="2672"/>
      <c r="F532" s="675" t="s">
        <v>2296</v>
      </c>
      <c r="G532" s="676">
        <v>111.99</v>
      </c>
      <c r="H532" s="676" t="s">
        <v>1666</v>
      </c>
      <c r="I532" s="676">
        <v>-441.24</v>
      </c>
      <c r="J532" s="676"/>
      <c r="K532" s="676" t="s">
        <v>2297</v>
      </c>
      <c r="L532" s="677"/>
      <c r="M532" s="678"/>
      <c r="X532" s="656"/>
      <c r="Y532" s="657"/>
      <c r="Z532" s="657"/>
      <c r="AA532" s="481"/>
      <c r="AC532" s="456" t="s">
        <v>1664</v>
      </c>
      <c r="AD532" s="481"/>
      <c r="AF532" s="481"/>
      <c r="AG532" s="522"/>
      <c r="AH532" s="699"/>
      <c r="AI532" s="456"/>
      <c r="AJ532" s="699"/>
    </row>
    <row r="533" spans="1:36" s="454" customFormat="1" ht="23.25" x14ac:dyDescent="0.25">
      <c r="A533" s="507"/>
      <c r="B533" s="674" t="s">
        <v>1985</v>
      </c>
      <c r="C533" s="2672" t="s">
        <v>1986</v>
      </c>
      <c r="D533" s="2672"/>
      <c r="E533" s="2672"/>
      <c r="F533" s="675" t="s">
        <v>2298</v>
      </c>
      <c r="G533" s="676">
        <v>26.5</v>
      </c>
      <c r="H533" s="676" t="s">
        <v>1988</v>
      </c>
      <c r="I533" s="676">
        <v>-1428.09</v>
      </c>
      <c r="J533" s="676"/>
      <c r="K533" s="676" t="s">
        <v>2299</v>
      </c>
      <c r="L533" s="677"/>
      <c r="M533" s="678"/>
      <c r="X533" s="656"/>
      <c r="Y533" s="657"/>
      <c r="Z533" s="657"/>
      <c r="AA533" s="481"/>
      <c r="AC533" s="456" t="s">
        <v>1986</v>
      </c>
      <c r="AD533" s="481"/>
      <c r="AF533" s="481"/>
      <c r="AG533" s="522"/>
      <c r="AH533" s="699"/>
      <c r="AI533" s="456"/>
      <c r="AJ533" s="699"/>
    </row>
    <row r="534" spans="1:36" s="454" customFormat="1" ht="34.5" x14ac:dyDescent="0.25">
      <c r="A534" s="507"/>
      <c r="B534" s="674" t="s">
        <v>821</v>
      </c>
      <c r="C534" s="2672" t="s">
        <v>1751</v>
      </c>
      <c r="D534" s="2672"/>
      <c r="E534" s="2672"/>
      <c r="F534" s="675" t="s">
        <v>2300</v>
      </c>
      <c r="G534" s="676">
        <v>65.709999999999994</v>
      </c>
      <c r="H534" s="676" t="s">
        <v>1753</v>
      </c>
      <c r="I534" s="676">
        <v>-388.35</v>
      </c>
      <c r="J534" s="676"/>
      <c r="K534" s="676" t="s">
        <v>2301</v>
      </c>
      <c r="L534" s="677"/>
      <c r="M534" s="678"/>
      <c r="X534" s="656"/>
      <c r="Y534" s="657"/>
      <c r="Z534" s="657"/>
      <c r="AA534" s="481"/>
      <c r="AC534" s="456" t="s">
        <v>1751</v>
      </c>
      <c r="AD534" s="481"/>
      <c r="AF534" s="481"/>
      <c r="AG534" s="522"/>
      <c r="AH534" s="699"/>
      <c r="AI534" s="456"/>
      <c r="AJ534" s="699"/>
    </row>
    <row r="535" spans="1:36" s="454" customFormat="1" ht="23.25" x14ac:dyDescent="0.25">
      <c r="A535" s="515" t="s">
        <v>863</v>
      </c>
      <c r="B535" s="686" t="s">
        <v>1992</v>
      </c>
      <c r="C535" s="2683" t="s">
        <v>1993</v>
      </c>
      <c r="D535" s="2683"/>
      <c r="E535" s="2683"/>
      <c r="F535" s="687" t="s">
        <v>2302</v>
      </c>
      <c r="G535" s="688">
        <v>0</v>
      </c>
      <c r="H535" s="688"/>
      <c r="I535" s="688">
        <v>0</v>
      </c>
      <c r="J535" s="688"/>
      <c r="K535" s="688"/>
      <c r="L535" s="689"/>
      <c r="M535" s="690"/>
      <c r="X535" s="656"/>
      <c r="Y535" s="657"/>
      <c r="Z535" s="657"/>
      <c r="AA535" s="481"/>
      <c r="AC535" s="456"/>
      <c r="AD535" s="481"/>
      <c r="AF535" s="481"/>
      <c r="AG535" s="522" t="s">
        <v>1993</v>
      </c>
      <c r="AH535" s="699"/>
      <c r="AI535" s="456"/>
      <c r="AJ535" s="699"/>
    </row>
    <row r="536" spans="1:36" s="454" customFormat="1" ht="57" x14ac:dyDescent="0.25">
      <c r="A536" s="507"/>
      <c r="B536" s="674" t="s">
        <v>1995</v>
      </c>
      <c r="C536" s="2672" t="s">
        <v>1996</v>
      </c>
      <c r="D536" s="2672"/>
      <c r="E536" s="2672"/>
      <c r="F536" s="675" t="s">
        <v>2303</v>
      </c>
      <c r="G536" s="676">
        <v>183.68</v>
      </c>
      <c r="H536" s="676"/>
      <c r="I536" s="676">
        <v>-388.12</v>
      </c>
      <c r="J536" s="676"/>
      <c r="K536" s="676"/>
      <c r="L536" s="677"/>
      <c r="M536" s="678"/>
      <c r="X536" s="656"/>
      <c r="Y536" s="657"/>
      <c r="Z536" s="657"/>
      <c r="AA536" s="481"/>
      <c r="AC536" s="456" t="s">
        <v>1996</v>
      </c>
      <c r="AD536" s="481"/>
      <c r="AF536" s="481"/>
      <c r="AG536" s="522"/>
      <c r="AH536" s="699"/>
      <c r="AI536" s="456"/>
      <c r="AJ536" s="699"/>
    </row>
    <row r="537" spans="1:36" s="454" customFormat="1" ht="23.25" x14ac:dyDescent="0.25">
      <c r="A537" s="515" t="s">
        <v>863</v>
      </c>
      <c r="B537" s="686" t="s">
        <v>1998</v>
      </c>
      <c r="C537" s="2683" t="s">
        <v>1999</v>
      </c>
      <c r="D537" s="2683"/>
      <c r="E537" s="2683"/>
      <c r="F537" s="687" t="s">
        <v>2304</v>
      </c>
      <c r="G537" s="688">
        <v>0</v>
      </c>
      <c r="H537" s="688"/>
      <c r="I537" s="688">
        <v>0</v>
      </c>
      <c r="J537" s="688"/>
      <c r="K537" s="688"/>
      <c r="L537" s="689"/>
      <c r="M537" s="690"/>
      <c r="X537" s="656"/>
      <c r="Y537" s="657"/>
      <c r="Z537" s="657"/>
      <c r="AA537" s="481"/>
      <c r="AC537" s="456"/>
      <c r="AD537" s="481"/>
      <c r="AF537" s="481"/>
      <c r="AG537" s="522" t="s">
        <v>1999</v>
      </c>
      <c r="AH537" s="699"/>
      <c r="AI537" s="456"/>
      <c r="AJ537" s="699"/>
    </row>
    <row r="538" spans="1:36" s="454" customFormat="1" ht="22.5" x14ac:dyDescent="0.25">
      <c r="A538" s="515" t="s">
        <v>860</v>
      </c>
      <c r="B538" s="686" t="s">
        <v>2001</v>
      </c>
      <c r="C538" s="2683" t="s">
        <v>2002</v>
      </c>
      <c r="D538" s="2683"/>
      <c r="E538" s="2683"/>
      <c r="F538" s="687" t="s">
        <v>1935</v>
      </c>
      <c r="G538" s="688">
        <v>0</v>
      </c>
      <c r="H538" s="688"/>
      <c r="I538" s="688">
        <v>0</v>
      </c>
      <c r="J538" s="688"/>
      <c r="K538" s="688"/>
      <c r="L538" s="689"/>
      <c r="M538" s="690"/>
      <c r="X538" s="656"/>
      <c r="Y538" s="657"/>
      <c r="Z538" s="657"/>
      <c r="AA538" s="481"/>
      <c r="AC538" s="456"/>
      <c r="AD538" s="481"/>
      <c r="AF538" s="481"/>
      <c r="AG538" s="522" t="s">
        <v>2002</v>
      </c>
      <c r="AH538" s="699"/>
      <c r="AI538" s="456"/>
      <c r="AJ538" s="699"/>
    </row>
    <row r="539" spans="1:36" s="454" customFormat="1" ht="57" x14ac:dyDescent="0.25">
      <c r="A539" s="658" t="s">
        <v>1371</v>
      </c>
      <c r="B539" s="659" t="s">
        <v>2003</v>
      </c>
      <c r="C539" s="2673" t="s">
        <v>2004</v>
      </c>
      <c r="D539" s="2673"/>
      <c r="E539" s="2673"/>
      <c r="F539" s="679">
        <v>-0.18</v>
      </c>
      <c r="G539" s="661" t="s">
        <v>2005</v>
      </c>
      <c r="H539" s="661" t="s">
        <v>2006</v>
      </c>
      <c r="I539" s="661">
        <v>-69873</v>
      </c>
      <c r="J539" s="661">
        <v>-5336</v>
      </c>
      <c r="K539" s="662" t="s">
        <v>2305</v>
      </c>
      <c r="L539" s="691">
        <v>3081.2808</v>
      </c>
      <c r="M539" s="672">
        <v>-554.63</v>
      </c>
      <c r="X539" s="656"/>
      <c r="Y539" s="657"/>
      <c r="Z539" s="657"/>
      <c r="AA539" s="481" t="s">
        <v>2004</v>
      </c>
      <c r="AC539" s="456"/>
      <c r="AD539" s="481"/>
      <c r="AF539" s="481"/>
      <c r="AG539" s="522"/>
      <c r="AH539" s="699"/>
      <c r="AI539" s="456"/>
      <c r="AJ539" s="699"/>
    </row>
    <row r="540" spans="1:36" s="454" customFormat="1" ht="15" x14ac:dyDescent="0.25">
      <c r="A540" s="664"/>
      <c r="B540" s="665"/>
      <c r="C540" s="666" t="s">
        <v>2306</v>
      </c>
      <c r="D540" s="667"/>
      <c r="E540" s="667"/>
      <c r="F540" s="667"/>
      <c r="G540" s="667"/>
      <c r="H540" s="667"/>
      <c r="I540" s="667"/>
      <c r="J540" s="667"/>
      <c r="K540" s="667"/>
      <c r="L540" s="667"/>
      <c r="M540" s="668"/>
      <c r="X540" s="656"/>
      <c r="Y540" s="657"/>
      <c r="Z540" s="657"/>
      <c r="AA540" s="481"/>
      <c r="AC540" s="456"/>
      <c r="AD540" s="481"/>
      <c r="AF540" s="481"/>
      <c r="AG540" s="522"/>
      <c r="AH540" s="699"/>
      <c r="AI540" s="456"/>
      <c r="AJ540" s="699"/>
    </row>
    <row r="541" spans="1:36" s="454" customFormat="1" ht="15" x14ac:dyDescent="0.25">
      <c r="A541" s="542"/>
      <c r="B541" s="673" t="s">
        <v>1960</v>
      </c>
      <c r="C541" s="2670" t="s">
        <v>1961</v>
      </c>
      <c r="D541" s="2670"/>
      <c r="E541" s="2670"/>
      <c r="F541" s="2670"/>
      <c r="G541" s="2670"/>
      <c r="H541" s="2670"/>
      <c r="I541" s="2670"/>
      <c r="J541" s="2670"/>
      <c r="K541" s="2670"/>
      <c r="L541" s="2670"/>
      <c r="M541" s="2671"/>
      <c r="X541" s="656"/>
      <c r="Y541" s="657"/>
      <c r="Z541" s="657"/>
      <c r="AA541" s="481"/>
      <c r="AB541" s="491" t="s">
        <v>1961</v>
      </c>
      <c r="AC541" s="456"/>
      <c r="AD541" s="481"/>
      <c r="AF541" s="481"/>
      <c r="AG541" s="522"/>
      <c r="AH541" s="699"/>
      <c r="AI541" s="456"/>
      <c r="AJ541" s="699"/>
    </row>
    <row r="542" spans="1:36" s="454" customFormat="1" ht="15" x14ac:dyDescent="0.25">
      <c r="A542" s="542"/>
      <c r="B542" s="673" t="s">
        <v>1962</v>
      </c>
      <c r="C542" s="2670" t="s">
        <v>1963</v>
      </c>
      <c r="D542" s="2670"/>
      <c r="E542" s="2670"/>
      <c r="F542" s="2670"/>
      <c r="G542" s="2670"/>
      <c r="H542" s="2670"/>
      <c r="I542" s="2670"/>
      <c r="J542" s="2670"/>
      <c r="K542" s="2670"/>
      <c r="L542" s="2670"/>
      <c r="M542" s="2671"/>
      <c r="X542" s="656"/>
      <c r="Y542" s="657"/>
      <c r="Z542" s="657"/>
      <c r="AA542" s="481"/>
      <c r="AB542" s="491" t="s">
        <v>1963</v>
      </c>
      <c r="AC542" s="456"/>
      <c r="AD542" s="481"/>
      <c r="AF542" s="481"/>
      <c r="AG542" s="522"/>
      <c r="AH542" s="699"/>
      <c r="AI542" s="456"/>
      <c r="AJ542" s="699"/>
    </row>
    <row r="543" spans="1:36" s="454" customFormat="1" ht="15" x14ac:dyDescent="0.25">
      <c r="A543" s="542"/>
      <c r="B543" s="673" t="s">
        <v>1964</v>
      </c>
      <c r="C543" s="2670" t="s">
        <v>1965</v>
      </c>
      <c r="D543" s="2670"/>
      <c r="E543" s="2670"/>
      <c r="F543" s="2670"/>
      <c r="G543" s="2670"/>
      <c r="H543" s="2670"/>
      <c r="I543" s="2670"/>
      <c r="J543" s="2670"/>
      <c r="K543" s="2670"/>
      <c r="L543" s="2670"/>
      <c r="M543" s="2671"/>
      <c r="X543" s="656"/>
      <c r="Y543" s="657"/>
      <c r="Z543" s="657"/>
      <c r="AA543" s="481"/>
      <c r="AB543" s="491" t="s">
        <v>1965</v>
      </c>
      <c r="AC543" s="456"/>
      <c r="AD543" s="481"/>
      <c r="AF543" s="481"/>
      <c r="AG543" s="522"/>
      <c r="AH543" s="699"/>
      <c r="AI543" s="456"/>
      <c r="AJ543" s="699"/>
    </row>
    <row r="544" spans="1:36" s="454" customFormat="1" ht="33.75" x14ac:dyDescent="0.25">
      <c r="A544" s="542"/>
      <c r="B544" s="673" t="s">
        <v>1655</v>
      </c>
      <c r="C544" s="2670" t="s">
        <v>1656</v>
      </c>
      <c r="D544" s="2670"/>
      <c r="E544" s="2670"/>
      <c r="F544" s="2670"/>
      <c r="G544" s="2670"/>
      <c r="H544" s="2670"/>
      <c r="I544" s="2670"/>
      <c r="J544" s="2670"/>
      <c r="K544" s="2670"/>
      <c r="L544" s="2670"/>
      <c r="M544" s="2671"/>
      <c r="X544" s="656"/>
      <c r="Y544" s="657"/>
      <c r="Z544" s="657"/>
      <c r="AA544" s="481"/>
      <c r="AB544" s="491" t="s">
        <v>1656</v>
      </c>
      <c r="AC544" s="456"/>
      <c r="AD544" s="481"/>
      <c r="AF544" s="481"/>
      <c r="AG544" s="522"/>
      <c r="AH544" s="699"/>
      <c r="AI544" s="456"/>
      <c r="AJ544" s="699"/>
    </row>
    <row r="545" spans="1:36" s="454" customFormat="1" ht="23.25" x14ac:dyDescent="0.25">
      <c r="A545" s="507"/>
      <c r="B545" s="674" t="s">
        <v>1883</v>
      </c>
      <c r="C545" s="2672" t="s">
        <v>1884</v>
      </c>
      <c r="D545" s="2672"/>
      <c r="E545" s="2672"/>
      <c r="F545" s="675" t="s">
        <v>2307</v>
      </c>
      <c r="G545" s="676" t="s">
        <v>1886</v>
      </c>
      <c r="H545" s="676"/>
      <c r="I545" s="676">
        <v>-5335.54</v>
      </c>
      <c r="J545" s="676">
        <v>-5335.54</v>
      </c>
      <c r="K545" s="676"/>
      <c r="L545" s="677"/>
      <c r="M545" s="678"/>
      <c r="X545" s="656"/>
      <c r="Y545" s="657"/>
      <c r="Z545" s="657"/>
      <c r="AA545" s="481"/>
      <c r="AC545" s="456" t="s">
        <v>1884</v>
      </c>
      <c r="AD545" s="481"/>
      <c r="AF545" s="481"/>
      <c r="AG545" s="522"/>
      <c r="AH545" s="699"/>
      <c r="AI545" s="456"/>
      <c r="AJ545" s="699"/>
    </row>
    <row r="546" spans="1:36" s="454" customFormat="1" ht="23.25" x14ac:dyDescent="0.25">
      <c r="A546" s="507"/>
      <c r="B546" s="674" t="s">
        <v>639</v>
      </c>
      <c r="C546" s="2672" t="s">
        <v>1661</v>
      </c>
      <c r="D546" s="2672"/>
      <c r="E546" s="2672"/>
      <c r="F546" s="675" t="s">
        <v>2308</v>
      </c>
      <c r="G546" s="676">
        <v>0</v>
      </c>
      <c r="H546" s="676">
        <v>0</v>
      </c>
      <c r="I546" s="676">
        <v>0</v>
      </c>
      <c r="J546" s="676"/>
      <c r="K546" s="676">
        <v>0</v>
      </c>
      <c r="L546" s="677"/>
      <c r="M546" s="678"/>
      <c r="X546" s="656"/>
      <c r="Y546" s="657"/>
      <c r="Z546" s="657"/>
      <c r="AA546" s="481"/>
      <c r="AC546" s="456" t="s">
        <v>1661</v>
      </c>
      <c r="AD546" s="481"/>
      <c r="AF546" s="481"/>
      <c r="AG546" s="522"/>
      <c r="AH546" s="699"/>
      <c r="AI546" s="456"/>
      <c r="AJ546" s="699"/>
    </row>
    <row r="547" spans="1:36" s="454" customFormat="1" ht="23.25" x14ac:dyDescent="0.25">
      <c r="A547" s="507"/>
      <c r="B547" s="674" t="s">
        <v>1968</v>
      </c>
      <c r="C547" s="2672" t="s">
        <v>1969</v>
      </c>
      <c r="D547" s="2672"/>
      <c r="E547" s="2672"/>
      <c r="F547" s="675" t="s">
        <v>2309</v>
      </c>
      <c r="G547" s="676">
        <v>79.069999999999993</v>
      </c>
      <c r="H547" s="676" t="s">
        <v>1971</v>
      </c>
      <c r="I547" s="676">
        <v>-41.91</v>
      </c>
      <c r="J547" s="676"/>
      <c r="K547" s="676" t="s">
        <v>2310</v>
      </c>
      <c r="L547" s="677"/>
      <c r="M547" s="678"/>
      <c r="X547" s="656"/>
      <c r="Y547" s="657"/>
      <c r="Z547" s="657"/>
      <c r="AA547" s="481"/>
      <c r="AC547" s="456" t="s">
        <v>1969</v>
      </c>
      <c r="AD547" s="481"/>
      <c r="AF547" s="481"/>
      <c r="AG547" s="522"/>
      <c r="AH547" s="699"/>
      <c r="AI547" s="456"/>
      <c r="AJ547" s="699"/>
    </row>
    <row r="548" spans="1:36" s="454" customFormat="1" ht="45.75" x14ac:dyDescent="0.25">
      <c r="A548" s="507"/>
      <c r="B548" s="674" t="s">
        <v>1973</v>
      </c>
      <c r="C548" s="2672" t="s">
        <v>1974</v>
      </c>
      <c r="D548" s="2672"/>
      <c r="E548" s="2672"/>
      <c r="F548" s="675" t="s">
        <v>2311</v>
      </c>
      <c r="G548" s="676">
        <v>70.010000000000005</v>
      </c>
      <c r="H548" s="676" t="s">
        <v>1976</v>
      </c>
      <c r="I548" s="676">
        <v>-49.71</v>
      </c>
      <c r="J548" s="676"/>
      <c r="K548" s="676" t="s">
        <v>2312</v>
      </c>
      <c r="L548" s="677"/>
      <c r="M548" s="678"/>
      <c r="X548" s="656"/>
      <c r="Y548" s="657"/>
      <c r="Z548" s="657"/>
      <c r="AA548" s="481"/>
      <c r="AC548" s="456" t="s">
        <v>1974</v>
      </c>
      <c r="AD548" s="481"/>
      <c r="AF548" s="481"/>
      <c r="AG548" s="522"/>
      <c r="AH548" s="699"/>
      <c r="AI548" s="456"/>
      <c r="AJ548" s="699"/>
    </row>
    <row r="549" spans="1:36" s="454" customFormat="1" ht="57" x14ac:dyDescent="0.25">
      <c r="A549" s="507"/>
      <c r="B549" s="674" t="s">
        <v>1978</v>
      </c>
      <c r="C549" s="2672" t="s">
        <v>1979</v>
      </c>
      <c r="D549" s="2672"/>
      <c r="E549" s="2672"/>
      <c r="F549" s="675" t="s">
        <v>2313</v>
      </c>
      <c r="G549" s="676">
        <v>340</v>
      </c>
      <c r="H549" s="676" t="s">
        <v>1981</v>
      </c>
      <c r="I549" s="676">
        <v>-42374.2</v>
      </c>
      <c r="J549" s="676"/>
      <c r="K549" s="676" t="s">
        <v>2314</v>
      </c>
      <c r="L549" s="677"/>
      <c r="M549" s="678"/>
      <c r="X549" s="656"/>
      <c r="Y549" s="657"/>
      <c r="Z549" s="657"/>
      <c r="AA549" s="481"/>
      <c r="AC549" s="456" t="s">
        <v>1979</v>
      </c>
      <c r="AD549" s="481"/>
      <c r="AF549" s="481"/>
      <c r="AG549" s="522"/>
      <c r="AH549" s="699"/>
      <c r="AI549" s="456"/>
      <c r="AJ549" s="699"/>
    </row>
    <row r="550" spans="1:36" s="454" customFormat="1" ht="34.5" x14ac:dyDescent="0.25">
      <c r="A550" s="507"/>
      <c r="B550" s="674" t="s">
        <v>1663</v>
      </c>
      <c r="C550" s="2672" t="s">
        <v>1664</v>
      </c>
      <c r="D550" s="2672"/>
      <c r="E550" s="2672"/>
      <c r="F550" s="675" t="s">
        <v>2315</v>
      </c>
      <c r="G550" s="676">
        <v>111.99</v>
      </c>
      <c r="H550" s="676" t="s">
        <v>1666</v>
      </c>
      <c r="I550" s="676">
        <v>-87.35</v>
      </c>
      <c r="J550" s="676"/>
      <c r="K550" s="676" t="s">
        <v>2316</v>
      </c>
      <c r="L550" s="677"/>
      <c r="M550" s="678"/>
      <c r="X550" s="656"/>
      <c r="Y550" s="657"/>
      <c r="Z550" s="657"/>
      <c r="AA550" s="481"/>
      <c r="AC550" s="456" t="s">
        <v>1664</v>
      </c>
      <c r="AD550" s="481"/>
      <c r="AF550" s="481"/>
      <c r="AG550" s="522"/>
      <c r="AH550" s="699"/>
      <c r="AI550" s="456"/>
      <c r="AJ550" s="699"/>
    </row>
    <row r="551" spans="1:36" s="454" customFormat="1" ht="23.25" x14ac:dyDescent="0.25">
      <c r="A551" s="507"/>
      <c r="B551" s="674" t="s">
        <v>1985</v>
      </c>
      <c r="C551" s="2672" t="s">
        <v>1986</v>
      </c>
      <c r="D551" s="2672"/>
      <c r="E551" s="2672"/>
      <c r="F551" s="675" t="s">
        <v>2317</v>
      </c>
      <c r="G551" s="676">
        <v>26.5</v>
      </c>
      <c r="H551" s="676" t="s">
        <v>1988</v>
      </c>
      <c r="I551" s="676">
        <v>-252.02</v>
      </c>
      <c r="J551" s="676"/>
      <c r="K551" s="676" t="s">
        <v>2318</v>
      </c>
      <c r="L551" s="677"/>
      <c r="M551" s="678"/>
      <c r="X551" s="656"/>
      <c r="Y551" s="657"/>
      <c r="Z551" s="657"/>
      <c r="AA551" s="481"/>
      <c r="AC551" s="456" t="s">
        <v>1986</v>
      </c>
      <c r="AD551" s="481"/>
      <c r="AF551" s="481"/>
      <c r="AG551" s="522"/>
      <c r="AH551" s="699"/>
      <c r="AI551" s="456"/>
      <c r="AJ551" s="699"/>
    </row>
    <row r="552" spans="1:36" s="454" customFormat="1" ht="34.5" x14ac:dyDescent="0.25">
      <c r="A552" s="507"/>
      <c r="B552" s="674" t="s">
        <v>821</v>
      </c>
      <c r="C552" s="2672" t="s">
        <v>1751</v>
      </c>
      <c r="D552" s="2672"/>
      <c r="E552" s="2672"/>
      <c r="F552" s="675" t="s">
        <v>2319</v>
      </c>
      <c r="G552" s="676">
        <v>65.709999999999994</v>
      </c>
      <c r="H552" s="676" t="s">
        <v>1753</v>
      </c>
      <c r="I552" s="676">
        <v>-76.88</v>
      </c>
      <c r="J552" s="676"/>
      <c r="K552" s="676" t="s">
        <v>2320</v>
      </c>
      <c r="L552" s="677"/>
      <c r="M552" s="678"/>
      <c r="X552" s="656"/>
      <c r="Y552" s="657"/>
      <c r="Z552" s="657"/>
      <c r="AA552" s="481"/>
      <c r="AC552" s="456" t="s">
        <v>1751</v>
      </c>
      <c r="AD552" s="481"/>
      <c r="AF552" s="481"/>
      <c r="AG552" s="522"/>
      <c r="AH552" s="699"/>
      <c r="AI552" s="456"/>
      <c r="AJ552" s="699"/>
    </row>
    <row r="553" spans="1:36" s="454" customFormat="1" ht="23.25" x14ac:dyDescent="0.25">
      <c r="A553" s="515" t="s">
        <v>863</v>
      </c>
      <c r="B553" s="686" t="s">
        <v>1992</v>
      </c>
      <c r="C553" s="2683" t="s">
        <v>1993</v>
      </c>
      <c r="D553" s="2683"/>
      <c r="E553" s="2683"/>
      <c r="F553" s="687" t="s">
        <v>2321</v>
      </c>
      <c r="G553" s="688">
        <v>0</v>
      </c>
      <c r="H553" s="688"/>
      <c r="I553" s="688">
        <v>0</v>
      </c>
      <c r="J553" s="688"/>
      <c r="K553" s="688"/>
      <c r="L553" s="689"/>
      <c r="M553" s="690"/>
      <c r="X553" s="656"/>
      <c r="Y553" s="657"/>
      <c r="Z553" s="657"/>
      <c r="AA553" s="481"/>
      <c r="AC553" s="456"/>
      <c r="AD553" s="481"/>
      <c r="AF553" s="481"/>
      <c r="AG553" s="522" t="s">
        <v>1993</v>
      </c>
      <c r="AH553" s="699"/>
      <c r="AI553" s="456"/>
      <c r="AJ553" s="699"/>
    </row>
    <row r="554" spans="1:36" s="454" customFormat="1" ht="57" x14ac:dyDescent="0.25">
      <c r="A554" s="507"/>
      <c r="B554" s="674" t="s">
        <v>1995</v>
      </c>
      <c r="C554" s="2672" t="s">
        <v>1996</v>
      </c>
      <c r="D554" s="2672"/>
      <c r="E554" s="2672"/>
      <c r="F554" s="675" t="s">
        <v>2322</v>
      </c>
      <c r="G554" s="676">
        <v>183.68</v>
      </c>
      <c r="H554" s="676"/>
      <c r="I554" s="676">
        <v>-214.17</v>
      </c>
      <c r="J554" s="676"/>
      <c r="K554" s="676"/>
      <c r="L554" s="677"/>
      <c r="M554" s="678"/>
      <c r="X554" s="656"/>
      <c r="Y554" s="657"/>
      <c r="Z554" s="657"/>
      <c r="AA554" s="481"/>
      <c r="AC554" s="456" t="s">
        <v>1996</v>
      </c>
      <c r="AD554" s="481"/>
      <c r="AF554" s="481"/>
      <c r="AG554" s="522"/>
      <c r="AH554" s="699"/>
      <c r="AI554" s="456"/>
      <c r="AJ554" s="699"/>
    </row>
    <row r="555" spans="1:36" s="454" customFormat="1" ht="23.25" x14ac:dyDescent="0.25">
      <c r="A555" s="515" t="s">
        <v>863</v>
      </c>
      <c r="B555" s="686" t="s">
        <v>1998</v>
      </c>
      <c r="C555" s="2683" t="s">
        <v>1999</v>
      </c>
      <c r="D555" s="2683"/>
      <c r="E555" s="2683"/>
      <c r="F555" s="687" t="s">
        <v>2323</v>
      </c>
      <c r="G555" s="688">
        <v>0</v>
      </c>
      <c r="H555" s="688"/>
      <c r="I555" s="688">
        <v>0</v>
      </c>
      <c r="J555" s="688"/>
      <c r="K555" s="688"/>
      <c r="L555" s="689"/>
      <c r="M555" s="690"/>
      <c r="X555" s="656"/>
      <c r="Y555" s="657"/>
      <c r="Z555" s="657"/>
      <c r="AA555" s="481"/>
      <c r="AC555" s="456"/>
      <c r="AD555" s="481"/>
      <c r="AF555" s="481"/>
      <c r="AG555" s="522" t="s">
        <v>1999</v>
      </c>
      <c r="AH555" s="699"/>
      <c r="AI555" s="456"/>
      <c r="AJ555" s="699"/>
    </row>
    <row r="556" spans="1:36" s="454" customFormat="1" ht="22.5" x14ac:dyDescent="0.25">
      <c r="A556" s="515" t="s">
        <v>860</v>
      </c>
      <c r="B556" s="686" t="s">
        <v>2001</v>
      </c>
      <c r="C556" s="2683" t="s">
        <v>2002</v>
      </c>
      <c r="D556" s="2683"/>
      <c r="E556" s="2683"/>
      <c r="F556" s="687" t="s">
        <v>1935</v>
      </c>
      <c r="G556" s="688">
        <v>0</v>
      </c>
      <c r="H556" s="688"/>
      <c r="I556" s="688">
        <v>0</v>
      </c>
      <c r="J556" s="688"/>
      <c r="K556" s="688"/>
      <c r="L556" s="689"/>
      <c r="M556" s="690"/>
      <c r="X556" s="656"/>
      <c r="Y556" s="657"/>
      <c r="Z556" s="657"/>
      <c r="AA556" s="481"/>
      <c r="AC556" s="456"/>
      <c r="AD556" s="481"/>
      <c r="AF556" s="481"/>
      <c r="AG556" s="522" t="s">
        <v>2002</v>
      </c>
      <c r="AH556" s="699"/>
      <c r="AI556" s="456"/>
      <c r="AJ556" s="699"/>
    </row>
    <row r="557" spans="1:36" s="454" customFormat="1" ht="45" x14ac:dyDescent="0.25">
      <c r="A557" s="658" t="s">
        <v>1374</v>
      </c>
      <c r="B557" s="659" t="s">
        <v>2026</v>
      </c>
      <c r="C557" s="2673" t="s">
        <v>1254</v>
      </c>
      <c r="D557" s="2673"/>
      <c r="E557" s="2673"/>
      <c r="F557" s="680">
        <v>-3.6</v>
      </c>
      <c r="G557" s="661">
        <v>480</v>
      </c>
      <c r="H557" s="661"/>
      <c r="I557" s="661">
        <v>-1728</v>
      </c>
      <c r="J557" s="661"/>
      <c r="K557" s="662"/>
      <c r="L557" s="663">
        <v>0</v>
      </c>
      <c r="M557" s="663">
        <v>0</v>
      </c>
      <c r="X557" s="656"/>
      <c r="Y557" s="657"/>
      <c r="Z557" s="657"/>
      <c r="AA557" s="481" t="s">
        <v>1254</v>
      </c>
      <c r="AC557" s="456"/>
      <c r="AD557" s="481"/>
      <c r="AF557" s="481"/>
      <c r="AG557" s="522"/>
      <c r="AH557" s="699"/>
      <c r="AI557" s="456"/>
      <c r="AJ557" s="699"/>
    </row>
    <row r="558" spans="1:36" s="454" customFormat="1" ht="15" x14ac:dyDescent="0.25">
      <c r="A558" s="664"/>
      <c r="B558" s="665"/>
      <c r="C558" s="666" t="s">
        <v>2324</v>
      </c>
      <c r="D558" s="667"/>
      <c r="E558" s="667"/>
      <c r="F558" s="667"/>
      <c r="G558" s="667"/>
      <c r="H558" s="667"/>
      <c r="I558" s="667"/>
      <c r="J558" s="667"/>
      <c r="K558" s="667"/>
      <c r="L558" s="667"/>
      <c r="M558" s="668"/>
      <c r="X558" s="656"/>
      <c r="Y558" s="657"/>
      <c r="Z558" s="657"/>
      <c r="AA558" s="481"/>
      <c r="AC558" s="456"/>
      <c r="AD558" s="481"/>
      <c r="AF558" s="481"/>
      <c r="AG558" s="522"/>
      <c r="AH558" s="699"/>
      <c r="AI558" s="456"/>
      <c r="AJ558" s="699"/>
    </row>
    <row r="559" spans="1:36" s="454" customFormat="1" ht="45" x14ac:dyDescent="0.25">
      <c r="A559" s="658" t="s">
        <v>1377</v>
      </c>
      <c r="B559" s="659" t="s">
        <v>2028</v>
      </c>
      <c r="C559" s="2673" t="s">
        <v>1257</v>
      </c>
      <c r="D559" s="2673"/>
      <c r="E559" s="2673"/>
      <c r="F559" s="680">
        <v>-2.5</v>
      </c>
      <c r="G559" s="661">
        <v>2.44</v>
      </c>
      <c r="H559" s="661"/>
      <c r="I559" s="661">
        <v>-6</v>
      </c>
      <c r="J559" s="661"/>
      <c r="K559" s="662"/>
      <c r="L559" s="663">
        <v>0</v>
      </c>
      <c r="M559" s="663">
        <v>0</v>
      </c>
      <c r="X559" s="656"/>
      <c r="Y559" s="657"/>
      <c r="Z559" s="657"/>
      <c r="AA559" s="481" t="s">
        <v>1257</v>
      </c>
      <c r="AC559" s="456"/>
      <c r="AD559" s="481"/>
      <c r="AF559" s="481"/>
      <c r="AG559" s="522"/>
      <c r="AH559" s="699"/>
      <c r="AI559" s="456"/>
      <c r="AJ559" s="699"/>
    </row>
    <row r="560" spans="1:36" s="454" customFormat="1" ht="15" x14ac:dyDescent="0.25">
      <c r="A560" s="664"/>
      <c r="B560" s="665"/>
      <c r="C560" s="666" t="s">
        <v>2325</v>
      </c>
      <c r="D560" s="667"/>
      <c r="E560" s="667"/>
      <c r="F560" s="667"/>
      <c r="G560" s="667"/>
      <c r="H560" s="667"/>
      <c r="I560" s="667"/>
      <c r="J560" s="667"/>
      <c r="K560" s="667"/>
      <c r="L560" s="667"/>
      <c r="M560" s="668"/>
      <c r="X560" s="656"/>
      <c r="Y560" s="657"/>
      <c r="Z560" s="657"/>
      <c r="AA560" s="481"/>
      <c r="AC560" s="456"/>
      <c r="AD560" s="481"/>
      <c r="AF560" s="481"/>
      <c r="AG560" s="522"/>
      <c r="AH560" s="699"/>
      <c r="AI560" s="456"/>
      <c r="AJ560" s="699"/>
    </row>
    <row r="561" spans="1:36" s="454" customFormat="1" ht="45.75" x14ac:dyDescent="0.25">
      <c r="A561" s="658" t="s">
        <v>1379</v>
      </c>
      <c r="B561" s="659" t="s">
        <v>2030</v>
      </c>
      <c r="C561" s="2673" t="s">
        <v>2031</v>
      </c>
      <c r="D561" s="2673"/>
      <c r="E561" s="2673"/>
      <c r="F561" s="680">
        <v>-1.2</v>
      </c>
      <c r="G561" s="661" t="s">
        <v>2032</v>
      </c>
      <c r="H561" s="661" t="s">
        <v>2033</v>
      </c>
      <c r="I561" s="661">
        <v>-13432</v>
      </c>
      <c r="J561" s="661">
        <v>-1801</v>
      </c>
      <c r="K561" s="662" t="s">
        <v>2326</v>
      </c>
      <c r="L561" s="671">
        <v>156.04499999999999</v>
      </c>
      <c r="M561" s="672">
        <v>-187.25</v>
      </c>
      <c r="X561" s="656"/>
      <c r="Y561" s="657"/>
      <c r="Z561" s="657"/>
      <c r="AA561" s="481" t="s">
        <v>2031</v>
      </c>
      <c r="AC561" s="456"/>
      <c r="AD561" s="481"/>
      <c r="AF561" s="481"/>
      <c r="AG561" s="522"/>
      <c r="AH561" s="699"/>
      <c r="AI561" s="456"/>
      <c r="AJ561" s="699"/>
    </row>
    <row r="562" spans="1:36" s="454" customFormat="1" ht="15" x14ac:dyDescent="0.25">
      <c r="A562" s="664"/>
      <c r="B562" s="665"/>
      <c r="C562" s="666" t="s">
        <v>2327</v>
      </c>
      <c r="D562" s="667"/>
      <c r="E562" s="667"/>
      <c r="F562" s="667"/>
      <c r="G562" s="667"/>
      <c r="H562" s="667"/>
      <c r="I562" s="667"/>
      <c r="J562" s="667"/>
      <c r="K562" s="667"/>
      <c r="L562" s="667"/>
      <c r="M562" s="668"/>
      <c r="X562" s="656"/>
      <c r="Y562" s="657"/>
      <c r="Z562" s="657"/>
      <c r="AA562" s="481"/>
      <c r="AC562" s="456"/>
      <c r="AD562" s="481"/>
      <c r="AF562" s="481"/>
      <c r="AG562" s="522"/>
      <c r="AH562" s="699"/>
      <c r="AI562" s="456"/>
      <c r="AJ562" s="699"/>
    </row>
    <row r="563" spans="1:36" s="454" customFormat="1" ht="15" x14ac:dyDescent="0.25">
      <c r="A563" s="542"/>
      <c r="B563" s="665"/>
      <c r="C563" s="666" t="s">
        <v>2036</v>
      </c>
      <c r="D563" s="667"/>
      <c r="E563" s="667"/>
      <c r="F563" s="667"/>
      <c r="G563" s="667"/>
      <c r="H563" s="667"/>
      <c r="I563" s="667"/>
      <c r="J563" s="667"/>
      <c r="K563" s="667"/>
      <c r="L563" s="667"/>
      <c r="M563" s="669"/>
      <c r="X563" s="656"/>
      <c r="Y563" s="657"/>
      <c r="Z563" s="657"/>
      <c r="AA563" s="481"/>
      <c r="AC563" s="456"/>
      <c r="AD563" s="481"/>
      <c r="AF563" s="481"/>
      <c r="AG563" s="522"/>
      <c r="AH563" s="699"/>
      <c r="AI563" s="456"/>
      <c r="AJ563" s="699"/>
    </row>
    <row r="564" spans="1:36" s="454" customFormat="1" ht="33.75" x14ac:dyDescent="0.25">
      <c r="A564" s="542"/>
      <c r="B564" s="673" t="s">
        <v>1655</v>
      </c>
      <c r="C564" s="2670" t="s">
        <v>1656</v>
      </c>
      <c r="D564" s="2670"/>
      <c r="E564" s="2670"/>
      <c r="F564" s="2670"/>
      <c r="G564" s="2670"/>
      <c r="H564" s="2670"/>
      <c r="I564" s="2670"/>
      <c r="J564" s="2670"/>
      <c r="K564" s="2670"/>
      <c r="L564" s="2670"/>
      <c r="M564" s="2671"/>
      <c r="X564" s="656"/>
      <c r="Y564" s="657"/>
      <c r="Z564" s="657"/>
      <c r="AA564" s="481"/>
      <c r="AB564" s="491" t="s">
        <v>1656</v>
      </c>
      <c r="AC564" s="456"/>
      <c r="AD564" s="481"/>
      <c r="AF564" s="481"/>
      <c r="AG564" s="522"/>
      <c r="AH564" s="699"/>
      <c r="AI564" s="456"/>
      <c r="AJ564" s="699"/>
    </row>
    <row r="565" spans="1:36" s="454" customFormat="1" ht="23.25" x14ac:dyDescent="0.25">
      <c r="A565" s="507"/>
      <c r="B565" s="674" t="s">
        <v>1883</v>
      </c>
      <c r="C565" s="2672" t="s">
        <v>1884</v>
      </c>
      <c r="D565" s="2672"/>
      <c r="E565" s="2672"/>
      <c r="F565" s="675" t="s">
        <v>2328</v>
      </c>
      <c r="G565" s="676" t="s">
        <v>1886</v>
      </c>
      <c r="H565" s="676"/>
      <c r="I565" s="676">
        <v>-1801.35</v>
      </c>
      <c r="J565" s="676">
        <v>-1801.35</v>
      </c>
      <c r="K565" s="676"/>
      <c r="L565" s="677"/>
      <c r="M565" s="678"/>
      <c r="X565" s="656"/>
      <c r="Y565" s="657"/>
      <c r="Z565" s="657"/>
      <c r="AA565" s="481"/>
      <c r="AC565" s="456" t="s">
        <v>1884</v>
      </c>
      <c r="AD565" s="481"/>
      <c r="AF565" s="481"/>
      <c r="AG565" s="522"/>
      <c r="AH565" s="699"/>
      <c r="AI565" s="456"/>
      <c r="AJ565" s="699"/>
    </row>
    <row r="566" spans="1:36" s="454" customFormat="1" ht="23.25" x14ac:dyDescent="0.25">
      <c r="A566" s="507"/>
      <c r="B566" s="674" t="s">
        <v>639</v>
      </c>
      <c r="C566" s="2672" t="s">
        <v>1661</v>
      </c>
      <c r="D566" s="2672"/>
      <c r="E566" s="2672"/>
      <c r="F566" s="675" t="s">
        <v>2329</v>
      </c>
      <c r="G566" s="676">
        <v>0</v>
      </c>
      <c r="H566" s="676">
        <v>0</v>
      </c>
      <c r="I566" s="676">
        <v>0</v>
      </c>
      <c r="J566" s="676"/>
      <c r="K566" s="676">
        <v>0</v>
      </c>
      <c r="L566" s="677"/>
      <c r="M566" s="678"/>
      <c r="X566" s="656"/>
      <c r="Y566" s="657"/>
      <c r="Z566" s="657"/>
      <c r="AA566" s="481"/>
      <c r="AC566" s="456" t="s">
        <v>1661</v>
      </c>
      <c r="AD566" s="481"/>
      <c r="AF566" s="481"/>
      <c r="AG566" s="522"/>
      <c r="AH566" s="699"/>
      <c r="AI566" s="456"/>
      <c r="AJ566" s="699"/>
    </row>
    <row r="567" spans="1:36" s="454" customFormat="1" ht="45.75" x14ac:dyDescent="0.25">
      <c r="A567" s="507"/>
      <c r="B567" s="674" t="s">
        <v>2039</v>
      </c>
      <c r="C567" s="2672" t="s">
        <v>2040</v>
      </c>
      <c r="D567" s="2672"/>
      <c r="E567" s="2672"/>
      <c r="F567" s="675" t="s">
        <v>2330</v>
      </c>
      <c r="G567" s="676">
        <v>179.46</v>
      </c>
      <c r="H567" s="676" t="s">
        <v>2042</v>
      </c>
      <c r="I567" s="676">
        <v>-1552.33</v>
      </c>
      <c r="J567" s="676"/>
      <c r="K567" s="676" t="s">
        <v>2331</v>
      </c>
      <c r="L567" s="677"/>
      <c r="M567" s="678"/>
      <c r="X567" s="656"/>
      <c r="Y567" s="657"/>
      <c r="Z567" s="657"/>
      <c r="AA567" s="481"/>
      <c r="AC567" s="456" t="s">
        <v>2040</v>
      </c>
      <c r="AD567" s="481"/>
      <c r="AF567" s="481"/>
      <c r="AG567" s="522"/>
      <c r="AH567" s="699"/>
      <c r="AI567" s="456"/>
      <c r="AJ567" s="699"/>
    </row>
    <row r="568" spans="1:36" s="454" customFormat="1" ht="34.5" x14ac:dyDescent="0.25">
      <c r="A568" s="507"/>
      <c r="B568" s="674" t="s">
        <v>1663</v>
      </c>
      <c r="C568" s="2672" t="s">
        <v>1664</v>
      </c>
      <c r="D568" s="2672"/>
      <c r="E568" s="2672"/>
      <c r="F568" s="675" t="s">
        <v>2332</v>
      </c>
      <c r="G568" s="676">
        <v>111.99</v>
      </c>
      <c r="H568" s="676" t="s">
        <v>1666</v>
      </c>
      <c r="I568" s="676">
        <v>-25.76</v>
      </c>
      <c r="J568" s="676"/>
      <c r="K568" s="676" t="s">
        <v>2333</v>
      </c>
      <c r="L568" s="677"/>
      <c r="M568" s="678"/>
      <c r="X568" s="656"/>
      <c r="Y568" s="657"/>
      <c r="Z568" s="657"/>
      <c r="AA568" s="481"/>
      <c r="AC568" s="456" t="s">
        <v>1664</v>
      </c>
      <c r="AD568" s="481"/>
      <c r="AF568" s="481"/>
      <c r="AG568" s="522"/>
      <c r="AH568" s="699"/>
      <c r="AI568" s="456"/>
      <c r="AJ568" s="699"/>
    </row>
    <row r="569" spans="1:36" s="454" customFormat="1" ht="34.5" x14ac:dyDescent="0.25">
      <c r="A569" s="507"/>
      <c r="B569" s="674" t="s">
        <v>2046</v>
      </c>
      <c r="C569" s="2672" t="s">
        <v>2047</v>
      </c>
      <c r="D569" s="2672"/>
      <c r="E569" s="2672"/>
      <c r="F569" s="675" t="s">
        <v>2334</v>
      </c>
      <c r="G569" s="676">
        <v>6.9</v>
      </c>
      <c r="H569" s="676" t="s">
        <v>2049</v>
      </c>
      <c r="I569" s="676">
        <v>-30.98</v>
      </c>
      <c r="J569" s="676"/>
      <c r="K569" s="676" t="s">
        <v>2335</v>
      </c>
      <c r="L569" s="677"/>
      <c r="M569" s="678"/>
      <c r="X569" s="656"/>
      <c r="Y569" s="657"/>
      <c r="Z569" s="657"/>
      <c r="AA569" s="481"/>
      <c r="AC569" s="456" t="s">
        <v>2047</v>
      </c>
      <c r="AD569" s="481"/>
      <c r="AF569" s="481"/>
      <c r="AG569" s="522"/>
      <c r="AH569" s="699"/>
      <c r="AI569" s="456"/>
      <c r="AJ569" s="699"/>
    </row>
    <row r="570" spans="1:36" s="454" customFormat="1" ht="34.5" x14ac:dyDescent="0.25">
      <c r="A570" s="507"/>
      <c r="B570" s="674" t="s">
        <v>2051</v>
      </c>
      <c r="C570" s="2672" t="s">
        <v>2052</v>
      </c>
      <c r="D570" s="2672"/>
      <c r="E570" s="2672"/>
      <c r="F570" s="675" t="s">
        <v>2336</v>
      </c>
      <c r="G570" s="676">
        <v>80.349999999999994</v>
      </c>
      <c r="H570" s="676" t="s">
        <v>2054</v>
      </c>
      <c r="I570" s="676">
        <v>-3575.58</v>
      </c>
      <c r="J570" s="676"/>
      <c r="K570" s="676" t="s">
        <v>2337</v>
      </c>
      <c r="L570" s="677"/>
      <c r="M570" s="678"/>
      <c r="X570" s="656"/>
      <c r="Y570" s="657"/>
      <c r="Z570" s="657"/>
      <c r="AA570" s="481"/>
      <c r="AC570" s="456" t="s">
        <v>2052</v>
      </c>
      <c r="AD570" s="481"/>
      <c r="AF570" s="481"/>
      <c r="AG570" s="522"/>
      <c r="AH570" s="699"/>
      <c r="AI570" s="456"/>
      <c r="AJ570" s="699"/>
    </row>
    <row r="571" spans="1:36" s="454" customFormat="1" ht="34.5" x14ac:dyDescent="0.25">
      <c r="A571" s="507"/>
      <c r="B571" s="674" t="s">
        <v>821</v>
      </c>
      <c r="C571" s="2672" t="s">
        <v>1751</v>
      </c>
      <c r="D571" s="2672"/>
      <c r="E571" s="2672"/>
      <c r="F571" s="675" t="s">
        <v>2338</v>
      </c>
      <c r="G571" s="676">
        <v>65.709999999999994</v>
      </c>
      <c r="H571" s="676" t="s">
        <v>1753</v>
      </c>
      <c r="I571" s="676">
        <v>-34.83</v>
      </c>
      <c r="J571" s="676"/>
      <c r="K571" s="676" t="s">
        <v>2339</v>
      </c>
      <c r="L571" s="677"/>
      <c r="M571" s="678"/>
      <c r="X571" s="656"/>
      <c r="Y571" s="657"/>
      <c r="Z571" s="657"/>
      <c r="AA571" s="481"/>
      <c r="AC571" s="456" t="s">
        <v>1751</v>
      </c>
      <c r="AD571" s="481"/>
      <c r="AF571" s="481"/>
      <c r="AG571" s="522"/>
      <c r="AH571" s="699"/>
      <c r="AI571" s="456"/>
      <c r="AJ571" s="699"/>
    </row>
    <row r="572" spans="1:36" s="454" customFormat="1" ht="23.25" x14ac:dyDescent="0.25">
      <c r="A572" s="515" t="s">
        <v>860</v>
      </c>
      <c r="B572" s="686" t="s">
        <v>1755</v>
      </c>
      <c r="C572" s="2683" t="s">
        <v>1257</v>
      </c>
      <c r="D572" s="2683"/>
      <c r="E572" s="2683"/>
      <c r="F572" s="687" t="s">
        <v>1935</v>
      </c>
      <c r="G572" s="688">
        <v>2.44</v>
      </c>
      <c r="H572" s="688"/>
      <c r="I572" s="688">
        <v>0</v>
      </c>
      <c r="J572" s="688"/>
      <c r="K572" s="688"/>
      <c r="L572" s="689"/>
      <c r="M572" s="690"/>
      <c r="X572" s="656"/>
      <c r="Y572" s="657"/>
      <c r="Z572" s="657"/>
      <c r="AA572" s="481"/>
      <c r="AC572" s="456"/>
      <c r="AD572" s="481"/>
      <c r="AF572" s="481"/>
      <c r="AG572" s="522" t="s">
        <v>1257</v>
      </c>
      <c r="AH572" s="699"/>
      <c r="AI572" s="456"/>
      <c r="AJ572" s="699"/>
    </row>
    <row r="573" spans="1:36" s="454" customFormat="1" ht="23.25" x14ac:dyDescent="0.25">
      <c r="A573" s="507"/>
      <c r="B573" s="674" t="s">
        <v>2058</v>
      </c>
      <c r="C573" s="2672" t="s">
        <v>2059</v>
      </c>
      <c r="D573" s="2672"/>
      <c r="E573" s="2672"/>
      <c r="F573" s="675" t="s">
        <v>2060</v>
      </c>
      <c r="G573" s="676">
        <v>30030</v>
      </c>
      <c r="H573" s="676"/>
      <c r="I573" s="676">
        <v>-3</v>
      </c>
      <c r="J573" s="676"/>
      <c r="K573" s="676"/>
      <c r="L573" s="677"/>
      <c r="M573" s="678"/>
      <c r="X573" s="656"/>
      <c r="Y573" s="657"/>
      <c r="Z573" s="657"/>
      <c r="AA573" s="481"/>
      <c r="AC573" s="456" t="s">
        <v>2059</v>
      </c>
      <c r="AD573" s="481"/>
      <c r="AF573" s="481"/>
      <c r="AG573" s="522"/>
      <c r="AH573" s="699"/>
      <c r="AI573" s="456"/>
      <c r="AJ573" s="699"/>
    </row>
    <row r="574" spans="1:36" s="454" customFormat="1" ht="23.25" x14ac:dyDescent="0.25">
      <c r="A574" s="507"/>
      <c r="B574" s="674" t="s">
        <v>1823</v>
      </c>
      <c r="C574" s="2672" t="s">
        <v>1824</v>
      </c>
      <c r="D574" s="2672"/>
      <c r="E574" s="2672"/>
      <c r="F574" s="675" t="s">
        <v>2340</v>
      </c>
      <c r="G574" s="676">
        <v>9040.01</v>
      </c>
      <c r="H574" s="676"/>
      <c r="I574" s="676">
        <v>-21.7</v>
      </c>
      <c r="J574" s="676"/>
      <c r="K574" s="676"/>
      <c r="L574" s="677"/>
      <c r="M574" s="678"/>
      <c r="X574" s="656"/>
      <c r="Y574" s="657"/>
      <c r="Z574" s="657"/>
      <c r="AA574" s="481"/>
      <c r="AC574" s="456" t="s">
        <v>1824</v>
      </c>
      <c r="AD574" s="481"/>
      <c r="AF574" s="481"/>
      <c r="AG574" s="522"/>
      <c r="AH574" s="699"/>
      <c r="AI574" s="456"/>
      <c r="AJ574" s="699"/>
    </row>
    <row r="575" spans="1:36" s="454" customFormat="1" ht="45.75" x14ac:dyDescent="0.25">
      <c r="A575" s="507"/>
      <c r="B575" s="674" t="s">
        <v>2062</v>
      </c>
      <c r="C575" s="2672" t="s">
        <v>2063</v>
      </c>
      <c r="D575" s="2672"/>
      <c r="E575" s="2672"/>
      <c r="F575" s="675" t="s">
        <v>2341</v>
      </c>
      <c r="G575" s="676">
        <v>67.099999999999994</v>
      </c>
      <c r="H575" s="676"/>
      <c r="I575" s="676">
        <v>-80.52</v>
      </c>
      <c r="J575" s="676"/>
      <c r="K575" s="676"/>
      <c r="L575" s="677"/>
      <c r="M575" s="678"/>
      <c r="X575" s="656"/>
      <c r="Y575" s="657"/>
      <c r="Z575" s="657"/>
      <c r="AA575" s="481"/>
      <c r="AC575" s="456" t="s">
        <v>2063</v>
      </c>
      <c r="AD575" s="481"/>
      <c r="AF575" s="481"/>
      <c r="AG575" s="522"/>
      <c r="AH575" s="699"/>
      <c r="AI575" s="456"/>
      <c r="AJ575" s="699"/>
    </row>
    <row r="576" spans="1:36" s="454" customFormat="1" ht="23.25" x14ac:dyDescent="0.25">
      <c r="A576" s="515" t="s">
        <v>860</v>
      </c>
      <c r="B576" s="686" t="s">
        <v>2065</v>
      </c>
      <c r="C576" s="2683" t="s">
        <v>2066</v>
      </c>
      <c r="D576" s="2683"/>
      <c r="E576" s="2683"/>
      <c r="F576" s="687" t="s">
        <v>1935</v>
      </c>
      <c r="G576" s="688">
        <v>0</v>
      </c>
      <c r="H576" s="688"/>
      <c r="I576" s="688">
        <v>0</v>
      </c>
      <c r="J576" s="688"/>
      <c r="K576" s="688"/>
      <c r="L576" s="689"/>
      <c r="M576" s="690"/>
      <c r="X576" s="656"/>
      <c r="Y576" s="657"/>
      <c r="Z576" s="657"/>
      <c r="AA576" s="481"/>
      <c r="AC576" s="456"/>
      <c r="AD576" s="481"/>
      <c r="AF576" s="481"/>
      <c r="AG576" s="522" t="s">
        <v>2066</v>
      </c>
      <c r="AH576" s="699"/>
      <c r="AI576" s="456"/>
      <c r="AJ576" s="699"/>
    </row>
    <row r="577" spans="1:36" s="454" customFormat="1" ht="34.5" x14ac:dyDescent="0.25">
      <c r="A577" s="515" t="s">
        <v>860</v>
      </c>
      <c r="B577" s="686" t="s">
        <v>2067</v>
      </c>
      <c r="C577" s="2683" t="s">
        <v>2068</v>
      </c>
      <c r="D577" s="2683"/>
      <c r="E577" s="2683"/>
      <c r="F577" s="687" t="s">
        <v>1935</v>
      </c>
      <c r="G577" s="688">
        <v>412</v>
      </c>
      <c r="H577" s="688"/>
      <c r="I577" s="688">
        <v>0</v>
      </c>
      <c r="J577" s="688"/>
      <c r="K577" s="688"/>
      <c r="L577" s="689"/>
      <c r="M577" s="690"/>
      <c r="X577" s="656"/>
      <c r="Y577" s="657"/>
      <c r="Z577" s="657"/>
      <c r="AA577" s="481"/>
      <c r="AC577" s="456"/>
      <c r="AD577" s="481"/>
      <c r="AF577" s="481"/>
      <c r="AG577" s="522" t="s">
        <v>2068</v>
      </c>
      <c r="AH577" s="699"/>
      <c r="AI577" s="456"/>
      <c r="AJ577" s="699"/>
    </row>
    <row r="578" spans="1:36" s="454" customFormat="1" ht="45.75" x14ac:dyDescent="0.25">
      <c r="A578" s="507" t="s">
        <v>2069</v>
      </c>
      <c r="B578" s="674" t="s">
        <v>2070</v>
      </c>
      <c r="C578" s="2672" t="s">
        <v>2071</v>
      </c>
      <c r="D578" s="2672"/>
      <c r="E578" s="2672"/>
      <c r="F578" s="675" t="s">
        <v>2342</v>
      </c>
      <c r="G578" s="676">
        <v>1553</v>
      </c>
      <c r="H578" s="676"/>
      <c r="I578" s="676">
        <v>-2422.6799999999998</v>
      </c>
      <c r="J578" s="676"/>
      <c r="K578" s="676"/>
      <c r="L578" s="677"/>
      <c r="M578" s="678"/>
      <c r="X578" s="656"/>
      <c r="Y578" s="657"/>
      <c r="Z578" s="657"/>
      <c r="AA578" s="481"/>
      <c r="AC578" s="456"/>
      <c r="AD578" s="481"/>
      <c r="AF578" s="481"/>
      <c r="AG578" s="522"/>
      <c r="AH578" s="699"/>
      <c r="AI578" s="456" t="s">
        <v>2071</v>
      </c>
      <c r="AJ578" s="699"/>
    </row>
    <row r="579" spans="1:36" s="454" customFormat="1" ht="45.75" x14ac:dyDescent="0.25">
      <c r="A579" s="693" t="s">
        <v>1936</v>
      </c>
      <c r="B579" s="694" t="s">
        <v>2070</v>
      </c>
      <c r="C579" s="2684" t="s">
        <v>2071</v>
      </c>
      <c r="D579" s="2684"/>
      <c r="E579" s="2684"/>
      <c r="F579" s="695" t="s">
        <v>2343</v>
      </c>
      <c r="G579" s="696">
        <v>1553</v>
      </c>
      <c r="H579" s="696"/>
      <c r="I579" s="696">
        <v>-24226.799999999999</v>
      </c>
      <c r="J579" s="696"/>
      <c r="K579" s="696"/>
      <c r="L579" s="697"/>
      <c r="M579" s="698"/>
      <c r="X579" s="656"/>
      <c r="Y579" s="657"/>
      <c r="Z579" s="657"/>
      <c r="AA579" s="481"/>
      <c r="AC579" s="456"/>
      <c r="AD579" s="481"/>
      <c r="AF579" s="481"/>
      <c r="AG579" s="522"/>
      <c r="AH579" s="699"/>
      <c r="AI579" s="456"/>
      <c r="AJ579" s="699" t="s">
        <v>2071</v>
      </c>
    </row>
    <row r="580" spans="1:36" s="454" customFormat="1" ht="23.25" x14ac:dyDescent="0.25">
      <c r="A580" s="515" t="s">
        <v>863</v>
      </c>
      <c r="B580" s="686" t="s">
        <v>2074</v>
      </c>
      <c r="C580" s="2683" t="s">
        <v>2075</v>
      </c>
      <c r="D580" s="2683"/>
      <c r="E580" s="2683"/>
      <c r="F580" s="687" t="s">
        <v>2344</v>
      </c>
      <c r="G580" s="688">
        <v>0</v>
      </c>
      <c r="H580" s="688"/>
      <c r="I580" s="688">
        <v>0</v>
      </c>
      <c r="J580" s="688"/>
      <c r="K580" s="688"/>
      <c r="L580" s="689"/>
      <c r="M580" s="690"/>
      <c r="X580" s="656"/>
      <c r="Y580" s="657"/>
      <c r="Z580" s="657"/>
      <c r="AA580" s="481"/>
      <c r="AC580" s="456"/>
      <c r="AD580" s="481"/>
      <c r="AF580" s="481"/>
      <c r="AG580" s="522" t="s">
        <v>2075</v>
      </c>
      <c r="AH580" s="699"/>
      <c r="AI580" s="456"/>
      <c r="AJ580" s="699"/>
    </row>
    <row r="581" spans="1:36" s="454" customFormat="1" ht="23.25" x14ac:dyDescent="0.25">
      <c r="A581" s="507"/>
      <c r="B581" s="674" t="s">
        <v>2077</v>
      </c>
      <c r="C581" s="2672" t="s">
        <v>2078</v>
      </c>
      <c r="D581" s="2672"/>
      <c r="E581" s="2672"/>
      <c r="F581" s="675" t="s">
        <v>2345</v>
      </c>
      <c r="G581" s="676">
        <v>176.1</v>
      </c>
      <c r="H581" s="676"/>
      <c r="I581" s="676">
        <v>-169.06</v>
      </c>
      <c r="J581" s="676"/>
      <c r="K581" s="676"/>
      <c r="L581" s="677"/>
      <c r="M581" s="678"/>
      <c r="X581" s="656"/>
      <c r="Y581" s="657"/>
      <c r="Z581" s="657"/>
      <c r="AA581" s="481"/>
      <c r="AC581" s="456" t="s">
        <v>2078</v>
      </c>
      <c r="AD581" s="481"/>
      <c r="AF581" s="481"/>
      <c r="AG581" s="522"/>
      <c r="AH581" s="699"/>
      <c r="AI581" s="456"/>
      <c r="AJ581" s="699"/>
    </row>
    <row r="582" spans="1:36" s="454" customFormat="1" ht="23.25" x14ac:dyDescent="0.25">
      <c r="A582" s="507"/>
      <c r="B582" s="674" t="s">
        <v>2080</v>
      </c>
      <c r="C582" s="2672" t="s">
        <v>2081</v>
      </c>
      <c r="D582" s="2672"/>
      <c r="E582" s="2672"/>
      <c r="F582" s="675" t="s">
        <v>2346</v>
      </c>
      <c r="G582" s="676">
        <v>207.8</v>
      </c>
      <c r="H582" s="676"/>
      <c r="I582" s="676">
        <v>-194.5</v>
      </c>
      <c r="J582" s="676"/>
      <c r="K582" s="676"/>
      <c r="L582" s="677"/>
      <c r="M582" s="678"/>
      <c r="X582" s="656"/>
      <c r="Y582" s="657"/>
      <c r="Z582" s="657"/>
      <c r="AA582" s="481"/>
      <c r="AC582" s="456" t="s">
        <v>2081</v>
      </c>
      <c r="AD582" s="481"/>
      <c r="AF582" s="481"/>
      <c r="AG582" s="522"/>
      <c r="AH582" s="699"/>
      <c r="AI582" s="456"/>
      <c r="AJ582" s="699"/>
    </row>
    <row r="583" spans="1:36" s="454" customFormat="1" ht="23.25" x14ac:dyDescent="0.25">
      <c r="A583" s="507"/>
      <c r="B583" s="674" t="s">
        <v>2083</v>
      </c>
      <c r="C583" s="2672" t="s">
        <v>2084</v>
      </c>
      <c r="D583" s="2672"/>
      <c r="E583" s="2672"/>
      <c r="F583" s="675" t="s">
        <v>2347</v>
      </c>
      <c r="G583" s="676">
        <v>3468.64</v>
      </c>
      <c r="H583" s="676"/>
      <c r="I583" s="676">
        <v>-832.47</v>
      </c>
      <c r="J583" s="676"/>
      <c r="K583" s="676"/>
      <c r="L583" s="677"/>
      <c r="M583" s="678"/>
      <c r="X583" s="656"/>
      <c r="Y583" s="657"/>
      <c r="Z583" s="657"/>
      <c r="AA583" s="481"/>
      <c r="AC583" s="456" t="s">
        <v>2084</v>
      </c>
      <c r="AD583" s="481"/>
      <c r="AF583" s="481"/>
      <c r="AG583" s="522"/>
      <c r="AH583" s="699"/>
      <c r="AI583" s="456"/>
      <c r="AJ583" s="699"/>
    </row>
    <row r="584" spans="1:36" s="454" customFormat="1" ht="23.25" x14ac:dyDescent="0.25">
      <c r="A584" s="515" t="s">
        <v>863</v>
      </c>
      <c r="B584" s="686" t="s">
        <v>2086</v>
      </c>
      <c r="C584" s="2683" t="s">
        <v>2087</v>
      </c>
      <c r="D584" s="2683"/>
      <c r="E584" s="2683"/>
      <c r="F584" s="687" t="s">
        <v>2348</v>
      </c>
      <c r="G584" s="688">
        <v>0</v>
      </c>
      <c r="H584" s="688"/>
      <c r="I584" s="688">
        <v>0</v>
      </c>
      <c r="J584" s="688"/>
      <c r="K584" s="688"/>
      <c r="L584" s="689"/>
      <c r="M584" s="690"/>
      <c r="X584" s="656"/>
      <c r="Y584" s="657"/>
      <c r="Z584" s="657"/>
      <c r="AA584" s="481"/>
      <c r="AC584" s="456"/>
      <c r="AD584" s="481"/>
      <c r="AF584" s="481"/>
      <c r="AG584" s="522" t="s">
        <v>2087</v>
      </c>
      <c r="AH584" s="699"/>
      <c r="AI584" s="456"/>
      <c r="AJ584" s="699"/>
    </row>
    <row r="585" spans="1:36" s="454" customFormat="1" ht="34.5" x14ac:dyDescent="0.25">
      <c r="A585" s="507"/>
      <c r="B585" s="674" t="s">
        <v>2089</v>
      </c>
      <c r="C585" s="2672" t="s">
        <v>2090</v>
      </c>
      <c r="D585" s="2672"/>
      <c r="E585" s="2672"/>
      <c r="F585" s="675" t="s">
        <v>2349</v>
      </c>
      <c r="G585" s="676">
        <v>11.99</v>
      </c>
      <c r="H585" s="676"/>
      <c r="I585" s="676">
        <v>-43.16</v>
      </c>
      <c r="J585" s="676"/>
      <c r="K585" s="676"/>
      <c r="L585" s="677"/>
      <c r="M585" s="678"/>
      <c r="X585" s="656"/>
      <c r="Y585" s="657"/>
      <c r="Z585" s="657"/>
      <c r="AA585" s="481"/>
      <c r="AC585" s="456" t="s">
        <v>2090</v>
      </c>
      <c r="AD585" s="481"/>
      <c r="AF585" s="481"/>
      <c r="AG585" s="522"/>
      <c r="AH585" s="699"/>
      <c r="AI585" s="456"/>
      <c r="AJ585" s="699"/>
    </row>
    <row r="586" spans="1:36" s="454" customFormat="1" ht="45.75" x14ac:dyDescent="0.25">
      <c r="A586" s="507"/>
      <c r="B586" s="674" t="s">
        <v>2092</v>
      </c>
      <c r="C586" s="2672" t="s">
        <v>2093</v>
      </c>
      <c r="D586" s="2672"/>
      <c r="E586" s="2672"/>
      <c r="F586" s="675" t="s">
        <v>2350</v>
      </c>
      <c r="G586" s="676">
        <v>272.62</v>
      </c>
      <c r="H586" s="676"/>
      <c r="I586" s="676">
        <v>-16.36</v>
      </c>
      <c r="J586" s="676"/>
      <c r="K586" s="676"/>
      <c r="L586" s="677"/>
      <c r="M586" s="678"/>
      <c r="X586" s="656"/>
      <c r="Y586" s="657"/>
      <c r="Z586" s="657"/>
      <c r="AA586" s="481"/>
      <c r="AC586" s="456" t="s">
        <v>2093</v>
      </c>
      <c r="AD586" s="481"/>
      <c r="AF586" s="481"/>
      <c r="AG586" s="522"/>
      <c r="AH586" s="699"/>
      <c r="AI586" s="456"/>
      <c r="AJ586" s="699"/>
    </row>
    <row r="587" spans="1:36" s="454" customFormat="1" ht="57" x14ac:dyDescent="0.25">
      <c r="A587" s="507"/>
      <c r="B587" s="674" t="s">
        <v>2095</v>
      </c>
      <c r="C587" s="2672" t="s">
        <v>2096</v>
      </c>
      <c r="D587" s="2672"/>
      <c r="E587" s="2672"/>
      <c r="F587" s="675" t="s">
        <v>2351</v>
      </c>
      <c r="G587" s="676">
        <v>156.83000000000001</v>
      </c>
      <c r="H587" s="676"/>
      <c r="I587" s="676">
        <v>-18.82</v>
      </c>
      <c r="J587" s="676"/>
      <c r="K587" s="676"/>
      <c r="L587" s="677"/>
      <c r="M587" s="678"/>
      <c r="X587" s="656"/>
      <c r="Y587" s="657"/>
      <c r="Z587" s="657"/>
      <c r="AA587" s="481"/>
      <c r="AC587" s="456" t="s">
        <v>2096</v>
      </c>
      <c r="AD587" s="481"/>
      <c r="AF587" s="481"/>
      <c r="AG587" s="522"/>
      <c r="AH587" s="699"/>
      <c r="AI587" s="456"/>
      <c r="AJ587" s="699"/>
    </row>
    <row r="588" spans="1:36" s="454" customFormat="1" ht="23.25" x14ac:dyDescent="0.25">
      <c r="A588" s="515" t="s">
        <v>863</v>
      </c>
      <c r="B588" s="686" t="s">
        <v>2098</v>
      </c>
      <c r="C588" s="2683" t="s">
        <v>2099</v>
      </c>
      <c r="D588" s="2683"/>
      <c r="E588" s="2683"/>
      <c r="F588" s="687" t="s">
        <v>2352</v>
      </c>
      <c r="G588" s="688">
        <v>0</v>
      </c>
      <c r="H588" s="688"/>
      <c r="I588" s="688">
        <v>0</v>
      </c>
      <c r="J588" s="688"/>
      <c r="K588" s="688"/>
      <c r="L588" s="689"/>
      <c r="M588" s="690"/>
      <c r="X588" s="656"/>
      <c r="Y588" s="657"/>
      <c r="Z588" s="657"/>
      <c r="AA588" s="481"/>
      <c r="AC588" s="456"/>
      <c r="AD588" s="481"/>
      <c r="AF588" s="481"/>
      <c r="AG588" s="522" t="s">
        <v>2099</v>
      </c>
      <c r="AH588" s="699"/>
      <c r="AI588" s="456"/>
      <c r="AJ588" s="699"/>
    </row>
    <row r="589" spans="1:36" s="454" customFormat="1" ht="45" x14ac:dyDescent="0.25">
      <c r="A589" s="658" t="s">
        <v>1381</v>
      </c>
      <c r="B589" s="659" t="s">
        <v>2026</v>
      </c>
      <c r="C589" s="2673" t="s">
        <v>1254</v>
      </c>
      <c r="D589" s="2673"/>
      <c r="E589" s="2673"/>
      <c r="F589" s="670">
        <v>-6</v>
      </c>
      <c r="G589" s="661">
        <v>480</v>
      </c>
      <c r="H589" s="661"/>
      <c r="I589" s="661">
        <v>-2880</v>
      </c>
      <c r="J589" s="661"/>
      <c r="K589" s="662"/>
      <c r="L589" s="663">
        <v>0</v>
      </c>
      <c r="M589" s="663">
        <v>0</v>
      </c>
      <c r="X589" s="656"/>
      <c r="Y589" s="657"/>
      <c r="Z589" s="657"/>
      <c r="AA589" s="481" t="s">
        <v>1254</v>
      </c>
      <c r="AC589" s="456"/>
      <c r="AD589" s="481"/>
      <c r="AF589" s="481"/>
      <c r="AG589" s="522"/>
      <c r="AH589" s="699"/>
      <c r="AI589" s="456"/>
      <c r="AJ589" s="699"/>
    </row>
    <row r="590" spans="1:36" s="454" customFormat="1" ht="15" x14ac:dyDescent="0.25">
      <c r="A590" s="664"/>
      <c r="B590" s="665"/>
      <c r="C590" s="666" t="s">
        <v>2353</v>
      </c>
      <c r="D590" s="667"/>
      <c r="E590" s="667"/>
      <c r="F590" s="667"/>
      <c r="G590" s="667"/>
      <c r="H590" s="667"/>
      <c r="I590" s="667"/>
      <c r="J590" s="667"/>
      <c r="K590" s="667"/>
      <c r="L590" s="667"/>
      <c r="M590" s="668"/>
      <c r="X590" s="656"/>
      <c r="Y590" s="657"/>
      <c r="Z590" s="657"/>
      <c r="AA590" s="481"/>
      <c r="AC590" s="456"/>
      <c r="AD590" s="481"/>
      <c r="AF590" s="481"/>
      <c r="AG590" s="522"/>
      <c r="AH590" s="699"/>
      <c r="AI590" s="456"/>
      <c r="AJ590" s="699"/>
    </row>
    <row r="591" spans="1:36" s="454" customFormat="1" ht="45" x14ac:dyDescent="0.25">
      <c r="A591" s="658" t="s">
        <v>1384</v>
      </c>
      <c r="B591" s="659" t="s">
        <v>2028</v>
      </c>
      <c r="C591" s="2673" t="s">
        <v>1257</v>
      </c>
      <c r="D591" s="2673"/>
      <c r="E591" s="2673"/>
      <c r="F591" s="680">
        <v>-2.4</v>
      </c>
      <c r="G591" s="661">
        <v>2.44</v>
      </c>
      <c r="H591" s="661"/>
      <c r="I591" s="661">
        <v>-6</v>
      </c>
      <c r="J591" s="661"/>
      <c r="K591" s="662"/>
      <c r="L591" s="663">
        <v>0</v>
      </c>
      <c r="M591" s="663">
        <v>0</v>
      </c>
      <c r="X591" s="656"/>
      <c r="Y591" s="657"/>
      <c r="Z591" s="657"/>
      <c r="AA591" s="481" t="s">
        <v>1257</v>
      </c>
      <c r="AC591" s="456"/>
      <c r="AD591" s="481"/>
      <c r="AF591" s="481"/>
      <c r="AG591" s="522"/>
      <c r="AH591" s="699"/>
      <c r="AI591" s="456"/>
      <c r="AJ591" s="699"/>
    </row>
    <row r="592" spans="1:36" s="454" customFormat="1" ht="15" x14ac:dyDescent="0.25">
      <c r="A592" s="664"/>
      <c r="B592" s="665"/>
      <c r="C592" s="666" t="s">
        <v>2354</v>
      </c>
      <c r="D592" s="667"/>
      <c r="E592" s="667"/>
      <c r="F592" s="667"/>
      <c r="G592" s="667"/>
      <c r="H592" s="667"/>
      <c r="I592" s="667"/>
      <c r="J592" s="667"/>
      <c r="K592" s="667"/>
      <c r="L592" s="667"/>
      <c r="M592" s="668"/>
      <c r="X592" s="656"/>
      <c r="Y592" s="657"/>
      <c r="Z592" s="657"/>
      <c r="AA592" s="481"/>
      <c r="AC592" s="456"/>
      <c r="AD592" s="481"/>
      <c r="AF592" s="481"/>
      <c r="AG592" s="522"/>
      <c r="AH592" s="699"/>
      <c r="AI592" s="456"/>
      <c r="AJ592" s="699"/>
    </row>
    <row r="593" spans="1:36" s="454" customFormat="1" ht="34.5" x14ac:dyDescent="0.25">
      <c r="A593" s="658" t="s">
        <v>1391</v>
      </c>
      <c r="B593" s="659" t="s">
        <v>1370</v>
      </c>
      <c r="C593" s="2673" t="s">
        <v>1268</v>
      </c>
      <c r="D593" s="2673"/>
      <c r="E593" s="2673"/>
      <c r="F593" s="670">
        <v>-4</v>
      </c>
      <c r="G593" s="661" t="s">
        <v>2103</v>
      </c>
      <c r="H593" s="661"/>
      <c r="I593" s="661">
        <v>-9572</v>
      </c>
      <c r="J593" s="661"/>
      <c r="K593" s="662"/>
      <c r="L593" s="663">
        <v>0</v>
      </c>
      <c r="M593" s="663">
        <v>0</v>
      </c>
      <c r="X593" s="656"/>
      <c r="Y593" s="657"/>
      <c r="Z593" s="657"/>
      <c r="AA593" s="481" t="s">
        <v>1268</v>
      </c>
      <c r="AC593" s="456"/>
      <c r="AD593" s="481"/>
      <c r="AF593" s="481"/>
      <c r="AG593" s="522"/>
      <c r="AH593" s="699"/>
      <c r="AI593" s="456"/>
      <c r="AJ593" s="699"/>
    </row>
    <row r="594" spans="1:36" s="454" customFormat="1" ht="15" x14ac:dyDescent="0.25">
      <c r="A594" s="664"/>
      <c r="B594" s="665"/>
      <c r="C594" s="666" t="s">
        <v>2196</v>
      </c>
      <c r="D594" s="667"/>
      <c r="E594" s="667"/>
      <c r="F594" s="667"/>
      <c r="G594" s="667"/>
      <c r="H594" s="667"/>
      <c r="I594" s="667"/>
      <c r="J594" s="667"/>
      <c r="K594" s="667"/>
      <c r="L594" s="667"/>
      <c r="M594" s="668"/>
      <c r="X594" s="656"/>
      <c r="Y594" s="657"/>
      <c r="Z594" s="657"/>
      <c r="AA594" s="481"/>
      <c r="AC594" s="456"/>
      <c r="AD594" s="481"/>
      <c r="AF594" s="481"/>
      <c r="AG594" s="522"/>
      <c r="AH594" s="699"/>
      <c r="AI594" s="456"/>
      <c r="AJ594" s="699"/>
    </row>
    <row r="595" spans="1:36" s="454" customFormat="1" ht="15" x14ac:dyDescent="0.25">
      <c r="A595" s="542"/>
      <c r="B595" s="665"/>
      <c r="C595" s="666" t="s">
        <v>2105</v>
      </c>
      <c r="D595" s="667"/>
      <c r="E595" s="667"/>
      <c r="F595" s="667"/>
      <c r="G595" s="667"/>
      <c r="H595" s="667"/>
      <c r="I595" s="667"/>
      <c r="J595" s="667"/>
      <c r="K595" s="667"/>
      <c r="L595" s="667"/>
      <c r="M595" s="669"/>
      <c r="X595" s="656"/>
      <c r="Y595" s="657"/>
      <c r="Z595" s="657"/>
      <c r="AA595" s="481"/>
      <c r="AC595" s="456"/>
      <c r="AD595" s="481"/>
      <c r="AF595" s="481"/>
      <c r="AG595" s="522"/>
      <c r="AH595" s="699"/>
      <c r="AI595" s="456"/>
      <c r="AJ595" s="699"/>
    </row>
    <row r="596" spans="1:36" s="454" customFormat="1" ht="34.5" x14ac:dyDescent="0.25">
      <c r="A596" s="658" t="s">
        <v>1395</v>
      </c>
      <c r="B596" s="659" t="s">
        <v>1372</v>
      </c>
      <c r="C596" s="2673" t="s">
        <v>1273</v>
      </c>
      <c r="D596" s="2673"/>
      <c r="E596" s="2673"/>
      <c r="F596" s="670">
        <v>-36</v>
      </c>
      <c r="G596" s="661" t="s">
        <v>2106</v>
      </c>
      <c r="H596" s="661"/>
      <c r="I596" s="661">
        <v>-61983</v>
      </c>
      <c r="J596" s="661"/>
      <c r="K596" s="662"/>
      <c r="L596" s="663">
        <v>0</v>
      </c>
      <c r="M596" s="663">
        <v>0</v>
      </c>
      <c r="X596" s="656"/>
      <c r="Y596" s="657"/>
      <c r="Z596" s="657"/>
      <c r="AA596" s="481" t="s">
        <v>1273</v>
      </c>
      <c r="AC596" s="456"/>
      <c r="AD596" s="481"/>
      <c r="AF596" s="481"/>
      <c r="AG596" s="522"/>
      <c r="AH596" s="699"/>
      <c r="AI596" s="456"/>
      <c r="AJ596" s="699"/>
    </row>
    <row r="597" spans="1:36" s="454" customFormat="1" ht="15" x14ac:dyDescent="0.25">
      <c r="A597" s="664"/>
      <c r="B597" s="665"/>
      <c r="C597" s="666" t="s">
        <v>2355</v>
      </c>
      <c r="D597" s="667"/>
      <c r="E597" s="667"/>
      <c r="F597" s="667"/>
      <c r="G597" s="667"/>
      <c r="H597" s="667"/>
      <c r="I597" s="667"/>
      <c r="J597" s="667"/>
      <c r="K597" s="667"/>
      <c r="L597" s="667"/>
      <c r="M597" s="668"/>
      <c r="X597" s="656"/>
      <c r="Y597" s="657"/>
      <c r="Z597" s="657"/>
      <c r="AA597" s="481"/>
      <c r="AC597" s="456"/>
      <c r="AD597" s="481"/>
      <c r="AF597" s="481"/>
      <c r="AG597" s="522"/>
      <c r="AH597" s="699"/>
      <c r="AI597" s="456"/>
      <c r="AJ597" s="699"/>
    </row>
    <row r="598" spans="1:36" s="454" customFormat="1" ht="15" x14ac:dyDescent="0.25">
      <c r="A598" s="542"/>
      <c r="B598" s="665"/>
      <c r="C598" s="666" t="s">
        <v>2108</v>
      </c>
      <c r="D598" s="667"/>
      <c r="E598" s="667"/>
      <c r="F598" s="667"/>
      <c r="G598" s="667"/>
      <c r="H598" s="667"/>
      <c r="I598" s="667"/>
      <c r="J598" s="667"/>
      <c r="K598" s="667"/>
      <c r="L598" s="667"/>
      <c r="M598" s="669"/>
      <c r="X598" s="656"/>
      <c r="Y598" s="657"/>
      <c r="Z598" s="657"/>
      <c r="AA598" s="481"/>
      <c r="AC598" s="456"/>
      <c r="AD598" s="481"/>
      <c r="AF598" s="481"/>
      <c r="AG598" s="522"/>
      <c r="AH598" s="699"/>
      <c r="AI598" s="456"/>
      <c r="AJ598" s="699"/>
    </row>
    <row r="599" spans="1:36" s="454" customFormat="1" ht="34.5" x14ac:dyDescent="0.25">
      <c r="A599" s="658" t="s">
        <v>1402</v>
      </c>
      <c r="B599" s="659" t="s">
        <v>1375</v>
      </c>
      <c r="C599" s="2673" t="s">
        <v>1277</v>
      </c>
      <c r="D599" s="2673"/>
      <c r="E599" s="2673"/>
      <c r="F599" s="670">
        <v>-76</v>
      </c>
      <c r="G599" s="661" t="s">
        <v>2109</v>
      </c>
      <c r="H599" s="661"/>
      <c r="I599" s="661">
        <v>-35032</v>
      </c>
      <c r="J599" s="661"/>
      <c r="K599" s="662"/>
      <c r="L599" s="663">
        <v>0</v>
      </c>
      <c r="M599" s="663">
        <v>0</v>
      </c>
      <c r="X599" s="656"/>
      <c r="Y599" s="657"/>
      <c r="Z599" s="657"/>
      <c r="AA599" s="481" t="s">
        <v>1277</v>
      </c>
      <c r="AC599" s="456"/>
      <c r="AD599" s="481"/>
      <c r="AF599" s="481"/>
      <c r="AG599" s="522"/>
      <c r="AH599" s="699"/>
      <c r="AI599" s="456"/>
      <c r="AJ599" s="699"/>
    </row>
    <row r="600" spans="1:36" s="454" customFormat="1" ht="15" x14ac:dyDescent="0.25">
      <c r="A600" s="664"/>
      <c r="B600" s="665"/>
      <c r="C600" s="666" t="s">
        <v>2356</v>
      </c>
      <c r="D600" s="667"/>
      <c r="E600" s="667"/>
      <c r="F600" s="667"/>
      <c r="G600" s="667"/>
      <c r="H600" s="667"/>
      <c r="I600" s="667"/>
      <c r="J600" s="667"/>
      <c r="K600" s="667"/>
      <c r="L600" s="667"/>
      <c r="M600" s="668"/>
      <c r="X600" s="656"/>
      <c r="Y600" s="657"/>
      <c r="Z600" s="657"/>
      <c r="AA600" s="481"/>
      <c r="AC600" s="456"/>
      <c r="AD600" s="481"/>
      <c r="AF600" s="481"/>
      <c r="AG600" s="522"/>
      <c r="AH600" s="699"/>
      <c r="AI600" s="456"/>
      <c r="AJ600" s="699"/>
    </row>
    <row r="601" spans="1:36" s="454" customFormat="1" ht="15" x14ac:dyDescent="0.25">
      <c r="A601" s="542"/>
      <c r="B601" s="665"/>
      <c r="C601" s="666" t="s">
        <v>2111</v>
      </c>
      <c r="D601" s="667"/>
      <c r="E601" s="667"/>
      <c r="F601" s="667"/>
      <c r="G601" s="667"/>
      <c r="H601" s="667"/>
      <c r="I601" s="667"/>
      <c r="J601" s="667"/>
      <c r="K601" s="667"/>
      <c r="L601" s="667"/>
      <c r="M601" s="669"/>
      <c r="X601" s="656"/>
      <c r="Y601" s="657"/>
      <c r="Z601" s="657"/>
      <c r="AA601" s="481"/>
      <c r="AC601" s="456"/>
      <c r="AD601" s="481"/>
      <c r="AF601" s="481"/>
      <c r="AG601" s="522"/>
      <c r="AH601" s="699"/>
      <c r="AI601" s="456"/>
      <c r="AJ601" s="699"/>
    </row>
    <row r="602" spans="1:36" s="454" customFormat="1" ht="33.75" x14ac:dyDescent="0.25">
      <c r="A602" s="658" t="s">
        <v>1406</v>
      </c>
      <c r="B602" s="659" t="s">
        <v>1378</v>
      </c>
      <c r="C602" s="2673" t="s">
        <v>1281</v>
      </c>
      <c r="D602" s="2673"/>
      <c r="E602" s="2673"/>
      <c r="F602" s="670">
        <v>-36</v>
      </c>
      <c r="G602" s="661" t="s">
        <v>2112</v>
      </c>
      <c r="H602" s="661"/>
      <c r="I602" s="661">
        <v>-5109</v>
      </c>
      <c r="J602" s="661"/>
      <c r="K602" s="662"/>
      <c r="L602" s="663">
        <v>0</v>
      </c>
      <c r="M602" s="663">
        <v>0</v>
      </c>
      <c r="X602" s="656"/>
      <c r="Y602" s="657"/>
      <c r="Z602" s="657"/>
      <c r="AA602" s="481" t="s">
        <v>1281</v>
      </c>
      <c r="AC602" s="456"/>
      <c r="AD602" s="481"/>
      <c r="AF602" s="481"/>
      <c r="AG602" s="522"/>
      <c r="AH602" s="699"/>
      <c r="AI602" s="456"/>
      <c r="AJ602" s="699"/>
    </row>
    <row r="603" spans="1:36" s="454" customFormat="1" ht="15" x14ac:dyDescent="0.25">
      <c r="A603" s="664"/>
      <c r="B603" s="665"/>
      <c r="C603" s="666" t="s">
        <v>2355</v>
      </c>
      <c r="D603" s="667"/>
      <c r="E603" s="667"/>
      <c r="F603" s="667"/>
      <c r="G603" s="667"/>
      <c r="H603" s="667"/>
      <c r="I603" s="667"/>
      <c r="J603" s="667"/>
      <c r="K603" s="667"/>
      <c r="L603" s="667"/>
      <c r="M603" s="668"/>
      <c r="X603" s="656"/>
      <c r="Y603" s="657"/>
      <c r="Z603" s="657"/>
      <c r="AA603" s="481"/>
      <c r="AC603" s="456"/>
      <c r="AD603" s="481"/>
      <c r="AF603" s="481"/>
      <c r="AG603" s="522"/>
      <c r="AH603" s="699"/>
      <c r="AI603" s="456"/>
      <c r="AJ603" s="699"/>
    </row>
    <row r="604" spans="1:36" s="454" customFormat="1" ht="15" x14ac:dyDescent="0.25">
      <c r="A604" s="542"/>
      <c r="B604" s="665"/>
      <c r="C604" s="666" t="s">
        <v>2113</v>
      </c>
      <c r="D604" s="667"/>
      <c r="E604" s="667"/>
      <c r="F604" s="667"/>
      <c r="G604" s="667"/>
      <c r="H604" s="667"/>
      <c r="I604" s="667"/>
      <c r="J604" s="667"/>
      <c r="K604" s="667"/>
      <c r="L604" s="667"/>
      <c r="M604" s="669"/>
      <c r="X604" s="656"/>
      <c r="Y604" s="657"/>
      <c r="Z604" s="657"/>
      <c r="AA604" s="481"/>
      <c r="AC604" s="456"/>
      <c r="AD604" s="481"/>
      <c r="AF604" s="481"/>
      <c r="AG604" s="522"/>
      <c r="AH604" s="699"/>
      <c r="AI604" s="456"/>
      <c r="AJ604" s="699"/>
    </row>
    <row r="605" spans="1:36" s="454" customFormat="1" ht="34.5" x14ac:dyDescent="0.25">
      <c r="A605" s="658" t="s">
        <v>2357</v>
      </c>
      <c r="B605" s="659" t="s">
        <v>1380</v>
      </c>
      <c r="C605" s="2673" t="s">
        <v>1284</v>
      </c>
      <c r="D605" s="2673"/>
      <c r="E605" s="2673"/>
      <c r="F605" s="670">
        <v>-4</v>
      </c>
      <c r="G605" s="661" t="s">
        <v>2114</v>
      </c>
      <c r="H605" s="661"/>
      <c r="I605" s="661">
        <v>-6957</v>
      </c>
      <c r="J605" s="661"/>
      <c r="K605" s="662"/>
      <c r="L605" s="663">
        <v>0</v>
      </c>
      <c r="M605" s="663">
        <v>0</v>
      </c>
      <c r="X605" s="656"/>
      <c r="Y605" s="657"/>
      <c r="Z605" s="657"/>
      <c r="AA605" s="481" t="s">
        <v>1284</v>
      </c>
      <c r="AC605" s="456"/>
      <c r="AD605" s="481"/>
      <c r="AF605" s="481"/>
      <c r="AG605" s="522"/>
      <c r="AH605" s="699"/>
      <c r="AI605" s="456"/>
      <c r="AJ605" s="699"/>
    </row>
    <row r="606" spans="1:36" s="454" customFormat="1" ht="15" x14ac:dyDescent="0.25">
      <c r="A606" s="664"/>
      <c r="B606" s="665"/>
      <c r="C606" s="666" t="s">
        <v>2196</v>
      </c>
      <c r="D606" s="667"/>
      <c r="E606" s="667"/>
      <c r="F606" s="667"/>
      <c r="G606" s="667"/>
      <c r="H606" s="667"/>
      <c r="I606" s="667"/>
      <c r="J606" s="667"/>
      <c r="K606" s="667"/>
      <c r="L606" s="667"/>
      <c r="M606" s="668"/>
      <c r="X606" s="656"/>
      <c r="Y606" s="657"/>
      <c r="Z606" s="657"/>
      <c r="AA606" s="481"/>
      <c r="AC606" s="456"/>
      <c r="AD606" s="481"/>
      <c r="AF606" s="481"/>
      <c r="AG606" s="522"/>
      <c r="AH606" s="699"/>
      <c r="AI606" s="456"/>
      <c r="AJ606" s="699"/>
    </row>
    <row r="607" spans="1:36" s="454" customFormat="1" ht="15" x14ac:dyDescent="0.25">
      <c r="A607" s="542"/>
      <c r="B607" s="665"/>
      <c r="C607" s="666" t="s">
        <v>2115</v>
      </c>
      <c r="D607" s="667"/>
      <c r="E607" s="667"/>
      <c r="F607" s="667"/>
      <c r="G607" s="667"/>
      <c r="H607" s="667"/>
      <c r="I607" s="667"/>
      <c r="J607" s="667"/>
      <c r="K607" s="667"/>
      <c r="L607" s="667"/>
      <c r="M607" s="669"/>
      <c r="X607" s="656"/>
      <c r="Y607" s="657"/>
      <c r="Z607" s="657"/>
      <c r="AA607" s="481"/>
      <c r="AC607" s="456"/>
      <c r="AD607" s="481"/>
      <c r="AF607" s="481"/>
      <c r="AG607" s="522"/>
      <c r="AH607" s="699"/>
      <c r="AI607" s="456"/>
      <c r="AJ607" s="699"/>
    </row>
    <row r="608" spans="1:36" s="454" customFormat="1" ht="45.75" x14ac:dyDescent="0.25">
      <c r="A608" s="658" t="s">
        <v>1410</v>
      </c>
      <c r="B608" s="659" t="s">
        <v>2116</v>
      </c>
      <c r="C608" s="2673" t="s">
        <v>2117</v>
      </c>
      <c r="D608" s="2673"/>
      <c r="E608" s="2673"/>
      <c r="F608" s="670">
        <v>-40</v>
      </c>
      <c r="G608" s="661" t="s">
        <v>1288</v>
      </c>
      <c r="H608" s="661" t="s">
        <v>1289</v>
      </c>
      <c r="I608" s="661">
        <v>-226</v>
      </c>
      <c r="J608" s="661">
        <v>-92</v>
      </c>
      <c r="K608" s="662" t="s">
        <v>1727</v>
      </c>
      <c r="L608" s="671">
        <v>0.255</v>
      </c>
      <c r="M608" s="692">
        <v>-10.199999999999999</v>
      </c>
      <c r="X608" s="656"/>
      <c r="Y608" s="657"/>
      <c r="Z608" s="657"/>
      <c r="AA608" s="481" t="s">
        <v>2117</v>
      </c>
      <c r="AC608" s="456"/>
      <c r="AD608" s="481"/>
      <c r="AF608" s="481"/>
      <c r="AG608" s="522"/>
      <c r="AH608" s="699"/>
      <c r="AI608" s="456"/>
      <c r="AJ608" s="699"/>
    </row>
    <row r="609" spans="1:36" s="454" customFormat="1" ht="33.75" x14ac:dyDescent="0.25">
      <c r="A609" s="542"/>
      <c r="B609" s="673" t="s">
        <v>1655</v>
      </c>
      <c r="C609" s="2670" t="s">
        <v>1656</v>
      </c>
      <c r="D609" s="2670"/>
      <c r="E609" s="2670"/>
      <c r="F609" s="2670"/>
      <c r="G609" s="2670"/>
      <c r="H609" s="2670"/>
      <c r="I609" s="2670"/>
      <c r="J609" s="2670"/>
      <c r="K609" s="2670"/>
      <c r="L609" s="2670"/>
      <c r="M609" s="2671"/>
      <c r="X609" s="656"/>
      <c r="Y609" s="657"/>
      <c r="Z609" s="657"/>
      <c r="AA609" s="481"/>
      <c r="AB609" s="491" t="s">
        <v>1656</v>
      </c>
      <c r="AC609" s="456"/>
      <c r="AD609" s="481"/>
      <c r="AF609" s="481"/>
      <c r="AG609" s="522"/>
      <c r="AH609" s="699"/>
      <c r="AI609" s="456"/>
      <c r="AJ609" s="699"/>
    </row>
    <row r="610" spans="1:36" s="454" customFormat="1" ht="23.25" x14ac:dyDescent="0.25">
      <c r="A610" s="507"/>
      <c r="B610" s="674" t="s">
        <v>2119</v>
      </c>
      <c r="C610" s="2672" t="s">
        <v>2120</v>
      </c>
      <c r="D610" s="2672"/>
      <c r="E610" s="2672"/>
      <c r="F610" s="675" t="s">
        <v>2358</v>
      </c>
      <c r="G610" s="676" t="s">
        <v>2122</v>
      </c>
      <c r="H610" s="676"/>
      <c r="I610" s="676">
        <v>-92.51</v>
      </c>
      <c r="J610" s="676">
        <v>-92.51</v>
      </c>
      <c r="K610" s="676"/>
      <c r="L610" s="677"/>
      <c r="M610" s="678"/>
      <c r="X610" s="656"/>
      <c r="Y610" s="657"/>
      <c r="Z610" s="657"/>
      <c r="AA610" s="481"/>
      <c r="AC610" s="456" t="s">
        <v>2120</v>
      </c>
      <c r="AD610" s="481"/>
      <c r="AF610" s="481"/>
      <c r="AG610" s="522"/>
      <c r="AH610" s="699"/>
      <c r="AI610" s="456"/>
      <c r="AJ610" s="699"/>
    </row>
    <row r="611" spans="1:36" s="454" customFormat="1" ht="23.25" x14ac:dyDescent="0.25">
      <c r="A611" s="507"/>
      <c r="B611" s="674" t="s">
        <v>639</v>
      </c>
      <c r="C611" s="2672" t="s">
        <v>1661</v>
      </c>
      <c r="D611" s="2672"/>
      <c r="E611" s="2672"/>
      <c r="F611" s="675" t="s">
        <v>2359</v>
      </c>
      <c r="G611" s="676">
        <v>0</v>
      </c>
      <c r="H611" s="676">
        <v>0</v>
      </c>
      <c r="I611" s="676">
        <v>0</v>
      </c>
      <c r="J611" s="676"/>
      <c r="K611" s="676">
        <v>0</v>
      </c>
      <c r="L611" s="677"/>
      <c r="M611" s="678"/>
      <c r="X611" s="656"/>
      <c r="Y611" s="657"/>
      <c r="Z611" s="657"/>
      <c r="AA611" s="481"/>
      <c r="AC611" s="456" t="s">
        <v>1661</v>
      </c>
      <c r="AD611" s="481"/>
      <c r="AF611" s="481"/>
      <c r="AG611" s="522"/>
      <c r="AH611" s="699"/>
      <c r="AI611" s="456"/>
      <c r="AJ611" s="699"/>
    </row>
    <row r="612" spans="1:36" s="454" customFormat="1" ht="34.5" x14ac:dyDescent="0.25">
      <c r="A612" s="507"/>
      <c r="B612" s="674" t="s">
        <v>821</v>
      </c>
      <c r="C612" s="2672" t="s">
        <v>1751</v>
      </c>
      <c r="D612" s="2672"/>
      <c r="E612" s="2672"/>
      <c r="F612" s="675" t="s">
        <v>2360</v>
      </c>
      <c r="G612" s="676">
        <v>65.709999999999994</v>
      </c>
      <c r="H612" s="676" t="s">
        <v>1753</v>
      </c>
      <c r="I612" s="676">
        <v>-52.57</v>
      </c>
      <c r="J612" s="676"/>
      <c r="K612" s="676" t="s">
        <v>2361</v>
      </c>
      <c r="L612" s="677"/>
      <c r="M612" s="678"/>
      <c r="X612" s="656"/>
      <c r="Y612" s="657"/>
      <c r="Z612" s="657"/>
      <c r="AA612" s="481"/>
      <c r="AC612" s="456" t="s">
        <v>1751</v>
      </c>
      <c r="AD612" s="481"/>
      <c r="AF612" s="481"/>
      <c r="AG612" s="522"/>
      <c r="AH612" s="699"/>
      <c r="AI612" s="456"/>
      <c r="AJ612" s="699"/>
    </row>
    <row r="613" spans="1:36" s="454" customFormat="1" ht="23.25" x14ac:dyDescent="0.25">
      <c r="A613" s="507"/>
      <c r="B613" s="674" t="s">
        <v>825</v>
      </c>
      <c r="C613" s="2672" t="s">
        <v>1808</v>
      </c>
      <c r="D613" s="2672"/>
      <c r="E613" s="2672"/>
      <c r="F613" s="675" t="s">
        <v>2362</v>
      </c>
      <c r="G613" s="676">
        <v>1.2</v>
      </c>
      <c r="H613" s="676" t="s">
        <v>1810</v>
      </c>
      <c r="I613" s="676">
        <v>-7.2</v>
      </c>
      <c r="J613" s="676"/>
      <c r="K613" s="676" t="s">
        <v>2363</v>
      </c>
      <c r="L613" s="677"/>
      <c r="M613" s="678"/>
      <c r="X613" s="656"/>
      <c r="Y613" s="657"/>
      <c r="Z613" s="657"/>
      <c r="AA613" s="481"/>
      <c r="AC613" s="456" t="s">
        <v>1808</v>
      </c>
      <c r="AD613" s="481"/>
      <c r="AF613" s="481"/>
      <c r="AG613" s="522"/>
      <c r="AH613" s="699"/>
      <c r="AI613" s="456"/>
      <c r="AJ613" s="699"/>
    </row>
    <row r="614" spans="1:36" s="454" customFormat="1" ht="23.25" x14ac:dyDescent="0.25">
      <c r="A614" s="507"/>
      <c r="B614" s="674" t="s">
        <v>830</v>
      </c>
      <c r="C614" s="2672" t="s">
        <v>1816</v>
      </c>
      <c r="D614" s="2672"/>
      <c r="E614" s="2672"/>
      <c r="F614" s="675" t="s">
        <v>2362</v>
      </c>
      <c r="G614" s="676">
        <v>6.22</v>
      </c>
      <c r="H614" s="676"/>
      <c r="I614" s="676">
        <v>-37.32</v>
      </c>
      <c r="J614" s="676"/>
      <c r="K614" s="676"/>
      <c r="L614" s="677"/>
      <c r="M614" s="678"/>
      <c r="X614" s="656"/>
      <c r="Y614" s="657"/>
      <c r="Z614" s="657"/>
      <c r="AA614" s="481"/>
      <c r="AC614" s="456" t="s">
        <v>1816</v>
      </c>
      <c r="AD614" s="481"/>
      <c r="AF614" s="481"/>
      <c r="AG614" s="522"/>
      <c r="AH614" s="699"/>
      <c r="AI614" s="456"/>
      <c r="AJ614" s="699"/>
    </row>
    <row r="615" spans="1:36" s="454" customFormat="1" ht="23.25" x14ac:dyDescent="0.25">
      <c r="A615" s="507"/>
      <c r="B615" s="674" t="s">
        <v>833</v>
      </c>
      <c r="C615" s="2672" t="s">
        <v>1818</v>
      </c>
      <c r="D615" s="2672"/>
      <c r="E615" s="2672"/>
      <c r="F615" s="675" t="s">
        <v>2359</v>
      </c>
      <c r="G615" s="676">
        <v>6.09</v>
      </c>
      <c r="H615" s="676"/>
      <c r="I615" s="676">
        <v>-7.31</v>
      </c>
      <c r="J615" s="676"/>
      <c r="K615" s="676"/>
      <c r="L615" s="677"/>
      <c r="M615" s="678"/>
      <c r="X615" s="656"/>
      <c r="Y615" s="657"/>
      <c r="Z615" s="657"/>
      <c r="AA615" s="481"/>
      <c r="AC615" s="456" t="s">
        <v>1818</v>
      </c>
      <c r="AD615" s="481"/>
      <c r="AF615" s="481"/>
      <c r="AG615" s="522"/>
      <c r="AH615" s="699"/>
      <c r="AI615" s="456"/>
      <c r="AJ615" s="699"/>
    </row>
    <row r="616" spans="1:36" s="454" customFormat="1" ht="45" x14ac:dyDescent="0.25">
      <c r="A616" s="658" t="s">
        <v>1421</v>
      </c>
      <c r="B616" s="659" t="s">
        <v>2364</v>
      </c>
      <c r="C616" s="2673" t="s">
        <v>2365</v>
      </c>
      <c r="D616" s="2673"/>
      <c r="E616" s="2673"/>
      <c r="F616" s="670">
        <v>-3760</v>
      </c>
      <c r="G616" s="661" t="s">
        <v>1413</v>
      </c>
      <c r="H616" s="661"/>
      <c r="I616" s="661">
        <v>-76253</v>
      </c>
      <c r="J616" s="661">
        <v>-76253</v>
      </c>
      <c r="K616" s="662"/>
      <c r="L616" s="692">
        <v>1.8</v>
      </c>
      <c r="M616" s="663">
        <v>-6768</v>
      </c>
      <c r="X616" s="656"/>
      <c r="Y616" s="657"/>
      <c r="Z616" s="657"/>
      <c r="AA616" s="481" t="s">
        <v>2365</v>
      </c>
      <c r="AC616" s="456"/>
      <c r="AD616" s="481"/>
      <c r="AF616" s="481"/>
      <c r="AG616" s="522"/>
      <c r="AH616" s="699"/>
      <c r="AI616" s="456"/>
      <c r="AJ616" s="699"/>
    </row>
    <row r="617" spans="1:36" s="454" customFormat="1" ht="33.75" x14ac:dyDescent="0.25">
      <c r="A617" s="542"/>
      <c r="B617" s="673" t="s">
        <v>1655</v>
      </c>
      <c r="C617" s="2670" t="s">
        <v>1656</v>
      </c>
      <c r="D617" s="2670"/>
      <c r="E617" s="2670"/>
      <c r="F617" s="2670"/>
      <c r="G617" s="2670"/>
      <c r="H617" s="2670"/>
      <c r="I617" s="2670"/>
      <c r="J617" s="2670"/>
      <c r="K617" s="2670"/>
      <c r="L617" s="2670"/>
      <c r="M617" s="2671"/>
      <c r="X617" s="656"/>
      <c r="Y617" s="657"/>
      <c r="Z617" s="657"/>
      <c r="AA617" s="481"/>
      <c r="AB617" s="491" t="s">
        <v>1656</v>
      </c>
      <c r="AC617" s="456"/>
      <c r="AD617" s="481"/>
      <c r="AF617" s="481"/>
      <c r="AG617" s="522"/>
      <c r="AH617" s="699"/>
      <c r="AI617" s="456"/>
      <c r="AJ617" s="699"/>
    </row>
    <row r="618" spans="1:36" s="454" customFormat="1" ht="23.25" x14ac:dyDescent="0.25">
      <c r="A618" s="507"/>
      <c r="B618" s="674" t="s">
        <v>2366</v>
      </c>
      <c r="C618" s="2672" t="s">
        <v>2367</v>
      </c>
      <c r="D618" s="2672"/>
      <c r="E618" s="2672"/>
      <c r="F618" s="675" t="s">
        <v>2368</v>
      </c>
      <c r="G618" s="676" t="s">
        <v>2369</v>
      </c>
      <c r="H618" s="676"/>
      <c r="I618" s="676">
        <v>-76275.360000000001</v>
      </c>
      <c r="J618" s="676">
        <v>-76275.360000000001</v>
      </c>
      <c r="K618" s="676"/>
      <c r="L618" s="677"/>
      <c r="M618" s="678"/>
      <c r="X618" s="656"/>
      <c r="Y618" s="657"/>
      <c r="Z618" s="657"/>
      <c r="AA618" s="481"/>
      <c r="AC618" s="456" t="s">
        <v>2367</v>
      </c>
      <c r="AD618" s="481"/>
      <c r="AF618" s="481"/>
      <c r="AG618" s="522"/>
      <c r="AH618" s="699"/>
      <c r="AI618" s="456"/>
      <c r="AJ618" s="699"/>
    </row>
    <row r="619" spans="1:36" s="454" customFormat="1" ht="22.5" x14ac:dyDescent="0.25">
      <c r="A619" s="2685" t="s">
        <v>1414</v>
      </c>
      <c r="B619" s="2686"/>
      <c r="C619" s="2686"/>
      <c r="D619" s="2686"/>
      <c r="E619" s="2686"/>
      <c r="F619" s="2686"/>
      <c r="G619" s="2686"/>
      <c r="H619" s="2687"/>
      <c r="I619" s="661">
        <v>-2821112</v>
      </c>
      <c r="J619" s="661">
        <v>-176695</v>
      </c>
      <c r="K619" s="661" t="s">
        <v>2370</v>
      </c>
      <c r="L619" s="681"/>
      <c r="M619" s="672">
        <v>-17222.75</v>
      </c>
      <c r="X619" s="656"/>
      <c r="Y619" s="657"/>
      <c r="Z619" s="657"/>
      <c r="AA619" s="481"/>
      <c r="AC619" s="456"/>
      <c r="AD619" s="481" t="s">
        <v>1414</v>
      </c>
      <c r="AF619" s="481"/>
      <c r="AG619" s="522"/>
      <c r="AH619" s="699"/>
      <c r="AI619" s="456"/>
      <c r="AJ619" s="699"/>
    </row>
    <row r="620" spans="1:36" s="454" customFormat="1" ht="15" x14ac:dyDescent="0.25">
      <c r="A620" s="2685" t="s">
        <v>1416</v>
      </c>
      <c r="B620" s="2686"/>
      <c r="C620" s="2686"/>
      <c r="D620" s="2686"/>
      <c r="E620" s="2686"/>
      <c r="F620" s="2686"/>
      <c r="G620" s="2686"/>
      <c r="H620" s="2687"/>
      <c r="I620" s="661">
        <v>-226452</v>
      </c>
      <c r="J620" s="661"/>
      <c r="K620" s="661"/>
      <c r="L620" s="681"/>
      <c r="M620" s="681"/>
      <c r="X620" s="656"/>
      <c r="Y620" s="657"/>
      <c r="Z620" s="657"/>
      <c r="AA620" s="481"/>
      <c r="AC620" s="456"/>
      <c r="AD620" s="481" t="s">
        <v>1416</v>
      </c>
      <c r="AF620" s="481"/>
      <c r="AG620" s="522"/>
      <c r="AH620" s="699"/>
      <c r="AI620" s="456"/>
      <c r="AJ620" s="699"/>
    </row>
    <row r="621" spans="1:36" s="454" customFormat="1" ht="15" x14ac:dyDescent="0.25">
      <c r="A621" s="2688" t="s">
        <v>1681</v>
      </c>
      <c r="B621" s="2689"/>
      <c r="C621" s="2689"/>
      <c r="D621" s="2689"/>
      <c r="E621" s="2689"/>
      <c r="F621" s="2689"/>
      <c r="G621" s="2689"/>
      <c r="H621" s="2690"/>
      <c r="I621" s="682"/>
      <c r="J621" s="682"/>
      <c r="K621" s="682"/>
      <c r="L621" s="683"/>
      <c r="M621" s="683"/>
      <c r="X621" s="656"/>
      <c r="Y621" s="657"/>
      <c r="Z621" s="657"/>
      <c r="AA621" s="481"/>
      <c r="AC621" s="456"/>
      <c r="AD621" s="481"/>
      <c r="AE621" s="491" t="s">
        <v>1681</v>
      </c>
      <c r="AF621" s="481"/>
      <c r="AG621" s="522"/>
      <c r="AH621" s="699"/>
      <c r="AI621" s="456"/>
      <c r="AJ621" s="699"/>
    </row>
    <row r="622" spans="1:36" s="454" customFormat="1" ht="15" x14ac:dyDescent="0.25">
      <c r="A622" s="2688" t="s">
        <v>2371</v>
      </c>
      <c r="B622" s="2689"/>
      <c r="C622" s="2689"/>
      <c r="D622" s="2689"/>
      <c r="E622" s="2689"/>
      <c r="F622" s="2689"/>
      <c r="G622" s="2689"/>
      <c r="H622" s="2690"/>
      <c r="I622" s="682">
        <v>-64835</v>
      </c>
      <c r="J622" s="682"/>
      <c r="K622" s="682"/>
      <c r="L622" s="683"/>
      <c r="M622" s="683"/>
      <c r="X622" s="656"/>
      <c r="Y622" s="657"/>
      <c r="Z622" s="657"/>
      <c r="AA622" s="481"/>
      <c r="AC622" s="456"/>
      <c r="AD622" s="481"/>
      <c r="AE622" s="491" t="s">
        <v>2371</v>
      </c>
      <c r="AF622" s="481"/>
      <c r="AG622" s="522"/>
      <c r="AH622" s="699"/>
      <c r="AI622" s="456"/>
      <c r="AJ622" s="699"/>
    </row>
    <row r="623" spans="1:36" s="454" customFormat="1" ht="15" x14ac:dyDescent="0.25">
      <c r="A623" s="2688" t="s">
        <v>2372</v>
      </c>
      <c r="B623" s="2689"/>
      <c r="C623" s="2689"/>
      <c r="D623" s="2689"/>
      <c r="E623" s="2689"/>
      <c r="F623" s="2689"/>
      <c r="G623" s="2689"/>
      <c r="H623" s="2690"/>
      <c r="I623" s="682">
        <v>-13709</v>
      </c>
      <c r="J623" s="682"/>
      <c r="K623" s="682"/>
      <c r="L623" s="683"/>
      <c r="M623" s="683"/>
      <c r="X623" s="656"/>
      <c r="Y623" s="657"/>
      <c r="Z623" s="657"/>
      <c r="AA623" s="481"/>
      <c r="AC623" s="456"/>
      <c r="AD623" s="481"/>
      <c r="AE623" s="491" t="s">
        <v>2372</v>
      </c>
      <c r="AF623" s="481"/>
      <c r="AG623" s="522"/>
      <c r="AH623" s="699"/>
      <c r="AI623" s="456"/>
      <c r="AJ623" s="699"/>
    </row>
    <row r="624" spans="1:36" s="454" customFormat="1" ht="15" x14ac:dyDescent="0.25">
      <c r="A624" s="2688" t="s">
        <v>2373</v>
      </c>
      <c r="B624" s="2689"/>
      <c r="C624" s="2689"/>
      <c r="D624" s="2689"/>
      <c r="E624" s="2689"/>
      <c r="F624" s="2689"/>
      <c r="G624" s="2689"/>
      <c r="H624" s="2690"/>
      <c r="I624" s="682">
        <v>-620</v>
      </c>
      <c r="J624" s="682"/>
      <c r="K624" s="682"/>
      <c r="L624" s="683"/>
      <c r="M624" s="683"/>
      <c r="X624" s="656"/>
      <c r="Y624" s="657"/>
      <c r="Z624" s="657"/>
      <c r="AA624" s="481"/>
      <c r="AC624" s="456"/>
      <c r="AD624" s="481"/>
      <c r="AE624" s="491" t="s">
        <v>2373</v>
      </c>
      <c r="AF624" s="481"/>
      <c r="AG624" s="522"/>
      <c r="AH624" s="699"/>
      <c r="AI624" s="456"/>
      <c r="AJ624" s="699"/>
    </row>
    <row r="625" spans="1:36" s="454" customFormat="1" ht="15" x14ac:dyDescent="0.25">
      <c r="A625" s="2688" t="s">
        <v>2374</v>
      </c>
      <c r="B625" s="2689"/>
      <c r="C625" s="2689"/>
      <c r="D625" s="2689"/>
      <c r="E625" s="2689"/>
      <c r="F625" s="2689"/>
      <c r="G625" s="2689"/>
      <c r="H625" s="2690"/>
      <c r="I625" s="682">
        <v>-236</v>
      </c>
      <c r="J625" s="682"/>
      <c r="K625" s="682"/>
      <c r="L625" s="683"/>
      <c r="M625" s="683"/>
      <c r="X625" s="656"/>
      <c r="Y625" s="657"/>
      <c r="Z625" s="657"/>
      <c r="AA625" s="481"/>
      <c r="AC625" s="456"/>
      <c r="AD625" s="481"/>
      <c r="AE625" s="491" t="s">
        <v>2374</v>
      </c>
      <c r="AF625" s="481"/>
      <c r="AG625" s="522"/>
      <c r="AH625" s="699"/>
      <c r="AI625" s="456"/>
      <c r="AJ625" s="699"/>
    </row>
    <row r="626" spans="1:36" s="454" customFormat="1" ht="15" x14ac:dyDescent="0.25">
      <c r="A626" s="2688" t="s">
        <v>2375</v>
      </c>
      <c r="B626" s="2689"/>
      <c r="C626" s="2689"/>
      <c r="D626" s="2689"/>
      <c r="E626" s="2689"/>
      <c r="F626" s="2689"/>
      <c r="G626" s="2689"/>
      <c r="H626" s="2690"/>
      <c r="I626" s="682">
        <v>-147052</v>
      </c>
      <c r="J626" s="682"/>
      <c r="K626" s="682"/>
      <c r="L626" s="683"/>
      <c r="M626" s="683"/>
      <c r="X626" s="656"/>
      <c r="Y626" s="657"/>
      <c r="Z626" s="657"/>
      <c r="AA626" s="481"/>
      <c r="AC626" s="456"/>
      <c r="AD626" s="481"/>
      <c r="AE626" s="491" t="s">
        <v>2375</v>
      </c>
      <c r="AF626" s="481"/>
      <c r="AG626" s="522"/>
      <c r="AH626" s="699"/>
      <c r="AI626" s="456"/>
      <c r="AJ626" s="699"/>
    </row>
    <row r="627" spans="1:36" s="454" customFormat="1" ht="15" x14ac:dyDescent="0.25">
      <c r="A627" s="2685" t="s">
        <v>1417</v>
      </c>
      <c r="B627" s="2686"/>
      <c r="C627" s="2686"/>
      <c r="D627" s="2686"/>
      <c r="E627" s="2686"/>
      <c r="F627" s="2686"/>
      <c r="G627" s="2686"/>
      <c r="H627" s="2687"/>
      <c r="I627" s="661">
        <v>-113701</v>
      </c>
      <c r="J627" s="661"/>
      <c r="K627" s="661"/>
      <c r="L627" s="681"/>
      <c r="M627" s="681"/>
      <c r="X627" s="656"/>
      <c r="Y627" s="657"/>
      <c r="Z627" s="657"/>
      <c r="AA627" s="481"/>
      <c r="AC627" s="456"/>
      <c r="AD627" s="481" t="s">
        <v>1417</v>
      </c>
      <c r="AF627" s="481"/>
      <c r="AG627" s="522"/>
      <c r="AH627" s="699"/>
      <c r="AI627" s="456"/>
      <c r="AJ627" s="699"/>
    </row>
    <row r="628" spans="1:36" s="454" customFormat="1" ht="15" x14ac:dyDescent="0.25">
      <c r="A628" s="2688" t="s">
        <v>1681</v>
      </c>
      <c r="B628" s="2689"/>
      <c r="C628" s="2689"/>
      <c r="D628" s="2689"/>
      <c r="E628" s="2689"/>
      <c r="F628" s="2689"/>
      <c r="G628" s="2689"/>
      <c r="H628" s="2690"/>
      <c r="I628" s="682"/>
      <c r="J628" s="682"/>
      <c r="K628" s="682"/>
      <c r="L628" s="683"/>
      <c r="M628" s="683"/>
      <c r="X628" s="656"/>
      <c r="Y628" s="657"/>
      <c r="Z628" s="657"/>
      <c r="AA628" s="481"/>
      <c r="AC628" s="456"/>
      <c r="AD628" s="481"/>
      <c r="AE628" s="491" t="s">
        <v>1681</v>
      </c>
      <c r="AF628" s="481"/>
      <c r="AG628" s="522"/>
      <c r="AH628" s="699"/>
      <c r="AI628" s="456"/>
      <c r="AJ628" s="699"/>
    </row>
    <row r="629" spans="1:36" s="454" customFormat="1" ht="15" x14ac:dyDescent="0.25">
      <c r="A629" s="2688" t="s">
        <v>2376</v>
      </c>
      <c r="B629" s="2689"/>
      <c r="C629" s="2689"/>
      <c r="D629" s="2689"/>
      <c r="E629" s="2689"/>
      <c r="F629" s="2689"/>
      <c r="G629" s="2689"/>
      <c r="H629" s="2690"/>
      <c r="I629" s="682">
        <v>-36216</v>
      </c>
      <c r="J629" s="682"/>
      <c r="K629" s="682"/>
      <c r="L629" s="683"/>
      <c r="M629" s="683"/>
      <c r="X629" s="656"/>
      <c r="Y629" s="657"/>
      <c r="Z629" s="657"/>
      <c r="AA629" s="481"/>
      <c r="AC629" s="456"/>
      <c r="AD629" s="481"/>
      <c r="AE629" s="491" t="s">
        <v>2376</v>
      </c>
      <c r="AF629" s="481"/>
      <c r="AG629" s="522"/>
      <c r="AH629" s="699"/>
      <c r="AI629" s="456"/>
      <c r="AJ629" s="699"/>
    </row>
    <row r="630" spans="1:36" s="454" customFormat="1" ht="15" x14ac:dyDescent="0.25">
      <c r="A630" s="2688" t="s">
        <v>2377</v>
      </c>
      <c r="B630" s="2689"/>
      <c r="C630" s="2689"/>
      <c r="D630" s="2689"/>
      <c r="E630" s="2689"/>
      <c r="F630" s="2689"/>
      <c r="G630" s="2689"/>
      <c r="H630" s="2690"/>
      <c r="I630" s="682">
        <v>-66961</v>
      </c>
      <c r="J630" s="682"/>
      <c r="K630" s="682"/>
      <c r="L630" s="683"/>
      <c r="M630" s="683"/>
      <c r="X630" s="656"/>
      <c r="Y630" s="657"/>
      <c r="Z630" s="657"/>
      <c r="AA630" s="481"/>
      <c r="AC630" s="456"/>
      <c r="AD630" s="481"/>
      <c r="AE630" s="491" t="s">
        <v>2377</v>
      </c>
      <c r="AF630" s="481"/>
      <c r="AG630" s="522"/>
      <c r="AH630" s="699"/>
      <c r="AI630" s="456"/>
      <c r="AJ630" s="699"/>
    </row>
    <row r="631" spans="1:36" s="454" customFormat="1" ht="15" x14ac:dyDescent="0.25">
      <c r="A631" s="2688" t="s">
        <v>2378</v>
      </c>
      <c r="B631" s="2689"/>
      <c r="C631" s="2689"/>
      <c r="D631" s="2689"/>
      <c r="E631" s="2689"/>
      <c r="F631" s="2689"/>
      <c r="G631" s="2689"/>
      <c r="H631" s="2690"/>
      <c r="I631" s="682">
        <v>-9792</v>
      </c>
      <c r="J631" s="682"/>
      <c r="K631" s="682"/>
      <c r="L631" s="683"/>
      <c r="M631" s="683"/>
      <c r="X631" s="656"/>
      <c r="Y631" s="657"/>
      <c r="Z631" s="657"/>
      <c r="AA631" s="481"/>
      <c r="AC631" s="456"/>
      <c r="AD631" s="481"/>
      <c r="AE631" s="491" t="s">
        <v>2378</v>
      </c>
      <c r="AF631" s="481"/>
      <c r="AG631" s="522"/>
      <c r="AH631" s="699"/>
      <c r="AI631" s="456"/>
      <c r="AJ631" s="699"/>
    </row>
    <row r="632" spans="1:36" s="454" customFormat="1" ht="15" x14ac:dyDescent="0.25">
      <c r="A632" s="2688" t="s">
        <v>2379</v>
      </c>
      <c r="B632" s="2689"/>
      <c r="C632" s="2689"/>
      <c r="D632" s="2689"/>
      <c r="E632" s="2689"/>
      <c r="F632" s="2689"/>
      <c r="G632" s="2689"/>
      <c r="H632" s="2690"/>
      <c r="I632" s="682">
        <v>-146</v>
      </c>
      <c r="J632" s="682"/>
      <c r="K632" s="682"/>
      <c r="L632" s="683"/>
      <c r="M632" s="683"/>
      <c r="X632" s="656"/>
      <c r="Y632" s="657"/>
      <c r="Z632" s="657"/>
      <c r="AA632" s="481"/>
      <c r="AC632" s="456"/>
      <c r="AD632" s="481"/>
      <c r="AE632" s="491" t="s">
        <v>2379</v>
      </c>
      <c r="AF632" s="481"/>
      <c r="AG632" s="522"/>
      <c r="AH632" s="699"/>
      <c r="AI632" s="456"/>
      <c r="AJ632" s="699"/>
    </row>
    <row r="633" spans="1:36" s="454" customFormat="1" ht="15" x14ac:dyDescent="0.25">
      <c r="A633" s="2688" t="s">
        <v>2380</v>
      </c>
      <c r="B633" s="2689"/>
      <c r="C633" s="2689"/>
      <c r="D633" s="2689"/>
      <c r="E633" s="2689"/>
      <c r="F633" s="2689"/>
      <c r="G633" s="2689"/>
      <c r="H633" s="2690"/>
      <c r="I633" s="682">
        <v>-586</v>
      </c>
      <c r="J633" s="682"/>
      <c r="K633" s="682"/>
      <c r="L633" s="683"/>
      <c r="M633" s="683"/>
      <c r="X633" s="656"/>
      <c r="Y633" s="657"/>
      <c r="Z633" s="657"/>
      <c r="AA633" s="481"/>
      <c r="AC633" s="456"/>
      <c r="AD633" s="481"/>
      <c r="AE633" s="491" t="s">
        <v>2380</v>
      </c>
      <c r="AF633" s="481"/>
      <c r="AG633" s="522"/>
      <c r="AH633" s="699"/>
      <c r="AI633" s="456"/>
      <c r="AJ633" s="699"/>
    </row>
    <row r="634" spans="1:36" s="454" customFormat="1" ht="15" x14ac:dyDescent="0.25">
      <c r="A634" s="2685" t="s">
        <v>2381</v>
      </c>
      <c r="B634" s="2686"/>
      <c r="C634" s="2686"/>
      <c r="D634" s="2686"/>
      <c r="E634" s="2686"/>
      <c r="F634" s="2686"/>
      <c r="G634" s="2686"/>
      <c r="H634" s="2687"/>
      <c r="I634" s="661"/>
      <c r="J634" s="661"/>
      <c r="K634" s="661"/>
      <c r="L634" s="681"/>
      <c r="M634" s="681"/>
      <c r="X634" s="656"/>
      <c r="Y634" s="657"/>
      <c r="Z634" s="657"/>
      <c r="AA634" s="481"/>
      <c r="AC634" s="456"/>
      <c r="AD634" s="481" t="s">
        <v>2381</v>
      </c>
      <c r="AF634" s="481"/>
      <c r="AG634" s="522"/>
      <c r="AH634" s="699"/>
      <c r="AI634" s="456"/>
      <c r="AJ634" s="699"/>
    </row>
    <row r="635" spans="1:36" s="454" customFormat="1" ht="15" x14ac:dyDescent="0.25">
      <c r="A635" s="2688" t="s">
        <v>1685</v>
      </c>
      <c r="B635" s="2689"/>
      <c r="C635" s="2689"/>
      <c r="D635" s="2689"/>
      <c r="E635" s="2689"/>
      <c r="F635" s="2689"/>
      <c r="G635" s="2689"/>
      <c r="H635" s="2690"/>
      <c r="I635" s="682"/>
      <c r="J635" s="682"/>
      <c r="K635" s="682"/>
      <c r="L635" s="683"/>
      <c r="M635" s="683"/>
      <c r="X635" s="656"/>
      <c r="Y635" s="657"/>
      <c r="Z635" s="657"/>
      <c r="AA635" s="481"/>
      <c r="AC635" s="456"/>
      <c r="AD635" s="481"/>
      <c r="AE635" s="491" t="s">
        <v>1685</v>
      </c>
      <c r="AF635" s="481"/>
      <c r="AG635" s="522"/>
      <c r="AH635" s="699"/>
      <c r="AI635" s="456"/>
      <c r="AJ635" s="699"/>
    </row>
    <row r="636" spans="1:36" s="454" customFormat="1" ht="15" x14ac:dyDescent="0.25">
      <c r="A636" s="2688" t="s">
        <v>2382</v>
      </c>
      <c r="B636" s="2689"/>
      <c r="C636" s="2689"/>
      <c r="D636" s="2689"/>
      <c r="E636" s="2689"/>
      <c r="F636" s="2689"/>
      <c r="G636" s="2689"/>
      <c r="H636" s="2690"/>
      <c r="I636" s="682"/>
      <c r="J636" s="682"/>
      <c r="K636" s="682"/>
      <c r="L636" s="683"/>
      <c r="M636" s="683"/>
      <c r="X636" s="656"/>
      <c r="Y636" s="657"/>
      <c r="Z636" s="657"/>
      <c r="AA636" s="481"/>
      <c r="AC636" s="456"/>
      <c r="AD636" s="481"/>
      <c r="AE636" s="491" t="s">
        <v>2382</v>
      </c>
      <c r="AF636" s="481"/>
      <c r="AG636" s="522"/>
      <c r="AH636" s="699"/>
      <c r="AI636" s="456"/>
      <c r="AJ636" s="699"/>
    </row>
    <row r="637" spans="1:36" s="454" customFormat="1" ht="22.5" x14ac:dyDescent="0.25">
      <c r="A637" s="2688" t="s">
        <v>2383</v>
      </c>
      <c r="B637" s="2689"/>
      <c r="C637" s="2689"/>
      <c r="D637" s="2689"/>
      <c r="E637" s="2689"/>
      <c r="F637" s="2689"/>
      <c r="G637" s="2689"/>
      <c r="H637" s="2690"/>
      <c r="I637" s="682">
        <v>-80982</v>
      </c>
      <c r="J637" s="682">
        <v>-80444</v>
      </c>
      <c r="K637" s="682" t="s">
        <v>1707</v>
      </c>
      <c r="L637" s="683"/>
      <c r="M637" s="684">
        <v>-7206.79</v>
      </c>
      <c r="X637" s="656"/>
      <c r="Y637" s="657"/>
      <c r="Z637" s="657"/>
      <c r="AA637" s="481"/>
      <c r="AC637" s="456"/>
      <c r="AD637" s="481"/>
      <c r="AE637" s="491" t="s">
        <v>2383</v>
      </c>
      <c r="AF637" s="481"/>
      <c r="AG637" s="522"/>
      <c r="AH637" s="699"/>
      <c r="AI637" s="456"/>
      <c r="AJ637" s="699"/>
    </row>
    <row r="638" spans="1:36" s="454" customFormat="1" ht="15" x14ac:dyDescent="0.25">
      <c r="A638" s="2688" t="s">
        <v>2384</v>
      </c>
      <c r="B638" s="2689"/>
      <c r="C638" s="2689"/>
      <c r="D638" s="2689"/>
      <c r="E638" s="2689"/>
      <c r="F638" s="2689"/>
      <c r="G638" s="2689"/>
      <c r="H638" s="2690"/>
      <c r="I638" s="682">
        <v>-64385</v>
      </c>
      <c r="J638" s="682"/>
      <c r="K638" s="682"/>
      <c r="L638" s="683"/>
      <c r="M638" s="683"/>
      <c r="X638" s="656"/>
      <c r="Y638" s="657"/>
      <c r="Z638" s="657"/>
      <c r="AA638" s="481"/>
      <c r="AC638" s="456"/>
      <c r="AD638" s="481"/>
      <c r="AE638" s="491" t="s">
        <v>2384</v>
      </c>
      <c r="AF638" s="481"/>
      <c r="AG638" s="522"/>
      <c r="AH638" s="699"/>
      <c r="AI638" s="456"/>
      <c r="AJ638" s="699"/>
    </row>
    <row r="639" spans="1:36" s="454" customFormat="1" ht="15" x14ac:dyDescent="0.25">
      <c r="A639" s="2688" t="s">
        <v>2385</v>
      </c>
      <c r="B639" s="2689"/>
      <c r="C639" s="2689"/>
      <c r="D639" s="2689"/>
      <c r="E639" s="2689"/>
      <c r="F639" s="2689"/>
      <c r="G639" s="2689"/>
      <c r="H639" s="2690"/>
      <c r="I639" s="682">
        <v>-36216</v>
      </c>
      <c r="J639" s="682"/>
      <c r="K639" s="682"/>
      <c r="L639" s="683"/>
      <c r="M639" s="683"/>
      <c r="X639" s="656"/>
      <c r="Y639" s="657"/>
      <c r="Z639" s="657"/>
      <c r="AA639" s="481"/>
      <c r="AC639" s="456"/>
      <c r="AD639" s="481"/>
      <c r="AE639" s="491" t="s">
        <v>2385</v>
      </c>
      <c r="AF639" s="481"/>
      <c r="AG639" s="522"/>
      <c r="AH639" s="699"/>
      <c r="AI639" s="456"/>
      <c r="AJ639" s="699"/>
    </row>
    <row r="640" spans="1:36" s="454" customFormat="1" ht="15" x14ac:dyDescent="0.25">
      <c r="A640" s="2688" t="s">
        <v>1694</v>
      </c>
      <c r="B640" s="2689"/>
      <c r="C640" s="2689"/>
      <c r="D640" s="2689"/>
      <c r="E640" s="2689"/>
      <c r="F640" s="2689"/>
      <c r="G640" s="2689"/>
      <c r="H640" s="2690"/>
      <c r="I640" s="682">
        <v>-181583</v>
      </c>
      <c r="J640" s="682"/>
      <c r="K640" s="682"/>
      <c r="L640" s="683"/>
      <c r="M640" s="684">
        <v>-7206.79</v>
      </c>
      <c r="X640" s="656"/>
      <c r="Y640" s="657"/>
      <c r="Z640" s="657"/>
      <c r="AA640" s="481"/>
      <c r="AC640" s="456"/>
      <c r="AD640" s="481"/>
      <c r="AE640" s="491" t="s">
        <v>1694</v>
      </c>
      <c r="AF640" s="481"/>
      <c r="AG640" s="522"/>
      <c r="AH640" s="699"/>
      <c r="AI640" s="456"/>
      <c r="AJ640" s="699"/>
    </row>
    <row r="641" spans="1:36" s="454" customFormat="1" ht="15" x14ac:dyDescent="0.25">
      <c r="A641" s="2688" t="s">
        <v>2386</v>
      </c>
      <c r="B641" s="2689"/>
      <c r="C641" s="2689"/>
      <c r="D641" s="2689"/>
      <c r="E641" s="2689"/>
      <c r="F641" s="2689"/>
      <c r="G641" s="2689"/>
      <c r="H641" s="2690"/>
      <c r="I641" s="682"/>
      <c r="J641" s="682"/>
      <c r="K641" s="682"/>
      <c r="L641" s="683"/>
      <c r="M641" s="683"/>
      <c r="X641" s="656"/>
      <c r="Y641" s="657"/>
      <c r="Z641" s="657"/>
      <c r="AA641" s="481"/>
      <c r="AC641" s="456"/>
      <c r="AD641" s="481"/>
      <c r="AE641" s="491" t="s">
        <v>2386</v>
      </c>
      <c r="AF641" s="481"/>
      <c r="AG641" s="522"/>
      <c r="AH641" s="699"/>
      <c r="AI641" s="456"/>
      <c r="AJ641" s="699"/>
    </row>
    <row r="642" spans="1:36" s="454" customFormat="1" ht="22.5" x14ac:dyDescent="0.25">
      <c r="A642" s="2688" t="s">
        <v>2387</v>
      </c>
      <c r="B642" s="2689"/>
      <c r="C642" s="2689"/>
      <c r="D642" s="2689"/>
      <c r="E642" s="2689"/>
      <c r="F642" s="2689"/>
      <c r="G642" s="2689"/>
      <c r="H642" s="2690"/>
      <c r="I642" s="682">
        <v>-388</v>
      </c>
      <c r="J642" s="682">
        <v>-211</v>
      </c>
      <c r="K642" s="682" t="s">
        <v>1727</v>
      </c>
      <c r="L642" s="683"/>
      <c r="M642" s="684">
        <v>-24.76</v>
      </c>
      <c r="X642" s="656"/>
      <c r="Y642" s="657"/>
      <c r="Z642" s="657"/>
      <c r="AA642" s="481"/>
      <c r="AC642" s="456"/>
      <c r="AD642" s="481"/>
      <c r="AE642" s="491" t="s">
        <v>2387</v>
      </c>
      <c r="AF642" s="481"/>
      <c r="AG642" s="522"/>
      <c r="AH642" s="699"/>
      <c r="AI642" s="456"/>
      <c r="AJ642" s="699"/>
    </row>
    <row r="643" spans="1:36" s="454" customFormat="1" ht="15" x14ac:dyDescent="0.25">
      <c r="A643" s="2688" t="s">
        <v>2388</v>
      </c>
      <c r="B643" s="2689"/>
      <c r="C643" s="2689"/>
      <c r="D643" s="2689"/>
      <c r="E643" s="2689"/>
      <c r="F643" s="2689"/>
      <c r="G643" s="2689"/>
      <c r="H643" s="2690"/>
      <c r="I643" s="682">
        <v>-236</v>
      </c>
      <c r="J643" s="682"/>
      <c r="K643" s="682"/>
      <c r="L643" s="683"/>
      <c r="M643" s="683"/>
      <c r="X643" s="656"/>
      <c r="Y643" s="657"/>
      <c r="Z643" s="657"/>
      <c r="AA643" s="481"/>
      <c r="AC643" s="456"/>
      <c r="AD643" s="481"/>
      <c r="AE643" s="491" t="s">
        <v>2388</v>
      </c>
      <c r="AF643" s="481"/>
      <c r="AG643" s="522"/>
      <c r="AH643" s="699"/>
      <c r="AI643" s="456"/>
      <c r="AJ643" s="699"/>
    </row>
    <row r="644" spans="1:36" s="454" customFormat="1" ht="15" x14ac:dyDescent="0.25">
      <c r="A644" s="2688" t="s">
        <v>2389</v>
      </c>
      <c r="B644" s="2689"/>
      <c r="C644" s="2689"/>
      <c r="D644" s="2689"/>
      <c r="E644" s="2689"/>
      <c r="F644" s="2689"/>
      <c r="G644" s="2689"/>
      <c r="H644" s="2690"/>
      <c r="I644" s="682">
        <v>-146</v>
      </c>
      <c r="J644" s="682"/>
      <c r="K644" s="682"/>
      <c r="L644" s="683"/>
      <c r="M644" s="683"/>
      <c r="X644" s="656"/>
      <c r="Y644" s="657"/>
      <c r="Z644" s="657"/>
      <c r="AA644" s="481"/>
      <c r="AC644" s="456"/>
      <c r="AD644" s="481"/>
      <c r="AE644" s="491" t="s">
        <v>2389</v>
      </c>
      <c r="AF644" s="481"/>
      <c r="AG644" s="522"/>
      <c r="AH644" s="699"/>
      <c r="AI644" s="456"/>
      <c r="AJ644" s="699"/>
    </row>
    <row r="645" spans="1:36" s="454" customFormat="1" ht="15" x14ac:dyDescent="0.25">
      <c r="A645" s="2688" t="s">
        <v>1694</v>
      </c>
      <c r="B645" s="2689"/>
      <c r="C645" s="2689"/>
      <c r="D645" s="2689"/>
      <c r="E645" s="2689"/>
      <c r="F645" s="2689"/>
      <c r="G645" s="2689"/>
      <c r="H645" s="2690"/>
      <c r="I645" s="682">
        <v>-770</v>
      </c>
      <c r="J645" s="682"/>
      <c r="K645" s="682"/>
      <c r="L645" s="683"/>
      <c r="M645" s="684">
        <v>-24.76</v>
      </c>
      <c r="X645" s="656"/>
      <c r="Y645" s="657"/>
      <c r="Z645" s="657"/>
      <c r="AA645" s="481"/>
      <c r="AC645" s="456"/>
      <c r="AD645" s="481"/>
      <c r="AE645" s="491" t="s">
        <v>1694</v>
      </c>
      <c r="AF645" s="481"/>
      <c r="AG645" s="522"/>
      <c r="AH645" s="699"/>
      <c r="AI645" s="456"/>
      <c r="AJ645" s="699"/>
    </row>
    <row r="646" spans="1:36" s="454" customFormat="1" ht="15" x14ac:dyDescent="0.25">
      <c r="A646" s="2688" t="s">
        <v>1686</v>
      </c>
      <c r="B646" s="2689"/>
      <c r="C646" s="2689"/>
      <c r="D646" s="2689"/>
      <c r="E646" s="2689"/>
      <c r="F646" s="2689"/>
      <c r="G646" s="2689"/>
      <c r="H646" s="2690"/>
      <c r="I646" s="682"/>
      <c r="J646" s="682"/>
      <c r="K646" s="682"/>
      <c r="L646" s="683"/>
      <c r="M646" s="683"/>
      <c r="X646" s="656"/>
      <c r="Y646" s="657"/>
      <c r="Z646" s="657"/>
      <c r="AA646" s="481"/>
      <c r="AC646" s="456"/>
      <c r="AD646" s="481"/>
      <c r="AE646" s="491" t="s">
        <v>1686</v>
      </c>
      <c r="AF646" s="481"/>
      <c r="AG646" s="522"/>
      <c r="AH646" s="699"/>
      <c r="AI646" s="456"/>
      <c r="AJ646" s="699"/>
    </row>
    <row r="647" spans="1:36" s="454" customFormat="1" ht="15" x14ac:dyDescent="0.25">
      <c r="A647" s="2688" t="s">
        <v>2390</v>
      </c>
      <c r="B647" s="2689"/>
      <c r="C647" s="2689"/>
      <c r="D647" s="2689"/>
      <c r="E647" s="2689"/>
      <c r="F647" s="2689"/>
      <c r="G647" s="2689"/>
      <c r="H647" s="2690"/>
      <c r="I647" s="682">
        <v>-28469</v>
      </c>
      <c r="J647" s="682"/>
      <c r="K647" s="682"/>
      <c r="L647" s="683"/>
      <c r="M647" s="683"/>
      <c r="X647" s="656"/>
      <c r="Y647" s="657"/>
      <c r="Z647" s="657"/>
      <c r="AA647" s="481"/>
      <c r="AC647" s="456"/>
      <c r="AD647" s="481"/>
      <c r="AE647" s="491" t="s">
        <v>2390</v>
      </c>
      <c r="AF647" s="481"/>
      <c r="AG647" s="522"/>
      <c r="AH647" s="699"/>
      <c r="AI647" s="456"/>
      <c r="AJ647" s="699"/>
    </row>
    <row r="648" spans="1:36" s="454" customFormat="1" ht="15" x14ac:dyDescent="0.25">
      <c r="A648" s="2688" t="s">
        <v>2391</v>
      </c>
      <c r="B648" s="2689"/>
      <c r="C648" s="2689"/>
      <c r="D648" s="2689"/>
      <c r="E648" s="2689"/>
      <c r="F648" s="2689"/>
      <c r="G648" s="2689"/>
      <c r="H648" s="2690"/>
      <c r="I648" s="682"/>
      <c r="J648" s="682"/>
      <c r="K648" s="682"/>
      <c r="L648" s="683"/>
      <c r="M648" s="683"/>
      <c r="X648" s="656"/>
      <c r="Y648" s="657"/>
      <c r="Z648" s="657"/>
      <c r="AA648" s="481"/>
      <c r="AC648" s="456"/>
      <c r="AD648" s="481"/>
      <c r="AE648" s="491" t="s">
        <v>2391</v>
      </c>
      <c r="AF648" s="481"/>
      <c r="AG648" s="522"/>
      <c r="AH648" s="699"/>
      <c r="AI648" s="456"/>
      <c r="AJ648" s="699"/>
    </row>
    <row r="649" spans="1:36" s="454" customFormat="1" ht="22.5" x14ac:dyDescent="0.25">
      <c r="A649" s="2688" t="s">
        <v>2392</v>
      </c>
      <c r="B649" s="2689"/>
      <c r="C649" s="2689"/>
      <c r="D649" s="2689"/>
      <c r="E649" s="2689"/>
      <c r="F649" s="2689"/>
      <c r="G649" s="2689"/>
      <c r="H649" s="2690"/>
      <c r="I649" s="682">
        <v>-1716</v>
      </c>
      <c r="J649" s="682">
        <v>-590</v>
      </c>
      <c r="K649" s="682" t="s">
        <v>2393</v>
      </c>
      <c r="L649" s="683"/>
      <c r="M649" s="684">
        <v>-57.45</v>
      </c>
      <c r="X649" s="656"/>
      <c r="Y649" s="657"/>
      <c r="Z649" s="657"/>
      <c r="AA649" s="481"/>
      <c r="AC649" s="456"/>
      <c r="AD649" s="481"/>
      <c r="AE649" s="491" t="s">
        <v>2392</v>
      </c>
      <c r="AF649" s="481"/>
      <c r="AG649" s="522"/>
      <c r="AH649" s="699"/>
      <c r="AI649" s="456"/>
      <c r="AJ649" s="699"/>
    </row>
    <row r="650" spans="1:36" s="454" customFormat="1" ht="15" x14ac:dyDescent="0.25">
      <c r="A650" s="2688" t="s">
        <v>2394</v>
      </c>
      <c r="B650" s="2689"/>
      <c r="C650" s="2689"/>
      <c r="D650" s="2689"/>
      <c r="E650" s="2689"/>
      <c r="F650" s="2689"/>
      <c r="G650" s="2689"/>
      <c r="H650" s="2690"/>
      <c r="I650" s="682">
        <v>-620</v>
      </c>
      <c r="J650" s="682"/>
      <c r="K650" s="682"/>
      <c r="L650" s="683"/>
      <c r="M650" s="683"/>
      <c r="X650" s="656"/>
      <c r="Y650" s="657"/>
      <c r="Z650" s="657"/>
      <c r="AA650" s="481"/>
      <c r="AC650" s="456"/>
      <c r="AD650" s="481"/>
      <c r="AE650" s="491" t="s">
        <v>2394</v>
      </c>
      <c r="AF650" s="481"/>
      <c r="AG650" s="522"/>
      <c r="AH650" s="699"/>
      <c r="AI650" s="456"/>
      <c r="AJ650" s="699"/>
    </row>
    <row r="651" spans="1:36" s="454" customFormat="1" ht="15" x14ac:dyDescent="0.25">
      <c r="A651" s="2688" t="s">
        <v>2395</v>
      </c>
      <c r="B651" s="2689"/>
      <c r="C651" s="2689"/>
      <c r="D651" s="2689"/>
      <c r="E651" s="2689"/>
      <c r="F651" s="2689"/>
      <c r="G651" s="2689"/>
      <c r="H651" s="2690"/>
      <c r="I651" s="682">
        <v>-586</v>
      </c>
      <c r="J651" s="682"/>
      <c r="K651" s="682"/>
      <c r="L651" s="683"/>
      <c r="M651" s="683"/>
      <c r="X651" s="656"/>
      <c r="Y651" s="657"/>
      <c r="Z651" s="657"/>
      <c r="AA651" s="481"/>
      <c r="AC651" s="456"/>
      <c r="AD651" s="481"/>
      <c r="AE651" s="491" t="s">
        <v>2395</v>
      </c>
      <c r="AF651" s="481"/>
      <c r="AG651" s="522"/>
      <c r="AH651" s="699"/>
      <c r="AI651" s="456"/>
      <c r="AJ651" s="699"/>
    </row>
    <row r="652" spans="1:36" s="454" customFormat="1" ht="15" x14ac:dyDescent="0.25">
      <c r="A652" s="2688" t="s">
        <v>1694</v>
      </c>
      <c r="B652" s="2689"/>
      <c r="C652" s="2689"/>
      <c r="D652" s="2689"/>
      <c r="E652" s="2689"/>
      <c r="F652" s="2689"/>
      <c r="G652" s="2689"/>
      <c r="H652" s="2690"/>
      <c r="I652" s="682">
        <v>-2922</v>
      </c>
      <c r="J652" s="682"/>
      <c r="K652" s="682"/>
      <c r="L652" s="683"/>
      <c r="M652" s="684">
        <v>-57.45</v>
      </c>
      <c r="X652" s="656"/>
      <c r="Y652" s="657"/>
      <c r="Z652" s="657"/>
      <c r="AA652" s="481"/>
      <c r="AC652" s="456"/>
      <c r="AD652" s="481"/>
      <c r="AE652" s="491" t="s">
        <v>1694</v>
      </c>
      <c r="AF652" s="481"/>
      <c r="AG652" s="522"/>
      <c r="AH652" s="699"/>
      <c r="AI652" s="456"/>
      <c r="AJ652" s="699"/>
    </row>
    <row r="653" spans="1:36" s="454" customFormat="1" ht="15" x14ac:dyDescent="0.25">
      <c r="A653" s="2688" t="s">
        <v>2396</v>
      </c>
      <c r="B653" s="2689"/>
      <c r="C653" s="2689"/>
      <c r="D653" s="2689"/>
      <c r="E653" s="2689"/>
      <c r="F653" s="2689"/>
      <c r="G653" s="2689"/>
      <c r="H653" s="2690"/>
      <c r="I653" s="682"/>
      <c r="J653" s="682"/>
      <c r="K653" s="682"/>
      <c r="L653" s="683"/>
      <c r="M653" s="683"/>
      <c r="X653" s="656"/>
      <c r="Y653" s="657"/>
      <c r="Z653" s="657"/>
      <c r="AA653" s="481"/>
      <c r="AC653" s="456"/>
      <c r="AD653" s="481"/>
      <c r="AE653" s="491" t="s">
        <v>2396</v>
      </c>
      <c r="AF653" s="481"/>
      <c r="AG653" s="522"/>
      <c r="AH653" s="699"/>
      <c r="AI653" s="456"/>
      <c r="AJ653" s="699"/>
    </row>
    <row r="654" spans="1:36" s="454" customFormat="1" ht="15" x14ac:dyDescent="0.25">
      <c r="A654" s="2688" t="s">
        <v>2397</v>
      </c>
      <c r="B654" s="2689"/>
      <c r="C654" s="2689"/>
      <c r="D654" s="2689"/>
      <c r="E654" s="2689"/>
      <c r="F654" s="2689"/>
      <c r="G654" s="2689"/>
      <c r="H654" s="2690"/>
      <c r="I654" s="682">
        <v>-1541928</v>
      </c>
      <c r="J654" s="682"/>
      <c r="K654" s="682"/>
      <c r="L654" s="683"/>
      <c r="M654" s="683"/>
      <c r="X654" s="656"/>
      <c r="Y654" s="657"/>
      <c r="Z654" s="657"/>
      <c r="AA654" s="481"/>
      <c r="AC654" s="456"/>
      <c r="AD654" s="481"/>
      <c r="AE654" s="491" t="s">
        <v>2397</v>
      </c>
      <c r="AF654" s="481"/>
      <c r="AG654" s="522"/>
      <c r="AH654" s="699"/>
      <c r="AI654" s="456"/>
      <c r="AJ654" s="699"/>
    </row>
    <row r="655" spans="1:36" s="454" customFormat="1" ht="15" x14ac:dyDescent="0.25">
      <c r="A655" s="2688" t="s">
        <v>2398</v>
      </c>
      <c r="B655" s="2689"/>
      <c r="C655" s="2689"/>
      <c r="D655" s="2689"/>
      <c r="E655" s="2689"/>
      <c r="F655" s="2689"/>
      <c r="G655" s="2689"/>
      <c r="H655" s="2690"/>
      <c r="I655" s="682"/>
      <c r="J655" s="682"/>
      <c r="K655" s="682"/>
      <c r="L655" s="683"/>
      <c r="M655" s="683"/>
      <c r="X655" s="656"/>
      <c r="Y655" s="657"/>
      <c r="Z655" s="657"/>
      <c r="AA655" s="481"/>
      <c r="AC655" s="456"/>
      <c r="AD655" s="481"/>
      <c r="AE655" s="491" t="s">
        <v>2398</v>
      </c>
      <c r="AF655" s="481"/>
      <c r="AG655" s="522"/>
      <c r="AH655" s="699"/>
      <c r="AI655" s="456"/>
      <c r="AJ655" s="699"/>
    </row>
    <row r="656" spans="1:36" s="454" customFormat="1" ht="22.5" x14ac:dyDescent="0.25">
      <c r="A656" s="2688" t="s">
        <v>2399</v>
      </c>
      <c r="B656" s="2689"/>
      <c r="C656" s="2689"/>
      <c r="D656" s="2689"/>
      <c r="E656" s="2689"/>
      <c r="F656" s="2689"/>
      <c r="G656" s="2689"/>
      <c r="H656" s="2690"/>
      <c r="I656" s="682">
        <v>-1093026</v>
      </c>
      <c r="J656" s="682">
        <v>-85184</v>
      </c>
      <c r="K656" s="682" t="s">
        <v>2400</v>
      </c>
      <c r="L656" s="683"/>
      <c r="M656" s="700">
        <v>-8858.2000000000007</v>
      </c>
      <c r="X656" s="656"/>
      <c r="Y656" s="657"/>
      <c r="Z656" s="657"/>
      <c r="AA656" s="481"/>
      <c r="AC656" s="456"/>
      <c r="AD656" s="481"/>
      <c r="AE656" s="491" t="s">
        <v>2399</v>
      </c>
      <c r="AF656" s="481"/>
      <c r="AG656" s="522"/>
      <c r="AH656" s="699"/>
      <c r="AI656" s="456"/>
      <c r="AJ656" s="699"/>
    </row>
    <row r="657" spans="1:36" s="454" customFormat="1" ht="15" x14ac:dyDescent="0.25">
      <c r="A657" s="2688" t="s">
        <v>2401</v>
      </c>
      <c r="B657" s="2689"/>
      <c r="C657" s="2689"/>
      <c r="D657" s="2689"/>
      <c r="E657" s="2689"/>
      <c r="F657" s="2689"/>
      <c r="G657" s="2689"/>
      <c r="H657" s="2690"/>
      <c r="I657" s="682">
        <v>-147052</v>
      </c>
      <c r="J657" s="682"/>
      <c r="K657" s="682"/>
      <c r="L657" s="683"/>
      <c r="M657" s="683"/>
      <c r="X657" s="656"/>
      <c r="Y657" s="657"/>
      <c r="Z657" s="657"/>
      <c r="AA657" s="481"/>
      <c r="AC657" s="456"/>
      <c r="AD657" s="481"/>
      <c r="AE657" s="491" t="s">
        <v>2401</v>
      </c>
      <c r="AF657" s="481"/>
      <c r="AG657" s="522"/>
      <c r="AH657" s="699"/>
      <c r="AI657" s="456"/>
      <c r="AJ657" s="699"/>
    </row>
    <row r="658" spans="1:36" s="454" customFormat="1" ht="15" x14ac:dyDescent="0.25">
      <c r="A658" s="2688" t="s">
        <v>2402</v>
      </c>
      <c r="B658" s="2689"/>
      <c r="C658" s="2689"/>
      <c r="D658" s="2689"/>
      <c r="E658" s="2689"/>
      <c r="F658" s="2689"/>
      <c r="G658" s="2689"/>
      <c r="H658" s="2690"/>
      <c r="I658" s="682">
        <v>-66961</v>
      </c>
      <c r="J658" s="682"/>
      <c r="K658" s="682"/>
      <c r="L658" s="683"/>
      <c r="M658" s="683"/>
      <c r="X658" s="656"/>
      <c r="Y658" s="657"/>
      <c r="Z658" s="657"/>
      <c r="AA658" s="481"/>
      <c r="AC658" s="456"/>
      <c r="AD658" s="481"/>
      <c r="AE658" s="491" t="s">
        <v>2402</v>
      </c>
      <c r="AF658" s="481"/>
      <c r="AG658" s="522"/>
      <c r="AH658" s="699"/>
      <c r="AI658" s="456"/>
      <c r="AJ658" s="699"/>
    </row>
    <row r="659" spans="1:36" s="454" customFormat="1" ht="15" x14ac:dyDescent="0.25">
      <c r="A659" s="2688" t="s">
        <v>1694</v>
      </c>
      <c r="B659" s="2689"/>
      <c r="C659" s="2689"/>
      <c r="D659" s="2689"/>
      <c r="E659" s="2689"/>
      <c r="F659" s="2689"/>
      <c r="G659" s="2689"/>
      <c r="H659" s="2690"/>
      <c r="I659" s="682">
        <v>-1307039</v>
      </c>
      <c r="J659" s="682"/>
      <c r="K659" s="682"/>
      <c r="L659" s="683"/>
      <c r="M659" s="700">
        <v>-8858.2000000000007</v>
      </c>
      <c r="X659" s="656"/>
      <c r="Y659" s="657"/>
      <c r="Z659" s="657"/>
      <c r="AA659" s="481"/>
      <c r="AC659" s="456"/>
      <c r="AD659" s="481"/>
      <c r="AE659" s="491" t="s">
        <v>1694</v>
      </c>
      <c r="AF659" s="481"/>
      <c r="AG659" s="522"/>
      <c r="AH659" s="699"/>
      <c r="AI659" s="456"/>
      <c r="AJ659" s="699"/>
    </row>
    <row r="660" spans="1:36" s="454" customFormat="1" ht="15" x14ac:dyDescent="0.25">
      <c r="A660" s="2688" t="s">
        <v>2403</v>
      </c>
      <c r="B660" s="2689"/>
      <c r="C660" s="2689"/>
      <c r="D660" s="2689"/>
      <c r="E660" s="2689"/>
      <c r="F660" s="2689"/>
      <c r="G660" s="2689"/>
      <c r="H660" s="2690"/>
      <c r="I660" s="682"/>
      <c r="J660" s="682"/>
      <c r="K660" s="682"/>
      <c r="L660" s="683"/>
      <c r="M660" s="683"/>
      <c r="X660" s="656"/>
      <c r="Y660" s="657"/>
      <c r="Z660" s="657"/>
      <c r="AA660" s="481"/>
      <c r="AC660" s="456"/>
      <c r="AD660" s="481"/>
      <c r="AE660" s="491" t="s">
        <v>2403</v>
      </c>
      <c r="AF660" s="481"/>
      <c r="AG660" s="522"/>
      <c r="AH660" s="699"/>
      <c r="AI660" s="456"/>
      <c r="AJ660" s="699"/>
    </row>
    <row r="661" spans="1:36" s="454" customFormat="1" ht="22.5" x14ac:dyDescent="0.25">
      <c r="A661" s="2688" t="s">
        <v>2404</v>
      </c>
      <c r="B661" s="2689"/>
      <c r="C661" s="2689"/>
      <c r="D661" s="2689"/>
      <c r="E661" s="2689"/>
      <c r="F661" s="2689"/>
      <c r="G661" s="2689"/>
      <c r="H661" s="2690"/>
      <c r="I661" s="682">
        <v>-73206</v>
      </c>
      <c r="J661" s="682">
        <v>-9817</v>
      </c>
      <c r="K661" s="682" t="s">
        <v>2405</v>
      </c>
      <c r="L661" s="683"/>
      <c r="M661" s="684">
        <v>-1020.53</v>
      </c>
      <c r="X661" s="656"/>
      <c r="Y661" s="657"/>
      <c r="Z661" s="657"/>
      <c r="AA661" s="481"/>
      <c r="AC661" s="456"/>
      <c r="AD661" s="481"/>
      <c r="AE661" s="491" t="s">
        <v>2404</v>
      </c>
      <c r="AF661" s="481"/>
      <c r="AG661" s="522"/>
      <c r="AH661" s="699"/>
      <c r="AI661" s="456"/>
      <c r="AJ661" s="699"/>
    </row>
    <row r="662" spans="1:36" s="454" customFormat="1" ht="15" x14ac:dyDescent="0.25">
      <c r="A662" s="2688" t="s">
        <v>2406</v>
      </c>
      <c r="B662" s="2689"/>
      <c r="C662" s="2689"/>
      <c r="D662" s="2689"/>
      <c r="E662" s="2689"/>
      <c r="F662" s="2689"/>
      <c r="G662" s="2689"/>
      <c r="H662" s="2690"/>
      <c r="I662" s="682">
        <v>-13709</v>
      </c>
      <c r="J662" s="682"/>
      <c r="K662" s="682"/>
      <c r="L662" s="683"/>
      <c r="M662" s="683"/>
      <c r="X662" s="656"/>
      <c r="Y662" s="657"/>
      <c r="Z662" s="657"/>
      <c r="AA662" s="481"/>
      <c r="AC662" s="456"/>
      <c r="AD662" s="481"/>
      <c r="AE662" s="491" t="s">
        <v>2406</v>
      </c>
      <c r="AF662" s="481"/>
      <c r="AG662" s="522"/>
      <c r="AH662" s="699"/>
      <c r="AI662" s="456"/>
      <c r="AJ662" s="699"/>
    </row>
    <row r="663" spans="1:36" s="454" customFormat="1" ht="15" x14ac:dyDescent="0.25">
      <c r="A663" s="2688" t="s">
        <v>2407</v>
      </c>
      <c r="B663" s="2689"/>
      <c r="C663" s="2689"/>
      <c r="D663" s="2689"/>
      <c r="E663" s="2689"/>
      <c r="F663" s="2689"/>
      <c r="G663" s="2689"/>
      <c r="H663" s="2690"/>
      <c r="I663" s="682">
        <v>-9455</v>
      </c>
      <c r="J663" s="682"/>
      <c r="K663" s="682"/>
      <c r="L663" s="683"/>
      <c r="M663" s="683"/>
      <c r="X663" s="656"/>
      <c r="Y663" s="657"/>
      <c r="Z663" s="657"/>
      <c r="AA663" s="481"/>
      <c r="AC663" s="456"/>
      <c r="AD663" s="481"/>
      <c r="AE663" s="491" t="s">
        <v>2407</v>
      </c>
      <c r="AF663" s="481"/>
      <c r="AG663" s="522"/>
      <c r="AH663" s="699"/>
      <c r="AI663" s="456"/>
      <c r="AJ663" s="699"/>
    </row>
    <row r="664" spans="1:36" s="454" customFormat="1" ht="15" x14ac:dyDescent="0.25">
      <c r="A664" s="2688" t="s">
        <v>1694</v>
      </c>
      <c r="B664" s="2689"/>
      <c r="C664" s="2689"/>
      <c r="D664" s="2689"/>
      <c r="E664" s="2689"/>
      <c r="F664" s="2689"/>
      <c r="G664" s="2689"/>
      <c r="H664" s="2690"/>
      <c r="I664" s="682">
        <v>-96370</v>
      </c>
      <c r="J664" s="682"/>
      <c r="K664" s="682"/>
      <c r="L664" s="683"/>
      <c r="M664" s="684">
        <v>-1020.53</v>
      </c>
      <c r="X664" s="656"/>
      <c r="Y664" s="657"/>
      <c r="Z664" s="657"/>
      <c r="AA664" s="481"/>
      <c r="AC664" s="456"/>
      <c r="AD664" s="481"/>
      <c r="AE664" s="491" t="s">
        <v>1694</v>
      </c>
      <c r="AF664" s="481"/>
      <c r="AG664" s="522"/>
      <c r="AH664" s="699"/>
      <c r="AI664" s="456"/>
      <c r="AJ664" s="699"/>
    </row>
    <row r="665" spans="1:36" s="454" customFormat="1" ht="15" x14ac:dyDescent="0.25">
      <c r="A665" s="2688" t="s">
        <v>1688</v>
      </c>
      <c r="B665" s="2689"/>
      <c r="C665" s="2689"/>
      <c r="D665" s="2689"/>
      <c r="E665" s="2689"/>
      <c r="F665" s="2689"/>
      <c r="G665" s="2689"/>
      <c r="H665" s="2690"/>
      <c r="I665" s="682">
        <v>-3159081</v>
      </c>
      <c r="J665" s="682"/>
      <c r="K665" s="682"/>
      <c r="L665" s="683"/>
      <c r="M665" s="684">
        <v>-17167.73</v>
      </c>
      <c r="X665" s="656"/>
      <c r="Y665" s="657"/>
      <c r="Z665" s="657"/>
      <c r="AA665" s="481"/>
      <c r="AC665" s="456"/>
      <c r="AD665" s="481"/>
      <c r="AE665" s="491" t="s">
        <v>1688</v>
      </c>
      <c r="AF665" s="481"/>
      <c r="AG665" s="522"/>
      <c r="AH665" s="699"/>
      <c r="AI665" s="456"/>
      <c r="AJ665" s="699"/>
    </row>
    <row r="666" spans="1:36" s="454" customFormat="1" ht="15" x14ac:dyDescent="0.25">
      <c r="A666" s="2688" t="s">
        <v>1689</v>
      </c>
      <c r="B666" s="2689"/>
      <c r="C666" s="2689"/>
      <c r="D666" s="2689"/>
      <c r="E666" s="2689"/>
      <c r="F666" s="2689"/>
      <c r="G666" s="2689"/>
      <c r="H666" s="2690"/>
      <c r="I666" s="682"/>
      <c r="J666" s="682"/>
      <c r="K666" s="682"/>
      <c r="L666" s="683"/>
      <c r="M666" s="683"/>
      <c r="X666" s="656"/>
      <c r="Y666" s="657"/>
      <c r="Z666" s="657"/>
      <c r="AA666" s="481"/>
      <c r="AC666" s="456"/>
      <c r="AD666" s="481"/>
      <c r="AE666" s="491" t="s">
        <v>1689</v>
      </c>
      <c r="AF666" s="481"/>
      <c r="AG666" s="522"/>
      <c r="AH666" s="699"/>
      <c r="AI666" s="456"/>
      <c r="AJ666" s="699"/>
    </row>
    <row r="667" spans="1:36" s="454" customFormat="1" ht="15" x14ac:dyDescent="0.25">
      <c r="A667" s="2688" t="s">
        <v>1690</v>
      </c>
      <c r="B667" s="2689"/>
      <c r="C667" s="2689"/>
      <c r="D667" s="2689"/>
      <c r="E667" s="2689"/>
      <c r="F667" s="2689"/>
      <c r="G667" s="2689"/>
      <c r="H667" s="2690"/>
      <c r="I667" s="682"/>
      <c r="J667" s="682"/>
      <c r="K667" s="682"/>
      <c r="L667" s="683"/>
      <c r="M667" s="683"/>
      <c r="X667" s="656"/>
      <c r="Y667" s="657"/>
      <c r="Z667" s="657"/>
      <c r="AA667" s="481"/>
      <c r="AC667" s="456"/>
      <c r="AD667" s="481"/>
      <c r="AE667" s="491" t="s">
        <v>1690</v>
      </c>
      <c r="AF667" s="481"/>
      <c r="AG667" s="522"/>
      <c r="AH667" s="699"/>
      <c r="AI667" s="456"/>
      <c r="AJ667" s="699"/>
    </row>
    <row r="668" spans="1:36" s="454" customFormat="1" ht="22.5" x14ac:dyDescent="0.25">
      <c r="A668" s="2688" t="s">
        <v>2408</v>
      </c>
      <c r="B668" s="2689"/>
      <c r="C668" s="2689"/>
      <c r="D668" s="2689"/>
      <c r="E668" s="2689"/>
      <c r="F668" s="2689"/>
      <c r="G668" s="2689"/>
      <c r="H668" s="2690"/>
      <c r="I668" s="682">
        <v>-1397</v>
      </c>
      <c r="J668" s="682">
        <v>-449</v>
      </c>
      <c r="K668" s="682" t="s">
        <v>2409</v>
      </c>
      <c r="L668" s="683"/>
      <c r="M668" s="684">
        <v>-55.02</v>
      </c>
      <c r="X668" s="656"/>
      <c r="Y668" s="657"/>
      <c r="Z668" s="657"/>
      <c r="AA668" s="481"/>
      <c r="AC668" s="456"/>
      <c r="AD668" s="481"/>
      <c r="AE668" s="491" t="s">
        <v>2408</v>
      </c>
      <c r="AF668" s="481"/>
      <c r="AG668" s="522"/>
      <c r="AH668" s="699"/>
      <c r="AI668" s="456"/>
      <c r="AJ668" s="699"/>
    </row>
    <row r="669" spans="1:36" s="454" customFormat="1" ht="15" x14ac:dyDescent="0.25">
      <c r="A669" s="2688" t="s">
        <v>2410</v>
      </c>
      <c r="B669" s="2689"/>
      <c r="C669" s="2689"/>
      <c r="D669" s="2689"/>
      <c r="E669" s="2689"/>
      <c r="F669" s="2689"/>
      <c r="G669" s="2689"/>
      <c r="H669" s="2690"/>
      <c r="I669" s="682">
        <v>-450</v>
      </c>
      <c r="J669" s="682"/>
      <c r="K669" s="682"/>
      <c r="L669" s="683"/>
      <c r="M669" s="683"/>
      <c r="X669" s="656"/>
      <c r="Y669" s="657"/>
      <c r="Z669" s="657"/>
      <c r="AA669" s="481"/>
      <c r="AC669" s="456"/>
      <c r="AD669" s="481"/>
      <c r="AE669" s="491" t="s">
        <v>2410</v>
      </c>
      <c r="AF669" s="481"/>
      <c r="AG669" s="522"/>
      <c r="AH669" s="699"/>
      <c r="AI669" s="456"/>
      <c r="AJ669" s="699"/>
    </row>
    <row r="670" spans="1:36" s="454" customFormat="1" ht="15" x14ac:dyDescent="0.25">
      <c r="A670" s="2688" t="s">
        <v>2411</v>
      </c>
      <c r="B670" s="2689"/>
      <c r="C670" s="2689"/>
      <c r="D670" s="2689"/>
      <c r="E670" s="2689"/>
      <c r="F670" s="2689"/>
      <c r="G670" s="2689"/>
      <c r="H670" s="2690"/>
      <c r="I670" s="682">
        <v>-337</v>
      </c>
      <c r="J670" s="682"/>
      <c r="K670" s="682"/>
      <c r="L670" s="683"/>
      <c r="M670" s="683"/>
      <c r="X670" s="656"/>
      <c r="Y670" s="657"/>
      <c r="Z670" s="657"/>
      <c r="AA670" s="481"/>
      <c r="AC670" s="456"/>
      <c r="AD670" s="481"/>
      <c r="AE670" s="491" t="s">
        <v>2411</v>
      </c>
      <c r="AF670" s="481"/>
      <c r="AG670" s="522"/>
      <c r="AH670" s="699"/>
      <c r="AI670" s="456"/>
      <c r="AJ670" s="699"/>
    </row>
    <row r="671" spans="1:36" s="454" customFormat="1" ht="15" x14ac:dyDescent="0.25">
      <c r="A671" s="2688" t="s">
        <v>1694</v>
      </c>
      <c r="B671" s="2689"/>
      <c r="C671" s="2689"/>
      <c r="D671" s="2689"/>
      <c r="E671" s="2689"/>
      <c r="F671" s="2689"/>
      <c r="G671" s="2689"/>
      <c r="H671" s="2690"/>
      <c r="I671" s="682">
        <v>-2184</v>
      </c>
      <c r="J671" s="682"/>
      <c r="K671" s="682"/>
      <c r="L671" s="683"/>
      <c r="M671" s="684">
        <v>-55.02</v>
      </c>
      <c r="X671" s="656"/>
      <c r="Y671" s="657"/>
      <c r="Z671" s="657"/>
      <c r="AA671" s="481"/>
      <c r="AC671" s="456"/>
      <c r="AD671" s="481"/>
      <c r="AE671" s="491" t="s">
        <v>1694</v>
      </c>
      <c r="AF671" s="481"/>
      <c r="AG671" s="522"/>
      <c r="AH671" s="699"/>
      <c r="AI671" s="456"/>
      <c r="AJ671" s="699"/>
    </row>
    <row r="672" spans="1:36" s="454" customFormat="1" ht="15" x14ac:dyDescent="0.25">
      <c r="A672" s="2688" t="s">
        <v>1688</v>
      </c>
      <c r="B672" s="2689"/>
      <c r="C672" s="2689"/>
      <c r="D672" s="2689"/>
      <c r="E672" s="2689"/>
      <c r="F672" s="2689"/>
      <c r="G672" s="2689"/>
      <c r="H672" s="2690"/>
      <c r="I672" s="682">
        <v>-2184</v>
      </c>
      <c r="J672" s="682"/>
      <c r="K672" s="682"/>
      <c r="L672" s="683"/>
      <c r="M672" s="684">
        <v>-55.02</v>
      </c>
      <c r="X672" s="656"/>
      <c r="Y672" s="657"/>
      <c r="Z672" s="657"/>
      <c r="AA672" s="481"/>
      <c r="AC672" s="456"/>
      <c r="AD672" s="481"/>
      <c r="AE672" s="491" t="s">
        <v>1688</v>
      </c>
      <c r="AF672" s="481"/>
      <c r="AG672" s="522"/>
      <c r="AH672" s="699"/>
      <c r="AI672" s="456"/>
      <c r="AJ672" s="699"/>
    </row>
    <row r="673" spans="1:36" s="454" customFormat="1" ht="15" x14ac:dyDescent="0.25">
      <c r="A673" s="2688" t="s">
        <v>1695</v>
      </c>
      <c r="B673" s="2689"/>
      <c r="C673" s="2689"/>
      <c r="D673" s="2689"/>
      <c r="E673" s="2689"/>
      <c r="F673" s="2689"/>
      <c r="G673" s="2689"/>
      <c r="H673" s="2690"/>
      <c r="I673" s="682">
        <v>-3161265</v>
      </c>
      <c r="J673" s="682"/>
      <c r="K673" s="682"/>
      <c r="L673" s="683"/>
      <c r="M673" s="684">
        <v>-17222.75</v>
      </c>
      <c r="X673" s="656"/>
      <c r="Y673" s="657"/>
      <c r="Z673" s="657"/>
      <c r="AA673" s="481"/>
      <c r="AC673" s="456"/>
      <c r="AD673" s="481"/>
      <c r="AE673" s="491" t="s">
        <v>1695</v>
      </c>
      <c r="AF673" s="481"/>
      <c r="AG673" s="522"/>
      <c r="AH673" s="699"/>
      <c r="AI673" s="456"/>
      <c r="AJ673" s="699"/>
    </row>
    <row r="674" spans="1:36" s="454" customFormat="1" ht="15" x14ac:dyDescent="0.25">
      <c r="A674" s="2688" t="s">
        <v>1696</v>
      </c>
      <c r="B674" s="2689"/>
      <c r="C674" s="2689"/>
      <c r="D674" s="2689"/>
      <c r="E674" s="2689"/>
      <c r="F674" s="2689"/>
      <c r="G674" s="2689"/>
      <c r="H674" s="2690"/>
      <c r="I674" s="682"/>
      <c r="J674" s="682"/>
      <c r="K674" s="682"/>
      <c r="L674" s="683"/>
      <c r="M674" s="683"/>
      <c r="X674" s="656"/>
      <c r="Y674" s="657"/>
      <c r="Z674" s="657"/>
      <c r="AA674" s="481"/>
      <c r="AC674" s="456"/>
      <c r="AD674" s="481"/>
      <c r="AE674" s="491" t="s">
        <v>1696</v>
      </c>
      <c r="AF674" s="481"/>
      <c r="AG674" s="522"/>
      <c r="AH674" s="699"/>
      <c r="AI674" s="456"/>
      <c r="AJ674" s="699"/>
    </row>
    <row r="675" spans="1:36" s="454" customFormat="1" ht="15" x14ac:dyDescent="0.25">
      <c r="A675" s="2688" t="s">
        <v>1697</v>
      </c>
      <c r="B675" s="2689"/>
      <c r="C675" s="2689"/>
      <c r="D675" s="2689"/>
      <c r="E675" s="2689"/>
      <c r="F675" s="2689"/>
      <c r="G675" s="2689"/>
      <c r="H675" s="2690"/>
      <c r="I675" s="682">
        <v>-1595158</v>
      </c>
      <c r="J675" s="682"/>
      <c r="K675" s="682"/>
      <c r="L675" s="683"/>
      <c r="M675" s="683"/>
      <c r="X675" s="656"/>
      <c r="Y675" s="657"/>
      <c r="Z675" s="657"/>
      <c r="AA675" s="481"/>
      <c r="AC675" s="456"/>
      <c r="AD675" s="481"/>
      <c r="AE675" s="491" t="s">
        <v>1697</v>
      </c>
      <c r="AF675" s="481"/>
      <c r="AG675" s="522"/>
      <c r="AH675" s="699"/>
      <c r="AI675" s="456"/>
      <c r="AJ675" s="699"/>
    </row>
    <row r="676" spans="1:36" s="454" customFormat="1" ht="15" x14ac:dyDescent="0.25">
      <c r="A676" s="2688" t="s">
        <v>1698</v>
      </c>
      <c r="B676" s="2689"/>
      <c r="C676" s="2689"/>
      <c r="D676" s="2689"/>
      <c r="E676" s="2689"/>
      <c r="F676" s="2689"/>
      <c r="G676" s="2689"/>
      <c r="H676" s="2690"/>
      <c r="I676" s="682">
        <v>-1049259</v>
      </c>
      <c r="J676" s="682"/>
      <c r="K676" s="682"/>
      <c r="L676" s="683"/>
      <c r="M676" s="683"/>
      <c r="X676" s="656"/>
      <c r="Y676" s="657"/>
      <c r="Z676" s="657"/>
      <c r="AA676" s="481"/>
      <c r="AC676" s="456"/>
      <c r="AD676" s="481"/>
      <c r="AE676" s="491" t="s">
        <v>1698</v>
      </c>
      <c r="AF676" s="481"/>
      <c r="AG676" s="522"/>
      <c r="AH676" s="699"/>
      <c r="AI676" s="456"/>
      <c r="AJ676" s="699"/>
    </row>
    <row r="677" spans="1:36" s="454" customFormat="1" ht="15" x14ac:dyDescent="0.25">
      <c r="A677" s="2688" t="s">
        <v>1699</v>
      </c>
      <c r="B677" s="2689"/>
      <c r="C677" s="2689"/>
      <c r="D677" s="2689"/>
      <c r="E677" s="2689"/>
      <c r="F677" s="2689"/>
      <c r="G677" s="2689"/>
      <c r="H677" s="2690"/>
      <c r="I677" s="682">
        <v>-229011</v>
      </c>
      <c r="J677" s="682"/>
      <c r="K677" s="682"/>
      <c r="L677" s="683"/>
      <c r="M677" s="683"/>
      <c r="X677" s="656"/>
      <c r="Y677" s="657"/>
      <c r="Z677" s="657"/>
      <c r="AA677" s="481"/>
      <c r="AC677" s="456"/>
      <c r="AD677" s="481"/>
      <c r="AE677" s="491" t="s">
        <v>1699</v>
      </c>
      <c r="AF677" s="481"/>
      <c r="AG677" s="522"/>
      <c r="AH677" s="699"/>
      <c r="AI677" s="456"/>
      <c r="AJ677" s="699"/>
    </row>
    <row r="678" spans="1:36" s="454" customFormat="1" ht="15" x14ac:dyDescent="0.25">
      <c r="A678" s="2688" t="s">
        <v>1700</v>
      </c>
      <c r="B678" s="2689"/>
      <c r="C678" s="2689"/>
      <c r="D678" s="2689"/>
      <c r="E678" s="2689"/>
      <c r="F678" s="2689"/>
      <c r="G678" s="2689"/>
      <c r="H678" s="2690"/>
      <c r="I678" s="682">
        <v>-226452</v>
      </c>
      <c r="J678" s="682"/>
      <c r="K678" s="682"/>
      <c r="L678" s="683"/>
      <c r="M678" s="683"/>
      <c r="X678" s="656"/>
      <c r="Y678" s="657"/>
      <c r="Z678" s="657"/>
      <c r="AA678" s="481"/>
      <c r="AC678" s="456"/>
      <c r="AD678" s="481"/>
      <c r="AE678" s="491" t="s">
        <v>1700</v>
      </c>
      <c r="AF678" s="481"/>
      <c r="AG678" s="522"/>
      <c r="AH678" s="699"/>
      <c r="AI678" s="456"/>
      <c r="AJ678" s="699"/>
    </row>
    <row r="679" spans="1:36" s="454" customFormat="1" ht="15" x14ac:dyDescent="0.25">
      <c r="A679" s="2688" t="s">
        <v>1701</v>
      </c>
      <c r="B679" s="2689"/>
      <c r="C679" s="2689"/>
      <c r="D679" s="2689"/>
      <c r="E679" s="2689"/>
      <c r="F679" s="2689"/>
      <c r="G679" s="2689"/>
      <c r="H679" s="2690"/>
      <c r="I679" s="682">
        <v>-113701</v>
      </c>
      <c r="J679" s="682"/>
      <c r="K679" s="682"/>
      <c r="L679" s="683"/>
      <c r="M679" s="683"/>
      <c r="X679" s="656"/>
      <c r="Y679" s="657"/>
      <c r="Z679" s="657"/>
      <c r="AA679" s="481"/>
      <c r="AC679" s="456"/>
      <c r="AD679" s="481"/>
      <c r="AE679" s="491" t="s">
        <v>1701</v>
      </c>
      <c r="AF679" s="481"/>
      <c r="AG679" s="522"/>
      <c r="AH679" s="699"/>
      <c r="AI679" s="456"/>
      <c r="AJ679" s="699"/>
    </row>
    <row r="680" spans="1:36" s="454" customFormat="1" ht="15" x14ac:dyDescent="0.25">
      <c r="A680" s="2685" t="s">
        <v>2412</v>
      </c>
      <c r="B680" s="2686"/>
      <c r="C680" s="2686"/>
      <c r="D680" s="2686"/>
      <c r="E680" s="2686"/>
      <c r="F680" s="2686"/>
      <c r="G680" s="2686"/>
      <c r="H680" s="2687"/>
      <c r="I680" s="661">
        <v>-3161265</v>
      </c>
      <c r="J680" s="661"/>
      <c r="K680" s="661"/>
      <c r="L680" s="681"/>
      <c r="M680" s="672">
        <v>-17222.75</v>
      </c>
      <c r="X680" s="656"/>
      <c r="Y680" s="657"/>
      <c r="Z680" s="657"/>
      <c r="AA680" s="481"/>
      <c r="AC680" s="456"/>
      <c r="AD680" s="481"/>
      <c r="AF680" s="481" t="s">
        <v>2412</v>
      </c>
      <c r="AG680" s="522"/>
      <c r="AH680" s="699"/>
      <c r="AI680" s="456"/>
      <c r="AJ680" s="699"/>
    </row>
    <row r="681" spans="1:36" s="454" customFormat="1" ht="15" x14ac:dyDescent="0.25">
      <c r="A681" s="2677" t="s">
        <v>1562</v>
      </c>
      <c r="B681" s="2678"/>
      <c r="C681" s="2678"/>
      <c r="D681" s="2678"/>
      <c r="E681" s="2678"/>
      <c r="F681" s="2678"/>
      <c r="G681" s="2678"/>
      <c r="H681" s="2678"/>
      <c r="I681" s="2678"/>
      <c r="J681" s="2678"/>
      <c r="K681" s="2678"/>
      <c r="L681" s="2678"/>
      <c r="M681" s="2679"/>
      <c r="X681" s="656" t="s">
        <v>1562</v>
      </c>
      <c r="Y681" s="657"/>
      <c r="Z681" s="657"/>
      <c r="AA681" s="481"/>
      <c r="AC681" s="456"/>
      <c r="AD681" s="481"/>
      <c r="AF681" s="481"/>
      <c r="AG681" s="522"/>
      <c r="AH681" s="699"/>
      <c r="AI681" s="456"/>
      <c r="AJ681" s="699"/>
    </row>
    <row r="682" spans="1:36" s="454" customFormat="1" ht="15" x14ac:dyDescent="0.25">
      <c r="A682" s="2680" t="s">
        <v>1563</v>
      </c>
      <c r="B682" s="2681"/>
      <c r="C682" s="2681"/>
      <c r="D682" s="2681"/>
      <c r="E682" s="2681"/>
      <c r="F682" s="2681"/>
      <c r="G682" s="2681"/>
      <c r="H682" s="2681"/>
      <c r="I682" s="2681"/>
      <c r="J682" s="2681"/>
      <c r="K682" s="2681"/>
      <c r="L682" s="2681"/>
      <c r="M682" s="2682"/>
      <c r="X682" s="656"/>
      <c r="Y682" s="657" t="s">
        <v>1563</v>
      </c>
      <c r="Z682" s="657"/>
      <c r="AA682" s="481"/>
      <c r="AC682" s="456"/>
      <c r="AD682" s="481"/>
      <c r="AF682" s="481"/>
      <c r="AG682" s="522"/>
      <c r="AH682" s="699"/>
      <c r="AI682" s="456"/>
      <c r="AJ682" s="699"/>
    </row>
    <row r="683" spans="1:36" s="454" customFormat="1" ht="15" x14ac:dyDescent="0.25">
      <c r="A683" s="2680" t="s">
        <v>1575</v>
      </c>
      <c r="B683" s="2681"/>
      <c r="C683" s="2681"/>
      <c r="D683" s="2681"/>
      <c r="E683" s="2681"/>
      <c r="F683" s="2681"/>
      <c r="G683" s="2681"/>
      <c r="H683" s="2681"/>
      <c r="I683" s="2681"/>
      <c r="J683" s="2681"/>
      <c r="K683" s="2681"/>
      <c r="L683" s="2681"/>
      <c r="M683" s="2682"/>
      <c r="X683" s="656"/>
      <c r="Y683" s="657" t="s">
        <v>1575</v>
      </c>
      <c r="Z683" s="657"/>
      <c r="AA683" s="481"/>
      <c r="AC683" s="456"/>
      <c r="AD683" s="481"/>
      <c r="AF683" s="481"/>
      <c r="AG683" s="522"/>
      <c r="AH683" s="699"/>
      <c r="AI683" s="456"/>
      <c r="AJ683" s="699"/>
    </row>
    <row r="684" spans="1:36" s="454" customFormat="1" ht="45.75" x14ac:dyDescent="0.25">
      <c r="A684" s="658" t="s">
        <v>1424</v>
      </c>
      <c r="B684" s="659" t="s">
        <v>2413</v>
      </c>
      <c r="C684" s="2673" t="s">
        <v>1585</v>
      </c>
      <c r="D684" s="2673"/>
      <c r="E684" s="2673"/>
      <c r="F684" s="680">
        <v>-240.5</v>
      </c>
      <c r="G684" s="661">
        <v>90.94</v>
      </c>
      <c r="H684" s="661"/>
      <c r="I684" s="661">
        <v>-21871</v>
      </c>
      <c r="J684" s="661"/>
      <c r="K684" s="662"/>
      <c r="L684" s="663">
        <v>0</v>
      </c>
      <c r="M684" s="663">
        <v>0</v>
      </c>
      <c r="X684" s="656"/>
      <c r="Y684" s="657"/>
      <c r="Z684" s="657"/>
      <c r="AA684" s="481" t="s">
        <v>1585</v>
      </c>
      <c r="AC684" s="456"/>
      <c r="AD684" s="481"/>
      <c r="AF684" s="481"/>
      <c r="AG684" s="522"/>
      <c r="AH684" s="699"/>
      <c r="AI684" s="456"/>
      <c r="AJ684" s="699"/>
    </row>
    <row r="685" spans="1:36" s="454" customFormat="1" ht="15" x14ac:dyDescent="0.25">
      <c r="A685" s="664"/>
      <c r="B685" s="665"/>
      <c r="C685" s="666" t="s">
        <v>2414</v>
      </c>
      <c r="D685" s="667"/>
      <c r="E685" s="667"/>
      <c r="F685" s="667"/>
      <c r="G685" s="667"/>
      <c r="H685" s="667"/>
      <c r="I685" s="667"/>
      <c r="J685" s="667"/>
      <c r="K685" s="667"/>
      <c r="L685" s="667"/>
      <c r="M685" s="668"/>
      <c r="X685" s="656"/>
      <c r="Y685" s="657"/>
      <c r="Z685" s="657"/>
      <c r="AA685" s="481"/>
      <c r="AC685" s="456"/>
      <c r="AD685" s="481"/>
      <c r="AF685" s="481"/>
      <c r="AG685" s="522"/>
      <c r="AH685" s="699"/>
      <c r="AI685" s="456"/>
      <c r="AJ685" s="699"/>
    </row>
    <row r="686" spans="1:36" s="454" customFormat="1" ht="15" x14ac:dyDescent="0.25">
      <c r="A686" s="2680" t="s">
        <v>1587</v>
      </c>
      <c r="B686" s="2681"/>
      <c r="C686" s="2681"/>
      <c r="D686" s="2681"/>
      <c r="E686" s="2681"/>
      <c r="F686" s="2681"/>
      <c r="G686" s="2681"/>
      <c r="H686" s="2681"/>
      <c r="I686" s="2681"/>
      <c r="J686" s="2681"/>
      <c r="K686" s="2681"/>
      <c r="L686" s="2681"/>
      <c r="M686" s="2682"/>
      <c r="X686" s="656"/>
      <c r="Y686" s="657" t="s">
        <v>1587</v>
      </c>
      <c r="Z686" s="657"/>
      <c r="AA686" s="481"/>
      <c r="AC686" s="456"/>
      <c r="AD686" s="481"/>
      <c r="AF686" s="481"/>
      <c r="AG686" s="522"/>
      <c r="AH686" s="699"/>
      <c r="AI686" s="456"/>
      <c r="AJ686" s="699"/>
    </row>
    <row r="687" spans="1:36" s="454" customFormat="1" ht="45.75" x14ac:dyDescent="0.25">
      <c r="A687" s="658" t="s">
        <v>1427</v>
      </c>
      <c r="B687" s="659" t="s">
        <v>2415</v>
      </c>
      <c r="C687" s="2673" t="s">
        <v>2416</v>
      </c>
      <c r="D687" s="2673"/>
      <c r="E687" s="2673"/>
      <c r="F687" s="685">
        <v>-0.26850000000000002</v>
      </c>
      <c r="G687" s="661" t="s">
        <v>2417</v>
      </c>
      <c r="H687" s="661"/>
      <c r="I687" s="661">
        <v>-581</v>
      </c>
      <c r="J687" s="661">
        <v>-581</v>
      </c>
      <c r="K687" s="662"/>
      <c r="L687" s="692">
        <v>277.2</v>
      </c>
      <c r="M687" s="672">
        <v>-74.430000000000007</v>
      </c>
      <c r="X687" s="656"/>
      <c r="Y687" s="657"/>
      <c r="Z687" s="657"/>
      <c r="AA687" s="481" t="s">
        <v>2416</v>
      </c>
      <c r="AC687" s="456"/>
      <c r="AD687" s="481"/>
      <c r="AF687" s="481"/>
      <c r="AG687" s="522"/>
      <c r="AH687" s="699"/>
      <c r="AI687" s="456"/>
      <c r="AJ687" s="699"/>
    </row>
    <row r="688" spans="1:36" s="454" customFormat="1" ht="15" x14ac:dyDescent="0.25">
      <c r="A688" s="664"/>
      <c r="B688" s="665"/>
      <c r="C688" s="666" t="s">
        <v>2418</v>
      </c>
      <c r="D688" s="667"/>
      <c r="E688" s="667"/>
      <c r="F688" s="667"/>
      <c r="G688" s="667"/>
      <c r="H688" s="667"/>
      <c r="I688" s="667"/>
      <c r="J688" s="667"/>
      <c r="K688" s="667"/>
      <c r="L688" s="667"/>
      <c r="M688" s="668"/>
      <c r="X688" s="656"/>
      <c r="Y688" s="657"/>
      <c r="Z688" s="657"/>
      <c r="AA688" s="481"/>
      <c r="AC688" s="456"/>
      <c r="AD688" s="481"/>
      <c r="AF688" s="481"/>
      <c r="AG688" s="522"/>
      <c r="AH688" s="699"/>
      <c r="AI688" s="456"/>
      <c r="AJ688" s="699"/>
    </row>
    <row r="689" spans="1:36" s="454" customFormat="1" ht="15" x14ac:dyDescent="0.25">
      <c r="A689" s="542"/>
      <c r="B689" s="673" t="s">
        <v>2419</v>
      </c>
      <c r="C689" s="2670" t="s">
        <v>2420</v>
      </c>
      <c r="D689" s="2670"/>
      <c r="E689" s="2670"/>
      <c r="F689" s="2670"/>
      <c r="G689" s="2670"/>
      <c r="H689" s="2670"/>
      <c r="I689" s="2670"/>
      <c r="J689" s="2670"/>
      <c r="K689" s="2670"/>
      <c r="L689" s="2670"/>
      <c r="M689" s="2671"/>
      <c r="X689" s="656"/>
      <c r="Y689" s="657"/>
      <c r="Z689" s="657"/>
      <c r="AA689" s="481"/>
      <c r="AB689" s="491" t="s">
        <v>2420</v>
      </c>
      <c r="AC689" s="456"/>
      <c r="AD689" s="481"/>
      <c r="AF689" s="481"/>
      <c r="AG689" s="522"/>
      <c r="AH689" s="699"/>
      <c r="AI689" s="456"/>
      <c r="AJ689" s="699"/>
    </row>
    <row r="690" spans="1:36" s="454" customFormat="1" ht="33.75" x14ac:dyDescent="0.25">
      <c r="A690" s="542"/>
      <c r="B690" s="673" t="s">
        <v>1655</v>
      </c>
      <c r="C690" s="2670" t="s">
        <v>1656</v>
      </c>
      <c r="D690" s="2670"/>
      <c r="E690" s="2670"/>
      <c r="F690" s="2670"/>
      <c r="G690" s="2670"/>
      <c r="H690" s="2670"/>
      <c r="I690" s="2670"/>
      <c r="J690" s="2670"/>
      <c r="K690" s="2670"/>
      <c r="L690" s="2670"/>
      <c r="M690" s="2671"/>
      <c r="X690" s="656"/>
      <c r="Y690" s="657"/>
      <c r="Z690" s="657"/>
      <c r="AA690" s="481"/>
      <c r="AB690" s="491" t="s">
        <v>1656</v>
      </c>
      <c r="AC690" s="456"/>
      <c r="AD690" s="481"/>
      <c r="AF690" s="481"/>
      <c r="AG690" s="522"/>
      <c r="AH690" s="699"/>
      <c r="AI690" s="456"/>
      <c r="AJ690" s="699"/>
    </row>
    <row r="691" spans="1:36" s="454" customFormat="1" ht="23.25" x14ac:dyDescent="0.25">
      <c r="A691" s="507"/>
      <c r="B691" s="674" t="s">
        <v>2421</v>
      </c>
      <c r="C691" s="2672" t="s">
        <v>2422</v>
      </c>
      <c r="D691" s="2672"/>
      <c r="E691" s="2672"/>
      <c r="F691" s="675" t="s">
        <v>2423</v>
      </c>
      <c r="G691" s="676" t="s">
        <v>2424</v>
      </c>
      <c r="H691" s="676"/>
      <c r="I691" s="676">
        <v>-580.54999999999995</v>
      </c>
      <c r="J691" s="676">
        <v>-580.54999999999995</v>
      </c>
      <c r="K691" s="676"/>
      <c r="L691" s="677"/>
      <c r="M691" s="678"/>
      <c r="X691" s="656"/>
      <c r="Y691" s="657"/>
      <c r="Z691" s="657"/>
      <c r="AA691" s="481"/>
      <c r="AC691" s="456" t="s">
        <v>2422</v>
      </c>
      <c r="AD691" s="481"/>
      <c r="AF691" s="481"/>
      <c r="AG691" s="522"/>
      <c r="AH691" s="699"/>
      <c r="AI691" s="456"/>
      <c r="AJ691" s="699"/>
    </row>
    <row r="692" spans="1:36" s="454" customFormat="1" ht="79.5" x14ac:dyDescent="0.25">
      <c r="A692" s="658" t="s">
        <v>1429</v>
      </c>
      <c r="B692" s="659" t="s">
        <v>2425</v>
      </c>
      <c r="C692" s="2673" t="s">
        <v>2426</v>
      </c>
      <c r="D692" s="2673"/>
      <c r="E692" s="2673"/>
      <c r="F692" s="701">
        <v>-2.6849999999999999E-2</v>
      </c>
      <c r="G692" s="661">
        <v>5044.5</v>
      </c>
      <c r="H692" s="661" t="s">
        <v>2427</v>
      </c>
      <c r="I692" s="661">
        <v>-135</v>
      </c>
      <c r="J692" s="661"/>
      <c r="K692" s="662" t="s">
        <v>2428</v>
      </c>
      <c r="L692" s="663">
        <v>0</v>
      </c>
      <c r="M692" s="663">
        <v>0</v>
      </c>
      <c r="X692" s="656"/>
      <c r="Y692" s="657"/>
      <c r="Z692" s="657"/>
      <c r="AA692" s="481" t="s">
        <v>2426</v>
      </c>
      <c r="AC692" s="456"/>
      <c r="AD692" s="481"/>
      <c r="AF692" s="481"/>
      <c r="AG692" s="522"/>
      <c r="AH692" s="699"/>
      <c r="AI692" s="456"/>
      <c r="AJ692" s="699"/>
    </row>
    <row r="693" spans="1:36" s="454" customFormat="1" ht="15" x14ac:dyDescent="0.25">
      <c r="A693" s="664"/>
      <c r="B693" s="665"/>
      <c r="C693" s="666" t="s">
        <v>2429</v>
      </c>
      <c r="D693" s="667"/>
      <c r="E693" s="667"/>
      <c r="F693" s="667"/>
      <c r="G693" s="667"/>
      <c r="H693" s="667"/>
      <c r="I693" s="667"/>
      <c r="J693" s="667"/>
      <c r="K693" s="667"/>
      <c r="L693" s="667"/>
      <c r="M693" s="668"/>
      <c r="X693" s="656"/>
      <c r="Y693" s="657"/>
      <c r="Z693" s="657"/>
      <c r="AA693" s="481"/>
      <c r="AC693" s="456"/>
      <c r="AD693" s="481"/>
      <c r="AF693" s="481"/>
      <c r="AG693" s="522"/>
      <c r="AH693" s="699"/>
      <c r="AI693" s="456"/>
      <c r="AJ693" s="699"/>
    </row>
    <row r="694" spans="1:36" s="454" customFormat="1" ht="33.75" x14ac:dyDescent="0.25">
      <c r="A694" s="542"/>
      <c r="B694" s="673" t="s">
        <v>1655</v>
      </c>
      <c r="C694" s="2670" t="s">
        <v>1656</v>
      </c>
      <c r="D694" s="2670"/>
      <c r="E694" s="2670"/>
      <c r="F694" s="2670"/>
      <c r="G694" s="2670"/>
      <c r="H694" s="2670"/>
      <c r="I694" s="2670"/>
      <c r="J694" s="2670"/>
      <c r="K694" s="2670"/>
      <c r="L694" s="2670"/>
      <c r="M694" s="2671"/>
      <c r="X694" s="656"/>
      <c r="Y694" s="657"/>
      <c r="Z694" s="657"/>
      <c r="AA694" s="481"/>
      <c r="AB694" s="491" t="s">
        <v>1656</v>
      </c>
      <c r="AC694" s="456"/>
      <c r="AD694" s="481"/>
      <c r="AF694" s="481"/>
      <c r="AG694" s="522"/>
      <c r="AH694" s="699"/>
      <c r="AI694" s="456"/>
      <c r="AJ694" s="699"/>
    </row>
    <row r="695" spans="1:36" s="454" customFormat="1" ht="23.25" x14ac:dyDescent="0.25">
      <c r="A695" s="507"/>
      <c r="B695" s="674" t="s">
        <v>639</v>
      </c>
      <c r="C695" s="2672" t="s">
        <v>1661</v>
      </c>
      <c r="D695" s="2672"/>
      <c r="E695" s="2672"/>
      <c r="F695" s="675" t="s">
        <v>2430</v>
      </c>
      <c r="G695" s="676">
        <v>0</v>
      </c>
      <c r="H695" s="676">
        <v>0</v>
      </c>
      <c r="I695" s="676">
        <v>0</v>
      </c>
      <c r="J695" s="676"/>
      <c r="K695" s="676">
        <v>0</v>
      </c>
      <c r="L695" s="677"/>
      <c r="M695" s="678"/>
      <c r="X695" s="656"/>
      <c r="Y695" s="657"/>
      <c r="Z695" s="657"/>
      <c r="AA695" s="481"/>
      <c r="AC695" s="456" t="s">
        <v>1661</v>
      </c>
      <c r="AD695" s="481"/>
      <c r="AF695" s="481"/>
      <c r="AG695" s="522"/>
      <c r="AH695" s="699"/>
      <c r="AI695" s="456"/>
      <c r="AJ695" s="699"/>
    </row>
    <row r="696" spans="1:36" s="454" customFormat="1" ht="34.5" x14ac:dyDescent="0.25">
      <c r="A696" s="507"/>
      <c r="B696" s="674" t="s">
        <v>2431</v>
      </c>
      <c r="C696" s="2672" t="s">
        <v>2432</v>
      </c>
      <c r="D696" s="2672"/>
      <c r="E696" s="2672"/>
      <c r="F696" s="675" t="s">
        <v>2433</v>
      </c>
      <c r="G696" s="676">
        <v>100</v>
      </c>
      <c r="H696" s="676" t="s">
        <v>2434</v>
      </c>
      <c r="I696" s="676">
        <v>-90</v>
      </c>
      <c r="J696" s="676"/>
      <c r="K696" s="676" t="s">
        <v>2435</v>
      </c>
      <c r="L696" s="677"/>
      <c r="M696" s="678"/>
      <c r="X696" s="656"/>
      <c r="Y696" s="657"/>
      <c r="Z696" s="657"/>
      <c r="AA696" s="481"/>
      <c r="AC696" s="456" t="s">
        <v>2432</v>
      </c>
      <c r="AD696" s="481"/>
      <c r="AF696" s="481"/>
      <c r="AG696" s="522"/>
      <c r="AH696" s="699"/>
      <c r="AI696" s="456"/>
      <c r="AJ696" s="699"/>
    </row>
    <row r="697" spans="1:36" s="454" customFormat="1" ht="57" x14ac:dyDescent="0.25">
      <c r="A697" s="658" t="s">
        <v>1430</v>
      </c>
      <c r="B697" s="659" t="s">
        <v>2436</v>
      </c>
      <c r="C697" s="2673" t="s">
        <v>2437</v>
      </c>
      <c r="D697" s="2673"/>
      <c r="E697" s="2673"/>
      <c r="F697" s="685">
        <v>-115.9162</v>
      </c>
      <c r="G697" s="661">
        <v>11.46</v>
      </c>
      <c r="H697" s="661">
        <v>11.46</v>
      </c>
      <c r="I697" s="661">
        <v>-1328</v>
      </c>
      <c r="J697" s="661"/>
      <c r="K697" s="662">
        <v>-1328</v>
      </c>
      <c r="L697" s="663">
        <v>0</v>
      </c>
      <c r="M697" s="663">
        <v>0</v>
      </c>
      <c r="X697" s="656"/>
      <c r="Y697" s="657"/>
      <c r="Z697" s="657"/>
      <c r="AA697" s="481" t="s">
        <v>2437</v>
      </c>
      <c r="AC697" s="456"/>
      <c r="AD697" s="481"/>
      <c r="AF697" s="481"/>
      <c r="AG697" s="522"/>
      <c r="AH697" s="699"/>
      <c r="AI697" s="456"/>
      <c r="AJ697" s="699"/>
    </row>
    <row r="698" spans="1:36" s="454" customFormat="1" ht="15" x14ac:dyDescent="0.25">
      <c r="A698" s="664"/>
      <c r="B698" s="665"/>
      <c r="C698" s="666" t="s">
        <v>2438</v>
      </c>
      <c r="D698" s="667"/>
      <c r="E698" s="667"/>
      <c r="F698" s="667"/>
      <c r="G698" s="667"/>
      <c r="H698" s="667"/>
      <c r="I698" s="667"/>
      <c r="J698" s="667"/>
      <c r="K698" s="667"/>
      <c r="L698" s="667"/>
      <c r="M698" s="668"/>
      <c r="X698" s="656"/>
      <c r="Y698" s="657"/>
      <c r="Z698" s="657"/>
      <c r="AA698" s="481"/>
      <c r="AC698" s="456"/>
      <c r="AD698" s="481"/>
      <c r="AF698" s="481"/>
      <c r="AG698" s="522"/>
      <c r="AH698" s="699"/>
      <c r="AI698" s="456"/>
      <c r="AJ698" s="699"/>
    </row>
    <row r="699" spans="1:36" s="454" customFormat="1" ht="33.75" x14ac:dyDescent="0.25">
      <c r="A699" s="542"/>
      <c r="B699" s="673" t="s">
        <v>1655</v>
      </c>
      <c r="C699" s="2670" t="s">
        <v>1656</v>
      </c>
      <c r="D699" s="2670"/>
      <c r="E699" s="2670"/>
      <c r="F699" s="2670"/>
      <c r="G699" s="2670"/>
      <c r="H699" s="2670"/>
      <c r="I699" s="2670"/>
      <c r="J699" s="2670"/>
      <c r="K699" s="2670"/>
      <c r="L699" s="2670"/>
      <c r="M699" s="2671"/>
      <c r="X699" s="656"/>
      <c r="Y699" s="657"/>
      <c r="Z699" s="657"/>
      <c r="AA699" s="481"/>
      <c r="AB699" s="491" t="s">
        <v>1656</v>
      </c>
      <c r="AC699" s="456"/>
      <c r="AD699" s="481"/>
      <c r="AF699" s="481"/>
      <c r="AG699" s="522"/>
      <c r="AH699" s="699"/>
      <c r="AI699" s="456"/>
      <c r="AJ699" s="699"/>
    </row>
    <row r="700" spans="1:36" s="454" customFormat="1" ht="22.5" x14ac:dyDescent="0.25">
      <c r="A700" s="2685" t="s">
        <v>1414</v>
      </c>
      <c r="B700" s="2686"/>
      <c r="C700" s="2686"/>
      <c r="D700" s="2686"/>
      <c r="E700" s="2686"/>
      <c r="F700" s="2686"/>
      <c r="G700" s="2686"/>
      <c r="H700" s="2687"/>
      <c r="I700" s="661">
        <v>-23915</v>
      </c>
      <c r="J700" s="661">
        <v>-581</v>
      </c>
      <c r="K700" s="661" t="s">
        <v>2439</v>
      </c>
      <c r="L700" s="681"/>
      <c r="M700" s="672">
        <v>-74.430000000000007</v>
      </c>
      <c r="X700" s="656"/>
      <c r="Y700" s="657"/>
      <c r="Z700" s="657"/>
      <c r="AA700" s="481"/>
      <c r="AC700" s="456"/>
      <c r="AD700" s="481" t="s">
        <v>1414</v>
      </c>
      <c r="AF700" s="481"/>
      <c r="AG700" s="522"/>
      <c r="AH700" s="699"/>
      <c r="AI700" s="456"/>
      <c r="AJ700" s="699"/>
    </row>
    <row r="701" spans="1:36" s="454" customFormat="1" ht="15" x14ac:dyDescent="0.25">
      <c r="A701" s="2685" t="s">
        <v>1416</v>
      </c>
      <c r="B701" s="2686"/>
      <c r="C701" s="2686"/>
      <c r="D701" s="2686"/>
      <c r="E701" s="2686"/>
      <c r="F701" s="2686"/>
      <c r="G701" s="2686"/>
      <c r="H701" s="2687"/>
      <c r="I701" s="661">
        <v>-482</v>
      </c>
      <c r="J701" s="661"/>
      <c r="K701" s="661"/>
      <c r="L701" s="681"/>
      <c r="M701" s="681"/>
      <c r="X701" s="656"/>
      <c r="Y701" s="657"/>
      <c r="Z701" s="657"/>
      <c r="AA701" s="481"/>
      <c r="AC701" s="456"/>
      <c r="AD701" s="481" t="s">
        <v>1416</v>
      </c>
      <c r="AF701" s="481"/>
      <c r="AG701" s="522"/>
      <c r="AH701" s="699"/>
      <c r="AI701" s="456"/>
      <c r="AJ701" s="699"/>
    </row>
    <row r="702" spans="1:36" s="454" customFormat="1" ht="15" x14ac:dyDescent="0.25">
      <c r="A702" s="2688" t="s">
        <v>1681</v>
      </c>
      <c r="B702" s="2689"/>
      <c r="C702" s="2689"/>
      <c r="D702" s="2689"/>
      <c r="E702" s="2689"/>
      <c r="F702" s="2689"/>
      <c r="G702" s="2689"/>
      <c r="H702" s="2690"/>
      <c r="I702" s="682"/>
      <c r="J702" s="682"/>
      <c r="K702" s="682"/>
      <c r="L702" s="683"/>
      <c r="M702" s="683"/>
      <c r="X702" s="656"/>
      <c r="Y702" s="657"/>
      <c r="Z702" s="657"/>
      <c r="AA702" s="481"/>
      <c r="AC702" s="456"/>
      <c r="AD702" s="481"/>
      <c r="AE702" s="491" t="s">
        <v>1681</v>
      </c>
      <c r="AF702" s="481"/>
      <c r="AG702" s="522"/>
      <c r="AH702" s="699"/>
      <c r="AI702" s="456"/>
      <c r="AJ702" s="699"/>
    </row>
    <row r="703" spans="1:36" s="454" customFormat="1" ht="15" x14ac:dyDescent="0.25">
      <c r="A703" s="2688" t="s">
        <v>2440</v>
      </c>
      <c r="B703" s="2689"/>
      <c r="C703" s="2689"/>
      <c r="D703" s="2689"/>
      <c r="E703" s="2689"/>
      <c r="F703" s="2689"/>
      <c r="G703" s="2689"/>
      <c r="H703" s="2690"/>
      <c r="I703" s="682">
        <v>-465</v>
      </c>
      <c r="J703" s="682"/>
      <c r="K703" s="682"/>
      <c r="L703" s="683"/>
      <c r="M703" s="683"/>
      <c r="X703" s="656"/>
      <c r="Y703" s="657"/>
      <c r="Z703" s="657"/>
      <c r="AA703" s="481"/>
      <c r="AC703" s="456"/>
      <c r="AD703" s="481"/>
      <c r="AE703" s="491" t="s">
        <v>2440</v>
      </c>
      <c r="AF703" s="481"/>
      <c r="AG703" s="522"/>
      <c r="AH703" s="699"/>
      <c r="AI703" s="456"/>
      <c r="AJ703" s="699"/>
    </row>
    <row r="704" spans="1:36" s="454" customFormat="1" ht="15" x14ac:dyDescent="0.25">
      <c r="A704" s="2688" t="s">
        <v>2441</v>
      </c>
      <c r="B704" s="2689"/>
      <c r="C704" s="2689"/>
      <c r="D704" s="2689"/>
      <c r="E704" s="2689"/>
      <c r="F704" s="2689"/>
      <c r="G704" s="2689"/>
      <c r="H704" s="2690"/>
      <c r="I704" s="682">
        <v>-17</v>
      </c>
      <c r="J704" s="682"/>
      <c r="K704" s="682"/>
      <c r="L704" s="683"/>
      <c r="M704" s="683"/>
      <c r="X704" s="656"/>
      <c r="Y704" s="657"/>
      <c r="Z704" s="657"/>
      <c r="AA704" s="481"/>
      <c r="AC704" s="456"/>
      <c r="AD704" s="481"/>
      <c r="AE704" s="491" t="s">
        <v>2441</v>
      </c>
      <c r="AF704" s="481"/>
      <c r="AG704" s="522"/>
      <c r="AH704" s="699"/>
      <c r="AI704" s="456"/>
      <c r="AJ704" s="699"/>
    </row>
    <row r="705" spans="1:36" s="454" customFormat="1" ht="15" x14ac:dyDescent="0.25">
      <c r="A705" s="2685" t="s">
        <v>1417</v>
      </c>
      <c r="B705" s="2686"/>
      <c r="C705" s="2686"/>
      <c r="D705" s="2686"/>
      <c r="E705" s="2686"/>
      <c r="F705" s="2686"/>
      <c r="G705" s="2686"/>
      <c r="H705" s="2687"/>
      <c r="I705" s="661">
        <v>-270</v>
      </c>
      <c r="J705" s="661"/>
      <c r="K705" s="661"/>
      <c r="L705" s="681"/>
      <c r="M705" s="681"/>
      <c r="X705" s="656"/>
      <c r="Y705" s="657"/>
      <c r="Z705" s="657"/>
      <c r="AA705" s="481"/>
      <c r="AC705" s="456"/>
      <c r="AD705" s="481" t="s">
        <v>1417</v>
      </c>
      <c r="AF705" s="481"/>
      <c r="AG705" s="522"/>
      <c r="AH705" s="699"/>
      <c r="AI705" s="456"/>
      <c r="AJ705" s="699"/>
    </row>
    <row r="706" spans="1:36" s="454" customFormat="1" ht="15" x14ac:dyDescent="0.25">
      <c r="A706" s="2688" t="s">
        <v>1681</v>
      </c>
      <c r="B706" s="2689"/>
      <c r="C706" s="2689"/>
      <c r="D706" s="2689"/>
      <c r="E706" s="2689"/>
      <c r="F706" s="2689"/>
      <c r="G706" s="2689"/>
      <c r="H706" s="2690"/>
      <c r="I706" s="682"/>
      <c r="J706" s="682"/>
      <c r="K706" s="682"/>
      <c r="L706" s="683"/>
      <c r="M706" s="683"/>
      <c r="X706" s="656"/>
      <c r="Y706" s="657"/>
      <c r="Z706" s="657"/>
      <c r="AA706" s="481"/>
      <c r="AC706" s="456"/>
      <c r="AD706" s="481"/>
      <c r="AE706" s="491" t="s">
        <v>1681</v>
      </c>
      <c r="AF706" s="481"/>
      <c r="AG706" s="522"/>
      <c r="AH706" s="699"/>
      <c r="AI706" s="456"/>
      <c r="AJ706" s="699"/>
    </row>
    <row r="707" spans="1:36" s="454" customFormat="1" ht="15" x14ac:dyDescent="0.25">
      <c r="A707" s="2688" t="s">
        <v>2442</v>
      </c>
      <c r="B707" s="2689"/>
      <c r="C707" s="2689"/>
      <c r="D707" s="2689"/>
      <c r="E707" s="2689"/>
      <c r="F707" s="2689"/>
      <c r="G707" s="2689"/>
      <c r="H707" s="2690"/>
      <c r="I707" s="682">
        <v>-261</v>
      </c>
      <c r="J707" s="682"/>
      <c r="K707" s="682"/>
      <c r="L707" s="683"/>
      <c r="M707" s="683"/>
      <c r="X707" s="656"/>
      <c r="Y707" s="657"/>
      <c r="Z707" s="657"/>
      <c r="AA707" s="481"/>
      <c r="AC707" s="456"/>
      <c r="AD707" s="481"/>
      <c r="AE707" s="491" t="s">
        <v>2442</v>
      </c>
      <c r="AF707" s="481"/>
      <c r="AG707" s="522"/>
      <c r="AH707" s="699"/>
      <c r="AI707" s="456"/>
      <c r="AJ707" s="699"/>
    </row>
    <row r="708" spans="1:36" s="454" customFormat="1" ht="15" x14ac:dyDescent="0.25">
      <c r="A708" s="2688" t="s">
        <v>2443</v>
      </c>
      <c r="B708" s="2689"/>
      <c r="C708" s="2689"/>
      <c r="D708" s="2689"/>
      <c r="E708" s="2689"/>
      <c r="F708" s="2689"/>
      <c r="G708" s="2689"/>
      <c r="H708" s="2690"/>
      <c r="I708" s="682">
        <v>-9</v>
      </c>
      <c r="J708" s="682"/>
      <c r="K708" s="682"/>
      <c r="L708" s="683"/>
      <c r="M708" s="683"/>
      <c r="X708" s="656"/>
      <c r="Y708" s="657"/>
      <c r="Z708" s="657"/>
      <c r="AA708" s="481"/>
      <c r="AC708" s="456"/>
      <c r="AD708" s="481"/>
      <c r="AE708" s="491" t="s">
        <v>2443</v>
      </c>
      <c r="AF708" s="481"/>
      <c r="AG708" s="522"/>
      <c r="AH708" s="699"/>
      <c r="AI708" s="456"/>
      <c r="AJ708" s="699"/>
    </row>
    <row r="709" spans="1:36" s="454" customFormat="1" ht="15" x14ac:dyDescent="0.25">
      <c r="A709" s="2685" t="s">
        <v>2444</v>
      </c>
      <c r="B709" s="2686"/>
      <c r="C709" s="2686"/>
      <c r="D709" s="2686"/>
      <c r="E709" s="2686"/>
      <c r="F709" s="2686"/>
      <c r="G709" s="2686"/>
      <c r="H709" s="2687"/>
      <c r="I709" s="661"/>
      <c r="J709" s="661"/>
      <c r="K709" s="661"/>
      <c r="L709" s="681"/>
      <c r="M709" s="681"/>
      <c r="X709" s="656"/>
      <c r="Y709" s="657"/>
      <c r="Z709" s="657"/>
      <c r="AA709" s="481"/>
      <c r="AC709" s="456"/>
      <c r="AD709" s="481" t="s">
        <v>2444</v>
      </c>
      <c r="AF709" s="481"/>
      <c r="AG709" s="522"/>
      <c r="AH709" s="699"/>
      <c r="AI709" s="456"/>
      <c r="AJ709" s="699"/>
    </row>
    <row r="710" spans="1:36" s="454" customFormat="1" ht="15" x14ac:dyDescent="0.25">
      <c r="A710" s="2688" t="s">
        <v>2445</v>
      </c>
      <c r="B710" s="2689"/>
      <c r="C710" s="2689"/>
      <c r="D710" s="2689"/>
      <c r="E710" s="2689"/>
      <c r="F710" s="2689"/>
      <c r="G710" s="2689"/>
      <c r="H710" s="2690"/>
      <c r="I710" s="682"/>
      <c r="J710" s="682"/>
      <c r="K710" s="682"/>
      <c r="L710" s="683"/>
      <c r="M710" s="683"/>
      <c r="X710" s="656"/>
      <c r="Y710" s="657"/>
      <c r="Z710" s="657"/>
      <c r="AA710" s="481"/>
      <c r="AC710" s="456"/>
      <c r="AD710" s="481"/>
      <c r="AE710" s="491" t="s">
        <v>2445</v>
      </c>
      <c r="AF710" s="481"/>
      <c r="AG710" s="522"/>
      <c r="AH710" s="699"/>
      <c r="AI710" s="456"/>
      <c r="AJ710" s="699"/>
    </row>
    <row r="711" spans="1:36" s="454" customFormat="1" ht="15" x14ac:dyDescent="0.25">
      <c r="A711" s="2688" t="s">
        <v>2446</v>
      </c>
      <c r="B711" s="2689"/>
      <c r="C711" s="2689"/>
      <c r="D711" s="2689"/>
      <c r="E711" s="2689"/>
      <c r="F711" s="2689"/>
      <c r="G711" s="2689"/>
      <c r="H711" s="2690"/>
      <c r="I711" s="682">
        <v>-21871</v>
      </c>
      <c r="J711" s="682"/>
      <c r="K711" s="682"/>
      <c r="L711" s="683"/>
      <c r="M711" s="683"/>
      <c r="X711" s="656"/>
      <c r="Y711" s="657"/>
      <c r="Z711" s="657"/>
      <c r="AA711" s="481"/>
      <c r="AC711" s="456"/>
      <c r="AD711" s="481"/>
      <c r="AE711" s="491" t="s">
        <v>2446</v>
      </c>
      <c r="AF711" s="481"/>
      <c r="AG711" s="522"/>
      <c r="AH711" s="699"/>
      <c r="AI711" s="456"/>
      <c r="AJ711" s="699"/>
    </row>
    <row r="712" spans="1:36" s="454" customFormat="1" ht="15" x14ac:dyDescent="0.25">
      <c r="A712" s="2688" t="s">
        <v>2447</v>
      </c>
      <c r="B712" s="2689"/>
      <c r="C712" s="2689"/>
      <c r="D712" s="2689"/>
      <c r="E712" s="2689"/>
      <c r="F712" s="2689"/>
      <c r="G712" s="2689"/>
      <c r="H712" s="2690"/>
      <c r="I712" s="682"/>
      <c r="J712" s="682"/>
      <c r="K712" s="682"/>
      <c r="L712" s="683"/>
      <c r="M712" s="683"/>
      <c r="X712" s="656"/>
      <c r="Y712" s="657"/>
      <c r="Z712" s="657"/>
      <c r="AA712" s="481"/>
      <c r="AC712" s="456"/>
      <c r="AD712" s="481"/>
      <c r="AE712" s="491" t="s">
        <v>2447</v>
      </c>
      <c r="AF712" s="481"/>
      <c r="AG712" s="522"/>
      <c r="AH712" s="699"/>
      <c r="AI712" s="456"/>
      <c r="AJ712" s="699"/>
    </row>
    <row r="713" spans="1:36" s="454" customFormat="1" ht="15" x14ac:dyDescent="0.25">
      <c r="A713" s="2688" t="s">
        <v>2448</v>
      </c>
      <c r="B713" s="2689"/>
      <c r="C713" s="2689"/>
      <c r="D713" s="2689"/>
      <c r="E713" s="2689"/>
      <c r="F713" s="2689"/>
      <c r="G713" s="2689"/>
      <c r="H713" s="2690"/>
      <c r="I713" s="682">
        <v>-581</v>
      </c>
      <c r="J713" s="682">
        <v>-581</v>
      </c>
      <c r="K713" s="682"/>
      <c r="L713" s="683"/>
      <c r="M713" s="684">
        <v>-74.430000000000007</v>
      </c>
      <c r="X713" s="656"/>
      <c r="Y713" s="657"/>
      <c r="Z713" s="657"/>
      <c r="AA713" s="481"/>
      <c r="AC713" s="456"/>
      <c r="AD713" s="481"/>
      <c r="AE713" s="491" t="s">
        <v>2448</v>
      </c>
      <c r="AF713" s="481"/>
      <c r="AG713" s="522"/>
      <c r="AH713" s="699"/>
      <c r="AI713" s="456"/>
      <c r="AJ713" s="699"/>
    </row>
    <row r="714" spans="1:36" s="454" customFormat="1" ht="15" x14ac:dyDescent="0.25">
      <c r="A714" s="2688" t="s">
        <v>2449</v>
      </c>
      <c r="B714" s="2689"/>
      <c r="C714" s="2689"/>
      <c r="D714" s="2689"/>
      <c r="E714" s="2689"/>
      <c r="F714" s="2689"/>
      <c r="G714" s="2689"/>
      <c r="H714" s="2690"/>
      <c r="I714" s="682">
        <v>-465</v>
      </c>
      <c r="J714" s="682"/>
      <c r="K714" s="682"/>
      <c r="L714" s="683"/>
      <c r="M714" s="683"/>
      <c r="X714" s="656"/>
      <c r="Y714" s="657"/>
      <c r="Z714" s="657"/>
      <c r="AA714" s="481"/>
      <c r="AC714" s="456"/>
      <c r="AD714" s="481"/>
      <c r="AE714" s="491" t="s">
        <v>2449</v>
      </c>
      <c r="AF714" s="481"/>
      <c r="AG714" s="522"/>
      <c r="AH714" s="699"/>
      <c r="AI714" s="456"/>
      <c r="AJ714" s="699"/>
    </row>
    <row r="715" spans="1:36" s="454" customFormat="1" ht="15" x14ac:dyDescent="0.25">
      <c r="A715" s="2688" t="s">
        <v>2450</v>
      </c>
      <c r="B715" s="2689"/>
      <c r="C715" s="2689"/>
      <c r="D715" s="2689"/>
      <c r="E715" s="2689"/>
      <c r="F715" s="2689"/>
      <c r="G715" s="2689"/>
      <c r="H715" s="2690"/>
      <c r="I715" s="682">
        <v>-261</v>
      </c>
      <c r="J715" s="682"/>
      <c r="K715" s="682"/>
      <c r="L715" s="683"/>
      <c r="M715" s="683"/>
      <c r="X715" s="656"/>
      <c r="Y715" s="657"/>
      <c r="Z715" s="657"/>
      <c r="AA715" s="481"/>
      <c r="AC715" s="456"/>
      <c r="AD715" s="481"/>
      <c r="AE715" s="491" t="s">
        <v>2450</v>
      </c>
      <c r="AF715" s="481"/>
      <c r="AG715" s="522"/>
      <c r="AH715" s="699"/>
      <c r="AI715" s="456"/>
      <c r="AJ715" s="699"/>
    </row>
    <row r="716" spans="1:36" s="454" customFormat="1" ht="15" x14ac:dyDescent="0.25">
      <c r="A716" s="2688" t="s">
        <v>2451</v>
      </c>
      <c r="B716" s="2689"/>
      <c r="C716" s="2689"/>
      <c r="D716" s="2689"/>
      <c r="E716" s="2689"/>
      <c r="F716" s="2689"/>
      <c r="G716" s="2689"/>
      <c r="H716" s="2690"/>
      <c r="I716" s="682">
        <v>-1307</v>
      </c>
      <c r="J716" s="682"/>
      <c r="K716" s="682"/>
      <c r="L716" s="683"/>
      <c r="M716" s="684">
        <v>-74.430000000000007</v>
      </c>
      <c r="X716" s="656"/>
      <c r="Y716" s="657"/>
      <c r="Z716" s="657"/>
      <c r="AA716" s="481"/>
      <c r="AC716" s="456"/>
      <c r="AD716" s="481"/>
      <c r="AE716" s="491" t="s">
        <v>2451</v>
      </c>
      <c r="AF716" s="481"/>
      <c r="AG716" s="522"/>
      <c r="AH716" s="699"/>
      <c r="AI716" s="456"/>
      <c r="AJ716" s="699"/>
    </row>
    <row r="717" spans="1:36" s="454" customFormat="1" ht="15" x14ac:dyDescent="0.25">
      <c r="A717" s="2688" t="s">
        <v>2452</v>
      </c>
      <c r="B717" s="2689"/>
      <c r="C717" s="2689"/>
      <c r="D717" s="2689"/>
      <c r="E717" s="2689"/>
      <c r="F717" s="2689"/>
      <c r="G717" s="2689"/>
      <c r="H717" s="2690"/>
      <c r="I717" s="682"/>
      <c r="J717" s="682"/>
      <c r="K717" s="682"/>
      <c r="L717" s="683"/>
      <c r="M717" s="683"/>
      <c r="X717" s="656"/>
      <c r="Y717" s="657"/>
      <c r="Z717" s="657"/>
      <c r="AA717" s="481"/>
      <c r="AC717" s="456"/>
      <c r="AD717" s="481"/>
      <c r="AE717" s="491" t="s">
        <v>2452</v>
      </c>
      <c r="AF717" s="481"/>
      <c r="AG717" s="522"/>
      <c r="AH717" s="699"/>
      <c r="AI717" s="456"/>
      <c r="AJ717" s="699"/>
    </row>
    <row r="718" spans="1:36" s="454" customFormat="1" ht="22.5" x14ac:dyDescent="0.25">
      <c r="A718" s="2688" t="s">
        <v>2453</v>
      </c>
      <c r="B718" s="2689"/>
      <c r="C718" s="2689"/>
      <c r="D718" s="2689"/>
      <c r="E718" s="2689"/>
      <c r="F718" s="2689"/>
      <c r="G718" s="2689"/>
      <c r="H718" s="2690"/>
      <c r="I718" s="682">
        <v>-135</v>
      </c>
      <c r="J718" s="682"/>
      <c r="K718" s="682" t="s">
        <v>2428</v>
      </c>
      <c r="L718" s="683"/>
      <c r="M718" s="683"/>
      <c r="X718" s="656"/>
      <c r="Y718" s="657"/>
      <c r="Z718" s="657"/>
      <c r="AA718" s="481"/>
      <c r="AC718" s="456"/>
      <c r="AD718" s="481"/>
      <c r="AE718" s="491" t="s">
        <v>2453</v>
      </c>
      <c r="AF718" s="481"/>
      <c r="AG718" s="522"/>
      <c r="AH718" s="699"/>
      <c r="AI718" s="456"/>
      <c r="AJ718" s="699"/>
    </row>
    <row r="719" spans="1:36" s="454" customFormat="1" ht="15" x14ac:dyDescent="0.25">
      <c r="A719" s="2688" t="s">
        <v>2454</v>
      </c>
      <c r="B719" s="2689"/>
      <c r="C719" s="2689"/>
      <c r="D719" s="2689"/>
      <c r="E719" s="2689"/>
      <c r="F719" s="2689"/>
      <c r="G719" s="2689"/>
      <c r="H719" s="2690"/>
      <c r="I719" s="682">
        <v>-17</v>
      </c>
      <c r="J719" s="682"/>
      <c r="K719" s="682"/>
      <c r="L719" s="683"/>
      <c r="M719" s="683"/>
      <c r="X719" s="656"/>
      <c r="Y719" s="657"/>
      <c r="Z719" s="657"/>
      <c r="AA719" s="481"/>
      <c r="AC719" s="456"/>
      <c r="AD719" s="481"/>
      <c r="AE719" s="491" t="s">
        <v>2454</v>
      </c>
      <c r="AF719" s="481"/>
      <c r="AG719" s="522"/>
      <c r="AH719" s="699"/>
      <c r="AI719" s="456"/>
      <c r="AJ719" s="699"/>
    </row>
    <row r="720" spans="1:36" s="454" customFormat="1" ht="15" x14ac:dyDescent="0.25">
      <c r="A720" s="2688" t="s">
        <v>2455</v>
      </c>
      <c r="B720" s="2689"/>
      <c r="C720" s="2689"/>
      <c r="D720" s="2689"/>
      <c r="E720" s="2689"/>
      <c r="F720" s="2689"/>
      <c r="G720" s="2689"/>
      <c r="H720" s="2690"/>
      <c r="I720" s="682">
        <v>-9</v>
      </c>
      <c r="J720" s="682"/>
      <c r="K720" s="682"/>
      <c r="L720" s="683"/>
      <c r="M720" s="683"/>
      <c r="X720" s="656"/>
      <c r="Y720" s="657"/>
      <c r="Z720" s="657"/>
      <c r="AA720" s="481"/>
      <c r="AC720" s="456"/>
      <c r="AD720" s="481"/>
      <c r="AE720" s="491" t="s">
        <v>2455</v>
      </c>
      <c r="AF720" s="481"/>
      <c r="AG720" s="522"/>
      <c r="AH720" s="699"/>
      <c r="AI720" s="456"/>
      <c r="AJ720" s="699"/>
    </row>
    <row r="721" spans="1:38" s="454" customFormat="1" ht="15" x14ac:dyDescent="0.25">
      <c r="A721" s="2688" t="s">
        <v>2451</v>
      </c>
      <c r="B721" s="2689"/>
      <c r="C721" s="2689"/>
      <c r="D721" s="2689"/>
      <c r="E721" s="2689"/>
      <c r="F721" s="2689"/>
      <c r="G721" s="2689"/>
      <c r="H721" s="2690"/>
      <c r="I721" s="682">
        <v>-161</v>
      </c>
      <c r="J721" s="682"/>
      <c r="K721" s="682"/>
      <c r="L721" s="683"/>
      <c r="M721" s="683"/>
      <c r="X721" s="656"/>
      <c r="Y721" s="657"/>
      <c r="Z721" s="657"/>
      <c r="AA721" s="481"/>
      <c r="AC721" s="456"/>
      <c r="AD721" s="481"/>
      <c r="AE721" s="491" t="s">
        <v>2451</v>
      </c>
      <c r="AF721" s="481"/>
      <c r="AG721" s="522"/>
      <c r="AH721" s="699"/>
      <c r="AI721" s="456"/>
      <c r="AJ721" s="699"/>
    </row>
    <row r="722" spans="1:38" s="454" customFormat="1" ht="15" x14ac:dyDescent="0.25">
      <c r="A722" s="2688" t="s">
        <v>2456</v>
      </c>
      <c r="B722" s="2689"/>
      <c r="C722" s="2689"/>
      <c r="D722" s="2689"/>
      <c r="E722" s="2689"/>
      <c r="F722" s="2689"/>
      <c r="G722" s="2689"/>
      <c r="H722" s="2690"/>
      <c r="I722" s="682"/>
      <c r="J722" s="682"/>
      <c r="K722" s="682"/>
      <c r="L722" s="683"/>
      <c r="M722" s="683"/>
      <c r="X722" s="656"/>
      <c r="Y722" s="657"/>
      <c r="Z722" s="657"/>
      <c r="AA722" s="481"/>
      <c r="AC722" s="456"/>
      <c r="AD722" s="481"/>
      <c r="AE722" s="491" t="s">
        <v>2456</v>
      </c>
      <c r="AF722" s="481"/>
      <c r="AG722" s="522"/>
      <c r="AH722" s="699"/>
      <c r="AI722" s="456"/>
      <c r="AJ722" s="699"/>
    </row>
    <row r="723" spans="1:38" s="454" customFormat="1" ht="15" x14ac:dyDescent="0.25">
      <c r="A723" s="2688" t="s">
        <v>2457</v>
      </c>
      <c r="B723" s="2689"/>
      <c r="C723" s="2689"/>
      <c r="D723" s="2689"/>
      <c r="E723" s="2689"/>
      <c r="F723" s="2689"/>
      <c r="G723" s="2689"/>
      <c r="H723" s="2690"/>
      <c r="I723" s="682">
        <v>-1328</v>
      </c>
      <c r="J723" s="682"/>
      <c r="K723" s="682">
        <v>-1328</v>
      </c>
      <c r="L723" s="683"/>
      <c r="M723" s="683"/>
      <c r="X723" s="656"/>
      <c r="Y723" s="657"/>
      <c r="Z723" s="657"/>
      <c r="AA723" s="481"/>
      <c r="AC723" s="456"/>
      <c r="AD723" s="481"/>
      <c r="AE723" s="491" t="s">
        <v>2457</v>
      </c>
      <c r="AF723" s="481"/>
      <c r="AG723" s="522"/>
      <c r="AH723" s="699"/>
      <c r="AI723" s="456"/>
      <c r="AJ723" s="699"/>
    </row>
    <row r="724" spans="1:38" s="454" customFormat="1" ht="15" x14ac:dyDescent="0.25">
      <c r="A724" s="2688" t="s">
        <v>1695</v>
      </c>
      <c r="B724" s="2689"/>
      <c r="C724" s="2689"/>
      <c r="D724" s="2689"/>
      <c r="E724" s="2689"/>
      <c r="F724" s="2689"/>
      <c r="G724" s="2689"/>
      <c r="H724" s="2690"/>
      <c r="I724" s="682">
        <v>-24667</v>
      </c>
      <c r="J724" s="682"/>
      <c r="K724" s="682"/>
      <c r="L724" s="683"/>
      <c r="M724" s="684">
        <v>-74.430000000000007</v>
      </c>
      <c r="X724" s="656"/>
      <c r="Y724" s="657"/>
      <c r="Z724" s="657"/>
      <c r="AA724" s="481"/>
      <c r="AC724" s="456"/>
      <c r="AD724" s="481"/>
      <c r="AE724" s="491" t="s">
        <v>1695</v>
      </c>
      <c r="AF724" s="481"/>
      <c r="AG724" s="522"/>
      <c r="AH724" s="699"/>
      <c r="AI724" s="456"/>
      <c r="AJ724" s="699"/>
    </row>
    <row r="725" spans="1:38" s="454" customFormat="1" ht="15" x14ac:dyDescent="0.25">
      <c r="A725" s="2688" t="s">
        <v>1696</v>
      </c>
      <c r="B725" s="2689"/>
      <c r="C725" s="2689"/>
      <c r="D725" s="2689"/>
      <c r="E725" s="2689"/>
      <c r="F725" s="2689"/>
      <c r="G725" s="2689"/>
      <c r="H725" s="2690"/>
      <c r="I725" s="682"/>
      <c r="J725" s="682"/>
      <c r="K725" s="682"/>
      <c r="L725" s="683"/>
      <c r="M725" s="683"/>
      <c r="X725" s="656"/>
      <c r="Y725" s="657"/>
      <c r="Z725" s="657"/>
      <c r="AA725" s="481"/>
      <c r="AC725" s="456"/>
      <c r="AD725" s="481"/>
      <c r="AE725" s="491" t="s">
        <v>1696</v>
      </c>
      <c r="AF725" s="481"/>
      <c r="AG725" s="522"/>
      <c r="AH725" s="699"/>
      <c r="AI725" s="456"/>
      <c r="AJ725" s="699"/>
    </row>
    <row r="726" spans="1:38" s="454" customFormat="1" ht="15" x14ac:dyDescent="0.25">
      <c r="A726" s="2688" t="s">
        <v>1697</v>
      </c>
      <c r="B726" s="2689"/>
      <c r="C726" s="2689"/>
      <c r="D726" s="2689"/>
      <c r="E726" s="2689"/>
      <c r="F726" s="2689"/>
      <c r="G726" s="2689"/>
      <c r="H726" s="2690"/>
      <c r="I726" s="682">
        <v>-21871</v>
      </c>
      <c r="J726" s="682"/>
      <c r="K726" s="682"/>
      <c r="L726" s="683"/>
      <c r="M726" s="683"/>
      <c r="X726" s="656"/>
      <c r="Y726" s="657"/>
      <c r="Z726" s="657"/>
      <c r="AA726" s="481"/>
      <c r="AC726" s="456"/>
      <c r="AD726" s="481"/>
      <c r="AE726" s="491" t="s">
        <v>1697</v>
      </c>
      <c r="AF726" s="481"/>
      <c r="AG726" s="522"/>
      <c r="AH726" s="699"/>
      <c r="AI726" s="456"/>
      <c r="AJ726" s="699"/>
    </row>
    <row r="727" spans="1:38" s="454" customFormat="1" ht="15" x14ac:dyDescent="0.25">
      <c r="A727" s="2688" t="s">
        <v>1698</v>
      </c>
      <c r="B727" s="2689"/>
      <c r="C727" s="2689"/>
      <c r="D727" s="2689"/>
      <c r="E727" s="2689"/>
      <c r="F727" s="2689"/>
      <c r="G727" s="2689"/>
      <c r="H727" s="2690"/>
      <c r="I727" s="682">
        <v>-1463</v>
      </c>
      <c r="J727" s="682"/>
      <c r="K727" s="682"/>
      <c r="L727" s="683"/>
      <c r="M727" s="683"/>
      <c r="X727" s="656"/>
      <c r="Y727" s="657"/>
      <c r="Z727" s="657"/>
      <c r="AA727" s="481"/>
      <c r="AC727" s="456"/>
      <c r="AD727" s="481"/>
      <c r="AE727" s="491" t="s">
        <v>1698</v>
      </c>
      <c r="AF727" s="481"/>
      <c r="AG727" s="522"/>
      <c r="AH727" s="699"/>
      <c r="AI727" s="456"/>
      <c r="AJ727" s="699"/>
    </row>
    <row r="728" spans="1:38" s="454" customFormat="1" ht="15" x14ac:dyDescent="0.25">
      <c r="A728" s="2688" t="s">
        <v>1699</v>
      </c>
      <c r="B728" s="2689"/>
      <c r="C728" s="2689"/>
      <c r="D728" s="2689"/>
      <c r="E728" s="2689"/>
      <c r="F728" s="2689"/>
      <c r="G728" s="2689"/>
      <c r="H728" s="2690"/>
      <c r="I728" s="682">
        <v>-599</v>
      </c>
      <c r="J728" s="682"/>
      <c r="K728" s="682"/>
      <c r="L728" s="683"/>
      <c r="M728" s="683"/>
      <c r="X728" s="656"/>
      <c r="Y728" s="657"/>
      <c r="Z728" s="657"/>
      <c r="AA728" s="481"/>
      <c r="AC728" s="456"/>
      <c r="AD728" s="481"/>
      <c r="AE728" s="491" t="s">
        <v>1699</v>
      </c>
      <c r="AF728" s="481"/>
      <c r="AG728" s="522"/>
      <c r="AH728" s="699"/>
      <c r="AI728" s="456"/>
      <c r="AJ728" s="699"/>
    </row>
    <row r="729" spans="1:38" s="454" customFormat="1" ht="15" x14ac:dyDescent="0.25">
      <c r="A729" s="2688" t="s">
        <v>1700</v>
      </c>
      <c r="B729" s="2689"/>
      <c r="C729" s="2689"/>
      <c r="D729" s="2689"/>
      <c r="E729" s="2689"/>
      <c r="F729" s="2689"/>
      <c r="G729" s="2689"/>
      <c r="H729" s="2690"/>
      <c r="I729" s="682">
        <v>-482</v>
      </c>
      <c r="J729" s="682"/>
      <c r="K729" s="682"/>
      <c r="L729" s="683"/>
      <c r="M729" s="683"/>
      <c r="X729" s="656"/>
      <c r="Y729" s="657"/>
      <c r="Z729" s="657"/>
      <c r="AA729" s="481"/>
      <c r="AC729" s="456"/>
      <c r="AD729" s="481"/>
      <c r="AE729" s="491" t="s">
        <v>1700</v>
      </c>
      <c r="AF729" s="481"/>
      <c r="AG729" s="522"/>
      <c r="AH729" s="699"/>
      <c r="AI729" s="456"/>
      <c r="AJ729" s="699"/>
    </row>
    <row r="730" spans="1:38" s="454" customFormat="1" ht="15" x14ac:dyDescent="0.25">
      <c r="A730" s="2688" t="s">
        <v>1701</v>
      </c>
      <c r="B730" s="2689"/>
      <c r="C730" s="2689"/>
      <c r="D730" s="2689"/>
      <c r="E730" s="2689"/>
      <c r="F730" s="2689"/>
      <c r="G730" s="2689"/>
      <c r="H730" s="2690"/>
      <c r="I730" s="682">
        <v>-270</v>
      </c>
      <c r="J730" s="682"/>
      <c r="K730" s="682"/>
      <c r="L730" s="683"/>
      <c r="M730" s="683"/>
      <c r="X730" s="656"/>
      <c r="Y730" s="657"/>
      <c r="Z730" s="657"/>
      <c r="AA730" s="481"/>
      <c r="AC730" s="456"/>
      <c r="AD730" s="481"/>
      <c r="AE730" s="491" t="s">
        <v>1701</v>
      </c>
      <c r="AF730" s="481"/>
      <c r="AG730" s="522"/>
      <c r="AH730" s="699"/>
      <c r="AI730" s="456"/>
      <c r="AJ730" s="699"/>
    </row>
    <row r="731" spans="1:38" s="454" customFormat="1" ht="15" x14ac:dyDescent="0.25">
      <c r="A731" s="2685" t="s">
        <v>2458</v>
      </c>
      <c r="B731" s="2686"/>
      <c r="C731" s="2686"/>
      <c r="D731" s="2686"/>
      <c r="E731" s="2686"/>
      <c r="F731" s="2686"/>
      <c r="G731" s="2686"/>
      <c r="H731" s="2687"/>
      <c r="I731" s="661">
        <v>-24667</v>
      </c>
      <c r="J731" s="661"/>
      <c r="K731" s="661"/>
      <c r="L731" s="681"/>
      <c r="M731" s="672">
        <v>-74.430000000000007</v>
      </c>
      <c r="X731" s="656"/>
      <c r="Y731" s="657"/>
      <c r="Z731" s="657"/>
      <c r="AA731" s="481"/>
      <c r="AC731" s="456"/>
      <c r="AD731" s="481"/>
      <c r="AF731" s="481" t="s">
        <v>2458</v>
      </c>
      <c r="AG731" s="522"/>
      <c r="AH731" s="699"/>
      <c r="AI731" s="456"/>
      <c r="AJ731" s="699"/>
    </row>
    <row r="732" spans="1:38" s="454" customFormat="1" ht="22.5" x14ac:dyDescent="0.25">
      <c r="A732" s="2685" t="s">
        <v>1619</v>
      </c>
      <c r="B732" s="2686"/>
      <c r="C732" s="2686"/>
      <c r="D732" s="2686"/>
      <c r="E732" s="2686"/>
      <c r="F732" s="2686"/>
      <c r="G732" s="2686"/>
      <c r="H732" s="2687"/>
      <c r="I732" s="661">
        <v>-2871722</v>
      </c>
      <c r="J732" s="661">
        <v>-177691</v>
      </c>
      <c r="K732" s="661" t="s">
        <v>2459</v>
      </c>
      <c r="L732" s="681"/>
      <c r="M732" s="672">
        <v>-17347.93</v>
      </c>
      <c r="AK732" s="481" t="s">
        <v>1619</v>
      </c>
    </row>
    <row r="733" spans="1:38" s="454" customFormat="1" ht="15" x14ac:dyDescent="0.25">
      <c r="A733" s="2685" t="s">
        <v>1416</v>
      </c>
      <c r="B733" s="2686"/>
      <c r="C733" s="2686"/>
      <c r="D733" s="2686"/>
      <c r="E733" s="2686"/>
      <c r="F733" s="2686"/>
      <c r="G733" s="2686"/>
      <c r="H733" s="2687"/>
      <c r="I733" s="661">
        <v>-227302</v>
      </c>
      <c r="J733" s="661"/>
      <c r="K733" s="661"/>
      <c r="L733" s="681"/>
      <c r="M733" s="681"/>
      <c r="AK733" s="481" t="s">
        <v>1416</v>
      </c>
    </row>
    <row r="734" spans="1:38" s="454" customFormat="1" ht="15" x14ac:dyDescent="0.25">
      <c r="A734" s="2688" t="s">
        <v>1681</v>
      </c>
      <c r="B734" s="2689"/>
      <c r="C734" s="2689"/>
      <c r="D734" s="2689"/>
      <c r="E734" s="2689"/>
      <c r="F734" s="2689"/>
      <c r="G734" s="2689"/>
      <c r="H734" s="2690"/>
      <c r="I734" s="682"/>
      <c r="J734" s="682"/>
      <c r="K734" s="682"/>
      <c r="L734" s="683"/>
      <c r="M734" s="683"/>
      <c r="AK734" s="481"/>
      <c r="AL734" s="491" t="s">
        <v>1681</v>
      </c>
    </row>
    <row r="735" spans="1:38" s="454" customFormat="1" ht="15" x14ac:dyDescent="0.25">
      <c r="A735" s="2688" t="s">
        <v>2460</v>
      </c>
      <c r="B735" s="2689"/>
      <c r="C735" s="2689"/>
      <c r="D735" s="2689"/>
      <c r="E735" s="2689"/>
      <c r="F735" s="2689"/>
      <c r="G735" s="2689"/>
      <c r="H735" s="2690"/>
      <c r="I735" s="682">
        <v>-65668</v>
      </c>
      <c r="J735" s="682"/>
      <c r="K735" s="682"/>
      <c r="L735" s="683"/>
      <c r="M735" s="683"/>
      <c r="AK735" s="481"/>
      <c r="AL735" s="491" t="s">
        <v>2460</v>
      </c>
    </row>
    <row r="736" spans="1:38" s="454" customFormat="1" ht="15" x14ac:dyDescent="0.25">
      <c r="A736" s="2688" t="s">
        <v>2372</v>
      </c>
      <c r="B736" s="2689"/>
      <c r="C736" s="2689"/>
      <c r="D736" s="2689"/>
      <c r="E736" s="2689"/>
      <c r="F736" s="2689"/>
      <c r="G736" s="2689"/>
      <c r="H736" s="2690"/>
      <c r="I736" s="682">
        <v>-13709</v>
      </c>
      <c r="J736" s="682"/>
      <c r="K736" s="682"/>
      <c r="L736" s="683"/>
      <c r="M736" s="683"/>
      <c r="AK736" s="481"/>
      <c r="AL736" s="491" t="s">
        <v>2372</v>
      </c>
    </row>
    <row r="737" spans="1:38" s="454" customFormat="1" ht="15" x14ac:dyDescent="0.25">
      <c r="A737" s="2688" t="s">
        <v>2373</v>
      </c>
      <c r="B737" s="2689"/>
      <c r="C737" s="2689"/>
      <c r="D737" s="2689"/>
      <c r="E737" s="2689"/>
      <c r="F737" s="2689"/>
      <c r="G737" s="2689"/>
      <c r="H737" s="2690"/>
      <c r="I737" s="682">
        <v>-620</v>
      </c>
      <c r="J737" s="682"/>
      <c r="K737" s="682"/>
      <c r="L737" s="683"/>
      <c r="M737" s="683"/>
      <c r="AK737" s="481"/>
      <c r="AL737" s="491" t="s">
        <v>2373</v>
      </c>
    </row>
    <row r="738" spans="1:38" s="454" customFormat="1" ht="15" x14ac:dyDescent="0.25">
      <c r="A738" s="2688" t="s">
        <v>2441</v>
      </c>
      <c r="B738" s="2689"/>
      <c r="C738" s="2689"/>
      <c r="D738" s="2689"/>
      <c r="E738" s="2689"/>
      <c r="F738" s="2689"/>
      <c r="G738" s="2689"/>
      <c r="H738" s="2690"/>
      <c r="I738" s="682">
        <v>-17</v>
      </c>
      <c r="J738" s="682"/>
      <c r="K738" s="682"/>
      <c r="L738" s="683"/>
      <c r="M738" s="683"/>
      <c r="AK738" s="481"/>
      <c r="AL738" s="491" t="s">
        <v>2441</v>
      </c>
    </row>
    <row r="739" spans="1:38" s="454" customFormat="1" ht="15" x14ac:dyDescent="0.25">
      <c r="A739" s="2688" t="s">
        <v>2374</v>
      </c>
      <c r="B739" s="2689"/>
      <c r="C739" s="2689"/>
      <c r="D739" s="2689"/>
      <c r="E739" s="2689"/>
      <c r="F739" s="2689"/>
      <c r="G739" s="2689"/>
      <c r="H739" s="2690"/>
      <c r="I739" s="682">
        <v>-236</v>
      </c>
      <c r="J739" s="682"/>
      <c r="K739" s="682"/>
      <c r="L739" s="683"/>
      <c r="M739" s="683"/>
      <c r="AK739" s="481"/>
      <c r="AL739" s="491" t="s">
        <v>2374</v>
      </c>
    </row>
    <row r="740" spans="1:38" s="454" customFormat="1" ht="15" x14ac:dyDescent="0.25">
      <c r="A740" s="2688" t="s">
        <v>2375</v>
      </c>
      <c r="B740" s="2689"/>
      <c r="C740" s="2689"/>
      <c r="D740" s="2689"/>
      <c r="E740" s="2689"/>
      <c r="F740" s="2689"/>
      <c r="G740" s="2689"/>
      <c r="H740" s="2690"/>
      <c r="I740" s="682">
        <v>-147052</v>
      </c>
      <c r="J740" s="682"/>
      <c r="K740" s="682"/>
      <c r="L740" s="683"/>
      <c r="M740" s="683"/>
      <c r="AK740" s="481"/>
      <c r="AL740" s="491" t="s">
        <v>2375</v>
      </c>
    </row>
    <row r="741" spans="1:38" s="454" customFormat="1" ht="15" x14ac:dyDescent="0.25">
      <c r="A741" s="2685" t="s">
        <v>1417</v>
      </c>
      <c r="B741" s="2686"/>
      <c r="C741" s="2686"/>
      <c r="D741" s="2686"/>
      <c r="E741" s="2686"/>
      <c r="F741" s="2686"/>
      <c r="G741" s="2686"/>
      <c r="H741" s="2687"/>
      <c r="I741" s="661">
        <v>-114247</v>
      </c>
      <c r="J741" s="661"/>
      <c r="K741" s="661"/>
      <c r="L741" s="681"/>
      <c r="M741" s="681"/>
      <c r="AK741" s="481" t="s">
        <v>1417</v>
      </c>
    </row>
    <row r="742" spans="1:38" s="454" customFormat="1" ht="15" x14ac:dyDescent="0.25">
      <c r="A742" s="2688" t="s">
        <v>1681</v>
      </c>
      <c r="B742" s="2689"/>
      <c r="C742" s="2689"/>
      <c r="D742" s="2689"/>
      <c r="E742" s="2689"/>
      <c r="F742" s="2689"/>
      <c r="G742" s="2689"/>
      <c r="H742" s="2690"/>
      <c r="I742" s="682"/>
      <c r="J742" s="682"/>
      <c r="K742" s="682"/>
      <c r="L742" s="683"/>
      <c r="M742" s="683"/>
      <c r="AK742" s="481"/>
      <c r="AL742" s="491" t="s">
        <v>1681</v>
      </c>
    </row>
    <row r="743" spans="1:38" s="454" customFormat="1" ht="15" x14ac:dyDescent="0.25">
      <c r="A743" s="2688" t="s">
        <v>2461</v>
      </c>
      <c r="B743" s="2689"/>
      <c r="C743" s="2689"/>
      <c r="D743" s="2689"/>
      <c r="E743" s="2689"/>
      <c r="F743" s="2689"/>
      <c r="G743" s="2689"/>
      <c r="H743" s="2690"/>
      <c r="I743" s="682">
        <v>-36477</v>
      </c>
      <c r="J743" s="682"/>
      <c r="K743" s="682"/>
      <c r="L743" s="683"/>
      <c r="M743" s="683"/>
      <c r="AK743" s="481"/>
      <c r="AL743" s="491" t="s">
        <v>2461</v>
      </c>
    </row>
    <row r="744" spans="1:38" s="454" customFormat="1" ht="15" x14ac:dyDescent="0.25">
      <c r="A744" s="2688" t="s">
        <v>2443</v>
      </c>
      <c r="B744" s="2689"/>
      <c r="C744" s="2689"/>
      <c r="D744" s="2689"/>
      <c r="E744" s="2689"/>
      <c r="F744" s="2689"/>
      <c r="G744" s="2689"/>
      <c r="H744" s="2690"/>
      <c r="I744" s="682">
        <v>-9</v>
      </c>
      <c r="J744" s="682"/>
      <c r="K744" s="682"/>
      <c r="L744" s="683"/>
      <c r="M744" s="683"/>
      <c r="AK744" s="481"/>
      <c r="AL744" s="491" t="s">
        <v>2443</v>
      </c>
    </row>
    <row r="745" spans="1:38" s="454" customFormat="1" ht="15" x14ac:dyDescent="0.25">
      <c r="A745" s="2688" t="s">
        <v>2377</v>
      </c>
      <c r="B745" s="2689"/>
      <c r="C745" s="2689"/>
      <c r="D745" s="2689"/>
      <c r="E745" s="2689"/>
      <c r="F745" s="2689"/>
      <c r="G745" s="2689"/>
      <c r="H745" s="2690"/>
      <c r="I745" s="682">
        <v>-66961</v>
      </c>
      <c r="J745" s="682"/>
      <c r="K745" s="682"/>
      <c r="L745" s="683"/>
      <c r="M745" s="683"/>
      <c r="AK745" s="481"/>
      <c r="AL745" s="491" t="s">
        <v>2377</v>
      </c>
    </row>
    <row r="746" spans="1:38" s="454" customFormat="1" ht="15" x14ac:dyDescent="0.25">
      <c r="A746" s="2688" t="s">
        <v>2462</v>
      </c>
      <c r="B746" s="2689"/>
      <c r="C746" s="2689"/>
      <c r="D746" s="2689"/>
      <c r="E746" s="2689"/>
      <c r="F746" s="2689"/>
      <c r="G746" s="2689"/>
      <c r="H746" s="2690"/>
      <c r="I746" s="682">
        <v>-10068</v>
      </c>
      <c r="J746" s="682"/>
      <c r="K746" s="682"/>
      <c r="L746" s="683"/>
      <c r="M746" s="683"/>
      <c r="AK746" s="481"/>
      <c r="AL746" s="491" t="s">
        <v>2462</v>
      </c>
    </row>
    <row r="747" spans="1:38" s="454" customFormat="1" ht="15" x14ac:dyDescent="0.25">
      <c r="A747" s="2688" t="s">
        <v>2379</v>
      </c>
      <c r="B747" s="2689"/>
      <c r="C747" s="2689"/>
      <c r="D747" s="2689"/>
      <c r="E747" s="2689"/>
      <c r="F747" s="2689"/>
      <c r="G747" s="2689"/>
      <c r="H747" s="2690"/>
      <c r="I747" s="682">
        <v>-146</v>
      </c>
      <c r="J747" s="682"/>
      <c r="K747" s="682"/>
      <c r="L747" s="683"/>
      <c r="M747" s="683"/>
      <c r="AK747" s="481"/>
      <c r="AL747" s="491" t="s">
        <v>2379</v>
      </c>
    </row>
    <row r="748" spans="1:38" s="454" customFormat="1" ht="15" x14ac:dyDescent="0.25">
      <c r="A748" s="2688" t="s">
        <v>2380</v>
      </c>
      <c r="B748" s="2689"/>
      <c r="C748" s="2689"/>
      <c r="D748" s="2689"/>
      <c r="E748" s="2689"/>
      <c r="F748" s="2689"/>
      <c r="G748" s="2689"/>
      <c r="H748" s="2690"/>
      <c r="I748" s="682">
        <v>-586</v>
      </c>
      <c r="J748" s="682"/>
      <c r="K748" s="682"/>
      <c r="L748" s="683"/>
      <c r="M748" s="683"/>
      <c r="AK748" s="481"/>
      <c r="AL748" s="491" t="s">
        <v>2380</v>
      </c>
    </row>
    <row r="749" spans="1:38" s="454" customFormat="1" ht="15" x14ac:dyDescent="0.25">
      <c r="A749" s="2685" t="s">
        <v>921</v>
      </c>
      <c r="B749" s="2686"/>
      <c r="C749" s="2686"/>
      <c r="D749" s="2686"/>
      <c r="E749" s="2686"/>
      <c r="F749" s="2686"/>
      <c r="G749" s="2686"/>
      <c r="H749" s="2687"/>
      <c r="I749" s="661"/>
      <c r="J749" s="661"/>
      <c r="K749" s="661"/>
      <c r="L749" s="681"/>
      <c r="M749" s="681"/>
      <c r="AK749" s="481" t="s">
        <v>921</v>
      </c>
    </row>
    <row r="750" spans="1:38" s="454" customFormat="1" ht="15" x14ac:dyDescent="0.25">
      <c r="A750" s="2688" t="s">
        <v>1685</v>
      </c>
      <c r="B750" s="2689"/>
      <c r="C750" s="2689"/>
      <c r="D750" s="2689"/>
      <c r="E750" s="2689"/>
      <c r="F750" s="2689"/>
      <c r="G750" s="2689"/>
      <c r="H750" s="2690"/>
      <c r="I750" s="682"/>
      <c r="J750" s="682"/>
      <c r="K750" s="682"/>
      <c r="L750" s="683"/>
      <c r="M750" s="683"/>
      <c r="AK750" s="481"/>
      <c r="AL750" s="491" t="s">
        <v>1685</v>
      </c>
    </row>
    <row r="751" spans="1:38" s="454" customFormat="1" ht="15" x14ac:dyDescent="0.25">
      <c r="A751" s="2688" t="s">
        <v>1686</v>
      </c>
      <c r="B751" s="2689"/>
      <c r="C751" s="2689"/>
      <c r="D751" s="2689"/>
      <c r="E751" s="2689"/>
      <c r="F751" s="2689"/>
      <c r="G751" s="2689"/>
      <c r="H751" s="2690"/>
      <c r="I751" s="682"/>
      <c r="J751" s="682"/>
      <c r="K751" s="682"/>
      <c r="L751" s="683"/>
      <c r="M751" s="683"/>
      <c r="AK751" s="481"/>
      <c r="AL751" s="491" t="s">
        <v>1686</v>
      </c>
    </row>
    <row r="752" spans="1:38" s="454" customFormat="1" ht="15" x14ac:dyDescent="0.25">
      <c r="A752" s="2688" t="s">
        <v>2463</v>
      </c>
      <c r="B752" s="2689"/>
      <c r="C752" s="2689"/>
      <c r="D752" s="2689"/>
      <c r="E752" s="2689"/>
      <c r="F752" s="2689"/>
      <c r="G752" s="2689"/>
      <c r="H752" s="2690"/>
      <c r="I752" s="682">
        <v>-76238</v>
      </c>
      <c r="J752" s="682"/>
      <c r="K752" s="682"/>
      <c r="L752" s="683"/>
      <c r="M752" s="683"/>
      <c r="AK752" s="481"/>
      <c r="AL752" s="491" t="s">
        <v>2463</v>
      </c>
    </row>
    <row r="753" spans="1:38" s="454" customFormat="1" ht="15" x14ac:dyDescent="0.25">
      <c r="A753" s="2688" t="s">
        <v>2382</v>
      </c>
      <c r="B753" s="2689"/>
      <c r="C753" s="2689"/>
      <c r="D753" s="2689"/>
      <c r="E753" s="2689"/>
      <c r="F753" s="2689"/>
      <c r="G753" s="2689"/>
      <c r="H753" s="2690"/>
      <c r="I753" s="682"/>
      <c r="J753" s="682"/>
      <c r="K753" s="682"/>
      <c r="L753" s="683"/>
      <c r="M753" s="683"/>
      <c r="AK753" s="481"/>
      <c r="AL753" s="491" t="s">
        <v>2382</v>
      </c>
    </row>
    <row r="754" spans="1:38" s="454" customFormat="1" ht="22.5" x14ac:dyDescent="0.25">
      <c r="A754" s="2688" t="s">
        <v>2383</v>
      </c>
      <c r="B754" s="2689"/>
      <c r="C754" s="2689"/>
      <c r="D754" s="2689"/>
      <c r="E754" s="2689"/>
      <c r="F754" s="2689"/>
      <c r="G754" s="2689"/>
      <c r="H754" s="2690"/>
      <c r="I754" s="682">
        <v>-80982</v>
      </c>
      <c r="J754" s="682">
        <v>-80444</v>
      </c>
      <c r="K754" s="682" t="s">
        <v>1707</v>
      </c>
      <c r="L754" s="683"/>
      <c r="M754" s="684">
        <v>-7206.79</v>
      </c>
      <c r="AK754" s="481"/>
      <c r="AL754" s="491" t="s">
        <v>2383</v>
      </c>
    </row>
    <row r="755" spans="1:38" s="454" customFormat="1" ht="15" x14ac:dyDescent="0.25">
      <c r="A755" s="2688" t="s">
        <v>2384</v>
      </c>
      <c r="B755" s="2689"/>
      <c r="C755" s="2689"/>
      <c r="D755" s="2689"/>
      <c r="E755" s="2689"/>
      <c r="F755" s="2689"/>
      <c r="G755" s="2689"/>
      <c r="H755" s="2690"/>
      <c r="I755" s="682">
        <v>-64385</v>
      </c>
      <c r="J755" s="682"/>
      <c r="K755" s="682"/>
      <c r="L755" s="683"/>
      <c r="M755" s="683"/>
      <c r="AK755" s="481"/>
      <c r="AL755" s="491" t="s">
        <v>2384</v>
      </c>
    </row>
    <row r="756" spans="1:38" s="454" customFormat="1" ht="15" x14ac:dyDescent="0.25">
      <c r="A756" s="2688" t="s">
        <v>2385</v>
      </c>
      <c r="B756" s="2689"/>
      <c r="C756" s="2689"/>
      <c r="D756" s="2689"/>
      <c r="E756" s="2689"/>
      <c r="F756" s="2689"/>
      <c r="G756" s="2689"/>
      <c r="H756" s="2690"/>
      <c r="I756" s="682">
        <v>-36216</v>
      </c>
      <c r="J756" s="682"/>
      <c r="K756" s="682"/>
      <c r="L756" s="683"/>
      <c r="M756" s="683"/>
      <c r="AK756" s="481"/>
      <c r="AL756" s="491" t="s">
        <v>2385</v>
      </c>
    </row>
    <row r="757" spans="1:38" s="454" customFormat="1" ht="15" x14ac:dyDescent="0.25">
      <c r="A757" s="2688" t="s">
        <v>1694</v>
      </c>
      <c r="B757" s="2689"/>
      <c r="C757" s="2689"/>
      <c r="D757" s="2689"/>
      <c r="E757" s="2689"/>
      <c r="F757" s="2689"/>
      <c r="G757" s="2689"/>
      <c r="H757" s="2690"/>
      <c r="I757" s="682">
        <v>-181583</v>
      </c>
      <c r="J757" s="682"/>
      <c r="K757" s="682"/>
      <c r="L757" s="683"/>
      <c r="M757" s="684">
        <v>-7206.79</v>
      </c>
      <c r="AK757" s="481"/>
      <c r="AL757" s="491" t="s">
        <v>1694</v>
      </c>
    </row>
    <row r="758" spans="1:38" s="454" customFormat="1" ht="15" x14ac:dyDescent="0.25">
      <c r="A758" s="2688" t="s">
        <v>2386</v>
      </c>
      <c r="B758" s="2689"/>
      <c r="C758" s="2689"/>
      <c r="D758" s="2689"/>
      <c r="E758" s="2689"/>
      <c r="F758" s="2689"/>
      <c r="G758" s="2689"/>
      <c r="H758" s="2690"/>
      <c r="I758" s="682"/>
      <c r="J758" s="682"/>
      <c r="K758" s="682"/>
      <c r="L758" s="683"/>
      <c r="M758" s="683"/>
      <c r="AK758" s="481"/>
      <c r="AL758" s="491" t="s">
        <v>2386</v>
      </c>
    </row>
    <row r="759" spans="1:38" s="454" customFormat="1" ht="22.5" x14ac:dyDescent="0.25">
      <c r="A759" s="2688" t="s">
        <v>2387</v>
      </c>
      <c r="B759" s="2689"/>
      <c r="C759" s="2689"/>
      <c r="D759" s="2689"/>
      <c r="E759" s="2689"/>
      <c r="F759" s="2689"/>
      <c r="G759" s="2689"/>
      <c r="H759" s="2690"/>
      <c r="I759" s="682">
        <v>-388</v>
      </c>
      <c r="J759" s="682">
        <v>-211</v>
      </c>
      <c r="K759" s="682" t="s">
        <v>1727</v>
      </c>
      <c r="L759" s="683"/>
      <c r="M759" s="684">
        <v>-24.76</v>
      </c>
      <c r="AK759" s="481"/>
      <c r="AL759" s="491" t="s">
        <v>2387</v>
      </c>
    </row>
    <row r="760" spans="1:38" s="454" customFormat="1" ht="15" x14ac:dyDescent="0.25">
      <c r="A760" s="2688" t="s">
        <v>2388</v>
      </c>
      <c r="B760" s="2689"/>
      <c r="C760" s="2689"/>
      <c r="D760" s="2689"/>
      <c r="E760" s="2689"/>
      <c r="F760" s="2689"/>
      <c r="G760" s="2689"/>
      <c r="H760" s="2690"/>
      <c r="I760" s="682">
        <v>-236</v>
      </c>
      <c r="J760" s="682"/>
      <c r="K760" s="682"/>
      <c r="L760" s="683"/>
      <c r="M760" s="683"/>
      <c r="AK760" s="481"/>
      <c r="AL760" s="491" t="s">
        <v>2388</v>
      </c>
    </row>
    <row r="761" spans="1:38" s="454" customFormat="1" ht="15" x14ac:dyDescent="0.25">
      <c r="A761" s="2688" t="s">
        <v>2389</v>
      </c>
      <c r="B761" s="2689"/>
      <c r="C761" s="2689"/>
      <c r="D761" s="2689"/>
      <c r="E761" s="2689"/>
      <c r="F761" s="2689"/>
      <c r="G761" s="2689"/>
      <c r="H761" s="2690"/>
      <c r="I761" s="682">
        <v>-146</v>
      </c>
      <c r="J761" s="682"/>
      <c r="K761" s="682"/>
      <c r="L761" s="683"/>
      <c r="M761" s="683"/>
      <c r="AK761" s="481"/>
      <c r="AL761" s="491" t="s">
        <v>2389</v>
      </c>
    </row>
    <row r="762" spans="1:38" s="454" customFormat="1" ht="15" x14ac:dyDescent="0.25">
      <c r="A762" s="2688" t="s">
        <v>1694</v>
      </c>
      <c r="B762" s="2689"/>
      <c r="C762" s="2689"/>
      <c r="D762" s="2689"/>
      <c r="E762" s="2689"/>
      <c r="F762" s="2689"/>
      <c r="G762" s="2689"/>
      <c r="H762" s="2690"/>
      <c r="I762" s="682">
        <v>-770</v>
      </c>
      <c r="J762" s="682"/>
      <c r="K762" s="682"/>
      <c r="L762" s="683"/>
      <c r="M762" s="684">
        <v>-24.76</v>
      </c>
      <c r="AK762" s="481"/>
      <c r="AL762" s="491" t="s">
        <v>1694</v>
      </c>
    </row>
    <row r="763" spans="1:38" s="454" customFormat="1" ht="15" x14ac:dyDescent="0.25">
      <c r="A763" s="2688" t="s">
        <v>2391</v>
      </c>
      <c r="B763" s="2689"/>
      <c r="C763" s="2689"/>
      <c r="D763" s="2689"/>
      <c r="E763" s="2689"/>
      <c r="F763" s="2689"/>
      <c r="G763" s="2689"/>
      <c r="H763" s="2690"/>
      <c r="I763" s="682"/>
      <c r="J763" s="682"/>
      <c r="K763" s="682"/>
      <c r="L763" s="683"/>
      <c r="M763" s="683"/>
      <c r="AK763" s="481"/>
      <c r="AL763" s="491" t="s">
        <v>2391</v>
      </c>
    </row>
    <row r="764" spans="1:38" s="454" customFormat="1" ht="22.5" x14ac:dyDescent="0.25">
      <c r="A764" s="2688" t="s">
        <v>2392</v>
      </c>
      <c r="B764" s="2689"/>
      <c r="C764" s="2689"/>
      <c r="D764" s="2689"/>
      <c r="E764" s="2689"/>
      <c r="F764" s="2689"/>
      <c r="G764" s="2689"/>
      <c r="H764" s="2690"/>
      <c r="I764" s="682">
        <v>-1716</v>
      </c>
      <c r="J764" s="682">
        <v>-590</v>
      </c>
      <c r="K764" s="682" t="s">
        <v>2393</v>
      </c>
      <c r="L764" s="683"/>
      <c r="M764" s="684">
        <v>-57.45</v>
      </c>
      <c r="AK764" s="481"/>
      <c r="AL764" s="491" t="s">
        <v>2392</v>
      </c>
    </row>
    <row r="765" spans="1:38" s="454" customFormat="1" ht="15" x14ac:dyDescent="0.25">
      <c r="A765" s="2688" t="s">
        <v>2394</v>
      </c>
      <c r="B765" s="2689"/>
      <c r="C765" s="2689"/>
      <c r="D765" s="2689"/>
      <c r="E765" s="2689"/>
      <c r="F765" s="2689"/>
      <c r="G765" s="2689"/>
      <c r="H765" s="2690"/>
      <c r="I765" s="682">
        <v>-620</v>
      </c>
      <c r="J765" s="682"/>
      <c r="K765" s="682"/>
      <c r="L765" s="683"/>
      <c r="M765" s="683"/>
      <c r="AK765" s="481"/>
      <c r="AL765" s="491" t="s">
        <v>2394</v>
      </c>
    </row>
    <row r="766" spans="1:38" s="454" customFormat="1" ht="15" x14ac:dyDescent="0.25">
      <c r="A766" s="2688" t="s">
        <v>2395</v>
      </c>
      <c r="B766" s="2689"/>
      <c r="C766" s="2689"/>
      <c r="D766" s="2689"/>
      <c r="E766" s="2689"/>
      <c r="F766" s="2689"/>
      <c r="G766" s="2689"/>
      <c r="H766" s="2690"/>
      <c r="I766" s="682">
        <v>-586</v>
      </c>
      <c r="J766" s="682"/>
      <c r="K766" s="682"/>
      <c r="L766" s="683"/>
      <c r="M766" s="683"/>
      <c r="AK766" s="481"/>
      <c r="AL766" s="491" t="s">
        <v>2395</v>
      </c>
    </row>
    <row r="767" spans="1:38" s="454" customFormat="1" ht="15" x14ac:dyDescent="0.25">
      <c r="A767" s="2688" t="s">
        <v>1694</v>
      </c>
      <c r="B767" s="2689"/>
      <c r="C767" s="2689"/>
      <c r="D767" s="2689"/>
      <c r="E767" s="2689"/>
      <c r="F767" s="2689"/>
      <c r="G767" s="2689"/>
      <c r="H767" s="2690"/>
      <c r="I767" s="682">
        <v>-2922</v>
      </c>
      <c r="J767" s="682"/>
      <c r="K767" s="682"/>
      <c r="L767" s="683"/>
      <c r="M767" s="684">
        <v>-57.45</v>
      </c>
      <c r="AK767" s="481"/>
      <c r="AL767" s="491" t="s">
        <v>1694</v>
      </c>
    </row>
    <row r="768" spans="1:38" s="454" customFormat="1" ht="15" x14ac:dyDescent="0.25">
      <c r="A768" s="2688" t="s">
        <v>2396</v>
      </c>
      <c r="B768" s="2689"/>
      <c r="C768" s="2689"/>
      <c r="D768" s="2689"/>
      <c r="E768" s="2689"/>
      <c r="F768" s="2689"/>
      <c r="G768" s="2689"/>
      <c r="H768" s="2690"/>
      <c r="I768" s="682"/>
      <c r="J768" s="682"/>
      <c r="K768" s="682"/>
      <c r="L768" s="683"/>
      <c r="M768" s="683"/>
      <c r="AK768" s="481"/>
      <c r="AL768" s="491" t="s">
        <v>2396</v>
      </c>
    </row>
    <row r="769" spans="1:38" s="454" customFormat="1" ht="15" x14ac:dyDescent="0.25">
      <c r="A769" s="2688" t="s">
        <v>2397</v>
      </c>
      <c r="B769" s="2689"/>
      <c r="C769" s="2689"/>
      <c r="D769" s="2689"/>
      <c r="E769" s="2689"/>
      <c r="F769" s="2689"/>
      <c r="G769" s="2689"/>
      <c r="H769" s="2690"/>
      <c r="I769" s="682">
        <v>-1541928</v>
      </c>
      <c r="J769" s="682"/>
      <c r="K769" s="682"/>
      <c r="L769" s="683"/>
      <c r="M769" s="683"/>
      <c r="AK769" s="481"/>
      <c r="AL769" s="491" t="s">
        <v>2397</v>
      </c>
    </row>
    <row r="770" spans="1:38" s="454" customFormat="1" ht="15" x14ac:dyDescent="0.25">
      <c r="A770" s="2688" t="s">
        <v>2398</v>
      </c>
      <c r="B770" s="2689"/>
      <c r="C770" s="2689"/>
      <c r="D770" s="2689"/>
      <c r="E770" s="2689"/>
      <c r="F770" s="2689"/>
      <c r="G770" s="2689"/>
      <c r="H770" s="2690"/>
      <c r="I770" s="682"/>
      <c r="J770" s="682"/>
      <c r="K770" s="682"/>
      <c r="L770" s="683"/>
      <c r="M770" s="683"/>
      <c r="AK770" s="481"/>
      <c r="AL770" s="491" t="s">
        <v>2398</v>
      </c>
    </row>
    <row r="771" spans="1:38" s="454" customFormat="1" ht="22.5" x14ac:dyDescent="0.25">
      <c r="A771" s="2688" t="s">
        <v>2399</v>
      </c>
      <c r="B771" s="2689"/>
      <c r="C771" s="2689"/>
      <c r="D771" s="2689"/>
      <c r="E771" s="2689"/>
      <c r="F771" s="2689"/>
      <c r="G771" s="2689"/>
      <c r="H771" s="2690"/>
      <c r="I771" s="682">
        <v>-1093026</v>
      </c>
      <c r="J771" s="682">
        <v>-85184</v>
      </c>
      <c r="K771" s="682" t="s">
        <v>2400</v>
      </c>
      <c r="L771" s="683"/>
      <c r="M771" s="700">
        <v>-8858.2000000000007</v>
      </c>
      <c r="AK771" s="481"/>
      <c r="AL771" s="491" t="s">
        <v>2399</v>
      </c>
    </row>
    <row r="772" spans="1:38" s="454" customFormat="1" ht="15" x14ac:dyDescent="0.25">
      <c r="A772" s="2688" t="s">
        <v>2401</v>
      </c>
      <c r="B772" s="2689"/>
      <c r="C772" s="2689"/>
      <c r="D772" s="2689"/>
      <c r="E772" s="2689"/>
      <c r="F772" s="2689"/>
      <c r="G772" s="2689"/>
      <c r="H772" s="2690"/>
      <c r="I772" s="682">
        <v>-147052</v>
      </c>
      <c r="J772" s="682"/>
      <c r="K772" s="682"/>
      <c r="L772" s="683"/>
      <c r="M772" s="683"/>
      <c r="AK772" s="481"/>
      <c r="AL772" s="491" t="s">
        <v>2401</v>
      </c>
    </row>
    <row r="773" spans="1:38" s="454" customFormat="1" ht="15" x14ac:dyDescent="0.25">
      <c r="A773" s="2688" t="s">
        <v>2402</v>
      </c>
      <c r="B773" s="2689"/>
      <c r="C773" s="2689"/>
      <c r="D773" s="2689"/>
      <c r="E773" s="2689"/>
      <c r="F773" s="2689"/>
      <c r="G773" s="2689"/>
      <c r="H773" s="2690"/>
      <c r="I773" s="682">
        <v>-66961</v>
      </c>
      <c r="J773" s="682"/>
      <c r="K773" s="682"/>
      <c r="L773" s="683"/>
      <c r="M773" s="683"/>
      <c r="AK773" s="481"/>
      <c r="AL773" s="491" t="s">
        <v>2402</v>
      </c>
    </row>
    <row r="774" spans="1:38" s="454" customFormat="1" ht="15" x14ac:dyDescent="0.25">
      <c r="A774" s="2688" t="s">
        <v>1694</v>
      </c>
      <c r="B774" s="2689"/>
      <c r="C774" s="2689"/>
      <c r="D774" s="2689"/>
      <c r="E774" s="2689"/>
      <c r="F774" s="2689"/>
      <c r="G774" s="2689"/>
      <c r="H774" s="2690"/>
      <c r="I774" s="682">
        <v>-1307039</v>
      </c>
      <c r="J774" s="682"/>
      <c r="K774" s="682"/>
      <c r="L774" s="683"/>
      <c r="M774" s="700">
        <v>-8858.2000000000007</v>
      </c>
      <c r="AK774" s="481"/>
      <c r="AL774" s="491" t="s">
        <v>1694</v>
      </c>
    </row>
    <row r="775" spans="1:38" s="454" customFormat="1" ht="15" x14ac:dyDescent="0.25">
      <c r="A775" s="2688" t="s">
        <v>2403</v>
      </c>
      <c r="B775" s="2689"/>
      <c r="C775" s="2689"/>
      <c r="D775" s="2689"/>
      <c r="E775" s="2689"/>
      <c r="F775" s="2689"/>
      <c r="G775" s="2689"/>
      <c r="H775" s="2690"/>
      <c r="I775" s="682"/>
      <c r="J775" s="682"/>
      <c r="K775" s="682"/>
      <c r="L775" s="683"/>
      <c r="M775" s="683"/>
      <c r="AK775" s="481"/>
      <c r="AL775" s="491" t="s">
        <v>2403</v>
      </c>
    </row>
    <row r="776" spans="1:38" s="454" customFormat="1" ht="22.5" x14ac:dyDescent="0.25">
      <c r="A776" s="2688" t="s">
        <v>2404</v>
      </c>
      <c r="B776" s="2689"/>
      <c r="C776" s="2689"/>
      <c r="D776" s="2689"/>
      <c r="E776" s="2689"/>
      <c r="F776" s="2689"/>
      <c r="G776" s="2689"/>
      <c r="H776" s="2690"/>
      <c r="I776" s="682">
        <v>-73206</v>
      </c>
      <c r="J776" s="682">
        <v>-9817</v>
      </c>
      <c r="K776" s="682" t="s">
        <v>2405</v>
      </c>
      <c r="L776" s="683"/>
      <c r="M776" s="684">
        <v>-1020.53</v>
      </c>
      <c r="AK776" s="481"/>
      <c r="AL776" s="491" t="s">
        <v>2404</v>
      </c>
    </row>
    <row r="777" spans="1:38" s="454" customFormat="1" ht="15" x14ac:dyDescent="0.25">
      <c r="A777" s="2688" t="s">
        <v>2406</v>
      </c>
      <c r="B777" s="2689"/>
      <c r="C777" s="2689"/>
      <c r="D777" s="2689"/>
      <c r="E777" s="2689"/>
      <c r="F777" s="2689"/>
      <c r="G777" s="2689"/>
      <c r="H777" s="2690"/>
      <c r="I777" s="682">
        <v>-13709</v>
      </c>
      <c r="J777" s="682"/>
      <c r="K777" s="682"/>
      <c r="L777" s="683"/>
      <c r="M777" s="683"/>
      <c r="AK777" s="481"/>
      <c r="AL777" s="491" t="s">
        <v>2406</v>
      </c>
    </row>
    <row r="778" spans="1:38" s="454" customFormat="1" ht="15" x14ac:dyDescent="0.25">
      <c r="A778" s="2688" t="s">
        <v>2407</v>
      </c>
      <c r="B778" s="2689"/>
      <c r="C778" s="2689"/>
      <c r="D778" s="2689"/>
      <c r="E778" s="2689"/>
      <c r="F778" s="2689"/>
      <c r="G778" s="2689"/>
      <c r="H778" s="2690"/>
      <c r="I778" s="682">
        <v>-9455</v>
      </c>
      <c r="J778" s="682"/>
      <c r="K778" s="682"/>
      <c r="L778" s="683"/>
      <c r="M778" s="683"/>
      <c r="AK778" s="481"/>
      <c r="AL778" s="491" t="s">
        <v>2407</v>
      </c>
    </row>
    <row r="779" spans="1:38" s="454" customFormat="1" ht="15" x14ac:dyDescent="0.25">
      <c r="A779" s="2688" t="s">
        <v>1694</v>
      </c>
      <c r="B779" s="2689"/>
      <c r="C779" s="2689"/>
      <c r="D779" s="2689"/>
      <c r="E779" s="2689"/>
      <c r="F779" s="2689"/>
      <c r="G779" s="2689"/>
      <c r="H779" s="2690"/>
      <c r="I779" s="682">
        <v>-96370</v>
      </c>
      <c r="J779" s="682"/>
      <c r="K779" s="682"/>
      <c r="L779" s="683"/>
      <c r="M779" s="684">
        <v>-1020.53</v>
      </c>
      <c r="AK779" s="481"/>
      <c r="AL779" s="491" t="s">
        <v>1694</v>
      </c>
    </row>
    <row r="780" spans="1:38" s="454" customFormat="1" ht="15" x14ac:dyDescent="0.25">
      <c r="A780" s="2688" t="s">
        <v>2464</v>
      </c>
      <c r="B780" s="2689"/>
      <c r="C780" s="2689"/>
      <c r="D780" s="2689"/>
      <c r="E780" s="2689"/>
      <c r="F780" s="2689"/>
      <c r="G780" s="2689"/>
      <c r="H780" s="2690"/>
      <c r="I780" s="682"/>
      <c r="J780" s="682"/>
      <c r="K780" s="682"/>
      <c r="L780" s="683"/>
      <c r="M780" s="683"/>
      <c r="AK780" s="481"/>
      <c r="AL780" s="491" t="s">
        <v>2464</v>
      </c>
    </row>
    <row r="781" spans="1:38" s="454" customFormat="1" ht="15" x14ac:dyDescent="0.25">
      <c r="A781" s="2688" t="s">
        <v>2465</v>
      </c>
      <c r="B781" s="2689"/>
      <c r="C781" s="2689"/>
      <c r="D781" s="2689"/>
      <c r="E781" s="2689"/>
      <c r="F781" s="2689"/>
      <c r="G781" s="2689"/>
      <c r="H781" s="2690"/>
      <c r="I781" s="682">
        <v>-581</v>
      </c>
      <c r="J781" s="682">
        <v>-581</v>
      </c>
      <c r="K781" s="682"/>
      <c r="L781" s="683"/>
      <c r="M781" s="684">
        <v>-74.430000000000007</v>
      </c>
      <c r="AK781" s="481"/>
      <c r="AL781" s="491" t="s">
        <v>2465</v>
      </c>
    </row>
    <row r="782" spans="1:38" s="454" customFormat="1" ht="15" x14ac:dyDescent="0.25">
      <c r="A782" s="2688" t="s">
        <v>2466</v>
      </c>
      <c r="B782" s="2689"/>
      <c r="C782" s="2689"/>
      <c r="D782" s="2689"/>
      <c r="E782" s="2689"/>
      <c r="F782" s="2689"/>
      <c r="G782" s="2689"/>
      <c r="H782" s="2690"/>
      <c r="I782" s="682">
        <v>-465</v>
      </c>
      <c r="J782" s="682"/>
      <c r="K782" s="682"/>
      <c r="L782" s="683"/>
      <c r="M782" s="683"/>
      <c r="AK782" s="481"/>
      <c r="AL782" s="491" t="s">
        <v>2466</v>
      </c>
    </row>
    <row r="783" spans="1:38" s="454" customFormat="1" ht="15" x14ac:dyDescent="0.25">
      <c r="A783" s="2688" t="s">
        <v>2467</v>
      </c>
      <c r="B783" s="2689"/>
      <c r="C783" s="2689"/>
      <c r="D783" s="2689"/>
      <c r="E783" s="2689"/>
      <c r="F783" s="2689"/>
      <c r="G783" s="2689"/>
      <c r="H783" s="2690"/>
      <c r="I783" s="682">
        <v>-261</v>
      </c>
      <c r="J783" s="682"/>
      <c r="K783" s="682"/>
      <c r="L783" s="683"/>
      <c r="M783" s="683"/>
      <c r="AK783" s="481"/>
      <c r="AL783" s="491" t="s">
        <v>2467</v>
      </c>
    </row>
    <row r="784" spans="1:38" s="454" customFormat="1" ht="15" x14ac:dyDescent="0.25">
      <c r="A784" s="2688" t="s">
        <v>1694</v>
      </c>
      <c r="B784" s="2689"/>
      <c r="C784" s="2689"/>
      <c r="D784" s="2689"/>
      <c r="E784" s="2689"/>
      <c r="F784" s="2689"/>
      <c r="G784" s="2689"/>
      <c r="H784" s="2690"/>
      <c r="I784" s="682">
        <v>-1307</v>
      </c>
      <c r="J784" s="682"/>
      <c r="K784" s="682"/>
      <c r="L784" s="683"/>
      <c r="M784" s="684">
        <v>-74.430000000000007</v>
      </c>
      <c r="AK784" s="481"/>
      <c r="AL784" s="491" t="s">
        <v>1694</v>
      </c>
    </row>
    <row r="785" spans="1:38" s="454" customFormat="1" ht="15" x14ac:dyDescent="0.25">
      <c r="A785" s="2688" t="s">
        <v>2468</v>
      </c>
      <c r="B785" s="2689"/>
      <c r="C785" s="2689"/>
      <c r="D785" s="2689"/>
      <c r="E785" s="2689"/>
      <c r="F785" s="2689"/>
      <c r="G785" s="2689"/>
      <c r="H785" s="2690"/>
      <c r="I785" s="682"/>
      <c r="J785" s="682"/>
      <c r="K785" s="682"/>
      <c r="L785" s="683"/>
      <c r="M785" s="683"/>
      <c r="AK785" s="481"/>
      <c r="AL785" s="491" t="s">
        <v>2468</v>
      </c>
    </row>
    <row r="786" spans="1:38" s="454" customFormat="1" ht="22.5" x14ac:dyDescent="0.25">
      <c r="A786" s="2688" t="s">
        <v>2469</v>
      </c>
      <c r="B786" s="2689"/>
      <c r="C786" s="2689"/>
      <c r="D786" s="2689"/>
      <c r="E786" s="2689"/>
      <c r="F786" s="2689"/>
      <c r="G786" s="2689"/>
      <c r="H786" s="2690"/>
      <c r="I786" s="682">
        <v>-135</v>
      </c>
      <c r="J786" s="682"/>
      <c r="K786" s="682" t="s">
        <v>2428</v>
      </c>
      <c r="L786" s="683"/>
      <c r="M786" s="683"/>
      <c r="AK786" s="481"/>
      <c r="AL786" s="491" t="s">
        <v>2469</v>
      </c>
    </row>
    <row r="787" spans="1:38" s="454" customFormat="1" ht="15" x14ac:dyDescent="0.25">
      <c r="A787" s="2688" t="s">
        <v>2470</v>
      </c>
      <c r="B787" s="2689"/>
      <c r="C787" s="2689"/>
      <c r="D787" s="2689"/>
      <c r="E787" s="2689"/>
      <c r="F787" s="2689"/>
      <c r="G787" s="2689"/>
      <c r="H787" s="2690"/>
      <c r="I787" s="682">
        <v>-17</v>
      </c>
      <c r="J787" s="682"/>
      <c r="K787" s="682"/>
      <c r="L787" s="683"/>
      <c r="M787" s="683"/>
      <c r="AK787" s="481"/>
      <c r="AL787" s="491" t="s">
        <v>2470</v>
      </c>
    </row>
    <row r="788" spans="1:38" s="454" customFormat="1" ht="15" x14ac:dyDescent="0.25">
      <c r="A788" s="2688" t="s">
        <v>2471</v>
      </c>
      <c r="B788" s="2689"/>
      <c r="C788" s="2689"/>
      <c r="D788" s="2689"/>
      <c r="E788" s="2689"/>
      <c r="F788" s="2689"/>
      <c r="G788" s="2689"/>
      <c r="H788" s="2690"/>
      <c r="I788" s="682">
        <v>-9</v>
      </c>
      <c r="J788" s="682"/>
      <c r="K788" s="682"/>
      <c r="L788" s="683"/>
      <c r="M788" s="683"/>
      <c r="AK788" s="481"/>
      <c r="AL788" s="491" t="s">
        <v>2471</v>
      </c>
    </row>
    <row r="789" spans="1:38" s="454" customFormat="1" ht="15" x14ac:dyDescent="0.25">
      <c r="A789" s="2688" t="s">
        <v>1694</v>
      </c>
      <c r="B789" s="2689"/>
      <c r="C789" s="2689"/>
      <c r="D789" s="2689"/>
      <c r="E789" s="2689"/>
      <c r="F789" s="2689"/>
      <c r="G789" s="2689"/>
      <c r="H789" s="2690"/>
      <c r="I789" s="682">
        <v>-161</v>
      </c>
      <c r="J789" s="682"/>
      <c r="K789" s="682"/>
      <c r="L789" s="683"/>
      <c r="M789" s="683"/>
      <c r="AK789" s="481"/>
      <c r="AL789" s="491" t="s">
        <v>1694</v>
      </c>
    </row>
    <row r="790" spans="1:38" s="454" customFormat="1" ht="15" x14ac:dyDescent="0.25">
      <c r="A790" s="2688" t="s">
        <v>2472</v>
      </c>
      <c r="B790" s="2689"/>
      <c r="C790" s="2689"/>
      <c r="D790" s="2689"/>
      <c r="E790" s="2689"/>
      <c r="F790" s="2689"/>
      <c r="G790" s="2689"/>
      <c r="H790" s="2690"/>
      <c r="I790" s="682"/>
      <c r="J790" s="682"/>
      <c r="K790" s="682"/>
      <c r="L790" s="683"/>
      <c r="M790" s="683"/>
      <c r="AK790" s="481"/>
      <c r="AL790" s="491" t="s">
        <v>2472</v>
      </c>
    </row>
    <row r="791" spans="1:38" s="454" customFormat="1" ht="15" x14ac:dyDescent="0.25">
      <c r="A791" s="2688" t="s">
        <v>2473</v>
      </c>
      <c r="B791" s="2689"/>
      <c r="C791" s="2689"/>
      <c r="D791" s="2689"/>
      <c r="E791" s="2689"/>
      <c r="F791" s="2689"/>
      <c r="G791" s="2689"/>
      <c r="H791" s="2690"/>
      <c r="I791" s="682">
        <v>-1328</v>
      </c>
      <c r="J791" s="682"/>
      <c r="K791" s="682">
        <v>-1328</v>
      </c>
      <c r="L791" s="683"/>
      <c r="M791" s="683"/>
      <c r="AK791" s="481"/>
      <c r="AL791" s="491" t="s">
        <v>2473</v>
      </c>
    </row>
    <row r="792" spans="1:38" s="454" customFormat="1" ht="15" x14ac:dyDescent="0.25">
      <c r="A792" s="2688" t="s">
        <v>1688</v>
      </c>
      <c r="B792" s="2689"/>
      <c r="C792" s="2689"/>
      <c r="D792" s="2689"/>
      <c r="E792" s="2689"/>
      <c r="F792" s="2689"/>
      <c r="G792" s="2689"/>
      <c r="H792" s="2690"/>
      <c r="I792" s="682">
        <v>-3209646</v>
      </c>
      <c r="J792" s="682"/>
      <c r="K792" s="682"/>
      <c r="L792" s="683"/>
      <c r="M792" s="684">
        <v>-17242.16</v>
      </c>
      <c r="AK792" s="481"/>
      <c r="AL792" s="491" t="s">
        <v>1688</v>
      </c>
    </row>
    <row r="793" spans="1:38" s="454" customFormat="1" ht="15" x14ac:dyDescent="0.25">
      <c r="A793" s="2688" t="s">
        <v>1689</v>
      </c>
      <c r="B793" s="2689"/>
      <c r="C793" s="2689"/>
      <c r="D793" s="2689"/>
      <c r="E793" s="2689"/>
      <c r="F793" s="2689"/>
      <c r="G793" s="2689"/>
      <c r="H793" s="2690"/>
      <c r="I793" s="682"/>
      <c r="J793" s="682"/>
      <c r="K793" s="682"/>
      <c r="L793" s="683"/>
      <c r="M793" s="683"/>
      <c r="AK793" s="481"/>
      <c r="AL793" s="491" t="s">
        <v>1689</v>
      </c>
    </row>
    <row r="794" spans="1:38" s="454" customFormat="1" ht="15" x14ac:dyDescent="0.25">
      <c r="A794" s="2688" t="s">
        <v>1690</v>
      </c>
      <c r="B794" s="2689"/>
      <c r="C794" s="2689"/>
      <c r="D794" s="2689"/>
      <c r="E794" s="2689"/>
      <c r="F794" s="2689"/>
      <c r="G794" s="2689"/>
      <c r="H794" s="2690"/>
      <c r="I794" s="682"/>
      <c r="J794" s="682"/>
      <c r="K794" s="682"/>
      <c r="L794" s="683"/>
      <c r="M794" s="683"/>
      <c r="AK794" s="481"/>
      <c r="AL794" s="491" t="s">
        <v>1690</v>
      </c>
    </row>
    <row r="795" spans="1:38" s="454" customFormat="1" ht="22.5" x14ac:dyDescent="0.25">
      <c r="A795" s="2688" t="s">
        <v>2474</v>
      </c>
      <c r="B795" s="2689"/>
      <c r="C795" s="2689"/>
      <c r="D795" s="2689"/>
      <c r="E795" s="2689"/>
      <c r="F795" s="2689"/>
      <c r="G795" s="2689"/>
      <c r="H795" s="2690"/>
      <c r="I795" s="682">
        <v>-2194</v>
      </c>
      <c r="J795" s="682">
        <v>-864</v>
      </c>
      <c r="K795" s="682" t="s">
        <v>2475</v>
      </c>
      <c r="L795" s="683"/>
      <c r="M795" s="684">
        <v>-105.77</v>
      </c>
      <c r="AK795" s="481"/>
      <c r="AL795" s="491" t="s">
        <v>2474</v>
      </c>
    </row>
    <row r="796" spans="1:38" s="454" customFormat="1" ht="15" x14ac:dyDescent="0.25">
      <c r="A796" s="2688" t="s">
        <v>2476</v>
      </c>
      <c r="B796" s="2689"/>
      <c r="C796" s="2689"/>
      <c r="D796" s="2689"/>
      <c r="E796" s="2689"/>
      <c r="F796" s="2689"/>
      <c r="G796" s="2689"/>
      <c r="H796" s="2690"/>
      <c r="I796" s="682">
        <v>-818</v>
      </c>
      <c r="J796" s="682"/>
      <c r="K796" s="682"/>
      <c r="L796" s="683"/>
      <c r="M796" s="683"/>
      <c r="AK796" s="481"/>
      <c r="AL796" s="491" t="s">
        <v>2476</v>
      </c>
    </row>
    <row r="797" spans="1:38" s="454" customFormat="1" ht="15" x14ac:dyDescent="0.25">
      <c r="A797" s="2688" t="s">
        <v>2477</v>
      </c>
      <c r="B797" s="2689"/>
      <c r="C797" s="2689"/>
      <c r="D797" s="2689"/>
      <c r="E797" s="2689"/>
      <c r="F797" s="2689"/>
      <c r="G797" s="2689"/>
      <c r="H797" s="2690"/>
      <c r="I797" s="682">
        <v>-613</v>
      </c>
      <c r="J797" s="682"/>
      <c r="K797" s="682"/>
      <c r="L797" s="683"/>
      <c r="M797" s="683"/>
      <c r="AK797" s="481"/>
      <c r="AL797" s="491" t="s">
        <v>2477</v>
      </c>
    </row>
    <row r="798" spans="1:38" s="454" customFormat="1" ht="15" x14ac:dyDescent="0.25">
      <c r="A798" s="2688" t="s">
        <v>1694</v>
      </c>
      <c r="B798" s="2689"/>
      <c r="C798" s="2689"/>
      <c r="D798" s="2689"/>
      <c r="E798" s="2689"/>
      <c r="F798" s="2689"/>
      <c r="G798" s="2689"/>
      <c r="H798" s="2690"/>
      <c r="I798" s="682">
        <v>-3625</v>
      </c>
      <c r="J798" s="682"/>
      <c r="K798" s="682"/>
      <c r="L798" s="683"/>
      <c r="M798" s="684">
        <v>-105.77</v>
      </c>
      <c r="AK798" s="481"/>
      <c r="AL798" s="491" t="s">
        <v>1694</v>
      </c>
    </row>
    <row r="799" spans="1:38" s="454" customFormat="1" ht="15" x14ac:dyDescent="0.25">
      <c r="A799" s="2688" t="s">
        <v>1688</v>
      </c>
      <c r="B799" s="2689"/>
      <c r="C799" s="2689"/>
      <c r="D799" s="2689"/>
      <c r="E799" s="2689"/>
      <c r="F799" s="2689"/>
      <c r="G799" s="2689"/>
      <c r="H799" s="2690"/>
      <c r="I799" s="682">
        <v>-3625</v>
      </c>
      <c r="J799" s="682"/>
      <c r="K799" s="682"/>
      <c r="L799" s="683"/>
      <c r="M799" s="684">
        <v>-105.77</v>
      </c>
      <c r="AK799" s="481"/>
      <c r="AL799" s="491" t="s">
        <v>1688</v>
      </c>
    </row>
    <row r="800" spans="1:38" s="454" customFormat="1" ht="15" x14ac:dyDescent="0.25">
      <c r="A800" s="2688" t="s">
        <v>1695</v>
      </c>
      <c r="B800" s="2689"/>
      <c r="C800" s="2689"/>
      <c r="D800" s="2689"/>
      <c r="E800" s="2689"/>
      <c r="F800" s="2689"/>
      <c r="G800" s="2689"/>
      <c r="H800" s="2690"/>
      <c r="I800" s="682">
        <v>-3213271</v>
      </c>
      <c r="J800" s="682"/>
      <c r="K800" s="682"/>
      <c r="L800" s="683"/>
      <c r="M800" s="684">
        <v>-17347.93</v>
      </c>
      <c r="AK800" s="481"/>
      <c r="AL800" s="491" t="s">
        <v>1695</v>
      </c>
    </row>
    <row r="801" spans="1:39" s="454" customFormat="1" ht="15" x14ac:dyDescent="0.25">
      <c r="A801" s="2688" t="s">
        <v>1696</v>
      </c>
      <c r="B801" s="2689"/>
      <c r="C801" s="2689"/>
      <c r="D801" s="2689"/>
      <c r="E801" s="2689"/>
      <c r="F801" s="2689"/>
      <c r="G801" s="2689"/>
      <c r="H801" s="2690"/>
      <c r="I801" s="682"/>
      <c r="J801" s="682"/>
      <c r="K801" s="682"/>
      <c r="L801" s="683"/>
      <c r="M801" s="683"/>
      <c r="AK801" s="481"/>
      <c r="AL801" s="491" t="s">
        <v>1696</v>
      </c>
    </row>
    <row r="802" spans="1:39" s="454" customFormat="1" ht="15" x14ac:dyDescent="0.25">
      <c r="A802" s="2688" t="s">
        <v>1697</v>
      </c>
      <c r="B802" s="2689"/>
      <c r="C802" s="2689"/>
      <c r="D802" s="2689"/>
      <c r="E802" s="2689"/>
      <c r="F802" s="2689"/>
      <c r="G802" s="2689"/>
      <c r="H802" s="2690"/>
      <c r="I802" s="682">
        <v>-1642933</v>
      </c>
      <c r="J802" s="682"/>
      <c r="K802" s="682"/>
      <c r="L802" s="683"/>
      <c r="M802" s="683"/>
      <c r="AK802" s="481"/>
      <c r="AL802" s="491" t="s">
        <v>1697</v>
      </c>
    </row>
    <row r="803" spans="1:39" s="454" customFormat="1" ht="15" x14ac:dyDescent="0.25">
      <c r="A803" s="2688" t="s">
        <v>1698</v>
      </c>
      <c r="B803" s="2689"/>
      <c r="C803" s="2689"/>
      <c r="D803" s="2689"/>
      <c r="E803" s="2689"/>
      <c r="F803" s="2689"/>
      <c r="G803" s="2689"/>
      <c r="H803" s="2690"/>
      <c r="I803" s="682">
        <v>-1051098</v>
      </c>
      <c r="J803" s="682"/>
      <c r="K803" s="682"/>
      <c r="L803" s="683"/>
      <c r="M803" s="683"/>
      <c r="AK803" s="481"/>
      <c r="AL803" s="491" t="s">
        <v>1698</v>
      </c>
    </row>
    <row r="804" spans="1:39" s="454" customFormat="1" ht="15" x14ac:dyDescent="0.25">
      <c r="A804" s="2688" t="s">
        <v>1699</v>
      </c>
      <c r="B804" s="2689"/>
      <c r="C804" s="2689"/>
      <c r="D804" s="2689"/>
      <c r="E804" s="2689"/>
      <c r="F804" s="2689"/>
      <c r="G804" s="2689"/>
      <c r="H804" s="2690"/>
      <c r="I804" s="682">
        <v>-230070</v>
      </c>
      <c r="J804" s="682"/>
      <c r="K804" s="682"/>
      <c r="L804" s="683"/>
      <c r="M804" s="683"/>
      <c r="AK804" s="481"/>
      <c r="AL804" s="491" t="s">
        <v>1699</v>
      </c>
    </row>
    <row r="805" spans="1:39" s="454" customFormat="1" ht="15" x14ac:dyDescent="0.25">
      <c r="A805" s="2688" t="s">
        <v>1700</v>
      </c>
      <c r="B805" s="2689"/>
      <c r="C805" s="2689"/>
      <c r="D805" s="2689"/>
      <c r="E805" s="2689"/>
      <c r="F805" s="2689"/>
      <c r="G805" s="2689"/>
      <c r="H805" s="2690"/>
      <c r="I805" s="682">
        <v>-227302</v>
      </c>
      <c r="J805" s="682"/>
      <c r="K805" s="682"/>
      <c r="L805" s="683"/>
      <c r="M805" s="683"/>
      <c r="AK805" s="481"/>
      <c r="AL805" s="491" t="s">
        <v>1700</v>
      </c>
    </row>
    <row r="806" spans="1:39" s="454" customFormat="1" ht="15" x14ac:dyDescent="0.25">
      <c r="A806" s="2688" t="s">
        <v>1701</v>
      </c>
      <c r="B806" s="2689"/>
      <c r="C806" s="2689"/>
      <c r="D806" s="2689"/>
      <c r="E806" s="2689"/>
      <c r="F806" s="2689"/>
      <c r="G806" s="2689"/>
      <c r="H806" s="2690"/>
      <c r="I806" s="682">
        <v>-114247</v>
      </c>
      <c r="J806" s="682"/>
      <c r="K806" s="682"/>
      <c r="L806" s="683"/>
      <c r="M806" s="683"/>
      <c r="AK806" s="481"/>
      <c r="AL806" s="491" t="s">
        <v>1701</v>
      </c>
    </row>
    <row r="807" spans="1:39" s="454" customFormat="1" ht="15" x14ac:dyDescent="0.25">
      <c r="A807" s="2685" t="s">
        <v>1630</v>
      </c>
      <c r="B807" s="2686"/>
      <c r="C807" s="2686"/>
      <c r="D807" s="2686"/>
      <c r="E807" s="2686"/>
      <c r="F807" s="2686"/>
      <c r="G807" s="2686"/>
      <c r="H807" s="2687"/>
      <c r="I807" s="661">
        <v>-3213271</v>
      </c>
      <c r="J807" s="661"/>
      <c r="K807" s="661"/>
      <c r="L807" s="681"/>
      <c r="M807" s="672">
        <v>-17347.93</v>
      </c>
      <c r="AK807" s="481"/>
      <c r="AM807" s="481" t="s">
        <v>1630</v>
      </c>
    </row>
    <row r="808" spans="1:39" s="454" customFormat="1" ht="53.25" customHeight="1" x14ac:dyDescent="0.25">
      <c r="A808" s="452"/>
      <c r="B808" s="452"/>
      <c r="C808" s="452"/>
      <c r="D808" s="452"/>
      <c r="E808" s="452"/>
      <c r="F808" s="452"/>
      <c r="G808" s="452"/>
      <c r="H808" s="452"/>
      <c r="I808" s="452"/>
      <c r="J808" s="452"/>
      <c r="K808" s="452"/>
      <c r="L808" s="452"/>
      <c r="M808" s="452"/>
    </row>
    <row r="809" spans="1:39" s="469" customFormat="1" ht="12.75" customHeight="1" x14ac:dyDescent="0.2">
      <c r="A809" s="2691" t="s">
        <v>2478</v>
      </c>
      <c r="B809" s="2691"/>
      <c r="C809" s="2691"/>
      <c r="D809" s="2691"/>
      <c r="E809" s="2691"/>
      <c r="F809" s="2691"/>
      <c r="G809" s="2691"/>
      <c r="H809" s="2691"/>
      <c r="I809" s="2691"/>
      <c r="J809" s="2691"/>
      <c r="K809" s="2691"/>
      <c r="L809" s="2691"/>
      <c r="M809" s="2691"/>
      <c r="N809" s="323"/>
      <c r="O809" s="323"/>
      <c r="P809" s="323"/>
      <c r="Q809" s="323"/>
      <c r="R809" s="323"/>
      <c r="S809" s="456"/>
      <c r="T809" s="456"/>
      <c r="U809" s="456"/>
      <c r="V809" s="456"/>
      <c r="W809" s="456"/>
      <c r="X809" s="456"/>
      <c r="Y809" s="456"/>
      <c r="Z809" s="456"/>
      <c r="AA809" s="456"/>
      <c r="AB809" s="456"/>
      <c r="AC809" s="456"/>
      <c r="AD809" s="456"/>
      <c r="AE809" s="456"/>
      <c r="AF809" s="456"/>
      <c r="AG809" s="456"/>
      <c r="AH809" s="456"/>
      <c r="AI809" s="456"/>
      <c r="AJ809" s="456"/>
      <c r="AK809" s="456"/>
      <c r="AL809" s="456"/>
      <c r="AM809" s="456"/>
    </row>
    <row r="810" spans="1:39" s="469" customFormat="1" ht="12.75" customHeight="1" x14ac:dyDescent="0.2">
      <c r="A810" s="2692" t="s">
        <v>929</v>
      </c>
      <c r="B810" s="2692"/>
      <c r="C810" s="2692"/>
      <c r="D810" s="2692"/>
      <c r="E810" s="2692"/>
      <c r="F810" s="2692"/>
      <c r="G810" s="2692"/>
      <c r="H810" s="2692"/>
      <c r="I810" s="2692"/>
      <c r="J810" s="2692"/>
      <c r="K810" s="2692"/>
      <c r="L810" s="2692"/>
      <c r="M810" s="2692"/>
      <c r="N810" s="702"/>
      <c r="O810" s="702"/>
      <c r="P810" s="702"/>
      <c r="Q810" s="702"/>
      <c r="R810" s="702"/>
      <c r="S810" s="456"/>
      <c r="T810" s="456"/>
      <c r="U810" s="456"/>
      <c r="V810" s="456"/>
      <c r="W810" s="456"/>
      <c r="X810" s="456"/>
      <c r="Y810" s="456"/>
      <c r="Z810" s="456"/>
      <c r="AA810" s="456"/>
      <c r="AB810" s="456"/>
      <c r="AC810" s="456"/>
      <c r="AD810" s="456"/>
      <c r="AE810" s="456"/>
      <c r="AF810" s="456"/>
      <c r="AG810" s="456"/>
      <c r="AH810" s="456"/>
      <c r="AI810" s="456"/>
      <c r="AJ810" s="456"/>
      <c r="AK810" s="456"/>
      <c r="AL810" s="456"/>
      <c r="AM810" s="456"/>
    </row>
    <row r="811" spans="1:39" s="469" customFormat="1" ht="13.5" customHeight="1" x14ac:dyDescent="0.25">
      <c r="A811" s="455"/>
      <c r="B811" s="455"/>
      <c r="C811" s="455"/>
      <c r="D811" s="455"/>
      <c r="E811" s="455"/>
      <c r="F811" s="455"/>
      <c r="G811" s="455"/>
      <c r="H811" s="703"/>
      <c r="I811" s="461"/>
      <c r="J811" s="461"/>
      <c r="K811" s="461"/>
      <c r="L811" s="461"/>
      <c r="M811" s="455"/>
      <c r="N811" s="454"/>
      <c r="O811" s="454"/>
      <c r="P811" s="454"/>
      <c r="Q811" s="454"/>
      <c r="R811" s="454"/>
      <c r="S811" s="456"/>
      <c r="T811" s="456"/>
      <c r="U811" s="456"/>
      <c r="V811" s="456"/>
      <c r="W811" s="456"/>
      <c r="X811" s="456"/>
      <c r="Y811" s="456"/>
      <c r="Z811" s="456"/>
      <c r="AA811" s="456"/>
      <c r="AB811" s="456"/>
      <c r="AC811" s="456"/>
      <c r="AD811" s="456"/>
      <c r="AE811" s="456"/>
      <c r="AF811" s="456"/>
      <c r="AG811" s="456"/>
      <c r="AH811" s="456"/>
      <c r="AI811" s="456"/>
      <c r="AJ811" s="456"/>
      <c r="AK811" s="456"/>
      <c r="AL811" s="456"/>
      <c r="AM811" s="456"/>
    </row>
    <row r="812" spans="1:39" s="469" customFormat="1" ht="12.75" customHeight="1" x14ac:dyDescent="0.2">
      <c r="A812" s="2691" t="s">
        <v>2479</v>
      </c>
      <c r="B812" s="2691"/>
      <c r="C812" s="2691"/>
      <c r="D812" s="2691"/>
      <c r="E812" s="2691"/>
      <c r="F812" s="2691"/>
      <c r="G812" s="2691"/>
      <c r="H812" s="2691"/>
      <c r="I812" s="2691"/>
      <c r="J812" s="2691"/>
      <c r="K812" s="2691"/>
      <c r="L812" s="2691"/>
      <c r="M812" s="2691"/>
      <c r="N812" s="323"/>
      <c r="O812" s="323"/>
      <c r="P812" s="323"/>
      <c r="Q812" s="323"/>
      <c r="R812" s="323"/>
      <c r="S812" s="456"/>
      <c r="T812" s="456"/>
      <c r="U812" s="456"/>
      <c r="V812" s="456"/>
      <c r="W812" s="456"/>
      <c r="X812" s="456"/>
      <c r="Y812" s="456"/>
      <c r="Z812" s="456"/>
      <c r="AA812" s="456"/>
      <c r="AB812" s="456"/>
      <c r="AC812" s="456"/>
      <c r="AD812" s="456"/>
      <c r="AE812" s="456"/>
      <c r="AF812" s="456"/>
      <c r="AG812" s="456"/>
      <c r="AH812" s="456"/>
      <c r="AI812" s="456"/>
      <c r="AJ812" s="456"/>
      <c r="AK812" s="456"/>
      <c r="AL812" s="456"/>
      <c r="AM812" s="456"/>
    </row>
    <row r="813" spans="1:39" s="469" customFormat="1" ht="12.75" customHeight="1" x14ac:dyDescent="0.2">
      <c r="A813" s="2692" t="s">
        <v>929</v>
      </c>
      <c r="B813" s="2692"/>
      <c r="C813" s="2692"/>
      <c r="D813" s="2692"/>
      <c r="E813" s="2692"/>
      <c r="F813" s="2692"/>
      <c r="G813" s="2692"/>
      <c r="H813" s="2692"/>
      <c r="I813" s="2692"/>
      <c r="J813" s="2692"/>
      <c r="K813" s="2692"/>
      <c r="L813" s="2692"/>
      <c r="M813" s="2692"/>
      <c r="N813" s="702"/>
      <c r="O813" s="702"/>
      <c r="P813" s="702"/>
      <c r="Q813" s="702"/>
      <c r="R813" s="702"/>
      <c r="S813" s="456"/>
      <c r="T813" s="456"/>
      <c r="U813" s="456"/>
      <c r="V813" s="456"/>
      <c r="W813" s="456"/>
      <c r="X813" s="456"/>
      <c r="Y813" s="456"/>
      <c r="Z813" s="456"/>
      <c r="AA813" s="456"/>
      <c r="AB813" s="456"/>
      <c r="AC813" s="456"/>
      <c r="AD813" s="456"/>
      <c r="AE813" s="456"/>
      <c r="AF813" s="456"/>
      <c r="AG813" s="456"/>
      <c r="AH813" s="456"/>
      <c r="AI813" s="456"/>
      <c r="AJ813" s="456"/>
      <c r="AK813" s="456"/>
      <c r="AL813" s="456"/>
      <c r="AM813" s="456"/>
    </row>
    <row r="814" spans="1:39" s="469" customFormat="1" ht="13.5" customHeight="1" x14ac:dyDescent="0.25">
      <c r="A814" s="455"/>
      <c r="B814" s="455"/>
      <c r="C814" s="455"/>
      <c r="D814" s="455"/>
      <c r="E814" s="455"/>
      <c r="F814" s="455"/>
      <c r="G814" s="455"/>
      <c r="H814" s="703"/>
      <c r="I814" s="461"/>
      <c r="J814" s="461"/>
      <c r="K814" s="461"/>
      <c r="L814" s="461"/>
      <c r="M814" s="455"/>
      <c r="N814" s="454"/>
      <c r="O814" s="454"/>
      <c r="P814" s="454"/>
      <c r="Q814" s="454"/>
      <c r="R814" s="454"/>
      <c r="S814" s="456"/>
      <c r="T814" s="456"/>
      <c r="U814" s="456"/>
      <c r="V814" s="456"/>
      <c r="W814" s="456"/>
      <c r="X814" s="456"/>
      <c r="Y814" s="456"/>
      <c r="Z814" s="456"/>
      <c r="AA814" s="456"/>
      <c r="AB814" s="456"/>
      <c r="AC814" s="456"/>
      <c r="AD814" s="456"/>
      <c r="AE814" s="456"/>
      <c r="AF814" s="456"/>
      <c r="AG814" s="456"/>
      <c r="AH814" s="456"/>
      <c r="AI814" s="456"/>
      <c r="AJ814" s="456"/>
      <c r="AK814" s="456"/>
      <c r="AL814" s="456"/>
      <c r="AM814" s="456"/>
    </row>
    <row r="815" spans="1:39" s="454" customFormat="1" ht="15" x14ac:dyDescent="0.25">
      <c r="A815" s="452"/>
      <c r="B815" s="452"/>
      <c r="C815" s="452"/>
      <c r="D815" s="452"/>
      <c r="E815" s="452"/>
      <c r="F815" s="452"/>
      <c r="G815" s="452"/>
      <c r="H815" s="455"/>
      <c r="I815" s="2693"/>
      <c r="J815" s="2693"/>
      <c r="K815" s="2693"/>
      <c r="L815" s="2693"/>
      <c r="M815" s="452"/>
    </row>
  </sheetData>
  <mergeCells count="719">
    <mergeCell ref="I815:L815"/>
    <mergeCell ref="A806:H806"/>
    <mergeCell ref="A807:H807"/>
    <mergeCell ref="A809:M809"/>
    <mergeCell ref="A810:M810"/>
    <mergeCell ref="A812:M812"/>
    <mergeCell ref="A813:M813"/>
    <mergeCell ref="A800:H800"/>
    <mergeCell ref="A801:H801"/>
    <mergeCell ref="A802:H802"/>
    <mergeCell ref="A803:H803"/>
    <mergeCell ref="A804:H804"/>
    <mergeCell ref="A805:H805"/>
    <mergeCell ref="A794:H794"/>
    <mergeCell ref="A795:H795"/>
    <mergeCell ref="A796:H796"/>
    <mergeCell ref="A797:H797"/>
    <mergeCell ref="A798:H798"/>
    <mergeCell ref="A799:H799"/>
    <mergeCell ref="A788:H788"/>
    <mergeCell ref="A789:H789"/>
    <mergeCell ref="A790:H790"/>
    <mergeCell ref="A791:H791"/>
    <mergeCell ref="A792:H792"/>
    <mergeCell ref="A793:H793"/>
    <mergeCell ref="A782:H782"/>
    <mergeCell ref="A783:H783"/>
    <mergeCell ref="A784:H784"/>
    <mergeCell ref="A785:H785"/>
    <mergeCell ref="A786:H786"/>
    <mergeCell ref="A787:H787"/>
    <mergeCell ref="A776:H776"/>
    <mergeCell ref="A777:H777"/>
    <mergeCell ref="A778:H778"/>
    <mergeCell ref="A779:H779"/>
    <mergeCell ref="A780:H780"/>
    <mergeCell ref="A781:H781"/>
    <mergeCell ref="A770:H770"/>
    <mergeCell ref="A771:H771"/>
    <mergeCell ref="A772:H772"/>
    <mergeCell ref="A773:H773"/>
    <mergeCell ref="A774:H774"/>
    <mergeCell ref="A775:H775"/>
    <mergeCell ref="A764:H764"/>
    <mergeCell ref="A765:H765"/>
    <mergeCell ref="A766:H766"/>
    <mergeCell ref="A767:H767"/>
    <mergeCell ref="A768:H768"/>
    <mergeCell ref="A769:H769"/>
    <mergeCell ref="A758:H758"/>
    <mergeCell ref="A759:H759"/>
    <mergeCell ref="A760:H760"/>
    <mergeCell ref="A761:H761"/>
    <mergeCell ref="A762:H762"/>
    <mergeCell ref="A763:H763"/>
    <mergeCell ref="A752:H752"/>
    <mergeCell ref="A753:H753"/>
    <mergeCell ref="A754:H754"/>
    <mergeCell ref="A755:H755"/>
    <mergeCell ref="A756:H756"/>
    <mergeCell ref="A757:H757"/>
    <mergeCell ref="A746:H746"/>
    <mergeCell ref="A747:H747"/>
    <mergeCell ref="A748:H748"/>
    <mergeCell ref="A749:H749"/>
    <mergeCell ref="A750:H750"/>
    <mergeCell ref="A751:H751"/>
    <mergeCell ref="A740:H740"/>
    <mergeCell ref="A741:H741"/>
    <mergeCell ref="A742:H742"/>
    <mergeCell ref="A743:H743"/>
    <mergeCell ref="A744:H744"/>
    <mergeCell ref="A745:H745"/>
    <mergeCell ref="A734:H734"/>
    <mergeCell ref="A735:H735"/>
    <mergeCell ref="A736:H736"/>
    <mergeCell ref="A737:H737"/>
    <mergeCell ref="A738:H738"/>
    <mergeCell ref="A739:H739"/>
    <mergeCell ref="A728:H728"/>
    <mergeCell ref="A729:H729"/>
    <mergeCell ref="A730:H730"/>
    <mergeCell ref="A731:H731"/>
    <mergeCell ref="A732:H732"/>
    <mergeCell ref="A733:H733"/>
    <mergeCell ref="A722:H722"/>
    <mergeCell ref="A723:H723"/>
    <mergeCell ref="A724:H724"/>
    <mergeCell ref="A725:H725"/>
    <mergeCell ref="A726:H726"/>
    <mergeCell ref="A727:H727"/>
    <mergeCell ref="A716:H716"/>
    <mergeCell ref="A717:H717"/>
    <mergeCell ref="A718:H718"/>
    <mergeCell ref="A719:H719"/>
    <mergeCell ref="A720:H720"/>
    <mergeCell ref="A721:H721"/>
    <mergeCell ref="A710:H710"/>
    <mergeCell ref="A711:H711"/>
    <mergeCell ref="A712:H712"/>
    <mergeCell ref="A713:H713"/>
    <mergeCell ref="A714:H714"/>
    <mergeCell ref="A715:H715"/>
    <mergeCell ref="A704:H704"/>
    <mergeCell ref="A705:H705"/>
    <mergeCell ref="A706:H706"/>
    <mergeCell ref="A707:H707"/>
    <mergeCell ref="A708:H708"/>
    <mergeCell ref="A709:H709"/>
    <mergeCell ref="C697:E697"/>
    <mergeCell ref="C699:M699"/>
    <mergeCell ref="A700:H700"/>
    <mergeCell ref="A701:H701"/>
    <mergeCell ref="A702:H702"/>
    <mergeCell ref="A703:H703"/>
    <mergeCell ref="C690:M690"/>
    <mergeCell ref="C691:E691"/>
    <mergeCell ref="C692:E692"/>
    <mergeCell ref="C694:M694"/>
    <mergeCell ref="C695:E695"/>
    <mergeCell ref="C696:E696"/>
    <mergeCell ref="A682:M682"/>
    <mergeCell ref="A683:M683"/>
    <mergeCell ref="C684:E684"/>
    <mergeCell ref="A686:M686"/>
    <mergeCell ref="C687:E687"/>
    <mergeCell ref="C689:M689"/>
    <mergeCell ref="A676:H676"/>
    <mergeCell ref="A677:H677"/>
    <mergeCell ref="A678:H678"/>
    <mergeCell ref="A679:H679"/>
    <mergeCell ref="A680:H680"/>
    <mergeCell ref="A681:M681"/>
    <mergeCell ref="A670:H670"/>
    <mergeCell ref="A671:H671"/>
    <mergeCell ref="A672:H672"/>
    <mergeCell ref="A673:H673"/>
    <mergeCell ref="A674:H674"/>
    <mergeCell ref="A675:H675"/>
    <mergeCell ref="A664:H664"/>
    <mergeCell ref="A665:H665"/>
    <mergeCell ref="A666:H666"/>
    <mergeCell ref="A667:H667"/>
    <mergeCell ref="A668:H668"/>
    <mergeCell ref="A669:H669"/>
    <mergeCell ref="A658:H658"/>
    <mergeCell ref="A659:H659"/>
    <mergeCell ref="A660:H660"/>
    <mergeCell ref="A661:H661"/>
    <mergeCell ref="A662:H662"/>
    <mergeCell ref="A663:H663"/>
    <mergeCell ref="A652:H652"/>
    <mergeCell ref="A653:H653"/>
    <mergeCell ref="A654:H654"/>
    <mergeCell ref="A655:H655"/>
    <mergeCell ref="A656:H656"/>
    <mergeCell ref="A657:H657"/>
    <mergeCell ref="A646:H646"/>
    <mergeCell ref="A647:H647"/>
    <mergeCell ref="A648:H648"/>
    <mergeCell ref="A649:H649"/>
    <mergeCell ref="A650:H650"/>
    <mergeCell ref="A651:H651"/>
    <mergeCell ref="A640:H640"/>
    <mergeCell ref="A641:H641"/>
    <mergeCell ref="A642:H642"/>
    <mergeCell ref="A643:H643"/>
    <mergeCell ref="A644:H644"/>
    <mergeCell ref="A645:H645"/>
    <mergeCell ref="A634:H634"/>
    <mergeCell ref="A635:H635"/>
    <mergeCell ref="A636:H636"/>
    <mergeCell ref="A637:H637"/>
    <mergeCell ref="A638:H638"/>
    <mergeCell ref="A639:H639"/>
    <mergeCell ref="A628:H628"/>
    <mergeCell ref="A629:H629"/>
    <mergeCell ref="A630:H630"/>
    <mergeCell ref="A631:H631"/>
    <mergeCell ref="A632:H632"/>
    <mergeCell ref="A633:H633"/>
    <mergeCell ref="A622:H622"/>
    <mergeCell ref="A623:H623"/>
    <mergeCell ref="A624:H624"/>
    <mergeCell ref="A625:H625"/>
    <mergeCell ref="A626:H626"/>
    <mergeCell ref="A627:H627"/>
    <mergeCell ref="C616:E616"/>
    <mergeCell ref="C617:M617"/>
    <mergeCell ref="C618:E618"/>
    <mergeCell ref="A619:H619"/>
    <mergeCell ref="A620:H620"/>
    <mergeCell ref="A621:H621"/>
    <mergeCell ref="C610:E610"/>
    <mergeCell ref="C611:E611"/>
    <mergeCell ref="C612:E612"/>
    <mergeCell ref="C613:E613"/>
    <mergeCell ref="C614:E614"/>
    <mergeCell ref="C615:E615"/>
    <mergeCell ref="C596:E596"/>
    <mergeCell ref="C599:E599"/>
    <mergeCell ref="C602:E602"/>
    <mergeCell ref="C605:E605"/>
    <mergeCell ref="C608:E608"/>
    <mergeCell ref="C609:M609"/>
    <mergeCell ref="C586:E586"/>
    <mergeCell ref="C587:E587"/>
    <mergeCell ref="C588:E588"/>
    <mergeCell ref="C589:E589"/>
    <mergeCell ref="C591:E591"/>
    <mergeCell ref="C593:E593"/>
    <mergeCell ref="C580:E580"/>
    <mergeCell ref="C581:E581"/>
    <mergeCell ref="C582:E582"/>
    <mergeCell ref="C583:E583"/>
    <mergeCell ref="C584:E584"/>
    <mergeCell ref="C585:E585"/>
    <mergeCell ref="C574:E574"/>
    <mergeCell ref="C575:E575"/>
    <mergeCell ref="C576:E576"/>
    <mergeCell ref="C577:E577"/>
    <mergeCell ref="C578:E578"/>
    <mergeCell ref="C579:E579"/>
    <mergeCell ref="C568:E568"/>
    <mergeCell ref="C569:E569"/>
    <mergeCell ref="C570:E570"/>
    <mergeCell ref="C571:E571"/>
    <mergeCell ref="C572:E572"/>
    <mergeCell ref="C573:E573"/>
    <mergeCell ref="C559:E559"/>
    <mergeCell ref="C561:E561"/>
    <mergeCell ref="C564:M564"/>
    <mergeCell ref="C565:E565"/>
    <mergeCell ref="C566:E566"/>
    <mergeCell ref="C567:E567"/>
    <mergeCell ref="C552:E552"/>
    <mergeCell ref="C553:E553"/>
    <mergeCell ref="C554:E554"/>
    <mergeCell ref="C555:E555"/>
    <mergeCell ref="C556:E556"/>
    <mergeCell ref="C557:E557"/>
    <mergeCell ref="C546:E546"/>
    <mergeCell ref="C547:E547"/>
    <mergeCell ref="C548:E548"/>
    <mergeCell ref="C549:E549"/>
    <mergeCell ref="C550:E550"/>
    <mergeCell ref="C551:E551"/>
    <mergeCell ref="C539:E539"/>
    <mergeCell ref="C541:M541"/>
    <mergeCell ref="C542:M542"/>
    <mergeCell ref="C543:M543"/>
    <mergeCell ref="C544:M544"/>
    <mergeCell ref="C545:E545"/>
    <mergeCell ref="C533:E533"/>
    <mergeCell ref="C534:E534"/>
    <mergeCell ref="C535:E535"/>
    <mergeCell ref="C536:E536"/>
    <mergeCell ref="C537:E537"/>
    <mergeCell ref="C538:E538"/>
    <mergeCell ref="C527:E527"/>
    <mergeCell ref="C528:E528"/>
    <mergeCell ref="C529:E529"/>
    <mergeCell ref="C530:E530"/>
    <mergeCell ref="C531:E531"/>
    <mergeCell ref="C532:E532"/>
    <mergeCell ref="A520:M520"/>
    <mergeCell ref="C521:E521"/>
    <mergeCell ref="C523:M523"/>
    <mergeCell ref="C524:M524"/>
    <mergeCell ref="C525:M525"/>
    <mergeCell ref="C526:M526"/>
    <mergeCell ref="C514:E514"/>
    <mergeCell ref="C515:E515"/>
    <mergeCell ref="C516:E516"/>
    <mergeCell ref="C517:E517"/>
    <mergeCell ref="C518:E518"/>
    <mergeCell ref="C519:E519"/>
    <mergeCell ref="C500:E500"/>
    <mergeCell ref="C503:E503"/>
    <mergeCell ref="C506:E506"/>
    <mergeCell ref="C509:E509"/>
    <mergeCell ref="C512:E512"/>
    <mergeCell ref="C513:M513"/>
    <mergeCell ref="C490:E490"/>
    <mergeCell ref="C491:E491"/>
    <mergeCell ref="C492:E492"/>
    <mergeCell ref="C493:E493"/>
    <mergeCell ref="C495:E495"/>
    <mergeCell ref="C497:E497"/>
    <mergeCell ref="C484:E484"/>
    <mergeCell ref="C485:E485"/>
    <mergeCell ref="C486:E486"/>
    <mergeCell ref="C487:E487"/>
    <mergeCell ref="C488:E488"/>
    <mergeCell ref="C489:E489"/>
    <mergeCell ref="C478:E478"/>
    <mergeCell ref="C479:E479"/>
    <mergeCell ref="C480:E480"/>
    <mergeCell ref="C481:E481"/>
    <mergeCell ref="C482:E482"/>
    <mergeCell ref="C483:E483"/>
    <mergeCell ref="C472:E472"/>
    <mergeCell ref="C473:E473"/>
    <mergeCell ref="C474:E474"/>
    <mergeCell ref="C475:E475"/>
    <mergeCell ref="C476:E476"/>
    <mergeCell ref="C477:E477"/>
    <mergeCell ref="C463:E463"/>
    <mergeCell ref="C465:E465"/>
    <mergeCell ref="C468:M468"/>
    <mergeCell ref="C469:E469"/>
    <mergeCell ref="C470:E470"/>
    <mergeCell ref="C471:E471"/>
    <mergeCell ref="C456:E456"/>
    <mergeCell ref="C457:E457"/>
    <mergeCell ref="C458:E458"/>
    <mergeCell ref="C459:E459"/>
    <mergeCell ref="C460:E460"/>
    <mergeCell ref="C461:E461"/>
    <mergeCell ref="C450:E450"/>
    <mergeCell ref="C451:E451"/>
    <mergeCell ref="C452:E452"/>
    <mergeCell ref="C453:E453"/>
    <mergeCell ref="C454:E454"/>
    <mergeCell ref="C455:E455"/>
    <mergeCell ref="C443:E443"/>
    <mergeCell ref="C445:M445"/>
    <mergeCell ref="C446:M446"/>
    <mergeCell ref="C447:M447"/>
    <mergeCell ref="C448:M448"/>
    <mergeCell ref="C449:E449"/>
    <mergeCell ref="C437:E437"/>
    <mergeCell ref="C438:E438"/>
    <mergeCell ref="C439:E439"/>
    <mergeCell ref="C440:E440"/>
    <mergeCell ref="C441:E441"/>
    <mergeCell ref="C442:E442"/>
    <mergeCell ref="C431:E431"/>
    <mergeCell ref="C432:E432"/>
    <mergeCell ref="C433:E433"/>
    <mergeCell ref="C434:E434"/>
    <mergeCell ref="C435:E435"/>
    <mergeCell ref="C436:E436"/>
    <mergeCell ref="A424:M424"/>
    <mergeCell ref="C425:E425"/>
    <mergeCell ref="C427:M427"/>
    <mergeCell ref="C428:M428"/>
    <mergeCell ref="C429:M429"/>
    <mergeCell ref="C430:M430"/>
    <mergeCell ref="C418:E418"/>
    <mergeCell ref="C419:E419"/>
    <mergeCell ref="C420:E420"/>
    <mergeCell ref="C421:E421"/>
    <mergeCell ref="C422:E422"/>
    <mergeCell ref="C423:E423"/>
    <mergeCell ref="C404:E404"/>
    <mergeCell ref="C407:E407"/>
    <mergeCell ref="C410:E410"/>
    <mergeCell ref="C413:E413"/>
    <mergeCell ref="C416:E416"/>
    <mergeCell ref="C417:M417"/>
    <mergeCell ref="C394:E394"/>
    <mergeCell ref="C395:E395"/>
    <mergeCell ref="C396:E396"/>
    <mergeCell ref="C397:E397"/>
    <mergeCell ref="C399:E399"/>
    <mergeCell ref="C401:E401"/>
    <mergeCell ref="C388:E388"/>
    <mergeCell ref="C389:E389"/>
    <mergeCell ref="C390:E390"/>
    <mergeCell ref="C391:E391"/>
    <mergeCell ref="C392:E392"/>
    <mergeCell ref="C393:E393"/>
    <mergeCell ref="C382:E382"/>
    <mergeCell ref="C383:E383"/>
    <mergeCell ref="C384:E384"/>
    <mergeCell ref="C385:E385"/>
    <mergeCell ref="C386:E386"/>
    <mergeCell ref="C387:E387"/>
    <mergeCell ref="C376:E376"/>
    <mergeCell ref="C377:E377"/>
    <mergeCell ref="C378:E378"/>
    <mergeCell ref="C379:E379"/>
    <mergeCell ref="C380:E380"/>
    <mergeCell ref="C381:E381"/>
    <mergeCell ref="C367:E367"/>
    <mergeCell ref="C369:E369"/>
    <mergeCell ref="C372:M372"/>
    <mergeCell ref="C373:E373"/>
    <mergeCell ref="C374:E374"/>
    <mergeCell ref="C375:E375"/>
    <mergeCell ref="C360:E360"/>
    <mergeCell ref="C361:E361"/>
    <mergeCell ref="C362:E362"/>
    <mergeCell ref="C363:E363"/>
    <mergeCell ref="C364:E364"/>
    <mergeCell ref="C365:E365"/>
    <mergeCell ref="C354:E354"/>
    <mergeCell ref="C355:E355"/>
    <mergeCell ref="C356:E356"/>
    <mergeCell ref="C357:E357"/>
    <mergeCell ref="C358:E358"/>
    <mergeCell ref="C359:E359"/>
    <mergeCell ref="C347:E347"/>
    <mergeCell ref="C349:M349"/>
    <mergeCell ref="C350:M350"/>
    <mergeCell ref="C351:M351"/>
    <mergeCell ref="C352:M352"/>
    <mergeCell ref="C353:E353"/>
    <mergeCell ref="C341:E341"/>
    <mergeCell ref="C342:E342"/>
    <mergeCell ref="C343:E343"/>
    <mergeCell ref="C344:E344"/>
    <mergeCell ref="C345:E345"/>
    <mergeCell ref="C346:E346"/>
    <mergeCell ref="C335:E335"/>
    <mergeCell ref="C336:E336"/>
    <mergeCell ref="C337:E337"/>
    <mergeCell ref="C338:E338"/>
    <mergeCell ref="C339:E339"/>
    <mergeCell ref="C340:E340"/>
    <mergeCell ref="A328:M328"/>
    <mergeCell ref="C329:E329"/>
    <mergeCell ref="C331:M331"/>
    <mergeCell ref="C332:M332"/>
    <mergeCell ref="C333:M333"/>
    <mergeCell ref="C334:M334"/>
    <mergeCell ref="C322:E322"/>
    <mergeCell ref="C323:E323"/>
    <mergeCell ref="C324:E324"/>
    <mergeCell ref="C325:E325"/>
    <mergeCell ref="C326:E326"/>
    <mergeCell ref="C327:E327"/>
    <mergeCell ref="C308:E308"/>
    <mergeCell ref="C311:E311"/>
    <mergeCell ref="C314:E314"/>
    <mergeCell ref="C317:E317"/>
    <mergeCell ref="C320:E320"/>
    <mergeCell ref="C321:M321"/>
    <mergeCell ref="C298:E298"/>
    <mergeCell ref="C299:E299"/>
    <mergeCell ref="C300:E300"/>
    <mergeCell ref="C301:E301"/>
    <mergeCell ref="C303:E303"/>
    <mergeCell ref="C305:E305"/>
    <mergeCell ref="C292:E292"/>
    <mergeCell ref="C293:E293"/>
    <mergeCell ref="C294:E294"/>
    <mergeCell ref="C295:E295"/>
    <mergeCell ref="C296:E296"/>
    <mergeCell ref="C297:E297"/>
    <mergeCell ref="C286:E286"/>
    <mergeCell ref="C287:E287"/>
    <mergeCell ref="C288:E288"/>
    <mergeCell ref="C289:E289"/>
    <mergeCell ref="C290:E290"/>
    <mergeCell ref="C291:E291"/>
    <mergeCell ref="C280:E280"/>
    <mergeCell ref="C281:E281"/>
    <mergeCell ref="C282:E282"/>
    <mergeCell ref="C283:E283"/>
    <mergeCell ref="C284:E284"/>
    <mergeCell ref="C285:E285"/>
    <mergeCell ref="C271:E271"/>
    <mergeCell ref="C273:E273"/>
    <mergeCell ref="C276:M276"/>
    <mergeCell ref="C277:E277"/>
    <mergeCell ref="C278:E278"/>
    <mergeCell ref="C279:E279"/>
    <mergeCell ref="C264:E264"/>
    <mergeCell ref="C265:E265"/>
    <mergeCell ref="C266:E266"/>
    <mergeCell ref="C267:E267"/>
    <mergeCell ref="C268:E268"/>
    <mergeCell ref="C269:E269"/>
    <mergeCell ref="C258:E258"/>
    <mergeCell ref="C259:E259"/>
    <mergeCell ref="C260:E260"/>
    <mergeCell ref="C261:E261"/>
    <mergeCell ref="C262:E262"/>
    <mergeCell ref="C263:E263"/>
    <mergeCell ref="C251:E251"/>
    <mergeCell ref="C253:M253"/>
    <mergeCell ref="C254:M254"/>
    <mergeCell ref="C255:M255"/>
    <mergeCell ref="C256:M256"/>
    <mergeCell ref="C257:E257"/>
    <mergeCell ref="C245:E245"/>
    <mergeCell ref="C246:E246"/>
    <mergeCell ref="C247:E247"/>
    <mergeCell ref="C248:E248"/>
    <mergeCell ref="C249:E249"/>
    <mergeCell ref="C250:E250"/>
    <mergeCell ref="C239:E239"/>
    <mergeCell ref="C240:E240"/>
    <mergeCell ref="C241:E241"/>
    <mergeCell ref="C242:E242"/>
    <mergeCell ref="C243:E243"/>
    <mergeCell ref="C244:E244"/>
    <mergeCell ref="A232:M232"/>
    <mergeCell ref="C233:E233"/>
    <mergeCell ref="C235:M235"/>
    <mergeCell ref="C236:M236"/>
    <mergeCell ref="C237:M237"/>
    <mergeCell ref="C238:M238"/>
    <mergeCell ref="C225:E225"/>
    <mergeCell ref="C226:E226"/>
    <mergeCell ref="C227:E227"/>
    <mergeCell ref="C228:E228"/>
    <mergeCell ref="C229:E229"/>
    <mergeCell ref="C230:E230"/>
    <mergeCell ref="C217:E217"/>
    <mergeCell ref="C218:E218"/>
    <mergeCell ref="C219:E219"/>
    <mergeCell ref="C222:M222"/>
    <mergeCell ref="C223:E223"/>
    <mergeCell ref="C224:E224"/>
    <mergeCell ref="C211:E211"/>
    <mergeCell ref="C212:E212"/>
    <mergeCell ref="C213:E213"/>
    <mergeCell ref="C214:M214"/>
    <mergeCell ref="C215:E215"/>
    <mergeCell ref="C216:E216"/>
    <mergeCell ref="C205:E205"/>
    <mergeCell ref="C206:E206"/>
    <mergeCell ref="C207:E207"/>
    <mergeCell ref="C208:M208"/>
    <mergeCell ref="C209:E209"/>
    <mergeCell ref="C210:E210"/>
    <mergeCell ref="C199:E199"/>
    <mergeCell ref="C200:E200"/>
    <mergeCell ref="C201:E201"/>
    <mergeCell ref="C202:E202"/>
    <mergeCell ref="C203:E203"/>
    <mergeCell ref="C204:M204"/>
    <mergeCell ref="C193:E193"/>
    <mergeCell ref="C194:E194"/>
    <mergeCell ref="C195:E195"/>
    <mergeCell ref="C196:E196"/>
    <mergeCell ref="C197:E197"/>
    <mergeCell ref="C198:M198"/>
    <mergeCell ref="C187:E187"/>
    <mergeCell ref="C188:E188"/>
    <mergeCell ref="C189:E189"/>
    <mergeCell ref="C190:E190"/>
    <mergeCell ref="C191:E191"/>
    <mergeCell ref="C192:E192"/>
    <mergeCell ref="C181:E181"/>
    <mergeCell ref="C182:E182"/>
    <mergeCell ref="C183:E183"/>
    <mergeCell ref="C184:E184"/>
    <mergeCell ref="C185:E185"/>
    <mergeCell ref="C186:E186"/>
    <mergeCell ref="C175:E175"/>
    <mergeCell ref="C176:E176"/>
    <mergeCell ref="C177:E177"/>
    <mergeCell ref="C178:E178"/>
    <mergeCell ref="C179:E179"/>
    <mergeCell ref="C180:E180"/>
    <mergeCell ref="C168:E168"/>
    <mergeCell ref="C169:E169"/>
    <mergeCell ref="C170:E170"/>
    <mergeCell ref="C171:E171"/>
    <mergeCell ref="C173:M173"/>
    <mergeCell ref="C174:M174"/>
    <mergeCell ref="C162:E162"/>
    <mergeCell ref="C163:E163"/>
    <mergeCell ref="C164:E164"/>
    <mergeCell ref="C165:E165"/>
    <mergeCell ref="C166:E166"/>
    <mergeCell ref="C167:E167"/>
    <mergeCell ref="C156:E156"/>
    <mergeCell ref="C157:E157"/>
    <mergeCell ref="C158:E158"/>
    <mergeCell ref="C159:E159"/>
    <mergeCell ref="C160:E160"/>
    <mergeCell ref="C161:E161"/>
    <mergeCell ref="C150:E150"/>
    <mergeCell ref="C151:E151"/>
    <mergeCell ref="C152:E152"/>
    <mergeCell ref="C153:E153"/>
    <mergeCell ref="C154:E154"/>
    <mergeCell ref="C155:E155"/>
    <mergeCell ref="C143:E143"/>
    <mergeCell ref="C144:E144"/>
    <mergeCell ref="C145:E145"/>
    <mergeCell ref="C147:M147"/>
    <mergeCell ref="C148:M148"/>
    <mergeCell ref="C149:E149"/>
    <mergeCell ref="C137:E137"/>
    <mergeCell ref="C138:E138"/>
    <mergeCell ref="C139:E139"/>
    <mergeCell ref="C140:E140"/>
    <mergeCell ref="C141:E141"/>
    <mergeCell ref="C142:E142"/>
    <mergeCell ref="C131:E131"/>
    <mergeCell ref="C132:E132"/>
    <mergeCell ref="C133:E133"/>
    <mergeCell ref="C134:E134"/>
    <mergeCell ref="C135:E135"/>
    <mergeCell ref="C136:E136"/>
    <mergeCell ref="C125:E125"/>
    <mergeCell ref="C126:E126"/>
    <mergeCell ref="C127:E127"/>
    <mergeCell ref="C128:E128"/>
    <mergeCell ref="C129:E129"/>
    <mergeCell ref="C130:E130"/>
    <mergeCell ref="A118:M118"/>
    <mergeCell ref="C119:E119"/>
    <mergeCell ref="C121:M121"/>
    <mergeCell ref="C122:M122"/>
    <mergeCell ref="C123:E123"/>
    <mergeCell ref="C124:E124"/>
    <mergeCell ref="C110:E110"/>
    <mergeCell ref="C111:E111"/>
    <mergeCell ref="C112:E112"/>
    <mergeCell ref="C113:E113"/>
    <mergeCell ref="C115:E115"/>
    <mergeCell ref="C117:E117"/>
    <mergeCell ref="C104:E104"/>
    <mergeCell ref="C105:E105"/>
    <mergeCell ref="C106:E106"/>
    <mergeCell ref="C107:E107"/>
    <mergeCell ref="C108:E108"/>
    <mergeCell ref="C109:E109"/>
    <mergeCell ref="C98:E98"/>
    <mergeCell ref="C99:E99"/>
    <mergeCell ref="C100:E100"/>
    <mergeCell ref="C101:E101"/>
    <mergeCell ref="C102:E102"/>
    <mergeCell ref="C103:E103"/>
    <mergeCell ref="C91:E91"/>
    <mergeCell ref="C92:E92"/>
    <mergeCell ref="C93:E93"/>
    <mergeCell ref="C95:M95"/>
    <mergeCell ref="C96:E96"/>
    <mergeCell ref="C97:E97"/>
    <mergeCell ref="A84:M84"/>
    <mergeCell ref="A85:M85"/>
    <mergeCell ref="C86:E86"/>
    <mergeCell ref="C88:M88"/>
    <mergeCell ref="C89:E89"/>
    <mergeCell ref="C90:E90"/>
    <mergeCell ref="A78:H78"/>
    <mergeCell ref="A79:H79"/>
    <mergeCell ref="A80:H80"/>
    <mergeCell ref="A81:H81"/>
    <mergeCell ref="A82:H82"/>
    <mergeCell ref="A83:M83"/>
    <mergeCell ref="A72:H72"/>
    <mergeCell ref="A73:H73"/>
    <mergeCell ref="A74:H74"/>
    <mergeCell ref="A75:H75"/>
    <mergeCell ref="A76:H76"/>
    <mergeCell ref="A77:H77"/>
    <mergeCell ref="A66:H66"/>
    <mergeCell ref="A67:H67"/>
    <mergeCell ref="A68:H68"/>
    <mergeCell ref="A69:H69"/>
    <mergeCell ref="A70:H70"/>
    <mergeCell ref="A71:H71"/>
    <mergeCell ref="A60:H60"/>
    <mergeCell ref="A61:H61"/>
    <mergeCell ref="A62:H62"/>
    <mergeCell ref="A63:H63"/>
    <mergeCell ref="A64:H64"/>
    <mergeCell ref="A65:H65"/>
    <mergeCell ref="C52:E52"/>
    <mergeCell ref="C54:E54"/>
    <mergeCell ref="A56:H56"/>
    <mergeCell ref="A57:H57"/>
    <mergeCell ref="A58:H58"/>
    <mergeCell ref="A59:H59"/>
    <mergeCell ref="C46:E46"/>
    <mergeCell ref="A47:M47"/>
    <mergeCell ref="A48:M48"/>
    <mergeCell ref="A49:M49"/>
    <mergeCell ref="A50:M50"/>
    <mergeCell ref="A51:M51"/>
    <mergeCell ref="C40:E40"/>
    <mergeCell ref="C41:E41"/>
    <mergeCell ref="C42:E42"/>
    <mergeCell ref="C43:E43"/>
    <mergeCell ref="C44:M44"/>
    <mergeCell ref="C45:E45"/>
    <mergeCell ref="C33:E33"/>
    <mergeCell ref="C35:E35"/>
    <mergeCell ref="A36:M36"/>
    <mergeCell ref="C37:E37"/>
    <mergeCell ref="C38:M38"/>
    <mergeCell ref="C39:E39"/>
    <mergeCell ref="J25:J26"/>
    <mergeCell ref="C27:E27"/>
    <mergeCell ref="A28:M28"/>
    <mergeCell ref="A29:M29"/>
    <mergeCell ref="A30:M30"/>
    <mergeCell ref="C31:E31"/>
    <mergeCell ref="C15:G15"/>
    <mergeCell ref="F21:M21"/>
    <mergeCell ref="A24:A26"/>
    <mergeCell ref="B24:B26"/>
    <mergeCell ref="C24:E26"/>
    <mergeCell ref="F24:F26"/>
    <mergeCell ref="G24:H24"/>
    <mergeCell ref="I24:K24"/>
    <mergeCell ref="L24:M25"/>
    <mergeCell ref="I25:I26"/>
    <mergeCell ref="A8:M8"/>
    <mergeCell ref="A9:M9"/>
    <mergeCell ref="A11:M11"/>
    <mergeCell ref="A12:M12"/>
    <mergeCell ref="A13:M13"/>
    <mergeCell ref="A14:M14"/>
    <mergeCell ref="A2:C2"/>
    <mergeCell ref="J2:M2"/>
    <mergeCell ref="A3:D3"/>
    <mergeCell ref="I3:M3"/>
    <mergeCell ref="A4:D4"/>
    <mergeCell ref="I4:M4"/>
  </mergeCells>
  <printOptions horizontalCentered="1"/>
  <pageMargins left="0.39370077848434498" right="0.39370077848434498" top="0.35433071851730302" bottom="0.31496062874794001" header="0.118110239505768" footer="0.118110239505768"/>
  <pageSetup paperSize="9" fitToHeight="0" orientation="landscape"/>
  <headerFooter>
    <oddFooter>&amp;RСтраница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F778"/>
  <sheetViews>
    <sheetView topLeftCell="A245" workbookViewId="0">
      <selection activeCell="I24" sqref="I24:K24"/>
    </sheetView>
  </sheetViews>
  <sheetFormatPr defaultColWidth="9.140625" defaultRowHeight="11.25" customHeight="1" x14ac:dyDescent="0.2"/>
  <cols>
    <col min="1" max="1" width="9.140625" style="452" customWidth="1"/>
    <col min="2" max="2" width="20.140625" style="552" customWidth="1"/>
    <col min="3" max="3" width="13.42578125" style="552" customWidth="1"/>
    <col min="4" max="4" width="12.85546875" style="552" customWidth="1"/>
    <col min="5" max="5" width="13.28515625" style="552" customWidth="1"/>
    <col min="6" max="6" width="8.5703125" style="552" customWidth="1"/>
    <col min="7" max="7" width="10.5703125" style="552" customWidth="1"/>
    <col min="8" max="8" width="8.42578125" style="552" customWidth="1"/>
    <col min="9" max="9" width="13" style="552" customWidth="1"/>
    <col min="10" max="10" width="12.42578125" style="552" customWidth="1"/>
    <col min="11" max="11" width="8.5703125" style="552" customWidth="1"/>
    <col min="12" max="12" width="12.85546875" style="552" customWidth="1"/>
    <col min="13" max="13" width="7.42578125" style="552" customWidth="1"/>
    <col min="14" max="14" width="13.42578125" style="552" customWidth="1"/>
    <col min="15" max="15" width="14.5703125" style="552" hidden="1" customWidth="1"/>
    <col min="16" max="16" width="78.28515625" style="552" hidden="1" customWidth="1"/>
    <col min="17" max="17" width="73.7109375" style="552" hidden="1" customWidth="1"/>
    <col min="18" max="21" width="9.140625" style="552"/>
    <col min="22" max="27" width="86.7109375" style="491" hidden="1" customWidth="1"/>
    <col min="28" max="30" width="164.140625" style="491" hidden="1" customWidth="1"/>
    <col min="31" max="31" width="34.7109375" style="491" hidden="1" customWidth="1"/>
    <col min="32" max="34" width="164.140625" style="491" hidden="1" customWidth="1"/>
    <col min="35" max="35" width="39.5703125" style="491" hidden="1" customWidth="1"/>
    <col min="36" max="36" width="134.85546875" style="491" hidden="1" customWidth="1"/>
    <col min="37" max="42" width="39.5703125" style="491" hidden="1" customWidth="1"/>
    <col min="43" max="43" width="134.85546875" style="491" hidden="1" customWidth="1"/>
    <col min="44" max="46" width="39.5703125" style="491" hidden="1" customWidth="1"/>
    <col min="47" max="47" width="134.85546875" style="491" hidden="1" customWidth="1"/>
    <col min="48" max="50" width="101.140625" style="491" hidden="1" customWidth="1"/>
    <col min="51" max="51" width="134.85546875" style="491" hidden="1" customWidth="1"/>
    <col min="52" max="54" width="101.140625" style="491" hidden="1" customWidth="1"/>
    <col min="55" max="55" width="58.7109375" style="491" hidden="1" customWidth="1"/>
    <col min="56" max="56" width="55.28515625" style="491" hidden="1" customWidth="1"/>
    <col min="57" max="57" width="58.7109375" style="491" hidden="1" customWidth="1"/>
    <col min="58" max="58" width="55.28515625" style="491" hidden="1" customWidth="1"/>
    <col min="59" max="16384" width="9.140625" style="552"/>
  </cols>
  <sheetData>
    <row r="1" spans="1:29" s="454" customFormat="1" ht="15" x14ac:dyDescent="0.25">
      <c r="N1" s="642" t="s">
        <v>2480</v>
      </c>
    </row>
    <row r="2" spans="1:29" s="454" customFormat="1" ht="11.25" customHeight="1" x14ac:dyDescent="0.25">
      <c r="A2" s="455"/>
      <c r="B2" s="455"/>
      <c r="C2" s="455"/>
      <c r="D2" s="455"/>
      <c r="E2" s="455"/>
      <c r="F2" s="455"/>
      <c r="G2" s="455"/>
      <c r="H2" s="455"/>
      <c r="I2" s="455"/>
      <c r="J2" s="455"/>
      <c r="K2" s="455"/>
      <c r="L2" s="455"/>
      <c r="M2" s="455"/>
      <c r="N2" s="453" t="s">
        <v>758</v>
      </c>
    </row>
    <row r="3" spans="1:29" s="454" customFormat="1" ht="6.75" customHeight="1" x14ac:dyDescent="0.25">
      <c r="A3" s="455"/>
      <c r="B3" s="469"/>
      <c r="C3" s="469"/>
      <c r="D3" s="469"/>
      <c r="E3" s="469"/>
      <c r="F3" s="469"/>
      <c r="G3" s="469"/>
      <c r="H3" s="469"/>
      <c r="I3" s="469"/>
      <c r="J3" s="469"/>
      <c r="K3" s="469"/>
      <c r="L3" s="469"/>
      <c r="M3" s="469"/>
      <c r="N3" s="642"/>
    </row>
    <row r="4" spans="1:29" s="454" customFormat="1" ht="2.25" customHeight="1" x14ac:dyDescent="0.25">
      <c r="A4" s="704"/>
      <c r="B4" s="461"/>
      <c r="C4" s="455"/>
      <c r="D4" s="455"/>
      <c r="E4" s="455"/>
      <c r="F4" s="455"/>
      <c r="G4" s="455"/>
      <c r="H4" s="455"/>
      <c r="I4" s="455"/>
      <c r="J4" s="455"/>
      <c r="K4" s="455"/>
      <c r="L4" s="455"/>
      <c r="M4" s="455"/>
      <c r="N4" s="455"/>
    </row>
    <row r="5" spans="1:29" s="454" customFormat="1" ht="11.25" customHeight="1" x14ac:dyDescent="0.25">
      <c r="A5" s="704" t="s">
        <v>759</v>
      </c>
      <c r="B5" s="461"/>
      <c r="C5" s="455"/>
      <c r="E5" s="455"/>
      <c r="F5" s="455"/>
      <c r="G5" s="2695" t="s">
        <v>760</v>
      </c>
      <c r="H5" s="2695"/>
      <c r="I5" s="2695"/>
      <c r="J5" s="2695"/>
      <c r="K5" s="2695"/>
      <c r="L5" s="2695"/>
      <c r="M5" s="2695"/>
      <c r="N5" s="2695"/>
    </row>
    <row r="6" spans="1:29" s="454" customFormat="1" ht="56.25" customHeight="1" x14ac:dyDescent="0.25">
      <c r="A6" s="704" t="s">
        <v>761</v>
      </c>
      <c r="B6" s="461"/>
      <c r="C6" s="455"/>
      <c r="E6" s="464"/>
      <c r="F6" s="464"/>
      <c r="G6" s="2696" t="s">
        <v>2481</v>
      </c>
      <c r="H6" s="2696"/>
      <c r="I6" s="2696"/>
      <c r="J6" s="2696"/>
      <c r="K6" s="2696"/>
      <c r="L6" s="2696"/>
      <c r="M6" s="2696"/>
      <c r="N6" s="2696"/>
      <c r="V6" s="456" t="s">
        <v>2481</v>
      </c>
    </row>
    <row r="7" spans="1:29" s="454" customFormat="1" ht="11.25" customHeight="1" x14ac:dyDescent="0.25">
      <c r="A7" s="2697" t="s">
        <v>2482</v>
      </c>
      <c r="B7" s="2697"/>
      <c r="C7" s="2697"/>
      <c r="D7" s="2697"/>
      <c r="E7" s="2697"/>
      <c r="F7" s="2697"/>
      <c r="G7" s="2696"/>
      <c r="H7" s="2696"/>
      <c r="I7" s="2696"/>
      <c r="J7" s="2696"/>
      <c r="K7" s="2696"/>
      <c r="L7" s="2696"/>
      <c r="M7" s="2696"/>
      <c r="N7" s="2696"/>
      <c r="P7" s="457" t="s">
        <v>2482</v>
      </c>
      <c r="Q7" s="457"/>
      <c r="R7" s="705"/>
      <c r="S7" s="705"/>
      <c r="T7" s="705"/>
      <c r="U7" s="705"/>
      <c r="W7" s="456" t="s">
        <v>588</v>
      </c>
    </row>
    <row r="8" spans="1:29" s="454" customFormat="1" ht="67.5" customHeight="1" x14ac:dyDescent="0.25">
      <c r="A8" s="2698" t="s">
        <v>2483</v>
      </c>
      <c r="B8" s="2698"/>
      <c r="C8" s="2698"/>
      <c r="D8" s="2698"/>
      <c r="E8" s="2698"/>
      <c r="F8" s="2698"/>
      <c r="G8" s="2696"/>
      <c r="H8" s="2696"/>
      <c r="I8" s="2696"/>
      <c r="J8" s="2696"/>
      <c r="K8" s="2696"/>
      <c r="L8" s="2696"/>
      <c r="M8" s="2696"/>
      <c r="N8" s="2696"/>
      <c r="P8" s="457" t="s">
        <v>765</v>
      </c>
      <c r="Q8" s="457"/>
      <c r="R8" s="705"/>
      <c r="S8" s="705"/>
      <c r="T8" s="705"/>
      <c r="U8" s="705"/>
      <c r="X8" s="456" t="s">
        <v>588</v>
      </c>
    </row>
    <row r="9" spans="1:29" s="454" customFormat="1" ht="33.75" customHeight="1" x14ac:dyDescent="0.25">
      <c r="A9" s="2697" t="s">
        <v>2484</v>
      </c>
      <c r="B9" s="2697"/>
      <c r="C9" s="2697"/>
      <c r="D9" s="2697"/>
      <c r="E9" s="2697"/>
      <c r="F9" s="2697"/>
      <c r="G9" s="2696"/>
      <c r="H9" s="2696"/>
      <c r="I9" s="2696"/>
      <c r="J9" s="2696"/>
      <c r="K9" s="2696"/>
      <c r="L9" s="2696"/>
      <c r="M9" s="2696"/>
      <c r="N9" s="2696"/>
      <c r="P9" s="457" t="s">
        <v>2484</v>
      </c>
      <c r="Q9" s="457"/>
      <c r="R9" s="705"/>
      <c r="S9" s="705"/>
      <c r="T9" s="705"/>
      <c r="U9" s="705"/>
      <c r="Y9" s="456" t="s">
        <v>588</v>
      </c>
    </row>
    <row r="10" spans="1:29" s="454" customFormat="1" ht="11.25" customHeight="1" x14ac:dyDescent="0.25">
      <c r="A10" s="2702" t="s">
        <v>769</v>
      </c>
      <c r="B10" s="2702"/>
      <c r="C10" s="2702"/>
      <c r="D10" s="2702"/>
      <c r="E10" s="2702"/>
      <c r="F10" s="2702"/>
      <c r="G10" s="2696" t="s">
        <v>770</v>
      </c>
      <c r="H10" s="2696"/>
      <c r="I10" s="2696"/>
      <c r="J10" s="2696"/>
      <c r="K10" s="2696"/>
      <c r="L10" s="2696"/>
      <c r="M10" s="2696"/>
      <c r="N10" s="2696"/>
      <c r="Z10" s="456" t="s">
        <v>770</v>
      </c>
    </row>
    <row r="11" spans="1:29" s="454" customFormat="1" ht="15" x14ac:dyDescent="0.25">
      <c r="A11" s="2702" t="s">
        <v>771</v>
      </c>
      <c r="B11" s="2702"/>
      <c r="C11" s="2702"/>
      <c r="D11" s="2702"/>
      <c r="E11" s="2702"/>
      <c r="F11" s="2702"/>
      <c r="G11" s="2696"/>
      <c r="H11" s="2696"/>
      <c r="I11" s="2696"/>
      <c r="J11" s="2696"/>
      <c r="K11" s="2696"/>
      <c r="L11" s="2696"/>
      <c r="M11" s="2696"/>
      <c r="N11" s="2696"/>
      <c r="AA11" s="456" t="s">
        <v>588</v>
      </c>
    </row>
    <row r="12" spans="1:29" s="454" customFormat="1" ht="3.75" customHeight="1" x14ac:dyDescent="0.25">
      <c r="A12" s="460"/>
      <c r="B12" s="455"/>
      <c r="C12" s="455"/>
      <c r="D12" s="455"/>
      <c r="E12" s="455"/>
      <c r="F12" s="461"/>
      <c r="G12" s="461"/>
      <c r="H12" s="461"/>
      <c r="I12" s="461"/>
      <c r="J12" s="461"/>
      <c r="K12" s="461"/>
      <c r="L12" s="461"/>
      <c r="M12" s="461"/>
      <c r="N12" s="461"/>
    </row>
    <row r="13" spans="1:29" s="454" customFormat="1" ht="15" x14ac:dyDescent="0.25">
      <c r="A13" s="2699" t="s">
        <v>1151</v>
      </c>
      <c r="B13" s="2699"/>
      <c r="C13" s="2699"/>
      <c r="D13" s="2699"/>
      <c r="E13" s="2699"/>
      <c r="F13" s="2699"/>
      <c r="G13" s="2699"/>
      <c r="H13" s="2699"/>
      <c r="I13" s="2699"/>
      <c r="J13" s="2699"/>
      <c r="K13" s="2699"/>
      <c r="L13" s="2699"/>
      <c r="M13" s="2699"/>
      <c r="N13" s="2699"/>
      <c r="AB13" s="456" t="s">
        <v>1151</v>
      </c>
    </row>
    <row r="14" spans="1:29" s="454" customFormat="1" ht="15" x14ac:dyDescent="0.25">
      <c r="A14" s="2664" t="s">
        <v>675</v>
      </c>
      <c r="B14" s="2664"/>
      <c r="C14" s="2664"/>
      <c r="D14" s="2664"/>
      <c r="E14" s="2664"/>
      <c r="F14" s="2664"/>
      <c r="G14" s="2664"/>
      <c r="H14" s="2664"/>
      <c r="I14" s="2664"/>
      <c r="J14" s="2664"/>
      <c r="K14" s="2664"/>
      <c r="L14" s="2664"/>
      <c r="M14" s="2664"/>
      <c r="N14" s="2664"/>
    </row>
    <row r="15" spans="1:29" s="454" customFormat="1" ht="5.25" customHeight="1" x14ac:dyDescent="0.25">
      <c r="A15" s="463"/>
      <c r="B15" s="463"/>
      <c r="C15" s="463"/>
      <c r="D15" s="463"/>
      <c r="E15" s="463"/>
      <c r="F15" s="463"/>
      <c r="G15" s="463"/>
      <c r="H15" s="463"/>
      <c r="I15" s="463"/>
      <c r="J15" s="463"/>
      <c r="K15" s="463"/>
      <c r="L15" s="463"/>
      <c r="M15" s="463"/>
      <c r="N15" s="463"/>
    </row>
    <row r="16" spans="1:29" s="454" customFormat="1" ht="15" x14ac:dyDescent="0.25">
      <c r="A16" s="2699"/>
      <c r="B16" s="2699"/>
      <c r="C16" s="2699"/>
      <c r="D16" s="2699"/>
      <c r="E16" s="2699"/>
      <c r="F16" s="2699"/>
      <c r="G16" s="2699"/>
      <c r="H16" s="2699"/>
      <c r="I16" s="2699"/>
      <c r="J16" s="2699"/>
      <c r="K16" s="2699"/>
      <c r="L16" s="2699"/>
      <c r="M16" s="2699"/>
      <c r="N16" s="2699"/>
      <c r="AC16" s="456" t="s">
        <v>588</v>
      </c>
    </row>
    <row r="17" spans="1:31" s="454" customFormat="1" ht="15" x14ac:dyDescent="0.25">
      <c r="A17" s="2664" t="s">
        <v>772</v>
      </c>
      <c r="B17" s="2664"/>
      <c r="C17" s="2664"/>
      <c r="D17" s="2664"/>
      <c r="E17" s="2664"/>
      <c r="F17" s="2664"/>
      <c r="G17" s="2664"/>
      <c r="H17" s="2664"/>
      <c r="I17" s="2664"/>
      <c r="J17" s="2664"/>
      <c r="K17" s="2664"/>
      <c r="L17" s="2664"/>
      <c r="M17" s="2664"/>
      <c r="N17" s="2664"/>
    </row>
    <row r="18" spans="1:31" s="454" customFormat="1" ht="21" customHeight="1" x14ac:dyDescent="0.25">
      <c r="A18" s="2700" t="s">
        <v>2485</v>
      </c>
      <c r="B18" s="2700"/>
      <c r="C18" s="2700"/>
      <c r="D18" s="2700"/>
      <c r="E18" s="2700"/>
      <c r="F18" s="2700"/>
      <c r="G18" s="2700"/>
      <c r="H18" s="2700"/>
      <c r="I18" s="2700"/>
      <c r="J18" s="2700"/>
      <c r="K18" s="2700"/>
      <c r="L18" s="2700"/>
      <c r="M18" s="2700"/>
      <c r="N18" s="2700"/>
    </row>
    <row r="19" spans="1:31" s="454" customFormat="1" ht="3.75" customHeight="1" x14ac:dyDescent="0.25">
      <c r="A19" s="569"/>
      <c r="B19" s="569"/>
      <c r="C19" s="569"/>
      <c r="D19" s="569"/>
      <c r="E19" s="569"/>
      <c r="F19" s="569"/>
      <c r="G19" s="569"/>
      <c r="H19" s="569"/>
      <c r="I19" s="569"/>
      <c r="J19" s="569"/>
      <c r="K19" s="569"/>
      <c r="L19" s="569"/>
      <c r="M19" s="569"/>
      <c r="N19" s="569"/>
    </row>
    <row r="20" spans="1:31" s="454" customFormat="1" ht="15" x14ac:dyDescent="0.25">
      <c r="A20" s="2701" t="s">
        <v>1155</v>
      </c>
      <c r="B20" s="2701"/>
      <c r="C20" s="2701"/>
      <c r="D20" s="2701"/>
      <c r="E20" s="2701"/>
      <c r="F20" s="2701"/>
      <c r="G20" s="2701"/>
      <c r="H20" s="2701"/>
      <c r="I20" s="2701"/>
      <c r="J20" s="2701"/>
      <c r="K20" s="2701"/>
      <c r="L20" s="2701"/>
      <c r="M20" s="2701"/>
      <c r="N20" s="2701"/>
      <c r="AD20" s="456" t="s">
        <v>1155</v>
      </c>
    </row>
    <row r="21" spans="1:31" s="454" customFormat="1" ht="12" customHeight="1" x14ac:dyDescent="0.25">
      <c r="A21" s="2664" t="s">
        <v>773</v>
      </c>
      <c r="B21" s="2664"/>
      <c r="C21" s="2664"/>
      <c r="D21" s="2664"/>
      <c r="E21" s="2664"/>
      <c r="F21" s="2664"/>
      <c r="G21" s="2664"/>
      <c r="H21" s="2664"/>
      <c r="I21" s="2664"/>
      <c r="J21" s="2664"/>
      <c r="K21" s="2664"/>
      <c r="L21" s="2664"/>
      <c r="M21" s="2664"/>
      <c r="N21" s="2664"/>
    </row>
    <row r="22" spans="1:31" s="454" customFormat="1" ht="12" customHeight="1" x14ac:dyDescent="0.25">
      <c r="A22" s="455" t="s">
        <v>774</v>
      </c>
      <c r="B22" s="706" t="s">
        <v>2486</v>
      </c>
      <c r="C22" s="452" t="s">
        <v>776</v>
      </c>
      <c r="D22" s="452"/>
      <c r="E22" s="452"/>
      <c r="F22" s="464"/>
      <c r="G22" s="464"/>
      <c r="H22" s="464"/>
      <c r="I22" s="464"/>
      <c r="J22" s="464"/>
      <c r="K22" s="464"/>
      <c r="L22" s="464"/>
      <c r="M22" s="464"/>
      <c r="N22" s="464"/>
    </row>
    <row r="23" spans="1:31" s="454" customFormat="1" ht="12" customHeight="1" x14ac:dyDescent="0.25">
      <c r="A23" s="455" t="s">
        <v>630</v>
      </c>
      <c r="B23" s="2695" t="s">
        <v>2487</v>
      </c>
      <c r="C23" s="2695"/>
      <c r="D23" s="2695"/>
      <c r="E23" s="2695"/>
      <c r="F23" s="2695"/>
      <c r="G23" s="464"/>
      <c r="H23" s="464"/>
      <c r="I23" s="464"/>
      <c r="J23" s="464"/>
      <c r="K23" s="464"/>
      <c r="L23" s="464"/>
      <c r="M23" s="464"/>
      <c r="N23" s="464"/>
    </row>
    <row r="24" spans="1:31" s="454" customFormat="1" ht="15" x14ac:dyDescent="0.25">
      <c r="A24" s="455"/>
      <c r="B24" s="2706" t="s">
        <v>778</v>
      </c>
      <c r="C24" s="2706"/>
      <c r="D24" s="2706"/>
      <c r="E24" s="2706"/>
      <c r="F24" s="2706"/>
      <c r="G24" s="465"/>
      <c r="H24" s="465"/>
      <c r="I24" s="465"/>
      <c r="J24" s="465"/>
      <c r="K24" s="465"/>
      <c r="L24" s="465"/>
      <c r="M24" s="466"/>
      <c r="N24" s="465"/>
    </row>
    <row r="25" spans="1:31" s="454" customFormat="1" ht="5.25" customHeight="1" x14ac:dyDescent="0.25">
      <c r="A25" s="455"/>
      <c r="B25" s="455"/>
      <c r="C25" s="455"/>
      <c r="D25" s="467"/>
      <c r="E25" s="467"/>
      <c r="F25" s="467"/>
      <c r="G25" s="467"/>
      <c r="H25" s="467"/>
      <c r="I25" s="467"/>
      <c r="J25" s="467"/>
      <c r="K25" s="467"/>
      <c r="L25" s="467"/>
      <c r="M25" s="465"/>
      <c r="N25" s="465"/>
    </row>
    <row r="26" spans="1:31" s="454" customFormat="1" ht="34.5" x14ac:dyDescent="0.25">
      <c r="A26" s="468" t="s">
        <v>2488</v>
      </c>
      <c r="B26" s="455"/>
      <c r="C26" s="455"/>
      <c r="D26" s="2707" t="s">
        <v>2489</v>
      </c>
      <c r="E26" s="2707"/>
      <c r="F26" s="2707"/>
      <c r="G26" s="707"/>
      <c r="H26" s="707"/>
      <c r="I26" s="707"/>
      <c r="J26" s="707"/>
      <c r="K26" s="707"/>
      <c r="L26" s="707"/>
      <c r="M26" s="707"/>
      <c r="N26" s="707"/>
      <c r="AE26" s="456" t="s">
        <v>2489</v>
      </c>
    </row>
    <row r="27" spans="1:31" s="454" customFormat="1" ht="7.5" customHeight="1" x14ac:dyDescent="0.25">
      <c r="A27" s="455"/>
      <c r="B27" s="469"/>
      <c r="C27" s="469"/>
      <c r="D27" s="472"/>
      <c r="E27" s="472"/>
      <c r="F27" s="472"/>
      <c r="G27" s="472"/>
      <c r="H27" s="472"/>
      <c r="I27" s="472"/>
      <c r="J27" s="472"/>
      <c r="K27" s="472"/>
      <c r="L27" s="472"/>
      <c r="M27" s="472"/>
      <c r="N27" s="472"/>
    </row>
    <row r="28" spans="1:31" s="454" customFormat="1" ht="12" customHeight="1" x14ac:dyDescent="0.25">
      <c r="A28" s="468" t="s">
        <v>781</v>
      </c>
      <c r="B28" s="469"/>
      <c r="C28" s="708">
        <v>79184.009999999995</v>
      </c>
      <c r="D28" s="645" t="s">
        <v>2490</v>
      </c>
      <c r="E28" s="479" t="s">
        <v>782</v>
      </c>
      <c r="G28" s="469"/>
      <c r="H28" s="469"/>
      <c r="I28" s="469"/>
      <c r="J28" s="469"/>
      <c r="K28" s="469"/>
      <c r="L28" s="474"/>
      <c r="M28" s="474"/>
      <c r="N28" s="469"/>
    </row>
    <row r="29" spans="1:31" s="454" customFormat="1" ht="11.25" customHeight="1" x14ac:dyDescent="0.25">
      <c r="A29" s="455"/>
      <c r="B29" s="475" t="s">
        <v>783</v>
      </c>
      <c r="C29" s="709"/>
      <c r="D29" s="477"/>
      <c r="E29" s="479"/>
      <c r="G29" s="469"/>
    </row>
    <row r="30" spans="1:31" s="454" customFormat="1" ht="12" customHeight="1" x14ac:dyDescent="0.25">
      <c r="A30" s="455"/>
      <c r="B30" s="478" t="s">
        <v>784</v>
      </c>
      <c r="C30" s="708">
        <v>79184.009999999995</v>
      </c>
      <c r="D30" s="645" t="s">
        <v>2490</v>
      </c>
      <c r="E30" s="479" t="s">
        <v>782</v>
      </c>
      <c r="G30" s="469" t="s">
        <v>785</v>
      </c>
      <c r="I30" s="469"/>
      <c r="J30" s="469"/>
      <c r="K30" s="469"/>
      <c r="L30" s="708">
        <v>7942.69</v>
      </c>
      <c r="M30" s="710" t="s">
        <v>2491</v>
      </c>
      <c r="N30" s="479" t="s">
        <v>782</v>
      </c>
    </row>
    <row r="31" spans="1:31" s="454" customFormat="1" ht="12" customHeight="1" x14ac:dyDescent="0.25">
      <c r="A31" s="455"/>
      <c r="B31" s="478" t="s">
        <v>680</v>
      </c>
      <c r="C31" s="708">
        <v>0</v>
      </c>
      <c r="D31" s="711" t="s">
        <v>2492</v>
      </c>
      <c r="E31" s="479" t="s">
        <v>782</v>
      </c>
      <c r="G31" s="469" t="s">
        <v>787</v>
      </c>
      <c r="I31" s="469"/>
      <c r="J31" s="469"/>
      <c r="K31" s="469"/>
      <c r="L31" s="2708">
        <v>30345.68</v>
      </c>
      <c r="M31" s="2708"/>
      <c r="N31" s="479" t="s">
        <v>2493</v>
      </c>
    </row>
    <row r="32" spans="1:31" s="454" customFormat="1" ht="12" customHeight="1" x14ac:dyDescent="0.25">
      <c r="A32" s="455"/>
      <c r="B32" s="478" t="s">
        <v>681</v>
      </c>
      <c r="C32" s="708">
        <v>0</v>
      </c>
      <c r="D32" s="711" t="s">
        <v>2492</v>
      </c>
      <c r="E32" s="479" t="s">
        <v>782</v>
      </c>
      <c r="G32" s="469" t="s">
        <v>789</v>
      </c>
      <c r="I32" s="469"/>
      <c r="J32" s="469"/>
      <c r="K32" s="469"/>
      <c r="L32" s="2708">
        <v>11096.54</v>
      </c>
      <c r="M32" s="2708"/>
      <c r="N32" s="479" t="s">
        <v>2493</v>
      </c>
    </row>
    <row r="33" spans="1:39" s="454" customFormat="1" ht="12" customHeight="1" x14ac:dyDescent="0.25">
      <c r="A33" s="455"/>
      <c r="B33" s="478" t="s">
        <v>682</v>
      </c>
      <c r="C33" s="708">
        <v>0</v>
      </c>
      <c r="D33" s="645" t="s">
        <v>2492</v>
      </c>
      <c r="E33" s="479" t="s">
        <v>782</v>
      </c>
      <c r="G33" s="469"/>
      <c r="H33" s="469"/>
      <c r="I33" s="469"/>
      <c r="J33" s="469"/>
      <c r="K33" s="469"/>
      <c r="L33" s="2703" t="s">
        <v>461</v>
      </c>
      <c r="M33" s="2703"/>
      <c r="N33" s="469"/>
    </row>
    <row r="34" spans="1:39" s="454" customFormat="1" ht="7.5" customHeight="1" x14ac:dyDescent="0.25">
      <c r="A34" s="712"/>
    </row>
    <row r="35" spans="1:39" s="454" customFormat="1" ht="23.25" customHeight="1" x14ac:dyDescent="0.25">
      <c r="A35" s="2704" t="s">
        <v>5</v>
      </c>
      <c r="B35" s="2705" t="s">
        <v>665</v>
      </c>
      <c r="C35" s="2705" t="s">
        <v>527</v>
      </c>
      <c r="D35" s="2705"/>
      <c r="E35" s="2705"/>
      <c r="F35" s="2705" t="s">
        <v>455</v>
      </c>
      <c r="G35" s="2705" t="s">
        <v>790</v>
      </c>
      <c r="H35" s="2705"/>
      <c r="I35" s="2705"/>
      <c r="J35" s="2705" t="s">
        <v>2494</v>
      </c>
      <c r="K35" s="2705"/>
      <c r="L35" s="2705"/>
      <c r="M35" s="2705" t="s">
        <v>2495</v>
      </c>
      <c r="N35" s="2705" t="s">
        <v>2496</v>
      </c>
    </row>
    <row r="36" spans="1:39" s="454" customFormat="1" ht="28.5" customHeight="1" x14ac:dyDescent="0.25">
      <c r="A36" s="2704"/>
      <c r="B36" s="2705"/>
      <c r="C36" s="2705"/>
      <c r="D36" s="2705"/>
      <c r="E36" s="2705"/>
      <c r="F36" s="2705"/>
      <c r="G36" s="2705"/>
      <c r="H36" s="2705"/>
      <c r="I36" s="2705"/>
      <c r="J36" s="2705"/>
      <c r="K36" s="2705"/>
      <c r="L36" s="2705"/>
      <c r="M36" s="2705"/>
      <c r="N36" s="2705"/>
    </row>
    <row r="37" spans="1:39" s="454" customFormat="1" ht="22.5" x14ac:dyDescent="0.25">
      <c r="A37" s="2704"/>
      <c r="B37" s="2705"/>
      <c r="C37" s="2705"/>
      <c r="D37" s="2705"/>
      <c r="E37" s="2705"/>
      <c r="F37" s="2705"/>
      <c r="G37" s="713" t="s">
        <v>1178</v>
      </c>
      <c r="H37" s="713" t="s">
        <v>793</v>
      </c>
      <c r="I37" s="713" t="s">
        <v>794</v>
      </c>
      <c r="J37" s="713" t="s">
        <v>1178</v>
      </c>
      <c r="K37" s="713" t="s">
        <v>793</v>
      </c>
      <c r="L37" s="713" t="s">
        <v>683</v>
      </c>
      <c r="M37" s="2705"/>
      <c r="N37" s="2705"/>
    </row>
    <row r="38" spans="1:39" s="454" customFormat="1" ht="15" x14ac:dyDescent="0.25">
      <c r="A38" s="714">
        <v>1</v>
      </c>
      <c r="B38" s="715">
        <v>2</v>
      </c>
      <c r="C38" s="2712">
        <v>3</v>
      </c>
      <c r="D38" s="2712"/>
      <c r="E38" s="2712"/>
      <c r="F38" s="715">
        <v>4</v>
      </c>
      <c r="G38" s="715">
        <v>5</v>
      </c>
      <c r="H38" s="715">
        <v>6</v>
      </c>
      <c r="I38" s="715">
        <v>7</v>
      </c>
      <c r="J38" s="715">
        <v>8</v>
      </c>
      <c r="K38" s="715">
        <v>9</v>
      </c>
      <c r="L38" s="715">
        <v>10</v>
      </c>
      <c r="M38" s="715">
        <v>11</v>
      </c>
      <c r="N38" s="715">
        <v>12</v>
      </c>
    </row>
    <row r="39" spans="1:39" s="454" customFormat="1" ht="15" x14ac:dyDescent="0.25">
      <c r="A39" s="2713" t="s">
        <v>1179</v>
      </c>
      <c r="B39" s="2714"/>
      <c r="C39" s="2714"/>
      <c r="D39" s="2714"/>
      <c r="E39" s="2714"/>
      <c r="F39" s="2714"/>
      <c r="G39" s="2714"/>
      <c r="H39" s="2714"/>
      <c r="I39" s="2714"/>
      <c r="J39" s="2714"/>
      <c r="K39" s="2714"/>
      <c r="L39" s="2714"/>
      <c r="M39" s="2714"/>
      <c r="N39" s="2715"/>
      <c r="AF39" s="716" t="s">
        <v>1179</v>
      </c>
    </row>
    <row r="40" spans="1:39" s="454" customFormat="1" ht="15" x14ac:dyDescent="0.25">
      <c r="A40" s="2716" t="s">
        <v>1180</v>
      </c>
      <c r="B40" s="2717"/>
      <c r="C40" s="2717"/>
      <c r="D40" s="2717"/>
      <c r="E40" s="2717"/>
      <c r="F40" s="2717"/>
      <c r="G40" s="2717"/>
      <c r="H40" s="2717"/>
      <c r="I40" s="2717"/>
      <c r="J40" s="2717"/>
      <c r="K40" s="2717"/>
      <c r="L40" s="2717"/>
      <c r="M40" s="2717"/>
      <c r="N40" s="2718"/>
      <c r="AF40" s="716"/>
      <c r="AG40" s="481" t="s">
        <v>1180</v>
      </c>
    </row>
    <row r="41" spans="1:39" s="454" customFormat="1" ht="15" x14ac:dyDescent="0.25">
      <c r="A41" s="2719" t="s">
        <v>1181</v>
      </c>
      <c r="B41" s="2720"/>
      <c r="C41" s="2720"/>
      <c r="D41" s="2720"/>
      <c r="E41" s="2720"/>
      <c r="F41" s="2720"/>
      <c r="G41" s="2720"/>
      <c r="H41" s="2720"/>
      <c r="I41" s="2720"/>
      <c r="J41" s="2720"/>
      <c r="K41" s="2720"/>
      <c r="L41" s="2720"/>
      <c r="M41" s="2720"/>
      <c r="N41" s="2721"/>
      <c r="AF41" s="716"/>
      <c r="AG41" s="481"/>
      <c r="AH41" s="491" t="s">
        <v>1181</v>
      </c>
    </row>
    <row r="42" spans="1:39" s="454" customFormat="1" ht="23.25" x14ac:dyDescent="0.25">
      <c r="A42" s="482" t="s">
        <v>190</v>
      </c>
      <c r="B42" s="568" t="s">
        <v>2497</v>
      </c>
      <c r="C42" s="2722" t="s">
        <v>2498</v>
      </c>
      <c r="D42" s="2722"/>
      <c r="E42" s="2722"/>
      <c r="F42" s="483" t="s">
        <v>2499</v>
      </c>
      <c r="G42" s="484">
        <v>2.2435</v>
      </c>
      <c r="H42" s="485">
        <v>1</v>
      </c>
      <c r="I42" s="717">
        <v>2.2435</v>
      </c>
      <c r="J42" s="487"/>
      <c r="K42" s="484"/>
      <c r="L42" s="487"/>
      <c r="M42" s="484"/>
      <c r="N42" s="488"/>
      <c r="AF42" s="716"/>
      <c r="AG42" s="481"/>
      <c r="AI42" s="481" t="s">
        <v>2498</v>
      </c>
    </row>
    <row r="43" spans="1:39" s="454" customFormat="1" ht="33.75" x14ac:dyDescent="0.25">
      <c r="A43" s="489"/>
      <c r="B43" s="490" t="s">
        <v>1655</v>
      </c>
      <c r="C43" s="2709" t="s">
        <v>1656</v>
      </c>
      <c r="D43" s="2709"/>
      <c r="E43" s="2709"/>
      <c r="F43" s="2709"/>
      <c r="G43" s="2709"/>
      <c r="H43" s="2709"/>
      <c r="I43" s="2709"/>
      <c r="J43" s="2709"/>
      <c r="K43" s="2709"/>
      <c r="L43" s="2709"/>
      <c r="M43" s="2709"/>
      <c r="N43" s="2710"/>
      <c r="AF43" s="716"/>
      <c r="AG43" s="481"/>
      <c r="AI43" s="481"/>
      <c r="AJ43" s="491" t="s">
        <v>1656</v>
      </c>
    </row>
    <row r="44" spans="1:39" s="454" customFormat="1" ht="15" x14ac:dyDescent="0.25">
      <c r="A44" s="718"/>
      <c r="B44" s="490" t="s">
        <v>639</v>
      </c>
      <c r="C44" s="2669" t="s">
        <v>697</v>
      </c>
      <c r="D44" s="2669"/>
      <c r="E44" s="2669"/>
      <c r="F44" s="719"/>
      <c r="G44" s="564"/>
      <c r="H44" s="564"/>
      <c r="I44" s="564"/>
      <c r="J44" s="505">
        <v>12958.34</v>
      </c>
      <c r="K44" s="511">
        <v>1.5</v>
      </c>
      <c r="L44" s="505">
        <v>43608.05</v>
      </c>
      <c r="M44" s="506">
        <v>10.92</v>
      </c>
      <c r="N44" s="720">
        <v>476199.91</v>
      </c>
      <c r="AF44" s="716"/>
      <c r="AG44" s="481"/>
      <c r="AI44" s="481"/>
      <c r="AK44" s="491" t="s">
        <v>697</v>
      </c>
    </row>
    <row r="45" spans="1:39" s="454" customFormat="1" ht="15" x14ac:dyDescent="0.25">
      <c r="A45" s="718"/>
      <c r="B45" s="490" t="s">
        <v>640</v>
      </c>
      <c r="C45" s="2669" t="s">
        <v>2500</v>
      </c>
      <c r="D45" s="2669"/>
      <c r="E45" s="2669"/>
      <c r="F45" s="719"/>
      <c r="G45" s="564"/>
      <c r="H45" s="564"/>
      <c r="I45" s="564"/>
      <c r="J45" s="510">
        <v>268.47000000000003</v>
      </c>
      <c r="K45" s="511">
        <v>1.5</v>
      </c>
      <c r="L45" s="510">
        <v>903.47</v>
      </c>
      <c r="M45" s="506">
        <v>27.32</v>
      </c>
      <c r="N45" s="720">
        <v>24682.799999999999</v>
      </c>
      <c r="AF45" s="716"/>
      <c r="AG45" s="481"/>
      <c r="AI45" s="481"/>
      <c r="AK45" s="491" t="s">
        <v>2500</v>
      </c>
    </row>
    <row r="46" spans="1:39" s="454" customFormat="1" ht="15" x14ac:dyDescent="0.25">
      <c r="A46" s="721"/>
      <c r="B46" s="490"/>
      <c r="C46" s="2669" t="s">
        <v>2501</v>
      </c>
      <c r="D46" s="2669"/>
      <c r="E46" s="2669"/>
      <c r="F46" s="719" t="s">
        <v>807</v>
      </c>
      <c r="G46" s="506">
        <v>16.329999999999998</v>
      </c>
      <c r="H46" s="511">
        <v>1.5</v>
      </c>
      <c r="I46" s="722">
        <v>54.954532499999999</v>
      </c>
      <c r="J46" s="501"/>
      <c r="K46" s="564"/>
      <c r="L46" s="501"/>
      <c r="M46" s="564"/>
      <c r="N46" s="723"/>
      <c r="AF46" s="716"/>
      <c r="AG46" s="481"/>
      <c r="AI46" s="481"/>
      <c r="AL46" s="491" t="s">
        <v>2501</v>
      </c>
    </row>
    <row r="47" spans="1:39" s="454" customFormat="1" ht="15" x14ac:dyDescent="0.25">
      <c r="A47" s="718"/>
      <c r="B47" s="490"/>
      <c r="C47" s="2711" t="s">
        <v>2502</v>
      </c>
      <c r="D47" s="2711"/>
      <c r="E47" s="2711"/>
      <c r="F47" s="724"/>
      <c r="G47" s="563"/>
      <c r="H47" s="563"/>
      <c r="I47" s="563"/>
      <c r="J47" s="725">
        <v>12958.34</v>
      </c>
      <c r="K47" s="563"/>
      <c r="L47" s="725">
        <v>43608.05</v>
      </c>
      <c r="M47" s="563"/>
      <c r="N47" s="726">
        <v>476199.91</v>
      </c>
      <c r="AF47" s="716"/>
      <c r="AG47" s="481"/>
      <c r="AI47" s="481"/>
      <c r="AM47" s="491" t="s">
        <v>2502</v>
      </c>
    </row>
    <row r="48" spans="1:39" s="454" customFormat="1" ht="15" x14ac:dyDescent="0.25">
      <c r="A48" s="721"/>
      <c r="B48" s="490"/>
      <c r="C48" s="2669" t="s">
        <v>867</v>
      </c>
      <c r="D48" s="2669"/>
      <c r="E48" s="2669"/>
      <c r="F48" s="719"/>
      <c r="G48" s="564"/>
      <c r="H48" s="564"/>
      <c r="I48" s="564"/>
      <c r="J48" s="501"/>
      <c r="K48" s="564"/>
      <c r="L48" s="510">
        <v>903.47</v>
      </c>
      <c r="M48" s="564"/>
      <c r="N48" s="720">
        <v>24682.799999999999</v>
      </c>
      <c r="AF48" s="716"/>
      <c r="AG48" s="481"/>
      <c r="AI48" s="481"/>
      <c r="AL48" s="491" t="s">
        <v>867</v>
      </c>
    </row>
    <row r="49" spans="1:40" s="454" customFormat="1" ht="34.5" x14ac:dyDescent="0.25">
      <c r="A49" s="721"/>
      <c r="B49" s="490" t="s">
        <v>2503</v>
      </c>
      <c r="C49" s="2669" t="s">
        <v>2504</v>
      </c>
      <c r="D49" s="2669"/>
      <c r="E49" s="2669"/>
      <c r="F49" s="719" t="s">
        <v>636</v>
      </c>
      <c r="G49" s="727">
        <v>89</v>
      </c>
      <c r="H49" s="564"/>
      <c r="I49" s="727">
        <v>89</v>
      </c>
      <c r="J49" s="501"/>
      <c r="K49" s="564"/>
      <c r="L49" s="510">
        <v>804.09</v>
      </c>
      <c r="M49" s="564"/>
      <c r="N49" s="720">
        <v>21967.69</v>
      </c>
      <c r="AF49" s="716"/>
      <c r="AG49" s="481"/>
      <c r="AI49" s="481"/>
      <c r="AL49" s="491" t="s">
        <v>2504</v>
      </c>
    </row>
    <row r="50" spans="1:40" s="454" customFormat="1" ht="34.5" x14ac:dyDescent="0.25">
      <c r="A50" s="721"/>
      <c r="B50" s="490" t="s">
        <v>2505</v>
      </c>
      <c r="C50" s="2669" t="s">
        <v>2506</v>
      </c>
      <c r="D50" s="2669"/>
      <c r="E50" s="2669"/>
      <c r="F50" s="719" t="s">
        <v>636</v>
      </c>
      <c r="G50" s="727">
        <v>41</v>
      </c>
      <c r="H50" s="564"/>
      <c r="I50" s="727">
        <v>41</v>
      </c>
      <c r="J50" s="501"/>
      <c r="K50" s="564"/>
      <c r="L50" s="510">
        <v>370.42</v>
      </c>
      <c r="M50" s="564"/>
      <c r="N50" s="720">
        <v>10119.950000000001</v>
      </c>
      <c r="AF50" s="716"/>
      <c r="AG50" s="481"/>
      <c r="AI50" s="481"/>
      <c r="AL50" s="491" t="s">
        <v>2506</v>
      </c>
    </row>
    <row r="51" spans="1:40" s="454" customFormat="1" ht="15" x14ac:dyDescent="0.25">
      <c r="A51" s="526"/>
      <c r="B51" s="567"/>
      <c r="C51" s="2722" t="s">
        <v>872</v>
      </c>
      <c r="D51" s="2722"/>
      <c r="E51" s="2722"/>
      <c r="F51" s="483"/>
      <c r="G51" s="484"/>
      <c r="H51" s="484"/>
      <c r="I51" s="484"/>
      <c r="J51" s="487"/>
      <c r="K51" s="484"/>
      <c r="L51" s="524">
        <v>44782.559999999998</v>
      </c>
      <c r="M51" s="563"/>
      <c r="N51" s="525">
        <v>508287.55</v>
      </c>
      <c r="AF51" s="716"/>
      <c r="AG51" s="481"/>
      <c r="AI51" s="481"/>
      <c r="AN51" s="481" t="s">
        <v>872</v>
      </c>
    </row>
    <row r="52" spans="1:40" s="454" customFormat="1" ht="45.75" x14ac:dyDescent="0.25">
      <c r="A52" s="482" t="s">
        <v>639</v>
      </c>
      <c r="B52" s="568" t="s">
        <v>2507</v>
      </c>
      <c r="C52" s="2722" t="s">
        <v>2508</v>
      </c>
      <c r="D52" s="2722"/>
      <c r="E52" s="2722"/>
      <c r="F52" s="483" t="s">
        <v>2509</v>
      </c>
      <c r="G52" s="484">
        <v>3.0450000000000001E-2</v>
      </c>
      <c r="H52" s="485">
        <v>1</v>
      </c>
      <c r="I52" s="541">
        <v>3.0450000000000001E-2</v>
      </c>
      <c r="J52" s="487"/>
      <c r="K52" s="484"/>
      <c r="L52" s="487"/>
      <c r="M52" s="484"/>
      <c r="N52" s="488"/>
      <c r="AF52" s="716"/>
      <c r="AG52" s="481"/>
      <c r="AI52" s="481" t="s">
        <v>2508</v>
      </c>
      <c r="AN52" s="481"/>
    </row>
    <row r="53" spans="1:40" s="454" customFormat="1" ht="33.75" x14ac:dyDescent="0.25">
      <c r="A53" s="489"/>
      <c r="B53" s="490" t="s">
        <v>1655</v>
      </c>
      <c r="C53" s="2709" t="s">
        <v>1656</v>
      </c>
      <c r="D53" s="2709"/>
      <c r="E53" s="2709"/>
      <c r="F53" s="2709"/>
      <c r="G53" s="2709"/>
      <c r="H53" s="2709"/>
      <c r="I53" s="2709"/>
      <c r="J53" s="2709"/>
      <c r="K53" s="2709"/>
      <c r="L53" s="2709"/>
      <c r="M53" s="2709"/>
      <c r="N53" s="2710"/>
      <c r="AF53" s="716"/>
      <c r="AG53" s="481"/>
      <c r="AI53" s="481"/>
      <c r="AJ53" s="491" t="s">
        <v>1656</v>
      </c>
      <c r="AN53" s="481"/>
    </row>
    <row r="54" spans="1:40" s="454" customFormat="1" ht="15" x14ac:dyDescent="0.25">
      <c r="A54" s="718"/>
      <c r="B54" s="490" t="s">
        <v>639</v>
      </c>
      <c r="C54" s="2669" t="s">
        <v>697</v>
      </c>
      <c r="D54" s="2669"/>
      <c r="E54" s="2669"/>
      <c r="F54" s="719"/>
      <c r="G54" s="564"/>
      <c r="H54" s="564"/>
      <c r="I54" s="564"/>
      <c r="J54" s="505">
        <v>7500</v>
      </c>
      <c r="K54" s="511">
        <v>1.5</v>
      </c>
      <c r="L54" s="510">
        <v>342.56</v>
      </c>
      <c r="M54" s="506">
        <v>10.92</v>
      </c>
      <c r="N54" s="720">
        <v>3740.76</v>
      </c>
      <c r="AF54" s="716"/>
      <c r="AG54" s="481"/>
      <c r="AI54" s="481"/>
      <c r="AK54" s="491" t="s">
        <v>697</v>
      </c>
      <c r="AN54" s="481"/>
    </row>
    <row r="55" spans="1:40" s="454" customFormat="1" ht="15" x14ac:dyDescent="0.25">
      <c r="A55" s="718"/>
      <c r="B55" s="490" t="s">
        <v>640</v>
      </c>
      <c r="C55" s="2669" t="s">
        <v>2500</v>
      </c>
      <c r="D55" s="2669"/>
      <c r="E55" s="2669"/>
      <c r="F55" s="719"/>
      <c r="G55" s="564"/>
      <c r="H55" s="564"/>
      <c r="I55" s="564"/>
      <c r="J55" s="505">
        <v>1012.5</v>
      </c>
      <c r="K55" s="511">
        <v>1.5</v>
      </c>
      <c r="L55" s="510">
        <v>46.25</v>
      </c>
      <c r="M55" s="506">
        <v>27.32</v>
      </c>
      <c r="N55" s="720">
        <v>1263.55</v>
      </c>
      <c r="AF55" s="716"/>
      <c r="AG55" s="481"/>
      <c r="AI55" s="481"/>
      <c r="AK55" s="491" t="s">
        <v>2500</v>
      </c>
      <c r="AN55" s="481"/>
    </row>
    <row r="56" spans="1:40" s="454" customFormat="1" ht="15" x14ac:dyDescent="0.25">
      <c r="A56" s="721"/>
      <c r="B56" s="490"/>
      <c r="C56" s="2669" t="s">
        <v>2501</v>
      </c>
      <c r="D56" s="2669"/>
      <c r="E56" s="2669"/>
      <c r="F56" s="719" t="s">
        <v>807</v>
      </c>
      <c r="G56" s="727">
        <v>75</v>
      </c>
      <c r="H56" s="511">
        <v>1.5</v>
      </c>
      <c r="I56" s="728">
        <v>3.4256250000000001</v>
      </c>
      <c r="J56" s="501"/>
      <c r="K56" s="564"/>
      <c r="L56" s="501"/>
      <c r="M56" s="564"/>
      <c r="N56" s="723"/>
      <c r="AF56" s="716"/>
      <c r="AG56" s="481"/>
      <c r="AI56" s="481"/>
      <c r="AL56" s="491" t="s">
        <v>2501</v>
      </c>
      <c r="AN56" s="481"/>
    </row>
    <row r="57" spans="1:40" s="454" customFormat="1" ht="15" x14ac:dyDescent="0.25">
      <c r="A57" s="718"/>
      <c r="B57" s="490"/>
      <c r="C57" s="2711" t="s">
        <v>2502</v>
      </c>
      <c r="D57" s="2711"/>
      <c r="E57" s="2711"/>
      <c r="F57" s="724"/>
      <c r="G57" s="563"/>
      <c r="H57" s="563"/>
      <c r="I57" s="563"/>
      <c r="J57" s="725">
        <v>7500</v>
      </c>
      <c r="K57" s="563"/>
      <c r="L57" s="729">
        <v>342.56</v>
      </c>
      <c r="M57" s="563"/>
      <c r="N57" s="726">
        <v>3740.76</v>
      </c>
      <c r="AF57" s="716"/>
      <c r="AG57" s="481"/>
      <c r="AI57" s="481"/>
      <c r="AM57" s="491" t="s">
        <v>2502</v>
      </c>
      <c r="AN57" s="481"/>
    </row>
    <row r="58" spans="1:40" s="454" customFormat="1" ht="15" x14ac:dyDescent="0.25">
      <c r="A58" s="721"/>
      <c r="B58" s="490"/>
      <c r="C58" s="2669" t="s">
        <v>867</v>
      </c>
      <c r="D58" s="2669"/>
      <c r="E58" s="2669"/>
      <c r="F58" s="719"/>
      <c r="G58" s="564"/>
      <c r="H58" s="564"/>
      <c r="I58" s="564"/>
      <c r="J58" s="501"/>
      <c r="K58" s="564"/>
      <c r="L58" s="510">
        <v>46.25</v>
      </c>
      <c r="M58" s="564"/>
      <c r="N58" s="720">
        <v>1263.55</v>
      </c>
      <c r="AF58" s="716"/>
      <c r="AG58" s="481"/>
      <c r="AI58" s="481"/>
      <c r="AL58" s="491" t="s">
        <v>867</v>
      </c>
      <c r="AN58" s="481"/>
    </row>
    <row r="59" spans="1:40" s="454" customFormat="1" ht="23.25" x14ac:dyDescent="0.25">
      <c r="A59" s="721"/>
      <c r="B59" s="490" t="s">
        <v>2510</v>
      </c>
      <c r="C59" s="2669" t="s">
        <v>2511</v>
      </c>
      <c r="D59" s="2669"/>
      <c r="E59" s="2669"/>
      <c r="F59" s="719" t="s">
        <v>636</v>
      </c>
      <c r="G59" s="727">
        <v>92</v>
      </c>
      <c r="H59" s="564"/>
      <c r="I59" s="727">
        <v>92</v>
      </c>
      <c r="J59" s="501"/>
      <c r="K59" s="564"/>
      <c r="L59" s="510">
        <v>42.55</v>
      </c>
      <c r="M59" s="564"/>
      <c r="N59" s="720">
        <v>1162.47</v>
      </c>
      <c r="AF59" s="716"/>
      <c r="AG59" s="481"/>
      <c r="AI59" s="481"/>
      <c r="AL59" s="491" t="s">
        <v>2511</v>
      </c>
      <c r="AN59" s="481"/>
    </row>
    <row r="60" spans="1:40" s="454" customFormat="1" ht="23.25" x14ac:dyDescent="0.25">
      <c r="A60" s="721"/>
      <c r="B60" s="490" t="s">
        <v>2512</v>
      </c>
      <c r="C60" s="2669" t="s">
        <v>2513</v>
      </c>
      <c r="D60" s="2669"/>
      <c r="E60" s="2669"/>
      <c r="F60" s="719" t="s">
        <v>636</v>
      </c>
      <c r="G60" s="727">
        <v>46</v>
      </c>
      <c r="H60" s="564"/>
      <c r="I60" s="727">
        <v>46</v>
      </c>
      <c r="J60" s="501"/>
      <c r="K60" s="564"/>
      <c r="L60" s="510">
        <v>21.28</v>
      </c>
      <c r="M60" s="564"/>
      <c r="N60" s="730">
        <v>581.23</v>
      </c>
      <c r="AF60" s="716"/>
      <c r="AG60" s="481"/>
      <c r="AI60" s="481"/>
      <c r="AL60" s="491" t="s">
        <v>2513</v>
      </c>
      <c r="AN60" s="481"/>
    </row>
    <row r="61" spans="1:40" s="454" customFormat="1" ht="15" x14ac:dyDescent="0.25">
      <c r="A61" s="526"/>
      <c r="B61" s="567"/>
      <c r="C61" s="2722" t="s">
        <v>872</v>
      </c>
      <c r="D61" s="2722"/>
      <c r="E61" s="2722"/>
      <c r="F61" s="483"/>
      <c r="G61" s="484"/>
      <c r="H61" s="484"/>
      <c r="I61" s="484"/>
      <c r="J61" s="487"/>
      <c r="K61" s="484"/>
      <c r="L61" s="527">
        <v>406.39</v>
      </c>
      <c r="M61" s="563"/>
      <c r="N61" s="525">
        <v>5484.46</v>
      </c>
      <c r="AF61" s="716"/>
      <c r="AG61" s="481"/>
      <c r="AI61" s="481"/>
      <c r="AN61" s="481" t="s">
        <v>872</v>
      </c>
    </row>
    <row r="62" spans="1:40" s="454" customFormat="1" ht="45.75" x14ac:dyDescent="0.25">
      <c r="A62" s="482" t="s">
        <v>640</v>
      </c>
      <c r="B62" s="568" t="s">
        <v>2514</v>
      </c>
      <c r="C62" s="2722" t="s">
        <v>2515</v>
      </c>
      <c r="D62" s="2722"/>
      <c r="E62" s="2722"/>
      <c r="F62" s="483" t="s">
        <v>2516</v>
      </c>
      <c r="G62" s="484">
        <v>62.726999999999997</v>
      </c>
      <c r="H62" s="485">
        <v>1</v>
      </c>
      <c r="I62" s="731">
        <v>62.726999999999997</v>
      </c>
      <c r="J62" s="527">
        <v>2.91</v>
      </c>
      <c r="K62" s="484"/>
      <c r="L62" s="527">
        <v>182.54</v>
      </c>
      <c r="M62" s="732">
        <v>10.92</v>
      </c>
      <c r="N62" s="525">
        <v>1993.34</v>
      </c>
      <c r="AF62" s="716"/>
      <c r="AG62" s="481"/>
      <c r="AI62" s="481" t="s">
        <v>2515</v>
      </c>
      <c r="AN62" s="481"/>
    </row>
    <row r="63" spans="1:40" s="454" customFormat="1" ht="15" x14ac:dyDescent="0.25">
      <c r="A63" s="526"/>
      <c r="B63" s="567"/>
      <c r="C63" s="2722" t="s">
        <v>872</v>
      </c>
      <c r="D63" s="2722"/>
      <c r="E63" s="2722"/>
      <c r="F63" s="483"/>
      <c r="G63" s="484"/>
      <c r="H63" s="484"/>
      <c r="I63" s="484"/>
      <c r="J63" s="487"/>
      <c r="K63" s="484"/>
      <c r="L63" s="527">
        <v>182.54</v>
      </c>
      <c r="M63" s="563"/>
      <c r="N63" s="525">
        <v>1993.34</v>
      </c>
      <c r="AF63" s="716"/>
      <c r="AG63" s="481"/>
      <c r="AI63" s="481"/>
      <c r="AN63" s="481" t="s">
        <v>872</v>
      </c>
    </row>
    <row r="64" spans="1:40" s="454" customFormat="1" ht="15" x14ac:dyDescent="0.25">
      <c r="A64" s="482" t="s">
        <v>232</v>
      </c>
      <c r="B64" s="568" t="s">
        <v>2517</v>
      </c>
      <c r="C64" s="2722" t="s">
        <v>2518</v>
      </c>
      <c r="D64" s="2722"/>
      <c r="E64" s="2722"/>
      <c r="F64" s="483" t="s">
        <v>2509</v>
      </c>
      <c r="G64" s="484">
        <v>3.0450000000000001E-2</v>
      </c>
      <c r="H64" s="485">
        <v>1</v>
      </c>
      <c r="I64" s="541">
        <v>3.0450000000000001E-2</v>
      </c>
      <c r="J64" s="487"/>
      <c r="K64" s="484"/>
      <c r="L64" s="487"/>
      <c r="M64" s="484"/>
      <c r="N64" s="488"/>
      <c r="AF64" s="716"/>
      <c r="AG64" s="481"/>
      <c r="AI64" s="481" t="s">
        <v>2518</v>
      </c>
      <c r="AN64" s="481"/>
    </row>
    <row r="65" spans="1:40" s="454" customFormat="1" ht="33.75" x14ac:dyDescent="0.25">
      <c r="A65" s="489"/>
      <c r="B65" s="490" t="s">
        <v>1655</v>
      </c>
      <c r="C65" s="2709" t="s">
        <v>1656</v>
      </c>
      <c r="D65" s="2709"/>
      <c r="E65" s="2709"/>
      <c r="F65" s="2709"/>
      <c r="G65" s="2709"/>
      <c r="H65" s="2709"/>
      <c r="I65" s="2709"/>
      <c r="J65" s="2709"/>
      <c r="K65" s="2709"/>
      <c r="L65" s="2709"/>
      <c r="M65" s="2709"/>
      <c r="N65" s="2710"/>
      <c r="AF65" s="716"/>
      <c r="AG65" s="481"/>
      <c r="AI65" s="481"/>
      <c r="AJ65" s="491" t="s">
        <v>1656</v>
      </c>
      <c r="AN65" s="481"/>
    </row>
    <row r="66" spans="1:40" s="454" customFormat="1" ht="15" x14ac:dyDescent="0.25">
      <c r="A66" s="718"/>
      <c r="B66" s="490" t="s">
        <v>639</v>
      </c>
      <c r="C66" s="2669" t="s">
        <v>697</v>
      </c>
      <c r="D66" s="2669"/>
      <c r="E66" s="2669"/>
      <c r="F66" s="719"/>
      <c r="G66" s="564"/>
      <c r="H66" s="564"/>
      <c r="I66" s="564"/>
      <c r="J66" s="510">
        <v>902.44</v>
      </c>
      <c r="K66" s="511">
        <v>1.5</v>
      </c>
      <c r="L66" s="510">
        <v>41.22</v>
      </c>
      <c r="M66" s="506">
        <v>10.92</v>
      </c>
      <c r="N66" s="730">
        <v>450.12</v>
      </c>
      <c r="AF66" s="716"/>
      <c r="AG66" s="481"/>
      <c r="AI66" s="481"/>
      <c r="AK66" s="491" t="s">
        <v>697</v>
      </c>
      <c r="AN66" s="481"/>
    </row>
    <row r="67" spans="1:40" s="454" customFormat="1" ht="15" x14ac:dyDescent="0.25">
      <c r="A67" s="718"/>
      <c r="B67" s="490" t="s">
        <v>640</v>
      </c>
      <c r="C67" s="2669" t="s">
        <v>2500</v>
      </c>
      <c r="D67" s="2669"/>
      <c r="E67" s="2669"/>
      <c r="F67" s="719"/>
      <c r="G67" s="564"/>
      <c r="H67" s="564"/>
      <c r="I67" s="564"/>
      <c r="J67" s="510">
        <v>153.71</v>
      </c>
      <c r="K67" s="511">
        <v>1.5</v>
      </c>
      <c r="L67" s="510">
        <v>7.02</v>
      </c>
      <c r="M67" s="506">
        <v>27.32</v>
      </c>
      <c r="N67" s="730">
        <v>191.79</v>
      </c>
      <c r="AF67" s="716"/>
      <c r="AG67" s="481"/>
      <c r="AI67" s="481"/>
      <c r="AK67" s="491" t="s">
        <v>2500</v>
      </c>
      <c r="AN67" s="481"/>
    </row>
    <row r="68" spans="1:40" s="454" customFormat="1" ht="15" x14ac:dyDescent="0.25">
      <c r="A68" s="718"/>
      <c r="B68" s="490" t="s">
        <v>232</v>
      </c>
      <c r="C68" s="2669" t="s">
        <v>829</v>
      </c>
      <c r="D68" s="2669"/>
      <c r="E68" s="2669"/>
      <c r="F68" s="719"/>
      <c r="G68" s="564"/>
      <c r="H68" s="564"/>
      <c r="I68" s="564"/>
      <c r="J68" s="510">
        <v>8.67</v>
      </c>
      <c r="K68" s="564"/>
      <c r="L68" s="510">
        <v>0.26</v>
      </c>
      <c r="M68" s="506">
        <v>7.72</v>
      </c>
      <c r="N68" s="730">
        <v>2.0099999999999998</v>
      </c>
      <c r="AF68" s="716"/>
      <c r="AG68" s="481"/>
      <c r="AI68" s="481"/>
      <c r="AK68" s="491" t="s">
        <v>829</v>
      </c>
      <c r="AN68" s="481"/>
    </row>
    <row r="69" spans="1:40" s="454" customFormat="1" ht="15" x14ac:dyDescent="0.25">
      <c r="A69" s="721"/>
      <c r="B69" s="490"/>
      <c r="C69" s="2669" t="s">
        <v>2501</v>
      </c>
      <c r="D69" s="2669"/>
      <c r="E69" s="2669"/>
      <c r="F69" s="719" t="s">
        <v>807</v>
      </c>
      <c r="G69" s="511">
        <v>11.4</v>
      </c>
      <c r="H69" s="511">
        <v>1.5</v>
      </c>
      <c r="I69" s="728">
        <v>0.52069500000000002</v>
      </c>
      <c r="J69" s="501"/>
      <c r="K69" s="564"/>
      <c r="L69" s="501"/>
      <c r="M69" s="564"/>
      <c r="N69" s="723"/>
      <c r="AF69" s="716"/>
      <c r="AG69" s="481"/>
      <c r="AI69" s="481"/>
      <c r="AL69" s="491" t="s">
        <v>2501</v>
      </c>
      <c r="AN69" s="481"/>
    </row>
    <row r="70" spans="1:40" s="454" customFormat="1" ht="15" x14ac:dyDescent="0.25">
      <c r="A70" s="718"/>
      <c r="B70" s="490"/>
      <c r="C70" s="2711" t="s">
        <v>2502</v>
      </c>
      <c r="D70" s="2711"/>
      <c r="E70" s="2711"/>
      <c r="F70" s="724"/>
      <c r="G70" s="563"/>
      <c r="H70" s="563"/>
      <c r="I70" s="563"/>
      <c r="J70" s="729">
        <v>911.11</v>
      </c>
      <c r="K70" s="563"/>
      <c r="L70" s="729">
        <v>41.48</v>
      </c>
      <c r="M70" s="563"/>
      <c r="N70" s="733">
        <v>452.13</v>
      </c>
      <c r="AF70" s="716"/>
      <c r="AG70" s="481"/>
      <c r="AI70" s="481"/>
      <c r="AM70" s="491" t="s">
        <v>2502</v>
      </c>
      <c r="AN70" s="481"/>
    </row>
    <row r="71" spans="1:40" s="454" customFormat="1" ht="15" x14ac:dyDescent="0.25">
      <c r="A71" s="721"/>
      <c r="B71" s="490"/>
      <c r="C71" s="2669" t="s">
        <v>867</v>
      </c>
      <c r="D71" s="2669"/>
      <c r="E71" s="2669"/>
      <c r="F71" s="719"/>
      <c r="G71" s="564"/>
      <c r="H71" s="564"/>
      <c r="I71" s="564"/>
      <c r="J71" s="501"/>
      <c r="K71" s="564"/>
      <c r="L71" s="510">
        <v>7.02</v>
      </c>
      <c r="M71" s="564"/>
      <c r="N71" s="730">
        <v>191.79</v>
      </c>
      <c r="AF71" s="716"/>
      <c r="AG71" s="481"/>
      <c r="AI71" s="481"/>
      <c r="AL71" s="491" t="s">
        <v>867</v>
      </c>
      <c r="AN71" s="481"/>
    </row>
    <row r="72" spans="1:40" s="454" customFormat="1" ht="23.25" x14ac:dyDescent="0.25">
      <c r="A72" s="721"/>
      <c r="B72" s="490" t="s">
        <v>2510</v>
      </c>
      <c r="C72" s="2669" t="s">
        <v>2511</v>
      </c>
      <c r="D72" s="2669"/>
      <c r="E72" s="2669"/>
      <c r="F72" s="719" t="s">
        <v>636</v>
      </c>
      <c r="G72" s="727">
        <v>92</v>
      </c>
      <c r="H72" s="564"/>
      <c r="I72" s="727">
        <v>92</v>
      </c>
      <c r="J72" s="501"/>
      <c r="K72" s="564"/>
      <c r="L72" s="510">
        <v>6.46</v>
      </c>
      <c r="M72" s="564"/>
      <c r="N72" s="730">
        <v>176.45</v>
      </c>
      <c r="AF72" s="716"/>
      <c r="AG72" s="481"/>
      <c r="AI72" s="481"/>
      <c r="AL72" s="491" t="s">
        <v>2511</v>
      </c>
      <c r="AN72" s="481"/>
    </row>
    <row r="73" spans="1:40" s="454" customFormat="1" ht="23.25" x14ac:dyDescent="0.25">
      <c r="A73" s="721"/>
      <c r="B73" s="490" t="s">
        <v>2512</v>
      </c>
      <c r="C73" s="2669" t="s">
        <v>2513</v>
      </c>
      <c r="D73" s="2669"/>
      <c r="E73" s="2669"/>
      <c r="F73" s="719" t="s">
        <v>636</v>
      </c>
      <c r="G73" s="727">
        <v>46</v>
      </c>
      <c r="H73" s="564"/>
      <c r="I73" s="727">
        <v>46</v>
      </c>
      <c r="J73" s="501"/>
      <c r="K73" s="564"/>
      <c r="L73" s="510">
        <v>3.23</v>
      </c>
      <c r="M73" s="564"/>
      <c r="N73" s="730">
        <v>88.22</v>
      </c>
      <c r="AF73" s="716"/>
      <c r="AG73" s="481"/>
      <c r="AI73" s="481"/>
      <c r="AL73" s="491" t="s">
        <v>2513</v>
      </c>
      <c r="AN73" s="481"/>
    </row>
    <row r="74" spans="1:40" s="454" customFormat="1" ht="15" x14ac:dyDescent="0.25">
      <c r="A74" s="526"/>
      <c r="B74" s="567"/>
      <c r="C74" s="2722" t="s">
        <v>872</v>
      </c>
      <c r="D74" s="2722"/>
      <c r="E74" s="2722"/>
      <c r="F74" s="483"/>
      <c r="G74" s="484"/>
      <c r="H74" s="484"/>
      <c r="I74" s="484"/>
      <c r="J74" s="487"/>
      <c r="K74" s="484"/>
      <c r="L74" s="527">
        <v>51.17</v>
      </c>
      <c r="M74" s="563"/>
      <c r="N74" s="734">
        <v>716.8</v>
      </c>
      <c r="AF74" s="716"/>
      <c r="AG74" s="481"/>
      <c r="AI74" s="481"/>
      <c r="AN74" s="481" t="s">
        <v>872</v>
      </c>
    </row>
    <row r="75" spans="1:40" s="454" customFormat="1" ht="45.75" x14ac:dyDescent="0.25">
      <c r="A75" s="482" t="s">
        <v>233</v>
      </c>
      <c r="B75" s="568" t="s">
        <v>2519</v>
      </c>
      <c r="C75" s="2722" t="s">
        <v>2520</v>
      </c>
      <c r="D75" s="2722"/>
      <c r="E75" s="2722"/>
      <c r="F75" s="483" t="s">
        <v>2509</v>
      </c>
      <c r="G75" s="484">
        <v>0.19389999999999999</v>
      </c>
      <c r="H75" s="485">
        <v>1</v>
      </c>
      <c r="I75" s="717">
        <v>0.19389999999999999</v>
      </c>
      <c r="J75" s="487"/>
      <c r="K75" s="484"/>
      <c r="L75" s="487"/>
      <c r="M75" s="484"/>
      <c r="N75" s="488"/>
      <c r="AF75" s="716"/>
      <c r="AG75" s="481"/>
      <c r="AI75" s="481" t="s">
        <v>2520</v>
      </c>
      <c r="AN75" s="481"/>
    </row>
    <row r="76" spans="1:40" s="454" customFormat="1" ht="33.75" x14ac:dyDescent="0.25">
      <c r="A76" s="489"/>
      <c r="B76" s="490" t="s">
        <v>1655</v>
      </c>
      <c r="C76" s="2709" t="s">
        <v>1656</v>
      </c>
      <c r="D76" s="2709"/>
      <c r="E76" s="2709"/>
      <c r="F76" s="2709"/>
      <c r="G76" s="2709"/>
      <c r="H76" s="2709"/>
      <c r="I76" s="2709"/>
      <c r="J76" s="2709"/>
      <c r="K76" s="2709"/>
      <c r="L76" s="2709"/>
      <c r="M76" s="2709"/>
      <c r="N76" s="2710"/>
      <c r="AF76" s="716"/>
      <c r="AG76" s="481"/>
      <c r="AI76" s="481"/>
      <c r="AJ76" s="491" t="s">
        <v>1656</v>
      </c>
      <c r="AN76" s="481"/>
    </row>
    <row r="77" spans="1:40" s="454" customFormat="1" ht="15" x14ac:dyDescent="0.25">
      <c r="A77" s="718"/>
      <c r="B77" s="490" t="s">
        <v>639</v>
      </c>
      <c r="C77" s="2669" t="s">
        <v>697</v>
      </c>
      <c r="D77" s="2669"/>
      <c r="E77" s="2669"/>
      <c r="F77" s="719"/>
      <c r="G77" s="564"/>
      <c r="H77" s="564"/>
      <c r="I77" s="564"/>
      <c r="J77" s="505">
        <v>5950</v>
      </c>
      <c r="K77" s="511">
        <v>1.5</v>
      </c>
      <c r="L77" s="505">
        <v>1730.56</v>
      </c>
      <c r="M77" s="506">
        <v>10.92</v>
      </c>
      <c r="N77" s="720">
        <v>18897.72</v>
      </c>
      <c r="AF77" s="716"/>
      <c r="AG77" s="481"/>
      <c r="AI77" s="481"/>
      <c r="AK77" s="491" t="s">
        <v>697</v>
      </c>
      <c r="AN77" s="481"/>
    </row>
    <row r="78" spans="1:40" s="454" customFormat="1" ht="15" x14ac:dyDescent="0.25">
      <c r="A78" s="718"/>
      <c r="B78" s="490" t="s">
        <v>640</v>
      </c>
      <c r="C78" s="2669" t="s">
        <v>2500</v>
      </c>
      <c r="D78" s="2669"/>
      <c r="E78" s="2669"/>
      <c r="F78" s="719"/>
      <c r="G78" s="564"/>
      <c r="H78" s="564"/>
      <c r="I78" s="564"/>
      <c r="J78" s="510">
        <v>803.25</v>
      </c>
      <c r="K78" s="511">
        <v>1.5</v>
      </c>
      <c r="L78" s="510">
        <v>233.63</v>
      </c>
      <c r="M78" s="506">
        <v>27.32</v>
      </c>
      <c r="N78" s="720">
        <v>6382.77</v>
      </c>
      <c r="AF78" s="716"/>
      <c r="AG78" s="481"/>
      <c r="AI78" s="481"/>
      <c r="AK78" s="491" t="s">
        <v>2500</v>
      </c>
      <c r="AN78" s="481"/>
    </row>
    <row r="79" spans="1:40" s="454" customFormat="1" ht="15" x14ac:dyDescent="0.25">
      <c r="A79" s="721"/>
      <c r="B79" s="490"/>
      <c r="C79" s="2669" t="s">
        <v>2501</v>
      </c>
      <c r="D79" s="2669"/>
      <c r="E79" s="2669"/>
      <c r="F79" s="719" t="s">
        <v>807</v>
      </c>
      <c r="G79" s="511">
        <v>59.5</v>
      </c>
      <c r="H79" s="511">
        <v>1.5</v>
      </c>
      <c r="I79" s="728">
        <v>17.305575000000001</v>
      </c>
      <c r="J79" s="501"/>
      <c r="K79" s="564"/>
      <c r="L79" s="501"/>
      <c r="M79" s="564"/>
      <c r="N79" s="723"/>
      <c r="AF79" s="716"/>
      <c r="AG79" s="481"/>
      <c r="AI79" s="481"/>
      <c r="AL79" s="491" t="s">
        <v>2501</v>
      </c>
      <c r="AN79" s="481"/>
    </row>
    <row r="80" spans="1:40" s="454" customFormat="1" ht="15" x14ac:dyDescent="0.25">
      <c r="A80" s="718"/>
      <c r="B80" s="490"/>
      <c r="C80" s="2711" t="s">
        <v>2502</v>
      </c>
      <c r="D80" s="2711"/>
      <c r="E80" s="2711"/>
      <c r="F80" s="724"/>
      <c r="G80" s="563"/>
      <c r="H80" s="563"/>
      <c r="I80" s="563"/>
      <c r="J80" s="725">
        <v>5950</v>
      </c>
      <c r="K80" s="563"/>
      <c r="L80" s="725">
        <v>1730.56</v>
      </c>
      <c r="M80" s="563"/>
      <c r="N80" s="726">
        <v>18897.72</v>
      </c>
      <c r="AF80" s="716"/>
      <c r="AG80" s="481"/>
      <c r="AI80" s="481"/>
      <c r="AM80" s="491" t="s">
        <v>2502</v>
      </c>
      <c r="AN80" s="481"/>
    </row>
    <row r="81" spans="1:40" s="454" customFormat="1" ht="15" x14ac:dyDescent="0.25">
      <c r="A81" s="721"/>
      <c r="B81" s="490"/>
      <c r="C81" s="2669" t="s">
        <v>867</v>
      </c>
      <c r="D81" s="2669"/>
      <c r="E81" s="2669"/>
      <c r="F81" s="719"/>
      <c r="G81" s="564"/>
      <c r="H81" s="564"/>
      <c r="I81" s="564"/>
      <c r="J81" s="501"/>
      <c r="K81" s="564"/>
      <c r="L81" s="510">
        <v>233.63</v>
      </c>
      <c r="M81" s="564"/>
      <c r="N81" s="720">
        <v>6382.77</v>
      </c>
      <c r="AF81" s="716"/>
      <c r="AG81" s="481"/>
      <c r="AI81" s="481"/>
      <c r="AL81" s="491" t="s">
        <v>867</v>
      </c>
      <c r="AN81" s="481"/>
    </row>
    <row r="82" spans="1:40" s="454" customFormat="1" ht="23.25" x14ac:dyDescent="0.25">
      <c r="A82" s="721"/>
      <c r="B82" s="490" t="s">
        <v>2510</v>
      </c>
      <c r="C82" s="2669" t="s">
        <v>2511</v>
      </c>
      <c r="D82" s="2669"/>
      <c r="E82" s="2669"/>
      <c r="F82" s="719" t="s">
        <v>636</v>
      </c>
      <c r="G82" s="727">
        <v>92</v>
      </c>
      <c r="H82" s="564"/>
      <c r="I82" s="727">
        <v>92</v>
      </c>
      <c r="J82" s="501"/>
      <c r="K82" s="564"/>
      <c r="L82" s="510">
        <v>214.94</v>
      </c>
      <c r="M82" s="564"/>
      <c r="N82" s="720">
        <v>5872.15</v>
      </c>
      <c r="AF82" s="716"/>
      <c r="AG82" s="481"/>
      <c r="AI82" s="481"/>
      <c r="AL82" s="491" t="s">
        <v>2511</v>
      </c>
      <c r="AN82" s="481"/>
    </row>
    <row r="83" spans="1:40" s="454" customFormat="1" ht="23.25" x14ac:dyDescent="0.25">
      <c r="A83" s="721"/>
      <c r="B83" s="490" t="s">
        <v>2512</v>
      </c>
      <c r="C83" s="2669" t="s">
        <v>2513</v>
      </c>
      <c r="D83" s="2669"/>
      <c r="E83" s="2669"/>
      <c r="F83" s="719" t="s">
        <v>636</v>
      </c>
      <c r="G83" s="727">
        <v>46</v>
      </c>
      <c r="H83" s="564"/>
      <c r="I83" s="727">
        <v>46</v>
      </c>
      <c r="J83" s="501"/>
      <c r="K83" s="564"/>
      <c r="L83" s="510">
        <v>107.47</v>
      </c>
      <c r="M83" s="564"/>
      <c r="N83" s="720">
        <v>2936.07</v>
      </c>
      <c r="AF83" s="716"/>
      <c r="AG83" s="481"/>
      <c r="AI83" s="481"/>
      <c r="AL83" s="491" t="s">
        <v>2513</v>
      </c>
      <c r="AN83" s="481"/>
    </row>
    <row r="84" spans="1:40" s="454" customFormat="1" ht="15" x14ac:dyDescent="0.25">
      <c r="A84" s="526"/>
      <c r="B84" s="567"/>
      <c r="C84" s="2722" t="s">
        <v>872</v>
      </c>
      <c r="D84" s="2722"/>
      <c r="E84" s="2722"/>
      <c r="F84" s="483"/>
      <c r="G84" s="484"/>
      <c r="H84" s="484"/>
      <c r="I84" s="484"/>
      <c r="J84" s="487"/>
      <c r="K84" s="484"/>
      <c r="L84" s="524">
        <v>2052.9699999999998</v>
      </c>
      <c r="M84" s="563"/>
      <c r="N84" s="525">
        <v>27705.94</v>
      </c>
      <c r="AF84" s="716"/>
      <c r="AG84" s="481"/>
      <c r="AI84" s="481"/>
      <c r="AN84" s="481" t="s">
        <v>872</v>
      </c>
    </row>
    <row r="85" spans="1:40" s="454" customFormat="1" ht="15" x14ac:dyDescent="0.25">
      <c r="A85" s="482" t="s">
        <v>238</v>
      </c>
      <c r="B85" s="568" t="s">
        <v>2521</v>
      </c>
      <c r="C85" s="2722" t="s">
        <v>2522</v>
      </c>
      <c r="D85" s="2722"/>
      <c r="E85" s="2722"/>
      <c r="F85" s="483" t="s">
        <v>2499</v>
      </c>
      <c r="G85" s="484">
        <v>5.2499999999999998E-2</v>
      </c>
      <c r="H85" s="485">
        <v>1</v>
      </c>
      <c r="I85" s="717">
        <v>5.2499999999999998E-2</v>
      </c>
      <c r="J85" s="487"/>
      <c r="K85" s="484"/>
      <c r="L85" s="487"/>
      <c r="M85" s="484"/>
      <c r="N85" s="488"/>
      <c r="AF85" s="716"/>
      <c r="AG85" s="481"/>
      <c r="AI85" s="481" t="s">
        <v>2522</v>
      </c>
      <c r="AN85" s="481"/>
    </row>
    <row r="86" spans="1:40" s="454" customFormat="1" ht="33.75" x14ac:dyDescent="0.25">
      <c r="A86" s="489"/>
      <c r="B86" s="490" t="s">
        <v>1655</v>
      </c>
      <c r="C86" s="2709" t="s">
        <v>1656</v>
      </c>
      <c r="D86" s="2709"/>
      <c r="E86" s="2709"/>
      <c r="F86" s="2709"/>
      <c r="G86" s="2709"/>
      <c r="H86" s="2709"/>
      <c r="I86" s="2709"/>
      <c r="J86" s="2709"/>
      <c r="K86" s="2709"/>
      <c r="L86" s="2709"/>
      <c r="M86" s="2709"/>
      <c r="N86" s="2710"/>
      <c r="AF86" s="716"/>
      <c r="AG86" s="481"/>
      <c r="AI86" s="481"/>
      <c r="AJ86" s="491" t="s">
        <v>1656</v>
      </c>
      <c r="AN86" s="481"/>
    </row>
    <row r="87" spans="1:40" s="454" customFormat="1" ht="15" x14ac:dyDescent="0.25">
      <c r="A87" s="718"/>
      <c r="B87" s="490" t="s">
        <v>190</v>
      </c>
      <c r="C87" s="2669" t="s">
        <v>2523</v>
      </c>
      <c r="D87" s="2669"/>
      <c r="E87" s="2669"/>
      <c r="F87" s="719"/>
      <c r="G87" s="564"/>
      <c r="H87" s="564"/>
      <c r="I87" s="564"/>
      <c r="J87" s="505">
        <v>1053</v>
      </c>
      <c r="K87" s="511">
        <v>1.5</v>
      </c>
      <c r="L87" s="510">
        <v>82.92</v>
      </c>
      <c r="M87" s="506">
        <v>27.32</v>
      </c>
      <c r="N87" s="720">
        <v>2265.37</v>
      </c>
      <c r="AF87" s="716"/>
      <c r="AG87" s="481"/>
      <c r="AI87" s="481"/>
      <c r="AK87" s="491" t="s">
        <v>2523</v>
      </c>
      <c r="AN87" s="481"/>
    </row>
    <row r="88" spans="1:40" s="454" customFormat="1" ht="15" x14ac:dyDescent="0.25">
      <c r="A88" s="718"/>
      <c r="B88" s="490" t="s">
        <v>639</v>
      </c>
      <c r="C88" s="2669" t="s">
        <v>697</v>
      </c>
      <c r="D88" s="2669"/>
      <c r="E88" s="2669"/>
      <c r="F88" s="719"/>
      <c r="G88" s="564"/>
      <c r="H88" s="564"/>
      <c r="I88" s="564"/>
      <c r="J88" s="505">
        <v>1566.06</v>
      </c>
      <c r="K88" s="511">
        <v>1.5</v>
      </c>
      <c r="L88" s="510">
        <v>123.33</v>
      </c>
      <c r="M88" s="506">
        <v>10.92</v>
      </c>
      <c r="N88" s="720">
        <v>1346.76</v>
      </c>
      <c r="AF88" s="716"/>
      <c r="AG88" s="481"/>
      <c r="AI88" s="481"/>
      <c r="AK88" s="491" t="s">
        <v>697</v>
      </c>
      <c r="AN88" s="481"/>
    </row>
    <row r="89" spans="1:40" s="454" customFormat="1" ht="15" x14ac:dyDescent="0.25">
      <c r="A89" s="718"/>
      <c r="B89" s="490" t="s">
        <v>640</v>
      </c>
      <c r="C89" s="2669" t="s">
        <v>2500</v>
      </c>
      <c r="D89" s="2669"/>
      <c r="E89" s="2669"/>
      <c r="F89" s="719"/>
      <c r="G89" s="564"/>
      <c r="H89" s="564"/>
      <c r="I89" s="564"/>
      <c r="J89" s="510">
        <v>244.39</v>
      </c>
      <c r="K89" s="511">
        <v>1.5</v>
      </c>
      <c r="L89" s="510">
        <v>19.25</v>
      </c>
      <c r="M89" s="506">
        <v>27.32</v>
      </c>
      <c r="N89" s="730">
        <v>525.91</v>
      </c>
      <c r="AF89" s="716"/>
      <c r="AG89" s="481"/>
      <c r="AI89" s="481"/>
      <c r="AK89" s="491" t="s">
        <v>2500</v>
      </c>
      <c r="AN89" s="481"/>
    </row>
    <row r="90" spans="1:40" s="454" customFormat="1" ht="15" x14ac:dyDescent="0.25">
      <c r="A90" s="718"/>
      <c r="B90" s="490" t="s">
        <v>232</v>
      </c>
      <c r="C90" s="2669" t="s">
        <v>829</v>
      </c>
      <c r="D90" s="2669"/>
      <c r="E90" s="2669"/>
      <c r="F90" s="719"/>
      <c r="G90" s="564"/>
      <c r="H90" s="564"/>
      <c r="I90" s="564"/>
      <c r="J90" s="510">
        <v>909.27</v>
      </c>
      <c r="K90" s="564"/>
      <c r="L90" s="510">
        <v>47.74</v>
      </c>
      <c r="M90" s="506">
        <v>7.72</v>
      </c>
      <c r="N90" s="730">
        <v>368.55</v>
      </c>
      <c r="AF90" s="716"/>
      <c r="AG90" s="481"/>
      <c r="AI90" s="481"/>
      <c r="AK90" s="491" t="s">
        <v>829</v>
      </c>
      <c r="AN90" s="481"/>
    </row>
    <row r="91" spans="1:40" s="454" customFormat="1" ht="15" x14ac:dyDescent="0.25">
      <c r="A91" s="721"/>
      <c r="B91" s="490"/>
      <c r="C91" s="2669" t="s">
        <v>2524</v>
      </c>
      <c r="D91" s="2669"/>
      <c r="E91" s="2669"/>
      <c r="F91" s="719" t="s">
        <v>807</v>
      </c>
      <c r="G91" s="727">
        <v>135</v>
      </c>
      <c r="H91" s="511">
        <v>1.5</v>
      </c>
      <c r="I91" s="735">
        <v>10.63125</v>
      </c>
      <c r="J91" s="501"/>
      <c r="K91" s="564"/>
      <c r="L91" s="501"/>
      <c r="M91" s="564"/>
      <c r="N91" s="723"/>
      <c r="AF91" s="716"/>
      <c r="AG91" s="481"/>
      <c r="AI91" s="481"/>
      <c r="AL91" s="491" t="s">
        <v>2524</v>
      </c>
      <c r="AN91" s="481"/>
    </row>
    <row r="92" spans="1:40" s="454" customFormat="1" ht="15" x14ac:dyDescent="0.25">
      <c r="A92" s="721"/>
      <c r="B92" s="490"/>
      <c r="C92" s="2669" t="s">
        <v>2501</v>
      </c>
      <c r="D92" s="2669"/>
      <c r="E92" s="2669"/>
      <c r="F92" s="719" t="s">
        <v>807</v>
      </c>
      <c r="G92" s="506">
        <v>18.12</v>
      </c>
      <c r="H92" s="511">
        <v>1.5</v>
      </c>
      <c r="I92" s="735">
        <v>1.4269499999999999</v>
      </c>
      <c r="J92" s="501"/>
      <c r="K92" s="564"/>
      <c r="L92" s="501"/>
      <c r="M92" s="564"/>
      <c r="N92" s="723"/>
      <c r="AF92" s="716"/>
      <c r="AG92" s="481"/>
      <c r="AI92" s="481"/>
      <c r="AL92" s="491" t="s">
        <v>2501</v>
      </c>
      <c r="AN92" s="481"/>
    </row>
    <row r="93" spans="1:40" s="454" customFormat="1" ht="15" x14ac:dyDescent="0.25">
      <c r="A93" s="718"/>
      <c r="B93" s="490"/>
      <c r="C93" s="2711" t="s">
        <v>2502</v>
      </c>
      <c r="D93" s="2711"/>
      <c r="E93" s="2711"/>
      <c r="F93" s="724"/>
      <c r="G93" s="563"/>
      <c r="H93" s="563"/>
      <c r="I93" s="563"/>
      <c r="J93" s="725">
        <v>3528.33</v>
      </c>
      <c r="K93" s="563"/>
      <c r="L93" s="729">
        <v>253.99</v>
      </c>
      <c r="M93" s="563"/>
      <c r="N93" s="726">
        <v>3980.68</v>
      </c>
      <c r="AF93" s="716"/>
      <c r="AG93" s="481"/>
      <c r="AI93" s="481"/>
      <c r="AM93" s="491" t="s">
        <v>2502</v>
      </c>
      <c r="AN93" s="481"/>
    </row>
    <row r="94" spans="1:40" s="454" customFormat="1" ht="15" x14ac:dyDescent="0.25">
      <c r="A94" s="721"/>
      <c r="B94" s="490"/>
      <c r="C94" s="2669" t="s">
        <v>867</v>
      </c>
      <c r="D94" s="2669"/>
      <c r="E94" s="2669"/>
      <c r="F94" s="719"/>
      <c r="G94" s="564"/>
      <c r="H94" s="564"/>
      <c r="I94" s="564"/>
      <c r="J94" s="501"/>
      <c r="K94" s="564"/>
      <c r="L94" s="510">
        <v>102.17</v>
      </c>
      <c r="M94" s="564"/>
      <c r="N94" s="720">
        <v>2791.28</v>
      </c>
      <c r="AF94" s="716"/>
      <c r="AG94" s="481"/>
      <c r="AI94" s="481"/>
      <c r="AL94" s="491" t="s">
        <v>867</v>
      </c>
      <c r="AN94" s="481"/>
    </row>
    <row r="95" spans="1:40" s="454" customFormat="1" ht="23.25" x14ac:dyDescent="0.25">
      <c r="A95" s="721"/>
      <c r="B95" s="490" t="s">
        <v>2525</v>
      </c>
      <c r="C95" s="2669" t="s">
        <v>2526</v>
      </c>
      <c r="D95" s="2669"/>
      <c r="E95" s="2669"/>
      <c r="F95" s="719" t="s">
        <v>636</v>
      </c>
      <c r="G95" s="727">
        <v>102</v>
      </c>
      <c r="H95" s="564"/>
      <c r="I95" s="727">
        <v>102</v>
      </c>
      <c r="J95" s="501"/>
      <c r="K95" s="564"/>
      <c r="L95" s="510">
        <v>104.21</v>
      </c>
      <c r="M95" s="564"/>
      <c r="N95" s="720">
        <v>2847.11</v>
      </c>
      <c r="AF95" s="716"/>
      <c r="AG95" s="481"/>
      <c r="AI95" s="481"/>
      <c r="AL95" s="491" t="s">
        <v>2526</v>
      </c>
      <c r="AN95" s="481"/>
    </row>
    <row r="96" spans="1:40" s="454" customFormat="1" ht="23.25" x14ac:dyDescent="0.25">
      <c r="A96" s="721"/>
      <c r="B96" s="490" t="s">
        <v>2527</v>
      </c>
      <c r="C96" s="2669" t="s">
        <v>2528</v>
      </c>
      <c r="D96" s="2669"/>
      <c r="E96" s="2669"/>
      <c r="F96" s="719" t="s">
        <v>636</v>
      </c>
      <c r="G96" s="727">
        <v>58</v>
      </c>
      <c r="H96" s="564"/>
      <c r="I96" s="727">
        <v>58</v>
      </c>
      <c r="J96" s="501"/>
      <c r="K96" s="564"/>
      <c r="L96" s="510">
        <v>59.26</v>
      </c>
      <c r="M96" s="564"/>
      <c r="N96" s="720">
        <v>1618.94</v>
      </c>
      <c r="AF96" s="716"/>
      <c r="AG96" s="481"/>
      <c r="AI96" s="481"/>
      <c r="AL96" s="491" t="s">
        <v>2528</v>
      </c>
      <c r="AN96" s="481"/>
    </row>
    <row r="97" spans="1:42" s="454" customFormat="1" ht="15" x14ac:dyDescent="0.25">
      <c r="A97" s="526"/>
      <c r="B97" s="567"/>
      <c r="C97" s="2722" t="s">
        <v>872</v>
      </c>
      <c r="D97" s="2722"/>
      <c r="E97" s="2722"/>
      <c r="F97" s="483"/>
      <c r="G97" s="484"/>
      <c r="H97" s="484"/>
      <c r="I97" s="484"/>
      <c r="J97" s="487"/>
      <c r="K97" s="484"/>
      <c r="L97" s="527">
        <v>417.46</v>
      </c>
      <c r="M97" s="563"/>
      <c r="N97" s="525">
        <v>8446.73</v>
      </c>
      <c r="AF97" s="716"/>
      <c r="AG97" s="481"/>
      <c r="AI97" s="481"/>
      <c r="AN97" s="481" t="s">
        <v>872</v>
      </c>
    </row>
    <row r="98" spans="1:42" s="454" customFormat="1" ht="22.5" x14ac:dyDescent="0.25">
      <c r="A98" s="736" t="s">
        <v>233</v>
      </c>
      <c r="B98" s="737" t="s">
        <v>2529</v>
      </c>
      <c r="C98" s="2723" t="s">
        <v>2530</v>
      </c>
      <c r="D98" s="2723"/>
      <c r="E98" s="2723"/>
      <c r="F98" s="738" t="s">
        <v>832</v>
      </c>
      <c r="G98" s="739">
        <v>5.3550000000000004</v>
      </c>
      <c r="H98" s="740">
        <v>1</v>
      </c>
      <c r="I98" s="741">
        <v>5.3550000000000004</v>
      </c>
      <c r="J98" s="742">
        <v>560</v>
      </c>
      <c r="K98" s="739"/>
      <c r="L98" s="743">
        <v>2998.8</v>
      </c>
      <c r="M98" s="744">
        <v>7.72</v>
      </c>
      <c r="N98" s="745">
        <v>23150.74</v>
      </c>
      <c r="AF98" s="716"/>
      <c r="AG98" s="481"/>
      <c r="AI98" s="481"/>
      <c r="AN98" s="481"/>
      <c r="AO98" s="746" t="s">
        <v>2530</v>
      </c>
    </row>
    <row r="99" spans="1:42" s="454" customFormat="1" ht="15" x14ac:dyDescent="0.25">
      <c r="A99" s="747"/>
      <c r="B99" s="748"/>
      <c r="C99" s="2723" t="s">
        <v>872</v>
      </c>
      <c r="D99" s="2723"/>
      <c r="E99" s="2723"/>
      <c r="F99" s="738"/>
      <c r="G99" s="739"/>
      <c r="H99" s="739"/>
      <c r="I99" s="739"/>
      <c r="J99" s="749"/>
      <c r="K99" s="739"/>
      <c r="L99" s="743">
        <v>2998.8</v>
      </c>
      <c r="M99" s="750"/>
      <c r="N99" s="745">
        <v>23150.74</v>
      </c>
      <c r="AF99" s="716"/>
      <c r="AG99" s="481"/>
      <c r="AI99" s="481"/>
      <c r="AN99" s="481"/>
      <c r="AO99" s="746"/>
      <c r="AP99" s="746" t="s">
        <v>872</v>
      </c>
    </row>
    <row r="100" spans="1:42" s="454" customFormat="1" ht="23.25" x14ac:dyDescent="0.25">
      <c r="A100" s="482" t="s">
        <v>641</v>
      </c>
      <c r="B100" s="568" t="s">
        <v>2531</v>
      </c>
      <c r="C100" s="2722" t="s">
        <v>2532</v>
      </c>
      <c r="D100" s="2722"/>
      <c r="E100" s="2722"/>
      <c r="F100" s="483" t="s">
        <v>2499</v>
      </c>
      <c r="G100" s="484">
        <v>5.355E-2</v>
      </c>
      <c r="H100" s="485">
        <v>1</v>
      </c>
      <c r="I100" s="541">
        <v>5.355E-2</v>
      </c>
      <c r="J100" s="487"/>
      <c r="K100" s="484"/>
      <c r="L100" s="487"/>
      <c r="M100" s="484"/>
      <c r="N100" s="488"/>
      <c r="AF100" s="716"/>
      <c r="AG100" s="481"/>
      <c r="AI100" s="481" t="s">
        <v>2532</v>
      </c>
      <c r="AN100" s="481"/>
      <c r="AO100" s="746"/>
      <c r="AP100" s="746"/>
    </row>
    <row r="101" spans="1:42" s="454" customFormat="1" ht="33.75" x14ac:dyDescent="0.25">
      <c r="A101" s="489"/>
      <c r="B101" s="490" t="s">
        <v>1655</v>
      </c>
      <c r="C101" s="2709" t="s">
        <v>1656</v>
      </c>
      <c r="D101" s="2709"/>
      <c r="E101" s="2709"/>
      <c r="F101" s="2709"/>
      <c r="G101" s="2709"/>
      <c r="H101" s="2709"/>
      <c r="I101" s="2709"/>
      <c r="J101" s="2709"/>
      <c r="K101" s="2709"/>
      <c r="L101" s="2709"/>
      <c r="M101" s="2709"/>
      <c r="N101" s="2710"/>
      <c r="AF101" s="716"/>
      <c r="AG101" s="481"/>
      <c r="AI101" s="481"/>
      <c r="AJ101" s="491" t="s">
        <v>1656</v>
      </c>
      <c r="AN101" s="481"/>
      <c r="AO101" s="746"/>
      <c r="AP101" s="746"/>
    </row>
    <row r="102" spans="1:42" s="454" customFormat="1" ht="15" x14ac:dyDescent="0.25">
      <c r="A102" s="718"/>
      <c r="B102" s="490" t="s">
        <v>190</v>
      </c>
      <c r="C102" s="2669" t="s">
        <v>2523</v>
      </c>
      <c r="D102" s="2669"/>
      <c r="E102" s="2669"/>
      <c r="F102" s="719"/>
      <c r="G102" s="564"/>
      <c r="H102" s="564"/>
      <c r="I102" s="564"/>
      <c r="J102" s="505">
        <v>2082.6</v>
      </c>
      <c r="K102" s="511">
        <v>1.5</v>
      </c>
      <c r="L102" s="510">
        <v>167.28</v>
      </c>
      <c r="M102" s="506">
        <v>27.32</v>
      </c>
      <c r="N102" s="720">
        <v>4570.09</v>
      </c>
      <c r="AF102" s="716"/>
      <c r="AG102" s="481"/>
      <c r="AI102" s="481"/>
      <c r="AK102" s="491" t="s">
        <v>2523</v>
      </c>
      <c r="AN102" s="481"/>
      <c r="AO102" s="746"/>
      <c r="AP102" s="746"/>
    </row>
    <row r="103" spans="1:42" s="454" customFormat="1" ht="15" x14ac:dyDescent="0.25">
      <c r="A103" s="718"/>
      <c r="B103" s="490" t="s">
        <v>639</v>
      </c>
      <c r="C103" s="2669" t="s">
        <v>697</v>
      </c>
      <c r="D103" s="2669"/>
      <c r="E103" s="2669"/>
      <c r="F103" s="719"/>
      <c r="G103" s="564"/>
      <c r="H103" s="564"/>
      <c r="I103" s="564"/>
      <c r="J103" s="505">
        <v>1889.93</v>
      </c>
      <c r="K103" s="511">
        <v>1.5</v>
      </c>
      <c r="L103" s="510">
        <v>151.81</v>
      </c>
      <c r="M103" s="506">
        <v>10.92</v>
      </c>
      <c r="N103" s="720">
        <v>1657.77</v>
      </c>
      <c r="AF103" s="716"/>
      <c r="AG103" s="481"/>
      <c r="AI103" s="481"/>
      <c r="AK103" s="491" t="s">
        <v>697</v>
      </c>
      <c r="AN103" s="481"/>
      <c r="AO103" s="746"/>
      <c r="AP103" s="746"/>
    </row>
    <row r="104" spans="1:42" s="454" customFormat="1" ht="15" x14ac:dyDescent="0.25">
      <c r="A104" s="718"/>
      <c r="B104" s="490" t="s">
        <v>640</v>
      </c>
      <c r="C104" s="2669" t="s">
        <v>2500</v>
      </c>
      <c r="D104" s="2669"/>
      <c r="E104" s="2669"/>
      <c r="F104" s="719"/>
      <c r="G104" s="564"/>
      <c r="H104" s="564"/>
      <c r="I104" s="564"/>
      <c r="J104" s="510">
        <v>366.39</v>
      </c>
      <c r="K104" s="511">
        <v>1.5</v>
      </c>
      <c r="L104" s="510">
        <v>29.43</v>
      </c>
      <c r="M104" s="506">
        <v>27.32</v>
      </c>
      <c r="N104" s="730">
        <v>804.03</v>
      </c>
      <c r="AF104" s="716"/>
      <c r="AG104" s="481"/>
      <c r="AI104" s="481"/>
      <c r="AK104" s="491" t="s">
        <v>2500</v>
      </c>
      <c r="AN104" s="481"/>
      <c r="AO104" s="746"/>
      <c r="AP104" s="746"/>
    </row>
    <row r="105" spans="1:42" s="454" customFormat="1" ht="15" x14ac:dyDescent="0.25">
      <c r="A105" s="718"/>
      <c r="B105" s="490" t="s">
        <v>232</v>
      </c>
      <c r="C105" s="2669" t="s">
        <v>829</v>
      </c>
      <c r="D105" s="2669"/>
      <c r="E105" s="2669"/>
      <c r="F105" s="719"/>
      <c r="G105" s="564"/>
      <c r="H105" s="564"/>
      <c r="I105" s="564"/>
      <c r="J105" s="505">
        <v>25068.06</v>
      </c>
      <c r="K105" s="564"/>
      <c r="L105" s="505">
        <v>1342.39</v>
      </c>
      <c r="M105" s="506">
        <v>7.72</v>
      </c>
      <c r="N105" s="720">
        <v>10363.25</v>
      </c>
      <c r="AF105" s="716"/>
      <c r="AG105" s="481"/>
      <c r="AI105" s="481"/>
      <c r="AK105" s="491" t="s">
        <v>829</v>
      </c>
      <c r="AN105" s="481"/>
      <c r="AO105" s="746"/>
      <c r="AP105" s="746"/>
    </row>
    <row r="106" spans="1:42" s="454" customFormat="1" ht="15" x14ac:dyDescent="0.25">
      <c r="A106" s="721"/>
      <c r="B106" s="490"/>
      <c r="C106" s="2669" t="s">
        <v>2524</v>
      </c>
      <c r="D106" s="2669"/>
      <c r="E106" s="2669"/>
      <c r="F106" s="719" t="s">
        <v>807</v>
      </c>
      <c r="G106" s="727">
        <v>267</v>
      </c>
      <c r="H106" s="511">
        <v>1.5</v>
      </c>
      <c r="I106" s="728">
        <v>21.446774999999999</v>
      </c>
      <c r="J106" s="501"/>
      <c r="K106" s="564"/>
      <c r="L106" s="501"/>
      <c r="M106" s="564"/>
      <c r="N106" s="723"/>
      <c r="AF106" s="716"/>
      <c r="AG106" s="481"/>
      <c r="AI106" s="481"/>
      <c r="AL106" s="491" t="s">
        <v>2524</v>
      </c>
      <c r="AN106" s="481"/>
      <c r="AO106" s="746"/>
      <c r="AP106" s="746"/>
    </row>
    <row r="107" spans="1:42" s="454" customFormat="1" ht="15" x14ac:dyDescent="0.25">
      <c r="A107" s="721"/>
      <c r="B107" s="490"/>
      <c r="C107" s="2669" t="s">
        <v>2501</v>
      </c>
      <c r="D107" s="2669"/>
      <c r="E107" s="2669"/>
      <c r="F107" s="719" t="s">
        <v>807</v>
      </c>
      <c r="G107" s="506">
        <v>36.42</v>
      </c>
      <c r="H107" s="511">
        <v>1.5</v>
      </c>
      <c r="I107" s="722">
        <v>2.9254365</v>
      </c>
      <c r="J107" s="501"/>
      <c r="K107" s="564"/>
      <c r="L107" s="501"/>
      <c r="M107" s="564"/>
      <c r="N107" s="723"/>
      <c r="AF107" s="716"/>
      <c r="AG107" s="481"/>
      <c r="AI107" s="481"/>
      <c r="AL107" s="491" t="s">
        <v>2501</v>
      </c>
      <c r="AN107" s="481"/>
      <c r="AO107" s="746"/>
      <c r="AP107" s="746"/>
    </row>
    <row r="108" spans="1:42" s="454" customFormat="1" ht="15" x14ac:dyDescent="0.25">
      <c r="A108" s="718"/>
      <c r="B108" s="490"/>
      <c r="C108" s="2711" t="s">
        <v>2502</v>
      </c>
      <c r="D108" s="2711"/>
      <c r="E108" s="2711"/>
      <c r="F108" s="724"/>
      <c r="G108" s="563"/>
      <c r="H108" s="563"/>
      <c r="I108" s="563"/>
      <c r="J108" s="725">
        <v>29040.59</v>
      </c>
      <c r="K108" s="563"/>
      <c r="L108" s="725">
        <v>1661.48</v>
      </c>
      <c r="M108" s="563"/>
      <c r="N108" s="726">
        <v>16591.11</v>
      </c>
      <c r="AF108" s="716"/>
      <c r="AG108" s="481"/>
      <c r="AI108" s="481"/>
      <c r="AM108" s="491" t="s">
        <v>2502</v>
      </c>
      <c r="AN108" s="481"/>
      <c r="AO108" s="746"/>
      <c r="AP108" s="746"/>
    </row>
    <row r="109" spans="1:42" s="454" customFormat="1" ht="15" x14ac:dyDescent="0.25">
      <c r="A109" s="721"/>
      <c r="B109" s="490"/>
      <c r="C109" s="2669" t="s">
        <v>867</v>
      </c>
      <c r="D109" s="2669"/>
      <c r="E109" s="2669"/>
      <c r="F109" s="719"/>
      <c r="G109" s="564"/>
      <c r="H109" s="564"/>
      <c r="I109" s="564"/>
      <c r="J109" s="501"/>
      <c r="K109" s="564"/>
      <c r="L109" s="510">
        <v>196.71</v>
      </c>
      <c r="M109" s="564"/>
      <c r="N109" s="720">
        <v>5374.12</v>
      </c>
      <c r="AF109" s="716"/>
      <c r="AG109" s="481"/>
      <c r="AI109" s="481"/>
      <c r="AL109" s="491" t="s">
        <v>867</v>
      </c>
      <c r="AN109" s="481"/>
      <c r="AO109" s="746"/>
      <c r="AP109" s="746"/>
    </row>
    <row r="110" spans="1:42" s="454" customFormat="1" ht="34.5" x14ac:dyDescent="0.25">
      <c r="A110" s="721"/>
      <c r="B110" s="490" t="s">
        <v>2533</v>
      </c>
      <c r="C110" s="2669" t="s">
        <v>2534</v>
      </c>
      <c r="D110" s="2669"/>
      <c r="E110" s="2669"/>
      <c r="F110" s="719" t="s">
        <v>636</v>
      </c>
      <c r="G110" s="727">
        <v>73</v>
      </c>
      <c r="H110" s="564"/>
      <c r="I110" s="727">
        <v>73</v>
      </c>
      <c r="J110" s="501"/>
      <c r="K110" s="564"/>
      <c r="L110" s="510">
        <v>143.6</v>
      </c>
      <c r="M110" s="564"/>
      <c r="N110" s="720">
        <v>3923.11</v>
      </c>
      <c r="AF110" s="716"/>
      <c r="AG110" s="481"/>
      <c r="AI110" s="481"/>
      <c r="AL110" s="491" t="s">
        <v>2534</v>
      </c>
      <c r="AN110" s="481"/>
      <c r="AO110" s="746"/>
      <c r="AP110" s="746"/>
    </row>
    <row r="111" spans="1:42" s="454" customFormat="1" ht="34.5" x14ac:dyDescent="0.25">
      <c r="A111" s="721"/>
      <c r="B111" s="490" t="s">
        <v>2535</v>
      </c>
      <c r="C111" s="2669" t="s">
        <v>2536</v>
      </c>
      <c r="D111" s="2669"/>
      <c r="E111" s="2669"/>
      <c r="F111" s="719" t="s">
        <v>636</v>
      </c>
      <c r="G111" s="727">
        <v>34</v>
      </c>
      <c r="H111" s="564"/>
      <c r="I111" s="727">
        <v>34</v>
      </c>
      <c r="J111" s="501"/>
      <c r="K111" s="564"/>
      <c r="L111" s="510">
        <v>66.88</v>
      </c>
      <c r="M111" s="564"/>
      <c r="N111" s="720">
        <v>1827.2</v>
      </c>
      <c r="AF111" s="716"/>
      <c r="AG111" s="481"/>
      <c r="AI111" s="481"/>
      <c r="AL111" s="491" t="s">
        <v>2536</v>
      </c>
      <c r="AN111" s="481"/>
      <c r="AO111" s="746"/>
      <c r="AP111" s="746"/>
    </row>
    <row r="112" spans="1:42" s="454" customFormat="1" ht="15" x14ac:dyDescent="0.25">
      <c r="A112" s="526"/>
      <c r="B112" s="567"/>
      <c r="C112" s="2722" t="s">
        <v>872</v>
      </c>
      <c r="D112" s="2722"/>
      <c r="E112" s="2722"/>
      <c r="F112" s="483"/>
      <c r="G112" s="484"/>
      <c r="H112" s="484"/>
      <c r="I112" s="484"/>
      <c r="J112" s="487"/>
      <c r="K112" s="484"/>
      <c r="L112" s="524">
        <v>1871.96</v>
      </c>
      <c r="M112" s="563"/>
      <c r="N112" s="525">
        <v>22341.42</v>
      </c>
      <c r="AF112" s="716"/>
      <c r="AG112" s="481"/>
      <c r="AI112" s="481"/>
      <c r="AN112" s="481" t="s">
        <v>872</v>
      </c>
      <c r="AO112" s="746"/>
      <c r="AP112" s="746"/>
    </row>
    <row r="113" spans="1:42" s="454" customFormat="1" ht="22.5" x14ac:dyDescent="0.25">
      <c r="A113" s="736" t="s">
        <v>1312</v>
      </c>
      <c r="B113" s="737" t="s">
        <v>2537</v>
      </c>
      <c r="C113" s="2723" t="s">
        <v>2538</v>
      </c>
      <c r="D113" s="2723"/>
      <c r="E113" s="2723"/>
      <c r="F113" s="738" t="s">
        <v>832</v>
      </c>
      <c r="G113" s="739">
        <v>3.1059000000000001</v>
      </c>
      <c r="H113" s="740">
        <v>1</v>
      </c>
      <c r="I113" s="751">
        <v>3.1059000000000001</v>
      </c>
      <c r="J113" s="742">
        <v>59.99</v>
      </c>
      <c r="K113" s="739"/>
      <c r="L113" s="742">
        <v>186.32</v>
      </c>
      <c r="M113" s="744">
        <v>7.72</v>
      </c>
      <c r="N113" s="745">
        <v>1438.39</v>
      </c>
      <c r="AF113" s="716"/>
      <c r="AG113" s="481"/>
      <c r="AI113" s="481"/>
      <c r="AN113" s="481"/>
      <c r="AO113" s="746" t="s">
        <v>2538</v>
      </c>
      <c r="AP113" s="746"/>
    </row>
    <row r="114" spans="1:42" s="454" customFormat="1" ht="15" x14ac:dyDescent="0.25">
      <c r="A114" s="747"/>
      <c r="B114" s="748"/>
      <c r="C114" s="2723" t="s">
        <v>872</v>
      </c>
      <c r="D114" s="2723"/>
      <c r="E114" s="2723"/>
      <c r="F114" s="738"/>
      <c r="G114" s="739"/>
      <c r="H114" s="739"/>
      <c r="I114" s="739"/>
      <c r="J114" s="749"/>
      <c r="K114" s="739"/>
      <c r="L114" s="742">
        <v>186.32</v>
      </c>
      <c r="M114" s="750"/>
      <c r="N114" s="745">
        <v>1438.39</v>
      </c>
      <c r="AF114" s="716"/>
      <c r="AG114" s="481"/>
      <c r="AI114" s="481"/>
      <c r="AN114" s="481"/>
      <c r="AO114" s="746"/>
      <c r="AP114" s="746" t="s">
        <v>872</v>
      </c>
    </row>
    <row r="115" spans="1:42" s="454" customFormat="1" ht="15" x14ac:dyDescent="0.25">
      <c r="A115" s="736" t="s">
        <v>1314</v>
      </c>
      <c r="B115" s="737" t="s">
        <v>2539</v>
      </c>
      <c r="C115" s="2723" t="s">
        <v>2540</v>
      </c>
      <c r="D115" s="2723"/>
      <c r="E115" s="2723"/>
      <c r="F115" s="738" t="s">
        <v>832</v>
      </c>
      <c r="G115" s="739">
        <v>4.2839999999999998</v>
      </c>
      <c r="H115" s="740">
        <v>1</v>
      </c>
      <c r="I115" s="741">
        <v>4.2839999999999998</v>
      </c>
      <c r="J115" s="742">
        <v>185.49</v>
      </c>
      <c r="K115" s="739"/>
      <c r="L115" s="742">
        <v>794.64</v>
      </c>
      <c r="M115" s="744">
        <v>7.72</v>
      </c>
      <c r="N115" s="745">
        <v>6134.62</v>
      </c>
      <c r="AF115" s="716"/>
      <c r="AG115" s="481"/>
      <c r="AI115" s="481"/>
      <c r="AN115" s="481"/>
      <c r="AO115" s="746" t="s">
        <v>2540</v>
      </c>
      <c r="AP115" s="746"/>
    </row>
    <row r="116" spans="1:42" s="454" customFormat="1" ht="15" x14ac:dyDescent="0.25">
      <c r="A116" s="747"/>
      <c r="B116" s="748"/>
      <c r="C116" s="2723" t="s">
        <v>872</v>
      </c>
      <c r="D116" s="2723"/>
      <c r="E116" s="2723"/>
      <c r="F116" s="738"/>
      <c r="G116" s="739"/>
      <c r="H116" s="739"/>
      <c r="I116" s="739"/>
      <c r="J116" s="749"/>
      <c r="K116" s="739"/>
      <c r="L116" s="742">
        <v>794.64</v>
      </c>
      <c r="M116" s="750"/>
      <c r="N116" s="745">
        <v>6134.62</v>
      </c>
      <c r="AF116" s="716"/>
      <c r="AG116" s="481"/>
      <c r="AI116" s="481"/>
      <c r="AN116" s="481"/>
      <c r="AO116" s="746"/>
      <c r="AP116" s="746" t="s">
        <v>872</v>
      </c>
    </row>
    <row r="117" spans="1:42" s="454" customFormat="1" ht="33" x14ac:dyDescent="0.25">
      <c r="A117" s="736" t="s">
        <v>1316</v>
      </c>
      <c r="B117" s="737" t="s">
        <v>2541</v>
      </c>
      <c r="C117" s="2723" t="s">
        <v>2542</v>
      </c>
      <c r="D117" s="2723"/>
      <c r="E117" s="2723"/>
      <c r="F117" s="738" t="s">
        <v>801</v>
      </c>
      <c r="G117" s="739">
        <v>1.1459999999999999</v>
      </c>
      <c r="H117" s="740">
        <v>1</v>
      </c>
      <c r="I117" s="741">
        <v>1.1459999999999999</v>
      </c>
      <c r="J117" s="742">
        <v>313</v>
      </c>
      <c r="K117" s="739"/>
      <c r="L117" s="742">
        <v>358.7</v>
      </c>
      <c r="M117" s="744">
        <v>7.72</v>
      </c>
      <c r="N117" s="745">
        <v>2769.16</v>
      </c>
      <c r="AF117" s="716"/>
      <c r="AG117" s="481"/>
      <c r="AI117" s="481"/>
      <c r="AN117" s="481"/>
      <c r="AO117" s="746" t="s">
        <v>2542</v>
      </c>
      <c r="AP117" s="746"/>
    </row>
    <row r="118" spans="1:42" s="454" customFormat="1" ht="15" x14ac:dyDescent="0.25">
      <c r="A118" s="747"/>
      <c r="B118" s="748"/>
      <c r="C118" s="2723" t="s">
        <v>872</v>
      </c>
      <c r="D118" s="2723"/>
      <c r="E118" s="2723"/>
      <c r="F118" s="738"/>
      <c r="G118" s="739"/>
      <c r="H118" s="739"/>
      <c r="I118" s="739"/>
      <c r="J118" s="749"/>
      <c r="K118" s="739"/>
      <c r="L118" s="742">
        <v>358.7</v>
      </c>
      <c r="M118" s="750"/>
      <c r="N118" s="745">
        <v>2769.16</v>
      </c>
      <c r="AF118" s="716"/>
      <c r="AG118" s="481"/>
      <c r="AI118" s="481"/>
      <c r="AN118" s="481"/>
      <c r="AO118" s="746"/>
      <c r="AP118" s="746" t="s">
        <v>872</v>
      </c>
    </row>
    <row r="119" spans="1:42" s="454" customFormat="1" ht="34.5" x14ac:dyDescent="0.25">
      <c r="A119" s="482" t="s">
        <v>650</v>
      </c>
      <c r="B119" s="568" t="s">
        <v>2543</v>
      </c>
      <c r="C119" s="2722" t="s">
        <v>2544</v>
      </c>
      <c r="D119" s="2722"/>
      <c r="E119" s="2722"/>
      <c r="F119" s="483" t="s">
        <v>2499</v>
      </c>
      <c r="G119" s="484">
        <v>0.20824999999999999</v>
      </c>
      <c r="H119" s="485">
        <v>1</v>
      </c>
      <c r="I119" s="541">
        <v>0.20824999999999999</v>
      </c>
      <c r="J119" s="487"/>
      <c r="K119" s="484"/>
      <c r="L119" s="487"/>
      <c r="M119" s="484"/>
      <c r="N119" s="488"/>
      <c r="AF119" s="716"/>
      <c r="AG119" s="481"/>
      <c r="AI119" s="481" t="s">
        <v>2544</v>
      </c>
      <c r="AN119" s="481"/>
      <c r="AO119" s="746"/>
      <c r="AP119" s="746"/>
    </row>
    <row r="120" spans="1:42" s="454" customFormat="1" ht="33.75" x14ac:dyDescent="0.25">
      <c r="A120" s="489"/>
      <c r="B120" s="490" t="s">
        <v>1655</v>
      </c>
      <c r="C120" s="2709" t="s">
        <v>1656</v>
      </c>
      <c r="D120" s="2709"/>
      <c r="E120" s="2709"/>
      <c r="F120" s="2709"/>
      <c r="G120" s="2709"/>
      <c r="H120" s="2709"/>
      <c r="I120" s="2709"/>
      <c r="J120" s="2709"/>
      <c r="K120" s="2709"/>
      <c r="L120" s="2709"/>
      <c r="M120" s="2709"/>
      <c r="N120" s="2710"/>
      <c r="AF120" s="716"/>
      <c r="AG120" s="481"/>
      <c r="AI120" s="481"/>
      <c r="AJ120" s="491" t="s">
        <v>1656</v>
      </c>
      <c r="AN120" s="481"/>
      <c r="AO120" s="746"/>
      <c r="AP120" s="746"/>
    </row>
    <row r="121" spans="1:42" s="454" customFormat="1" ht="15" x14ac:dyDescent="0.25">
      <c r="A121" s="718"/>
      <c r="B121" s="490" t="s">
        <v>190</v>
      </c>
      <c r="C121" s="2669" t="s">
        <v>2523</v>
      </c>
      <c r="D121" s="2669"/>
      <c r="E121" s="2669"/>
      <c r="F121" s="719"/>
      <c r="G121" s="564"/>
      <c r="H121" s="564"/>
      <c r="I121" s="564"/>
      <c r="J121" s="505">
        <v>5408.02</v>
      </c>
      <c r="K121" s="511">
        <v>1.5</v>
      </c>
      <c r="L121" s="505">
        <v>1689.33</v>
      </c>
      <c r="M121" s="506">
        <v>27.32</v>
      </c>
      <c r="N121" s="720">
        <v>46152.5</v>
      </c>
      <c r="AF121" s="716"/>
      <c r="AG121" s="481"/>
      <c r="AI121" s="481"/>
      <c r="AK121" s="491" t="s">
        <v>2523</v>
      </c>
      <c r="AN121" s="481"/>
      <c r="AO121" s="746"/>
      <c r="AP121" s="746"/>
    </row>
    <row r="122" spans="1:42" s="454" customFormat="1" ht="15" x14ac:dyDescent="0.25">
      <c r="A122" s="718"/>
      <c r="B122" s="490" t="s">
        <v>639</v>
      </c>
      <c r="C122" s="2669" t="s">
        <v>697</v>
      </c>
      <c r="D122" s="2669"/>
      <c r="E122" s="2669"/>
      <c r="F122" s="719"/>
      <c r="G122" s="564"/>
      <c r="H122" s="564"/>
      <c r="I122" s="564"/>
      <c r="J122" s="505">
        <v>2828.36</v>
      </c>
      <c r="K122" s="511">
        <v>1.5</v>
      </c>
      <c r="L122" s="510">
        <v>883.51</v>
      </c>
      <c r="M122" s="506">
        <v>10.92</v>
      </c>
      <c r="N122" s="720">
        <v>9647.93</v>
      </c>
      <c r="AF122" s="716"/>
      <c r="AG122" s="481"/>
      <c r="AI122" s="481"/>
      <c r="AK122" s="491" t="s">
        <v>697</v>
      </c>
      <c r="AN122" s="481"/>
      <c r="AO122" s="746"/>
      <c r="AP122" s="746"/>
    </row>
    <row r="123" spans="1:42" s="454" customFormat="1" ht="15" x14ac:dyDescent="0.25">
      <c r="A123" s="718"/>
      <c r="B123" s="490" t="s">
        <v>640</v>
      </c>
      <c r="C123" s="2669" t="s">
        <v>2500</v>
      </c>
      <c r="D123" s="2669"/>
      <c r="E123" s="2669"/>
      <c r="F123" s="719"/>
      <c r="G123" s="564"/>
      <c r="H123" s="564"/>
      <c r="I123" s="564"/>
      <c r="J123" s="510">
        <v>431.06</v>
      </c>
      <c r="K123" s="511">
        <v>1.5</v>
      </c>
      <c r="L123" s="510">
        <v>134.65</v>
      </c>
      <c r="M123" s="506">
        <v>27.32</v>
      </c>
      <c r="N123" s="720">
        <v>3678.64</v>
      </c>
      <c r="AF123" s="716"/>
      <c r="AG123" s="481"/>
      <c r="AI123" s="481"/>
      <c r="AK123" s="491" t="s">
        <v>2500</v>
      </c>
      <c r="AN123" s="481"/>
      <c r="AO123" s="746"/>
      <c r="AP123" s="746"/>
    </row>
    <row r="124" spans="1:42" s="454" customFormat="1" ht="15" x14ac:dyDescent="0.25">
      <c r="A124" s="718"/>
      <c r="B124" s="490" t="s">
        <v>232</v>
      </c>
      <c r="C124" s="2669" t="s">
        <v>829</v>
      </c>
      <c r="D124" s="2669"/>
      <c r="E124" s="2669"/>
      <c r="F124" s="719"/>
      <c r="G124" s="564"/>
      <c r="H124" s="564"/>
      <c r="I124" s="564"/>
      <c r="J124" s="505">
        <v>4148.05</v>
      </c>
      <c r="K124" s="564"/>
      <c r="L124" s="510">
        <v>863.83</v>
      </c>
      <c r="M124" s="506">
        <v>7.72</v>
      </c>
      <c r="N124" s="720">
        <v>6668.77</v>
      </c>
      <c r="AF124" s="716"/>
      <c r="AG124" s="481"/>
      <c r="AI124" s="481"/>
      <c r="AK124" s="491" t="s">
        <v>829</v>
      </c>
      <c r="AN124" s="481"/>
      <c r="AO124" s="746"/>
      <c r="AP124" s="746"/>
    </row>
    <row r="125" spans="1:42" s="454" customFormat="1" ht="15" x14ac:dyDescent="0.25">
      <c r="A125" s="721"/>
      <c r="B125" s="490"/>
      <c r="C125" s="2669" t="s">
        <v>2524</v>
      </c>
      <c r="D125" s="2669"/>
      <c r="E125" s="2669"/>
      <c r="F125" s="719" t="s">
        <v>807</v>
      </c>
      <c r="G125" s="727">
        <v>634</v>
      </c>
      <c r="H125" s="511">
        <v>1.5</v>
      </c>
      <c r="I125" s="735">
        <v>198.04575</v>
      </c>
      <c r="J125" s="501"/>
      <c r="K125" s="564"/>
      <c r="L125" s="501"/>
      <c r="M125" s="564"/>
      <c r="N125" s="723"/>
      <c r="AF125" s="716"/>
      <c r="AG125" s="481"/>
      <c r="AI125" s="481"/>
      <c r="AL125" s="491" t="s">
        <v>2524</v>
      </c>
      <c r="AN125" s="481"/>
      <c r="AO125" s="746"/>
      <c r="AP125" s="746"/>
    </row>
    <row r="126" spans="1:42" s="454" customFormat="1" ht="15" x14ac:dyDescent="0.25">
      <c r="A126" s="721"/>
      <c r="B126" s="490"/>
      <c r="C126" s="2669" t="s">
        <v>2501</v>
      </c>
      <c r="D126" s="2669"/>
      <c r="E126" s="2669"/>
      <c r="F126" s="719" t="s">
        <v>807</v>
      </c>
      <c r="G126" s="506">
        <v>32.119999999999997</v>
      </c>
      <c r="H126" s="511">
        <v>1.5</v>
      </c>
      <c r="I126" s="728">
        <v>10.033485000000001</v>
      </c>
      <c r="J126" s="501"/>
      <c r="K126" s="564"/>
      <c r="L126" s="501"/>
      <c r="M126" s="564"/>
      <c r="N126" s="723"/>
      <c r="AF126" s="716"/>
      <c r="AG126" s="481"/>
      <c r="AI126" s="481"/>
      <c r="AL126" s="491" t="s">
        <v>2501</v>
      </c>
      <c r="AN126" s="481"/>
      <c r="AO126" s="746"/>
      <c r="AP126" s="746"/>
    </row>
    <row r="127" spans="1:42" s="454" customFormat="1" ht="15" x14ac:dyDescent="0.25">
      <c r="A127" s="718"/>
      <c r="B127" s="490"/>
      <c r="C127" s="2711" t="s">
        <v>2502</v>
      </c>
      <c r="D127" s="2711"/>
      <c r="E127" s="2711"/>
      <c r="F127" s="724"/>
      <c r="G127" s="563"/>
      <c r="H127" s="563"/>
      <c r="I127" s="563"/>
      <c r="J127" s="725">
        <v>12384.43</v>
      </c>
      <c r="K127" s="563"/>
      <c r="L127" s="725">
        <v>3436.67</v>
      </c>
      <c r="M127" s="563"/>
      <c r="N127" s="726">
        <v>62469.2</v>
      </c>
      <c r="AF127" s="716"/>
      <c r="AG127" s="481"/>
      <c r="AI127" s="481"/>
      <c r="AM127" s="491" t="s">
        <v>2502</v>
      </c>
      <c r="AN127" s="481"/>
      <c r="AO127" s="746"/>
      <c r="AP127" s="746"/>
    </row>
    <row r="128" spans="1:42" s="454" customFormat="1" ht="15" x14ac:dyDescent="0.25">
      <c r="A128" s="721"/>
      <c r="B128" s="490"/>
      <c r="C128" s="2669" t="s">
        <v>867</v>
      </c>
      <c r="D128" s="2669"/>
      <c r="E128" s="2669"/>
      <c r="F128" s="719"/>
      <c r="G128" s="564"/>
      <c r="H128" s="564"/>
      <c r="I128" s="564"/>
      <c r="J128" s="501"/>
      <c r="K128" s="564"/>
      <c r="L128" s="505">
        <v>1823.98</v>
      </c>
      <c r="M128" s="564"/>
      <c r="N128" s="720">
        <v>49831.14</v>
      </c>
      <c r="AF128" s="716"/>
      <c r="AG128" s="481"/>
      <c r="AI128" s="481"/>
      <c r="AL128" s="491" t="s">
        <v>867</v>
      </c>
      <c r="AN128" s="481"/>
      <c r="AO128" s="746"/>
      <c r="AP128" s="746"/>
    </row>
    <row r="129" spans="1:42" s="454" customFormat="1" ht="23.25" x14ac:dyDescent="0.25">
      <c r="A129" s="721"/>
      <c r="B129" s="490" t="s">
        <v>2525</v>
      </c>
      <c r="C129" s="2669" t="s">
        <v>2526</v>
      </c>
      <c r="D129" s="2669"/>
      <c r="E129" s="2669"/>
      <c r="F129" s="719" t="s">
        <v>636</v>
      </c>
      <c r="G129" s="727">
        <v>102</v>
      </c>
      <c r="H129" s="564"/>
      <c r="I129" s="727">
        <v>102</v>
      </c>
      <c r="J129" s="501"/>
      <c r="K129" s="564"/>
      <c r="L129" s="505">
        <v>1860.46</v>
      </c>
      <c r="M129" s="564"/>
      <c r="N129" s="720">
        <v>50827.76</v>
      </c>
      <c r="AF129" s="716"/>
      <c r="AG129" s="481"/>
      <c r="AI129" s="481"/>
      <c r="AL129" s="491" t="s">
        <v>2526</v>
      </c>
      <c r="AN129" s="481"/>
      <c r="AO129" s="746"/>
      <c r="AP129" s="746"/>
    </row>
    <row r="130" spans="1:42" s="454" customFormat="1" ht="23.25" x14ac:dyDescent="0.25">
      <c r="A130" s="721"/>
      <c r="B130" s="490" t="s">
        <v>2527</v>
      </c>
      <c r="C130" s="2669" t="s">
        <v>2528</v>
      </c>
      <c r="D130" s="2669"/>
      <c r="E130" s="2669"/>
      <c r="F130" s="719" t="s">
        <v>636</v>
      </c>
      <c r="G130" s="727">
        <v>58</v>
      </c>
      <c r="H130" s="564"/>
      <c r="I130" s="727">
        <v>58</v>
      </c>
      <c r="J130" s="501"/>
      <c r="K130" s="564"/>
      <c r="L130" s="505">
        <v>1057.9100000000001</v>
      </c>
      <c r="M130" s="564"/>
      <c r="N130" s="720">
        <v>28902.06</v>
      </c>
      <c r="AF130" s="716"/>
      <c r="AG130" s="481"/>
      <c r="AI130" s="481"/>
      <c r="AL130" s="491" t="s">
        <v>2528</v>
      </c>
      <c r="AN130" s="481"/>
      <c r="AO130" s="746"/>
      <c r="AP130" s="746"/>
    </row>
    <row r="131" spans="1:42" s="454" customFormat="1" ht="15" x14ac:dyDescent="0.25">
      <c r="A131" s="526"/>
      <c r="B131" s="567"/>
      <c r="C131" s="2722" t="s">
        <v>872</v>
      </c>
      <c r="D131" s="2722"/>
      <c r="E131" s="2722"/>
      <c r="F131" s="483"/>
      <c r="G131" s="484"/>
      <c r="H131" s="484"/>
      <c r="I131" s="484"/>
      <c r="J131" s="487"/>
      <c r="K131" s="484"/>
      <c r="L131" s="524">
        <v>6355.04</v>
      </c>
      <c r="M131" s="563"/>
      <c r="N131" s="525">
        <v>142199.01999999999</v>
      </c>
      <c r="AF131" s="716"/>
      <c r="AG131" s="481"/>
      <c r="AI131" s="481"/>
      <c r="AN131" s="481" t="s">
        <v>872</v>
      </c>
      <c r="AO131" s="746"/>
      <c r="AP131" s="746"/>
    </row>
    <row r="132" spans="1:42" s="454" customFormat="1" ht="22.5" x14ac:dyDescent="0.25">
      <c r="A132" s="736" t="s">
        <v>1451</v>
      </c>
      <c r="B132" s="737" t="s">
        <v>2545</v>
      </c>
      <c r="C132" s="2723" t="s">
        <v>2546</v>
      </c>
      <c r="D132" s="2723"/>
      <c r="E132" s="2723"/>
      <c r="F132" s="738" t="s">
        <v>832</v>
      </c>
      <c r="G132" s="739">
        <v>21.138999999999999</v>
      </c>
      <c r="H132" s="740">
        <v>1</v>
      </c>
      <c r="I132" s="741">
        <v>21.138999999999999</v>
      </c>
      <c r="J132" s="742">
        <v>725.69</v>
      </c>
      <c r="K132" s="739"/>
      <c r="L132" s="743">
        <v>15340.36</v>
      </c>
      <c r="M132" s="744">
        <v>7.72</v>
      </c>
      <c r="N132" s="745">
        <v>118427.58</v>
      </c>
      <c r="AF132" s="716"/>
      <c r="AG132" s="481"/>
      <c r="AI132" s="481"/>
      <c r="AN132" s="481"/>
      <c r="AO132" s="746" t="s">
        <v>2546</v>
      </c>
      <c r="AP132" s="746"/>
    </row>
    <row r="133" spans="1:42" s="454" customFormat="1" ht="15" x14ac:dyDescent="0.25">
      <c r="A133" s="747"/>
      <c r="B133" s="748"/>
      <c r="C133" s="2723" t="s">
        <v>872</v>
      </c>
      <c r="D133" s="2723"/>
      <c r="E133" s="2723"/>
      <c r="F133" s="738"/>
      <c r="G133" s="739"/>
      <c r="H133" s="739"/>
      <c r="I133" s="739"/>
      <c r="J133" s="749"/>
      <c r="K133" s="739"/>
      <c r="L133" s="743">
        <v>15340.36</v>
      </c>
      <c r="M133" s="750"/>
      <c r="N133" s="745">
        <v>118427.58</v>
      </c>
      <c r="AF133" s="716"/>
      <c r="AG133" s="481"/>
      <c r="AI133" s="481"/>
      <c r="AN133" s="481"/>
      <c r="AO133" s="746"/>
      <c r="AP133" s="746" t="s">
        <v>872</v>
      </c>
    </row>
    <row r="134" spans="1:42" s="454" customFormat="1" ht="23.25" x14ac:dyDescent="0.25">
      <c r="A134" s="482" t="s">
        <v>651</v>
      </c>
      <c r="B134" s="568" t="s">
        <v>2547</v>
      </c>
      <c r="C134" s="2722" t="s">
        <v>2548</v>
      </c>
      <c r="D134" s="2722"/>
      <c r="E134" s="2722"/>
      <c r="F134" s="483" t="s">
        <v>801</v>
      </c>
      <c r="G134" s="484">
        <v>0.15540000000000001</v>
      </c>
      <c r="H134" s="485">
        <v>1</v>
      </c>
      <c r="I134" s="717">
        <v>0.15540000000000001</v>
      </c>
      <c r="J134" s="524">
        <v>6780</v>
      </c>
      <c r="K134" s="484"/>
      <c r="L134" s="524">
        <v>1053.6099999999999</v>
      </c>
      <c r="M134" s="732">
        <v>7.72</v>
      </c>
      <c r="N134" s="525">
        <v>8133.87</v>
      </c>
      <c r="AF134" s="716"/>
      <c r="AG134" s="481"/>
      <c r="AI134" s="481" t="s">
        <v>2548</v>
      </c>
      <c r="AN134" s="481"/>
      <c r="AO134" s="746"/>
      <c r="AP134" s="746"/>
    </row>
    <row r="135" spans="1:42" s="454" customFormat="1" ht="15" x14ac:dyDescent="0.25">
      <c r="A135" s="526"/>
      <c r="B135" s="567"/>
      <c r="C135" s="2722" t="s">
        <v>872</v>
      </c>
      <c r="D135" s="2722"/>
      <c r="E135" s="2722"/>
      <c r="F135" s="483"/>
      <c r="G135" s="484"/>
      <c r="H135" s="484"/>
      <c r="I135" s="484"/>
      <c r="J135" s="487"/>
      <c r="K135" s="484"/>
      <c r="L135" s="524">
        <v>1053.6099999999999</v>
      </c>
      <c r="M135" s="563"/>
      <c r="N135" s="525">
        <v>8133.87</v>
      </c>
      <c r="AF135" s="716"/>
      <c r="AG135" s="481"/>
      <c r="AI135" s="481"/>
      <c r="AN135" s="481" t="s">
        <v>872</v>
      </c>
      <c r="AO135" s="746"/>
      <c r="AP135" s="746"/>
    </row>
    <row r="136" spans="1:42" s="454" customFormat="1" ht="23.25" x14ac:dyDescent="0.25">
      <c r="A136" s="482" t="s">
        <v>652</v>
      </c>
      <c r="B136" s="568" t="s">
        <v>2549</v>
      </c>
      <c r="C136" s="2722" t="s">
        <v>2550</v>
      </c>
      <c r="D136" s="2722"/>
      <c r="E136" s="2722"/>
      <c r="F136" s="483" t="s">
        <v>801</v>
      </c>
      <c r="G136" s="484">
        <v>1.0738000000000001</v>
      </c>
      <c r="H136" s="485">
        <v>1</v>
      </c>
      <c r="I136" s="717">
        <v>1.0738000000000001</v>
      </c>
      <c r="J136" s="524">
        <v>5488.69</v>
      </c>
      <c r="K136" s="484"/>
      <c r="L136" s="524">
        <v>5893.76</v>
      </c>
      <c r="M136" s="732">
        <v>7.72</v>
      </c>
      <c r="N136" s="525">
        <v>45499.83</v>
      </c>
      <c r="AF136" s="716"/>
      <c r="AG136" s="481"/>
      <c r="AI136" s="481" t="s">
        <v>2550</v>
      </c>
      <c r="AN136" s="481"/>
      <c r="AO136" s="746"/>
      <c r="AP136" s="746"/>
    </row>
    <row r="137" spans="1:42" s="454" customFormat="1" ht="15" x14ac:dyDescent="0.25">
      <c r="A137" s="526"/>
      <c r="B137" s="567"/>
      <c r="C137" s="2722" t="s">
        <v>872</v>
      </c>
      <c r="D137" s="2722"/>
      <c r="E137" s="2722"/>
      <c r="F137" s="483"/>
      <c r="G137" s="484"/>
      <c r="H137" s="484"/>
      <c r="I137" s="484"/>
      <c r="J137" s="487"/>
      <c r="K137" s="484"/>
      <c r="L137" s="524">
        <v>5893.76</v>
      </c>
      <c r="M137" s="563"/>
      <c r="N137" s="525">
        <v>45499.83</v>
      </c>
      <c r="AF137" s="716"/>
      <c r="AG137" s="481"/>
      <c r="AI137" s="481"/>
      <c r="AN137" s="481" t="s">
        <v>872</v>
      </c>
      <c r="AO137" s="746"/>
      <c r="AP137" s="746"/>
    </row>
    <row r="138" spans="1:42" s="454" customFormat="1" ht="23.25" x14ac:dyDescent="0.25">
      <c r="A138" s="482" t="s">
        <v>653</v>
      </c>
      <c r="B138" s="568" t="s">
        <v>2551</v>
      </c>
      <c r="C138" s="2722" t="s">
        <v>2552</v>
      </c>
      <c r="D138" s="2722"/>
      <c r="E138" s="2722"/>
      <c r="F138" s="483" t="s">
        <v>2499</v>
      </c>
      <c r="G138" s="484">
        <v>0.25580000000000003</v>
      </c>
      <c r="H138" s="485">
        <v>1</v>
      </c>
      <c r="I138" s="717">
        <v>0.25580000000000003</v>
      </c>
      <c r="J138" s="487"/>
      <c r="K138" s="484"/>
      <c r="L138" s="487"/>
      <c r="M138" s="484"/>
      <c r="N138" s="488"/>
      <c r="AF138" s="716"/>
      <c r="AG138" s="481"/>
      <c r="AI138" s="481" t="s">
        <v>2552</v>
      </c>
      <c r="AN138" s="481"/>
      <c r="AO138" s="746"/>
      <c r="AP138" s="746"/>
    </row>
    <row r="139" spans="1:42" s="454" customFormat="1" ht="33.75" x14ac:dyDescent="0.25">
      <c r="A139" s="489"/>
      <c r="B139" s="490" t="s">
        <v>1655</v>
      </c>
      <c r="C139" s="2709" t="s">
        <v>1656</v>
      </c>
      <c r="D139" s="2709"/>
      <c r="E139" s="2709"/>
      <c r="F139" s="2709"/>
      <c r="G139" s="2709"/>
      <c r="H139" s="2709"/>
      <c r="I139" s="2709"/>
      <c r="J139" s="2709"/>
      <c r="K139" s="2709"/>
      <c r="L139" s="2709"/>
      <c r="M139" s="2709"/>
      <c r="N139" s="2710"/>
      <c r="AF139" s="716"/>
      <c r="AG139" s="481"/>
      <c r="AI139" s="481"/>
      <c r="AJ139" s="491" t="s">
        <v>1656</v>
      </c>
      <c r="AN139" s="481"/>
      <c r="AO139" s="746"/>
      <c r="AP139" s="746"/>
    </row>
    <row r="140" spans="1:42" s="454" customFormat="1" ht="15" x14ac:dyDescent="0.25">
      <c r="A140" s="718"/>
      <c r="B140" s="490" t="s">
        <v>190</v>
      </c>
      <c r="C140" s="2669" t="s">
        <v>2523</v>
      </c>
      <c r="D140" s="2669"/>
      <c r="E140" s="2669"/>
      <c r="F140" s="719"/>
      <c r="G140" s="564"/>
      <c r="H140" s="564"/>
      <c r="I140" s="564"/>
      <c r="J140" s="505">
        <v>2082.6</v>
      </c>
      <c r="K140" s="511">
        <v>1.5</v>
      </c>
      <c r="L140" s="510">
        <v>799.09</v>
      </c>
      <c r="M140" s="506">
        <v>27.32</v>
      </c>
      <c r="N140" s="720">
        <v>21831.14</v>
      </c>
      <c r="AF140" s="716"/>
      <c r="AG140" s="481"/>
      <c r="AI140" s="481"/>
      <c r="AK140" s="491" t="s">
        <v>2523</v>
      </c>
      <c r="AN140" s="481"/>
      <c r="AO140" s="746"/>
      <c r="AP140" s="746"/>
    </row>
    <row r="141" spans="1:42" s="454" customFormat="1" ht="15" x14ac:dyDescent="0.25">
      <c r="A141" s="718"/>
      <c r="B141" s="490" t="s">
        <v>639</v>
      </c>
      <c r="C141" s="2669" t="s">
        <v>697</v>
      </c>
      <c r="D141" s="2669"/>
      <c r="E141" s="2669"/>
      <c r="F141" s="719"/>
      <c r="G141" s="564"/>
      <c r="H141" s="564"/>
      <c r="I141" s="564"/>
      <c r="J141" s="505">
        <v>1847.63</v>
      </c>
      <c r="K141" s="511">
        <v>1.5</v>
      </c>
      <c r="L141" s="510">
        <v>708.94</v>
      </c>
      <c r="M141" s="506">
        <v>10.92</v>
      </c>
      <c r="N141" s="720">
        <v>7741.62</v>
      </c>
      <c r="AF141" s="716"/>
      <c r="AG141" s="481"/>
      <c r="AI141" s="481"/>
      <c r="AK141" s="491" t="s">
        <v>697</v>
      </c>
      <c r="AN141" s="481"/>
      <c r="AO141" s="746"/>
      <c r="AP141" s="746"/>
    </row>
    <row r="142" spans="1:42" s="454" customFormat="1" ht="15" x14ac:dyDescent="0.25">
      <c r="A142" s="718"/>
      <c r="B142" s="490" t="s">
        <v>640</v>
      </c>
      <c r="C142" s="2669" t="s">
        <v>2500</v>
      </c>
      <c r="D142" s="2669"/>
      <c r="E142" s="2669"/>
      <c r="F142" s="719"/>
      <c r="G142" s="564"/>
      <c r="H142" s="564"/>
      <c r="I142" s="564"/>
      <c r="J142" s="510">
        <v>361.66</v>
      </c>
      <c r="K142" s="511">
        <v>1.5</v>
      </c>
      <c r="L142" s="510">
        <v>138.77000000000001</v>
      </c>
      <c r="M142" s="506">
        <v>27.32</v>
      </c>
      <c r="N142" s="720">
        <v>3791.2</v>
      </c>
      <c r="AF142" s="716"/>
      <c r="AG142" s="481"/>
      <c r="AI142" s="481"/>
      <c r="AK142" s="491" t="s">
        <v>2500</v>
      </c>
      <c r="AN142" s="481"/>
      <c r="AO142" s="746"/>
      <c r="AP142" s="746"/>
    </row>
    <row r="143" spans="1:42" s="454" customFormat="1" ht="15" x14ac:dyDescent="0.25">
      <c r="A143" s="718"/>
      <c r="B143" s="490" t="s">
        <v>232</v>
      </c>
      <c r="C143" s="2669" t="s">
        <v>829</v>
      </c>
      <c r="D143" s="2669"/>
      <c r="E143" s="2669"/>
      <c r="F143" s="719"/>
      <c r="G143" s="564"/>
      <c r="H143" s="564"/>
      <c r="I143" s="564"/>
      <c r="J143" s="505">
        <v>30662.21</v>
      </c>
      <c r="K143" s="564"/>
      <c r="L143" s="505">
        <v>7843.39</v>
      </c>
      <c r="M143" s="506">
        <v>7.72</v>
      </c>
      <c r="N143" s="720">
        <v>60550.97</v>
      </c>
      <c r="AF143" s="716"/>
      <c r="AG143" s="481"/>
      <c r="AI143" s="481"/>
      <c r="AK143" s="491" t="s">
        <v>829</v>
      </c>
      <c r="AN143" s="481"/>
      <c r="AO143" s="746"/>
      <c r="AP143" s="746"/>
    </row>
    <row r="144" spans="1:42" s="454" customFormat="1" ht="15" x14ac:dyDescent="0.25">
      <c r="A144" s="721"/>
      <c r="B144" s="490"/>
      <c r="C144" s="2669" t="s">
        <v>2524</v>
      </c>
      <c r="D144" s="2669"/>
      <c r="E144" s="2669"/>
      <c r="F144" s="719" t="s">
        <v>807</v>
      </c>
      <c r="G144" s="727">
        <v>267</v>
      </c>
      <c r="H144" s="511">
        <v>1.5</v>
      </c>
      <c r="I144" s="752">
        <v>102.4479</v>
      </c>
      <c r="J144" s="501"/>
      <c r="K144" s="564"/>
      <c r="L144" s="501"/>
      <c r="M144" s="564"/>
      <c r="N144" s="723"/>
      <c r="AF144" s="716"/>
      <c r="AG144" s="481"/>
      <c r="AI144" s="481"/>
      <c r="AL144" s="491" t="s">
        <v>2524</v>
      </c>
      <c r="AN144" s="481"/>
      <c r="AO144" s="746"/>
      <c r="AP144" s="746"/>
    </row>
    <row r="145" spans="1:42" s="454" customFormat="1" ht="15" x14ac:dyDescent="0.25">
      <c r="A145" s="721"/>
      <c r="B145" s="490"/>
      <c r="C145" s="2669" t="s">
        <v>2501</v>
      </c>
      <c r="D145" s="2669"/>
      <c r="E145" s="2669"/>
      <c r="F145" s="719" t="s">
        <v>807</v>
      </c>
      <c r="G145" s="506">
        <v>35.950000000000003</v>
      </c>
      <c r="H145" s="511">
        <v>1.5</v>
      </c>
      <c r="I145" s="728">
        <v>13.794015</v>
      </c>
      <c r="J145" s="501"/>
      <c r="K145" s="564"/>
      <c r="L145" s="501"/>
      <c r="M145" s="564"/>
      <c r="N145" s="723"/>
      <c r="AF145" s="716"/>
      <c r="AG145" s="481"/>
      <c r="AI145" s="481"/>
      <c r="AL145" s="491" t="s">
        <v>2501</v>
      </c>
      <c r="AN145" s="481"/>
      <c r="AO145" s="746"/>
      <c r="AP145" s="746"/>
    </row>
    <row r="146" spans="1:42" s="454" customFormat="1" ht="15" x14ac:dyDescent="0.25">
      <c r="A146" s="718"/>
      <c r="B146" s="490"/>
      <c r="C146" s="2711" t="s">
        <v>2502</v>
      </c>
      <c r="D146" s="2711"/>
      <c r="E146" s="2711"/>
      <c r="F146" s="724"/>
      <c r="G146" s="563"/>
      <c r="H146" s="563"/>
      <c r="I146" s="563"/>
      <c r="J146" s="725">
        <v>34592.44</v>
      </c>
      <c r="K146" s="563"/>
      <c r="L146" s="725">
        <v>9351.42</v>
      </c>
      <c r="M146" s="563"/>
      <c r="N146" s="726">
        <v>90123.73</v>
      </c>
      <c r="AF146" s="716"/>
      <c r="AG146" s="481"/>
      <c r="AI146" s="481"/>
      <c r="AM146" s="491" t="s">
        <v>2502</v>
      </c>
      <c r="AN146" s="481"/>
      <c r="AO146" s="746"/>
      <c r="AP146" s="746"/>
    </row>
    <row r="147" spans="1:42" s="454" customFormat="1" ht="15" x14ac:dyDescent="0.25">
      <c r="A147" s="721"/>
      <c r="B147" s="490"/>
      <c r="C147" s="2669" t="s">
        <v>867</v>
      </c>
      <c r="D147" s="2669"/>
      <c r="E147" s="2669"/>
      <c r="F147" s="719"/>
      <c r="G147" s="564"/>
      <c r="H147" s="564"/>
      <c r="I147" s="564"/>
      <c r="J147" s="501"/>
      <c r="K147" s="564"/>
      <c r="L147" s="510">
        <v>937.86</v>
      </c>
      <c r="M147" s="564"/>
      <c r="N147" s="720">
        <v>25622.34</v>
      </c>
      <c r="AF147" s="716"/>
      <c r="AG147" s="481"/>
      <c r="AI147" s="481"/>
      <c r="AL147" s="491" t="s">
        <v>867</v>
      </c>
      <c r="AN147" s="481"/>
      <c r="AO147" s="746"/>
      <c r="AP147" s="746"/>
    </row>
    <row r="148" spans="1:42" s="454" customFormat="1" ht="34.5" x14ac:dyDescent="0.25">
      <c r="A148" s="721"/>
      <c r="B148" s="490" t="s">
        <v>2533</v>
      </c>
      <c r="C148" s="2669" t="s">
        <v>2534</v>
      </c>
      <c r="D148" s="2669"/>
      <c r="E148" s="2669"/>
      <c r="F148" s="719" t="s">
        <v>636</v>
      </c>
      <c r="G148" s="727">
        <v>73</v>
      </c>
      <c r="H148" s="564"/>
      <c r="I148" s="727">
        <v>73</v>
      </c>
      <c r="J148" s="501"/>
      <c r="K148" s="564"/>
      <c r="L148" s="510">
        <v>684.64</v>
      </c>
      <c r="M148" s="564"/>
      <c r="N148" s="720">
        <v>18704.310000000001</v>
      </c>
      <c r="AF148" s="716"/>
      <c r="AG148" s="481"/>
      <c r="AI148" s="481"/>
      <c r="AL148" s="491" t="s">
        <v>2534</v>
      </c>
      <c r="AN148" s="481"/>
      <c r="AO148" s="746"/>
      <c r="AP148" s="746"/>
    </row>
    <row r="149" spans="1:42" s="454" customFormat="1" ht="34.5" x14ac:dyDescent="0.25">
      <c r="A149" s="721"/>
      <c r="B149" s="490" t="s">
        <v>2535</v>
      </c>
      <c r="C149" s="2669" t="s">
        <v>2536</v>
      </c>
      <c r="D149" s="2669"/>
      <c r="E149" s="2669"/>
      <c r="F149" s="719" t="s">
        <v>636</v>
      </c>
      <c r="G149" s="727">
        <v>34</v>
      </c>
      <c r="H149" s="564"/>
      <c r="I149" s="727">
        <v>34</v>
      </c>
      <c r="J149" s="501"/>
      <c r="K149" s="564"/>
      <c r="L149" s="510">
        <v>318.87</v>
      </c>
      <c r="M149" s="564"/>
      <c r="N149" s="720">
        <v>8711.6</v>
      </c>
      <c r="AF149" s="716"/>
      <c r="AG149" s="481"/>
      <c r="AI149" s="481"/>
      <c r="AL149" s="491" t="s">
        <v>2536</v>
      </c>
      <c r="AN149" s="481"/>
      <c r="AO149" s="746"/>
      <c r="AP149" s="746"/>
    </row>
    <row r="150" spans="1:42" s="454" customFormat="1" ht="15" x14ac:dyDescent="0.25">
      <c r="A150" s="526"/>
      <c r="B150" s="567"/>
      <c r="C150" s="2722" t="s">
        <v>872</v>
      </c>
      <c r="D150" s="2722"/>
      <c r="E150" s="2722"/>
      <c r="F150" s="483"/>
      <c r="G150" s="484"/>
      <c r="H150" s="484"/>
      <c r="I150" s="484"/>
      <c r="J150" s="487"/>
      <c r="K150" s="484"/>
      <c r="L150" s="524">
        <v>10354.93</v>
      </c>
      <c r="M150" s="563"/>
      <c r="N150" s="525">
        <v>117539.64</v>
      </c>
      <c r="AF150" s="716"/>
      <c r="AG150" s="481"/>
      <c r="AI150" s="481"/>
      <c r="AN150" s="481" t="s">
        <v>872</v>
      </c>
      <c r="AO150" s="746"/>
      <c r="AP150" s="746"/>
    </row>
    <row r="151" spans="1:42" s="454" customFormat="1" ht="22.5" x14ac:dyDescent="0.25">
      <c r="A151" s="736" t="s">
        <v>1322</v>
      </c>
      <c r="B151" s="737" t="s">
        <v>2537</v>
      </c>
      <c r="C151" s="2723" t="s">
        <v>2538</v>
      </c>
      <c r="D151" s="2723"/>
      <c r="E151" s="2723"/>
      <c r="F151" s="738" t="s">
        <v>832</v>
      </c>
      <c r="G151" s="739">
        <v>12.08</v>
      </c>
      <c r="H151" s="740">
        <v>1</v>
      </c>
      <c r="I151" s="744">
        <v>12.08</v>
      </c>
      <c r="J151" s="742">
        <v>59.99</v>
      </c>
      <c r="K151" s="739"/>
      <c r="L151" s="742">
        <v>724.68</v>
      </c>
      <c r="M151" s="744">
        <v>7.72</v>
      </c>
      <c r="N151" s="745">
        <v>5594.53</v>
      </c>
      <c r="AF151" s="716"/>
      <c r="AG151" s="481"/>
      <c r="AI151" s="481"/>
      <c r="AN151" s="481"/>
      <c r="AO151" s="746" t="s">
        <v>2538</v>
      </c>
      <c r="AP151" s="746"/>
    </row>
    <row r="152" spans="1:42" s="454" customFormat="1" ht="15" x14ac:dyDescent="0.25">
      <c r="A152" s="747"/>
      <c r="B152" s="748"/>
      <c r="C152" s="2723" t="s">
        <v>872</v>
      </c>
      <c r="D152" s="2723"/>
      <c r="E152" s="2723"/>
      <c r="F152" s="738"/>
      <c r="G152" s="739"/>
      <c r="H152" s="739"/>
      <c r="I152" s="739"/>
      <c r="J152" s="749"/>
      <c r="K152" s="739"/>
      <c r="L152" s="742">
        <v>724.68</v>
      </c>
      <c r="M152" s="750"/>
      <c r="N152" s="745">
        <v>5594.53</v>
      </c>
      <c r="AF152" s="716"/>
      <c r="AG152" s="481"/>
      <c r="AI152" s="481"/>
      <c r="AN152" s="481"/>
      <c r="AO152" s="746"/>
      <c r="AP152" s="746" t="s">
        <v>872</v>
      </c>
    </row>
    <row r="153" spans="1:42" s="454" customFormat="1" ht="15" x14ac:dyDescent="0.25">
      <c r="A153" s="736" t="s">
        <v>1325</v>
      </c>
      <c r="B153" s="737" t="s">
        <v>2539</v>
      </c>
      <c r="C153" s="2723" t="s">
        <v>2540</v>
      </c>
      <c r="D153" s="2723"/>
      <c r="E153" s="2723"/>
      <c r="F153" s="738" t="s">
        <v>832</v>
      </c>
      <c r="G153" s="739">
        <v>20.56</v>
      </c>
      <c r="H153" s="740">
        <v>1</v>
      </c>
      <c r="I153" s="744">
        <v>20.56</v>
      </c>
      <c r="J153" s="742">
        <v>185.49</v>
      </c>
      <c r="K153" s="739"/>
      <c r="L153" s="743">
        <v>3813.67</v>
      </c>
      <c r="M153" s="744">
        <v>7.72</v>
      </c>
      <c r="N153" s="745">
        <v>29441.53</v>
      </c>
      <c r="AF153" s="716"/>
      <c r="AG153" s="481"/>
      <c r="AI153" s="481"/>
      <c r="AN153" s="481"/>
      <c r="AO153" s="746" t="s">
        <v>2540</v>
      </c>
      <c r="AP153" s="746"/>
    </row>
    <row r="154" spans="1:42" s="454" customFormat="1" ht="15" x14ac:dyDescent="0.25">
      <c r="A154" s="747"/>
      <c r="B154" s="748"/>
      <c r="C154" s="2723" t="s">
        <v>872</v>
      </c>
      <c r="D154" s="2723"/>
      <c r="E154" s="2723"/>
      <c r="F154" s="738"/>
      <c r="G154" s="739"/>
      <c r="H154" s="739"/>
      <c r="I154" s="739"/>
      <c r="J154" s="749"/>
      <c r="K154" s="739"/>
      <c r="L154" s="743">
        <v>3813.67</v>
      </c>
      <c r="M154" s="750"/>
      <c r="N154" s="745">
        <v>29441.53</v>
      </c>
      <c r="AF154" s="716"/>
      <c r="AG154" s="481"/>
      <c r="AI154" s="481"/>
      <c r="AN154" s="481"/>
      <c r="AO154" s="746"/>
      <c r="AP154" s="746" t="s">
        <v>872</v>
      </c>
    </row>
    <row r="155" spans="1:42" s="454" customFormat="1" ht="33" x14ac:dyDescent="0.25">
      <c r="A155" s="736" t="s">
        <v>1327</v>
      </c>
      <c r="B155" s="737" t="s">
        <v>2541</v>
      </c>
      <c r="C155" s="2723" t="s">
        <v>2542</v>
      </c>
      <c r="D155" s="2723"/>
      <c r="E155" s="2723"/>
      <c r="F155" s="738" t="s">
        <v>801</v>
      </c>
      <c r="G155" s="739">
        <v>9.82</v>
      </c>
      <c r="H155" s="740">
        <v>1</v>
      </c>
      <c r="I155" s="744">
        <v>9.82</v>
      </c>
      <c r="J155" s="742">
        <v>313</v>
      </c>
      <c r="K155" s="739"/>
      <c r="L155" s="743">
        <v>3073.66</v>
      </c>
      <c r="M155" s="744">
        <v>7.72</v>
      </c>
      <c r="N155" s="745">
        <v>23728.66</v>
      </c>
      <c r="AF155" s="716"/>
      <c r="AG155" s="481"/>
      <c r="AI155" s="481"/>
      <c r="AN155" s="481"/>
      <c r="AO155" s="746" t="s">
        <v>2542</v>
      </c>
      <c r="AP155" s="746"/>
    </row>
    <row r="156" spans="1:42" s="454" customFormat="1" ht="15" x14ac:dyDescent="0.25">
      <c r="A156" s="747"/>
      <c r="B156" s="748"/>
      <c r="C156" s="2723" t="s">
        <v>872</v>
      </c>
      <c r="D156" s="2723"/>
      <c r="E156" s="2723"/>
      <c r="F156" s="738"/>
      <c r="G156" s="739"/>
      <c r="H156" s="739"/>
      <c r="I156" s="739"/>
      <c r="J156" s="749"/>
      <c r="K156" s="739"/>
      <c r="L156" s="743">
        <v>3073.66</v>
      </c>
      <c r="M156" s="750"/>
      <c r="N156" s="745">
        <v>23728.66</v>
      </c>
      <c r="AF156" s="716"/>
      <c r="AG156" s="481"/>
      <c r="AI156" s="481"/>
      <c r="AN156" s="481"/>
      <c r="AO156" s="746"/>
      <c r="AP156" s="746" t="s">
        <v>872</v>
      </c>
    </row>
    <row r="157" spans="1:42" s="454" customFormat="1" ht="34.5" x14ac:dyDescent="0.25">
      <c r="A157" s="482" t="s">
        <v>654</v>
      </c>
      <c r="B157" s="568" t="s">
        <v>2553</v>
      </c>
      <c r="C157" s="2722" t="s">
        <v>2554</v>
      </c>
      <c r="D157" s="2722"/>
      <c r="E157" s="2722"/>
      <c r="F157" s="483" t="s">
        <v>2555</v>
      </c>
      <c r="G157" s="484">
        <v>1.6870000000000001</v>
      </c>
      <c r="H157" s="485">
        <v>1</v>
      </c>
      <c r="I157" s="731">
        <v>1.6870000000000001</v>
      </c>
      <c r="J157" s="487"/>
      <c r="K157" s="484"/>
      <c r="L157" s="487"/>
      <c r="M157" s="484"/>
      <c r="N157" s="488"/>
      <c r="AF157" s="716"/>
      <c r="AG157" s="481"/>
      <c r="AI157" s="481" t="s">
        <v>2554</v>
      </c>
      <c r="AN157" s="481"/>
      <c r="AO157" s="746"/>
      <c r="AP157" s="746"/>
    </row>
    <row r="158" spans="1:42" s="454" customFormat="1" ht="33.75" x14ac:dyDescent="0.25">
      <c r="A158" s="489"/>
      <c r="B158" s="490" t="s">
        <v>1655</v>
      </c>
      <c r="C158" s="2709" t="s">
        <v>1656</v>
      </c>
      <c r="D158" s="2709"/>
      <c r="E158" s="2709"/>
      <c r="F158" s="2709"/>
      <c r="G158" s="2709"/>
      <c r="H158" s="2709"/>
      <c r="I158" s="2709"/>
      <c r="J158" s="2709"/>
      <c r="K158" s="2709"/>
      <c r="L158" s="2709"/>
      <c r="M158" s="2709"/>
      <c r="N158" s="2710"/>
      <c r="AF158" s="716"/>
      <c r="AG158" s="481"/>
      <c r="AI158" s="481"/>
      <c r="AJ158" s="491" t="s">
        <v>1656</v>
      </c>
      <c r="AN158" s="481"/>
      <c r="AO158" s="746"/>
      <c r="AP158" s="746"/>
    </row>
    <row r="159" spans="1:42" s="454" customFormat="1" ht="15" x14ac:dyDescent="0.25">
      <c r="A159" s="718"/>
      <c r="B159" s="490" t="s">
        <v>190</v>
      </c>
      <c r="C159" s="2669" t="s">
        <v>2523</v>
      </c>
      <c r="D159" s="2669"/>
      <c r="E159" s="2669"/>
      <c r="F159" s="719"/>
      <c r="G159" s="564"/>
      <c r="H159" s="564"/>
      <c r="I159" s="564"/>
      <c r="J159" s="510">
        <v>201.61</v>
      </c>
      <c r="K159" s="511">
        <v>1.5</v>
      </c>
      <c r="L159" s="510">
        <v>510.17</v>
      </c>
      <c r="M159" s="506">
        <v>27.32</v>
      </c>
      <c r="N159" s="720">
        <v>13937.84</v>
      </c>
      <c r="AF159" s="716"/>
      <c r="AG159" s="481"/>
      <c r="AI159" s="481"/>
      <c r="AK159" s="491" t="s">
        <v>2523</v>
      </c>
      <c r="AN159" s="481"/>
      <c r="AO159" s="746"/>
      <c r="AP159" s="746"/>
    </row>
    <row r="160" spans="1:42" s="454" customFormat="1" ht="15" x14ac:dyDescent="0.25">
      <c r="A160" s="718"/>
      <c r="B160" s="490" t="s">
        <v>639</v>
      </c>
      <c r="C160" s="2669" t="s">
        <v>697</v>
      </c>
      <c r="D160" s="2669"/>
      <c r="E160" s="2669"/>
      <c r="F160" s="719"/>
      <c r="G160" s="564"/>
      <c r="H160" s="564"/>
      <c r="I160" s="564"/>
      <c r="J160" s="510">
        <v>71.64</v>
      </c>
      <c r="K160" s="511">
        <v>1.5</v>
      </c>
      <c r="L160" s="510">
        <v>181.29</v>
      </c>
      <c r="M160" s="506">
        <v>10.92</v>
      </c>
      <c r="N160" s="720">
        <v>1979.69</v>
      </c>
      <c r="AF160" s="716"/>
      <c r="AG160" s="481"/>
      <c r="AI160" s="481"/>
      <c r="AK160" s="491" t="s">
        <v>697</v>
      </c>
      <c r="AN160" s="481"/>
      <c r="AO160" s="746"/>
      <c r="AP160" s="746"/>
    </row>
    <row r="161" spans="1:42" s="454" customFormat="1" ht="15" x14ac:dyDescent="0.25">
      <c r="A161" s="718"/>
      <c r="B161" s="490" t="s">
        <v>640</v>
      </c>
      <c r="C161" s="2669" t="s">
        <v>2500</v>
      </c>
      <c r="D161" s="2669"/>
      <c r="E161" s="2669"/>
      <c r="F161" s="719"/>
      <c r="G161" s="564"/>
      <c r="H161" s="564"/>
      <c r="I161" s="564"/>
      <c r="J161" s="510">
        <v>2.3199999999999998</v>
      </c>
      <c r="K161" s="511">
        <v>1.5</v>
      </c>
      <c r="L161" s="510">
        <v>5.87</v>
      </c>
      <c r="M161" s="506">
        <v>27.32</v>
      </c>
      <c r="N161" s="730">
        <v>160.37</v>
      </c>
      <c r="AF161" s="716"/>
      <c r="AG161" s="481"/>
      <c r="AI161" s="481"/>
      <c r="AK161" s="491" t="s">
        <v>2500</v>
      </c>
      <c r="AN161" s="481"/>
      <c r="AO161" s="746"/>
      <c r="AP161" s="746"/>
    </row>
    <row r="162" spans="1:42" s="454" customFormat="1" ht="15" x14ac:dyDescent="0.25">
      <c r="A162" s="718"/>
      <c r="B162" s="490" t="s">
        <v>232</v>
      </c>
      <c r="C162" s="2669" t="s">
        <v>829</v>
      </c>
      <c r="D162" s="2669"/>
      <c r="E162" s="2669"/>
      <c r="F162" s="719"/>
      <c r="G162" s="564"/>
      <c r="H162" s="564"/>
      <c r="I162" s="564"/>
      <c r="J162" s="510">
        <v>62.75</v>
      </c>
      <c r="K162" s="564"/>
      <c r="L162" s="510">
        <v>105.86</v>
      </c>
      <c r="M162" s="506">
        <v>7.72</v>
      </c>
      <c r="N162" s="730">
        <v>817.24</v>
      </c>
      <c r="AF162" s="716"/>
      <c r="AG162" s="481"/>
      <c r="AI162" s="481"/>
      <c r="AK162" s="491" t="s">
        <v>829</v>
      </c>
      <c r="AN162" s="481"/>
      <c r="AO162" s="746"/>
      <c r="AP162" s="746"/>
    </row>
    <row r="163" spans="1:42" s="454" customFormat="1" ht="15" x14ac:dyDescent="0.25">
      <c r="A163" s="721"/>
      <c r="B163" s="490"/>
      <c r="C163" s="2669" t="s">
        <v>2524</v>
      </c>
      <c r="D163" s="2669"/>
      <c r="E163" s="2669"/>
      <c r="F163" s="719" t="s">
        <v>807</v>
      </c>
      <c r="G163" s="511">
        <v>21.2</v>
      </c>
      <c r="H163" s="511">
        <v>1.5</v>
      </c>
      <c r="I163" s="752">
        <v>53.646599999999999</v>
      </c>
      <c r="J163" s="501"/>
      <c r="K163" s="564"/>
      <c r="L163" s="501"/>
      <c r="M163" s="564"/>
      <c r="N163" s="723"/>
      <c r="AF163" s="716"/>
      <c r="AG163" s="481"/>
      <c r="AI163" s="481"/>
      <c r="AL163" s="491" t="s">
        <v>2524</v>
      </c>
      <c r="AN163" s="481"/>
      <c r="AO163" s="746"/>
      <c r="AP163" s="746"/>
    </row>
    <row r="164" spans="1:42" s="454" customFormat="1" ht="15" x14ac:dyDescent="0.25">
      <c r="A164" s="721"/>
      <c r="B164" s="490"/>
      <c r="C164" s="2669" t="s">
        <v>2501</v>
      </c>
      <c r="D164" s="2669"/>
      <c r="E164" s="2669"/>
      <c r="F164" s="719" t="s">
        <v>807</v>
      </c>
      <c r="G164" s="511">
        <v>0.2</v>
      </c>
      <c r="H164" s="511">
        <v>1.5</v>
      </c>
      <c r="I164" s="752">
        <v>0.50609999999999999</v>
      </c>
      <c r="J164" s="501"/>
      <c r="K164" s="564"/>
      <c r="L164" s="501"/>
      <c r="M164" s="564"/>
      <c r="N164" s="723"/>
      <c r="AF164" s="716"/>
      <c r="AG164" s="481"/>
      <c r="AI164" s="481"/>
      <c r="AL164" s="491" t="s">
        <v>2501</v>
      </c>
      <c r="AN164" s="481"/>
      <c r="AO164" s="746"/>
      <c r="AP164" s="746"/>
    </row>
    <row r="165" spans="1:42" s="454" customFormat="1" ht="15" x14ac:dyDescent="0.25">
      <c r="A165" s="718"/>
      <c r="B165" s="490"/>
      <c r="C165" s="2711" t="s">
        <v>2502</v>
      </c>
      <c r="D165" s="2711"/>
      <c r="E165" s="2711"/>
      <c r="F165" s="724"/>
      <c r="G165" s="563"/>
      <c r="H165" s="563"/>
      <c r="I165" s="563"/>
      <c r="J165" s="729">
        <v>336</v>
      </c>
      <c r="K165" s="563"/>
      <c r="L165" s="729">
        <v>797.32</v>
      </c>
      <c r="M165" s="563"/>
      <c r="N165" s="726">
        <v>16734.77</v>
      </c>
      <c r="AF165" s="716"/>
      <c r="AG165" s="481"/>
      <c r="AI165" s="481"/>
      <c r="AM165" s="491" t="s">
        <v>2502</v>
      </c>
      <c r="AN165" s="481"/>
      <c r="AO165" s="746"/>
      <c r="AP165" s="746"/>
    </row>
    <row r="166" spans="1:42" s="454" customFormat="1" ht="15" x14ac:dyDescent="0.25">
      <c r="A166" s="721"/>
      <c r="B166" s="490"/>
      <c r="C166" s="2669" t="s">
        <v>867</v>
      </c>
      <c r="D166" s="2669"/>
      <c r="E166" s="2669"/>
      <c r="F166" s="719"/>
      <c r="G166" s="564"/>
      <c r="H166" s="564"/>
      <c r="I166" s="564"/>
      <c r="J166" s="501"/>
      <c r="K166" s="564"/>
      <c r="L166" s="510">
        <v>516.04</v>
      </c>
      <c r="M166" s="564"/>
      <c r="N166" s="720">
        <v>14098.21</v>
      </c>
      <c r="AF166" s="716"/>
      <c r="AG166" s="481"/>
      <c r="AI166" s="481"/>
      <c r="AL166" s="491" t="s">
        <v>867</v>
      </c>
      <c r="AN166" s="481"/>
      <c r="AO166" s="746"/>
      <c r="AP166" s="746"/>
    </row>
    <row r="167" spans="1:42" s="454" customFormat="1" ht="15" x14ac:dyDescent="0.25">
      <c r="A167" s="721"/>
      <c r="B167" s="490" t="s">
        <v>2556</v>
      </c>
      <c r="C167" s="2669" t="s">
        <v>2557</v>
      </c>
      <c r="D167" s="2669"/>
      <c r="E167" s="2669"/>
      <c r="F167" s="719" t="s">
        <v>636</v>
      </c>
      <c r="G167" s="727">
        <v>110</v>
      </c>
      <c r="H167" s="564"/>
      <c r="I167" s="727">
        <v>110</v>
      </c>
      <c r="J167" s="501"/>
      <c r="K167" s="564"/>
      <c r="L167" s="510">
        <v>567.64</v>
      </c>
      <c r="M167" s="564"/>
      <c r="N167" s="720">
        <v>15508.03</v>
      </c>
      <c r="AF167" s="716"/>
      <c r="AG167" s="481"/>
      <c r="AI167" s="481"/>
      <c r="AL167" s="491" t="s">
        <v>2557</v>
      </c>
      <c r="AN167" s="481"/>
      <c r="AO167" s="746"/>
      <c r="AP167" s="746"/>
    </row>
    <row r="168" spans="1:42" s="454" customFormat="1" ht="15" x14ac:dyDescent="0.25">
      <c r="A168" s="721"/>
      <c r="B168" s="490" t="s">
        <v>2558</v>
      </c>
      <c r="C168" s="2669" t="s">
        <v>2559</v>
      </c>
      <c r="D168" s="2669"/>
      <c r="E168" s="2669"/>
      <c r="F168" s="719" t="s">
        <v>636</v>
      </c>
      <c r="G168" s="727">
        <v>69</v>
      </c>
      <c r="H168" s="564"/>
      <c r="I168" s="727">
        <v>69</v>
      </c>
      <c r="J168" s="501"/>
      <c r="K168" s="564"/>
      <c r="L168" s="510">
        <v>356.07</v>
      </c>
      <c r="M168" s="564"/>
      <c r="N168" s="720">
        <v>9727.76</v>
      </c>
      <c r="AF168" s="716"/>
      <c r="AG168" s="481"/>
      <c r="AI168" s="481"/>
      <c r="AL168" s="491" t="s">
        <v>2559</v>
      </c>
      <c r="AN168" s="481"/>
      <c r="AO168" s="746"/>
      <c r="AP168" s="746"/>
    </row>
    <row r="169" spans="1:42" s="454" customFormat="1" ht="15" x14ac:dyDescent="0.25">
      <c r="A169" s="526"/>
      <c r="B169" s="567"/>
      <c r="C169" s="2722" t="s">
        <v>872</v>
      </c>
      <c r="D169" s="2722"/>
      <c r="E169" s="2722"/>
      <c r="F169" s="483"/>
      <c r="G169" s="484"/>
      <c r="H169" s="484"/>
      <c r="I169" s="484"/>
      <c r="J169" s="487"/>
      <c r="K169" s="484"/>
      <c r="L169" s="524">
        <v>1721.03</v>
      </c>
      <c r="M169" s="563"/>
      <c r="N169" s="525">
        <v>41970.559999999998</v>
      </c>
      <c r="AF169" s="716"/>
      <c r="AG169" s="481"/>
      <c r="AI169" s="481"/>
      <c r="AN169" s="481" t="s">
        <v>872</v>
      </c>
      <c r="AO169" s="746"/>
      <c r="AP169" s="746"/>
    </row>
    <row r="170" spans="1:42" s="454" customFormat="1" ht="23.25" x14ac:dyDescent="0.25">
      <c r="A170" s="482" t="s">
        <v>655</v>
      </c>
      <c r="B170" s="568" t="s">
        <v>2560</v>
      </c>
      <c r="C170" s="2722" t="s">
        <v>2561</v>
      </c>
      <c r="D170" s="2722"/>
      <c r="E170" s="2722"/>
      <c r="F170" s="483" t="s">
        <v>801</v>
      </c>
      <c r="G170" s="484">
        <v>0.40488000000000002</v>
      </c>
      <c r="H170" s="485">
        <v>1</v>
      </c>
      <c r="I170" s="541">
        <v>0.40488000000000002</v>
      </c>
      <c r="J170" s="524">
        <v>8894.49</v>
      </c>
      <c r="K170" s="484"/>
      <c r="L170" s="524">
        <v>3601.2</v>
      </c>
      <c r="M170" s="732">
        <v>7.72</v>
      </c>
      <c r="N170" s="525">
        <v>27801.26</v>
      </c>
      <c r="AF170" s="716"/>
      <c r="AG170" s="481"/>
      <c r="AI170" s="481" t="s">
        <v>2561</v>
      </c>
      <c r="AN170" s="481"/>
      <c r="AO170" s="746"/>
      <c r="AP170" s="746"/>
    </row>
    <row r="171" spans="1:42" s="454" customFormat="1" ht="15" x14ac:dyDescent="0.25">
      <c r="A171" s="526"/>
      <c r="B171" s="567"/>
      <c r="C171" s="2722" t="s">
        <v>872</v>
      </c>
      <c r="D171" s="2722"/>
      <c r="E171" s="2722"/>
      <c r="F171" s="483"/>
      <c r="G171" s="484"/>
      <c r="H171" s="484"/>
      <c r="I171" s="484"/>
      <c r="J171" s="487"/>
      <c r="K171" s="484"/>
      <c r="L171" s="524">
        <v>3601.2</v>
      </c>
      <c r="M171" s="563"/>
      <c r="N171" s="525">
        <v>27801.26</v>
      </c>
      <c r="AF171" s="716"/>
      <c r="AG171" s="481"/>
      <c r="AI171" s="481"/>
      <c r="AN171" s="481" t="s">
        <v>872</v>
      </c>
      <c r="AO171" s="746"/>
      <c r="AP171" s="746"/>
    </row>
    <row r="172" spans="1:42" s="454" customFormat="1" ht="15" x14ac:dyDescent="0.25">
      <c r="A172" s="482" t="s">
        <v>656</v>
      </c>
      <c r="B172" s="568" t="s">
        <v>2562</v>
      </c>
      <c r="C172" s="2722" t="s">
        <v>2563</v>
      </c>
      <c r="D172" s="2722"/>
      <c r="E172" s="2722"/>
      <c r="F172" s="483" t="s">
        <v>801</v>
      </c>
      <c r="G172" s="484">
        <v>2.6991999999999999E-2</v>
      </c>
      <c r="H172" s="485">
        <v>1</v>
      </c>
      <c r="I172" s="753">
        <v>2.6991999999999999E-2</v>
      </c>
      <c r="J172" s="524">
        <v>1677.23</v>
      </c>
      <c r="K172" s="484"/>
      <c r="L172" s="527">
        <v>45.27</v>
      </c>
      <c r="M172" s="732">
        <v>7.72</v>
      </c>
      <c r="N172" s="734">
        <v>349.48</v>
      </c>
      <c r="AF172" s="716"/>
      <c r="AG172" s="481"/>
      <c r="AI172" s="481" t="s">
        <v>2563</v>
      </c>
      <c r="AN172" s="481"/>
      <c r="AO172" s="746"/>
      <c r="AP172" s="746"/>
    </row>
    <row r="173" spans="1:42" s="454" customFormat="1" ht="15" x14ac:dyDescent="0.25">
      <c r="A173" s="526"/>
      <c r="B173" s="567"/>
      <c r="C173" s="2722" t="s">
        <v>872</v>
      </c>
      <c r="D173" s="2722"/>
      <c r="E173" s="2722"/>
      <c r="F173" s="483"/>
      <c r="G173" s="484"/>
      <c r="H173" s="484"/>
      <c r="I173" s="484"/>
      <c r="J173" s="487"/>
      <c r="K173" s="484"/>
      <c r="L173" s="527">
        <v>45.27</v>
      </c>
      <c r="M173" s="563"/>
      <c r="N173" s="734">
        <v>349.48</v>
      </c>
      <c r="AF173" s="716"/>
      <c r="AG173" s="481"/>
      <c r="AI173" s="481"/>
      <c r="AN173" s="481" t="s">
        <v>872</v>
      </c>
      <c r="AO173" s="746"/>
      <c r="AP173" s="746"/>
    </row>
    <row r="174" spans="1:42" s="454" customFormat="1" ht="45.75" x14ac:dyDescent="0.25">
      <c r="A174" s="482" t="s">
        <v>657</v>
      </c>
      <c r="B174" s="568" t="s">
        <v>2564</v>
      </c>
      <c r="C174" s="2722" t="s">
        <v>2565</v>
      </c>
      <c r="D174" s="2722"/>
      <c r="E174" s="2722"/>
      <c r="F174" s="483" t="s">
        <v>2509</v>
      </c>
      <c r="G174" s="484">
        <v>0.33360000000000001</v>
      </c>
      <c r="H174" s="485">
        <v>1</v>
      </c>
      <c r="I174" s="717">
        <v>0.33360000000000001</v>
      </c>
      <c r="J174" s="487"/>
      <c r="K174" s="484"/>
      <c r="L174" s="487"/>
      <c r="M174" s="484"/>
      <c r="N174" s="488"/>
      <c r="AF174" s="716"/>
      <c r="AG174" s="481"/>
      <c r="AI174" s="481" t="s">
        <v>2565</v>
      </c>
      <c r="AN174" s="481"/>
      <c r="AO174" s="746"/>
      <c r="AP174" s="746"/>
    </row>
    <row r="175" spans="1:42" s="454" customFormat="1" ht="33.75" x14ac:dyDescent="0.25">
      <c r="A175" s="489"/>
      <c r="B175" s="490" t="s">
        <v>1655</v>
      </c>
      <c r="C175" s="2709" t="s">
        <v>1656</v>
      </c>
      <c r="D175" s="2709"/>
      <c r="E175" s="2709"/>
      <c r="F175" s="2709"/>
      <c r="G175" s="2709"/>
      <c r="H175" s="2709"/>
      <c r="I175" s="2709"/>
      <c r="J175" s="2709"/>
      <c r="K175" s="2709"/>
      <c r="L175" s="2709"/>
      <c r="M175" s="2709"/>
      <c r="N175" s="2710"/>
      <c r="AF175" s="716"/>
      <c r="AG175" s="481"/>
      <c r="AI175" s="481"/>
      <c r="AJ175" s="491" t="s">
        <v>1656</v>
      </c>
      <c r="AN175" s="481"/>
      <c r="AO175" s="746"/>
      <c r="AP175" s="746"/>
    </row>
    <row r="176" spans="1:42" s="454" customFormat="1" ht="15" x14ac:dyDescent="0.25">
      <c r="A176" s="718"/>
      <c r="B176" s="490" t="s">
        <v>639</v>
      </c>
      <c r="C176" s="2669" t="s">
        <v>697</v>
      </c>
      <c r="D176" s="2669"/>
      <c r="E176" s="2669"/>
      <c r="F176" s="719"/>
      <c r="G176" s="564"/>
      <c r="H176" s="564"/>
      <c r="I176" s="564"/>
      <c r="J176" s="505">
        <v>1593.48</v>
      </c>
      <c r="K176" s="511">
        <v>1.5</v>
      </c>
      <c r="L176" s="510">
        <v>797.38</v>
      </c>
      <c r="M176" s="506">
        <v>10.92</v>
      </c>
      <c r="N176" s="720">
        <v>8707.39</v>
      </c>
      <c r="AF176" s="716"/>
      <c r="AG176" s="481"/>
      <c r="AI176" s="481"/>
      <c r="AK176" s="491" t="s">
        <v>697</v>
      </c>
      <c r="AN176" s="481"/>
      <c r="AO176" s="746"/>
      <c r="AP176" s="746"/>
    </row>
    <row r="177" spans="1:42" s="454" customFormat="1" ht="15" x14ac:dyDescent="0.25">
      <c r="A177" s="718"/>
      <c r="B177" s="490" t="s">
        <v>640</v>
      </c>
      <c r="C177" s="2669" t="s">
        <v>2500</v>
      </c>
      <c r="D177" s="2669"/>
      <c r="E177" s="2669"/>
      <c r="F177" s="719"/>
      <c r="G177" s="564"/>
      <c r="H177" s="564"/>
      <c r="I177" s="564"/>
      <c r="J177" s="510">
        <v>162</v>
      </c>
      <c r="K177" s="511">
        <v>1.5</v>
      </c>
      <c r="L177" s="510">
        <v>81.06</v>
      </c>
      <c r="M177" s="506">
        <v>27.32</v>
      </c>
      <c r="N177" s="720">
        <v>2214.56</v>
      </c>
      <c r="AF177" s="716"/>
      <c r="AG177" s="481"/>
      <c r="AI177" s="481"/>
      <c r="AK177" s="491" t="s">
        <v>2500</v>
      </c>
      <c r="AN177" s="481"/>
      <c r="AO177" s="746"/>
      <c r="AP177" s="746"/>
    </row>
    <row r="178" spans="1:42" s="454" customFormat="1" ht="15" x14ac:dyDescent="0.25">
      <c r="A178" s="721"/>
      <c r="B178" s="490"/>
      <c r="C178" s="2669" t="s">
        <v>2501</v>
      </c>
      <c r="D178" s="2669"/>
      <c r="E178" s="2669"/>
      <c r="F178" s="719" t="s">
        <v>807</v>
      </c>
      <c r="G178" s="727">
        <v>12</v>
      </c>
      <c r="H178" s="511">
        <v>1.5</v>
      </c>
      <c r="I178" s="752">
        <v>6.0048000000000004</v>
      </c>
      <c r="J178" s="501"/>
      <c r="K178" s="564"/>
      <c r="L178" s="501"/>
      <c r="M178" s="564"/>
      <c r="N178" s="723"/>
      <c r="AF178" s="716"/>
      <c r="AG178" s="481"/>
      <c r="AI178" s="481"/>
      <c r="AL178" s="491" t="s">
        <v>2501</v>
      </c>
      <c r="AN178" s="481"/>
      <c r="AO178" s="746"/>
      <c r="AP178" s="746"/>
    </row>
    <row r="179" spans="1:42" s="454" customFormat="1" ht="15" x14ac:dyDescent="0.25">
      <c r="A179" s="718"/>
      <c r="B179" s="490"/>
      <c r="C179" s="2711" t="s">
        <v>2502</v>
      </c>
      <c r="D179" s="2711"/>
      <c r="E179" s="2711"/>
      <c r="F179" s="724"/>
      <c r="G179" s="563"/>
      <c r="H179" s="563"/>
      <c r="I179" s="563"/>
      <c r="J179" s="725">
        <v>1593.48</v>
      </c>
      <c r="K179" s="563"/>
      <c r="L179" s="729">
        <v>797.38</v>
      </c>
      <c r="M179" s="563"/>
      <c r="N179" s="726">
        <v>8707.39</v>
      </c>
      <c r="AF179" s="716"/>
      <c r="AG179" s="481"/>
      <c r="AI179" s="481"/>
      <c r="AM179" s="491" t="s">
        <v>2502</v>
      </c>
      <c r="AN179" s="481"/>
      <c r="AO179" s="746"/>
      <c r="AP179" s="746"/>
    </row>
    <row r="180" spans="1:42" s="454" customFormat="1" ht="15" x14ac:dyDescent="0.25">
      <c r="A180" s="721"/>
      <c r="B180" s="490"/>
      <c r="C180" s="2669" t="s">
        <v>867</v>
      </c>
      <c r="D180" s="2669"/>
      <c r="E180" s="2669"/>
      <c r="F180" s="719"/>
      <c r="G180" s="564"/>
      <c r="H180" s="564"/>
      <c r="I180" s="564"/>
      <c r="J180" s="501"/>
      <c r="K180" s="564"/>
      <c r="L180" s="510">
        <v>81.06</v>
      </c>
      <c r="M180" s="564"/>
      <c r="N180" s="720">
        <v>2214.56</v>
      </c>
      <c r="AF180" s="716"/>
      <c r="AG180" s="481"/>
      <c r="AI180" s="481"/>
      <c r="AL180" s="491" t="s">
        <v>867</v>
      </c>
      <c r="AN180" s="481"/>
      <c r="AO180" s="746"/>
      <c r="AP180" s="746"/>
    </row>
    <row r="181" spans="1:42" s="454" customFormat="1" ht="23.25" x14ac:dyDescent="0.25">
      <c r="A181" s="721"/>
      <c r="B181" s="490" t="s">
        <v>2510</v>
      </c>
      <c r="C181" s="2669" t="s">
        <v>2511</v>
      </c>
      <c r="D181" s="2669"/>
      <c r="E181" s="2669"/>
      <c r="F181" s="719" t="s">
        <v>636</v>
      </c>
      <c r="G181" s="727">
        <v>92</v>
      </c>
      <c r="H181" s="564"/>
      <c r="I181" s="727">
        <v>92</v>
      </c>
      <c r="J181" s="501"/>
      <c r="K181" s="564"/>
      <c r="L181" s="510">
        <v>74.58</v>
      </c>
      <c r="M181" s="564"/>
      <c r="N181" s="720">
        <v>2037.4</v>
      </c>
      <c r="AF181" s="716"/>
      <c r="AG181" s="481"/>
      <c r="AI181" s="481"/>
      <c r="AL181" s="491" t="s">
        <v>2511</v>
      </c>
      <c r="AN181" s="481"/>
      <c r="AO181" s="746"/>
      <c r="AP181" s="746"/>
    </row>
    <row r="182" spans="1:42" s="454" customFormat="1" ht="23.25" x14ac:dyDescent="0.25">
      <c r="A182" s="721"/>
      <c r="B182" s="490" t="s">
        <v>2512</v>
      </c>
      <c r="C182" s="2669" t="s">
        <v>2513</v>
      </c>
      <c r="D182" s="2669"/>
      <c r="E182" s="2669"/>
      <c r="F182" s="719" t="s">
        <v>636</v>
      </c>
      <c r="G182" s="727">
        <v>46</v>
      </c>
      <c r="H182" s="564"/>
      <c r="I182" s="727">
        <v>46</v>
      </c>
      <c r="J182" s="501"/>
      <c r="K182" s="564"/>
      <c r="L182" s="510">
        <v>37.29</v>
      </c>
      <c r="M182" s="564"/>
      <c r="N182" s="720">
        <v>1018.7</v>
      </c>
      <c r="AF182" s="716"/>
      <c r="AG182" s="481"/>
      <c r="AI182" s="481"/>
      <c r="AL182" s="491" t="s">
        <v>2513</v>
      </c>
      <c r="AN182" s="481"/>
      <c r="AO182" s="746"/>
      <c r="AP182" s="746"/>
    </row>
    <row r="183" spans="1:42" s="454" customFormat="1" ht="15" x14ac:dyDescent="0.25">
      <c r="A183" s="526"/>
      <c r="B183" s="567"/>
      <c r="C183" s="2722" t="s">
        <v>872</v>
      </c>
      <c r="D183" s="2722"/>
      <c r="E183" s="2722"/>
      <c r="F183" s="483"/>
      <c r="G183" s="484"/>
      <c r="H183" s="484"/>
      <c r="I183" s="484"/>
      <c r="J183" s="487"/>
      <c r="K183" s="484"/>
      <c r="L183" s="527">
        <v>909.25</v>
      </c>
      <c r="M183" s="563"/>
      <c r="N183" s="525">
        <v>11763.49</v>
      </c>
      <c r="AF183" s="716"/>
      <c r="AG183" s="481"/>
      <c r="AI183" s="481"/>
      <c r="AN183" s="481" t="s">
        <v>872</v>
      </c>
      <c r="AO183" s="746"/>
      <c r="AP183" s="746"/>
    </row>
    <row r="184" spans="1:42" s="454" customFormat="1" ht="15" x14ac:dyDescent="0.25">
      <c r="A184" s="2716" t="s">
        <v>1202</v>
      </c>
      <c r="B184" s="2717"/>
      <c r="C184" s="2717"/>
      <c r="D184" s="2717"/>
      <c r="E184" s="2717"/>
      <c r="F184" s="2717"/>
      <c r="G184" s="2717"/>
      <c r="H184" s="2717"/>
      <c r="I184" s="2717"/>
      <c r="J184" s="2717"/>
      <c r="K184" s="2717"/>
      <c r="L184" s="2717"/>
      <c r="M184" s="2717"/>
      <c r="N184" s="2718"/>
      <c r="AF184" s="716"/>
      <c r="AG184" s="481" t="s">
        <v>1202</v>
      </c>
      <c r="AI184" s="481"/>
      <c r="AN184" s="481"/>
      <c r="AO184" s="746"/>
      <c r="AP184" s="746"/>
    </row>
    <row r="185" spans="1:42" s="454" customFormat="1" ht="23.25" x14ac:dyDescent="0.25">
      <c r="A185" s="482" t="s">
        <v>658</v>
      </c>
      <c r="B185" s="568" t="s">
        <v>2566</v>
      </c>
      <c r="C185" s="2722" t="s">
        <v>2567</v>
      </c>
      <c r="D185" s="2722"/>
      <c r="E185" s="2722"/>
      <c r="F185" s="483" t="s">
        <v>130</v>
      </c>
      <c r="G185" s="484">
        <v>126.73</v>
      </c>
      <c r="H185" s="485">
        <v>1</v>
      </c>
      <c r="I185" s="732">
        <v>126.73</v>
      </c>
      <c r="J185" s="487"/>
      <c r="K185" s="484"/>
      <c r="L185" s="487"/>
      <c r="M185" s="484"/>
      <c r="N185" s="488"/>
      <c r="AF185" s="716"/>
      <c r="AG185" s="481"/>
      <c r="AI185" s="481" t="s">
        <v>2567</v>
      </c>
      <c r="AN185" s="481"/>
      <c r="AO185" s="746"/>
      <c r="AP185" s="746"/>
    </row>
    <row r="186" spans="1:42" s="454" customFormat="1" ht="33.75" x14ac:dyDescent="0.25">
      <c r="A186" s="489"/>
      <c r="B186" s="490" t="s">
        <v>1655</v>
      </c>
      <c r="C186" s="2709" t="s">
        <v>1656</v>
      </c>
      <c r="D186" s="2709"/>
      <c r="E186" s="2709"/>
      <c r="F186" s="2709"/>
      <c r="G186" s="2709"/>
      <c r="H186" s="2709"/>
      <c r="I186" s="2709"/>
      <c r="J186" s="2709"/>
      <c r="K186" s="2709"/>
      <c r="L186" s="2709"/>
      <c r="M186" s="2709"/>
      <c r="N186" s="2710"/>
      <c r="AF186" s="716"/>
      <c r="AG186" s="481"/>
      <c r="AI186" s="481"/>
      <c r="AJ186" s="491" t="s">
        <v>1656</v>
      </c>
      <c r="AN186" s="481"/>
      <c r="AO186" s="746"/>
      <c r="AP186" s="746"/>
    </row>
    <row r="187" spans="1:42" s="454" customFormat="1" ht="15" x14ac:dyDescent="0.25">
      <c r="A187" s="718"/>
      <c r="B187" s="490" t="s">
        <v>190</v>
      </c>
      <c r="C187" s="2669" t="s">
        <v>2523</v>
      </c>
      <c r="D187" s="2669"/>
      <c r="E187" s="2669"/>
      <c r="F187" s="719"/>
      <c r="G187" s="564"/>
      <c r="H187" s="564"/>
      <c r="I187" s="564"/>
      <c r="J187" s="510">
        <v>16.739999999999998</v>
      </c>
      <c r="K187" s="511">
        <v>1.5</v>
      </c>
      <c r="L187" s="505">
        <v>3182.19</v>
      </c>
      <c r="M187" s="506">
        <v>27.32</v>
      </c>
      <c r="N187" s="720">
        <v>86937.43</v>
      </c>
      <c r="AF187" s="716"/>
      <c r="AG187" s="481"/>
      <c r="AI187" s="481"/>
      <c r="AK187" s="491" t="s">
        <v>2523</v>
      </c>
      <c r="AN187" s="481"/>
      <c r="AO187" s="746"/>
      <c r="AP187" s="746"/>
    </row>
    <row r="188" spans="1:42" s="454" customFormat="1" ht="15" x14ac:dyDescent="0.25">
      <c r="A188" s="718"/>
      <c r="B188" s="490" t="s">
        <v>232</v>
      </c>
      <c r="C188" s="2669" t="s">
        <v>829</v>
      </c>
      <c r="D188" s="2669"/>
      <c r="E188" s="2669"/>
      <c r="F188" s="719"/>
      <c r="G188" s="564"/>
      <c r="H188" s="564"/>
      <c r="I188" s="564"/>
      <c r="J188" s="510">
        <v>53.72</v>
      </c>
      <c r="K188" s="564"/>
      <c r="L188" s="505">
        <v>6807.94</v>
      </c>
      <c r="M188" s="506">
        <v>7.72</v>
      </c>
      <c r="N188" s="720">
        <v>52557.3</v>
      </c>
      <c r="AF188" s="716"/>
      <c r="AG188" s="481"/>
      <c r="AI188" s="481"/>
      <c r="AK188" s="491" t="s">
        <v>829</v>
      </c>
      <c r="AN188" s="481"/>
      <c r="AO188" s="746"/>
      <c r="AP188" s="746"/>
    </row>
    <row r="189" spans="1:42" s="454" customFormat="1" ht="15" x14ac:dyDescent="0.25">
      <c r="A189" s="721"/>
      <c r="B189" s="490"/>
      <c r="C189" s="2669" t="s">
        <v>2524</v>
      </c>
      <c r="D189" s="2669"/>
      <c r="E189" s="2669"/>
      <c r="F189" s="719" t="s">
        <v>807</v>
      </c>
      <c r="G189" s="506">
        <v>1.74</v>
      </c>
      <c r="H189" s="511">
        <v>1.5</v>
      </c>
      <c r="I189" s="752">
        <v>330.76530000000002</v>
      </c>
      <c r="J189" s="501"/>
      <c r="K189" s="564"/>
      <c r="L189" s="501"/>
      <c r="M189" s="564"/>
      <c r="N189" s="723"/>
      <c r="AF189" s="716"/>
      <c r="AG189" s="481"/>
      <c r="AI189" s="481"/>
      <c r="AL189" s="491" t="s">
        <v>2524</v>
      </c>
      <c r="AN189" s="481"/>
      <c r="AO189" s="746"/>
      <c r="AP189" s="746"/>
    </row>
    <row r="190" spans="1:42" s="454" customFormat="1" ht="15" x14ac:dyDescent="0.25">
      <c r="A190" s="718"/>
      <c r="B190" s="490"/>
      <c r="C190" s="2711" t="s">
        <v>2502</v>
      </c>
      <c r="D190" s="2711"/>
      <c r="E190" s="2711"/>
      <c r="F190" s="724"/>
      <c r="G190" s="563"/>
      <c r="H190" s="563"/>
      <c r="I190" s="563"/>
      <c r="J190" s="729">
        <v>70.459999999999994</v>
      </c>
      <c r="K190" s="563"/>
      <c r="L190" s="725">
        <v>9990.1299999999992</v>
      </c>
      <c r="M190" s="563"/>
      <c r="N190" s="726">
        <v>139494.73000000001</v>
      </c>
      <c r="AF190" s="716"/>
      <c r="AG190" s="481"/>
      <c r="AI190" s="481"/>
      <c r="AM190" s="491" t="s">
        <v>2502</v>
      </c>
      <c r="AN190" s="481"/>
      <c r="AO190" s="746"/>
      <c r="AP190" s="746"/>
    </row>
    <row r="191" spans="1:42" s="454" customFormat="1" ht="15" x14ac:dyDescent="0.25">
      <c r="A191" s="721"/>
      <c r="B191" s="490"/>
      <c r="C191" s="2669" t="s">
        <v>867</v>
      </c>
      <c r="D191" s="2669"/>
      <c r="E191" s="2669"/>
      <c r="F191" s="719"/>
      <c r="G191" s="564"/>
      <c r="H191" s="564"/>
      <c r="I191" s="564"/>
      <c r="J191" s="501"/>
      <c r="K191" s="564"/>
      <c r="L191" s="505">
        <v>3182.19</v>
      </c>
      <c r="M191" s="564"/>
      <c r="N191" s="720">
        <v>86937.43</v>
      </c>
      <c r="AF191" s="716"/>
      <c r="AG191" s="481"/>
      <c r="AI191" s="481"/>
      <c r="AL191" s="491" t="s">
        <v>867</v>
      </c>
      <c r="AN191" s="481"/>
      <c r="AO191" s="746"/>
      <c r="AP191" s="746"/>
    </row>
    <row r="192" spans="1:42" s="454" customFormat="1" ht="34.5" x14ac:dyDescent="0.25">
      <c r="A192" s="721"/>
      <c r="B192" s="490" t="s">
        <v>2503</v>
      </c>
      <c r="C192" s="2669" t="s">
        <v>2504</v>
      </c>
      <c r="D192" s="2669"/>
      <c r="E192" s="2669"/>
      <c r="F192" s="719" t="s">
        <v>636</v>
      </c>
      <c r="G192" s="727">
        <v>89</v>
      </c>
      <c r="H192" s="564"/>
      <c r="I192" s="727">
        <v>89</v>
      </c>
      <c r="J192" s="501"/>
      <c r="K192" s="564"/>
      <c r="L192" s="505">
        <v>2832.15</v>
      </c>
      <c r="M192" s="564"/>
      <c r="N192" s="720">
        <v>77374.31</v>
      </c>
      <c r="AF192" s="716"/>
      <c r="AG192" s="481"/>
      <c r="AI192" s="481"/>
      <c r="AL192" s="491" t="s">
        <v>2504</v>
      </c>
      <c r="AN192" s="481"/>
      <c r="AO192" s="746"/>
      <c r="AP192" s="746"/>
    </row>
    <row r="193" spans="1:45" s="454" customFormat="1" ht="34.5" x14ac:dyDescent="0.25">
      <c r="A193" s="721"/>
      <c r="B193" s="490" t="s">
        <v>2505</v>
      </c>
      <c r="C193" s="2669" t="s">
        <v>2506</v>
      </c>
      <c r="D193" s="2669"/>
      <c r="E193" s="2669"/>
      <c r="F193" s="719" t="s">
        <v>636</v>
      </c>
      <c r="G193" s="727">
        <v>41</v>
      </c>
      <c r="H193" s="564"/>
      <c r="I193" s="727">
        <v>41</v>
      </c>
      <c r="J193" s="501"/>
      <c r="K193" s="564"/>
      <c r="L193" s="505">
        <v>1304.7</v>
      </c>
      <c r="M193" s="564"/>
      <c r="N193" s="720">
        <v>35644.35</v>
      </c>
      <c r="AF193" s="716"/>
      <c r="AG193" s="481"/>
      <c r="AI193" s="481"/>
      <c r="AL193" s="491" t="s">
        <v>2506</v>
      </c>
      <c r="AN193" s="481"/>
      <c r="AO193" s="746"/>
      <c r="AP193" s="746"/>
    </row>
    <row r="194" spans="1:45" s="454" customFormat="1" ht="15" x14ac:dyDescent="0.25">
      <c r="A194" s="526"/>
      <c r="B194" s="567"/>
      <c r="C194" s="2722" t="s">
        <v>872</v>
      </c>
      <c r="D194" s="2722"/>
      <c r="E194" s="2722"/>
      <c r="F194" s="483"/>
      <c r="G194" s="484"/>
      <c r="H194" s="484"/>
      <c r="I194" s="484"/>
      <c r="J194" s="487"/>
      <c r="K194" s="484"/>
      <c r="L194" s="524">
        <v>14126.98</v>
      </c>
      <c r="M194" s="563"/>
      <c r="N194" s="525">
        <v>252513.39</v>
      </c>
      <c r="AF194" s="716"/>
      <c r="AG194" s="481"/>
      <c r="AI194" s="481"/>
      <c r="AN194" s="481" t="s">
        <v>872</v>
      </c>
      <c r="AO194" s="746"/>
      <c r="AP194" s="746"/>
    </row>
    <row r="195" spans="1:45" s="454" customFormat="1" ht="34.5" x14ac:dyDescent="0.25">
      <c r="A195" s="482" t="s">
        <v>659</v>
      </c>
      <c r="B195" s="568" t="s">
        <v>1937</v>
      </c>
      <c r="C195" s="2722" t="s">
        <v>2568</v>
      </c>
      <c r="D195" s="2722"/>
      <c r="E195" s="2722"/>
      <c r="F195" s="483" t="s">
        <v>130</v>
      </c>
      <c r="G195" s="484">
        <v>-256.37479000000002</v>
      </c>
      <c r="H195" s="485">
        <v>1</v>
      </c>
      <c r="I195" s="541">
        <v>-256.37479000000002</v>
      </c>
      <c r="J195" s="527">
        <v>25.97</v>
      </c>
      <c r="K195" s="484"/>
      <c r="L195" s="524">
        <v>-6658.05</v>
      </c>
      <c r="M195" s="732">
        <v>7.72</v>
      </c>
      <c r="N195" s="525">
        <v>-51400.15</v>
      </c>
      <c r="AF195" s="716"/>
      <c r="AG195" s="481"/>
      <c r="AI195" s="481" t="s">
        <v>2568</v>
      </c>
      <c r="AN195" s="481"/>
      <c r="AO195" s="746"/>
      <c r="AP195" s="746"/>
    </row>
    <row r="196" spans="1:45" s="454" customFormat="1" ht="15" x14ac:dyDescent="0.25">
      <c r="A196" s="526"/>
      <c r="B196" s="567"/>
      <c r="C196" s="2722" t="s">
        <v>872</v>
      </c>
      <c r="D196" s="2722"/>
      <c r="E196" s="2722"/>
      <c r="F196" s="483"/>
      <c r="G196" s="484"/>
      <c r="H196" s="484"/>
      <c r="I196" s="484"/>
      <c r="J196" s="487"/>
      <c r="K196" s="484"/>
      <c r="L196" s="524">
        <v>-6658.05</v>
      </c>
      <c r="M196" s="563"/>
      <c r="N196" s="525">
        <v>-51400.15</v>
      </c>
      <c r="AF196" s="716"/>
      <c r="AG196" s="481"/>
      <c r="AI196" s="481"/>
      <c r="AN196" s="481" t="s">
        <v>872</v>
      </c>
      <c r="AO196" s="746"/>
      <c r="AP196" s="746"/>
    </row>
    <row r="197" spans="1:45" s="454" customFormat="1" ht="15" x14ac:dyDescent="0.25">
      <c r="A197" s="2716" t="s">
        <v>1240</v>
      </c>
      <c r="B197" s="2717"/>
      <c r="C197" s="2717"/>
      <c r="D197" s="2717"/>
      <c r="E197" s="2717"/>
      <c r="F197" s="2717"/>
      <c r="G197" s="2717"/>
      <c r="H197" s="2717"/>
      <c r="I197" s="2717"/>
      <c r="J197" s="2717"/>
      <c r="K197" s="2717"/>
      <c r="L197" s="2717"/>
      <c r="M197" s="2717"/>
      <c r="N197" s="2718"/>
      <c r="AF197" s="716"/>
      <c r="AG197" s="481" t="s">
        <v>1240</v>
      </c>
      <c r="AI197" s="481"/>
      <c r="AN197" s="481"/>
      <c r="AO197" s="746"/>
      <c r="AP197" s="746"/>
    </row>
    <row r="198" spans="1:45" s="454" customFormat="1" ht="15" x14ac:dyDescent="0.25">
      <c r="A198" s="2716" t="s">
        <v>1291</v>
      </c>
      <c r="B198" s="2717"/>
      <c r="C198" s="2717"/>
      <c r="D198" s="2717"/>
      <c r="E198" s="2717"/>
      <c r="F198" s="2717"/>
      <c r="G198" s="2717"/>
      <c r="H198" s="2717"/>
      <c r="I198" s="2717"/>
      <c r="J198" s="2717"/>
      <c r="K198" s="2717"/>
      <c r="L198" s="2717"/>
      <c r="M198" s="2717"/>
      <c r="N198" s="2718"/>
      <c r="AF198" s="716"/>
      <c r="AG198" s="481" t="s">
        <v>1291</v>
      </c>
      <c r="AI198" s="481"/>
      <c r="AN198" s="481"/>
      <c r="AO198" s="746"/>
      <c r="AP198" s="746"/>
    </row>
    <row r="199" spans="1:45" s="454" customFormat="1" ht="15" x14ac:dyDescent="0.25">
      <c r="A199" s="2716" t="s">
        <v>1318</v>
      </c>
      <c r="B199" s="2717"/>
      <c r="C199" s="2717"/>
      <c r="D199" s="2717"/>
      <c r="E199" s="2717"/>
      <c r="F199" s="2717"/>
      <c r="G199" s="2717"/>
      <c r="H199" s="2717"/>
      <c r="I199" s="2717"/>
      <c r="J199" s="2717"/>
      <c r="K199" s="2717"/>
      <c r="L199" s="2717"/>
      <c r="M199" s="2717"/>
      <c r="N199" s="2718"/>
      <c r="AF199" s="716"/>
      <c r="AG199" s="481" t="s">
        <v>1318</v>
      </c>
      <c r="AI199" s="481"/>
      <c r="AN199" s="481"/>
      <c r="AO199" s="746"/>
      <c r="AP199" s="746"/>
    </row>
    <row r="200" spans="1:45" s="454" customFormat="1" ht="15" x14ac:dyDescent="0.25">
      <c r="A200" s="2716" t="s">
        <v>1351</v>
      </c>
      <c r="B200" s="2717"/>
      <c r="C200" s="2717"/>
      <c r="D200" s="2717"/>
      <c r="E200" s="2717"/>
      <c r="F200" s="2717"/>
      <c r="G200" s="2717"/>
      <c r="H200" s="2717"/>
      <c r="I200" s="2717"/>
      <c r="J200" s="2717"/>
      <c r="K200" s="2717"/>
      <c r="L200" s="2717"/>
      <c r="M200" s="2717"/>
      <c r="N200" s="2718"/>
      <c r="AF200" s="716"/>
      <c r="AG200" s="481" t="s">
        <v>1351</v>
      </c>
      <c r="AI200" s="481"/>
      <c r="AN200" s="481"/>
      <c r="AO200" s="746"/>
      <c r="AP200" s="746"/>
    </row>
    <row r="201" spans="1:45" s="454" customFormat="1" ht="15" x14ac:dyDescent="0.25">
      <c r="A201" s="2716" t="s">
        <v>1383</v>
      </c>
      <c r="B201" s="2717"/>
      <c r="C201" s="2717"/>
      <c r="D201" s="2717"/>
      <c r="E201" s="2717"/>
      <c r="F201" s="2717"/>
      <c r="G201" s="2717"/>
      <c r="H201" s="2717"/>
      <c r="I201" s="2717"/>
      <c r="J201" s="2717"/>
      <c r="K201" s="2717"/>
      <c r="L201" s="2717"/>
      <c r="M201" s="2717"/>
      <c r="N201" s="2718"/>
      <c r="AF201" s="716"/>
      <c r="AG201" s="481" t="s">
        <v>1383</v>
      </c>
      <c r="AI201" s="481"/>
      <c r="AN201" s="481"/>
      <c r="AO201" s="746"/>
      <c r="AP201" s="746"/>
    </row>
    <row r="202" spans="1:45" s="454" customFormat="1" ht="22.5" x14ac:dyDescent="0.25">
      <c r="A202" s="736" t="s">
        <v>660</v>
      </c>
      <c r="B202" s="737" t="s">
        <v>2569</v>
      </c>
      <c r="C202" s="2723" t="s">
        <v>2570</v>
      </c>
      <c r="D202" s="2723"/>
      <c r="E202" s="2723"/>
      <c r="F202" s="738" t="s">
        <v>832</v>
      </c>
      <c r="G202" s="739">
        <v>23</v>
      </c>
      <c r="H202" s="740">
        <v>1</v>
      </c>
      <c r="I202" s="740">
        <v>23</v>
      </c>
      <c r="J202" s="749"/>
      <c r="K202" s="739"/>
      <c r="L202" s="749"/>
      <c r="M202" s="739"/>
      <c r="N202" s="754"/>
      <c r="AF202" s="716"/>
      <c r="AG202" s="481"/>
      <c r="AI202" s="481"/>
      <c r="AN202" s="481"/>
      <c r="AO202" s="746" t="s">
        <v>2570</v>
      </c>
      <c r="AP202" s="746"/>
    </row>
    <row r="203" spans="1:45" s="454" customFormat="1" ht="33.75" x14ac:dyDescent="0.25">
      <c r="A203" s="755"/>
      <c r="B203" s="756" t="s">
        <v>1655</v>
      </c>
      <c r="C203" s="2724" t="s">
        <v>1656</v>
      </c>
      <c r="D203" s="2724"/>
      <c r="E203" s="2724"/>
      <c r="F203" s="2724"/>
      <c r="G203" s="2724"/>
      <c r="H203" s="2724"/>
      <c r="I203" s="2724"/>
      <c r="J203" s="2724"/>
      <c r="K203" s="2724"/>
      <c r="L203" s="2724"/>
      <c r="M203" s="2724"/>
      <c r="N203" s="2725"/>
      <c r="AF203" s="716"/>
      <c r="AG203" s="481"/>
      <c r="AI203" s="481"/>
      <c r="AN203" s="481"/>
      <c r="AO203" s="746"/>
      <c r="AP203" s="746"/>
      <c r="AQ203" s="699" t="s">
        <v>1656</v>
      </c>
    </row>
    <row r="204" spans="1:45" s="454" customFormat="1" ht="15" x14ac:dyDescent="0.25">
      <c r="A204" s="757"/>
      <c r="B204" s="756" t="s">
        <v>190</v>
      </c>
      <c r="C204" s="2726" t="s">
        <v>2523</v>
      </c>
      <c r="D204" s="2726"/>
      <c r="E204" s="2726"/>
      <c r="F204" s="758"/>
      <c r="G204" s="759"/>
      <c r="H204" s="759"/>
      <c r="I204" s="759"/>
      <c r="J204" s="760">
        <v>6.75</v>
      </c>
      <c r="K204" s="761">
        <v>1.5</v>
      </c>
      <c r="L204" s="760">
        <v>232.88</v>
      </c>
      <c r="M204" s="762">
        <v>27.32</v>
      </c>
      <c r="N204" s="763">
        <v>6362.28</v>
      </c>
      <c r="AF204" s="716"/>
      <c r="AG204" s="481"/>
      <c r="AI204" s="481"/>
      <c r="AN204" s="481"/>
      <c r="AO204" s="746"/>
      <c r="AP204" s="746"/>
      <c r="AQ204" s="699"/>
      <c r="AR204" s="699" t="s">
        <v>2523</v>
      </c>
    </row>
    <row r="205" spans="1:45" s="454" customFormat="1" ht="15" x14ac:dyDescent="0.25">
      <c r="A205" s="757"/>
      <c r="B205" s="756" t="s">
        <v>639</v>
      </c>
      <c r="C205" s="2726" t="s">
        <v>697</v>
      </c>
      <c r="D205" s="2726"/>
      <c r="E205" s="2726"/>
      <c r="F205" s="758"/>
      <c r="G205" s="759"/>
      <c r="H205" s="759"/>
      <c r="I205" s="759"/>
      <c r="J205" s="760">
        <v>8.2899999999999991</v>
      </c>
      <c r="K205" s="761">
        <v>1.5</v>
      </c>
      <c r="L205" s="760">
        <v>286.01</v>
      </c>
      <c r="M205" s="762">
        <v>10.92</v>
      </c>
      <c r="N205" s="763">
        <v>3123.23</v>
      </c>
      <c r="AF205" s="716"/>
      <c r="AG205" s="481"/>
      <c r="AI205" s="481"/>
      <c r="AN205" s="481"/>
      <c r="AO205" s="746"/>
      <c r="AP205" s="746"/>
      <c r="AQ205" s="699"/>
      <c r="AR205" s="699" t="s">
        <v>697</v>
      </c>
    </row>
    <row r="206" spans="1:45" s="454" customFormat="1" ht="15" x14ac:dyDescent="0.25">
      <c r="A206" s="757"/>
      <c r="B206" s="756" t="s">
        <v>640</v>
      </c>
      <c r="C206" s="2726" t="s">
        <v>2500</v>
      </c>
      <c r="D206" s="2726"/>
      <c r="E206" s="2726"/>
      <c r="F206" s="758"/>
      <c r="G206" s="759"/>
      <c r="H206" s="759"/>
      <c r="I206" s="759"/>
      <c r="J206" s="760">
        <v>0.81</v>
      </c>
      <c r="K206" s="761">
        <v>1.5</v>
      </c>
      <c r="L206" s="760">
        <v>27.95</v>
      </c>
      <c r="M206" s="762">
        <v>27.32</v>
      </c>
      <c r="N206" s="764">
        <v>763.59</v>
      </c>
      <c r="AF206" s="716"/>
      <c r="AG206" s="481"/>
      <c r="AI206" s="481"/>
      <c r="AN206" s="481"/>
      <c r="AO206" s="746"/>
      <c r="AP206" s="746"/>
      <c r="AQ206" s="699"/>
      <c r="AR206" s="699" t="s">
        <v>2500</v>
      </c>
    </row>
    <row r="207" spans="1:45" s="454" customFormat="1" ht="15" x14ac:dyDescent="0.25">
      <c r="A207" s="757"/>
      <c r="B207" s="756" t="s">
        <v>232</v>
      </c>
      <c r="C207" s="2726" t="s">
        <v>829</v>
      </c>
      <c r="D207" s="2726"/>
      <c r="E207" s="2726"/>
      <c r="F207" s="758"/>
      <c r="G207" s="759"/>
      <c r="H207" s="759"/>
      <c r="I207" s="759"/>
      <c r="J207" s="760">
        <v>0.37</v>
      </c>
      <c r="K207" s="759"/>
      <c r="L207" s="760">
        <v>8.51</v>
      </c>
      <c r="M207" s="762">
        <v>7.72</v>
      </c>
      <c r="N207" s="764">
        <v>65.7</v>
      </c>
      <c r="AF207" s="716"/>
      <c r="AG207" s="481"/>
      <c r="AI207" s="481"/>
      <c r="AN207" s="481"/>
      <c r="AO207" s="746"/>
      <c r="AP207" s="746"/>
      <c r="AQ207" s="699"/>
      <c r="AR207" s="699" t="s">
        <v>829</v>
      </c>
    </row>
    <row r="208" spans="1:45" s="454" customFormat="1" ht="15" x14ac:dyDescent="0.25">
      <c r="A208" s="693"/>
      <c r="B208" s="756"/>
      <c r="C208" s="2726" t="s">
        <v>2524</v>
      </c>
      <c r="D208" s="2726"/>
      <c r="E208" s="2726"/>
      <c r="F208" s="758" t="s">
        <v>807</v>
      </c>
      <c r="G208" s="762">
        <v>0.85</v>
      </c>
      <c r="H208" s="761">
        <v>1.5</v>
      </c>
      <c r="I208" s="765">
        <v>29.324999999999999</v>
      </c>
      <c r="J208" s="766"/>
      <c r="K208" s="759"/>
      <c r="L208" s="766"/>
      <c r="M208" s="759"/>
      <c r="N208" s="767"/>
      <c r="AF208" s="716"/>
      <c r="AG208" s="481"/>
      <c r="AI208" s="481"/>
      <c r="AN208" s="481"/>
      <c r="AO208" s="746"/>
      <c r="AP208" s="746"/>
      <c r="AQ208" s="699"/>
      <c r="AR208" s="699"/>
      <c r="AS208" s="699" t="s">
        <v>2524</v>
      </c>
    </row>
    <row r="209" spans="1:47" s="454" customFormat="1" ht="15" x14ac:dyDescent="0.25">
      <c r="A209" s="693"/>
      <c r="B209" s="756"/>
      <c r="C209" s="2726" t="s">
        <v>2501</v>
      </c>
      <c r="D209" s="2726"/>
      <c r="E209" s="2726"/>
      <c r="F209" s="758" t="s">
        <v>807</v>
      </c>
      <c r="G209" s="762">
        <v>7.0000000000000007E-2</v>
      </c>
      <c r="H209" s="761">
        <v>1.5</v>
      </c>
      <c r="I209" s="765">
        <v>2.415</v>
      </c>
      <c r="J209" s="766"/>
      <c r="K209" s="759"/>
      <c r="L209" s="766"/>
      <c r="M209" s="759"/>
      <c r="N209" s="767"/>
      <c r="AF209" s="716"/>
      <c r="AG209" s="481"/>
      <c r="AI209" s="481"/>
      <c r="AN209" s="481"/>
      <c r="AO209" s="746"/>
      <c r="AP209" s="746"/>
      <c r="AQ209" s="699"/>
      <c r="AR209" s="699"/>
      <c r="AS209" s="699" t="s">
        <v>2501</v>
      </c>
    </row>
    <row r="210" spans="1:47" s="454" customFormat="1" ht="15" x14ac:dyDescent="0.25">
      <c r="A210" s="757"/>
      <c r="B210" s="756"/>
      <c r="C210" s="2727" t="s">
        <v>2502</v>
      </c>
      <c r="D210" s="2727"/>
      <c r="E210" s="2727"/>
      <c r="F210" s="768"/>
      <c r="G210" s="750"/>
      <c r="H210" s="750"/>
      <c r="I210" s="750"/>
      <c r="J210" s="769">
        <v>15.41</v>
      </c>
      <c r="K210" s="750"/>
      <c r="L210" s="769">
        <v>527.4</v>
      </c>
      <c r="M210" s="750"/>
      <c r="N210" s="770">
        <v>9551.2099999999991</v>
      </c>
      <c r="AF210" s="716"/>
      <c r="AG210" s="481"/>
      <c r="AI210" s="481"/>
      <c r="AN210" s="481"/>
      <c r="AO210" s="746"/>
      <c r="AP210" s="746"/>
      <c r="AQ210" s="699"/>
      <c r="AR210" s="699"/>
      <c r="AS210" s="699"/>
      <c r="AT210" s="699" t="s">
        <v>2502</v>
      </c>
    </row>
    <row r="211" spans="1:47" s="454" customFormat="1" ht="15" x14ac:dyDescent="0.25">
      <c r="A211" s="693"/>
      <c r="B211" s="756"/>
      <c r="C211" s="2726" t="s">
        <v>867</v>
      </c>
      <c r="D211" s="2726"/>
      <c r="E211" s="2726"/>
      <c r="F211" s="758"/>
      <c r="G211" s="759"/>
      <c r="H211" s="759"/>
      <c r="I211" s="759"/>
      <c r="J211" s="766"/>
      <c r="K211" s="759"/>
      <c r="L211" s="760">
        <v>260.83</v>
      </c>
      <c r="M211" s="759"/>
      <c r="N211" s="763">
        <v>7125.87</v>
      </c>
      <c r="AF211" s="716"/>
      <c r="AG211" s="481"/>
      <c r="AI211" s="481"/>
      <c r="AN211" s="481"/>
      <c r="AO211" s="746"/>
      <c r="AP211" s="746"/>
      <c r="AQ211" s="699"/>
      <c r="AR211" s="699"/>
      <c r="AS211" s="699" t="s">
        <v>867</v>
      </c>
      <c r="AT211" s="699"/>
    </row>
    <row r="212" spans="1:47" s="454" customFormat="1" ht="15" x14ac:dyDescent="0.25">
      <c r="A212" s="693"/>
      <c r="B212" s="756" t="s">
        <v>2556</v>
      </c>
      <c r="C212" s="2726" t="s">
        <v>2557</v>
      </c>
      <c r="D212" s="2726"/>
      <c r="E212" s="2726"/>
      <c r="F212" s="758" t="s">
        <v>636</v>
      </c>
      <c r="G212" s="771">
        <v>110</v>
      </c>
      <c r="H212" s="759"/>
      <c r="I212" s="771">
        <v>110</v>
      </c>
      <c r="J212" s="766"/>
      <c r="K212" s="759"/>
      <c r="L212" s="760">
        <v>286.91000000000003</v>
      </c>
      <c r="M212" s="759"/>
      <c r="N212" s="763">
        <v>7838.46</v>
      </c>
      <c r="AF212" s="716"/>
      <c r="AG212" s="481"/>
      <c r="AI212" s="481"/>
      <c r="AN212" s="481"/>
      <c r="AO212" s="746"/>
      <c r="AP212" s="746"/>
      <c r="AQ212" s="699"/>
      <c r="AR212" s="699"/>
      <c r="AS212" s="699" t="s">
        <v>2557</v>
      </c>
      <c r="AT212" s="699"/>
    </row>
    <row r="213" spans="1:47" s="454" customFormat="1" ht="15" x14ac:dyDescent="0.25">
      <c r="A213" s="693"/>
      <c r="B213" s="756" t="s">
        <v>2558</v>
      </c>
      <c r="C213" s="2726" t="s">
        <v>2559</v>
      </c>
      <c r="D213" s="2726"/>
      <c r="E213" s="2726"/>
      <c r="F213" s="758" t="s">
        <v>636</v>
      </c>
      <c r="G213" s="771">
        <v>69</v>
      </c>
      <c r="H213" s="759"/>
      <c r="I213" s="771">
        <v>69</v>
      </c>
      <c r="J213" s="766"/>
      <c r="K213" s="759"/>
      <c r="L213" s="760">
        <v>179.97</v>
      </c>
      <c r="M213" s="759"/>
      <c r="N213" s="763">
        <v>4916.8500000000004</v>
      </c>
      <c r="AF213" s="716"/>
      <c r="AG213" s="481"/>
      <c r="AI213" s="481"/>
      <c r="AN213" s="481"/>
      <c r="AO213" s="746"/>
      <c r="AP213" s="746"/>
      <c r="AQ213" s="699"/>
      <c r="AR213" s="699"/>
      <c r="AS213" s="699" t="s">
        <v>2559</v>
      </c>
      <c r="AT213" s="699"/>
    </row>
    <row r="214" spans="1:47" s="454" customFormat="1" ht="15" x14ac:dyDescent="0.25">
      <c r="A214" s="747"/>
      <c r="B214" s="748"/>
      <c r="C214" s="2723" t="s">
        <v>872</v>
      </c>
      <c r="D214" s="2723"/>
      <c r="E214" s="2723"/>
      <c r="F214" s="738"/>
      <c r="G214" s="739"/>
      <c r="H214" s="739"/>
      <c r="I214" s="739"/>
      <c r="J214" s="749"/>
      <c r="K214" s="739"/>
      <c r="L214" s="742">
        <v>994.28</v>
      </c>
      <c r="M214" s="750"/>
      <c r="N214" s="745">
        <v>22306.52</v>
      </c>
      <c r="AF214" s="716"/>
      <c r="AG214" s="481"/>
      <c r="AI214" s="481"/>
      <c r="AN214" s="481"/>
      <c r="AO214" s="746"/>
      <c r="AP214" s="746" t="s">
        <v>872</v>
      </c>
      <c r="AQ214" s="699"/>
      <c r="AR214" s="699"/>
      <c r="AS214" s="699"/>
      <c r="AT214" s="699"/>
    </row>
    <row r="215" spans="1:47" s="454" customFormat="1" ht="22.5" x14ac:dyDescent="0.25">
      <c r="A215" s="736" t="s">
        <v>660</v>
      </c>
      <c r="B215" s="737" t="s">
        <v>2571</v>
      </c>
      <c r="C215" s="2723" t="s">
        <v>2572</v>
      </c>
      <c r="D215" s="2723"/>
      <c r="E215" s="2723"/>
      <c r="F215" s="738" t="s">
        <v>832</v>
      </c>
      <c r="G215" s="739">
        <v>85</v>
      </c>
      <c r="H215" s="740">
        <v>1</v>
      </c>
      <c r="I215" s="740">
        <v>85</v>
      </c>
      <c r="J215" s="742">
        <v>155.94</v>
      </c>
      <c r="K215" s="739"/>
      <c r="L215" s="743">
        <v>13254.9</v>
      </c>
      <c r="M215" s="744">
        <v>7.72</v>
      </c>
      <c r="N215" s="745">
        <v>102327.83</v>
      </c>
      <c r="AF215" s="716"/>
      <c r="AG215" s="481"/>
      <c r="AI215" s="481"/>
      <c r="AN215" s="481"/>
      <c r="AO215" s="746" t="s">
        <v>2572</v>
      </c>
      <c r="AP215" s="746"/>
      <c r="AQ215" s="699"/>
      <c r="AR215" s="699"/>
      <c r="AS215" s="699"/>
      <c r="AT215" s="699"/>
    </row>
    <row r="216" spans="1:47" s="454" customFormat="1" ht="15" x14ac:dyDescent="0.25">
      <c r="A216" s="747"/>
      <c r="B216" s="748"/>
      <c r="C216" s="2723" t="s">
        <v>872</v>
      </c>
      <c r="D216" s="2723"/>
      <c r="E216" s="2723"/>
      <c r="F216" s="738"/>
      <c r="G216" s="739"/>
      <c r="H216" s="739"/>
      <c r="I216" s="739"/>
      <c r="J216" s="749"/>
      <c r="K216" s="739"/>
      <c r="L216" s="743">
        <v>13254.9</v>
      </c>
      <c r="M216" s="750"/>
      <c r="N216" s="745">
        <v>102327.83</v>
      </c>
      <c r="AF216" s="716"/>
      <c r="AG216" s="481"/>
      <c r="AI216" s="481"/>
      <c r="AN216" s="481"/>
      <c r="AO216" s="746"/>
      <c r="AP216" s="746" t="s">
        <v>872</v>
      </c>
      <c r="AQ216" s="699"/>
      <c r="AR216" s="699"/>
      <c r="AS216" s="699"/>
      <c r="AT216" s="699"/>
    </row>
    <row r="217" spans="1:47" s="454" customFormat="1" ht="15" x14ac:dyDescent="0.25">
      <c r="A217" s="482" t="s">
        <v>660</v>
      </c>
      <c r="B217" s="568" t="s">
        <v>2573</v>
      </c>
      <c r="C217" s="2722" t="s">
        <v>2574</v>
      </c>
      <c r="D217" s="2722"/>
      <c r="E217" s="2722"/>
      <c r="F217" s="483" t="s">
        <v>832</v>
      </c>
      <c r="G217" s="484">
        <v>85</v>
      </c>
      <c r="H217" s="485">
        <v>1</v>
      </c>
      <c r="I217" s="485">
        <v>85</v>
      </c>
      <c r="J217" s="527">
        <v>68.7</v>
      </c>
      <c r="K217" s="484"/>
      <c r="L217" s="524">
        <v>5839.5</v>
      </c>
      <c r="M217" s="732">
        <v>7.72</v>
      </c>
      <c r="N217" s="525">
        <v>45080.94</v>
      </c>
      <c r="AF217" s="716"/>
      <c r="AG217" s="481"/>
      <c r="AI217" s="481" t="s">
        <v>2574</v>
      </c>
      <c r="AN217" s="481"/>
      <c r="AO217" s="746"/>
      <c r="AP217" s="746"/>
      <c r="AQ217" s="699"/>
      <c r="AR217" s="699"/>
      <c r="AS217" s="699"/>
      <c r="AT217" s="699"/>
    </row>
    <row r="218" spans="1:47" s="454" customFormat="1" ht="15" x14ac:dyDescent="0.25">
      <c r="A218" s="526"/>
      <c r="B218" s="567"/>
      <c r="C218" s="2722" t="s">
        <v>872</v>
      </c>
      <c r="D218" s="2722"/>
      <c r="E218" s="2722"/>
      <c r="F218" s="483"/>
      <c r="G218" s="484"/>
      <c r="H218" s="484"/>
      <c r="I218" s="484"/>
      <c r="J218" s="487"/>
      <c r="K218" s="484"/>
      <c r="L218" s="524">
        <v>5839.5</v>
      </c>
      <c r="M218" s="563"/>
      <c r="N218" s="525">
        <v>45080.94</v>
      </c>
      <c r="AF218" s="716"/>
      <c r="AG218" s="481"/>
      <c r="AI218" s="481"/>
      <c r="AN218" s="481" t="s">
        <v>872</v>
      </c>
      <c r="AO218" s="746"/>
      <c r="AP218" s="746"/>
      <c r="AQ218" s="699"/>
      <c r="AR218" s="699"/>
      <c r="AS218" s="699"/>
      <c r="AT218" s="699"/>
    </row>
    <row r="219" spans="1:47" s="454" customFormat="1" ht="54" x14ac:dyDescent="0.25">
      <c r="A219" s="736" t="s">
        <v>915</v>
      </c>
      <c r="B219" s="737" t="s">
        <v>2564</v>
      </c>
      <c r="C219" s="2723" t="s">
        <v>2575</v>
      </c>
      <c r="D219" s="2723"/>
      <c r="E219" s="2723"/>
      <c r="F219" s="738" t="s">
        <v>2509</v>
      </c>
      <c r="G219" s="739">
        <v>2.3E-2</v>
      </c>
      <c r="H219" s="740">
        <v>1</v>
      </c>
      <c r="I219" s="741">
        <v>2.3E-2</v>
      </c>
      <c r="J219" s="749"/>
      <c r="K219" s="739"/>
      <c r="L219" s="749"/>
      <c r="M219" s="739"/>
      <c r="N219" s="754"/>
      <c r="AF219" s="716"/>
      <c r="AG219" s="481"/>
      <c r="AI219" s="481"/>
      <c r="AN219" s="481"/>
      <c r="AO219" s="746" t="s">
        <v>2575</v>
      </c>
      <c r="AP219" s="746"/>
      <c r="AQ219" s="699"/>
      <c r="AR219" s="699"/>
      <c r="AS219" s="699"/>
      <c r="AT219" s="699"/>
    </row>
    <row r="220" spans="1:47" s="454" customFormat="1" ht="15" x14ac:dyDescent="0.25">
      <c r="A220" s="772"/>
      <c r="B220" s="773"/>
      <c r="C220" s="2726" t="s">
        <v>2576</v>
      </c>
      <c r="D220" s="2726"/>
      <c r="E220" s="2726"/>
      <c r="F220" s="2726"/>
      <c r="G220" s="2726"/>
      <c r="H220" s="2726"/>
      <c r="I220" s="2726"/>
      <c r="J220" s="2726"/>
      <c r="K220" s="2726"/>
      <c r="L220" s="2726"/>
      <c r="M220" s="2726"/>
      <c r="N220" s="2728"/>
      <c r="AF220" s="716"/>
      <c r="AG220" s="481"/>
      <c r="AI220" s="481"/>
      <c r="AN220" s="481"/>
      <c r="AO220" s="746"/>
      <c r="AP220" s="746"/>
      <c r="AQ220" s="699"/>
      <c r="AR220" s="699"/>
      <c r="AS220" s="699"/>
      <c r="AT220" s="699"/>
      <c r="AU220" s="699" t="s">
        <v>2576</v>
      </c>
    </row>
    <row r="221" spans="1:47" s="454" customFormat="1" ht="33.75" x14ac:dyDescent="0.25">
      <c r="A221" s="755"/>
      <c r="B221" s="756" t="s">
        <v>1655</v>
      </c>
      <c r="C221" s="2724" t="s">
        <v>1656</v>
      </c>
      <c r="D221" s="2724"/>
      <c r="E221" s="2724"/>
      <c r="F221" s="2724"/>
      <c r="G221" s="2724"/>
      <c r="H221" s="2724"/>
      <c r="I221" s="2724"/>
      <c r="J221" s="2724"/>
      <c r="K221" s="2724"/>
      <c r="L221" s="2724"/>
      <c r="M221" s="2724"/>
      <c r="N221" s="2725"/>
      <c r="AF221" s="716"/>
      <c r="AG221" s="481"/>
      <c r="AI221" s="481"/>
      <c r="AN221" s="481"/>
      <c r="AO221" s="746"/>
      <c r="AP221" s="746"/>
      <c r="AQ221" s="699" t="s">
        <v>1656</v>
      </c>
      <c r="AR221" s="699"/>
      <c r="AS221" s="699"/>
      <c r="AT221" s="699"/>
      <c r="AU221" s="699"/>
    </row>
    <row r="222" spans="1:47" s="454" customFormat="1" ht="15" x14ac:dyDescent="0.25">
      <c r="A222" s="757"/>
      <c r="B222" s="756" t="s">
        <v>639</v>
      </c>
      <c r="C222" s="2726" t="s">
        <v>697</v>
      </c>
      <c r="D222" s="2726"/>
      <c r="E222" s="2726"/>
      <c r="F222" s="758"/>
      <c r="G222" s="759"/>
      <c r="H222" s="759"/>
      <c r="I222" s="759"/>
      <c r="J222" s="774">
        <v>1593.48</v>
      </c>
      <c r="K222" s="761">
        <v>1.5</v>
      </c>
      <c r="L222" s="760">
        <v>54.98</v>
      </c>
      <c r="M222" s="762">
        <v>10.92</v>
      </c>
      <c r="N222" s="764">
        <v>600.38</v>
      </c>
      <c r="AF222" s="716"/>
      <c r="AG222" s="481"/>
      <c r="AI222" s="481"/>
      <c r="AN222" s="481"/>
      <c r="AO222" s="746"/>
      <c r="AP222" s="746"/>
      <c r="AQ222" s="699"/>
      <c r="AR222" s="699" t="s">
        <v>697</v>
      </c>
      <c r="AS222" s="699"/>
      <c r="AT222" s="699"/>
      <c r="AU222" s="699"/>
    </row>
    <row r="223" spans="1:47" s="454" customFormat="1" ht="15" x14ac:dyDescent="0.25">
      <c r="A223" s="757"/>
      <c r="B223" s="756" t="s">
        <v>640</v>
      </c>
      <c r="C223" s="2726" t="s">
        <v>2500</v>
      </c>
      <c r="D223" s="2726"/>
      <c r="E223" s="2726"/>
      <c r="F223" s="758"/>
      <c r="G223" s="759"/>
      <c r="H223" s="759"/>
      <c r="I223" s="759"/>
      <c r="J223" s="760">
        <v>162</v>
      </c>
      <c r="K223" s="761">
        <v>1.5</v>
      </c>
      <c r="L223" s="760">
        <v>5.59</v>
      </c>
      <c r="M223" s="762">
        <v>27.32</v>
      </c>
      <c r="N223" s="764">
        <v>152.72</v>
      </c>
      <c r="AF223" s="716"/>
      <c r="AG223" s="481"/>
      <c r="AI223" s="481"/>
      <c r="AN223" s="481"/>
      <c r="AO223" s="746"/>
      <c r="AP223" s="746"/>
      <c r="AQ223" s="699"/>
      <c r="AR223" s="699" t="s">
        <v>2500</v>
      </c>
      <c r="AS223" s="699"/>
      <c r="AT223" s="699"/>
      <c r="AU223" s="699"/>
    </row>
    <row r="224" spans="1:47" s="454" customFormat="1" ht="15" x14ac:dyDescent="0.25">
      <c r="A224" s="693"/>
      <c r="B224" s="756"/>
      <c r="C224" s="2726" t="s">
        <v>2501</v>
      </c>
      <c r="D224" s="2726"/>
      <c r="E224" s="2726"/>
      <c r="F224" s="758" t="s">
        <v>807</v>
      </c>
      <c r="G224" s="771">
        <v>12</v>
      </c>
      <c r="H224" s="761">
        <v>1.5</v>
      </c>
      <c r="I224" s="765">
        <v>0.41399999999999998</v>
      </c>
      <c r="J224" s="766"/>
      <c r="K224" s="759"/>
      <c r="L224" s="766"/>
      <c r="M224" s="759"/>
      <c r="N224" s="767"/>
      <c r="AF224" s="716"/>
      <c r="AG224" s="481"/>
      <c r="AI224" s="481"/>
      <c r="AN224" s="481"/>
      <c r="AO224" s="746"/>
      <c r="AP224" s="746"/>
      <c r="AQ224" s="699"/>
      <c r="AR224" s="699"/>
      <c r="AS224" s="699" t="s">
        <v>2501</v>
      </c>
      <c r="AT224" s="699"/>
      <c r="AU224" s="699"/>
    </row>
    <row r="225" spans="1:49" s="454" customFormat="1" ht="15" x14ac:dyDescent="0.25">
      <c r="A225" s="757"/>
      <c r="B225" s="756"/>
      <c r="C225" s="2727" t="s">
        <v>2502</v>
      </c>
      <c r="D225" s="2727"/>
      <c r="E225" s="2727"/>
      <c r="F225" s="768"/>
      <c r="G225" s="750"/>
      <c r="H225" s="750"/>
      <c r="I225" s="750"/>
      <c r="J225" s="775">
        <v>1593.48</v>
      </c>
      <c r="K225" s="750"/>
      <c r="L225" s="769">
        <v>54.98</v>
      </c>
      <c r="M225" s="750"/>
      <c r="N225" s="776">
        <v>600.38</v>
      </c>
      <c r="AF225" s="716"/>
      <c r="AG225" s="481"/>
      <c r="AI225" s="481"/>
      <c r="AN225" s="481"/>
      <c r="AO225" s="746"/>
      <c r="AP225" s="746"/>
      <c r="AQ225" s="699"/>
      <c r="AR225" s="699"/>
      <c r="AS225" s="699"/>
      <c r="AT225" s="699" t="s">
        <v>2502</v>
      </c>
      <c r="AU225" s="699"/>
    </row>
    <row r="226" spans="1:49" s="454" customFormat="1" ht="15" x14ac:dyDescent="0.25">
      <c r="A226" s="693"/>
      <c r="B226" s="756"/>
      <c r="C226" s="2726" t="s">
        <v>867</v>
      </c>
      <c r="D226" s="2726"/>
      <c r="E226" s="2726"/>
      <c r="F226" s="758"/>
      <c r="G226" s="759"/>
      <c r="H226" s="759"/>
      <c r="I226" s="759"/>
      <c r="J226" s="766"/>
      <c r="K226" s="759"/>
      <c r="L226" s="760">
        <v>5.59</v>
      </c>
      <c r="M226" s="759"/>
      <c r="N226" s="764">
        <v>152.72</v>
      </c>
      <c r="AF226" s="716"/>
      <c r="AG226" s="481"/>
      <c r="AI226" s="481"/>
      <c r="AN226" s="481"/>
      <c r="AO226" s="746"/>
      <c r="AP226" s="746"/>
      <c r="AQ226" s="699"/>
      <c r="AR226" s="699"/>
      <c r="AS226" s="699" t="s">
        <v>867</v>
      </c>
      <c r="AT226" s="699"/>
      <c r="AU226" s="699"/>
    </row>
    <row r="227" spans="1:49" s="454" customFormat="1" ht="23.25" x14ac:dyDescent="0.25">
      <c r="A227" s="693"/>
      <c r="B227" s="756" t="s">
        <v>2510</v>
      </c>
      <c r="C227" s="2726" t="s">
        <v>2511</v>
      </c>
      <c r="D227" s="2726"/>
      <c r="E227" s="2726"/>
      <c r="F227" s="758" t="s">
        <v>636</v>
      </c>
      <c r="G227" s="771">
        <v>92</v>
      </c>
      <c r="H227" s="759"/>
      <c r="I227" s="771">
        <v>92</v>
      </c>
      <c r="J227" s="766"/>
      <c r="K227" s="759"/>
      <c r="L227" s="760">
        <v>5.14</v>
      </c>
      <c r="M227" s="759"/>
      <c r="N227" s="764">
        <v>140.5</v>
      </c>
      <c r="AF227" s="716"/>
      <c r="AG227" s="481"/>
      <c r="AI227" s="481"/>
      <c r="AN227" s="481"/>
      <c r="AO227" s="746"/>
      <c r="AP227" s="746"/>
      <c r="AQ227" s="699"/>
      <c r="AR227" s="699"/>
      <c r="AS227" s="699" t="s">
        <v>2511</v>
      </c>
      <c r="AT227" s="699"/>
      <c r="AU227" s="699"/>
    </row>
    <row r="228" spans="1:49" s="454" customFormat="1" ht="23.25" x14ac:dyDescent="0.25">
      <c r="A228" s="693"/>
      <c r="B228" s="756" t="s">
        <v>2512</v>
      </c>
      <c r="C228" s="2726" t="s">
        <v>2513</v>
      </c>
      <c r="D228" s="2726"/>
      <c r="E228" s="2726"/>
      <c r="F228" s="758" t="s">
        <v>636</v>
      </c>
      <c r="G228" s="771">
        <v>46</v>
      </c>
      <c r="H228" s="759"/>
      <c r="I228" s="771">
        <v>46</v>
      </c>
      <c r="J228" s="766"/>
      <c r="K228" s="759"/>
      <c r="L228" s="760">
        <v>2.57</v>
      </c>
      <c r="M228" s="759"/>
      <c r="N228" s="764">
        <v>70.25</v>
      </c>
      <c r="AF228" s="716"/>
      <c r="AG228" s="481"/>
      <c r="AI228" s="481"/>
      <c r="AN228" s="481"/>
      <c r="AO228" s="746"/>
      <c r="AP228" s="746"/>
      <c r="AQ228" s="699"/>
      <c r="AR228" s="699"/>
      <c r="AS228" s="699" t="s">
        <v>2513</v>
      </c>
      <c r="AT228" s="699"/>
      <c r="AU228" s="699"/>
    </row>
    <row r="229" spans="1:49" s="454" customFormat="1" ht="15" x14ac:dyDescent="0.25">
      <c r="A229" s="747"/>
      <c r="B229" s="748"/>
      <c r="C229" s="2723" t="s">
        <v>872</v>
      </c>
      <c r="D229" s="2723"/>
      <c r="E229" s="2723"/>
      <c r="F229" s="738"/>
      <c r="G229" s="739"/>
      <c r="H229" s="739"/>
      <c r="I229" s="739"/>
      <c r="J229" s="749"/>
      <c r="K229" s="739"/>
      <c r="L229" s="742">
        <v>62.69</v>
      </c>
      <c r="M229" s="750"/>
      <c r="N229" s="777">
        <v>811.13</v>
      </c>
      <c r="AF229" s="716"/>
      <c r="AG229" s="481"/>
      <c r="AI229" s="481"/>
      <c r="AN229" s="481"/>
      <c r="AO229" s="746"/>
      <c r="AP229" s="746" t="s">
        <v>872</v>
      </c>
      <c r="AQ229" s="699"/>
      <c r="AR229" s="699"/>
      <c r="AS229" s="699"/>
      <c r="AT229" s="699"/>
      <c r="AU229" s="699"/>
    </row>
    <row r="230" spans="1:49" s="454" customFormat="1" ht="22.5" x14ac:dyDescent="0.25">
      <c r="A230" s="736" t="s">
        <v>916</v>
      </c>
      <c r="B230" s="737" t="s">
        <v>2571</v>
      </c>
      <c r="C230" s="2723" t="s">
        <v>2572</v>
      </c>
      <c r="D230" s="2723"/>
      <c r="E230" s="2723"/>
      <c r="F230" s="738" t="s">
        <v>832</v>
      </c>
      <c r="G230" s="739">
        <v>25.3</v>
      </c>
      <c r="H230" s="740">
        <v>1</v>
      </c>
      <c r="I230" s="778">
        <v>25.3</v>
      </c>
      <c r="J230" s="742">
        <v>155.94</v>
      </c>
      <c r="K230" s="739"/>
      <c r="L230" s="743">
        <v>3945.28</v>
      </c>
      <c r="M230" s="744">
        <v>7.72</v>
      </c>
      <c r="N230" s="745">
        <v>30457.56</v>
      </c>
      <c r="AF230" s="716"/>
      <c r="AG230" s="481"/>
      <c r="AI230" s="481"/>
      <c r="AN230" s="481"/>
      <c r="AO230" s="746" t="s">
        <v>2572</v>
      </c>
      <c r="AP230" s="746"/>
      <c r="AQ230" s="699"/>
      <c r="AR230" s="699"/>
      <c r="AS230" s="699"/>
      <c r="AT230" s="699"/>
      <c r="AU230" s="699"/>
    </row>
    <row r="231" spans="1:49" s="454" customFormat="1" ht="15" x14ac:dyDescent="0.25">
      <c r="A231" s="772"/>
      <c r="B231" s="773"/>
      <c r="C231" s="2726" t="s">
        <v>2577</v>
      </c>
      <c r="D231" s="2726"/>
      <c r="E231" s="2726"/>
      <c r="F231" s="2726"/>
      <c r="G231" s="2726"/>
      <c r="H231" s="2726"/>
      <c r="I231" s="2726"/>
      <c r="J231" s="2726"/>
      <c r="K231" s="2726"/>
      <c r="L231" s="2726"/>
      <c r="M231" s="2726"/>
      <c r="N231" s="2728"/>
      <c r="AF231" s="716"/>
      <c r="AG231" s="481"/>
      <c r="AI231" s="481"/>
      <c r="AN231" s="481"/>
      <c r="AO231" s="746"/>
      <c r="AP231" s="746"/>
      <c r="AQ231" s="699"/>
      <c r="AR231" s="699"/>
      <c r="AS231" s="699"/>
      <c r="AT231" s="699"/>
      <c r="AU231" s="699" t="s">
        <v>2577</v>
      </c>
    </row>
    <row r="232" spans="1:49" s="454" customFormat="1" ht="15" x14ac:dyDescent="0.25">
      <c r="A232" s="747"/>
      <c r="B232" s="748"/>
      <c r="C232" s="2723" t="s">
        <v>872</v>
      </c>
      <c r="D232" s="2723"/>
      <c r="E232" s="2723"/>
      <c r="F232" s="738"/>
      <c r="G232" s="739"/>
      <c r="H232" s="739"/>
      <c r="I232" s="739"/>
      <c r="J232" s="749"/>
      <c r="K232" s="739"/>
      <c r="L232" s="743">
        <v>3945.28</v>
      </c>
      <c r="M232" s="750"/>
      <c r="N232" s="745">
        <v>30457.56</v>
      </c>
      <c r="AF232" s="716"/>
      <c r="AG232" s="481"/>
      <c r="AI232" s="481"/>
      <c r="AN232" s="481"/>
      <c r="AO232" s="746"/>
      <c r="AP232" s="746" t="s">
        <v>872</v>
      </c>
      <c r="AQ232" s="699"/>
      <c r="AR232" s="699"/>
      <c r="AS232" s="699"/>
      <c r="AT232" s="699"/>
      <c r="AU232" s="699"/>
    </row>
    <row r="233" spans="1:49" s="454" customFormat="1" ht="15" x14ac:dyDescent="0.25">
      <c r="A233" s="530"/>
      <c r="B233" s="531"/>
      <c r="C233" s="531"/>
      <c r="D233" s="531"/>
      <c r="E233" s="531"/>
      <c r="F233" s="532"/>
      <c r="G233" s="532"/>
      <c r="H233" s="532"/>
      <c r="I233" s="532"/>
      <c r="J233" s="533"/>
      <c r="K233" s="532"/>
      <c r="L233" s="533"/>
      <c r="M233" s="564"/>
      <c r="N233" s="533"/>
      <c r="AF233" s="716"/>
      <c r="AG233" s="481"/>
      <c r="AI233" s="481"/>
      <c r="AN233" s="481"/>
      <c r="AO233" s="746"/>
      <c r="AP233" s="746"/>
      <c r="AQ233" s="699"/>
      <c r="AR233" s="699"/>
      <c r="AS233" s="699"/>
      <c r="AT233" s="699"/>
      <c r="AU233" s="699"/>
    </row>
    <row r="234" spans="1:49" s="454" customFormat="1" ht="15" x14ac:dyDescent="0.25">
      <c r="A234" s="779"/>
      <c r="B234" s="780"/>
      <c r="C234" s="2722" t="s">
        <v>1684</v>
      </c>
      <c r="D234" s="2722"/>
      <c r="E234" s="2722"/>
      <c r="F234" s="2722"/>
      <c r="G234" s="2722"/>
      <c r="H234" s="2722"/>
      <c r="I234" s="2722"/>
      <c r="J234" s="2722"/>
      <c r="K234" s="2722"/>
      <c r="L234" s="781"/>
      <c r="M234" s="782"/>
      <c r="N234" s="783"/>
      <c r="AF234" s="716"/>
      <c r="AG234" s="481"/>
      <c r="AI234" s="481"/>
      <c r="AN234" s="481"/>
      <c r="AO234" s="746"/>
      <c r="AP234" s="746"/>
      <c r="AQ234" s="699"/>
      <c r="AR234" s="699"/>
      <c r="AS234" s="699"/>
      <c r="AT234" s="699"/>
      <c r="AU234" s="699"/>
      <c r="AV234" s="481" t="s">
        <v>1684</v>
      </c>
    </row>
    <row r="235" spans="1:49" s="454" customFormat="1" ht="15" x14ac:dyDescent="0.25">
      <c r="A235" s="523"/>
      <c r="B235" s="490"/>
      <c r="C235" s="2669" t="s">
        <v>890</v>
      </c>
      <c r="D235" s="2669"/>
      <c r="E235" s="2669"/>
      <c r="F235" s="2669"/>
      <c r="G235" s="2669"/>
      <c r="H235" s="2669"/>
      <c r="I235" s="2669"/>
      <c r="J235" s="2669"/>
      <c r="K235" s="2669"/>
      <c r="L235" s="784">
        <v>81968.87</v>
      </c>
      <c r="M235" s="785"/>
      <c r="N235" s="536">
        <v>914850.7</v>
      </c>
      <c r="AF235" s="716"/>
      <c r="AG235" s="481"/>
      <c r="AI235" s="481"/>
      <c r="AN235" s="481"/>
      <c r="AO235" s="746"/>
      <c r="AP235" s="746"/>
      <c r="AQ235" s="699"/>
      <c r="AR235" s="699"/>
      <c r="AS235" s="699"/>
      <c r="AT235" s="699"/>
      <c r="AU235" s="699"/>
      <c r="AV235" s="481"/>
      <c r="AW235" s="491" t="s">
        <v>890</v>
      </c>
    </row>
    <row r="236" spans="1:49" s="454" customFormat="1" ht="15" x14ac:dyDescent="0.25">
      <c r="A236" s="523"/>
      <c r="B236" s="490"/>
      <c r="C236" s="2669" t="s">
        <v>891</v>
      </c>
      <c r="D236" s="2669"/>
      <c r="E236" s="2669"/>
      <c r="F236" s="2669"/>
      <c r="G236" s="2669"/>
      <c r="H236" s="2669"/>
      <c r="I236" s="2669"/>
      <c r="J236" s="2669"/>
      <c r="K236" s="2669"/>
      <c r="L236" s="786"/>
      <c r="M236" s="785"/>
      <c r="N236" s="537"/>
      <c r="AF236" s="716"/>
      <c r="AG236" s="481"/>
      <c r="AI236" s="481"/>
      <c r="AN236" s="481"/>
      <c r="AO236" s="746"/>
      <c r="AP236" s="746"/>
      <c r="AQ236" s="699"/>
      <c r="AR236" s="699"/>
      <c r="AS236" s="699"/>
      <c r="AT236" s="699"/>
      <c r="AU236" s="699"/>
      <c r="AV236" s="481"/>
      <c r="AW236" s="491" t="s">
        <v>891</v>
      </c>
    </row>
    <row r="237" spans="1:49" s="454" customFormat="1" ht="15" x14ac:dyDescent="0.25">
      <c r="A237" s="523"/>
      <c r="B237" s="490"/>
      <c r="C237" s="2669" t="s">
        <v>892</v>
      </c>
      <c r="D237" s="2669"/>
      <c r="E237" s="2669"/>
      <c r="F237" s="2669"/>
      <c r="G237" s="2669"/>
      <c r="H237" s="2669"/>
      <c r="I237" s="2669"/>
      <c r="J237" s="2669"/>
      <c r="K237" s="2669"/>
      <c r="L237" s="784">
        <v>6430.98</v>
      </c>
      <c r="M237" s="785"/>
      <c r="N237" s="536">
        <v>175694.37</v>
      </c>
      <c r="AF237" s="716"/>
      <c r="AG237" s="481"/>
      <c r="AI237" s="481"/>
      <c r="AN237" s="481"/>
      <c r="AO237" s="746"/>
      <c r="AP237" s="746"/>
      <c r="AQ237" s="699"/>
      <c r="AR237" s="699"/>
      <c r="AS237" s="699"/>
      <c r="AT237" s="699"/>
      <c r="AU237" s="699"/>
      <c r="AV237" s="481"/>
      <c r="AW237" s="491" t="s">
        <v>892</v>
      </c>
    </row>
    <row r="238" spans="1:49" s="454" customFormat="1" ht="15" x14ac:dyDescent="0.25">
      <c r="A238" s="523"/>
      <c r="B238" s="490"/>
      <c r="C238" s="2669" t="s">
        <v>893</v>
      </c>
      <c r="D238" s="2669"/>
      <c r="E238" s="2669"/>
      <c r="F238" s="2669"/>
      <c r="G238" s="2669"/>
      <c r="H238" s="2669"/>
      <c r="I238" s="2669"/>
      <c r="J238" s="2669"/>
      <c r="K238" s="2669"/>
      <c r="L238" s="784">
        <v>48568.65</v>
      </c>
      <c r="M238" s="785"/>
      <c r="N238" s="536">
        <v>530369.67000000004</v>
      </c>
      <c r="AF238" s="716"/>
      <c r="AG238" s="481"/>
      <c r="AI238" s="481"/>
      <c r="AN238" s="481"/>
      <c r="AO238" s="746"/>
      <c r="AP238" s="746"/>
      <c r="AQ238" s="699"/>
      <c r="AR238" s="699"/>
      <c r="AS238" s="699"/>
      <c r="AT238" s="699"/>
      <c r="AU238" s="699"/>
      <c r="AV238" s="481"/>
      <c r="AW238" s="491" t="s">
        <v>893</v>
      </c>
    </row>
    <row r="239" spans="1:49" s="454" customFormat="1" ht="15" x14ac:dyDescent="0.25">
      <c r="A239" s="523"/>
      <c r="B239" s="490"/>
      <c r="C239" s="2669" t="s">
        <v>2578</v>
      </c>
      <c r="D239" s="2669"/>
      <c r="E239" s="2669"/>
      <c r="F239" s="2669"/>
      <c r="G239" s="2669"/>
      <c r="H239" s="2669"/>
      <c r="I239" s="2669"/>
      <c r="J239" s="2669"/>
      <c r="K239" s="2669"/>
      <c r="L239" s="784">
        <v>1599.4</v>
      </c>
      <c r="M239" s="785"/>
      <c r="N239" s="536">
        <v>43695.62</v>
      </c>
      <c r="AF239" s="716"/>
      <c r="AG239" s="481"/>
      <c r="AI239" s="481"/>
      <c r="AN239" s="481"/>
      <c r="AO239" s="746"/>
      <c r="AP239" s="746"/>
      <c r="AQ239" s="699"/>
      <c r="AR239" s="699"/>
      <c r="AS239" s="699"/>
      <c r="AT239" s="699"/>
      <c r="AU239" s="699"/>
      <c r="AV239" s="481"/>
      <c r="AW239" s="491" t="s">
        <v>2578</v>
      </c>
    </row>
    <row r="240" spans="1:49" s="454" customFormat="1" ht="15" x14ac:dyDescent="0.25">
      <c r="A240" s="523"/>
      <c r="B240" s="490"/>
      <c r="C240" s="2669" t="s">
        <v>895</v>
      </c>
      <c r="D240" s="2669"/>
      <c r="E240" s="2669"/>
      <c r="F240" s="2669"/>
      <c r="G240" s="2669"/>
      <c r="H240" s="2669"/>
      <c r="I240" s="2669"/>
      <c r="J240" s="2669"/>
      <c r="K240" s="2669"/>
      <c r="L240" s="784">
        <v>26786.7</v>
      </c>
      <c r="M240" s="785"/>
      <c r="N240" s="536">
        <v>206793.32</v>
      </c>
      <c r="AF240" s="716"/>
      <c r="AG240" s="481"/>
      <c r="AI240" s="481"/>
      <c r="AN240" s="481"/>
      <c r="AO240" s="746"/>
      <c r="AP240" s="746"/>
      <c r="AQ240" s="699"/>
      <c r="AR240" s="699"/>
      <c r="AS240" s="699"/>
      <c r="AT240" s="699"/>
      <c r="AU240" s="699"/>
      <c r="AV240" s="481"/>
      <c r="AW240" s="491" t="s">
        <v>895</v>
      </c>
    </row>
    <row r="241" spans="1:49" s="454" customFormat="1" ht="15" x14ac:dyDescent="0.25">
      <c r="A241" s="523"/>
      <c r="B241" s="490"/>
      <c r="C241" s="2669" t="s">
        <v>896</v>
      </c>
      <c r="D241" s="2669"/>
      <c r="E241" s="2669"/>
      <c r="F241" s="2669"/>
      <c r="G241" s="2669"/>
      <c r="H241" s="2669"/>
      <c r="I241" s="2669"/>
      <c r="J241" s="2669"/>
      <c r="K241" s="2669"/>
      <c r="L241" s="787">
        <v>182.54</v>
      </c>
      <c r="M241" s="785"/>
      <c r="N241" s="536">
        <v>1993.34</v>
      </c>
      <c r="AF241" s="716"/>
      <c r="AG241" s="481"/>
      <c r="AI241" s="481"/>
      <c r="AN241" s="481"/>
      <c r="AO241" s="746"/>
      <c r="AP241" s="746"/>
      <c r="AQ241" s="699"/>
      <c r="AR241" s="699"/>
      <c r="AS241" s="699"/>
      <c r="AT241" s="699"/>
      <c r="AU241" s="699"/>
      <c r="AV241" s="481"/>
      <c r="AW241" s="491" t="s">
        <v>896</v>
      </c>
    </row>
    <row r="242" spans="1:49" s="454" customFormat="1" ht="15" x14ac:dyDescent="0.25">
      <c r="A242" s="523"/>
      <c r="B242" s="490"/>
      <c r="C242" s="2669" t="s">
        <v>897</v>
      </c>
      <c r="D242" s="2669"/>
      <c r="E242" s="2669"/>
      <c r="F242" s="2669"/>
      <c r="G242" s="2669"/>
      <c r="H242" s="2669"/>
      <c r="I242" s="2669"/>
      <c r="J242" s="2669"/>
      <c r="K242" s="2669"/>
      <c r="L242" s="784">
        <v>93007.57</v>
      </c>
      <c r="M242" s="785"/>
      <c r="N242" s="536">
        <v>1216427.57</v>
      </c>
      <c r="AF242" s="716"/>
      <c r="AG242" s="481"/>
      <c r="AI242" s="481"/>
      <c r="AN242" s="481"/>
      <c r="AO242" s="746"/>
      <c r="AP242" s="746"/>
      <c r="AQ242" s="699"/>
      <c r="AR242" s="699"/>
      <c r="AS242" s="699"/>
      <c r="AT242" s="699"/>
      <c r="AU242" s="699"/>
      <c r="AV242" s="481"/>
      <c r="AW242" s="491" t="s">
        <v>897</v>
      </c>
    </row>
    <row r="243" spans="1:49" s="454" customFormat="1" ht="15" x14ac:dyDescent="0.25">
      <c r="A243" s="523"/>
      <c r="B243" s="490"/>
      <c r="C243" s="2669" t="s">
        <v>898</v>
      </c>
      <c r="D243" s="2669"/>
      <c r="E243" s="2669"/>
      <c r="F243" s="2669"/>
      <c r="G243" s="2669"/>
      <c r="H243" s="2669"/>
      <c r="I243" s="2669"/>
      <c r="J243" s="2669"/>
      <c r="K243" s="2669"/>
      <c r="L243" s="784">
        <v>80598.14</v>
      </c>
      <c r="M243" s="785"/>
      <c r="N243" s="536">
        <v>1074553.17</v>
      </c>
      <c r="AF243" s="716"/>
      <c r="AG243" s="481"/>
      <c r="AI243" s="481"/>
      <c r="AN243" s="481"/>
      <c r="AO243" s="746"/>
      <c r="AP243" s="746"/>
      <c r="AQ243" s="699"/>
      <c r="AR243" s="699"/>
      <c r="AS243" s="699"/>
      <c r="AT243" s="699"/>
      <c r="AU243" s="699"/>
      <c r="AV243" s="481"/>
      <c r="AW243" s="491" t="s">
        <v>898</v>
      </c>
    </row>
    <row r="244" spans="1:49" s="454" customFormat="1" ht="15" x14ac:dyDescent="0.25">
      <c r="A244" s="523"/>
      <c r="B244" s="490"/>
      <c r="C244" s="2669" t="s">
        <v>899</v>
      </c>
      <c r="D244" s="2669"/>
      <c r="E244" s="2669"/>
      <c r="F244" s="2669"/>
      <c r="G244" s="2669"/>
      <c r="H244" s="2669"/>
      <c r="I244" s="2669"/>
      <c r="J244" s="2669"/>
      <c r="K244" s="2669"/>
      <c r="L244" s="786"/>
      <c r="M244" s="785"/>
      <c r="N244" s="537"/>
      <c r="AF244" s="716"/>
      <c r="AG244" s="481"/>
      <c r="AI244" s="481"/>
      <c r="AN244" s="481"/>
      <c r="AO244" s="746"/>
      <c r="AP244" s="746"/>
      <c r="AQ244" s="699"/>
      <c r="AR244" s="699"/>
      <c r="AS244" s="699"/>
      <c r="AT244" s="699"/>
      <c r="AU244" s="699"/>
      <c r="AV244" s="481"/>
      <c r="AW244" s="491" t="s">
        <v>899</v>
      </c>
    </row>
    <row r="245" spans="1:49" s="454" customFormat="1" ht="15" x14ac:dyDescent="0.25">
      <c r="A245" s="523"/>
      <c r="B245" s="490"/>
      <c r="C245" s="2669" t="s">
        <v>900</v>
      </c>
      <c r="D245" s="2669"/>
      <c r="E245" s="2669"/>
      <c r="F245" s="2669"/>
      <c r="G245" s="2669"/>
      <c r="H245" s="2669"/>
      <c r="I245" s="2669"/>
      <c r="J245" s="2669"/>
      <c r="K245" s="2669"/>
      <c r="L245" s="784">
        <v>5464.61</v>
      </c>
      <c r="M245" s="785"/>
      <c r="N245" s="536">
        <v>149293.14000000001</v>
      </c>
      <c r="AF245" s="716"/>
      <c r="AG245" s="481"/>
      <c r="AI245" s="481"/>
      <c r="AN245" s="481"/>
      <c r="AO245" s="746"/>
      <c r="AP245" s="746"/>
      <c r="AQ245" s="699"/>
      <c r="AR245" s="699"/>
      <c r="AS245" s="699"/>
      <c r="AT245" s="699"/>
      <c r="AU245" s="699"/>
      <c r="AV245" s="481"/>
      <c r="AW245" s="491" t="s">
        <v>900</v>
      </c>
    </row>
    <row r="246" spans="1:49" s="454" customFormat="1" ht="15" x14ac:dyDescent="0.25">
      <c r="A246" s="523"/>
      <c r="B246" s="490"/>
      <c r="C246" s="2669" t="s">
        <v>901</v>
      </c>
      <c r="D246" s="2669"/>
      <c r="E246" s="2669"/>
      <c r="F246" s="2669"/>
      <c r="G246" s="2669"/>
      <c r="H246" s="2669"/>
      <c r="I246" s="2669"/>
      <c r="J246" s="2669"/>
      <c r="K246" s="2669"/>
      <c r="L246" s="784">
        <v>47707.9</v>
      </c>
      <c r="M246" s="785"/>
      <c r="N246" s="536">
        <v>520970.28</v>
      </c>
      <c r="AF246" s="716"/>
      <c r="AG246" s="481"/>
      <c r="AI246" s="481"/>
      <c r="AN246" s="481"/>
      <c r="AO246" s="746"/>
      <c r="AP246" s="746"/>
      <c r="AQ246" s="699"/>
      <c r="AR246" s="699"/>
      <c r="AS246" s="699"/>
      <c r="AT246" s="699"/>
      <c r="AU246" s="699"/>
      <c r="AV246" s="481"/>
      <c r="AW246" s="491" t="s">
        <v>901</v>
      </c>
    </row>
    <row r="247" spans="1:49" s="454" customFormat="1" ht="15" x14ac:dyDescent="0.25">
      <c r="A247" s="523"/>
      <c r="B247" s="490"/>
      <c r="C247" s="2669" t="s">
        <v>2579</v>
      </c>
      <c r="D247" s="2669"/>
      <c r="E247" s="2669"/>
      <c r="F247" s="2669"/>
      <c r="G247" s="2669"/>
      <c r="H247" s="2669"/>
      <c r="I247" s="2669"/>
      <c r="J247" s="2669"/>
      <c r="K247" s="2669"/>
      <c r="L247" s="784">
        <v>1431.2</v>
      </c>
      <c r="M247" s="785"/>
      <c r="N247" s="536">
        <v>39100.39</v>
      </c>
      <c r="AF247" s="716"/>
      <c r="AG247" s="481"/>
      <c r="AI247" s="481"/>
      <c r="AN247" s="481"/>
      <c r="AO247" s="746"/>
      <c r="AP247" s="746"/>
      <c r="AQ247" s="699"/>
      <c r="AR247" s="699"/>
      <c r="AS247" s="699"/>
      <c r="AT247" s="699"/>
      <c r="AU247" s="699"/>
      <c r="AV247" s="481"/>
      <c r="AW247" s="491" t="s">
        <v>2579</v>
      </c>
    </row>
    <row r="248" spans="1:49" s="454" customFormat="1" ht="15" x14ac:dyDescent="0.25">
      <c r="A248" s="523"/>
      <c r="B248" s="490"/>
      <c r="C248" s="2669" t="s">
        <v>903</v>
      </c>
      <c r="D248" s="2669"/>
      <c r="E248" s="2669"/>
      <c r="F248" s="2669"/>
      <c r="G248" s="2669"/>
      <c r="H248" s="2669"/>
      <c r="I248" s="2669"/>
      <c r="J248" s="2669"/>
      <c r="K248" s="2669"/>
      <c r="L248" s="784">
        <v>17600.919999999998</v>
      </c>
      <c r="M248" s="785"/>
      <c r="N248" s="536">
        <v>135879.1</v>
      </c>
      <c r="AF248" s="716"/>
      <c r="AG248" s="481"/>
      <c r="AI248" s="481"/>
      <c r="AN248" s="481"/>
      <c r="AO248" s="746"/>
      <c r="AP248" s="746"/>
      <c r="AQ248" s="699"/>
      <c r="AR248" s="699"/>
      <c r="AS248" s="699"/>
      <c r="AT248" s="699"/>
      <c r="AU248" s="699"/>
      <c r="AV248" s="481"/>
      <c r="AW248" s="491" t="s">
        <v>903</v>
      </c>
    </row>
    <row r="249" spans="1:49" s="454" customFormat="1" ht="15" x14ac:dyDescent="0.25">
      <c r="A249" s="523"/>
      <c r="B249" s="490"/>
      <c r="C249" s="2669" t="s">
        <v>904</v>
      </c>
      <c r="D249" s="2669"/>
      <c r="E249" s="2669"/>
      <c r="F249" s="2669"/>
      <c r="G249" s="2669"/>
      <c r="H249" s="2669"/>
      <c r="I249" s="2669"/>
      <c r="J249" s="2669"/>
      <c r="K249" s="2669"/>
      <c r="L249" s="784">
        <v>6507.08</v>
      </c>
      <c r="M249" s="785"/>
      <c r="N249" s="536">
        <v>177773.37</v>
      </c>
      <c r="AF249" s="716"/>
      <c r="AG249" s="481"/>
      <c r="AI249" s="481"/>
      <c r="AN249" s="481"/>
      <c r="AO249" s="746"/>
      <c r="AP249" s="746"/>
      <c r="AQ249" s="699"/>
      <c r="AR249" s="699"/>
      <c r="AS249" s="699"/>
      <c r="AT249" s="699"/>
      <c r="AU249" s="699"/>
      <c r="AV249" s="481"/>
      <c r="AW249" s="491" t="s">
        <v>904</v>
      </c>
    </row>
    <row r="250" spans="1:49" s="454" customFormat="1" ht="15" x14ac:dyDescent="0.25">
      <c r="A250" s="523"/>
      <c r="B250" s="490"/>
      <c r="C250" s="2669" t="s">
        <v>905</v>
      </c>
      <c r="D250" s="2669"/>
      <c r="E250" s="2669"/>
      <c r="F250" s="2669"/>
      <c r="G250" s="2669"/>
      <c r="H250" s="2669"/>
      <c r="I250" s="2669"/>
      <c r="J250" s="2669"/>
      <c r="K250" s="2669"/>
      <c r="L250" s="784">
        <v>3317.63</v>
      </c>
      <c r="M250" s="785"/>
      <c r="N250" s="536">
        <v>90637.28</v>
      </c>
      <c r="AF250" s="716"/>
      <c r="AG250" s="481"/>
      <c r="AI250" s="481"/>
      <c r="AN250" s="481"/>
      <c r="AO250" s="746"/>
      <c r="AP250" s="746"/>
      <c r="AQ250" s="699"/>
      <c r="AR250" s="699"/>
      <c r="AS250" s="699"/>
      <c r="AT250" s="699"/>
      <c r="AU250" s="699"/>
      <c r="AV250" s="481"/>
      <c r="AW250" s="491" t="s">
        <v>905</v>
      </c>
    </row>
    <row r="251" spans="1:49" s="454" customFormat="1" ht="15" x14ac:dyDescent="0.25">
      <c r="A251" s="523"/>
      <c r="B251" s="490"/>
      <c r="C251" s="2669" t="s">
        <v>906</v>
      </c>
      <c r="D251" s="2669"/>
      <c r="E251" s="2669"/>
      <c r="F251" s="2669"/>
      <c r="G251" s="2669"/>
      <c r="H251" s="2669"/>
      <c r="I251" s="2669"/>
      <c r="J251" s="2669"/>
      <c r="K251" s="2669"/>
      <c r="L251" s="787">
        <v>182.54</v>
      </c>
      <c r="M251" s="785"/>
      <c r="N251" s="536">
        <v>1993.34</v>
      </c>
      <c r="AF251" s="716"/>
      <c r="AG251" s="481"/>
      <c r="AI251" s="481"/>
      <c r="AN251" s="481"/>
      <c r="AO251" s="746"/>
      <c r="AP251" s="746"/>
      <c r="AQ251" s="699"/>
      <c r="AR251" s="699"/>
      <c r="AS251" s="699"/>
      <c r="AT251" s="699"/>
      <c r="AU251" s="699"/>
      <c r="AV251" s="481"/>
      <c r="AW251" s="491" t="s">
        <v>906</v>
      </c>
    </row>
    <row r="252" spans="1:49" s="454" customFormat="1" ht="15" x14ac:dyDescent="0.25">
      <c r="A252" s="523"/>
      <c r="B252" s="490"/>
      <c r="C252" s="2669" t="s">
        <v>2580</v>
      </c>
      <c r="D252" s="2669"/>
      <c r="E252" s="2669"/>
      <c r="F252" s="2669"/>
      <c r="G252" s="2669"/>
      <c r="H252" s="2669"/>
      <c r="I252" s="2669"/>
      <c r="J252" s="2669"/>
      <c r="K252" s="2669"/>
      <c r="L252" s="784">
        <v>12226.89</v>
      </c>
      <c r="M252" s="785"/>
      <c r="N252" s="536">
        <v>139881.06</v>
      </c>
      <c r="AF252" s="716"/>
      <c r="AG252" s="481"/>
      <c r="AI252" s="481"/>
      <c r="AN252" s="481"/>
      <c r="AO252" s="746"/>
      <c r="AP252" s="746"/>
      <c r="AQ252" s="699"/>
      <c r="AR252" s="699"/>
      <c r="AS252" s="699"/>
      <c r="AT252" s="699"/>
      <c r="AU252" s="699"/>
      <c r="AV252" s="481"/>
      <c r="AW252" s="491" t="s">
        <v>2580</v>
      </c>
    </row>
    <row r="253" spans="1:49" s="454" customFormat="1" ht="15" x14ac:dyDescent="0.25">
      <c r="A253" s="523"/>
      <c r="B253" s="490"/>
      <c r="C253" s="2669" t="s">
        <v>899</v>
      </c>
      <c r="D253" s="2669"/>
      <c r="E253" s="2669"/>
      <c r="F253" s="2669"/>
      <c r="G253" s="2669"/>
      <c r="H253" s="2669"/>
      <c r="I253" s="2669"/>
      <c r="J253" s="2669"/>
      <c r="K253" s="2669"/>
      <c r="L253" s="786"/>
      <c r="M253" s="785"/>
      <c r="N253" s="537"/>
      <c r="AF253" s="716"/>
      <c r="AG253" s="481"/>
      <c r="AI253" s="481"/>
      <c r="AN253" s="481"/>
      <c r="AO253" s="746"/>
      <c r="AP253" s="746"/>
      <c r="AQ253" s="699"/>
      <c r="AR253" s="699"/>
      <c r="AS253" s="699"/>
      <c r="AT253" s="699"/>
      <c r="AU253" s="699"/>
      <c r="AV253" s="481"/>
      <c r="AW253" s="491" t="s">
        <v>899</v>
      </c>
    </row>
    <row r="254" spans="1:49" s="454" customFormat="1" ht="15" x14ac:dyDescent="0.25">
      <c r="A254" s="523"/>
      <c r="B254" s="490"/>
      <c r="C254" s="2669" t="s">
        <v>900</v>
      </c>
      <c r="D254" s="2669"/>
      <c r="E254" s="2669"/>
      <c r="F254" s="2669"/>
      <c r="G254" s="2669"/>
      <c r="H254" s="2669"/>
      <c r="I254" s="2669"/>
      <c r="J254" s="2669"/>
      <c r="K254" s="2669"/>
      <c r="L254" s="787">
        <v>966.37</v>
      </c>
      <c r="M254" s="785"/>
      <c r="N254" s="536">
        <v>26401.23</v>
      </c>
      <c r="AF254" s="716"/>
      <c r="AG254" s="481"/>
      <c r="AI254" s="481"/>
      <c r="AN254" s="481"/>
      <c r="AO254" s="746"/>
      <c r="AP254" s="746"/>
      <c r="AQ254" s="699"/>
      <c r="AR254" s="699"/>
      <c r="AS254" s="699"/>
      <c r="AT254" s="699"/>
      <c r="AU254" s="699"/>
      <c r="AV254" s="481"/>
      <c r="AW254" s="491" t="s">
        <v>900</v>
      </c>
    </row>
    <row r="255" spans="1:49" s="454" customFormat="1" ht="15" x14ac:dyDescent="0.25">
      <c r="A255" s="523"/>
      <c r="B255" s="490"/>
      <c r="C255" s="2669" t="s">
        <v>901</v>
      </c>
      <c r="D255" s="2669"/>
      <c r="E255" s="2669"/>
      <c r="F255" s="2669"/>
      <c r="G255" s="2669"/>
      <c r="H255" s="2669"/>
      <c r="I255" s="2669"/>
      <c r="J255" s="2669"/>
      <c r="K255" s="2669"/>
      <c r="L255" s="787">
        <v>860.75</v>
      </c>
      <c r="M255" s="785"/>
      <c r="N255" s="536">
        <v>9399.39</v>
      </c>
      <c r="AF255" s="716"/>
      <c r="AG255" s="481"/>
      <c r="AI255" s="481"/>
      <c r="AN255" s="481"/>
      <c r="AO255" s="746"/>
      <c r="AP255" s="746"/>
      <c r="AQ255" s="699"/>
      <c r="AR255" s="699"/>
      <c r="AS255" s="699"/>
      <c r="AT255" s="699"/>
      <c r="AU255" s="699"/>
      <c r="AV255" s="481"/>
      <c r="AW255" s="491" t="s">
        <v>901</v>
      </c>
    </row>
    <row r="256" spans="1:49" s="454" customFormat="1" ht="15" x14ac:dyDescent="0.25">
      <c r="A256" s="523"/>
      <c r="B256" s="490"/>
      <c r="C256" s="2669" t="s">
        <v>2579</v>
      </c>
      <c r="D256" s="2669"/>
      <c r="E256" s="2669"/>
      <c r="F256" s="2669"/>
      <c r="G256" s="2669"/>
      <c r="H256" s="2669"/>
      <c r="I256" s="2669"/>
      <c r="J256" s="2669"/>
      <c r="K256" s="2669"/>
      <c r="L256" s="787">
        <v>168.2</v>
      </c>
      <c r="M256" s="785"/>
      <c r="N256" s="536">
        <v>4595.2299999999996</v>
      </c>
      <c r="AF256" s="716"/>
      <c r="AG256" s="481"/>
      <c r="AI256" s="481"/>
      <c r="AN256" s="481"/>
      <c r="AO256" s="746"/>
      <c r="AP256" s="746"/>
      <c r="AQ256" s="699"/>
      <c r="AR256" s="699"/>
      <c r="AS256" s="699"/>
      <c r="AT256" s="699"/>
      <c r="AU256" s="699"/>
      <c r="AV256" s="481"/>
      <c r="AW256" s="491" t="s">
        <v>2579</v>
      </c>
    </row>
    <row r="257" spans="1:50" s="454" customFormat="1" ht="15" x14ac:dyDescent="0.25">
      <c r="A257" s="523"/>
      <c r="B257" s="490"/>
      <c r="C257" s="2669" t="s">
        <v>903</v>
      </c>
      <c r="D257" s="2669"/>
      <c r="E257" s="2669"/>
      <c r="F257" s="2669"/>
      <c r="G257" s="2669"/>
      <c r="H257" s="2669"/>
      <c r="I257" s="2669"/>
      <c r="J257" s="2669"/>
      <c r="K257" s="2669"/>
      <c r="L257" s="784">
        <v>9185.7800000000007</v>
      </c>
      <c r="M257" s="785"/>
      <c r="N257" s="536">
        <v>70914.22</v>
      </c>
      <c r="AF257" s="716"/>
      <c r="AG257" s="481"/>
      <c r="AI257" s="481"/>
      <c r="AN257" s="481"/>
      <c r="AO257" s="746"/>
      <c r="AP257" s="746"/>
      <c r="AQ257" s="699"/>
      <c r="AR257" s="699"/>
      <c r="AS257" s="699"/>
      <c r="AT257" s="699"/>
      <c r="AU257" s="699"/>
      <c r="AV257" s="481"/>
      <c r="AW257" s="491" t="s">
        <v>903</v>
      </c>
    </row>
    <row r="258" spans="1:50" s="454" customFormat="1" ht="15" x14ac:dyDescent="0.25">
      <c r="A258" s="523"/>
      <c r="B258" s="490"/>
      <c r="C258" s="2669" t="s">
        <v>904</v>
      </c>
      <c r="D258" s="2669"/>
      <c r="E258" s="2669"/>
      <c r="F258" s="2669"/>
      <c r="G258" s="2669"/>
      <c r="H258" s="2669"/>
      <c r="I258" s="2669"/>
      <c r="J258" s="2669"/>
      <c r="K258" s="2669"/>
      <c r="L258" s="787">
        <v>828.24</v>
      </c>
      <c r="M258" s="785"/>
      <c r="N258" s="536">
        <v>22627.42</v>
      </c>
      <c r="AF258" s="716"/>
      <c r="AG258" s="481"/>
      <c r="AI258" s="481"/>
      <c r="AN258" s="481"/>
      <c r="AO258" s="746"/>
      <c r="AP258" s="746"/>
      <c r="AQ258" s="699"/>
      <c r="AR258" s="699"/>
      <c r="AS258" s="699"/>
      <c r="AT258" s="699"/>
      <c r="AU258" s="699"/>
      <c r="AV258" s="481"/>
      <c r="AW258" s="491" t="s">
        <v>904</v>
      </c>
    </row>
    <row r="259" spans="1:50" s="454" customFormat="1" ht="15" x14ac:dyDescent="0.25">
      <c r="A259" s="523"/>
      <c r="B259" s="490"/>
      <c r="C259" s="2669" t="s">
        <v>905</v>
      </c>
      <c r="D259" s="2669"/>
      <c r="E259" s="2669"/>
      <c r="F259" s="2669"/>
      <c r="G259" s="2669"/>
      <c r="H259" s="2669"/>
      <c r="I259" s="2669"/>
      <c r="J259" s="2669"/>
      <c r="K259" s="2669"/>
      <c r="L259" s="787">
        <v>385.75</v>
      </c>
      <c r="M259" s="785"/>
      <c r="N259" s="536">
        <v>10538.8</v>
      </c>
      <c r="AF259" s="716"/>
      <c r="AG259" s="481"/>
      <c r="AI259" s="481"/>
      <c r="AN259" s="481"/>
      <c r="AO259" s="746"/>
      <c r="AP259" s="746"/>
      <c r="AQ259" s="699"/>
      <c r="AR259" s="699"/>
      <c r="AS259" s="699"/>
      <c r="AT259" s="699"/>
      <c r="AU259" s="699"/>
      <c r="AV259" s="481"/>
      <c r="AW259" s="491" t="s">
        <v>905</v>
      </c>
    </row>
    <row r="260" spans="1:50" s="454" customFormat="1" ht="15" x14ac:dyDescent="0.25">
      <c r="A260" s="523"/>
      <c r="B260" s="490"/>
      <c r="C260" s="2669" t="s">
        <v>907</v>
      </c>
      <c r="D260" s="2669"/>
      <c r="E260" s="2669"/>
      <c r="F260" s="2669"/>
      <c r="G260" s="2669"/>
      <c r="H260" s="2669"/>
      <c r="I260" s="2669"/>
      <c r="J260" s="2669"/>
      <c r="K260" s="2669"/>
      <c r="L260" s="784">
        <v>8030.38</v>
      </c>
      <c r="M260" s="785"/>
      <c r="N260" s="536">
        <v>219389.99</v>
      </c>
      <c r="AF260" s="716"/>
      <c r="AG260" s="481"/>
      <c r="AI260" s="481"/>
      <c r="AN260" s="481"/>
      <c r="AO260" s="746"/>
      <c r="AP260" s="746"/>
      <c r="AQ260" s="699"/>
      <c r="AR260" s="699"/>
      <c r="AS260" s="699"/>
      <c r="AT260" s="699"/>
      <c r="AU260" s="699"/>
      <c r="AV260" s="481"/>
      <c r="AW260" s="491" t="s">
        <v>907</v>
      </c>
    </row>
    <row r="261" spans="1:50" s="454" customFormat="1" ht="15" x14ac:dyDescent="0.25">
      <c r="A261" s="523"/>
      <c r="B261" s="490"/>
      <c r="C261" s="2669" t="s">
        <v>908</v>
      </c>
      <c r="D261" s="2669"/>
      <c r="E261" s="2669"/>
      <c r="F261" s="2669"/>
      <c r="G261" s="2669"/>
      <c r="H261" s="2669"/>
      <c r="I261" s="2669"/>
      <c r="J261" s="2669"/>
      <c r="K261" s="2669"/>
      <c r="L261" s="784">
        <v>7335.32</v>
      </c>
      <c r="M261" s="785"/>
      <c r="N261" s="536">
        <v>200400.79</v>
      </c>
      <c r="AF261" s="716"/>
      <c r="AG261" s="481"/>
      <c r="AI261" s="481"/>
      <c r="AN261" s="481"/>
      <c r="AO261" s="746"/>
      <c r="AP261" s="746"/>
      <c r="AQ261" s="699"/>
      <c r="AR261" s="699"/>
      <c r="AS261" s="699"/>
      <c r="AT261" s="699"/>
      <c r="AU261" s="699"/>
      <c r="AV261" s="481"/>
      <c r="AW261" s="491" t="s">
        <v>908</v>
      </c>
    </row>
    <row r="262" spans="1:50" s="454" customFormat="1" ht="15" x14ac:dyDescent="0.25">
      <c r="A262" s="523"/>
      <c r="B262" s="490"/>
      <c r="C262" s="2669" t="s">
        <v>909</v>
      </c>
      <c r="D262" s="2669"/>
      <c r="E262" s="2669"/>
      <c r="F262" s="2669"/>
      <c r="G262" s="2669"/>
      <c r="H262" s="2669"/>
      <c r="I262" s="2669"/>
      <c r="J262" s="2669"/>
      <c r="K262" s="2669"/>
      <c r="L262" s="784">
        <v>3703.38</v>
      </c>
      <c r="M262" s="785"/>
      <c r="N262" s="536">
        <v>101176.08</v>
      </c>
      <c r="AF262" s="716"/>
      <c r="AG262" s="481"/>
      <c r="AI262" s="481"/>
      <c r="AN262" s="481"/>
      <c r="AO262" s="746"/>
      <c r="AP262" s="746"/>
      <c r="AQ262" s="699"/>
      <c r="AR262" s="699"/>
      <c r="AS262" s="699"/>
      <c r="AT262" s="699"/>
      <c r="AU262" s="699"/>
      <c r="AV262" s="481"/>
      <c r="AW262" s="491" t="s">
        <v>909</v>
      </c>
    </row>
    <row r="263" spans="1:50" s="454" customFormat="1" ht="15" x14ac:dyDescent="0.25">
      <c r="A263" s="523"/>
      <c r="B263" s="534"/>
      <c r="C263" s="2729" t="s">
        <v>1702</v>
      </c>
      <c r="D263" s="2729"/>
      <c r="E263" s="2729"/>
      <c r="F263" s="2729"/>
      <c r="G263" s="2729"/>
      <c r="H263" s="2729"/>
      <c r="I263" s="2729"/>
      <c r="J263" s="2729"/>
      <c r="K263" s="2729"/>
      <c r="L263" s="544">
        <v>93007.57</v>
      </c>
      <c r="M263" s="788"/>
      <c r="N263" s="538">
        <v>1216427.57</v>
      </c>
      <c r="AF263" s="716"/>
      <c r="AG263" s="481"/>
      <c r="AI263" s="481"/>
      <c r="AN263" s="481"/>
      <c r="AO263" s="746"/>
      <c r="AP263" s="746"/>
      <c r="AQ263" s="699"/>
      <c r="AR263" s="699"/>
      <c r="AS263" s="699"/>
      <c r="AT263" s="699"/>
      <c r="AU263" s="699"/>
      <c r="AV263" s="481"/>
      <c r="AX263" s="481" t="s">
        <v>1702</v>
      </c>
    </row>
    <row r="264" spans="1:50" s="454" customFormat="1" ht="15" x14ac:dyDescent="0.25">
      <c r="A264" s="2713" t="s">
        <v>1419</v>
      </c>
      <c r="B264" s="2714"/>
      <c r="C264" s="2714"/>
      <c r="D264" s="2714"/>
      <c r="E264" s="2714"/>
      <c r="F264" s="2714"/>
      <c r="G264" s="2714"/>
      <c r="H264" s="2714"/>
      <c r="I264" s="2714"/>
      <c r="J264" s="2714"/>
      <c r="K264" s="2714"/>
      <c r="L264" s="2714"/>
      <c r="M264" s="2714"/>
      <c r="N264" s="2715"/>
      <c r="AF264" s="716" t="s">
        <v>1419</v>
      </c>
      <c r="AG264" s="481"/>
      <c r="AI264" s="481"/>
      <c r="AN264" s="481"/>
      <c r="AO264" s="746"/>
      <c r="AP264" s="746"/>
      <c r="AQ264" s="699"/>
      <c r="AR264" s="699"/>
      <c r="AS264" s="699"/>
      <c r="AT264" s="699"/>
      <c r="AU264" s="699"/>
      <c r="AV264" s="481"/>
      <c r="AX264" s="481"/>
    </row>
    <row r="265" spans="1:50" s="454" customFormat="1" ht="15" x14ac:dyDescent="0.25">
      <c r="A265" s="2716" t="s">
        <v>1420</v>
      </c>
      <c r="B265" s="2717"/>
      <c r="C265" s="2717"/>
      <c r="D265" s="2717"/>
      <c r="E265" s="2717"/>
      <c r="F265" s="2717"/>
      <c r="G265" s="2717"/>
      <c r="H265" s="2717"/>
      <c r="I265" s="2717"/>
      <c r="J265" s="2717"/>
      <c r="K265" s="2717"/>
      <c r="L265" s="2717"/>
      <c r="M265" s="2717"/>
      <c r="N265" s="2718"/>
      <c r="AF265" s="716"/>
      <c r="AG265" s="481" t="s">
        <v>1420</v>
      </c>
      <c r="AI265" s="481"/>
      <c r="AN265" s="481"/>
      <c r="AO265" s="746"/>
      <c r="AP265" s="746"/>
      <c r="AQ265" s="699"/>
      <c r="AR265" s="699"/>
      <c r="AS265" s="699"/>
      <c r="AT265" s="699"/>
      <c r="AU265" s="699"/>
      <c r="AV265" s="481"/>
      <c r="AX265" s="481"/>
    </row>
    <row r="266" spans="1:50" s="454" customFormat="1" ht="15" x14ac:dyDescent="0.25">
      <c r="A266" s="2716" t="s">
        <v>1202</v>
      </c>
      <c r="B266" s="2717"/>
      <c r="C266" s="2717"/>
      <c r="D266" s="2717"/>
      <c r="E266" s="2717"/>
      <c r="F266" s="2717"/>
      <c r="G266" s="2717"/>
      <c r="H266" s="2717"/>
      <c r="I266" s="2717"/>
      <c r="J266" s="2717"/>
      <c r="K266" s="2717"/>
      <c r="L266" s="2717"/>
      <c r="M266" s="2717"/>
      <c r="N266" s="2718"/>
      <c r="AF266" s="716"/>
      <c r="AG266" s="481" t="s">
        <v>1202</v>
      </c>
      <c r="AI266" s="481"/>
      <c r="AN266" s="481"/>
      <c r="AO266" s="746"/>
      <c r="AP266" s="746"/>
      <c r="AQ266" s="699"/>
      <c r="AR266" s="699"/>
      <c r="AS266" s="699"/>
      <c r="AT266" s="699"/>
      <c r="AU266" s="699"/>
      <c r="AV266" s="481"/>
      <c r="AX266" s="481"/>
    </row>
    <row r="267" spans="1:50" s="454" customFormat="1" ht="15" x14ac:dyDescent="0.25">
      <c r="A267" s="2716" t="s">
        <v>1450</v>
      </c>
      <c r="B267" s="2717"/>
      <c r="C267" s="2717"/>
      <c r="D267" s="2717"/>
      <c r="E267" s="2717"/>
      <c r="F267" s="2717"/>
      <c r="G267" s="2717"/>
      <c r="H267" s="2717"/>
      <c r="I267" s="2717"/>
      <c r="J267" s="2717"/>
      <c r="K267" s="2717"/>
      <c r="L267" s="2717"/>
      <c r="M267" s="2717"/>
      <c r="N267" s="2718"/>
      <c r="AF267" s="716"/>
      <c r="AG267" s="481" t="s">
        <v>1450</v>
      </c>
      <c r="AI267" s="481"/>
      <c r="AN267" s="481"/>
      <c r="AO267" s="746"/>
      <c r="AP267" s="746"/>
      <c r="AQ267" s="699"/>
      <c r="AR267" s="699"/>
      <c r="AS267" s="699"/>
      <c r="AT267" s="699"/>
      <c r="AU267" s="699"/>
      <c r="AV267" s="481"/>
      <c r="AX267" s="481"/>
    </row>
    <row r="268" spans="1:50" s="454" customFormat="1" ht="15" x14ac:dyDescent="0.25">
      <c r="A268" s="2716" t="s">
        <v>1477</v>
      </c>
      <c r="B268" s="2717"/>
      <c r="C268" s="2717"/>
      <c r="D268" s="2717"/>
      <c r="E268" s="2717"/>
      <c r="F268" s="2717"/>
      <c r="G268" s="2717"/>
      <c r="H268" s="2717"/>
      <c r="I268" s="2717"/>
      <c r="J268" s="2717"/>
      <c r="K268" s="2717"/>
      <c r="L268" s="2717"/>
      <c r="M268" s="2717"/>
      <c r="N268" s="2718"/>
      <c r="AF268" s="716"/>
      <c r="AG268" s="481" t="s">
        <v>1477</v>
      </c>
      <c r="AI268" s="481"/>
      <c r="AN268" s="481"/>
      <c r="AO268" s="746"/>
      <c r="AP268" s="746"/>
      <c r="AQ268" s="699"/>
      <c r="AR268" s="699"/>
      <c r="AS268" s="699"/>
      <c r="AT268" s="699"/>
      <c r="AU268" s="699"/>
      <c r="AV268" s="481"/>
      <c r="AX268" s="481"/>
    </row>
    <row r="269" spans="1:50" s="454" customFormat="1" ht="15" x14ac:dyDescent="0.25">
      <c r="A269" s="2716" t="s">
        <v>1505</v>
      </c>
      <c r="B269" s="2717"/>
      <c r="C269" s="2717"/>
      <c r="D269" s="2717"/>
      <c r="E269" s="2717"/>
      <c r="F269" s="2717"/>
      <c r="G269" s="2717"/>
      <c r="H269" s="2717"/>
      <c r="I269" s="2717"/>
      <c r="J269" s="2717"/>
      <c r="K269" s="2717"/>
      <c r="L269" s="2717"/>
      <c r="M269" s="2717"/>
      <c r="N269" s="2718"/>
      <c r="AF269" s="716"/>
      <c r="AG269" s="481" t="s">
        <v>1505</v>
      </c>
      <c r="AI269" s="481"/>
      <c r="AN269" s="481"/>
      <c r="AO269" s="746"/>
      <c r="AP269" s="746"/>
      <c r="AQ269" s="699"/>
      <c r="AR269" s="699"/>
      <c r="AS269" s="699"/>
      <c r="AT269" s="699"/>
      <c r="AU269" s="699"/>
      <c r="AV269" s="481"/>
      <c r="AX269" s="481"/>
    </row>
    <row r="270" spans="1:50" s="454" customFormat="1" ht="15" x14ac:dyDescent="0.25">
      <c r="A270" s="2716" t="s">
        <v>1533</v>
      </c>
      <c r="B270" s="2717"/>
      <c r="C270" s="2717"/>
      <c r="D270" s="2717"/>
      <c r="E270" s="2717"/>
      <c r="F270" s="2717"/>
      <c r="G270" s="2717"/>
      <c r="H270" s="2717"/>
      <c r="I270" s="2717"/>
      <c r="J270" s="2717"/>
      <c r="K270" s="2717"/>
      <c r="L270" s="2717"/>
      <c r="M270" s="2717"/>
      <c r="N270" s="2718"/>
      <c r="AF270" s="716"/>
      <c r="AG270" s="481" t="s">
        <v>1533</v>
      </c>
      <c r="AI270" s="481"/>
      <c r="AN270" s="481"/>
      <c r="AO270" s="746"/>
      <c r="AP270" s="746"/>
      <c r="AQ270" s="699"/>
      <c r="AR270" s="699"/>
      <c r="AS270" s="699"/>
      <c r="AT270" s="699"/>
      <c r="AU270" s="699"/>
      <c r="AV270" s="481"/>
      <c r="AX270" s="481"/>
    </row>
    <row r="271" spans="1:50" s="454" customFormat="1" ht="15" x14ac:dyDescent="0.25">
      <c r="A271" s="530"/>
      <c r="B271" s="531"/>
      <c r="C271" s="531"/>
      <c r="D271" s="531"/>
      <c r="E271" s="531"/>
      <c r="F271" s="532"/>
      <c r="G271" s="532"/>
      <c r="H271" s="532"/>
      <c r="I271" s="532"/>
      <c r="J271" s="533"/>
      <c r="K271" s="532"/>
      <c r="L271" s="533"/>
      <c r="M271" s="564"/>
      <c r="N271" s="533"/>
      <c r="AF271" s="716"/>
      <c r="AG271" s="481"/>
      <c r="AI271" s="481"/>
      <c r="AN271" s="481"/>
      <c r="AO271" s="746"/>
      <c r="AP271" s="746"/>
      <c r="AQ271" s="699"/>
      <c r="AR271" s="699"/>
      <c r="AS271" s="699"/>
      <c r="AT271" s="699"/>
      <c r="AU271" s="699"/>
      <c r="AV271" s="481"/>
      <c r="AX271" s="481"/>
    </row>
    <row r="272" spans="1:50" s="454" customFormat="1" ht="15" x14ac:dyDescent="0.25">
      <c r="A272" s="779"/>
      <c r="B272" s="780"/>
      <c r="C272" s="2722" t="s">
        <v>2381</v>
      </c>
      <c r="D272" s="2722"/>
      <c r="E272" s="2722"/>
      <c r="F272" s="2722"/>
      <c r="G272" s="2722"/>
      <c r="H272" s="2722"/>
      <c r="I272" s="2722"/>
      <c r="J272" s="2722"/>
      <c r="K272" s="2722"/>
      <c r="L272" s="781"/>
      <c r="M272" s="782"/>
      <c r="N272" s="783"/>
      <c r="AF272" s="716"/>
      <c r="AG272" s="481"/>
      <c r="AI272" s="481"/>
      <c r="AN272" s="481"/>
      <c r="AO272" s="746"/>
      <c r="AP272" s="746"/>
      <c r="AQ272" s="699"/>
      <c r="AR272" s="699"/>
      <c r="AS272" s="699"/>
      <c r="AT272" s="699"/>
      <c r="AU272" s="699"/>
      <c r="AV272" s="481" t="s">
        <v>2381</v>
      </c>
      <c r="AX272" s="481"/>
    </row>
    <row r="273" spans="1:50" s="454" customFormat="1" ht="15" x14ac:dyDescent="0.25">
      <c r="A273" s="523"/>
      <c r="B273" s="534"/>
      <c r="C273" s="2729" t="s">
        <v>2412</v>
      </c>
      <c r="D273" s="2729"/>
      <c r="E273" s="2729"/>
      <c r="F273" s="2729"/>
      <c r="G273" s="2729"/>
      <c r="H273" s="2729"/>
      <c r="I273" s="2729"/>
      <c r="J273" s="2729"/>
      <c r="K273" s="2729"/>
      <c r="L273" s="789"/>
      <c r="M273" s="788"/>
      <c r="N273" s="535"/>
      <c r="AF273" s="716"/>
      <c r="AG273" s="481"/>
      <c r="AI273" s="481"/>
      <c r="AN273" s="481"/>
      <c r="AO273" s="746"/>
      <c r="AP273" s="746"/>
      <c r="AQ273" s="699"/>
      <c r="AR273" s="699"/>
      <c r="AS273" s="699"/>
      <c r="AT273" s="699"/>
      <c r="AU273" s="699"/>
      <c r="AV273" s="481"/>
      <c r="AX273" s="481" t="s">
        <v>2412</v>
      </c>
    </row>
    <row r="274" spans="1:50" s="454" customFormat="1" ht="15" x14ac:dyDescent="0.25">
      <c r="A274" s="2713" t="s">
        <v>1562</v>
      </c>
      <c r="B274" s="2714"/>
      <c r="C274" s="2714"/>
      <c r="D274" s="2714"/>
      <c r="E274" s="2714"/>
      <c r="F274" s="2714"/>
      <c r="G274" s="2714"/>
      <c r="H274" s="2714"/>
      <c r="I274" s="2714"/>
      <c r="J274" s="2714"/>
      <c r="K274" s="2714"/>
      <c r="L274" s="2714"/>
      <c r="M274" s="2714"/>
      <c r="N274" s="2715"/>
      <c r="AF274" s="716" t="s">
        <v>1562</v>
      </c>
      <c r="AG274" s="481"/>
      <c r="AI274" s="481"/>
      <c r="AN274" s="481"/>
      <c r="AO274" s="746"/>
      <c r="AP274" s="746"/>
      <c r="AQ274" s="699"/>
      <c r="AR274" s="699"/>
      <c r="AS274" s="699"/>
      <c r="AT274" s="699"/>
      <c r="AU274" s="699"/>
      <c r="AV274" s="481"/>
      <c r="AX274" s="481"/>
    </row>
    <row r="275" spans="1:50" s="454" customFormat="1" ht="15" x14ac:dyDescent="0.25">
      <c r="A275" s="2716" t="s">
        <v>1563</v>
      </c>
      <c r="B275" s="2717"/>
      <c r="C275" s="2717"/>
      <c r="D275" s="2717"/>
      <c r="E275" s="2717"/>
      <c r="F275" s="2717"/>
      <c r="G275" s="2717"/>
      <c r="H275" s="2717"/>
      <c r="I275" s="2717"/>
      <c r="J275" s="2717"/>
      <c r="K275" s="2717"/>
      <c r="L275" s="2717"/>
      <c r="M275" s="2717"/>
      <c r="N275" s="2718"/>
      <c r="AF275" s="716"/>
      <c r="AG275" s="481" t="s">
        <v>1563</v>
      </c>
      <c r="AI275" s="481"/>
      <c r="AN275" s="481"/>
      <c r="AO275" s="746"/>
      <c r="AP275" s="746"/>
      <c r="AQ275" s="699"/>
      <c r="AR275" s="699"/>
      <c r="AS275" s="699"/>
      <c r="AT275" s="699"/>
      <c r="AU275" s="699"/>
      <c r="AV275" s="481"/>
      <c r="AX275" s="481"/>
    </row>
    <row r="276" spans="1:50" s="454" customFormat="1" ht="15" x14ac:dyDescent="0.25">
      <c r="A276" s="2716" t="s">
        <v>1575</v>
      </c>
      <c r="B276" s="2717"/>
      <c r="C276" s="2717"/>
      <c r="D276" s="2717"/>
      <c r="E276" s="2717"/>
      <c r="F276" s="2717"/>
      <c r="G276" s="2717"/>
      <c r="H276" s="2717"/>
      <c r="I276" s="2717"/>
      <c r="J276" s="2717"/>
      <c r="K276" s="2717"/>
      <c r="L276" s="2717"/>
      <c r="M276" s="2717"/>
      <c r="N276" s="2718"/>
      <c r="AF276" s="716"/>
      <c r="AG276" s="481" t="s">
        <v>1575</v>
      </c>
      <c r="AI276" s="481"/>
      <c r="AN276" s="481"/>
      <c r="AO276" s="746"/>
      <c r="AP276" s="746"/>
      <c r="AQ276" s="699"/>
      <c r="AR276" s="699"/>
      <c r="AS276" s="699"/>
      <c r="AT276" s="699"/>
      <c r="AU276" s="699"/>
      <c r="AV276" s="481"/>
      <c r="AX276" s="481"/>
    </row>
    <row r="277" spans="1:50" s="454" customFormat="1" ht="15" x14ac:dyDescent="0.25">
      <c r="A277" s="482" t="s">
        <v>915</v>
      </c>
      <c r="B277" s="568" t="s">
        <v>2573</v>
      </c>
      <c r="C277" s="2722" t="s">
        <v>2574</v>
      </c>
      <c r="D277" s="2722"/>
      <c r="E277" s="2722"/>
      <c r="F277" s="483" t="s">
        <v>832</v>
      </c>
      <c r="G277" s="484">
        <v>240.5</v>
      </c>
      <c r="H277" s="485">
        <v>1</v>
      </c>
      <c r="I277" s="486">
        <v>240.5</v>
      </c>
      <c r="J277" s="527">
        <v>68.7</v>
      </c>
      <c r="K277" s="484"/>
      <c r="L277" s="524">
        <v>16522.349999999999</v>
      </c>
      <c r="M277" s="732">
        <v>7.72</v>
      </c>
      <c r="N277" s="525">
        <v>127552.54</v>
      </c>
      <c r="AF277" s="716"/>
      <c r="AG277" s="481"/>
      <c r="AI277" s="481" t="s">
        <v>2574</v>
      </c>
      <c r="AN277" s="481"/>
      <c r="AO277" s="746"/>
      <c r="AP277" s="746"/>
      <c r="AQ277" s="699"/>
      <c r="AR277" s="699"/>
      <c r="AS277" s="699"/>
      <c r="AT277" s="699"/>
      <c r="AU277" s="699"/>
      <c r="AV277" s="481"/>
      <c r="AX277" s="481"/>
    </row>
    <row r="278" spans="1:50" s="454" customFormat="1" ht="15" x14ac:dyDescent="0.25">
      <c r="A278" s="526"/>
      <c r="B278" s="567"/>
      <c r="C278" s="2722" t="s">
        <v>872</v>
      </c>
      <c r="D278" s="2722"/>
      <c r="E278" s="2722"/>
      <c r="F278" s="483"/>
      <c r="G278" s="484"/>
      <c r="H278" s="484"/>
      <c r="I278" s="484"/>
      <c r="J278" s="487"/>
      <c r="K278" s="484"/>
      <c r="L278" s="524">
        <v>16522.349999999999</v>
      </c>
      <c r="M278" s="563"/>
      <c r="N278" s="525">
        <v>127552.54</v>
      </c>
      <c r="AF278" s="716"/>
      <c r="AG278" s="481"/>
      <c r="AI278" s="481"/>
      <c r="AN278" s="481" t="s">
        <v>872</v>
      </c>
      <c r="AO278" s="746"/>
      <c r="AP278" s="746"/>
      <c r="AQ278" s="699"/>
      <c r="AR278" s="699"/>
      <c r="AS278" s="699"/>
      <c r="AT278" s="699"/>
      <c r="AU278" s="699"/>
      <c r="AV278" s="481"/>
      <c r="AX278" s="481"/>
    </row>
    <row r="279" spans="1:50" s="454" customFormat="1" ht="15" x14ac:dyDescent="0.25">
      <c r="A279" s="2716" t="s">
        <v>1587</v>
      </c>
      <c r="B279" s="2717"/>
      <c r="C279" s="2717"/>
      <c r="D279" s="2717"/>
      <c r="E279" s="2717"/>
      <c r="F279" s="2717"/>
      <c r="G279" s="2717"/>
      <c r="H279" s="2717"/>
      <c r="I279" s="2717"/>
      <c r="J279" s="2717"/>
      <c r="K279" s="2717"/>
      <c r="L279" s="2717"/>
      <c r="M279" s="2717"/>
      <c r="N279" s="2718"/>
      <c r="AF279" s="716"/>
      <c r="AG279" s="481" t="s">
        <v>1587</v>
      </c>
      <c r="AI279" s="481"/>
      <c r="AN279" s="481"/>
      <c r="AO279" s="746"/>
      <c r="AP279" s="746"/>
      <c r="AQ279" s="699"/>
      <c r="AR279" s="699"/>
      <c r="AS279" s="699"/>
      <c r="AT279" s="699"/>
      <c r="AU279" s="699"/>
      <c r="AV279" s="481"/>
      <c r="AX279" s="481"/>
    </row>
    <row r="280" spans="1:50" s="454" customFormat="1" ht="45.75" x14ac:dyDescent="0.25">
      <c r="A280" s="482" t="s">
        <v>916</v>
      </c>
      <c r="B280" s="568" t="s">
        <v>2581</v>
      </c>
      <c r="C280" s="2722" t="s">
        <v>2582</v>
      </c>
      <c r="D280" s="2722"/>
      <c r="E280" s="2722"/>
      <c r="F280" s="483" t="s">
        <v>2509</v>
      </c>
      <c r="G280" s="484">
        <v>2.6849999999999999E-2</v>
      </c>
      <c r="H280" s="485">
        <v>1</v>
      </c>
      <c r="I280" s="541">
        <v>2.6849999999999999E-2</v>
      </c>
      <c r="J280" s="487"/>
      <c r="K280" s="484"/>
      <c r="L280" s="487"/>
      <c r="M280" s="484"/>
      <c r="N280" s="488"/>
      <c r="AF280" s="716"/>
      <c r="AG280" s="481"/>
      <c r="AI280" s="481" t="s">
        <v>2582</v>
      </c>
      <c r="AN280" s="481"/>
      <c r="AO280" s="746"/>
      <c r="AP280" s="746"/>
      <c r="AQ280" s="699"/>
      <c r="AR280" s="699"/>
      <c r="AS280" s="699"/>
      <c r="AT280" s="699"/>
      <c r="AU280" s="699"/>
      <c r="AV280" s="481"/>
      <c r="AX280" s="481"/>
    </row>
    <row r="281" spans="1:50" s="454" customFormat="1" ht="33.75" x14ac:dyDescent="0.25">
      <c r="A281" s="489"/>
      <c r="B281" s="490" t="s">
        <v>1655</v>
      </c>
      <c r="C281" s="2709" t="s">
        <v>1656</v>
      </c>
      <c r="D281" s="2709"/>
      <c r="E281" s="2709"/>
      <c r="F281" s="2709"/>
      <c r="G281" s="2709"/>
      <c r="H281" s="2709"/>
      <c r="I281" s="2709"/>
      <c r="J281" s="2709"/>
      <c r="K281" s="2709"/>
      <c r="L281" s="2709"/>
      <c r="M281" s="2709"/>
      <c r="N281" s="2710"/>
      <c r="AF281" s="716"/>
      <c r="AG281" s="481"/>
      <c r="AI281" s="481"/>
      <c r="AJ281" s="491" t="s">
        <v>1656</v>
      </c>
      <c r="AN281" s="481"/>
      <c r="AO281" s="746"/>
      <c r="AP281" s="746"/>
      <c r="AQ281" s="699"/>
      <c r="AR281" s="699"/>
      <c r="AS281" s="699"/>
      <c r="AT281" s="699"/>
      <c r="AU281" s="699"/>
      <c r="AV281" s="481"/>
      <c r="AX281" s="481"/>
    </row>
    <row r="282" spans="1:50" s="454" customFormat="1" ht="15" x14ac:dyDescent="0.25">
      <c r="A282" s="718"/>
      <c r="B282" s="490" t="s">
        <v>639</v>
      </c>
      <c r="C282" s="2669" t="s">
        <v>697</v>
      </c>
      <c r="D282" s="2669"/>
      <c r="E282" s="2669"/>
      <c r="F282" s="719"/>
      <c r="G282" s="564"/>
      <c r="H282" s="564"/>
      <c r="I282" s="564"/>
      <c r="J282" s="505">
        <v>4400</v>
      </c>
      <c r="K282" s="511">
        <v>1.5</v>
      </c>
      <c r="L282" s="510">
        <v>177.21</v>
      </c>
      <c r="M282" s="506">
        <v>10.92</v>
      </c>
      <c r="N282" s="720">
        <v>1935.13</v>
      </c>
      <c r="AF282" s="716"/>
      <c r="AG282" s="481"/>
      <c r="AI282" s="481"/>
      <c r="AK282" s="491" t="s">
        <v>697</v>
      </c>
      <c r="AN282" s="481"/>
      <c r="AO282" s="746"/>
      <c r="AP282" s="746"/>
      <c r="AQ282" s="699"/>
      <c r="AR282" s="699"/>
      <c r="AS282" s="699"/>
      <c r="AT282" s="699"/>
      <c r="AU282" s="699"/>
      <c r="AV282" s="481"/>
      <c r="AX282" s="481"/>
    </row>
    <row r="283" spans="1:50" s="454" customFormat="1" ht="15" x14ac:dyDescent="0.25">
      <c r="A283" s="718"/>
      <c r="B283" s="490" t="s">
        <v>640</v>
      </c>
      <c r="C283" s="2669" t="s">
        <v>2500</v>
      </c>
      <c r="D283" s="2669"/>
      <c r="E283" s="2669"/>
      <c r="F283" s="719"/>
      <c r="G283" s="564"/>
      <c r="H283" s="564"/>
      <c r="I283" s="564"/>
      <c r="J283" s="510">
        <v>594</v>
      </c>
      <c r="K283" s="511">
        <v>1.5</v>
      </c>
      <c r="L283" s="510">
        <v>23.92</v>
      </c>
      <c r="M283" s="506">
        <v>27.32</v>
      </c>
      <c r="N283" s="730">
        <v>653.49</v>
      </c>
      <c r="AF283" s="716"/>
      <c r="AG283" s="481"/>
      <c r="AI283" s="481"/>
      <c r="AK283" s="491" t="s">
        <v>2500</v>
      </c>
      <c r="AN283" s="481"/>
      <c r="AO283" s="746"/>
      <c r="AP283" s="746"/>
      <c r="AQ283" s="699"/>
      <c r="AR283" s="699"/>
      <c r="AS283" s="699"/>
      <c r="AT283" s="699"/>
      <c r="AU283" s="699"/>
      <c r="AV283" s="481"/>
      <c r="AX283" s="481"/>
    </row>
    <row r="284" spans="1:50" s="454" customFormat="1" ht="15" x14ac:dyDescent="0.25">
      <c r="A284" s="721"/>
      <c r="B284" s="490"/>
      <c r="C284" s="2669" t="s">
        <v>2501</v>
      </c>
      <c r="D284" s="2669"/>
      <c r="E284" s="2669"/>
      <c r="F284" s="719" t="s">
        <v>807</v>
      </c>
      <c r="G284" s="727">
        <v>44</v>
      </c>
      <c r="H284" s="511">
        <v>1.5</v>
      </c>
      <c r="I284" s="752">
        <v>1.7721</v>
      </c>
      <c r="J284" s="501"/>
      <c r="K284" s="564"/>
      <c r="L284" s="501"/>
      <c r="M284" s="564"/>
      <c r="N284" s="723"/>
      <c r="AF284" s="716"/>
      <c r="AG284" s="481"/>
      <c r="AI284" s="481"/>
      <c r="AL284" s="491" t="s">
        <v>2501</v>
      </c>
      <c r="AN284" s="481"/>
      <c r="AO284" s="746"/>
      <c r="AP284" s="746"/>
      <c r="AQ284" s="699"/>
      <c r="AR284" s="699"/>
      <c r="AS284" s="699"/>
      <c r="AT284" s="699"/>
      <c r="AU284" s="699"/>
      <c r="AV284" s="481"/>
      <c r="AX284" s="481"/>
    </row>
    <row r="285" spans="1:50" s="454" customFormat="1" ht="15" x14ac:dyDescent="0.25">
      <c r="A285" s="718"/>
      <c r="B285" s="490"/>
      <c r="C285" s="2711" t="s">
        <v>2502</v>
      </c>
      <c r="D285" s="2711"/>
      <c r="E285" s="2711"/>
      <c r="F285" s="724"/>
      <c r="G285" s="563"/>
      <c r="H285" s="563"/>
      <c r="I285" s="563"/>
      <c r="J285" s="725">
        <v>4400</v>
      </c>
      <c r="K285" s="563"/>
      <c r="L285" s="729">
        <v>177.21</v>
      </c>
      <c r="M285" s="563"/>
      <c r="N285" s="726">
        <v>1935.13</v>
      </c>
      <c r="AF285" s="716"/>
      <c r="AG285" s="481"/>
      <c r="AI285" s="481"/>
      <c r="AM285" s="491" t="s">
        <v>2502</v>
      </c>
      <c r="AN285" s="481"/>
      <c r="AO285" s="746"/>
      <c r="AP285" s="746"/>
      <c r="AQ285" s="699"/>
      <c r="AR285" s="699"/>
      <c r="AS285" s="699"/>
      <c r="AT285" s="699"/>
      <c r="AU285" s="699"/>
      <c r="AV285" s="481"/>
      <c r="AX285" s="481"/>
    </row>
    <row r="286" spans="1:50" s="454" customFormat="1" ht="15" x14ac:dyDescent="0.25">
      <c r="A286" s="721"/>
      <c r="B286" s="490"/>
      <c r="C286" s="2669" t="s">
        <v>867</v>
      </c>
      <c r="D286" s="2669"/>
      <c r="E286" s="2669"/>
      <c r="F286" s="719"/>
      <c r="G286" s="564"/>
      <c r="H286" s="564"/>
      <c r="I286" s="564"/>
      <c r="J286" s="501"/>
      <c r="K286" s="564"/>
      <c r="L286" s="510">
        <v>23.92</v>
      </c>
      <c r="M286" s="564"/>
      <c r="N286" s="730">
        <v>653.49</v>
      </c>
      <c r="AF286" s="716"/>
      <c r="AG286" s="481"/>
      <c r="AI286" s="481"/>
      <c r="AL286" s="491" t="s">
        <v>867</v>
      </c>
      <c r="AN286" s="481"/>
      <c r="AO286" s="746"/>
      <c r="AP286" s="746"/>
      <c r="AQ286" s="699"/>
      <c r="AR286" s="699"/>
      <c r="AS286" s="699"/>
      <c r="AT286" s="699"/>
      <c r="AU286" s="699"/>
      <c r="AV286" s="481"/>
      <c r="AX286" s="481"/>
    </row>
    <row r="287" spans="1:50" s="454" customFormat="1" ht="23.25" x14ac:dyDescent="0.25">
      <c r="A287" s="721"/>
      <c r="B287" s="490" t="s">
        <v>2510</v>
      </c>
      <c r="C287" s="2669" t="s">
        <v>2511</v>
      </c>
      <c r="D287" s="2669"/>
      <c r="E287" s="2669"/>
      <c r="F287" s="719" t="s">
        <v>636</v>
      </c>
      <c r="G287" s="727">
        <v>92</v>
      </c>
      <c r="H287" s="564"/>
      <c r="I287" s="727">
        <v>92</v>
      </c>
      <c r="J287" s="501"/>
      <c r="K287" s="564"/>
      <c r="L287" s="510">
        <v>22.01</v>
      </c>
      <c r="M287" s="564"/>
      <c r="N287" s="730">
        <v>601.21</v>
      </c>
      <c r="AF287" s="716"/>
      <c r="AG287" s="481"/>
      <c r="AI287" s="481"/>
      <c r="AL287" s="491" t="s">
        <v>2511</v>
      </c>
      <c r="AN287" s="481"/>
      <c r="AO287" s="746"/>
      <c r="AP287" s="746"/>
      <c r="AQ287" s="699"/>
      <c r="AR287" s="699"/>
      <c r="AS287" s="699"/>
      <c r="AT287" s="699"/>
      <c r="AU287" s="699"/>
      <c r="AV287" s="481"/>
      <c r="AX287" s="481"/>
    </row>
    <row r="288" spans="1:50" s="454" customFormat="1" ht="23.25" x14ac:dyDescent="0.25">
      <c r="A288" s="721"/>
      <c r="B288" s="490" t="s">
        <v>2512</v>
      </c>
      <c r="C288" s="2669" t="s">
        <v>2513</v>
      </c>
      <c r="D288" s="2669"/>
      <c r="E288" s="2669"/>
      <c r="F288" s="719" t="s">
        <v>636</v>
      </c>
      <c r="G288" s="727">
        <v>46</v>
      </c>
      <c r="H288" s="564"/>
      <c r="I288" s="727">
        <v>46</v>
      </c>
      <c r="J288" s="501"/>
      <c r="K288" s="564"/>
      <c r="L288" s="510">
        <v>11</v>
      </c>
      <c r="M288" s="564"/>
      <c r="N288" s="730">
        <v>300.61</v>
      </c>
      <c r="AF288" s="716"/>
      <c r="AG288" s="481"/>
      <c r="AI288" s="481"/>
      <c r="AL288" s="491" t="s">
        <v>2513</v>
      </c>
      <c r="AN288" s="481"/>
      <c r="AO288" s="746"/>
      <c r="AP288" s="746"/>
      <c r="AQ288" s="699"/>
      <c r="AR288" s="699"/>
      <c r="AS288" s="699"/>
      <c r="AT288" s="699"/>
      <c r="AU288" s="699"/>
      <c r="AV288" s="481"/>
      <c r="AX288" s="481"/>
    </row>
    <row r="289" spans="1:50" s="454" customFormat="1" ht="15" x14ac:dyDescent="0.25">
      <c r="A289" s="526"/>
      <c r="B289" s="567"/>
      <c r="C289" s="2722" t="s">
        <v>872</v>
      </c>
      <c r="D289" s="2722"/>
      <c r="E289" s="2722"/>
      <c r="F289" s="483"/>
      <c r="G289" s="484"/>
      <c r="H289" s="484"/>
      <c r="I289" s="484"/>
      <c r="J289" s="487"/>
      <c r="K289" s="484"/>
      <c r="L289" s="527">
        <v>210.22</v>
      </c>
      <c r="M289" s="563"/>
      <c r="N289" s="525">
        <v>2836.95</v>
      </c>
      <c r="AF289" s="716"/>
      <c r="AG289" s="481"/>
      <c r="AI289" s="481"/>
      <c r="AN289" s="481" t="s">
        <v>872</v>
      </c>
      <c r="AO289" s="746"/>
      <c r="AP289" s="746"/>
      <c r="AQ289" s="699"/>
      <c r="AR289" s="699"/>
      <c r="AS289" s="699"/>
      <c r="AT289" s="699"/>
      <c r="AU289" s="699"/>
      <c r="AV289" s="481"/>
      <c r="AX289" s="481"/>
    </row>
    <row r="290" spans="1:50" s="454" customFormat="1" ht="45.75" x14ac:dyDescent="0.25">
      <c r="A290" s="482" t="s">
        <v>917</v>
      </c>
      <c r="B290" s="568" t="s">
        <v>2514</v>
      </c>
      <c r="C290" s="2722" t="s">
        <v>2583</v>
      </c>
      <c r="D290" s="2722"/>
      <c r="E290" s="2722"/>
      <c r="F290" s="483" t="s">
        <v>2516</v>
      </c>
      <c r="G290" s="484">
        <v>1915.3</v>
      </c>
      <c r="H290" s="485">
        <v>1</v>
      </c>
      <c r="I290" s="486">
        <v>1915.3</v>
      </c>
      <c r="J290" s="527">
        <v>2.91</v>
      </c>
      <c r="K290" s="484"/>
      <c r="L290" s="524">
        <v>5573.52</v>
      </c>
      <c r="M290" s="732">
        <v>10.92</v>
      </c>
      <c r="N290" s="525">
        <v>60862.84</v>
      </c>
      <c r="AF290" s="716"/>
      <c r="AG290" s="481"/>
      <c r="AI290" s="481" t="s">
        <v>2583</v>
      </c>
      <c r="AN290" s="481"/>
      <c r="AO290" s="746"/>
      <c r="AP290" s="746"/>
      <c r="AQ290" s="699"/>
      <c r="AR290" s="699"/>
      <c r="AS290" s="699"/>
      <c r="AT290" s="699"/>
      <c r="AU290" s="699"/>
      <c r="AV290" s="481"/>
      <c r="AX290" s="481"/>
    </row>
    <row r="291" spans="1:50" s="454" customFormat="1" ht="15" x14ac:dyDescent="0.25">
      <c r="A291" s="526"/>
      <c r="B291" s="567"/>
      <c r="C291" s="2722" t="s">
        <v>872</v>
      </c>
      <c r="D291" s="2722"/>
      <c r="E291" s="2722"/>
      <c r="F291" s="483"/>
      <c r="G291" s="484"/>
      <c r="H291" s="484"/>
      <c r="I291" s="484"/>
      <c r="J291" s="487"/>
      <c r="K291" s="484"/>
      <c r="L291" s="524">
        <v>5573.52</v>
      </c>
      <c r="M291" s="563"/>
      <c r="N291" s="525">
        <v>60862.84</v>
      </c>
      <c r="AF291" s="716"/>
      <c r="AG291" s="481"/>
      <c r="AI291" s="481"/>
      <c r="AN291" s="481" t="s">
        <v>872</v>
      </c>
      <c r="AO291" s="746"/>
      <c r="AP291" s="746"/>
      <c r="AQ291" s="699"/>
      <c r="AR291" s="699"/>
      <c r="AS291" s="699"/>
      <c r="AT291" s="699"/>
      <c r="AU291" s="699"/>
      <c r="AV291" s="481"/>
      <c r="AX291" s="481"/>
    </row>
    <row r="292" spans="1:50" s="454" customFormat="1" ht="15" x14ac:dyDescent="0.25">
      <c r="A292" s="530"/>
      <c r="B292" s="531"/>
      <c r="C292" s="531"/>
      <c r="D292" s="531"/>
      <c r="E292" s="531"/>
      <c r="F292" s="532"/>
      <c r="G292" s="532"/>
      <c r="H292" s="532"/>
      <c r="I292" s="532"/>
      <c r="J292" s="533"/>
      <c r="K292" s="532"/>
      <c r="L292" s="533"/>
      <c r="M292" s="564"/>
      <c r="N292" s="533"/>
      <c r="AF292" s="716"/>
      <c r="AG292" s="481"/>
      <c r="AI292" s="481"/>
      <c r="AN292" s="481"/>
      <c r="AO292" s="746"/>
      <c r="AP292" s="746"/>
      <c r="AQ292" s="699"/>
      <c r="AR292" s="699"/>
      <c r="AS292" s="699"/>
      <c r="AT292" s="699"/>
      <c r="AU292" s="699"/>
      <c r="AV292" s="481"/>
      <c r="AX292" s="481"/>
    </row>
    <row r="293" spans="1:50" s="454" customFormat="1" ht="15" x14ac:dyDescent="0.25">
      <c r="A293" s="779"/>
      <c r="B293" s="780"/>
      <c r="C293" s="2722" t="s">
        <v>2444</v>
      </c>
      <c r="D293" s="2722"/>
      <c r="E293" s="2722"/>
      <c r="F293" s="2722"/>
      <c r="G293" s="2722"/>
      <c r="H293" s="2722"/>
      <c r="I293" s="2722"/>
      <c r="J293" s="2722"/>
      <c r="K293" s="2722"/>
      <c r="L293" s="781"/>
      <c r="M293" s="782"/>
      <c r="N293" s="783"/>
      <c r="AF293" s="716"/>
      <c r="AG293" s="481"/>
      <c r="AI293" s="481"/>
      <c r="AN293" s="481"/>
      <c r="AO293" s="746"/>
      <c r="AP293" s="746"/>
      <c r="AQ293" s="699"/>
      <c r="AR293" s="699"/>
      <c r="AS293" s="699"/>
      <c r="AT293" s="699"/>
      <c r="AU293" s="699"/>
      <c r="AV293" s="481" t="s">
        <v>2444</v>
      </c>
      <c r="AX293" s="481"/>
    </row>
    <row r="294" spans="1:50" s="454" customFormat="1" ht="15" x14ac:dyDescent="0.25">
      <c r="A294" s="523"/>
      <c r="B294" s="490"/>
      <c r="C294" s="2669" t="s">
        <v>890</v>
      </c>
      <c r="D294" s="2669"/>
      <c r="E294" s="2669"/>
      <c r="F294" s="2669"/>
      <c r="G294" s="2669"/>
      <c r="H294" s="2669"/>
      <c r="I294" s="2669"/>
      <c r="J294" s="2669"/>
      <c r="K294" s="2669"/>
      <c r="L294" s="784">
        <v>22273.08</v>
      </c>
      <c r="M294" s="785"/>
      <c r="N294" s="536">
        <v>190350.51</v>
      </c>
      <c r="AF294" s="716"/>
      <c r="AG294" s="481"/>
      <c r="AI294" s="481"/>
      <c r="AN294" s="481"/>
      <c r="AO294" s="746"/>
      <c r="AP294" s="746"/>
      <c r="AQ294" s="699"/>
      <c r="AR294" s="699"/>
      <c r="AS294" s="699"/>
      <c r="AT294" s="699"/>
      <c r="AU294" s="699"/>
      <c r="AV294" s="481"/>
      <c r="AW294" s="491" t="s">
        <v>890</v>
      </c>
      <c r="AX294" s="481"/>
    </row>
    <row r="295" spans="1:50" s="454" customFormat="1" ht="15" x14ac:dyDescent="0.25">
      <c r="A295" s="523"/>
      <c r="B295" s="490"/>
      <c r="C295" s="2669" t="s">
        <v>891</v>
      </c>
      <c r="D295" s="2669"/>
      <c r="E295" s="2669"/>
      <c r="F295" s="2669"/>
      <c r="G295" s="2669"/>
      <c r="H295" s="2669"/>
      <c r="I295" s="2669"/>
      <c r="J295" s="2669"/>
      <c r="K295" s="2669"/>
      <c r="L295" s="786"/>
      <c r="M295" s="785"/>
      <c r="N295" s="537"/>
      <c r="AF295" s="716"/>
      <c r="AG295" s="481"/>
      <c r="AI295" s="481"/>
      <c r="AN295" s="481"/>
      <c r="AO295" s="746"/>
      <c r="AP295" s="746"/>
      <c r="AQ295" s="699"/>
      <c r="AR295" s="699"/>
      <c r="AS295" s="699"/>
      <c r="AT295" s="699"/>
      <c r="AU295" s="699"/>
      <c r="AV295" s="481"/>
      <c r="AW295" s="491" t="s">
        <v>891</v>
      </c>
      <c r="AX295" s="481"/>
    </row>
    <row r="296" spans="1:50" s="454" customFormat="1" ht="15" x14ac:dyDescent="0.25">
      <c r="A296" s="523"/>
      <c r="B296" s="490"/>
      <c r="C296" s="2669" t="s">
        <v>893</v>
      </c>
      <c r="D296" s="2669"/>
      <c r="E296" s="2669"/>
      <c r="F296" s="2669"/>
      <c r="G296" s="2669"/>
      <c r="H296" s="2669"/>
      <c r="I296" s="2669"/>
      <c r="J296" s="2669"/>
      <c r="K296" s="2669"/>
      <c r="L296" s="787">
        <v>177.21</v>
      </c>
      <c r="M296" s="785"/>
      <c r="N296" s="536">
        <v>1935.13</v>
      </c>
      <c r="AF296" s="716"/>
      <c r="AG296" s="481"/>
      <c r="AI296" s="481"/>
      <c r="AN296" s="481"/>
      <c r="AO296" s="746"/>
      <c r="AP296" s="746"/>
      <c r="AQ296" s="699"/>
      <c r="AR296" s="699"/>
      <c r="AS296" s="699"/>
      <c r="AT296" s="699"/>
      <c r="AU296" s="699"/>
      <c r="AV296" s="481"/>
      <c r="AW296" s="491" t="s">
        <v>893</v>
      </c>
      <c r="AX296" s="481"/>
    </row>
    <row r="297" spans="1:50" s="454" customFormat="1" ht="15" x14ac:dyDescent="0.25">
      <c r="A297" s="523"/>
      <c r="B297" s="490"/>
      <c r="C297" s="2669" t="s">
        <v>2578</v>
      </c>
      <c r="D297" s="2669"/>
      <c r="E297" s="2669"/>
      <c r="F297" s="2669"/>
      <c r="G297" s="2669"/>
      <c r="H297" s="2669"/>
      <c r="I297" s="2669"/>
      <c r="J297" s="2669"/>
      <c r="K297" s="2669"/>
      <c r="L297" s="787">
        <v>23.92</v>
      </c>
      <c r="M297" s="785"/>
      <c r="N297" s="790">
        <v>653.49</v>
      </c>
      <c r="AF297" s="716"/>
      <c r="AG297" s="481"/>
      <c r="AI297" s="481"/>
      <c r="AN297" s="481"/>
      <c r="AO297" s="746"/>
      <c r="AP297" s="746"/>
      <c r="AQ297" s="699"/>
      <c r="AR297" s="699"/>
      <c r="AS297" s="699"/>
      <c r="AT297" s="699"/>
      <c r="AU297" s="699"/>
      <c r="AV297" s="481"/>
      <c r="AW297" s="491" t="s">
        <v>2578</v>
      </c>
      <c r="AX297" s="481"/>
    </row>
    <row r="298" spans="1:50" s="454" customFormat="1" ht="15" x14ac:dyDescent="0.25">
      <c r="A298" s="523"/>
      <c r="B298" s="490"/>
      <c r="C298" s="2669" t="s">
        <v>895</v>
      </c>
      <c r="D298" s="2669"/>
      <c r="E298" s="2669"/>
      <c r="F298" s="2669"/>
      <c r="G298" s="2669"/>
      <c r="H298" s="2669"/>
      <c r="I298" s="2669"/>
      <c r="J298" s="2669"/>
      <c r="K298" s="2669"/>
      <c r="L298" s="784">
        <v>16522.349999999999</v>
      </c>
      <c r="M298" s="785"/>
      <c r="N298" s="536">
        <v>127552.54</v>
      </c>
      <c r="AF298" s="716"/>
      <c r="AG298" s="481"/>
      <c r="AI298" s="481"/>
      <c r="AN298" s="481"/>
      <c r="AO298" s="746"/>
      <c r="AP298" s="746"/>
      <c r="AQ298" s="699"/>
      <c r="AR298" s="699"/>
      <c r="AS298" s="699"/>
      <c r="AT298" s="699"/>
      <c r="AU298" s="699"/>
      <c r="AV298" s="481"/>
      <c r="AW298" s="491" t="s">
        <v>895</v>
      </c>
      <c r="AX298" s="481"/>
    </row>
    <row r="299" spans="1:50" s="454" customFormat="1" ht="15" x14ac:dyDescent="0.25">
      <c r="A299" s="523"/>
      <c r="B299" s="490"/>
      <c r="C299" s="2669" t="s">
        <v>896</v>
      </c>
      <c r="D299" s="2669"/>
      <c r="E299" s="2669"/>
      <c r="F299" s="2669"/>
      <c r="G299" s="2669"/>
      <c r="H299" s="2669"/>
      <c r="I299" s="2669"/>
      <c r="J299" s="2669"/>
      <c r="K299" s="2669"/>
      <c r="L299" s="784">
        <v>5573.52</v>
      </c>
      <c r="M299" s="785"/>
      <c r="N299" s="536">
        <v>60862.84</v>
      </c>
      <c r="AF299" s="716"/>
      <c r="AG299" s="481"/>
      <c r="AI299" s="481"/>
      <c r="AN299" s="481"/>
      <c r="AO299" s="746"/>
      <c r="AP299" s="746"/>
      <c r="AQ299" s="699"/>
      <c r="AR299" s="699"/>
      <c r="AS299" s="699"/>
      <c r="AT299" s="699"/>
      <c r="AU299" s="699"/>
      <c r="AV299" s="481"/>
      <c r="AW299" s="491" t="s">
        <v>896</v>
      </c>
      <c r="AX299" s="481"/>
    </row>
    <row r="300" spans="1:50" s="454" customFormat="1" ht="15" x14ac:dyDescent="0.25">
      <c r="A300" s="523"/>
      <c r="B300" s="490"/>
      <c r="C300" s="2669" t="s">
        <v>897</v>
      </c>
      <c r="D300" s="2669"/>
      <c r="E300" s="2669"/>
      <c r="F300" s="2669"/>
      <c r="G300" s="2669"/>
      <c r="H300" s="2669"/>
      <c r="I300" s="2669"/>
      <c r="J300" s="2669"/>
      <c r="K300" s="2669"/>
      <c r="L300" s="784">
        <v>22306.09</v>
      </c>
      <c r="M300" s="785"/>
      <c r="N300" s="536">
        <v>191252.33</v>
      </c>
      <c r="AF300" s="716"/>
      <c r="AG300" s="481"/>
      <c r="AI300" s="481"/>
      <c r="AN300" s="481"/>
      <c r="AO300" s="746"/>
      <c r="AP300" s="746"/>
      <c r="AQ300" s="699"/>
      <c r="AR300" s="699"/>
      <c r="AS300" s="699"/>
      <c r="AT300" s="699"/>
      <c r="AU300" s="699"/>
      <c r="AV300" s="481"/>
      <c r="AW300" s="491" t="s">
        <v>897</v>
      </c>
      <c r="AX300" s="481"/>
    </row>
    <row r="301" spans="1:50" s="454" customFormat="1" ht="15" x14ac:dyDescent="0.25">
      <c r="A301" s="523"/>
      <c r="B301" s="490"/>
      <c r="C301" s="2669" t="s">
        <v>898</v>
      </c>
      <c r="D301" s="2669"/>
      <c r="E301" s="2669"/>
      <c r="F301" s="2669"/>
      <c r="G301" s="2669"/>
      <c r="H301" s="2669"/>
      <c r="I301" s="2669"/>
      <c r="J301" s="2669"/>
      <c r="K301" s="2669"/>
      <c r="L301" s="784">
        <v>16732.57</v>
      </c>
      <c r="M301" s="785"/>
      <c r="N301" s="536">
        <v>130389.49</v>
      </c>
      <c r="AF301" s="716"/>
      <c r="AG301" s="481"/>
      <c r="AI301" s="481"/>
      <c r="AN301" s="481"/>
      <c r="AO301" s="746"/>
      <c r="AP301" s="746"/>
      <c r="AQ301" s="699"/>
      <c r="AR301" s="699"/>
      <c r="AS301" s="699"/>
      <c r="AT301" s="699"/>
      <c r="AU301" s="699"/>
      <c r="AV301" s="481"/>
      <c r="AW301" s="491" t="s">
        <v>898</v>
      </c>
      <c r="AX301" s="481"/>
    </row>
    <row r="302" spans="1:50" s="454" customFormat="1" ht="15" x14ac:dyDescent="0.25">
      <c r="A302" s="523"/>
      <c r="B302" s="490"/>
      <c r="C302" s="2669" t="s">
        <v>899</v>
      </c>
      <c r="D302" s="2669"/>
      <c r="E302" s="2669"/>
      <c r="F302" s="2669"/>
      <c r="G302" s="2669"/>
      <c r="H302" s="2669"/>
      <c r="I302" s="2669"/>
      <c r="J302" s="2669"/>
      <c r="K302" s="2669"/>
      <c r="L302" s="786"/>
      <c r="M302" s="785"/>
      <c r="N302" s="537"/>
      <c r="AF302" s="716"/>
      <c r="AG302" s="481"/>
      <c r="AI302" s="481"/>
      <c r="AN302" s="481"/>
      <c r="AO302" s="746"/>
      <c r="AP302" s="746"/>
      <c r="AQ302" s="699"/>
      <c r="AR302" s="699"/>
      <c r="AS302" s="699"/>
      <c r="AT302" s="699"/>
      <c r="AU302" s="699"/>
      <c r="AV302" s="481"/>
      <c r="AW302" s="491" t="s">
        <v>899</v>
      </c>
      <c r="AX302" s="481"/>
    </row>
    <row r="303" spans="1:50" s="454" customFormat="1" ht="15" x14ac:dyDescent="0.25">
      <c r="A303" s="523"/>
      <c r="B303" s="490"/>
      <c r="C303" s="2669" t="s">
        <v>901</v>
      </c>
      <c r="D303" s="2669"/>
      <c r="E303" s="2669"/>
      <c r="F303" s="2669"/>
      <c r="G303" s="2669"/>
      <c r="H303" s="2669"/>
      <c r="I303" s="2669"/>
      <c r="J303" s="2669"/>
      <c r="K303" s="2669"/>
      <c r="L303" s="787">
        <v>177.21</v>
      </c>
      <c r="M303" s="785"/>
      <c r="N303" s="536">
        <v>1935.13</v>
      </c>
      <c r="AF303" s="716"/>
      <c r="AG303" s="481"/>
      <c r="AI303" s="481"/>
      <c r="AN303" s="481"/>
      <c r="AO303" s="746"/>
      <c r="AP303" s="746"/>
      <c r="AQ303" s="699"/>
      <c r="AR303" s="699"/>
      <c r="AS303" s="699"/>
      <c r="AT303" s="699"/>
      <c r="AU303" s="699"/>
      <c r="AV303" s="481"/>
      <c r="AW303" s="491" t="s">
        <v>901</v>
      </c>
      <c r="AX303" s="481"/>
    </row>
    <row r="304" spans="1:50" s="454" customFormat="1" ht="15" x14ac:dyDescent="0.25">
      <c r="A304" s="523"/>
      <c r="B304" s="490"/>
      <c r="C304" s="2669" t="s">
        <v>2579</v>
      </c>
      <c r="D304" s="2669"/>
      <c r="E304" s="2669"/>
      <c r="F304" s="2669"/>
      <c r="G304" s="2669"/>
      <c r="H304" s="2669"/>
      <c r="I304" s="2669"/>
      <c r="J304" s="2669"/>
      <c r="K304" s="2669"/>
      <c r="L304" s="787">
        <v>23.92</v>
      </c>
      <c r="M304" s="785"/>
      <c r="N304" s="790">
        <v>653.49</v>
      </c>
      <c r="AF304" s="716"/>
      <c r="AG304" s="481"/>
      <c r="AI304" s="481"/>
      <c r="AN304" s="481"/>
      <c r="AO304" s="746"/>
      <c r="AP304" s="746"/>
      <c r="AQ304" s="699"/>
      <c r="AR304" s="699"/>
      <c r="AS304" s="699"/>
      <c r="AT304" s="699"/>
      <c r="AU304" s="699"/>
      <c r="AV304" s="481"/>
      <c r="AW304" s="491" t="s">
        <v>2579</v>
      </c>
      <c r="AX304" s="481"/>
    </row>
    <row r="305" spans="1:50" s="454" customFormat="1" ht="15" x14ac:dyDescent="0.25">
      <c r="A305" s="523"/>
      <c r="B305" s="490"/>
      <c r="C305" s="2669" t="s">
        <v>903</v>
      </c>
      <c r="D305" s="2669"/>
      <c r="E305" s="2669"/>
      <c r="F305" s="2669"/>
      <c r="G305" s="2669"/>
      <c r="H305" s="2669"/>
      <c r="I305" s="2669"/>
      <c r="J305" s="2669"/>
      <c r="K305" s="2669"/>
      <c r="L305" s="784">
        <v>16522.349999999999</v>
      </c>
      <c r="M305" s="785"/>
      <c r="N305" s="536">
        <v>127552.54</v>
      </c>
      <c r="AF305" s="716"/>
      <c r="AG305" s="481"/>
      <c r="AI305" s="481"/>
      <c r="AN305" s="481"/>
      <c r="AO305" s="746"/>
      <c r="AP305" s="746"/>
      <c r="AQ305" s="699"/>
      <c r="AR305" s="699"/>
      <c r="AS305" s="699"/>
      <c r="AT305" s="699"/>
      <c r="AU305" s="699"/>
      <c r="AV305" s="481"/>
      <c r="AW305" s="491" t="s">
        <v>903</v>
      </c>
      <c r="AX305" s="481"/>
    </row>
    <row r="306" spans="1:50" s="454" customFormat="1" ht="15" x14ac:dyDescent="0.25">
      <c r="A306" s="523"/>
      <c r="B306" s="490"/>
      <c r="C306" s="2669" t="s">
        <v>904</v>
      </c>
      <c r="D306" s="2669"/>
      <c r="E306" s="2669"/>
      <c r="F306" s="2669"/>
      <c r="G306" s="2669"/>
      <c r="H306" s="2669"/>
      <c r="I306" s="2669"/>
      <c r="J306" s="2669"/>
      <c r="K306" s="2669"/>
      <c r="L306" s="787">
        <v>22.01</v>
      </c>
      <c r="M306" s="785"/>
      <c r="N306" s="790">
        <v>601.21</v>
      </c>
      <c r="AF306" s="716"/>
      <c r="AG306" s="481"/>
      <c r="AI306" s="481"/>
      <c r="AN306" s="481"/>
      <c r="AO306" s="746"/>
      <c r="AP306" s="746"/>
      <c r="AQ306" s="699"/>
      <c r="AR306" s="699"/>
      <c r="AS306" s="699"/>
      <c r="AT306" s="699"/>
      <c r="AU306" s="699"/>
      <c r="AV306" s="481"/>
      <c r="AW306" s="491" t="s">
        <v>904</v>
      </c>
      <c r="AX306" s="481"/>
    </row>
    <row r="307" spans="1:50" s="454" customFormat="1" ht="15" x14ac:dyDescent="0.25">
      <c r="A307" s="523"/>
      <c r="B307" s="490"/>
      <c r="C307" s="2669" t="s">
        <v>905</v>
      </c>
      <c r="D307" s="2669"/>
      <c r="E307" s="2669"/>
      <c r="F307" s="2669"/>
      <c r="G307" s="2669"/>
      <c r="H307" s="2669"/>
      <c r="I307" s="2669"/>
      <c r="J307" s="2669"/>
      <c r="K307" s="2669"/>
      <c r="L307" s="787">
        <v>11</v>
      </c>
      <c r="M307" s="785"/>
      <c r="N307" s="790">
        <v>300.61</v>
      </c>
      <c r="AF307" s="716"/>
      <c r="AG307" s="481"/>
      <c r="AI307" s="481"/>
      <c r="AN307" s="481"/>
      <c r="AO307" s="746"/>
      <c r="AP307" s="746"/>
      <c r="AQ307" s="699"/>
      <c r="AR307" s="699"/>
      <c r="AS307" s="699"/>
      <c r="AT307" s="699"/>
      <c r="AU307" s="699"/>
      <c r="AV307" s="481"/>
      <c r="AW307" s="491" t="s">
        <v>905</v>
      </c>
      <c r="AX307" s="481"/>
    </row>
    <row r="308" spans="1:50" s="454" customFormat="1" ht="15" x14ac:dyDescent="0.25">
      <c r="A308" s="523"/>
      <c r="B308" s="490"/>
      <c r="C308" s="2669" t="s">
        <v>906</v>
      </c>
      <c r="D308" s="2669"/>
      <c r="E308" s="2669"/>
      <c r="F308" s="2669"/>
      <c r="G308" s="2669"/>
      <c r="H308" s="2669"/>
      <c r="I308" s="2669"/>
      <c r="J308" s="2669"/>
      <c r="K308" s="2669"/>
      <c r="L308" s="784">
        <v>5573.52</v>
      </c>
      <c r="M308" s="785"/>
      <c r="N308" s="536">
        <v>60862.84</v>
      </c>
      <c r="AF308" s="716"/>
      <c r="AG308" s="481"/>
      <c r="AI308" s="481"/>
      <c r="AN308" s="481"/>
      <c r="AO308" s="746"/>
      <c r="AP308" s="746"/>
      <c r="AQ308" s="699"/>
      <c r="AR308" s="699"/>
      <c r="AS308" s="699"/>
      <c r="AT308" s="699"/>
      <c r="AU308" s="699"/>
      <c r="AV308" s="481"/>
      <c r="AW308" s="491" t="s">
        <v>906</v>
      </c>
      <c r="AX308" s="481"/>
    </row>
    <row r="309" spans="1:50" s="454" customFormat="1" ht="15" x14ac:dyDescent="0.25">
      <c r="A309" s="523"/>
      <c r="B309" s="490"/>
      <c r="C309" s="2669" t="s">
        <v>907</v>
      </c>
      <c r="D309" s="2669"/>
      <c r="E309" s="2669"/>
      <c r="F309" s="2669"/>
      <c r="G309" s="2669"/>
      <c r="H309" s="2669"/>
      <c r="I309" s="2669"/>
      <c r="J309" s="2669"/>
      <c r="K309" s="2669"/>
      <c r="L309" s="787">
        <v>23.92</v>
      </c>
      <c r="M309" s="785"/>
      <c r="N309" s="790">
        <v>653.49</v>
      </c>
      <c r="AF309" s="716"/>
      <c r="AG309" s="481"/>
      <c r="AI309" s="481"/>
      <c r="AN309" s="481"/>
      <c r="AO309" s="746"/>
      <c r="AP309" s="746"/>
      <c r="AQ309" s="699"/>
      <c r="AR309" s="699"/>
      <c r="AS309" s="699"/>
      <c r="AT309" s="699"/>
      <c r="AU309" s="699"/>
      <c r="AV309" s="481"/>
      <c r="AW309" s="491" t="s">
        <v>907</v>
      </c>
      <c r="AX309" s="481"/>
    </row>
    <row r="310" spans="1:50" s="454" customFormat="1" ht="15" x14ac:dyDescent="0.25">
      <c r="A310" s="523"/>
      <c r="B310" s="490"/>
      <c r="C310" s="2669" t="s">
        <v>908</v>
      </c>
      <c r="D310" s="2669"/>
      <c r="E310" s="2669"/>
      <c r="F310" s="2669"/>
      <c r="G310" s="2669"/>
      <c r="H310" s="2669"/>
      <c r="I310" s="2669"/>
      <c r="J310" s="2669"/>
      <c r="K310" s="2669"/>
      <c r="L310" s="787">
        <v>22.01</v>
      </c>
      <c r="M310" s="785"/>
      <c r="N310" s="790">
        <v>601.21</v>
      </c>
      <c r="AF310" s="716"/>
      <c r="AG310" s="481"/>
      <c r="AI310" s="481"/>
      <c r="AN310" s="481"/>
      <c r="AO310" s="746"/>
      <c r="AP310" s="746"/>
      <c r="AQ310" s="699"/>
      <c r="AR310" s="699"/>
      <c r="AS310" s="699"/>
      <c r="AT310" s="699"/>
      <c r="AU310" s="699"/>
      <c r="AV310" s="481"/>
      <c r="AW310" s="491" t="s">
        <v>908</v>
      </c>
      <c r="AX310" s="481"/>
    </row>
    <row r="311" spans="1:50" s="454" customFormat="1" ht="15" x14ac:dyDescent="0.25">
      <c r="A311" s="523"/>
      <c r="B311" s="490"/>
      <c r="C311" s="2669" t="s">
        <v>909</v>
      </c>
      <c r="D311" s="2669"/>
      <c r="E311" s="2669"/>
      <c r="F311" s="2669"/>
      <c r="G311" s="2669"/>
      <c r="H311" s="2669"/>
      <c r="I311" s="2669"/>
      <c r="J311" s="2669"/>
      <c r="K311" s="2669"/>
      <c r="L311" s="787">
        <v>11</v>
      </c>
      <c r="M311" s="785"/>
      <c r="N311" s="790">
        <v>300.61</v>
      </c>
      <c r="AF311" s="716"/>
      <c r="AG311" s="481"/>
      <c r="AI311" s="481"/>
      <c r="AN311" s="481"/>
      <c r="AO311" s="746"/>
      <c r="AP311" s="746"/>
      <c r="AQ311" s="699"/>
      <c r="AR311" s="699"/>
      <c r="AS311" s="699"/>
      <c r="AT311" s="699"/>
      <c r="AU311" s="699"/>
      <c r="AV311" s="481"/>
      <c r="AW311" s="491" t="s">
        <v>909</v>
      </c>
      <c r="AX311" s="481"/>
    </row>
    <row r="312" spans="1:50" s="454" customFormat="1" ht="15" x14ac:dyDescent="0.25">
      <c r="A312" s="523"/>
      <c r="B312" s="534"/>
      <c r="C312" s="2729" t="s">
        <v>2458</v>
      </c>
      <c r="D312" s="2729"/>
      <c r="E312" s="2729"/>
      <c r="F312" s="2729"/>
      <c r="G312" s="2729"/>
      <c r="H312" s="2729"/>
      <c r="I312" s="2729"/>
      <c r="J312" s="2729"/>
      <c r="K312" s="2729"/>
      <c r="L312" s="544">
        <v>22306.09</v>
      </c>
      <c r="M312" s="788"/>
      <c r="N312" s="538">
        <v>191252.33</v>
      </c>
      <c r="AF312" s="716"/>
      <c r="AG312" s="481"/>
      <c r="AI312" s="481"/>
      <c r="AN312" s="481"/>
      <c r="AO312" s="746"/>
      <c r="AP312" s="746"/>
      <c r="AQ312" s="699"/>
      <c r="AR312" s="699"/>
      <c r="AS312" s="699"/>
      <c r="AT312" s="699"/>
      <c r="AU312" s="699"/>
      <c r="AV312" s="481"/>
      <c r="AX312" s="481" t="s">
        <v>2458</v>
      </c>
    </row>
    <row r="313" spans="1:50" s="454" customFormat="1" ht="15" x14ac:dyDescent="0.25">
      <c r="A313" s="2713" t="s">
        <v>2584</v>
      </c>
      <c r="B313" s="2714"/>
      <c r="C313" s="2714"/>
      <c r="D313" s="2714"/>
      <c r="E313" s="2714"/>
      <c r="F313" s="2714"/>
      <c r="G313" s="2714"/>
      <c r="H313" s="2714"/>
      <c r="I313" s="2714"/>
      <c r="J313" s="2714"/>
      <c r="K313" s="2714"/>
      <c r="L313" s="2714"/>
      <c r="M313" s="2714"/>
      <c r="N313" s="2715"/>
      <c r="AF313" s="716" t="s">
        <v>2584</v>
      </c>
      <c r="AG313" s="481"/>
      <c r="AI313" s="481"/>
      <c r="AN313" s="481"/>
      <c r="AO313" s="746"/>
      <c r="AP313" s="746"/>
      <c r="AQ313" s="699"/>
      <c r="AR313" s="699"/>
      <c r="AS313" s="699"/>
      <c r="AT313" s="699"/>
      <c r="AU313" s="699"/>
      <c r="AV313" s="481"/>
      <c r="AX313" s="481"/>
    </row>
    <row r="314" spans="1:50" s="454" customFormat="1" ht="15" x14ac:dyDescent="0.25">
      <c r="A314" s="2716" t="s">
        <v>2585</v>
      </c>
      <c r="B314" s="2717"/>
      <c r="C314" s="2717"/>
      <c r="D314" s="2717"/>
      <c r="E314" s="2717"/>
      <c r="F314" s="2717"/>
      <c r="G314" s="2717"/>
      <c r="H314" s="2717"/>
      <c r="I314" s="2717"/>
      <c r="J314" s="2717"/>
      <c r="K314" s="2717"/>
      <c r="L314" s="2717"/>
      <c r="M314" s="2717"/>
      <c r="N314" s="2718"/>
      <c r="AF314" s="716"/>
      <c r="AG314" s="481" t="s">
        <v>2585</v>
      </c>
      <c r="AI314" s="481"/>
      <c r="AN314" s="481"/>
      <c r="AO314" s="746"/>
      <c r="AP314" s="746"/>
      <c r="AQ314" s="699"/>
      <c r="AR314" s="699"/>
      <c r="AS314" s="699"/>
      <c r="AT314" s="699"/>
      <c r="AU314" s="699"/>
      <c r="AV314" s="481"/>
      <c r="AX314" s="481"/>
    </row>
    <row r="315" spans="1:50" s="454" customFormat="1" ht="34.5" x14ac:dyDescent="0.25">
      <c r="A315" s="482" t="s">
        <v>918</v>
      </c>
      <c r="B315" s="568" t="s">
        <v>2586</v>
      </c>
      <c r="C315" s="2722" t="s">
        <v>2587</v>
      </c>
      <c r="D315" s="2722"/>
      <c r="E315" s="2722"/>
      <c r="F315" s="483" t="s">
        <v>2588</v>
      </c>
      <c r="G315" s="484">
        <v>0.47599999999999998</v>
      </c>
      <c r="H315" s="485">
        <v>1</v>
      </c>
      <c r="I315" s="731">
        <v>0.47599999999999998</v>
      </c>
      <c r="J315" s="487"/>
      <c r="K315" s="484"/>
      <c r="L315" s="487"/>
      <c r="M315" s="484"/>
      <c r="N315" s="488"/>
      <c r="AF315" s="716"/>
      <c r="AG315" s="481"/>
      <c r="AI315" s="481" t="s">
        <v>2587</v>
      </c>
      <c r="AN315" s="481"/>
      <c r="AO315" s="746"/>
      <c r="AP315" s="746"/>
      <c r="AQ315" s="699"/>
      <c r="AR315" s="699"/>
      <c r="AS315" s="699"/>
      <c r="AT315" s="699"/>
      <c r="AU315" s="699"/>
      <c r="AV315" s="481"/>
      <c r="AX315" s="481"/>
    </row>
    <row r="316" spans="1:50" s="454" customFormat="1" ht="33.75" x14ac:dyDescent="0.25">
      <c r="A316" s="489"/>
      <c r="B316" s="490" t="s">
        <v>1655</v>
      </c>
      <c r="C316" s="2709" t="s">
        <v>1656</v>
      </c>
      <c r="D316" s="2709"/>
      <c r="E316" s="2709"/>
      <c r="F316" s="2709"/>
      <c r="G316" s="2709"/>
      <c r="H316" s="2709"/>
      <c r="I316" s="2709"/>
      <c r="J316" s="2709"/>
      <c r="K316" s="2709"/>
      <c r="L316" s="2709"/>
      <c r="M316" s="2709"/>
      <c r="N316" s="2710"/>
      <c r="AF316" s="716"/>
      <c r="AG316" s="481"/>
      <c r="AI316" s="481"/>
      <c r="AJ316" s="491" t="s">
        <v>1656</v>
      </c>
      <c r="AN316" s="481"/>
      <c r="AO316" s="746"/>
      <c r="AP316" s="746"/>
      <c r="AQ316" s="699"/>
      <c r="AR316" s="699"/>
      <c r="AS316" s="699"/>
      <c r="AT316" s="699"/>
      <c r="AU316" s="699"/>
      <c r="AV316" s="481"/>
      <c r="AX316" s="481"/>
    </row>
    <row r="317" spans="1:50" s="454" customFormat="1" ht="15" x14ac:dyDescent="0.25">
      <c r="A317" s="718"/>
      <c r="B317" s="490" t="s">
        <v>190</v>
      </c>
      <c r="C317" s="2669" t="s">
        <v>2523</v>
      </c>
      <c r="D317" s="2669"/>
      <c r="E317" s="2669"/>
      <c r="F317" s="719"/>
      <c r="G317" s="564"/>
      <c r="H317" s="564"/>
      <c r="I317" s="564"/>
      <c r="J317" s="505">
        <v>5465.7</v>
      </c>
      <c r="K317" s="511">
        <v>1.5</v>
      </c>
      <c r="L317" s="505">
        <v>3902.51</v>
      </c>
      <c r="M317" s="506">
        <v>27.32</v>
      </c>
      <c r="N317" s="720">
        <v>106616.57</v>
      </c>
      <c r="AF317" s="716"/>
      <c r="AG317" s="481"/>
      <c r="AI317" s="481"/>
      <c r="AK317" s="491" t="s">
        <v>2523</v>
      </c>
      <c r="AN317" s="481"/>
      <c r="AO317" s="746"/>
      <c r="AP317" s="746"/>
      <c r="AQ317" s="699"/>
      <c r="AR317" s="699"/>
      <c r="AS317" s="699"/>
      <c r="AT317" s="699"/>
      <c r="AU317" s="699"/>
      <c r="AV317" s="481"/>
      <c r="AX317" s="481"/>
    </row>
    <row r="318" spans="1:50" s="454" customFormat="1" ht="15" x14ac:dyDescent="0.25">
      <c r="A318" s="718"/>
      <c r="B318" s="490" t="s">
        <v>639</v>
      </c>
      <c r="C318" s="2669" t="s">
        <v>697</v>
      </c>
      <c r="D318" s="2669"/>
      <c r="E318" s="2669"/>
      <c r="F318" s="719"/>
      <c r="G318" s="564"/>
      <c r="H318" s="564"/>
      <c r="I318" s="564"/>
      <c r="J318" s="505">
        <v>64226.96</v>
      </c>
      <c r="K318" s="511">
        <v>1.5</v>
      </c>
      <c r="L318" s="505">
        <v>45858.05</v>
      </c>
      <c r="M318" s="506">
        <v>10.92</v>
      </c>
      <c r="N318" s="720">
        <v>500769.91</v>
      </c>
      <c r="AF318" s="716"/>
      <c r="AG318" s="481"/>
      <c r="AI318" s="481"/>
      <c r="AK318" s="491" t="s">
        <v>697</v>
      </c>
      <c r="AN318" s="481"/>
      <c r="AO318" s="746"/>
      <c r="AP318" s="746"/>
      <c r="AQ318" s="699"/>
      <c r="AR318" s="699"/>
      <c r="AS318" s="699"/>
      <c r="AT318" s="699"/>
      <c r="AU318" s="699"/>
      <c r="AV318" s="481"/>
      <c r="AX318" s="481"/>
    </row>
    <row r="319" spans="1:50" s="454" customFormat="1" ht="15" x14ac:dyDescent="0.25">
      <c r="A319" s="718"/>
      <c r="B319" s="490" t="s">
        <v>640</v>
      </c>
      <c r="C319" s="2669" t="s">
        <v>2500</v>
      </c>
      <c r="D319" s="2669"/>
      <c r="E319" s="2669"/>
      <c r="F319" s="719"/>
      <c r="G319" s="564"/>
      <c r="H319" s="564"/>
      <c r="I319" s="564"/>
      <c r="J319" s="505">
        <v>3064.66</v>
      </c>
      <c r="K319" s="511">
        <v>1.5</v>
      </c>
      <c r="L319" s="505">
        <v>2188.17</v>
      </c>
      <c r="M319" s="506">
        <v>27.32</v>
      </c>
      <c r="N319" s="720">
        <v>59780.800000000003</v>
      </c>
      <c r="AF319" s="716"/>
      <c r="AG319" s="481"/>
      <c r="AI319" s="481"/>
      <c r="AK319" s="491" t="s">
        <v>2500</v>
      </c>
      <c r="AN319" s="481"/>
      <c r="AO319" s="746"/>
      <c r="AP319" s="746"/>
      <c r="AQ319" s="699"/>
      <c r="AR319" s="699"/>
      <c r="AS319" s="699"/>
      <c r="AT319" s="699"/>
      <c r="AU319" s="699"/>
      <c r="AV319" s="481"/>
      <c r="AX319" s="481"/>
    </row>
    <row r="320" spans="1:50" s="454" customFormat="1" ht="15" x14ac:dyDescent="0.25">
      <c r="A320" s="718"/>
      <c r="B320" s="490" t="s">
        <v>232</v>
      </c>
      <c r="C320" s="2669" t="s">
        <v>829</v>
      </c>
      <c r="D320" s="2669"/>
      <c r="E320" s="2669"/>
      <c r="F320" s="719"/>
      <c r="G320" s="564"/>
      <c r="H320" s="564"/>
      <c r="I320" s="564"/>
      <c r="J320" s="510">
        <v>578.78</v>
      </c>
      <c r="K320" s="564"/>
      <c r="L320" s="510">
        <v>275.5</v>
      </c>
      <c r="M320" s="506">
        <v>7.72</v>
      </c>
      <c r="N320" s="720">
        <v>2126.86</v>
      </c>
      <c r="AF320" s="716"/>
      <c r="AG320" s="481"/>
      <c r="AI320" s="481"/>
      <c r="AK320" s="491" t="s">
        <v>829</v>
      </c>
      <c r="AN320" s="481"/>
      <c r="AO320" s="746"/>
      <c r="AP320" s="746"/>
      <c r="AQ320" s="699"/>
      <c r="AR320" s="699"/>
      <c r="AS320" s="699"/>
      <c r="AT320" s="699"/>
      <c r="AU320" s="699"/>
      <c r="AV320" s="481"/>
      <c r="AX320" s="481"/>
    </row>
    <row r="321" spans="1:50" s="454" customFormat="1" ht="15" x14ac:dyDescent="0.25">
      <c r="A321" s="721"/>
      <c r="B321" s="490"/>
      <c r="C321" s="2669" t="s">
        <v>2524</v>
      </c>
      <c r="D321" s="2669"/>
      <c r="E321" s="2669"/>
      <c r="F321" s="719" t="s">
        <v>807</v>
      </c>
      <c r="G321" s="506">
        <v>568.16</v>
      </c>
      <c r="H321" s="511">
        <v>1.5</v>
      </c>
      <c r="I321" s="735">
        <v>405.66624000000002</v>
      </c>
      <c r="J321" s="501"/>
      <c r="K321" s="564"/>
      <c r="L321" s="501"/>
      <c r="M321" s="564"/>
      <c r="N321" s="723"/>
      <c r="AF321" s="716"/>
      <c r="AG321" s="481"/>
      <c r="AI321" s="481"/>
      <c r="AL321" s="491" t="s">
        <v>2524</v>
      </c>
      <c r="AN321" s="481"/>
      <c r="AO321" s="746"/>
      <c r="AP321" s="746"/>
      <c r="AQ321" s="699"/>
      <c r="AR321" s="699"/>
      <c r="AS321" s="699"/>
      <c r="AT321" s="699"/>
      <c r="AU321" s="699"/>
      <c r="AV321" s="481"/>
      <c r="AX321" s="481"/>
    </row>
    <row r="322" spans="1:50" s="454" customFormat="1" ht="15" x14ac:dyDescent="0.25">
      <c r="A322" s="721"/>
      <c r="B322" s="490"/>
      <c r="C322" s="2669" t="s">
        <v>2501</v>
      </c>
      <c r="D322" s="2669"/>
      <c r="E322" s="2669"/>
      <c r="F322" s="719" t="s">
        <v>807</v>
      </c>
      <c r="G322" s="506">
        <v>239.17</v>
      </c>
      <c r="H322" s="511">
        <v>1.5</v>
      </c>
      <c r="I322" s="735">
        <v>170.76738</v>
      </c>
      <c r="J322" s="501"/>
      <c r="K322" s="564"/>
      <c r="L322" s="501"/>
      <c r="M322" s="564"/>
      <c r="N322" s="723"/>
      <c r="AF322" s="716"/>
      <c r="AG322" s="481"/>
      <c r="AI322" s="481"/>
      <c r="AL322" s="491" t="s">
        <v>2501</v>
      </c>
      <c r="AN322" s="481"/>
      <c r="AO322" s="746"/>
      <c r="AP322" s="746"/>
      <c r="AQ322" s="699"/>
      <c r="AR322" s="699"/>
      <c r="AS322" s="699"/>
      <c r="AT322" s="699"/>
      <c r="AU322" s="699"/>
      <c r="AV322" s="481"/>
      <c r="AX322" s="481"/>
    </row>
    <row r="323" spans="1:50" s="454" customFormat="1" ht="15" x14ac:dyDescent="0.25">
      <c r="A323" s="718"/>
      <c r="B323" s="490"/>
      <c r="C323" s="2711" t="s">
        <v>2502</v>
      </c>
      <c r="D323" s="2711"/>
      <c r="E323" s="2711"/>
      <c r="F323" s="724"/>
      <c r="G323" s="563"/>
      <c r="H323" s="563"/>
      <c r="I323" s="563"/>
      <c r="J323" s="725">
        <v>70271.44</v>
      </c>
      <c r="K323" s="563"/>
      <c r="L323" s="725">
        <v>50036.06</v>
      </c>
      <c r="M323" s="563"/>
      <c r="N323" s="726">
        <v>609513.34</v>
      </c>
      <c r="AF323" s="716"/>
      <c r="AG323" s="481"/>
      <c r="AI323" s="481"/>
      <c r="AM323" s="491" t="s">
        <v>2502</v>
      </c>
      <c r="AN323" s="481"/>
      <c r="AO323" s="746"/>
      <c r="AP323" s="746"/>
      <c r="AQ323" s="699"/>
      <c r="AR323" s="699"/>
      <c r="AS323" s="699"/>
      <c r="AT323" s="699"/>
      <c r="AU323" s="699"/>
      <c r="AV323" s="481"/>
      <c r="AX323" s="481"/>
    </row>
    <row r="324" spans="1:50" s="454" customFormat="1" ht="15" x14ac:dyDescent="0.25">
      <c r="A324" s="721"/>
      <c r="B324" s="490"/>
      <c r="C324" s="2669" t="s">
        <v>867</v>
      </c>
      <c r="D324" s="2669"/>
      <c r="E324" s="2669"/>
      <c r="F324" s="719"/>
      <c r="G324" s="564"/>
      <c r="H324" s="564"/>
      <c r="I324" s="564"/>
      <c r="J324" s="501"/>
      <c r="K324" s="564"/>
      <c r="L324" s="505">
        <v>6090.68</v>
      </c>
      <c r="M324" s="564"/>
      <c r="N324" s="720">
        <v>166397.37</v>
      </c>
      <c r="AF324" s="716"/>
      <c r="AG324" s="481"/>
      <c r="AI324" s="481"/>
      <c r="AL324" s="491" t="s">
        <v>867</v>
      </c>
      <c r="AN324" s="481"/>
      <c r="AO324" s="746"/>
      <c r="AP324" s="746"/>
      <c r="AQ324" s="699"/>
      <c r="AR324" s="699"/>
      <c r="AS324" s="699"/>
      <c r="AT324" s="699"/>
      <c r="AU324" s="699"/>
      <c r="AV324" s="481"/>
      <c r="AX324" s="481"/>
    </row>
    <row r="325" spans="1:50" s="454" customFormat="1" ht="15" x14ac:dyDescent="0.25">
      <c r="A325" s="721"/>
      <c r="B325" s="490" t="s">
        <v>2589</v>
      </c>
      <c r="C325" s="2669" t="s">
        <v>2590</v>
      </c>
      <c r="D325" s="2669"/>
      <c r="E325" s="2669"/>
      <c r="F325" s="719" t="s">
        <v>636</v>
      </c>
      <c r="G325" s="727">
        <v>106</v>
      </c>
      <c r="H325" s="564"/>
      <c r="I325" s="727">
        <v>106</v>
      </c>
      <c r="J325" s="501"/>
      <c r="K325" s="564"/>
      <c r="L325" s="505">
        <v>6456.12</v>
      </c>
      <c r="M325" s="564"/>
      <c r="N325" s="720">
        <v>176381.21</v>
      </c>
      <c r="AF325" s="716"/>
      <c r="AG325" s="481"/>
      <c r="AI325" s="481"/>
      <c r="AL325" s="491" t="s">
        <v>2590</v>
      </c>
      <c r="AN325" s="481"/>
      <c r="AO325" s="746"/>
      <c r="AP325" s="746"/>
      <c r="AQ325" s="699"/>
      <c r="AR325" s="699"/>
      <c r="AS325" s="699"/>
      <c r="AT325" s="699"/>
      <c r="AU325" s="699"/>
      <c r="AV325" s="481"/>
      <c r="AX325" s="481"/>
    </row>
    <row r="326" spans="1:50" s="454" customFormat="1" ht="15" x14ac:dyDescent="0.25">
      <c r="A326" s="721"/>
      <c r="B326" s="490" t="s">
        <v>2591</v>
      </c>
      <c r="C326" s="2669" t="s">
        <v>2592</v>
      </c>
      <c r="D326" s="2669"/>
      <c r="E326" s="2669"/>
      <c r="F326" s="719" t="s">
        <v>636</v>
      </c>
      <c r="G326" s="727">
        <v>45</v>
      </c>
      <c r="H326" s="564"/>
      <c r="I326" s="727">
        <v>45</v>
      </c>
      <c r="J326" s="501"/>
      <c r="K326" s="564"/>
      <c r="L326" s="505">
        <v>2740.81</v>
      </c>
      <c r="M326" s="564"/>
      <c r="N326" s="720">
        <v>74878.820000000007</v>
      </c>
      <c r="AF326" s="716"/>
      <c r="AG326" s="481"/>
      <c r="AI326" s="481"/>
      <c r="AL326" s="491" t="s">
        <v>2592</v>
      </c>
      <c r="AN326" s="481"/>
      <c r="AO326" s="746"/>
      <c r="AP326" s="746"/>
      <c r="AQ326" s="699"/>
      <c r="AR326" s="699"/>
      <c r="AS326" s="699"/>
      <c r="AT326" s="699"/>
      <c r="AU326" s="699"/>
      <c r="AV326" s="481"/>
      <c r="AX326" s="481"/>
    </row>
    <row r="327" spans="1:50" s="454" customFormat="1" ht="15" x14ac:dyDescent="0.25">
      <c r="A327" s="526"/>
      <c r="B327" s="567"/>
      <c r="C327" s="2722" t="s">
        <v>872</v>
      </c>
      <c r="D327" s="2722"/>
      <c r="E327" s="2722"/>
      <c r="F327" s="483"/>
      <c r="G327" s="484"/>
      <c r="H327" s="484"/>
      <c r="I327" s="484"/>
      <c r="J327" s="487"/>
      <c r="K327" s="484"/>
      <c r="L327" s="524">
        <v>59232.99</v>
      </c>
      <c r="M327" s="563"/>
      <c r="N327" s="525">
        <v>860773.37</v>
      </c>
      <c r="AF327" s="716"/>
      <c r="AG327" s="481"/>
      <c r="AI327" s="481"/>
      <c r="AN327" s="481" t="s">
        <v>872</v>
      </c>
      <c r="AO327" s="746"/>
      <c r="AP327" s="746"/>
      <c r="AQ327" s="699"/>
      <c r="AR327" s="699"/>
      <c r="AS327" s="699"/>
      <c r="AT327" s="699"/>
      <c r="AU327" s="699"/>
      <c r="AV327" s="481"/>
      <c r="AX327" s="481"/>
    </row>
    <row r="328" spans="1:50" s="454" customFormat="1" ht="34.5" x14ac:dyDescent="0.25">
      <c r="A328" s="482" t="s">
        <v>919</v>
      </c>
      <c r="B328" s="568" t="s">
        <v>2593</v>
      </c>
      <c r="C328" s="2722" t="s">
        <v>2594</v>
      </c>
      <c r="D328" s="2722"/>
      <c r="E328" s="2722"/>
      <c r="F328" s="483" t="s">
        <v>2588</v>
      </c>
      <c r="G328" s="484">
        <v>4.5640000000000001</v>
      </c>
      <c r="H328" s="485">
        <v>1</v>
      </c>
      <c r="I328" s="731">
        <v>4.5640000000000001</v>
      </c>
      <c r="J328" s="487"/>
      <c r="K328" s="484"/>
      <c r="L328" s="487"/>
      <c r="M328" s="484"/>
      <c r="N328" s="488"/>
      <c r="AF328" s="716"/>
      <c r="AG328" s="481"/>
      <c r="AI328" s="481" t="s">
        <v>2594</v>
      </c>
      <c r="AN328" s="481"/>
      <c r="AO328" s="746"/>
      <c r="AP328" s="746"/>
      <c r="AQ328" s="699"/>
      <c r="AR328" s="699"/>
      <c r="AS328" s="699"/>
      <c r="AT328" s="699"/>
      <c r="AU328" s="699"/>
      <c r="AV328" s="481"/>
      <c r="AX328" s="481"/>
    </row>
    <row r="329" spans="1:50" s="454" customFormat="1" ht="33.75" x14ac:dyDescent="0.25">
      <c r="A329" s="489"/>
      <c r="B329" s="490" t="s">
        <v>1655</v>
      </c>
      <c r="C329" s="2709" t="s">
        <v>1656</v>
      </c>
      <c r="D329" s="2709"/>
      <c r="E329" s="2709"/>
      <c r="F329" s="2709"/>
      <c r="G329" s="2709"/>
      <c r="H329" s="2709"/>
      <c r="I329" s="2709"/>
      <c r="J329" s="2709"/>
      <c r="K329" s="2709"/>
      <c r="L329" s="2709"/>
      <c r="M329" s="2709"/>
      <c r="N329" s="2710"/>
      <c r="AF329" s="716"/>
      <c r="AG329" s="481"/>
      <c r="AI329" s="481"/>
      <c r="AJ329" s="491" t="s">
        <v>1656</v>
      </c>
      <c r="AN329" s="481"/>
      <c r="AO329" s="746"/>
      <c r="AP329" s="746"/>
      <c r="AQ329" s="699"/>
      <c r="AR329" s="699"/>
      <c r="AS329" s="699"/>
      <c r="AT329" s="699"/>
      <c r="AU329" s="699"/>
      <c r="AV329" s="481"/>
      <c r="AX329" s="481"/>
    </row>
    <row r="330" spans="1:50" s="454" customFormat="1" ht="15" x14ac:dyDescent="0.25">
      <c r="A330" s="718"/>
      <c r="B330" s="490" t="s">
        <v>190</v>
      </c>
      <c r="C330" s="2669" t="s">
        <v>2523</v>
      </c>
      <c r="D330" s="2669"/>
      <c r="E330" s="2669"/>
      <c r="F330" s="719"/>
      <c r="G330" s="564"/>
      <c r="H330" s="564"/>
      <c r="I330" s="564"/>
      <c r="J330" s="505">
        <v>16197.77</v>
      </c>
      <c r="K330" s="511">
        <v>1.5</v>
      </c>
      <c r="L330" s="505">
        <v>110889.93</v>
      </c>
      <c r="M330" s="506">
        <v>27.32</v>
      </c>
      <c r="N330" s="720">
        <v>3029512.89</v>
      </c>
      <c r="AF330" s="716"/>
      <c r="AG330" s="481"/>
      <c r="AI330" s="481"/>
      <c r="AK330" s="491" t="s">
        <v>2523</v>
      </c>
      <c r="AN330" s="481"/>
      <c r="AO330" s="746"/>
      <c r="AP330" s="746"/>
      <c r="AQ330" s="699"/>
      <c r="AR330" s="699"/>
      <c r="AS330" s="699"/>
      <c r="AT330" s="699"/>
      <c r="AU330" s="699"/>
      <c r="AV330" s="481"/>
      <c r="AX330" s="481"/>
    </row>
    <row r="331" spans="1:50" s="454" customFormat="1" ht="15" x14ac:dyDescent="0.25">
      <c r="A331" s="718"/>
      <c r="B331" s="490" t="s">
        <v>639</v>
      </c>
      <c r="C331" s="2669" t="s">
        <v>697</v>
      </c>
      <c r="D331" s="2669"/>
      <c r="E331" s="2669"/>
      <c r="F331" s="719"/>
      <c r="G331" s="564"/>
      <c r="H331" s="564"/>
      <c r="I331" s="564"/>
      <c r="J331" s="505">
        <v>195284.87</v>
      </c>
      <c r="K331" s="511">
        <v>1.5</v>
      </c>
      <c r="L331" s="505">
        <v>1336920.22</v>
      </c>
      <c r="M331" s="506">
        <v>10.92</v>
      </c>
      <c r="N331" s="720">
        <v>14599168.800000001</v>
      </c>
      <c r="AF331" s="716"/>
      <c r="AG331" s="481"/>
      <c r="AI331" s="481"/>
      <c r="AK331" s="491" t="s">
        <v>697</v>
      </c>
      <c r="AN331" s="481"/>
      <c r="AO331" s="746"/>
      <c r="AP331" s="746"/>
      <c r="AQ331" s="699"/>
      <c r="AR331" s="699"/>
      <c r="AS331" s="699"/>
      <c r="AT331" s="699"/>
      <c r="AU331" s="699"/>
      <c r="AV331" s="481"/>
      <c r="AX331" s="481"/>
    </row>
    <row r="332" spans="1:50" s="454" customFormat="1" ht="15" x14ac:dyDescent="0.25">
      <c r="A332" s="718"/>
      <c r="B332" s="490" t="s">
        <v>640</v>
      </c>
      <c r="C332" s="2669" t="s">
        <v>2500</v>
      </c>
      <c r="D332" s="2669"/>
      <c r="E332" s="2669"/>
      <c r="F332" s="719"/>
      <c r="G332" s="564"/>
      <c r="H332" s="564"/>
      <c r="I332" s="564"/>
      <c r="J332" s="505">
        <v>8277.1200000000008</v>
      </c>
      <c r="K332" s="511">
        <v>1.5</v>
      </c>
      <c r="L332" s="505">
        <v>56665.16</v>
      </c>
      <c r="M332" s="506">
        <v>27.32</v>
      </c>
      <c r="N332" s="720">
        <v>1548092.17</v>
      </c>
      <c r="AF332" s="716"/>
      <c r="AG332" s="481"/>
      <c r="AI332" s="481"/>
      <c r="AK332" s="491" t="s">
        <v>2500</v>
      </c>
      <c r="AN332" s="481"/>
      <c r="AO332" s="746"/>
      <c r="AP332" s="746"/>
      <c r="AQ332" s="699"/>
      <c r="AR332" s="699"/>
      <c r="AS332" s="699"/>
      <c r="AT332" s="699"/>
      <c r="AU332" s="699"/>
      <c r="AV332" s="481"/>
      <c r="AX332" s="481"/>
    </row>
    <row r="333" spans="1:50" s="454" customFormat="1" ht="15" x14ac:dyDescent="0.25">
      <c r="A333" s="718"/>
      <c r="B333" s="490" t="s">
        <v>232</v>
      </c>
      <c r="C333" s="2669" t="s">
        <v>829</v>
      </c>
      <c r="D333" s="2669"/>
      <c r="E333" s="2669"/>
      <c r="F333" s="719"/>
      <c r="G333" s="564"/>
      <c r="H333" s="564"/>
      <c r="I333" s="564"/>
      <c r="J333" s="505">
        <v>1719.67</v>
      </c>
      <c r="K333" s="564"/>
      <c r="L333" s="505">
        <v>7848.57</v>
      </c>
      <c r="M333" s="506">
        <v>7.72</v>
      </c>
      <c r="N333" s="720">
        <v>60590.96</v>
      </c>
      <c r="AF333" s="716"/>
      <c r="AG333" s="481"/>
      <c r="AI333" s="481"/>
      <c r="AK333" s="491" t="s">
        <v>829</v>
      </c>
      <c r="AN333" s="481"/>
      <c r="AO333" s="746"/>
      <c r="AP333" s="746"/>
      <c r="AQ333" s="699"/>
      <c r="AR333" s="699"/>
      <c r="AS333" s="699"/>
      <c r="AT333" s="699"/>
      <c r="AU333" s="699"/>
      <c r="AV333" s="481"/>
      <c r="AX333" s="481"/>
    </row>
    <row r="334" spans="1:50" s="454" customFormat="1" ht="15" x14ac:dyDescent="0.25">
      <c r="A334" s="721"/>
      <c r="B334" s="490"/>
      <c r="C334" s="2669" t="s">
        <v>2524</v>
      </c>
      <c r="D334" s="2669"/>
      <c r="E334" s="2669"/>
      <c r="F334" s="719" t="s">
        <v>807</v>
      </c>
      <c r="G334" s="506">
        <v>1683.76</v>
      </c>
      <c r="H334" s="511">
        <v>1.5</v>
      </c>
      <c r="I334" s="735">
        <v>11527.02096</v>
      </c>
      <c r="J334" s="501"/>
      <c r="K334" s="564"/>
      <c r="L334" s="501"/>
      <c r="M334" s="564"/>
      <c r="N334" s="723"/>
      <c r="AF334" s="716"/>
      <c r="AG334" s="481"/>
      <c r="AI334" s="481"/>
      <c r="AL334" s="491" t="s">
        <v>2524</v>
      </c>
      <c r="AN334" s="481"/>
      <c r="AO334" s="746"/>
      <c r="AP334" s="746"/>
      <c r="AQ334" s="699"/>
      <c r="AR334" s="699"/>
      <c r="AS334" s="699"/>
      <c r="AT334" s="699"/>
      <c r="AU334" s="699"/>
      <c r="AV334" s="481"/>
      <c r="AX334" s="481"/>
    </row>
    <row r="335" spans="1:50" s="454" customFormat="1" ht="15" x14ac:dyDescent="0.25">
      <c r="A335" s="721"/>
      <c r="B335" s="490"/>
      <c r="C335" s="2669" t="s">
        <v>2501</v>
      </c>
      <c r="D335" s="2669"/>
      <c r="E335" s="2669"/>
      <c r="F335" s="719" t="s">
        <v>807</v>
      </c>
      <c r="G335" s="506">
        <v>625.36</v>
      </c>
      <c r="H335" s="511">
        <v>1.5</v>
      </c>
      <c r="I335" s="735">
        <v>4281.2145600000003</v>
      </c>
      <c r="J335" s="501"/>
      <c r="K335" s="564"/>
      <c r="L335" s="501"/>
      <c r="M335" s="564"/>
      <c r="N335" s="723"/>
      <c r="AF335" s="716"/>
      <c r="AG335" s="481"/>
      <c r="AI335" s="481"/>
      <c r="AL335" s="491" t="s">
        <v>2501</v>
      </c>
      <c r="AN335" s="481"/>
      <c r="AO335" s="746"/>
      <c r="AP335" s="746"/>
      <c r="AQ335" s="699"/>
      <c r="AR335" s="699"/>
      <c r="AS335" s="699"/>
      <c r="AT335" s="699"/>
      <c r="AU335" s="699"/>
      <c r="AV335" s="481"/>
      <c r="AX335" s="481"/>
    </row>
    <row r="336" spans="1:50" s="454" customFormat="1" ht="15" x14ac:dyDescent="0.25">
      <c r="A336" s="718"/>
      <c r="B336" s="490"/>
      <c r="C336" s="2711" t="s">
        <v>2502</v>
      </c>
      <c r="D336" s="2711"/>
      <c r="E336" s="2711"/>
      <c r="F336" s="724"/>
      <c r="G336" s="563"/>
      <c r="H336" s="563"/>
      <c r="I336" s="563"/>
      <c r="J336" s="725">
        <v>213202.31</v>
      </c>
      <c r="K336" s="563"/>
      <c r="L336" s="725">
        <v>1455658.72</v>
      </c>
      <c r="M336" s="563"/>
      <c r="N336" s="726">
        <v>17689272.649999999</v>
      </c>
      <c r="AF336" s="716"/>
      <c r="AG336" s="481"/>
      <c r="AI336" s="481"/>
      <c r="AM336" s="491" t="s">
        <v>2502</v>
      </c>
      <c r="AN336" s="481"/>
      <c r="AO336" s="746"/>
      <c r="AP336" s="746"/>
      <c r="AQ336" s="699"/>
      <c r="AR336" s="699"/>
      <c r="AS336" s="699"/>
      <c r="AT336" s="699"/>
      <c r="AU336" s="699"/>
      <c r="AV336" s="481"/>
      <c r="AX336" s="481"/>
    </row>
    <row r="337" spans="1:51" s="454" customFormat="1" ht="15" x14ac:dyDescent="0.25">
      <c r="A337" s="721"/>
      <c r="B337" s="490"/>
      <c r="C337" s="2669" t="s">
        <v>867</v>
      </c>
      <c r="D337" s="2669"/>
      <c r="E337" s="2669"/>
      <c r="F337" s="719"/>
      <c r="G337" s="564"/>
      <c r="H337" s="564"/>
      <c r="I337" s="564"/>
      <c r="J337" s="501"/>
      <c r="K337" s="564"/>
      <c r="L337" s="505">
        <v>167555.09</v>
      </c>
      <c r="M337" s="564"/>
      <c r="N337" s="720">
        <v>4577605.0599999996</v>
      </c>
      <c r="AF337" s="716"/>
      <c r="AG337" s="481"/>
      <c r="AI337" s="481"/>
      <c r="AL337" s="491" t="s">
        <v>867</v>
      </c>
      <c r="AN337" s="481"/>
      <c r="AO337" s="746"/>
      <c r="AP337" s="746"/>
      <c r="AQ337" s="699"/>
      <c r="AR337" s="699"/>
      <c r="AS337" s="699"/>
      <c r="AT337" s="699"/>
      <c r="AU337" s="699"/>
      <c r="AV337" s="481"/>
      <c r="AX337" s="481"/>
    </row>
    <row r="338" spans="1:51" s="454" customFormat="1" ht="15" x14ac:dyDescent="0.25">
      <c r="A338" s="721"/>
      <c r="B338" s="490" t="s">
        <v>2589</v>
      </c>
      <c r="C338" s="2669" t="s">
        <v>2590</v>
      </c>
      <c r="D338" s="2669"/>
      <c r="E338" s="2669"/>
      <c r="F338" s="719" t="s">
        <v>636</v>
      </c>
      <c r="G338" s="727">
        <v>106</v>
      </c>
      <c r="H338" s="564"/>
      <c r="I338" s="727">
        <v>106</v>
      </c>
      <c r="J338" s="501"/>
      <c r="K338" s="564"/>
      <c r="L338" s="505">
        <v>177608.4</v>
      </c>
      <c r="M338" s="564"/>
      <c r="N338" s="720">
        <v>4852261.3600000003</v>
      </c>
      <c r="AF338" s="716"/>
      <c r="AG338" s="481"/>
      <c r="AI338" s="481"/>
      <c r="AL338" s="491" t="s">
        <v>2590</v>
      </c>
      <c r="AN338" s="481"/>
      <c r="AO338" s="746"/>
      <c r="AP338" s="746"/>
      <c r="AQ338" s="699"/>
      <c r="AR338" s="699"/>
      <c r="AS338" s="699"/>
      <c r="AT338" s="699"/>
      <c r="AU338" s="699"/>
      <c r="AV338" s="481"/>
      <c r="AX338" s="481"/>
    </row>
    <row r="339" spans="1:51" s="454" customFormat="1" ht="15" x14ac:dyDescent="0.25">
      <c r="A339" s="721"/>
      <c r="B339" s="490" t="s">
        <v>2591</v>
      </c>
      <c r="C339" s="2669" t="s">
        <v>2592</v>
      </c>
      <c r="D339" s="2669"/>
      <c r="E339" s="2669"/>
      <c r="F339" s="719" t="s">
        <v>636</v>
      </c>
      <c r="G339" s="727">
        <v>45</v>
      </c>
      <c r="H339" s="564"/>
      <c r="I339" s="727">
        <v>45</v>
      </c>
      <c r="J339" s="501"/>
      <c r="K339" s="564"/>
      <c r="L339" s="505">
        <v>75399.789999999994</v>
      </c>
      <c r="M339" s="564"/>
      <c r="N339" s="720">
        <v>2059922.28</v>
      </c>
      <c r="AF339" s="716"/>
      <c r="AG339" s="481"/>
      <c r="AI339" s="481"/>
      <c r="AL339" s="491" t="s">
        <v>2592</v>
      </c>
      <c r="AN339" s="481"/>
      <c r="AO339" s="746"/>
      <c r="AP339" s="746"/>
      <c r="AQ339" s="699"/>
      <c r="AR339" s="699"/>
      <c r="AS339" s="699"/>
      <c r="AT339" s="699"/>
      <c r="AU339" s="699"/>
      <c r="AV339" s="481"/>
      <c r="AX339" s="481"/>
    </row>
    <row r="340" spans="1:51" s="454" customFormat="1" ht="15" x14ac:dyDescent="0.25">
      <c r="A340" s="526"/>
      <c r="B340" s="567"/>
      <c r="C340" s="2722" t="s">
        <v>872</v>
      </c>
      <c r="D340" s="2722"/>
      <c r="E340" s="2722"/>
      <c r="F340" s="483"/>
      <c r="G340" s="484"/>
      <c r="H340" s="484"/>
      <c r="I340" s="484"/>
      <c r="J340" s="487"/>
      <c r="K340" s="484"/>
      <c r="L340" s="524">
        <v>1708666.91</v>
      </c>
      <c r="M340" s="563"/>
      <c r="N340" s="525">
        <v>24601456.289999999</v>
      </c>
      <c r="AF340" s="716"/>
      <c r="AG340" s="481"/>
      <c r="AI340" s="481"/>
      <c r="AN340" s="481" t="s">
        <v>872</v>
      </c>
      <c r="AO340" s="746"/>
      <c r="AP340" s="746"/>
      <c r="AQ340" s="699"/>
      <c r="AR340" s="699"/>
      <c r="AS340" s="699"/>
      <c r="AT340" s="699"/>
      <c r="AU340" s="699"/>
      <c r="AV340" s="481"/>
      <c r="AX340" s="481"/>
    </row>
    <row r="341" spans="1:51" s="454" customFormat="1" ht="34.5" x14ac:dyDescent="0.25">
      <c r="A341" s="482" t="s">
        <v>920</v>
      </c>
      <c r="B341" s="568" t="s">
        <v>2595</v>
      </c>
      <c r="C341" s="2722" t="s">
        <v>2596</v>
      </c>
      <c r="D341" s="2722"/>
      <c r="E341" s="2722"/>
      <c r="F341" s="483" t="s">
        <v>269</v>
      </c>
      <c r="G341" s="484">
        <v>308</v>
      </c>
      <c r="H341" s="485">
        <v>1</v>
      </c>
      <c r="I341" s="485">
        <v>308</v>
      </c>
      <c r="J341" s="527">
        <v>197.11</v>
      </c>
      <c r="K341" s="484"/>
      <c r="L341" s="524">
        <v>60709.88</v>
      </c>
      <c r="M341" s="732">
        <v>7.72</v>
      </c>
      <c r="N341" s="525">
        <v>468680.27</v>
      </c>
      <c r="AF341" s="716"/>
      <c r="AG341" s="481"/>
      <c r="AI341" s="481" t="s">
        <v>2596</v>
      </c>
      <c r="AN341" s="481"/>
      <c r="AO341" s="746"/>
      <c r="AP341" s="746"/>
      <c r="AQ341" s="699"/>
      <c r="AR341" s="699"/>
      <c r="AS341" s="699"/>
      <c r="AT341" s="699"/>
      <c r="AU341" s="699"/>
      <c r="AV341" s="481"/>
      <c r="AX341" s="481"/>
    </row>
    <row r="342" spans="1:51" s="454" customFormat="1" ht="15" x14ac:dyDescent="0.25">
      <c r="A342" s="526"/>
      <c r="B342" s="567"/>
      <c r="C342" s="2722" t="s">
        <v>872</v>
      </c>
      <c r="D342" s="2722"/>
      <c r="E342" s="2722"/>
      <c r="F342" s="483"/>
      <c r="G342" s="484"/>
      <c r="H342" s="484"/>
      <c r="I342" s="484"/>
      <c r="J342" s="487"/>
      <c r="K342" s="484"/>
      <c r="L342" s="524">
        <v>60709.88</v>
      </c>
      <c r="M342" s="563"/>
      <c r="N342" s="525">
        <v>468680.27</v>
      </c>
      <c r="AF342" s="716"/>
      <c r="AG342" s="481"/>
      <c r="AI342" s="481"/>
      <c r="AN342" s="481" t="s">
        <v>872</v>
      </c>
      <c r="AO342" s="746"/>
      <c r="AP342" s="746"/>
      <c r="AQ342" s="699"/>
      <c r="AR342" s="699"/>
      <c r="AS342" s="699"/>
      <c r="AT342" s="699"/>
      <c r="AU342" s="699"/>
      <c r="AV342" s="481"/>
      <c r="AX342" s="481"/>
    </row>
    <row r="343" spans="1:51" s="454" customFormat="1" ht="23.25" x14ac:dyDescent="0.25">
      <c r="A343" s="482" t="s">
        <v>1048</v>
      </c>
      <c r="B343" s="568" t="s">
        <v>2597</v>
      </c>
      <c r="C343" s="2722" t="s">
        <v>2598</v>
      </c>
      <c r="D343" s="2722"/>
      <c r="E343" s="2722"/>
      <c r="F343" s="483" t="s">
        <v>269</v>
      </c>
      <c r="G343" s="484">
        <v>28</v>
      </c>
      <c r="H343" s="485">
        <v>1</v>
      </c>
      <c r="I343" s="485">
        <v>28</v>
      </c>
      <c r="J343" s="524">
        <v>6325</v>
      </c>
      <c r="K343" s="484"/>
      <c r="L343" s="524">
        <v>177100</v>
      </c>
      <c r="M343" s="732">
        <v>7.72</v>
      </c>
      <c r="N343" s="525">
        <v>1367212</v>
      </c>
      <c r="AF343" s="716"/>
      <c r="AG343" s="481"/>
      <c r="AI343" s="481" t="s">
        <v>2598</v>
      </c>
      <c r="AN343" s="481"/>
      <c r="AO343" s="746"/>
      <c r="AP343" s="746"/>
      <c r="AQ343" s="699"/>
      <c r="AR343" s="699"/>
      <c r="AS343" s="699"/>
      <c r="AT343" s="699"/>
      <c r="AU343" s="699"/>
      <c r="AV343" s="481"/>
      <c r="AX343" s="481"/>
    </row>
    <row r="344" spans="1:51" s="454" customFormat="1" ht="15" x14ac:dyDescent="0.25">
      <c r="A344" s="526"/>
      <c r="B344" s="567"/>
      <c r="C344" s="2722" t="s">
        <v>872</v>
      </c>
      <c r="D344" s="2722"/>
      <c r="E344" s="2722"/>
      <c r="F344" s="483"/>
      <c r="G344" s="484"/>
      <c r="H344" s="484"/>
      <c r="I344" s="484"/>
      <c r="J344" s="487"/>
      <c r="K344" s="484"/>
      <c r="L344" s="524">
        <v>177100</v>
      </c>
      <c r="M344" s="563"/>
      <c r="N344" s="525">
        <v>1367212</v>
      </c>
      <c r="AF344" s="716"/>
      <c r="AG344" s="481"/>
      <c r="AI344" s="481"/>
      <c r="AN344" s="481" t="s">
        <v>872</v>
      </c>
      <c r="AO344" s="746"/>
      <c r="AP344" s="746"/>
      <c r="AQ344" s="699"/>
      <c r="AR344" s="699"/>
      <c r="AS344" s="699"/>
      <c r="AT344" s="699"/>
      <c r="AU344" s="699"/>
      <c r="AV344" s="481"/>
      <c r="AX344" s="481"/>
    </row>
    <row r="345" spans="1:51" s="454" customFormat="1" ht="23.25" x14ac:dyDescent="0.25">
      <c r="A345" s="482" t="s">
        <v>1053</v>
      </c>
      <c r="B345" s="568" t="s">
        <v>2599</v>
      </c>
      <c r="C345" s="2722" t="s">
        <v>2600</v>
      </c>
      <c r="D345" s="2722"/>
      <c r="E345" s="2722"/>
      <c r="F345" s="483" t="s">
        <v>269</v>
      </c>
      <c r="G345" s="484">
        <v>56</v>
      </c>
      <c r="H345" s="485">
        <v>1</v>
      </c>
      <c r="I345" s="485">
        <v>56</v>
      </c>
      <c r="J345" s="524">
        <v>20095.580000000002</v>
      </c>
      <c r="K345" s="484"/>
      <c r="L345" s="524">
        <v>145771.04999999999</v>
      </c>
      <c r="M345" s="732">
        <v>7.72</v>
      </c>
      <c r="N345" s="525">
        <v>1125352.48</v>
      </c>
      <c r="AF345" s="716"/>
      <c r="AG345" s="481"/>
      <c r="AI345" s="481" t="s">
        <v>2600</v>
      </c>
      <c r="AN345" s="481"/>
      <c r="AO345" s="746"/>
      <c r="AP345" s="746"/>
      <c r="AQ345" s="699"/>
      <c r="AR345" s="699"/>
      <c r="AS345" s="699"/>
      <c r="AT345" s="699"/>
      <c r="AU345" s="699"/>
      <c r="AV345" s="481"/>
      <c r="AX345" s="481"/>
    </row>
    <row r="346" spans="1:51" s="454" customFormat="1" ht="15" x14ac:dyDescent="0.25">
      <c r="A346" s="542"/>
      <c r="B346" s="566"/>
      <c r="C346" s="2669" t="s">
        <v>2601</v>
      </c>
      <c r="D346" s="2669"/>
      <c r="E346" s="2669"/>
      <c r="F346" s="2669"/>
      <c r="G346" s="2669"/>
      <c r="H346" s="2669"/>
      <c r="I346" s="2669"/>
      <c r="J346" s="2669"/>
      <c r="K346" s="2669"/>
      <c r="L346" s="2669"/>
      <c r="M346" s="2669"/>
      <c r="N346" s="2730"/>
      <c r="AF346" s="716"/>
      <c r="AG346" s="481"/>
      <c r="AI346" s="481"/>
      <c r="AN346" s="481"/>
      <c r="AO346" s="746"/>
      <c r="AP346" s="746"/>
      <c r="AQ346" s="699"/>
      <c r="AR346" s="699"/>
      <c r="AS346" s="699"/>
      <c r="AT346" s="699"/>
      <c r="AU346" s="699"/>
      <c r="AV346" s="481"/>
      <c r="AX346" s="481"/>
      <c r="AY346" s="491" t="s">
        <v>2601</v>
      </c>
    </row>
    <row r="347" spans="1:51" s="454" customFormat="1" ht="15" x14ac:dyDescent="0.25">
      <c r="A347" s="526"/>
      <c r="B347" s="567"/>
      <c r="C347" s="2722" t="s">
        <v>872</v>
      </c>
      <c r="D347" s="2722"/>
      <c r="E347" s="2722"/>
      <c r="F347" s="483"/>
      <c r="G347" s="484"/>
      <c r="H347" s="484"/>
      <c r="I347" s="484"/>
      <c r="J347" s="487"/>
      <c r="K347" s="484"/>
      <c r="L347" s="524">
        <v>145771.04999999999</v>
      </c>
      <c r="M347" s="563"/>
      <c r="N347" s="525">
        <v>1125352.48</v>
      </c>
      <c r="AF347" s="716"/>
      <c r="AG347" s="481"/>
      <c r="AI347" s="481"/>
      <c r="AN347" s="481" t="s">
        <v>872</v>
      </c>
      <c r="AO347" s="746"/>
      <c r="AP347" s="746"/>
      <c r="AQ347" s="699"/>
      <c r="AR347" s="699"/>
      <c r="AS347" s="699"/>
      <c r="AT347" s="699"/>
      <c r="AU347" s="699"/>
      <c r="AV347" s="481"/>
      <c r="AX347" s="481"/>
    </row>
    <row r="348" spans="1:51" s="454" customFormat="1" ht="23.25" x14ac:dyDescent="0.25">
      <c r="A348" s="482" t="s">
        <v>1058</v>
      </c>
      <c r="B348" s="568" t="s">
        <v>2599</v>
      </c>
      <c r="C348" s="2722" t="s">
        <v>2602</v>
      </c>
      <c r="D348" s="2722"/>
      <c r="E348" s="2722"/>
      <c r="F348" s="483" t="s">
        <v>269</v>
      </c>
      <c r="G348" s="484">
        <v>280</v>
      </c>
      <c r="H348" s="485">
        <v>1</v>
      </c>
      <c r="I348" s="485">
        <v>280</v>
      </c>
      <c r="J348" s="524">
        <v>13995.72</v>
      </c>
      <c r="K348" s="484"/>
      <c r="L348" s="524">
        <v>507616.79</v>
      </c>
      <c r="M348" s="732">
        <v>7.72</v>
      </c>
      <c r="N348" s="525">
        <v>3918801.6</v>
      </c>
      <c r="AF348" s="716"/>
      <c r="AG348" s="481"/>
      <c r="AI348" s="481" t="s">
        <v>2602</v>
      </c>
      <c r="AN348" s="481"/>
      <c r="AO348" s="746"/>
      <c r="AP348" s="746"/>
      <c r="AQ348" s="699"/>
      <c r="AR348" s="699"/>
      <c r="AS348" s="699"/>
      <c r="AT348" s="699"/>
      <c r="AU348" s="699"/>
      <c r="AV348" s="481"/>
      <c r="AX348" s="481"/>
    </row>
    <row r="349" spans="1:51" s="454" customFormat="1" ht="15" x14ac:dyDescent="0.25">
      <c r="A349" s="542"/>
      <c r="B349" s="566"/>
      <c r="C349" s="2669" t="s">
        <v>2603</v>
      </c>
      <c r="D349" s="2669"/>
      <c r="E349" s="2669"/>
      <c r="F349" s="2669"/>
      <c r="G349" s="2669"/>
      <c r="H349" s="2669"/>
      <c r="I349" s="2669"/>
      <c r="J349" s="2669"/>
      <c r="K349" s="2669"/>
      <c r="L349" s="2669"/>
      <c r="M349" s="2669"/>
      <c r="N349" s="2730"/>
      <c r="AF349" s="716"/>
      <c r="AG349" s="481"/>
      <c r="AI349" s="481"/>
      <c r="AN349" s="481"/>
      <c r="AO349" s="746"/>
      <c r="AP349" s="746"/>
      <c r="AQ349" s="699"/>
      <c r="AR349" s="699"/>
      <c r="AS349" s="699"/>
      <c r="AT349" s="699"/>
      <c r="AU349" s="699"/>
      <c r="AV349" s="481"/>
      <c r="AX349" s="481"/>
      <c r="AY349" s="491" t="s">
        <v>2603</v>
      </c>
    </row>
    <row r="350" spans="1:51" s="454" customFormat="1" ht="15" x14ac:dyDescent="0.25">
      <c r="A350" s="526"/>
      <c r="B350" s="567"/>
      <c r="C350" s="2722" t="s">
        <v>872</v>
      </c>
      <c r="D350" s="2722"/>
      <c r="E350" s="2722"/>
      <c r="F350" s="483"/>
      <c r="G350" s="484"/>
      <c r="H350" s="484"/>
      <c r="I350" s="484"/>
      <c r="J350" s="487"/>
      <c r="K350" s="484"/>
      <c r="L350" s="524">
        <v>507616.79</v>
      </c>
      <c r="M350" s="563"/>
      <c r="N350" s="525">
        <v>3918801.6</v>
      </c>
      <c r="AF350" s="716"/>
      <c r="AG350" s="481"/>
      <c r="AI350" s="481"/>
      <c r="AN350" s="481" t="s">
        <v>872</v>
      </c>
      <c r="AO350" s="746"/>
      <c r="AP350" s="746"/>
      <c r="AQ350" s="699"/>
      <c r="AR350" s="699"/>
      <c r="AS350" s="699"/>
      <c r="AT350" s="699"/>
      <c r="AU350" s="699"/>
      <c r="AV350" s="481"/>
      <c r="AX350" s="481"/>
    </row>
    <row r="351" spans="1:51" s="454" customFormat="1" ht="22.5" x14ac:dyDescent="0.25">
      <c r="A351" s="482" t="s">
        <v>1063</v>
      </c>
      <c r="B351" s="568" t="s">
        <v>2599</v>
      </c>
      <c r="C351" s="2722" t="s">
        <v>2604</v>
      </c>
      <c r="D351" s="2722"/>
      <c r="E351" s="2722"/>
      <c r="F351" s="483" t="s">
        <v>269</v>
      </c>
      <c r="G351" s="484">
        <v>140</v>
      </c>
      <c r="H351" s="485">
        <v>1</v>
      </c>
      <c r="I351" s="485">
        <v>140</v>
      </c>
      <c r="J351" s="524">
        <v>1276.2</v>
      </c>
      <c r="K351" s="484"/>
      <c r="L351" s="524">
        <v>23143.52</v>
      </c>
      <c r="M351" s="732">
        <v>7.72</v>
      </c>
      <c r="N351" s="525">
        <v>178668</v>
      </c>
      <c r="AF351" s="716"/>
      <c r="AG351" s="481"/>
      <c r="AI351" s="481" t="s">
        <v>2604</v>
      </c>
      <c r="AN351" s="481"/>
      <c r="AO351" s="746"/>
      <c r="AP351" s="746"/>
      <c r="AQ351" s="699"/>
      <c r="AR351" s="699"/>
      <c r="AS351" s="699"/>
      <c r="AT351" s="699"/>
      <c r="AU351" s="699"/>
      <c r="AV351" s="481"/>
      <c r="AX351" s="481"/>
    </row>
    <row r="352" spans="1:51" s="454" customFormat="1" ht="15" x14ac:dyDescent="0.25">
      <c r="A352" s="542"/>
      <c r="B352" s="566"/>
      <c r="C352" s="2669" t="s">
        <v>2605</v>
      </c>
      <c r="D352" s="2669"/>
      <c r="E352" s="2669"/>
      <c r="F352" s="2669"/>
      <c r="G352" s="2669"/>
      <c r="H352" s="2669"/>
      <c r="I352" s="2669"/>
      <c r="J352" s="2669"/>
      <c r="K352" s="2669"/>
      <c r="L352" s="2669"/>
      <c r="M352" s="2669"/>
      <c r="N352" s="2730"/>
      <c r="AF352" s="716"/>
      <c r="AG352" s="481"/>
      <c r="AI352" s="481"/>
      <c r="AN352" s="481"/>
      <c r="AO352" s="746"/>
      <c r="AP352" s="746"/>
      <c r="AQ352" s="699"/>
      <c r="AR352" s="699"/>
      <c r="AS352" s="699"/>
      <c r="AT352" s="699"/>
      <c r="AU352" s="699"/>
      <c r="AV352" s="481"/>
      <c r="AX352" s="481"/>
      <c r="AY352" s="491" t="s">
        <v>2605</v>
      </c>
    </row>
    <row r="353" spans="1:51" s="454" customFormat="1" ht="15" x14ac:dyDescent="0.25">
      <c r="A353" s="526"/>
      <c r="B353" s="567"/>
      <c r="C353" s="2722" t="s">
        <v>872</v>
      </c>
      <c r="D353" s="2722"/>
      <c r="E353" s="2722"/>
      <c r="F353" s="483"/>
      <c r="G353" s="484"/>
      <c r="H353" s="484"/>
      <c r="I353" s="484"/>
      <c r="J353" s="487"/>
      <c r="K353" s="484"/>
      <c r="L353" s="524">
        <v>23143.52</v>
      </c>
      <c r="M353" s="563"/>
      <c r="N353" s="525">
        <v>178668</v>
      </c>
      <c r="AF353" s="716"/>
      <c r="AG353" s="481"/>
      <c r="AI353" s="481"/>
      <c r="AN353" s="481" t="s">
        <v>872</v>
      </c>
      <c r="AO353" s="746"/>
      <c r="AP353" s="746"/>
      <c r="AQ353" s="699"/>
      <c r="AR353" s="699"/>
      <c r="AS353" s="699"/>
      <c r="AT353" s="699"/>
      <c r="AU353" s="699"/>
      <c r="AV353" s="481"/>
      <c r="AX353" s="481"/>
    </row>
    <row r="354" spans="1:51" s="454" customFormat="1" ht="22.5" x14ac:dyDescent="0.25">
      <c r="A354" s="482" t="s">
        <v>1068</v>
      </c>
      <c r="B354" s="568" t="s">
        <v>2599</v>
      </c>
      <c r="C354" s="2722" t="s">
        <v>2606</v>
      </c>
      <c r="D354" s="2722"/>
      <c r="E354" s="2722"/>
      <c r="F354" s="483" t="s">
        <v>269</v>
      </c>
      <c r="G354" s="484">
        <v>28</v>
      </c>
      <c r="H354" s="485">
        <v>1</v>
      </c>
      <c r="I354" s="485">
        <v>28</v>
      </c>
      <c r="J354" s="524">
        <v>2492.16</v>
      </c>
      <c r="K354" s="484"/>
      <c r="L354" s="524">
        <v>9038.92</v>
      </c>
      <c r="M354" s="732">
        <v>7.72</v>
      </c>
      <c r="N354" s="525">
        <v>69780.479999999996</v>
      </c>
      <c r="AF354" s="716"/>
      <c r="AG354" s="481"/>
      <c r="AI354" s="481" t="s">
        <v>2606</v>
      </c>
      <c r="AN354" s="481"/>
      <c r="AO354" s="746"/>
      <c r="AP354" s="746"/>
      <c r="AQ354" s="699"/>
      <c r="AR354" s="699"/>
      <c r="AS354" s="699"/>
      <c r="AT354" s="699"/>
      <c r="AU354" s="699"/>
      <c r="AV354" s="481"/>
      <c r="AX354" s="481"/>
    </row>
    <row r="355" spans="1:51" s="454" customFormat="1" ht="15" x14ac:dyDescent="0.25">
      <c r="A355" s="542"/>
      <c r="B355" s="566"/>
      <c r="C355" s="2669" t="s">
        <v>2607</v>
      </c>
      <c r="D355" s="2669"/>
      <c r="E355" s="2669"/>
      <c r="F355" s="2669"/>
      <c r="G355" s="2669"/>
      <c r="H355" s="2669"/>
      <c r="I355" s="2669"/>
      <c r="J355" s="2669"/>
      <c r="K355" s="2669"/>
      <c r="L355" s="2669"/>
      <c r="M355" s="2669"/>
      <c r="N355" s="2730"/>
      <c r="AF355" s="716"/>
      <c r="AG355" s="481"/>
      <c r="AI355" s="481"/>
      <c r="AN355" s="481"/>
      <c r="AO355" s="746"/>
      <c r="AP355" s="746"/>
      <c r="AQ355" s="699"/>
      <c r="AR355" s="699"/>
      <c r="AS355" s="699"/>
      <c r="AT355" s="699"/>
      <c r="AU355" s="699"/>
      <c r="AV355" s="481"/>
      <c r="AX355" s="481"/>
      <c r="AY355" s="491" t="s">
        <v>2607</v>
      </c>
    </row>
    <row r="356" spans="1:51" s="454" customFormat="1" ht="15" x14ac:dyDescent="0.25">
      <c r="A356" s="526"/>
      <c r="B356" s="567"/>
      <c r="C356" s="2722" t="s">
        <v>872</v>
      </c>
      <c r="D356" s="2722"/>
      <c r="E356" s="2722"/>
      <c r="F356" s="483"/>
      <c r="G356" s="484"/>
      <c r="H356" s="484"/>
      <c r="I356" s="484"/>
      <c r="J356" s="487"/>
      <c r="K356" s="484"/>
      <c r="L356" s="524">
        <v>9038.92</v>
      </c>
      <c r="M356" s="563"/>
      <c r="N356" s="525">
        <v>69780.479999999996</v>
      </c>
      <c r="AF356" s="716"/>
      <c r="AG356" s="481"/>
      <c r="AI356" s="481"/>
      <c r="AN356" s="481" t="s">
        <v>872</v>
      </c>
      <c r="AO356" s="746"/>
      <c r="AP356" s="746"/>
      <c r="AQ356" s="699"/>
      <c r="AR356" s="699"/>
      <c r="AS356" s="699"/>
      <c r="AT356" s="699"/>
      <c r="AU356" s="699"/>
      <c r="AV356" s="481"/>
      <c r="AX356" s="481"/>
    </row>
    <row r="357" spans="1:51" s="454" customFormat="1" ht="23.25" x14ac:dyDescent="0.25">
      <c r="A357" s="482" t="s">
        <v>1073</v>
      </c>
      <c r="B357" s="568" t="s">
        <v>2599</v>
      </c>
      <c r="C357" s="2722" t="s">
        <v>2608</v>
      </c>
      <c r="D357" s="2722"/>
      <c r="E357" s="2722"/>
      <c r="F357" s="483" t="s">
        <v>269</v>
      </c>
      <c r="G357" s="484">
        <v>28</v>
      </c>
      <c r="H357" s="485">
        <v>1</v>
      </c>
      <c r="I357" s="485">
        <v>28</v>
      </c>
      <c r="J357" s="524">
        <v>1836.41</v>
      </c>
      <c r="K357" s="484"/>
      <c r="L357" s="524">
        <v>6660.55</v>
      </c>
      <c r="M357" s="732">
        <v>7.72</v>
      </c>
      <c r="N357" s="525">
        <v>51419.48</v>
      </c>
      <c r="AF357" s="716"/>
      <c r="AG357" s="481"/>
      <c r="AI357" s="481" t="s">
        <v>2608</v>
      </c>
      <c r="AN357" s="481"/>
      <c r="AO357" s="746"/>
      <c r="AP357" s="746"/>
      <c r="AQ357" s="699"/>
      <c r="AR357" s="699"/>
      <c r="AS357" s="699"/>
      <c r="AT357" s="699"/>
      <c r="AU357" s="699"/>
      <c r="AV357" s="481"/>
      <c r="AX357" s="481"/>
    </row>
    <row r="358" spans="1:51" s="454" customFormat="1" ht="15" x14ac:dyDescent="0.25">
      <c r="A358" s="542"/>
      <c r="B358" s="566"/>
      <c r="C358" s="2669" t="s">
        <v>2609</v>
      </c>
      <c r="D358" s="2669"/>
      <c r="E358" s="2669"/>
      <c r="F358" s="2669"/>
      <c r="G358" s="2669"/>
      <c r="H358" s="2669"/>
      <c r="I358" s="2669"/>
      <c r="J358" s="2669"/>
      <c r="K358" s="2669"/>
      <c r="L358" s="2669"/>
      <c r="M358" s="2669"/>
      <c r="N358" s="2730"/>
      <c r="AF358" s="716"/>
      <c r="AG358" s="481"/>
      <c r="AI358" s="481"/>
      <c r="AN358" s="481"/>
      <c r="AO358" s="746"/>
      <c r="AP358" s="746"/>
      <c r="AQ358" s="699"/>
      <c r="AR358" s="699"/>
      <c r="AS358" s="699"/>
      <c r="AT358" s="699"/>
      <c r="AU358" s="699"/>
      <c r="AV358" s="481"/>
      <c r="AX358" s="481"/>
      <c r="AY358" s="491" t="s">
        <v>2609</v>
      </c>
    </row>
    <row r="359" spans="1:51" s="454" customFormat="1" ht="15" x14ac:dyDescent="0.25">
      <c r="A359" s="526"/>
      <c r="B359" s="567"/>
      <c r="C359" s="2722" t="s">
        <v>872</v>
      </c>
      <c r="D359" s="2722"/>
      <c r="E359" s="2722"/>
      <c r="F359" s="483"/>
      <c r="G359" s="484"/>
      <c r="H359" s="484"/>
      <c r="I359" s="484"/>
      <c r="J359" s="487"/>
      <c r="K359" s="484"/>
      <c r="L359" s="524">
        <v>6660.55</v>
      </c>
      <c r="M359" s="563"/>
      <c r="N359" s="525">
        <v>51419.48</v>
      </c>
      <c r="AF359" s="716"/>
      <c r="AG359" s="481"/>
      <c r="AI359" s="481"/>
      <c r="AN359" s="481" t="s">
        <v>872</v>
      </c>
      <c r="AO359" s="746"/>
      <c r="AP359" s="746"/>
      <c r="AQ359" s="699"/>
      <c r="AR359" s="699"/>
      <c r="AS359" s="699"/>
      <c r="AT359" s="699"/>
      <c r="AU359" s="699"/>
      <c r="AV359" s="481"/>
      <c r="AX359" s="481"/>
    </row>
    <row r="360" spans="1:51" s="454" customFormat="1" ht="15" x14ac:dyDescent="0.25">
      <c r="A360" s="2719" t="s">
        <v>2610</v>
      </c>
      <c r="B360" s="2720"/>
      <c r="C360" s="2720"/>
      <c r="D360" s="2720"/>
      <c r="E360" s="2720"/>
      <c r="F360" s="2720"/>
      <c r="G360" s="2720"/>
      <c r="H360" s="2720"/>
      <c r="I360" s="2720"/>
      <c r="J360" s="2720"/>
      <c r="K360" s="2720"/>
      <c r="L360" s="2720"/>
      <c r="M360" s="2720"/>
      <c r="N360" s="2721"/>
      <c r="AF360" s="716"/>
      <c r="AG360" s="481"/>
      <c r="AH360" s="491" t="s">
        <v>2610</v>
      </c>
      <c r="AI360" s="481"/>
      <c r="AN360" s="481"/>
      <c r="AO360" s="746"/>
      <c r="AP360" s="746"/>
      <c r="AQ360" s="699"/>
      <c r="AR360" s="699"/>
      <c r="AS360" s="699"/>
      <c r="AT360" s="699"/>
      <c r="AU360" s="699"/>
      <c r="AV360" s="481"/>
      <c r="AX360" s="481"/>
    </row>
    <row r="361" spans="1:51" s="454" customFormat="1" ht="23.25" x14ac:dyDescent="0.25">
      <c r="A361" s="482" t="s">
        <v>1078</v>
      </c>
      <c r="B361" s="568" t="s">
        <v>2611</v>
      </c>
      <c r="C361" s="2722" t="s">
        <v>2612</v>
      </c>
      <c r="D361" s="2722"/>
      <c r="E361" s="2722"/>
      <c r="F361" s="483" t="s">
        <v>2555</v>
      </c>
      <c r="G361" s="484">
        <v>3.2000000000000001E-2</v>
      </c>
      <c r="H361" s="485">
        <v>1</v>
      </c>
      <c r="I361" s="731">
        <v>3.2000000000000001E-2</v>
      </c>
      <c r="J361" s="487"/>
      <c r="K361" s="484"/>
      <c r="L361" s="487"/>
      <c r="M361" s="484"/>
      <c r="N361" s="488"/>
      <c r="AF361" s="716"/>
      <c r="AG361" s="481"/>
      <c r="AI361" s="481" t="s">
        <v>2612</v>
      </c>
      <c r="AN361" s="481"/>
      <c r="AO361" s="746"/>
      <c r="AP361" s="746"/>
      <c r="AQ361" s="699"/>
      <c r="AR361" s="699"/>
      <c r="AS361" s="699"/>
      <c r="AT361" s="699"/>
      <c r="AU361" s="699"/>
      <c r="AV361" s="481"/>
      <c r="AX361" s="481"/>
    </row>
    <row r="362" spans="1:51" s="454" customFormat="1" ht="15" x14ac:dyDescent="0.25">
      <c r="A362" s="718"/>
      <c r="B362" s="490" t="s">
        <v>190</v>
      </c>
      <c r="C362" s="2669" t="s">
        <v>2523</v>
      </c>
      <c r="D362" s="2669"/>
      <c r="E362" s="2669"/>
      <c r="F362" s="719"/>
      <c r="G362" s="564"/>
      <c r="H362" s="564"/>
      <c r="I362" s="564"/>
      <c r="J362" s="510">
        <v>56.55</v>
      </c>
      <c r="K362" s="564"/>
      <c r="L362" s="510">
        <v>1.81</v>
      </c>
      <c r="M362" s="506">
        <v>27.32</v>
      </c>
      <c r="N362" s="730">
        <v>49.45</v>
      </c>
      <c r="AF362" s="716"/>
      <c r="AG362" s="481"/>
      <c r="AI362" s="481"/>
      <c r="AK362" s="491" t="s">
        <v>2523</v>
      </c>
      <c r="AN362" s="481"/>
      <c r="AO362" s="746"/>
      <c r="AP362" s="746"/>
      <c r="AQ362" s="699"/>
      <c r="AR362" s="699"/>
      <c r="AS362" s="699"/>
      <c r="AT362" s="699"/>
      <c r="AU362" s="699"/>
      <c r="AV362" s="481"/>
      <c r="AX362" s="481"/>
    </row>
    <row r="363" spans="1:51" s="454" customFormat="1" ht="15" x14ac:dyDescent="0.25">
      <c r="A363" s="718"/>
      <c r="B363" s="490" t="s">
        <v>639</v>
      </c>
      <c r="C363" s="2669" t="s">
        <v>697</v>
      </c>
      <c r="D363" s="2669"/>
      <c r="E363" s="2669"/>
      <c r="F363" s="719"/>
      <c r="G363" s="564"/>
      <c r="H363" s="564"/>
      <c r="I363" s="564"/>
      <c r="J363" s="510">
        <v>9.2200000000000006</v>
      </c>
      <c r="K363" s="564"/>
      <c r="L363" s="510">
        <v>0.3</v>
      </c>
      <c r="M363" s="506">
        <v>10.92</v>
      </c>
      <c r="N363" s="730">
        <v>3.28</v>
      </c>
      <c r="AF363" s="716"/>
      <c r="AG363" s="481"/>
      <c r="AI363" s="481"/>
      <c r="AK363" s="491" t="s">
        <v>697</v>
      </c>
      <c r="AN363" s="481"/>
      <c r="AO363" s="746"/>
      <c r="AP363" s="746"/>
      <c r="AQ363" s="699"/>
      <c r="AR363" s="699"/>
      <c r="AS363" s="699"/>
      <c r="AT363" s="699"/>
      <c r="AU363" s="699"/>
      <c r="AV363" s="481"/>
      <c r="AX363" s="481"/>
    </row>
    <row r="364" spans="1:51" s="454" customFormat="1" ht="15" x14ac:dyDescent="0.25">
      <c r="A364" s="718"/>
      <c r="B364" s="490" t="s">
        <v>640</v>
      </c>
      <c r="C364" s="2669" t="s">
        <v>2500</v>
      </c>
      <c r="D364" s="2669"/>
      <c r="E364" s="2669"/>
      <c r="F364" s="719"/>
      <c r="G364" s="564"/>
      <c r="H364" s="564"/>
      <c r="I364" s="564"/>
      <c r="J364" s="510">
        <v>0.22</v>
      </c>
      <c r="K364" s="564"/>
      <c r="L364" s="510">
        <v>0.01</v>
      </c>
      <c r="M364" s="506">
        <v>27.32</v>
      </c>
      <c r="N364" s="730">
        <v>0.27</v>
      </c>
      <c r="AF364" s="716"/>
      <c r="AG364" s="481"/>
      <c r="AI364" s="481"/>
      <c r="AK364" s="491" t="s">
        <v>2500</v>
      </c>
      <c r="AN364" s="481"/>
      <c r="AO364" s="746"/>
      <c r="AP364" s="746"/>
      <c r="AQ364" s="699"/>
      <c r="AR364" s="699"/>
      <c r="AS364" s="699"/>
      <c r="AT364" s="699"/>
      <c r="AU364" s="699"/>
      <c r="AV364" s="481"/>
      <c r="AX364" s="481"/>
    </row>
    <row r="365" spans="1:51" s="454" customFormat="1" ht="15" x14ac:dyDescent="0.25">
      <c r="A365" s="718"/>
      <c r="B365" s="490" t="s">
        <v>232</v>
      </c>
      <c r="C365" s="2669" t="s">
        <v>829</v>
      </c>
      <c r="D365" s="2669"/>
      <c r="E365" s="2669"/>
      <c r="F365" s="719"/>
      <c r="G365" s="564"/>
      <c r="H365" s="564"/>
      <c r="I365" s="564"/>
      <c r="J365" s="510">
        <v>152.04</v>
      </c>
      <c r="K365" s="564"/>
      <c r="L365" s="510">
        <v>4.87</v>
      </c>
      <c r="M365" s="506">
        <v>7.72</v>
      </c>
      <c r="N365" s="730">
        <v>37.6</v>
      </c>
      <c r="AF365" s="716"/>
      <c r="AG365" s="481"/>
      <c r="AI365" s="481"/>
      <c r="AK365" s="491" t="s">
        <v>829</v>
      </c>
      <c r="AN365" s="481"/>
      <c r="AO365" s="746"/>
      <c r="AP365" s="746"/>
      <c r="AQ365" s="699"/>
      <c r="AR365" s="699"/>
      <c r="AS365" s="699"/>
      <c r="AT365" s="699"/>
      <c r="AU365" s="699"/>
      <c r="AV365" s="481"/>
      <c r="AX365" s="481"/>
    </row>
    <row r="366" spans="1:51" s="454" customFormat="1" ht="15" x14ac:dyDescent="0.25">
      <c r="A366" s="721"/>
      <c r="B366" s="490"/>
      <c r="C366" s="2669" t="s">
        <v>2524</v>
      </c>
      <c r="D366" s="2669"/>
      <c r="E366" s="2669"/>
      <c r="F366" s="719" t="s">
        <v>807</v>
      </c>
      <c r="G366" s="506">
        <v>5.31</v>
      </c>
      <c r="H366" s="564"/>
      <c r="I366" s="735">
        <v>0.16991999999999999</v>
      </c>
      <c r="J366" s="501"/>
      <c r="K366" s="564"/>
      <c r="L366" s="501"/>
      <c r="M366" s="564"/>
      <c r="N366" s="723"/>
      <c r="AF366" s="716"/>
      <c r="AG366" s="481"/>
      <c r="AI366" s="481"/>
      <c r="AL366" s="491" t="s">
        <v>2524</v>
      </c>
      <c r="AN366" s="481"/>
      <c r="AO366" s="746"/>
      <c r="AP366" s="746"/>
      <c r="AQ366" s="699"/>
      <c r="AR366" s="699"/>
      <c r="AS366" s="699"/>
      <c r="AT366" s="699"/>
      <c r="AU366" s="699"/>
      <c r="AV366" s="481"/>
      <c r="AX366" s="481"/>
    </row>
    <row r="367" spans="1:51" s="454" customFormat="1" ht="15" x14ac:dyDescent="0.25">
      <c r="A367" s="721"/>
      <c r="B367" s="490"/>
      <c r="C367" s="2669" t="s">
        <v>2501</v>
      </c>
      <c r="D367" s="2669"/>
      <c r="E367" s="2669"/>
      <c r="F367" s="719" t="s">
        <v>807</v>
      </c>
      <c r="G367" s="506">
        <v>0.02</v>
      </c>
      <c r="H367" s="564"/>
      <c r="I367" s="735">
        <v>6.4000000000000005E-4</v>
      </c>
      <c r="J367" s="501"/>
      <c r="K367" s="564"/>
      <c r="L367" s="501"/>
      <c r="M367" s="564"/>
      <c r="N367" s="723"/>
      <c r="AF367" s="716"/>
      <c r="AG367" s="481"/>
      <c r="AI367" s="481"/>
      <c r="AL367" s="491" t="s">
        <v>2501</v>
      </c>
      <c r="AN367" s="481"/>
      <c r="AO367" s="746"/>
      <c r="AP367" s="746"/>
      <c r="AQ367" s="699"/>
      <c r="AR367" s="699"/>
      <c r="AS367" s="699"/>
      <c r="AT367" s="699"/>
      <c r="AU367" s="699"/>
      <c r="AV367" s="481"/>
      <c r="AX367" s="481"/>
    </row>
    <row r="368" spans="1:51" s="454" customFormat="1" ht="15" x14ac:dyDescent="0.25">
      <c r="A368" s="718"/>
      <c r="B368" s="490"/>
      <c r="C368" s="2711" t="s">
        <v>2502</v>
      </c>
      <c r="D368" s="2711"/>
      <c r="E368" s="2711"/>
      <c r="F368" s="724"/>
      <c r="G368" s="563"/>
      <c r="H368" s="563"/>
      <c r="I368" s="563"/>
      <c r="J368" s="729">
        <v>217.81</v>
      </c>
      <c r="K368" s="563"/>
      <c r="L368" s="729">
        <v>6.98</v>
      </c>
      <c r="M368" s="563"/>
      <c r="N368" s="733">
        <v>90.33</v>
      </c>
      <c r="AF368" s="716"/>
      <c r="AG368" s="481"/>
      <c r="AI368" s="481"/>
      <c r="AM368" s="491" t="s">
        <v>2502</v>
      </c>
      <c r="AN368" s="481"/>
      <c r="AO368" s="746"/>
      <c r="AP368" s="746"/>
      <c r="AQ368" s="699"/>
      <c r="AR368" s="699"/>
      <c r="AS368" s="699"/>
      <c r="AT368" s="699"/>
      <c r="AU368" s="699"/>
      <c r="AV368" s="481"/>
      <c r="AX368" s="481"/>
    </row>
    <row r="369" spans="1:50" s="454" customFormat="1" ht="15" x14ac:dyDescent="0.25">
      <c r="A369" s="721"/>
      <c r="B369" s="490"/>
      <c r="C369" s="2669" t="s">
        <v>867</v>
      </c>
      <c r="D369" s="2669"/>
      <c r="E369" s="2669"/>
      <c r="F369" s="719"/>
      <c r="G369" s="564"/>
      <c r="H369" s="564"/>
      <c r="I369" s="564"/>
      <c r="J369" s="501"/>
      <c r="K369" s="564"/>
      <c r="L369" s="510">
        <v>1.82</v>
      </c>
      <c r="M369" s="564"/>
      <c r="N369" s="730">
        <v>49.72</v>
      </c>
      <c r="AF369" s="716"/>
      <c r="AG369" s="481"/>
      <c r="AI369" s="481"/>
      <c r="AL369" s="491" t="s">
        <v>867</v>
      </c>
      <c r="AN369" s="481"/>
      <c r="AO369" s="746"/>
      <c r="AP369" s="746"/>
      <c r="AQ369" s="699"/>
      <c r="AR369" s="699"/>
      <c r="AS369" s="699"/>
      <c r="AT369" s="699"/>
      <c r="AU369" s="699"/>
      <c r="AV369" s="481"/>
      <c r="AX369" s="481"/>
    </row>
    <row r="370" spans="1:50" s="454" customFormat="1" ht="23.25" x14ac:dyDescent="0.25">
      <c r="A370" s="721"/>
      <c r="B370" s="490" t="s">
        <v>2613</v>
      </c>
      <c r="C370" s="2669" t="s">
        <v>2614</v>
      </c>
      <c r="D370" s="2669"/>
      <c r="E370" s="2669"/>
      <c r="F370" s="719" t="s">
        <v>636</v>
      </c>
      <c r="G370" s="727">
        <v>94</v>
      </c>
      <c r="H370" s="564"/>
      <c r="I370" s="727">
        <v>94</v>
      </c>
      <c r="J370" s="501"/>
      <c r="K370" s="564"/>
      <c r="L370" s="510">
        <v>1.71</v>
      </c>
      <c r="M370" s="564"/>
      <c r="N370" s="730">
        <v>46.74</v>
      </c>
      <c r="AF370" s="716"/>
      <c r="AG370" s="481"/>
      <c r="AI370" s="481"/>
      <c r="AL370" s="491" t="s">
        <v>2614</v>
      </c>
      <c r="AN370" s="481"/>
      <c r="AO370" s="746"/>
      <c r="AP370" s="746"/>
      <c r="AQ370" s="699"/>
      <c r="AR370" s="699"/>
      <c r="AS370" s="699"/>
      <c r="AT370" s="699"/>
      <c r="AU370" s="699"/>
      <c r="AV370" s="481"/>
      <c r="AX370" s="481"/>
    </row>
    <row r="371" spans="1:50" s="454" customFormat="1" ht="23.25" x14ac:dyDescent="0.25">
      <c r="A371" s="721"/>
      <c r="B371" s="490" t="s">
        <v>2615</v>
      </c>
      <c r="C371" s="2669" t="s">
        <v>2616</v>
      </c>
      <c r="D371" s="2669"/>
      <c r="E371" s="2669"/>
      <c r="F371" s="719" t="s">
        <v>636</v>
      </c>
      <c r="G371" s="727">
        <v>51</v>
      </c>
      <c r="H371" s="564"/>
      <c r="I371" s="727">
        <v>51</v>
      </c>
      <c r="J371" s="501"/>
      <c r="K371" s="564"/>
      <c r="L371" s="510">
        <v>0.93</v>
      </c>
      <c r="M371" s="564"/>
      <c r="N371" s="730">
        <v>25.36</v>
      </c>
      <c r="AF371" s="716"/>
      <c r="AG371" s="481"/>
      <c r="AI371" s="481"/>
      <c r="AL371" s="491" t="s">
        <v>2616</v>
      </c>
      <c r="AN371" s="481"/>
      <c r="AO371" s="746"/>
      <c r="AP371" s="746"/>
      <c r="AQ371" s="699"/>
      <c r="AR371" s="699"/>
      <c r="AS371" s="699"/>
      <c r="AT371" s="699"/>
      <c r="AU371" s="699"/>
      <c r="AV371" s="481"/>
      <c r="AX371" s="481"/>
    </row>
    <row r="372" spans="1:50" s="454" customFormat="1" ht="15" x14ac:dyDescent="0.25">
      <c r="A372" s="526"/>
      <c r="B372" s="567"/>
      <c r="C372" s="2722" t="s">
        <v>872</v>
      </c>
      <c r="D372" s="2722"/>
      <c r="E372" s="2722"/>
      <c r="F372" s="483"/>
      <c r="G372" s="484"/>
      <c r="H372" s="484"/>
      <c r="I372" s="484"/>
      <c r="J372" s="487"/>
      <c r="K372" s="484"/>
      <c r="L372" s="527">
        <v>9.6199999999999992</v>
      </c>
      <c r="M372" s="563"/>
      <c r="N372" s="734">
        <v>162.43</v>
      </c>
      <c r="AF372" s="716"/>
      <c r="AG372" s="481"/>
      <c r="AI372" s="481"/>
      <c r="AN372" s="481" t="s">
        <v>872</v>
      </c>
      <c r="AO372" s="746"/>
      <c r="AP372" s="746"/>
      <c r="AQ372" s="699"/>
      <c r="AR372" s="699"/>
      <c r="AS372" s="699"/>
      <c r="AT372" s="699"/>
      <c r="AU372" s="699"/>
      <c r="AV372" s="481"/>
      <c r="AX372" s="481"/>
    </row>
    <row r="373" spans="1:50" s="454" customFormat="1" ht="23.25" x14ac:dyDescent="0.25">
      <c r="A373" s="482" t="s">
        <v>1088</v>
      </c>
      <c r="B373" s="568" t="s">
        <v>2617</v>
      </c>
      <c r="C373" s="2722" t="s">
        <v>2618</v>
      </c>
      <c r="D373" s="2722"/>
      <c r="E373" s="2722"/>
      <c r="F373" s="483" t="s">
        <v>2555</v>
      </c>
      <c r="G373" s="484">
        <v>3.2000000000000001E-2</v>
      </c>
      <c r="H373" s="485">
        <v>1</v>
      </c>
      <c r="I373" s="731">
        <v>3.2000000000000001E-2</v>
      </c>
      <c r="J373" s="487"/>
      <c r="K373" s="484"/>
      <c r="L373" s="487"/>
      <c r="M373" s="484"/>
      <c r="N373" s="488"/>
      <c r="AF373" s="716"/>
      <c r="AG373" s="481"/>
      <c r="AI373" s="481" t="s">
        <v>2618</v>
      </c>
      <c r="AN373" s="481"/>
      <c r="AO373" s="746"/>
      <c r="AP373" s="746"/>
      <c r="AQ373" s="699"/>
      <c r="AR373" s="699"/>
      <c r="AS373" s="699"/>
      <c r="AT373" s="699"/>
      <c r="AU373" s="699"/>
      <c r="AV373" s="481"/>
      <c r="AX373" s="481"/>
    </row>
    <row r="374" spans="1:50" s="454" customFormat="1" ht="15" x14ac:dyDescent="0.25">
      <c r="A374" s="718"/>
      <c r="B374" s="490" t="s">
        <v>190</v>
      </c>
      <c r="C374" s="2669" t="s">
        <v>2523</v>
      </c>
      <c r="D374" s="2669"/>
      <c r="E374" s="2669"/>
      <c r="F374" s="719"/>
      <c r="G374" s="564"/>
      <c r="H374" s="564"/>
      <c r="I374" s="564"/>
      <c r="J374" s="510">
        <v>22.86</v>
      </c>
      <c r="K374" s="564"/>
      <c r="L374" s="510">
        <v>0.73</v>
      </c>
      <c r="M374" s="506">
        <v>27.32</v>
      </c>
      <c r="N374" s="730">
        <v>19.940000000000001</v>
      </c>
      <c r="AF374" s="716"/>
      <c r="AG374" s="481"/>
      <c r="AI374" s="481"/>
      <c r="AK374" s="491" t="s">
        <v>2523</v>
      </c>
      <c r="AN374" s="481"/>
      <c r="AO374" s="746"/>
      <c r="AP374" s="746"/>
      <c r="AQ374" s="699"/>
      <c r="AR374" s="699"/>
      <c r="AS374" s="699"/>
      <c r="AT374" s="699"/>
      <c r="AU374" s="699"/>
      <c r="AV374" s="481"/>
      <c r="AX374" s="481"/>
    </row>
    <row r="375" spans="1:50" s="454" customFormat="1" ht="15" x14ac:dyDescent="0.25">
      <c r="A375" s="718"/>
      <c r="B375" s="490" t="s">
        <v>639</v>
      </c>
      <c r="C375" s="2669" t="s">
        <v>697</v>
      </c>
      <c r="D375" s="2669"/>
      <c r="E375" s="2669"/>
      <c r="F375" s="719"/>
      <c r="G375" s="564"/>
      <c r="H375" s="564"/>
      <c r="I375" s="564"/>
      <c r="J375" s="510">
        <v>6.66</v>
      </c>
      <c r="K375" s="564"/>
      <c r="L375" s="510">
        <v>0.21</v>
      </c>
      <c r="M375" s="506">
        <v>10.92</v>
      </c>
      <c r="N375" s="730">
        <v>2.29</v>
      </c>
      <c r="AF375" s="716"/>
      <c r="AG375" s="481"/>
      <c r="AI375" s="481"/>
      <c r="AK375" s="491" t="s">
        <v>697</v>
      </c>
      <c r="AN375" s="481"/>
      <c r="AO375" s="746"/>
      <c r="AP375" s="746"/>
      <c r="AQ375" s="699"/>
      <c r="AR375" s="699"/>
      <c r="AS375" s="699"/>
      <c r="AT375" s="699"/>
      <c r="AU375" s="699"/>
      <c r="AV375" s="481"/>
      <c r="AX375" s="481"/>
    </row>
    <row r="376" spans="1:50" s="454" customFormat="1" ht="15" x14ac:dyDescent="0.25">
      <c r="A376" s="718"/>
      <c r="B376" s="490" t="s">
        <v>640</v>
      </c>
      <c r="C376" s="2669" t="s">
        <v>2500</v>
      </c>
      <c r="D376" s="2669"/>
      <c r="E376" s="2669"/>
      <c r="F376" s="719"/>
      <c r="G376" s="564"/>
      <c r="H376" s="564"/>
      <c r="I376" s="564"/>
      <c r="J376" s="510">
        <v>0.33</v>
      </c>
      <c r="K376" s="564"/>
      <c r="L376" s="510">
        <v>0.01</v>
      </c>
      <c r="M376" s="506">
        <v>27.32</v>
      </c>
      <c r="N376" s="730">
        <v>0.27</v>
      </c>
      <c r="AF376" s="716"/>
      <c r="AG376" s="481"/>
      <c r="AI376" s="481"/>
      <c r="AK376" s="491" t="s">
        <v>2500</v>
      </c>
      <c r="AN376" s="481"/>
      <c r="AO376" s="746"/>
      <c r="AP376" s="746"/>
      <c r="AQ376" s="699"/>
      <c r="AR376" s="699"/>
      <c r="AS376" s="699"/>
      <c r="AT376" s="699"/>
      <c r="AU376" s="699"/>
      <c r="AV376" s="481"/>
      <c r="AX376" s="481"/>
    </row>
    <row r="377" spans="1:50" s="454" customFormat="1" ht="15" x14ac:dyDescent="0.25">
      <c r="A377" s="718"/>
      <c r="B377" s="490" t="s">
        <v>232</v>
      </c>
      <c r="C377" s="2669" t="s">
        <v>829</v>
      </c>
      <c r="D377" s="2669"/>
      <c r="E377" s="2669"/>
      <c r="F377" s="719"/>
      <c r="G377" s="564"/>
      <c r="H377" s="564"/>
      <c r="I377" s="564"/>
      <c r="J377" s="510">
        <v>543.84</v>
      </c>
      <c r="K377" s="564"/>
      <c r="L377" s="510">
        <v>17.399999999999999</v>
      </c>
      <c r="M377" s="506">
        <v>7.72</v>
      </c>
      <c r="N377" s="730">
        <v>134.33000000000001</v>
      </c>
      <c r="AF377" s="716"/>
      <c r="AG377" s="481"/>
      <c r="AI377" s="481"/>
      <c r="AK377" s="491" t="s">
        <v>829</v>
      </c>
      <c r="AN377" s="481"/>
      <c r="AO377" s="746"/>
      <c r="AP377" s="746"/>
      <c r="AQ377" s="699"/>
      <c r="AR377" s="699"/>
      <c r="AS377" s="699"/>
      <c r="AT377" s="699"/>
      <c r="AU377" s="699"/>
      <c r="AV377" s="481"/>
      <c r="AX377" s="481"/>
    </row>
    <row r="378" spans="1:50" s="454" customFormat="1" ht="15" x14ac:dyDescent="0.25">
      <c r="A378" s="721"/>
      <c r="B378" s="490"/>
      <c r="C378" s="2669" t="s">
        <v>2524</v>
      </c>
      <c r="D378" s="2669"/>
      <c r="E378" s="2669"/>
      <c r="F378" s="719" t="s">
        <v>807</v>
      </c>
      <c r="G378" s="506">
        <v>2.52</v>
      </c>
      <c r="H378" s="564"/>
      <c r="I378" s="735">
        <v>8.0640000000000003E-2</v>
      </c>
      <c r="J378" s="501"/>
      <c r="K378" s="564"/>
      <c r="L378" s="501"/>
      <c r="M378" s="564"/>
      <c r="N378" s="723"/>
      <c r="AF378" s="716"/>
      <c r="AG378" s="481"/>
      <c r="AI378" s="481"/>
      <c r="AL378" s="491" t="s">
        <v>2524</v>
      </c>
      <c r="AN378" s="481"/>
      <c r="AO378" s="746"/>
      <c r="AP378" s="746"/>
      <c r="AQ378" s="699"/>
      <c r="AR378" s="699"/>
      <c r="AS378" s="699"/>
      <c r="AT378" s="699"/>
      <c r="AU378" s="699"/>
      <c r="AV378" s="481"/>
      <c r="AX378" s="481"/>
    </row>
    <row r="379" spans="1:50" s="454" customFormat="1" ht="15" x14ac:dyDescent="0.25">
      <c r="A379" s="721"/>
      <c r="B379" s="490"/>
      <c r="C379" s="2669" t="s">
        <v>2501</v>
      </c>
      <c r="D379" s="2669"/>
      <c r="E379" s="2669"/>
      <c r="F379" s="719" t="s">
        <v>807</v>
      </c>
      <c r="G379" s="506">
        <v>0.03</v>
      </c>
      <c r="H379" s="564"/>
      <c r="I379" s="735">
        <v>9.6000000000000002E-4</v>
      </c>
      <c r="J379" s="501"/>
      <c r="K379" s="564"/>
      <c r="L379" s="501"/>
      <c r="M379" s="564"/>
      <c r="N379" s="723"/>
      <c r="AF379" s="716"/>
      <c r="AG379" s="481"/>
      <c r="AI379" s="481"/>
      <c r="AL379" s="491" t="s">
        <v>2501</v>
      </c>
      <c r="AN379" s="481"/>
      <c r="AO379" s="746"/>
      <c r="AP379" s="746"/>
      <c r="AQ379" s="699"/>
      <c r="AR379" s="699"/>
      <c r="AS379" s="699"/>
      <c r="AT379" s="699"/>
      <c r="AU379" s="699"/>
      <c r="AV379" s="481"/>
      <c r="AX379" s="481"/>
    </row>
    <row r="380" spans="1:50" s="454" customFormat="1" ht="15" x14ac:dyDescent="0.25">
      <c r="A380" s="718"/>
      <c r="B380" s="490"/>
      <c r="C380" s="2711" t="s">
        <v>2502</v>
      </c>
      <c r="D380" s="2711"/>
      <c r="E380" s="2711"/>
      <c r="F380" s="724"/>
      <c r="G380" s="563"/>
      <c r="H380" s="563"/>
      <c r="I380" s="563"/>
      <c r="J380" s="729">
        <v>573.36</v>
      </c>
      <c r="K380" s="563"/>
      <c r="L380" s="729">
        <v>18.34</v>
      </c>
      <c r="M380" s="563"/>
      <c r="N380" s="733">
        <v>156.56</v>
      </c>
      <c r="AF380" s="716"/>
      <c r="AG380" s="481"/>
      <c r="AI380" s="481"/>
      <c r="AM380" s="491" t="s">
        <v>2502</v>
      </c>
      <c r="AN380" s="481"/>
      <c r="AO380" s="746"/>
      <c r="AP380" s="746"/>
      <c r="AQ380" s="699"/>
      <c r="AR380" s="699"/>
      <c r="AS380" s="699"/>
      <c r="AT380" s="699"/>
      <c r="AU380" s="699"/>
      <c r="AV380" s="481"/>
      <c r="AX380" s="481"/>
    </row>
    <row r="381" spans="1:50" s="454" customFormat="1" ht="15" x14ac:dyDescent="0.25">
      <c r="A381" s="721"/>
      <c r="B381" s="490"/>
      <c r="C381" s="2669" t="s">
        <v>867</v>
      </c>
      <c r="D381" s="2669"/>
      <c r="E381" s="2669"/>
      <c r="F381" s="719"/>
      <c r="G381" s="564"/>
      <c r="H381" s="564"/>
      <c r="I381" s="564"/>
      <c r="J381" s="501"/>
      <c r="K381" s="564"/>
      <c r="L381" s="510">
        <v>0.74</v>
      </c>
      <c r="M381" s="564"/>
      <c r="N381" s="730">
        <v>20.21</v>
      </c>
      <c r="AF381" s="716"/>
      <c r="AG381" s="481"/>
      <c r="AI381" s="481"/>
      <c r="AL381" s="491" t="s">
        <v>867</v>
      </c>
      <c r="AN381" s="481"/>
      <c r="AO381" s="746"/>
      <c r="AP381" s="746"/>
      <c r="AQ381" s="699"/>
      <c r="AR381" s="699"/>
      <c r="AS381" s="699"/>
      <c r="AT381" s="699"/>
      <c r="AU381" s="699"/>
      <c r="AV381" s="481"/>
      <c r="AX381" s="481"/>
    </row>
    <row r="382" spans="1:50" s="454" customFormat="1" ht="23.25" x14ac:dyDescent="0.25">
      <c r="A382" s="721"/>
      <c r="B382" s="490" t="s">
        <v>2613</v>
      </c>
      <c r="C382" s="2669" t="s">
        <v>2614</v>
      </c>
      <c r="D382" s="2669"/>
      <c r="E382" s="2669"/>
      <c r="F382" s="719" t="s">
        <v>636</v>
      </c>
      <c r="G382" s="727">
        <v>94</v>
      </c>
      <c r="H382" s="564"/>
      <c r="I382" s="727">
        <v>94</v>
      </c>
      <c r="J382" s="501"/>
      <c r="K382" s="564"/>
      <c r="L382" s="510">
        <v>0.7</v>
      </c>
      <c r="M382" s="564"/>
      <c r="N382" s="730">
        <v>19</v>
      </c>
      <c r="AF382" s="716"/>
      <c r="AG382" s="481"/>
      <c r="AI382" s="481"/>
      <c r="AL382" s="491" t="s">
        <v>2614</v>
      </c>
      <c r="AN382" s="481"/>
      <c r="AO382" s="746"/>
      <c r="AP382" s="746"/>
      <c r="AQ382" s="699"/>
      <c r="AR382" s="699"/>
      <c r="AS382" s="699"/>
      <c r="AT382" s="699"/>
      <c r="AU382" s="699"/>
      <c r="AV382" s="481"/>
      <c r="AX382" s="481"/>
    </row>
    <row r="383" spans="1:50" s="454" customFormat="1" ht="23.25" x14ac:dyDescent="0.25">
      <c r="A383" s="721"/>
      <c r="B383" s="490" t="s">
        <v>2615</v>
      </c>
      <c r="C383" s="2669" t="s">
        <v>2616</v>
      </c>
      <c r="D383" s="2669"/>
      <c r="E383" s="2669"/>
      <c r="F383" s="719" t="s">
        <v>636</v>
      </c>
      <c r="G383" s="727">
        <v>51</v>
      </c>
      <c r="H383" s="564"/>
      <c r="I383" s="727">
        <v>51</v>
      </c>
      <c r="J383" s="501"/>
      <c r="K383" s="564"/>
      <c r="L383" s="510">
        <v>0.38</v>
      </c>
      <c r="M383" s="564"/>
      <c r="N383" s="730">
        <v>10.31</v>
      </c>
      <c r="AF383" s="716"/>
      <c r="AG383" s="481"/>
      <c r="AI383" s="481"/>
      <c r="AL383" s="491" t="s">
        <v>2616</v>
      </c>
      <c r="AN383" s="481"/>
      <c r="AO383" s="746"/>
      <c r="AP383" s="746"/>
      <c r="AQ383" s="699"/>
      <c r="AR383" s="699"/>
      <c r="AS383" s="699"/>
      <c r="AT383" s="699"/>
      <c r="AU383" s="699"/>
      <c r="AV383" s="481"/>
      <c r="AX383" s="481"/>
    </row>
    <row r="384" spans="1:50" s="454" customFormat="1" ht="15" x14ac:dyDescent="0.25">
      <c r="A384" s="526"/>
      <c r="B384" s="567"/>
      <c r="C384" s="2722" t="s">
        <v>872</v>
      </c>
      <c r="D384" s="2722"/>
      <c r="E384" s="2722"/>
      <c r="F384" s="483"/>
      <c r="G384" s="484"/>
      <c r="H384" s="484"/>
      <c r="I384" s="484"/>
      <c r="J384" s="487"/>
      <c r="K384" s="484"/>
      <c r="L384" s="527">
        <v>19.420000000000002</v>
      </c>
      <c r="M384" s="563"/>
      <c r="N384" s="734">
        <v>185.87</v>
      </c>
      <c r="AF384" s="716"/>
      <c r="AG384" s="481"/>
      <c r="AI384" s="481"/>
      <c r="AN384" s="481" t="s">
        <v>872</v>
      </c>
      <c r="AO384" s="746"/>
      <c r="AP384" s="746"/>
      <c r="AQ384" s="699"/>
      <c r="AR384" s="699"/>
      <c r="AS384" s="699"/>
      <c r="AT384" s="699"/>
      <c r="AU384" s="699"/>
      <c r="AV384" s="481"/>
      <c r="AX384" s="481"/>
    </row>
    <row r="385" spans="1:50" s="454" customFormat="1" ht="15" x14ac:dyDescent="0.25">
      <c r="A385" s="482" t="s">
        <v>1093</v>
      </c>
      <c r="B385" s="568" t="s">
        <v>2619</v>
      </c>
      <c r="C385" s="2722" t="s">
        <v>2620</v>
      </c>
      <c r="D385" s="2722"/>
      <c r="E385" s="2722"/>
      <c r="F385" s="483" t="s">
        <v>801</v>
      </c>
      <c r="G385" s="484">
        <v>-6.0800000000000003E-4</v>
      </c>
      <c r="H385" s="485">
        <v>1</v>
      </c>
      <c r="I385" s="753">
        <v>-6.0800000000000003E-4</v>
      </c>
      <c r="J385" s="524">
        <v>26640</v>
      </c>
      <c r="K385" s="484"/>
      <c r="L385" s="527">
        <v>-16.2</v>
      </c>
      <c r="M385" s="732">
        <v>7.72</v>
      </c>
      <c r="N385" s="734">
        <v>-125.06</v>
      </c>
      <c r="AF385" s="716"/>
      <c r="AG385" s="481"/>
      <c r="AI385" s="481" t="s">
        <v>2620</v>
      </c>
      <c r="AN385" s="481"/>
      <c r="AO385" s="746"/>
      <c r="AP385" s="746"/>
      <c r="AQ385" s="699"/>
      <c r="AR385" s="699"/>
      <c r="AS385" s="699"/>
      <c r="AT385" s="699"/>
      <c r="AU385" s="699"/>
      <c r="AV385" s="481"/>
      <c r="AX385" s="481"/>
    </row>
    <row r="386" spans="1:50" s="454" customFormat="1" ht="15" x14ac:dyDescent="0.25">
      <c r="A386" s="526"/>
      <c r="B386" s="567"/>
      <c r="C386" s="2722" t="s">
        <v>872</v>
      </c>
      <c r="D386" s="2722"/>
      <c r="E386" s="2722"/>
      <c r="F386" s="483"/>
      <c r="G386" s="484"/>
      <c r="H386" s="484"/>
      <c r="I386" s="484"/>
      <c r="J386" s="487"/>
      <c r="K386" s="484"/>
      <c r="L386" s="527">
        <v>-16.2</v>
      </c>
      <c r="M386" s="563"/>
      <c r="N386" s="734">
        <v>-125.06</v>
      </c>
      <c r="AF386" s="716"/>
      <c r="AG386" s="481"/>
      <c r="AI386" s="481"/>
      <c r="AN386" s="481" t="s">
        <v>872</v>
      </c>
      <c r="AO386" s="746"/>
      <c r="AP386" s="746"/>
      <c r="AQ386" s="699"/>
      <c r="AR386" s="699"/>
      <c r="AS386" s="699"/>
      <c r="AT386" s="699"/>
      <c r="AU386" s="699"/>
      <c r="AV386" s="481"/>
      <c r="AX386" s="481"/>
    </row>
    <row r="387" spans="1:50" s="454" customFormat="1" ht="15" x14ac:dyDescent="0.25">
      <c r="A387" s="482" t="s">
        <v>1098</v>
      </c>
      <c r="B387" s="568" t="s">
        <v>2621</v>
      </c>
      <c r="C387" s="2722" t="s">
        <v>2622</v>
      </c>
      <c r="D387" s="2722"/>
      <c r="E387" s="2722"/>
      <c r="F387" s="483" t="s">
        <v>801</v>
      </c>
      <c r="G387" s="484">
        <v>6.0800000000000003E-4</v>
      </c>
      <c r="H387" s="485">
        <v>1</v>
      </c>
      <c r="I387" s="753">
        <v>6.0800000000000003E-4</v>
      </c>
      <c r="J387" s="524">
        <v>29335.67</v>
      </c>
      <c r="K387" s="484"/>
      <c r="L387" s="527">
        <v>17.84</v>
      </c>
      <c r="M387" s="732">
        <v>7.72</v>
      </c>
      <c r="N387" s="734">
        <v>137.72</v>
      </c>
      <c r="AF387" s="716"/>
      <c r="AG387" s="481"/>
      <c r="AI387" s="481" t="s">
        <v>2622</v>
      </c>
      <c r="AN387" s="481"/>
      <c r="AO387" s="746"/>
      <c r="AP387" s="746"/>
      <c r="AQ387" s="699"/>
      <c r="AR387" s="699"/>
      <c r="AS387" s="699"/>
      <c r="AT387" s="699"/>
      <c r="AU387" s="699"/>
      <c r="AV387" s="481"/>
      <c r="AX387" s="481"/>
    </row>
    <row r="388" spans="1:50" s="454" customFormat="1" ht="15" x14ac:dyDescent="0.25">
      <c r="A388" s="526"/>
      <c r="B388" s="567"/>
      <c r="C388" s="2722" t="s">
        <v>872</v>
      </c>
      <c r="D388" s="2722"/>
      <c r="E388" s="2722"/>
      <c r="F388" s="483"/>
      <c r="G388" s="484"/>
      <c r="H388" s="484"/>
      <c r="I388" s="484"/>
      <c r="J388" s="487"/>
      <c r="K388" s="484"/>
      <c r="L388" s="527">
        <v>17.84</v>
      </c>
      <c r="M388" s="563"/>
      <c r="N388" s="734">
        <v>137.72</v>
      </c>
      <c r="AF388" s="716"/>
      <c r="AG388" s="481"/>
      <c r="AI388" s="481"/>
      <c r="AN388" s="481" t="s">
        <v>872</v>
      </c>
      <c r="AO388" s="746"/>
      <c r="AP388" s="746"/>
      <c r="AQ388" s="699"/>
      <c r="AR388" s="699"/>
      <c r="AS388" s="699"/>
      <c r="AT388" s="699"/>
      <c r="AU388" s="699"/>
      <c r="AV388" s="481"/>
      <c r="AX388" s="481"/>
    </row>
    <row r="389" spans="1:50" s="454" customFormat="1" ht="23.25" x14ac:dyDescent="0.25">
      <c r="A389" s="482" t="s">
        <v>1302</v>
      </c>
      <c r="B389" s="568" t="s">
        <v>2623</v>
      </c>
      <c r="C389" s="2722" t="s">
        <v>2624</v>
      </c>
      <c r="D389" s="2722"/>
      <c r="E389" s="2722"/>
      <c r="F389" s="483" t="s">
        <v>2588</v>
      </c>
      <c r="G389" s="484">
        <v>5.04</v>
      </c>
      <c r="H389" s="485">
        <v>1</v>
      </c>
      <c r="I389" s="732">
        <v>5.04</v>
      </c>
      <c r="J389" s="487"/>
      <c r="K389" s="484"/>
      <c r="L389" s="487"/>
      <c r="M389" s="484"/>
      <c r="N389" s="488"/>
      <c r="AF389" s="716"/>
      <c r="AG389" s="481"/>
      <c r="AI389" s="481" t="s">
        <v>2624</v>
      </c>
      <c r="AN389" s="481"/>
      <c r="AO389" s="746"/>
      <c r="AP389" s="746"/>
      <c r="AQ389" s="699"/>
      <c r="AR389" s="699"/>
      <c r="AS389" s="699"/>
      <c r="AT389" s="699"/>
      <c r="AU389" s="699"/>
      <c r="AV389" s="481"/>
      <c r="AX389" s="481"/>
    </row>
    <row r="390" spans="1:50" s="454" customFormat="1" ht="33.75" x14ac:dyDescent="0.25">
      <c r="A390" s="489"/>
      <c r="B390" s="490" t="s">
        <v>1655</v>
      </c>
      <c r="C390" s="2709" t="s">
        <v>1656</v>
      </c>
      <c r="D390" s="2709"/>
      <c r="E390" s="2709"/>
      <c r="F390" s="2709"/>
      <c r="G390" s="2709"/>
      <c r="H390" s="2709"/>
      <c r="I390" s="2709"/>
      <c r="J390" s="2709"/>
      <c r="K390" s="2709"/>
      <c r="L390" s="2709"/>
      <c r="M390" s="2709"/>
      <c r="N390" s="2710"/>
      <c r="AF390" s="716"/>
      <c r="AG390" s="481"/>
      <c r="AI390" s="481"/>
      <c r="AJ390" s="491" t="s">
        <v>1656</v>
      </c>
      <c r="AN390" s="481"/>
      <c r="AO390" s="746"/>
      <c r="AP390" s="746"/>
      <c r="AQ390" s="699"/>
      <c r="AR390" s="699"/>
      <c r="AS390" s="699"/>
      <c r="AT390" s="699"/>
      <c r="AU390" s="699"/>
      <c r="AV390" s="481"/>
      <c r="AX390" s="481"/>
    </row>
    <row r="391" spans="1:50" s="454" customFormat="1" ht="15" x14ac:dyDescent="0.25">
      <c r="A391" s="718"/>
      <c r="B391" s="490" t="s">
        <v>190</v>
      </c>
      <c r="C391" s="2669" t="s">
        <v>2523</v>
      </c>
      <c r="D391" s="2669"/>
      <c r="E391" s="2669"/>
      <c r="F391" s="719"/>
      <c r="G391" s="564"/>
      <c r="H391" s="564"/>
      <c r="I391" s="564"/>
      <c r="J391" s="510">
        <v>971.62</v>
      </c>
      <c r="K391" s="511">
        <v>1.5</v>
      </c>
      <c r="L391" s="505">
        <v>7345.45</v>
      </c>
      <c r="M391" s="506">
        <v>27.32</v>
      </c>
      <c r="N391" s="720">
        <v>200677.69</v>
      </c>
      <c r="AF391" s="716"/>
      <c r="AG391" s="481"/>
      <c r="AI391" s="481"/>
      <c r="AK391" s="491" t="s">
        <v>2523</v>
      </c>
      <c r="AN391" s="481"/>
      <c r="AO391" s="746"/>
      <c r="AP391" s="746"/>
      <c r="AQ391" s="699"/>
      <c r="AR391" s="699"/>
      <c r="AS391" s="699"/>
      <c r="AT391" s="699"/>
      <c r="AU391" s="699"/>
      <c r="AV391" s="481"/>
      <c r="AX391" s="481"/>
    </row>
    <row r="392" spans="1:50" s="454" customFormat="1" ht="15" x14ac:dyDescent="0.25">
      <c r="A392" s="718"/>
      <c r="B392" s="490" t="s">
        <v>639</v>
      </c>
      <c r="C392" s="2669" t="s">
        <v>697</v>
      </c>
      <c r="D392" s="2669"/>
      <c r="E392" s="2669"/>
      <c r="F392" s="719"/>
      <c r="G392" s="564"/>
      <c r="H392" s="564"/>
      <c r="I392" s="564"/>
      <c r="J392" s="505">
        <v>4263.16</v>
      </c>
      <c r="K392" s="511">
        <v>1.5</v>
      </c>
      <c r="L392" s="505">
        <v>32229.49</v>
      </c>
      <c r="M392" s="506">
        <v>10.92</v>
      </c>
      <c r="N392" s="720">
        <v>351946.03</v>
      </c>
      <c r="AF392" s="716"/>
      <c r="AG392" s="481"/>
      <c r="AI392" s="481"/>
      <c r="AK392" s="491" t="s">
        <v>697</v>
      </c>
      <c r="AN392" s="481"/>
      <c r="AO392" s="746"/>
      <c r="AP392" s="746"/>
      <c r="AQ392" s="699"/>
      <c r="AR392" s="699"/>
      <c r="AS392" s="699"/>
      <c r="AT392" s="699"/>
      <c r="AU392" s="699"/>
      <c r="AV392" s="481"/>
      <c r="AX392" s="481"/>
    </row>
    <row r="393" spans="1:50" s="454" customFormat="1" ht="15" x14ac:dyDescent="0.25">
      <c r="A393" s="718"/>
      <c r="B393" s="490" t="s">
        <v>640</v>
      </c>
      <c r="C393" s="2669" t="s">
        <v>2500</v>
      </c>
      <c r="D393" s="2669"/>
      <c r="E393" s="2669"/>
      <c r="F393" s="719"/>
      <c r="G393" s="564"/>
      <c r="H393" s="564"/>
      <c r="I393" s="564"/>
      <c r="J393" s="510">
        <v>591.01</v>
      </c>
      <c r="K393" s="511">
        <v>1.5</v>
      </c>
      <c r="L393" s="505">
        <v>4468.04</v>
      </c>
      <c r="M393" s="506">
        <v>27.32</v>
      </c>
      <c r="N393" s="720">
        <v>122066.85</v>
      </c>
      <c r="AF393" s="716"/>
      <c r="AG393" s="481"/>
      <c r="AI393" s="481"/>
      <c r="AK393" s="491" t="s">
        <v>2500</v>
      </c>
      <c r="AN393" s="481"/>
      <c r="AO393" s="746"/>
      <c r="AP393" s="746"/>
      <c r="AQ393" s="699"/>
      <c r="AR393" s="699"/>
      <c r="AS393" s="699"/>
      <c r="AT393" s="699"/>
      <c r="AU393" s="699"/>
      <c r="AV393" s="481"/>
      <c r="AX393" s="481"/>
    </row>
    <row r="394" spans="1:50" s="454" customFormat="1" ht="15" x14ac:dyDescent="0.25">
      <c r="A394" s="718"/>
      <c r="B394" s="490" t="s">
        <v>232</v>
      </c>
      <c r="C394" s="2669" t="s">
        <v>829</v>
      </c>
      <c r="D394" s="2669"/>
      <c r="E394" s="2669"/>
      <c r="F394" s="719"/>
      <c r="G394" s="564"/>
      <c r="H394" s="564"/>
      <c r="I394" s="564"/>
      <c r="J394" s="505">
        <v>21384.97</v>
      </c>
      <c r="K394" s="564"/>
      <c r="L394" s="505">
        <v>6027.69</v>
      </c>
      <c r="M394" s="506">
        <v>7.72</v>
      </c>
      <c r="N394" s="720">
        <v>46533.77</v>
      </c>
      <c r="AF394" s="716"/>
      <c r="AG394" s="481"/>
      <c r="AI394" s="481"/>
      <c r="AK394" s="491" t="s">
        <v>829</v>
      </c>
      <c r="AN394" s="481"/>
      <c r="AO394" s="746"/>
      <c r="AP394" s="746"/>
      <c r="AQ394" s="699"/>
      <c r="AR394" s="699"/>
      <c r="AS394" s="699"/>
      <c r="AT394" s="699"/>
      <c r="AU394" s="699"/>
      <c r="AV394" s="481"/>
      <c r="AX394" s="481"/>
    </row>
    <row r="395" spans="1:50" s="454" customFormat="1" ht="15" x14ac:dyDescent="0.25">
      <c r="A395" s="721"/>
      <c r="B395" s="490"/>
      <c r="C395" s="2669" t="s">
        <v>2524</v>
      </c>
      <c r="D395" s="2669"/>
      <c r="E395" s="2669"/>
      <c r="F395" s="719" t="s">
        <v>807</v>
      </c>
      <c r="G395" s="727">
        <v>101</v>
      </c>
      <c r="H395" s="511">
        <v>1.5</v>
      </c>
      <c r="I395" s="506">
        <v>763.56</v>
      </c>
      <c r="J395" s="501"/>
      <c r="K395" s="564"/>
      <c r="L395" s="501"/>
      <c r="M395" s="564"/>
      <c r="N395" s="723"/>
      <c r="AF395" s="716"/>
      <c r="AG395" s="481"/>
      <c r="AI395" s="481"/>
      <c r="AL395" s="491" t="s">
        <v>2524</v>
      </c>
      <c r="AN395" s="481"/>
      <c r="AO395" s="746"/>
      <c r="AP395" s="746"/>
      <c r="AQ395" s="699"/>
      <c r="AR395" s="699"/>
      <c r="AS395" s="699"/>
      <c r="AT395" s="699"/>
      <c r="AU395" s="699"/>
      <c r="AV395" s="481"/>
      <c r="AX395" s="481"/>
    </row>
    <row r="396" spans="1:50" s="454" customFormat="1" ht="15" x14ac:dyDescent="0.25">
      <c r="A396" s="721"/>
      <c r="B396" s="490"/>
      <c r="C396" s="2669" t="s">
        <v>2501</v>
      </c>
      <c r="D396" s="2669"/>
      <c r="E396" s="2669"/>
      <c r="F396" s="719" t="s">
        <v>807</v>
      </c>
      <c r="G396" s="506">
        <v>43.84</v>
      </c>
      <c r="H396" s="511">
        <v>1.5</v>
      </c>
      <c r="I396" s="752">
        <v>331.43040000000002</v>
      </c>
      <c r="J396" s="501"/>
      <c r="K396" s="564"/>
      <c r="L396" s="501"/>
      <c r="M396" s="564"/>
      <c r="N396" s="723"/>
      <c r="AF396" s="716"/>
      <c r="AG396" s="481"/>
      <c r="AI396" s="481"/>
      <c r="AL396" s="491" t="s">
        <v>2501</v>
      </c>
      <c r="AN396" s="481"/>
      <c r="AO396" s="746"/>
      <c r="AP396" s="746"/>
      <c r="AQ396" s="699"/>
      <c r="AR396" s="699"/>
      <c r="AS396" s="699"/>
      <c r="AT396" s="699"/>
      <c r="AU396" s="699"/>
      <c r="AV396" s="481"/>
      <c r="AX396" s="481"/>
    </row>
    <row r="397" spans="1:50" s="454" customFormat="1" ht="15" x14ac:dyDescent="0.25">
      <c r="A397" s="718"/>
      <c r="B397" s="490"/>
      <c r="C397" s="2711" t="s">
        <v>2502</v>
      </c>
      <c r="D397" s="2711"/>
      <c r="E397" s="2711"/>
      <c r="F397" s="724"/>
      <c r="G397" s="563"/>
      <c r="H397" s="563"/>
      <c r="I397" s="563"/>
      <c r="J397" s="725">
        <v>6430.75</v>
      </c>
      <c r="K397" s="563"/>
      <c r="L397" s="725">
        <v>45602.63</v>
      </c>
      <c r="M397" s="563"/>
      <c r="N397" s="726">
        <v>599157.49</v>
      </c>
      <c r="AF397" s="716"/>
      <c r="AG397" s="481"/>
      <c r="AI397" s="481"/>
      <c r="AM397" s="491" t="s">
        <v>2502</v>
      </c>
      <c r="AN397" s="481"/>
      <c r="AO397" s="746"/>
      <c r="AP397" s="746"/>
      <c r="AQ397" s="699"/>
      <c r="AR397" s="699"/>
      <c r="AS397" s="699"/>
      <c r="AT397" s="699"/>
      <c r="AU397" s="699"/>
      <c r="AV397" s="481"/>
      <c r="AX397" s="481"/>
    </row>
    <row r="398" spans="1:50" s="454" customFormat="1" ht="15" x14ac:dyDescent="0.25">
      <c r="A398" s="721"/>
      <c r="B398" s="490"/>
      <c r="C398" s="2669" t="s">
        <v>867</v>
      </c>
      <c r="D398" s="2669"/>
      <c r="E398" s="2669"/>
      <c r="F398" s="719"/>
      <c r="G398" s="564"/>
      <c r="H398" s="564"/>
      <c r="I398" s="564"/>
      <c r="J398" s="501"/>
      <c r="K398" s="564"/>
      <c r="L398" s="505">
        <v>11813.49</v>
      </c>
      <c r="M398" s="564"/>
      <c r="N398" s="720">
        <v>322744.53999999998</v>
      </c>
      <c r="AF398" s="716"/>
      <c r="AG398" s="481"/>
      <c r="AI398" s="481"/>
      <c r="AL398" s="491" t="s">
        <v>867</v>
      </c>
      <c r="AN398" s="481"/>
      <c r="AO398" s="746"/>
      <c r="AP398" s="746"/>
      <c r="AQ398" s="699"/>
      <c r="AR398" s="699"/>
      <c r="AS398" s="699"/>
      <c r="AT398" s="699"/>
      <c r="AU398" s="699"/>
      <c r="AV398" s="481"/>
      <c r="AX398" s="481"/>
    </row>
    <row r="399" spans="1:50" s="454" customFormat="1" ht="15" x14ac:dyDescent="0.25">
      <c r="A399" s="721"/>
      <c r="B399" s="490" t="s">
        <v>2625</v>
      </c>
      <c r="C399" s="2669" t="s">
        <v>2626</v>
      </c>
      <c r="D399" s="2669"/>
      <c r="E399" s="2669"/>
      <c r="F399" s="719" t="s">
        <v>636</v>
      </c>
      <c r="G399" s="727">
        <v>94</v>
      </c>
      <c r="H399" s="564"/>
      <c r="I399" s="727">
        <v>94</v>
      </c>
      <c r="J399" s="501"/>
      <c r="K399" s="564"/>
      <c r="L399" s="505">
        <v>11104.68</v>
      </c>
      <c r="M399" s="564"/>
      <c r="N399" s="720">
        <v>303379.87</v>
      </c>
      <c r="AF399" s="716"/>
      <c r="AG399" s="481"/>
      <c r="AI399" s="481"/>
      <c r="AL399" s="491" t="s">
        <v>2626</v>
      </c>
      <c r="AN399" s="481"/>
      <c r="AO399" s="746"/>
      <c r="AP399" s="746"/>
      <c r="AQ399" s="699"/>
      <c r="AR399" s="699"/>
      <c r="AS399" s="699"/>
      <c r="AT399" s="699"/>
      <c r="AU399" s="699"/>
      <c r="AV399" s="481"/>
      <c r="AX399" s="481"/>
    </row>
    <row r="400" spans="1:50" s="454" customFormat="1" ht="15" x14ac:dyDescent="0.25">
      <c r="A400" s="721"/>
      <c r="B400" s="490" t="s">
        <v>2627</v>
      </c>
      <c r="C400" s="2669" t="s">
        <v>2628</v>
      </c>
      <c r="D400" s="2669"/>
      <c r="E400" s="2669"/>
      <c r="F400" s="719" t="s">
        <v>636</v>
      </c>
      <c r="G400" s="727">
        <v>52</v>
      </c>
      <c r="H400" s="564"/>
      <c r="I400" s="727">
        <v>52</v>
      </c>
      <c r="J400" s="501"/>
      <c r="K400" s="564"/>
      <c r="L400" s="505">
        <v>6143.01</v>
      </c>
      <c r="M400" s="564"/>
      <c r="N400" s="720">
        <v>167827.16</v>
      </c>
      <c r="AF400" s="716"/>
      <c r="AG400" s="481"/>
      <c r="AI400" s="481"/>
      <c r="AL400" s="491" t="s">
        <v>2628</v>
      </c>
      <c r="AN400" s="481"/>
      <c r="AO400" s="746"/>
      <c r="AP400" s="746"/>
      <c r="AQ400" s="699"/>
      <c r="AR400" s="699"/>
      <c r="AS400" s="699"/>
      <c r="AT400" s="699"/>
      <c r="AU400" s="699"/>
      <c r="AV400" s="481"/>
      <c r="AX400" s="481"/>
    </row>
    <row r="401" spans="1:50" s="454" customFormat="1" ht="15" x14ac:dyDescent="0.25">
      <c r="A401" s="526"/>
      <c r="B401" s="567"/>
      <c r="C401" s="2722" t="s">
        <v>872</v>
      </c>
      <c r="D401" s="2722"/>
      <c r="E401" s="2722"/>
      <c r="F401" s="483"/>
      <c r="G401" s="484"/>
      <c r="H401" s="484"/>
      <c r="I401" s="484"/>
      <c r="J401" s="487"/>
      <c r="K401" s="484"/>
      <c r="L401" s="524">
        <v>62850.32</v>
      </c>
      <c r="M401" s="563"/>
      <c r="N401" s="525">
        <v>1070364.52</v>
      </c>
      <c r="AF401" s="716"/>
      <c r="AG401" s="481"/>
      <c r="AI401" s="481"/>
      <c r="AN401" s="481" t="s">
        <v>872</v>
      </c>
      <c r="AO401" s="746"/>
      <c r="AP401" s="746"/>
      <c r="AQ401" s="699"/>
      <c r="AR401" s="699"/>
      <c r="AS401" s="699"/>
      <c r="AT401" s="699"/>
      <c r="AU401" s="699"/>
      <c r="AV401" s="481"/>
      <c r="AX401" s="481"/>
    </row>
    <row r="402" spans="1:50" s="454" customFormat="1" ht="34.5" x14ac:dyDescent="0.25">
      <c r="A402" s="482" t="s">
        <v>1306</v>
      </c>
      <c r="B402" s="568" t="s">
        <v>2629</v>
      </c>
      <c r="C402" s="2722" t="s">
        <v>2630</v>
      </c>
      <c r="D402" s="2722"/>
      <c r="E402" s="2722"/>
      <c r="F402" s="483" t="s">
        <v>801</v>
      </c>
      <c r="G402" s="484">
        <v>36.96</v>
      </c>
      <c r="H402" s="485">
        <v>1</v>
      </c>
      <c r="I402" s="732">
        <v>36.96</v>
      </c>
      <c r="J402" s="527">
        <v>480</v>
      </c>
      <c r="K402" s="484"/>
      <c r="L402" s="524">
        <v>17740.8</v>
      </c>
      <c r="M402" s="732">
        <v>7.72</v>
      </c>
      <c r="N402" s="525">
        <v>136958.98000000001</v>
      </c>
      <c r="AF402" s="716"/>
      <c r="AG402" s="481"/>
      <c r="AI402" s="481" t="s">
        <v>2630</v>
      </c>
      <c r="AN402" s="481"/>
      <c r="AO402" s="746"/>
      <c r="AP402" s="746"/>
      <c r="AQ402" s="699"/>
      <c r="AR402" s="699"/>
      <c r="AS402" s="699"/>
      <c r="AT402" s="699"/>
      <c r="AU402" s="699"/>
      <c r="AV402" s="481"/>
      <c r="AX402" s="481"/>
    </row>
    <row r="403" spans="1:50" s="454" customFormat="1" ht="15" x14ac:dyDescent="0.25">
      <c r="A403" s="526"/>
      <c r="B403" s="567"/>
      <c r="C403" s="2722" t="s">
        <v>872</v>
      </c>
      <c r="D403" s="2722"/>
      <c r="E403" s="2722"/>
      <c r="F403" s="483"/>
      <c r="G403" s="484"/>
      <c r="H403" s="484"/>
      <c r="I403" s="484"/>
      <c r="J403" s="487"/>
      <c r="K403" s="484"/>
      <c r="L403" s="524">
        <v>17740.8</v>
      </c>
      <c r="M403" s="563"/>
      <c r="N403" s="525">
        <v>136958.98000000001</v>
      </c>
      <c r="AF403" s="716"/>
      <c r="AG403" s="481"/>
      <c r="AI403" s="481"/>
      <c r="AN403" s="481" t="s">
        <v>872</v>
      </c>
      <c r="AO403" s="746"/>
      <c r="AP403" s="746"/>
      <c r="AQ403" s="699"/>
      <c r="AR403" s="699"/>
      <c r="AS403" s="699"/>
      <c r="AT403" s="699"/>
      <c r="AU403" s="699"/>
      <c r="AV403" s="481"/>
      <c r="AX403" s="481"/>
    </row>
    <row r="404" spans="1:50" s="454" customFormat="1" ht="15" x14ac:dyDescent="0.25">
      <c r="A404" s="482" t="s">
        <v>1309</v>
      </c>
      <c r="B404" s="568" t="s">
        <v>2631</v>
      </c>
      <c r="C404" s="2722" t="s">
        <v>2632</v>
      </c>
      <c r="D404" s="2722"/>
      <c r="E404" s="2722"/>
      <c r="F404" s="483" t="s">
        <v>835</v>
      </c>
      <c r="G404" s="484">
        <v>1120</v>
      </c>
      <c r="H404" s="485">
        <v>1</v>
      </c>
      <c r="I404" s="485">
        <v>1120</v>
      </c>
      <c r="J404" s="527">
        <v>3.85</v>
      </c>
      <c r="K404" s="484"/>
      <c r="L404" s="524">
        <v>4312</v>
      </c>
      <c r="M404" s="732">
        <v>7.72</v>
      </c>
      <c r="N404" s="525">
        <v>33288.639999999999</v>
      </c>
      <c r="AF404" s="716"/>
      <c r="AG404" s="481"/>
      <c r="AI404" s="481" t="s">
        <v>2632</v>
      </c>
      <c r="AN404" s="481"/>
      <c r="AO404" s="746"/>
      <c r="AP404" s="746"/>
      <c r="AQ404" s="699"/>
      <c r="AR404" s="699"/>
      <c r="AS404" s="699"/>
      <c r="AT404" s="699"/>
      <c r="AU404" s="699"/>
      <c r="AV404" s="481"/>
      <c r="AX404" s="481"/>
    </row>
    <row r="405" spans="1:50" s="454" customFormat="1" ht="15" x14ac:dyDescent="0.25">
      <c r="A405" s="526"/>
      <c r="B405" s="567"/>
      <c r="C405" s="2722" t="s">
        <v>872</v>
      </c>
      <c r="D405" s="2722"/>
      <c r="E405" s="2722"/>
      <c r="F405" s="483"/>
      <c r="G405" s="484"/>
      <c r="H405" s="484"/>
      <c r="I405" s="484"/>
      <c r="J405" s="487"/>
      <c r="K405" s="484"/>
      <c r="L405" s="524">
        <v>4312</v>
      </c>
      <c r="M405" s="563"/>
      <c r="N405" s="525">
        <v>33288.639999999999</v>
      </c>
      <c r="AF405" s="716"/>
      <c r="AG405" s="481"/>
      <c r="AI405" s="481"/>
      <c r="AN405" s="481" t="s">
        <v>872</v>
      </c>
      <c r="AO405" s="746"/>
      <c r="AP405" s="746"/>
      <c r="AQ405" s="699"/>
      <c r="AR405" s="699"/>
      <c r="AS405" s="699"/>
      <c r="AT405" s="699"/>
      <c r="AU405" s="699"/>
      <c r="AV405" s="481"/>
      <c r="AX405" s="481"/>
    </row>
    <row r="406" spans="1:50" s="454" customFormat="1" ht="15" x14ac:dyDescent="0.25">
      <c r="A406" s="482" t="s">
        <v>1312</v>
      </c>
      <c r="B406" s="568" t="s">
        <v>2633</v>
      </c>
      <c r="C406" s="2722" t="s">
        <v>2634</v>
      </c>
      <c r="D406" s="2722"/>
      <c r="E406" s="2722"/>
      <c r="F406" s="483" t="s">
        <v>832</v>
      </c>
      <c r="G406" s="484">
        <v>21.167999999999999</v>
      </c>
      <c r="H406" s="485">
        <v>1</v>
      </c>
      <c r="I406" s="731">
        <v>21.167999999999999</v>
      </c>
      <c r="J406" s="527">
        <v>2.44</v>
      </c>
      <c r="K406" s="484"/>
      <c r="L406" s="527">
        <v>51.65</v>
      </c>
      <c r="M406" s="732">
        <v>7.72</v>
      </c>
      <c r="N406" s="734">
        <v>398.74</v>
      </c>
      <c r="AF406" s="716"/>
      <c r="AG406" s="481"/>
      <c r="AI406" s="481" t="s">
        <v>2634</v>
      </c>
      <c r="AN406" s="481"/>
      <c r="AO406" s="746"/>
      <c r="AP406" s="746"/>
      <c r="AQ406" s="699"/>
      <c r="AR406" s="699"/>
      <c r="AS406" s="699"/>
      <c r="AT406" s="699"/>
      <c r="AU406" s="699"/>
      <c r="AV406" s="481"/>
      <c r="AX406" s="481"/>
    </row>
    <row r="407" spans="1:50" s="454" customFormat="1" ht="15" x14ac:dyDescent="0.25">
      <c r="A407" s="526"/>
      <c r="B407" s="567"/>
      <c r="C407" s="2722" t="s">
        <v>872</v>
      </c>
      <c r="D407" s="2722"/>
      <c r="E407" s="2722"/>
      <c r="F407" s="483"/>
      <c r="G407" s="484"/>
      <c r="H407" s="484"/>
      <c r="I407" s="484"/>
      <c r="J407" s="487"/>
      <c r="K407" s="484"/>
      <c r="L407" s="527">
        <v>51.65</v>
      </c>
      <c r="M407" s="563"/>
      <c r="N407" s="734">
        <v>398.74</v>
      </c>
      <c r="AF407" s="716"/>
      <c r="AG407" s="481"/>
      <c r="AI407" s="481"/>
      <c r="AN407" s="481" t="s">
        <v>872</v>
      </c>
      <c r="AO407" s="746"/>
      <c r="AP407" s="746"/>
      <c r="AQ407" s="699"/>
      <c r="AR407" s="699"/>
      <c r="AS407" s="699"/>
      <c r="AT407" s="699"/>
      <c r="AU407" s="699"/>
      <c r="AV407" s="481"/>
      <c r="AX407" s="481"/>
    </row>
    <row r="408" spans="1:50" s="454" customFormat="1" ht="23.25" x14ac:dyDescent="0.25">
      <c r="A408" s="482" t="s">
        <v>1314</v>
      </c>
      <c r="B408" s="568" t="s">
        <v>2635</v>
      </c>
      <c r="C408" s="2722" t="s">
        <v>2636</v>
      </c>
      <c r="D408" s="2722"/>
      <c r="E408" s="2722"/>
      <c r="F408" s="483" t="s">
        <v>2637</v>
      </c>
      <c r="G408" s="484">
        <v>168</v>
      </c>
      <c r="H408" s="485">
        <v>1</v>
      </c>
      <c r="I408" s="485">
        <v>168</v>
      </c>
      <c r="J408" s="487"/>
      <c r="K408" s="484"/>
      <c r="L408" s="487"/>
      <c r="M408" s="484"/>
      <c r="N408" s="488"/>
      <c r="AF408" s="716"/>
      <c r="AG408" s="481"/>
      <c r="AI408" s="481" t="s">
        <v>2636</v>
      </c>
      <c r="AN408" s="481"/>
      <c r="AO408" s="746"/>
      <c r="AP408" s="746"/>
      <c r="AQ408" s="699"/>
      <c r="AR408" s="699"/>
      <c r="AS408" s="699"/>
      <c r="AT408" s="699"/>
      <c r="AU408" s="699"/>
      <c r="AV408" s="481"/>
      <c r="AX408" s="481"/>
    </row>
    <row r="409" spans="1:50" s="454" customFormat="1" ht="33.75" x14ac:dyDescent="0.25">
      <c r="A409" s="489"/>
      <c r="B409" s="490" t="s">
        <v>1655</v>
      </c>
      <c r="C409" s="2709" t="s">
        <v>1656</v>
      </c>
      <c r="D409" s="2709"/>
      <c r="E409" s="2709"/>
      <c r="F409" s="2709"/>
      <c r="G409" s="2709"/>
      <c r="H409" s="2709"/>
      <c r="I409" s="2709"/>
      <c r="J409" s="2709"/>
      <c r="K409" s="2709"/>
      <c r="L409" s="2709"/>
      <c r="M409" s="2709"/>
      <c r="N409" s="2710"/>
      <c r="AF409" s="716"/>
      <c r="AG409" s="481"/>
      <c r="AI409" s="481"/>
      <c r="AJ409" s="491" t="s">
        <v>1656</v>
      </c>
      <c r="AN409" s="481"/>
      <c r="AO409" s="746"/>
      <c r="AP409" s="746"/>
      <c r="AQ409" s="699"/>
      <c r="AR409" s="699"/>
      <c r="AS409" s="699"/>
      <c r="AT409" s="699"/>
      <c r="AU409" s="699"/>
      <c r="AV409" s="481"/>
      <c r="AX409" s="481"/>
    </row>
    <row r="410" spans="1:50" s="454" customFormat="1" ht="15" x14ac:dyDescent="0.25">
      <c r="A410" s="718"/>
      <c r="B410" s="490" t="s">
        <v>190</v>
      </c>
      <c r="C410" s="2669" t="s">
        <v>2523</v>
      </c>
      <c r="D410" s="2669"/>
      <c r="E410" s="2669"/>
      <c r="F410" s="719"/>
      <c r="G410" s="564"/>
      <c r="H410" s="564"/>
      <c r="I410" s="564"/>
      <c r="J410" s="510">
        <v>1.54</v>
      </c>
      <c r="K410" s="511">
        <v>1.5</v>
      </c>
      <c r="L410" s="510">
        <v>388.08</v>
      </c>
      <c r="M410" s="506">
        <v>27.32</v>
      </c>
      <c r="N410" s="720">
        <v>10602.35</v>
      </c>
      <c r="AF410" s="716"/>
      <c r="AG410" s="481"/>
      <c r="AI410" s="481"/>
      <c r="AK410" s="491" t="s">
        <v>2523</v>
      </c>
      <c r="AN410" s="481"/>
      <c r="AO410" s="746"/>
      <c r="AP410" s="746"/>
      <c r="AQ410" s="699"/>
      <c r="AR410" s="699"/>
      <c r="AS410" s="699"/>
      <c r="AT410" s="699"/>
      <c r="AU410" s="699"/>
      <c r="AV410" s="481"/>
      <c r="AX410" s="481"/>
    </row>
    <row r="411" spans="1:50" s="454" customFormat="1" ht="15" x14ac:dyDescent="0.25">
      <c r="A411" s="718"/>
      <c r="B411" s="490" t="s">
        <v>639</v>
      </c>
      <c r="C411" s="2669" t="s">
        <v>697</v>
      </c>
      <c r="D411" s="2669"/>
      <c r="E411" s="2669"/>
      <c r="F411" s="719"/>
      <c r="G411" s="564"/>
      <c r="H411" s="564"/>
      <c r="I411" s="564"/>
      <c r="J411" s="510">
        <v>1.49</v>
      </c>
      <c r="K411" s="511">
        <v>1.5</v>
      </c>
      <c r="L411" s="510">
        <v>375.48</v>
      </c>
      <c r="M411" s="506">
        <v>10.92</v>
      </c>
      <c r="N411" s="720">
        <v>4100.24</v>
      </c>
      <c r="AF411" s="716"/>
      <c r="AG411" s="481"/>
      <c r="AI411" s="481"/>
      <c r="AK411" s="491" t="s">
        <v>697</v>
      </c>
      <c r="AN411" s="481"/>
      <c r="AO411" s="746"/>
      <c r="AP411" s="746"/>
      <c r="AQ411" s="699"/>
      <c r="AR411" s="699"/>
      <c r="AS411" s="699"/>
      <c r="AT411" s="699"/>
      <c r="AU411" s="699"/>
      <c r="AV411" s="481"/>
      <c r="AX411" s="481"/>
    </row>
    <row r="412" spans="1:50" s="454" customFormat="1" ht="15" x14ac:dyDescent="0.25">
      <c r="A412" s="718"/>
      <c r="B412" s="490" t="s">
        <v>640</v>
      </c>
      <c r="C412" s="2669" t="s">
        <v>2500</v>
      </c>
      <c r="D412" s="2669"/>
      <c r="E412" s="2669"/>
      <c r="F412" s="719"/>
      <c r="G412" s="564"/>
      <c r="H412" s="564"/>
      <c r="I412" s="564"/>
      <c r="J412" s="510">
        <v>0.23</v>
      </c>
      <c r="K412" s="511">
        <v>1.5</v>
      </c>
      <c r="L412" s="510">
        <v>57.96</v>
      </c>
      <c r="M412" s="506">
        <v>27.32</v>
      </c>
      <c r="N412" s="720">
        <v>1583.47</v>
      </c>
      <c r="AF412" s="716"/>
      <c r="AG412" s="481"/>
      <c r="AI412" s="481"/>
      <c r="AK412" s="491" t="s">
        <v>2500</v>
      </c>
      <c r="AN412" s="481"/>
      <c r="AO412" s="746"/>
      <c r="AP412" s="746"/>
      <c r="AQ412" s="699"/>
      <c r="AR412" s="699"/>
      <c r="AS412" s="699"/>
      <c r="AT412" s="699"/>
      <c r="AU412" s="699"/>
      <c r="AV412" s="481"/>
      <c r="AX412" s="481"/>
    </row>
    <row r="413" spans="1:50" s="454" customFormat="1" ht="15" x14ac:dyDescent="0.25">
      <c r="A413" s="718"/>
      <c r="B413" s="490" t="s">
        <v>232</v>
      </c>
      <c r="C413" s="2669" t="s">
        <v>829</v>
      </c>
      <c r="D413" s="2669"/>
      <c r="E413" s="2669"/>
      <c r="F413" s="719"/>
      <c r="G413" s="564"/>
      <c r="H413" s="564"/>
      <c r="I413" s="564"/>
      <c r="J413" s="510">
        <v>1.1100000000000001</v>
      </c>
      <c r="K413" s="564"/>
      <c r="L413" s="510">
        <v>186.48</v>
      </c>
      <c r="M413" s="506">
        <v>7.72</v>
      </c>
      <c r="N413" s="720">
        <v>1439.63</v>
      </c>
      <c r="AF413" s="716"/>
      <c r="AG413" s="481"/>
      <c r="AI413" s="481"/>
      <c r="AK413" s="491" t="s">
        <v>829</v>
      </c>
      <c r="AN413" s="481"/>
      <c r="AO413" s="746"/>
      <c r="AP413" s="746"/>
      <c r="AQ413" s="699"/>
      <c r="AR413" s="699"/>
      <c r="AS413" s="699"/>
      <c r="AT413" s="699"/>
      <c r="AU413" s="699"/>
      <c r="AV413" s="481"/>
      <c r="AX413" s="481"/>
    </row>
    <row r="414" spans="1:50" s="454" customFormat="1" ht="15" x14ac:dyDescent="0.25">
      <c r="A414" s="721"/>
      <c r="B414" s="490"/>
      <c r="C414" s="2669" t="s">
        <v>2524</v>
      </c>
      <c r="D414" s="2669"/>
      <c r="E414" s="2669"/>
      <c r="F414" s="719" t="s">
        <v>807</v>
      </c>
      <c r="G414" s="506">
        <v>0.17</v>
      </c>
      <c r="H414" s="511">
        <v>1.5</v>
      </c>
      <c r="I414" s="506">
        <v>42.84</v>
      </c>
      <c r="J414" s="501"/>
      <c r="K414" s="564"/>
      <c r="L414" s="501"/>
      <c r="M414" s="564"/>
      <c r="N414" s="723"/>
      <c r="AF414" s="716"/>
      <c r="AG414" s="481"/>
      <c r="AI414" s="481"/>
      <c r="AL414" s="491" t="s">
        <v>2524</v>
      </c>
      <c r="AN414" s="481"/>
      <c r="AO414" s="746"/>
      <c r="AP414" s="746"/>
      <c r="AQ414" s="699"/>
      <c r="AR414" s="699"/>
      <c r="AS414" s="699"/>
      <c r="AT414" s="699"/>
      <c r="AU414" s="699"/>
      <c r="AV414" s="481"/>
      <c r="AX414" s="481"/>
    </row>
    <row r="415" spans="1:50" s="454" customFormat="1" ht="15" x14ac:dyDescent="0.25">
      <c r="A415" s="721"/>
      <c r="B415" s="490"/>
      <c r="C415" s="2669" t="s">
        <v>2501</v>
      </c>
      <c r="D415" s="2669"/>
      <c r="E415" s="2669"/>
      <c r="F415" s="719" t="s">
        <v>807</v>
      </c>
      <c r="G415" s="506">
        <v>0.02</v>
      </c>
      <c r="H415" s="511">
        <v>1.5</v>
      </c>
      <c r="I415" s="506">
        <v>5.04</v>
      </c>
      <c r="J415" s="501"/>
      <c r="K415" s="564"/>
      <c r="L415" s="501"/>
      <c r="M415" s="564"/>
      <c r="N415" s="723"/>
      <c r="AF415" s="716"/>
      <c r="AG415" s="481"/>
      <c r="AI415" s="481"/>
      <c r="AL415" s="491" t="s">
        <v>2501</v>
      </c>
      <c r="AN415" s="481"/>
      <c r="AO415" s="746"/>
      <c r="AP415" s="746"/>
      <c r="AQ415" s="699"/>
      <c r="AR415" s="699"/>
      <c r="AS415" s="699"/>
      <c r="AT415" s="699"/>
      <c r="AU415" s="699"/>
      <c r="AV415" s="481"/>
      <c r="AX415" s="481"/>
    </row>
    <row r="416" spans="1:50" s="454" customFormat="1" ht="15" x14ac:dyDescent="0.25">
      <c r="A416" s="718"/>
      <c r="B416" s="490"/>
      <c r="C416" s="2711" t="s">
        <v>2502</v>
      </c>
      <c r="D416" s="2711"/>
      <c r="E416" s="2711"/>
      <c r="F416" s="724"/>
      <c r="G416" s="563"/>
      <c r="H416" s="563"/>
      <c r="I416" s="563"/>
      <c r="J416" s="729">
        <v>4.1399999999999997</v>
      </c>
      <c r="K416" s="563"/>
      <c r="L416" s="729">
        <v>950.04</v>
      </c>
      <c r="M416" s="563"/>
      <c r="N416" s="726">
        <v>16142.22</v>
      </c>
      <c r="AF416" s="716"/>
      <c r="AG416" s="481"/>
      <c r="AI416" s="481"/>
      <c r="AM416" s="491" t="s">
        <v>2502</v>
      </c>
      <c r="AN416" s="481"/>
      <c r="AO416" s="746"/>
      <c r="AP416" s="746"/>
      <c r="AQ416" s="699"/>
      <c r="AR416" s="699"/>
      <c r="AS416" s="699"/>
      <c r="AT416" s="699"/>
      <c r="AU416" s="699"/>
      <c r="AV416" s="481"/>
      <c r="AX416" s="481"/>
    </row>
    <row r="417" spans="1:50" s="454" customFormat="1" ht="15" x14ac:dyDescent="0.25">
      <c r="A417" s="721"/>
      <c r="B417" s="490"/>
      <c r="C417" s="2669" t="s">
        <v>867</v>
      </c>
      <c r="D417" s="2669"/>
      <c r="E417" s="2669"/>
      <c r="F417" s="719"/>
      <c r="G417" s="564"/>
      <c r="H417" s="564"/>
      <c r="I417" s="564"/>
      <c r="J417" s="501"/>
      <c r="K417" s="564"/>
      <c r="L417" s="510">
        <v>446.04</v>
      </c>
      <c r="M417" s="564"/>
      <c r="N417" s="720">
        <v>12185.82</v>
      </c>
      <c r="AF417" s="716"/>
      <c r="AG417" s="481"/>
      <c r="AI417" s="481"/>
      <c r="AL417" s="491" t="s">
        <v>867</v>
      </c>
      <c r="AN417" s="481"/>
      <c r="AO417" s="746"/>
      <c r="AP417" s="746"/>
      <c r="AQ417" s="699"/>
      <c r="AR417" s="699"/>
      <c r="AS417" s="699"/>
      <c r="AT417" s="699"/>
      <c r="AU417" s="699"/>
      <c r="AV417" s="481"/>
      <c r="AX417" s="481"/>
    </row>
    <row r="418" spans="1:50" s="454" customFormat="1" ht="15" x14ac:dyDescent="0.25">
      <c r="A418" s="721"/>
      <c r="B418" s="490" t="s">
        <v>2589</v>
      </c>
      <c r="C418" s="2669" t="s">
        <v>2590</v>
      </c>
      <c r="D418" s="2669"/>
      <c r="E418" s="2669"/>
      <c r="F418" s="719" t="s">
        <v>636</v>
      </c>
      <c r="G418" s="727">
        <v>106</v>
      </c>
      <c r="H418" s="564"/>
      <c r="I418" s="727">
        <v>106</v>
      </c>
      <c r="J418" s="501"/>
      <c r="K418" s="564"/>
      <c r="L418" s="510">
        <v>472.8</v>
      </c>
      <c r="M418" s="564"/>
      <c r="N418" s="720">
        <v>12916.97</v>
      </c>
      <c r="AF418" s="716"/>
      <c r="AG418" s="481"/>
      <c r="AI418" s="481"/>
      <c r="AL418" s="491" t="s">
        <v>2590</v>
      </c>
      <c r="AN418" s="481"/>
      <c r="AO418" s="746"/>
      <c r="AP418" s="746"/>
      <c r="AQ418" s="699"/>
      <c r="AR418" s="699"/>
      <c r="AS418" s="699"/>
      <c r="AT418" s="699"/>
      <c r="AU418" s="699"/>
      <c r="AV418" s="481"/>
      <c r="AX418" s="481"/>
    </row>
    <row r="419" spans="1:50" s="454" customFormat="1" ht="15" x14ac:dyDescent="0.25">
      <c r="A419" s="721"/>
      <c r="B419" s="490" t="s">
        <v>2591</v>
      </c>
      <c r="C419" s="2669" t="s">
        <v>2592</v>
      </c>
      <c r="D419" s="2669"/>
      <c r="E419" s="2669"/>
      <c r="F419" s="719" t="s">
        <v>636</v>
      </c>
      <c r="G419" s="727">
        <v>45</v>
      </c>
      <c r="H419" s="564"/>
      <c r="I419" s="727">
        <v>45</v>
      </c>
      <c r="J419" s="501"/>
      <c r="K419" s="564"/>
      <c r="L419" s="510">
        <v>200.72</v>
      </c>
      <c r="M419" s="564"/>
      <c r="N419" s="720">
        <v>5483.62</v>
      </c>
      <c r="AF419" s="716"/>
      <c r="AG419" s="481"/>
      <c r="AI419" s="481"/>
      <c r="AL419" s="491" t="s">
        <v>2592</v>
      </c>
      <c r="AN419" s="481"/>
      <c r="AO419" s="746"/>
      <c r="AP419" s="746"/>
      <c r="AQ419" s="699"/>
      <c r="AR419" s="699"/>
      <c r="AS419" s="699"/>
      <c r="AT419" s="699"/>
      <c r="AU419" s="699"/>
      <c r="AV419" s="481"/>
      <c r="AX419" s="481"/>
    </row>
    <row r="420" spans="1:50" s="454" customFormat="1" ht="15" x14ac:dyDescent="0.25">
      <c r="A420" s="526"/>
      <c r="B420" s="567"/>
      <c r="C420" s="2722" t="s">
        <v>872</v>
      </c>
      <c r="D420" s="2722"/>
      <c r="E420" s="2722"/>
      <c r="F420" s="483"/>
      <c r="G420" s="484"/>
      <c r="H420" s="484"/>
      <c r="I420" s="484"/>
      <c r="J420" s="487"/>
      <c r="K420" s="484"/>
      <c r="L420" s="524">
        <v>1623.56</v>
      </c>
      <c r="M420" s="563"/>
      <c r="N420" s="525">
        <v>34542.81</v>
      </c>
      <c r="AF420" s="716"/>
      <c r="AG420" s="481"/>
      <c r="AI420" s="481"/>
      <c r="AN420" s="481" t="s">
        <v>872</v>
      </c>
      <c r="AO420" s="746"/>
      <c r="AP420" s="746"/>
      <c r="AQ420" s="699"/>
      <c r="AR420" s="699"/>
      <c r="AS420" s="699"/>
      <c r="AT420" s="699"/>
      <c r="AU420" s="699"/>
      <c r="AV420" s="481"/>
      <c r="AX420" s="481"/>
    </row>
    <row r="421" spans="1:50" s="454" customFormat="1" ht="15" x14ac:dyDescent="0.25">
      <c r="A421" s="2716" t="s">
        <v>2638</v>
      </c>
      <c r="B421" s="2717"/>
      <c r="C421" s="2717"/>
      <c r="D421" s="2717"/>
      <c r="E421" s="2717"/>
      <c r="F421" s="2717"/>
      <c r="G421" s="2717"/>
      <c r="H421" s="2717"/>
      <c r="I421" s="2717"/>
      <c r="J421" s="2717"/>
      <c r="K421" s="2717"/>
      <c r="L421" s="2717"/>
      <c r="M421" s="2717"/>
      <c r="N421" s="2718"/>
      <c r="AF421" s="716"/>
      <c r="AG421" s="481" t="s">
        <v>2638</v>
      </c>
      <c r="AI421" s="481"/>
      <c r="AN421" s="481"/>
      <c r="AO421" s="746"/>
      <c r="AP421" s="746"/>
      <c r="AQ421" s="699"/>
      <c r="AR421" s="699"/>
      <c r="AS421" s="699"/>
      <c r="AT421" s="699"/>
      <c r="AU421" s="699"/>
      <c r="AV421" s="481"/>
      <c r="AX421" s="481"/>
    </row>
    <row r="422" spans="1:50" s="454" customFormat="1" ht="23.25" x14ac:dyDescent="0.25">
      <c r="A422" s="482" t="s">
        <v>1316</v>
      </c>
      <c r="B422" s="568" t="s">
        <v>2569</v>
      </c>
      <c r="C422" s="2722" t="s">
        <v>2570</v>
      </c>
      <c r="D422" s="2722"/>
      <c r="E422" s="2722"/>
      <c r="F422" s="483" t="s">
        <v>832</v>
      </c>
      <c r="G422" s="484">
        <v>8.1199999999999992</v>
      </c>
      <c r="H422" s="485">
        <v>1</v>
      </c>
      <c r="I422" s="732">
        <v>8.1199999999999992</v>
      </c>
      <c r="J422" s="487"/>
      <c r="K422" s="484"/>
      <c r="L422" s="487"/>
      <c r="M422" s="484"/>
      <c r="N422" s="488"/>
      <c r="AF422" s="716"/>
      <c r="AG422" s="481"/>
      <c r="AI422" s="481" t="s">
        <v>2570</v>
      </c>
      <c r="AN422" s="481"/>
      <c r="AO422" s="746"/>
      <c r="AP422" s="746"/>
      <c r="AQ422" s="699"/>
      <c r="AR422" s="699"/>
      <c r="AS422" s="699"/>
      <c r="AT422" s="699"/>
      <c r="AU422" s="699"/>
      <c r="AV422" s="481"/>
      <c r="AX422" s="481"/>
    </row>
    <row r="423" spans="1:50" s="454" customFormat="1" ht="33.75" x14ac:dyDescent="0.25">
      <c r="A423" s="489"/>
      <c r="B423" s="490" t="s">
        <v>1655</v>
      </c>
      <c r="C423" s="2709" t="s">
        <v>1656</v>
      </c>
      <c r="D423" s="2709"/>
      <c r="E423" s="2709"/>
      <c r="F423" s="2709"/>
      <c r="G423" s="2709"/>
      <c r="H423" s="2709"/>
      <c r="I423" s="2709"/>
      <c r="J423" s="2709"/>
      <c r="K423" s="2709"/>
      <c r="L423" s="2709"/>
      <c r="M423" s="2709"/>
      <c r="N423" s="2710"/>
      <c r="AF423" s="716"/>
      <c r="AG423" s="481"/>
      <c r="AI423" s="481"/>
      <c r="AJ423" s="491" t="s">
        <v>1656</v>
      </c>
      <c r="AN423" s="481"/>
      <c r="AO423" s="746"/>
      <c r="AP423" s="746"/>
      <c r="AQ423" s="699"/>
      <c r="AR423" s="699"/>
      <c r="AS423" s="699"/>
      <c r="AT423" s="699"/>
      <c r="AU423" s="699"/>
      <c r="AV423" s="481"/>
      <c r="AX423" s="481"/>
    </row>
    <row r="424" spans="1:50" s="454" customFormat="1" ht="15" x14ac:dyDescent="0.25">
      <c r="A424" s="718"/>
      <c r="B424" s="490" t="s">
        <v>190</v>
      </c>
      <c r="C424" s="2669" t="s">
        <v>2523</v>
      </c>
      <c r="D424" s="2669"/>
      <c r="E424" s="2669"/>
      <c r="F424" s="719"/>
      <c r="G424" s="564"/>
      <c r="H424" s="564"/>
      <c r="I424" s="564"/>
      <c r="J424" s="510">
        <v>6.75</v>
      </c>
      <c r="K424" s="511">
        <v>1.5</v>
      </c>
      <c r="L424" s="510">
        <v>82.22</v>
      </c>
      <c r="M424" s="506">
        <v>27.32</v>
      </c>
      <c r="N424" s="720">
        <v>2246.25</v>
      </c>
      <c r="AF424" s="716"/>
      <c r="AG424" s="481"/>
      <c r="AI424" s="481"/>
      <c r="AK424" s="491" t="s">
        <v>2523</v>
      </c>
      <c r="AN424" s="481"/>
      <c r="AO424" s="746"/>
      <c r="AP424" s="746"/>
      <c r="AQ424" s="699"/>
      <c r="AR424" s="699"/>
      <c r="AS424" s="699"/>
      <c r="AT424" s="699"/>
      <c r="AU424" s="699"/>
      <c r="AV424" s="481"/>
      <c r="AX424" s="481"/>
    </row>
    <row r="425" spans="1:50" s="454" customFormat="1" ht="15" x14ac:dyDescent="0.25">
      <c r="A425" s="718"/>
      <c r="B425" s="490" t="s">
        <v>639</v>
      </c>
      <c r="C425" s="2669" t="s">
        <v>697</v>
      </c>
      <c r="D425" s="2669"/>
      <c r="E425" s="2669"/>
      <c r="F425" s="719"/>
      <c r="G425" s="564"/>
      <c r="H425" s="564"/>
      <c r="I425" s="564"/>
      <c r="J425" s="510">
        <v>8.2899999999999991</v>
      </c>
      <c r="K425" s="511">
        <v>1.5</v>
      </c>
      <c r="L425" s="510">
        <v>100.97</v>
      </c>
      <c r="M425" s="506">
        <v>10.92</v>
      </c>
      <c r="N425" s="720">
        <v>1102.5899999999999</v>
      </c>
      <c r="AF425" s="716"/>
      <c r="AG425" s="481"/>
      <c r="AI425" s="481"/>
      <c r="AK425" s="491" t="s">
        <v>697</v>
      </c>
      <c r="AN425" s="481"/>
      <c r="AO425" s="746"/>
      <c r="AP425" s="746"/>
      <c r="AQ425" s="699"/>
      <c r="AR425" s="699"/>
      <c r="AS425" s="699"/>
      <c r="AT425" s="699"/>
      <c r="AU425" s="699"/>
      <c r="AV425" s="481"/>
      <c r="AX425" s="481"/>
    </row>
    <row r="426" spans="1:50" s="454" customFormat="1" ht="15" x14ac:dyDescent="0.25">
      <c r="A426" s="718"/>
      <c r="B426" s="490" t="s">
        <v>640</v>
      </c>
      <c r="C426" s="2669" t="s">
        <v>2500</v>
      </c>
      <c r="D426" s="2669"/>
      <c r="E426" s="2669"/>
      <c r="F426" s="719"/>
      <c r="G426" s="564"/>
      <c r="H426" s="564"/>
      <c r="I426" s="564"/>
      <c r="J426" s="510">
        <v>0.81</v>
      </c>
      <c r="K426" s="511">
        <v>1.5</v>
      </c>
      <c r="L426" s="510">
        <v>9.8699999999999992</v>
      </c>
      <c r="M426" s="506">
        <v>27.32</v>
      </c>
      <c r="N426" s="730">
        <v>269.64999999999998</v>
      </c>
      <c r="AF426" s="716"/>
      <c r="AG426" s="481"/>
      <c r="AI426" s="481"/>
      <c r="AK426" s="491" t="s">
        <v>2500</v>
      </c>
      <c r="AN426" s="481"/>
      <c r="AO426" s="746"/>
      <c r="AP426" s="746"/>
      <c r="AQ426" s="699"/>
      <c r="AR426" s="699"/>
      <c r="AS426" s="699"/>
      <c r="AT426" s="699"/>
      <c r="AU426" s="699"/>
      <c r="AV426" s="481"/>
      <c r="AX426" s="481"/>
    </row>
    <row r="427" spans="1:50" s="454" customFormat="1" ht="15" x14ac:dyDescent="0.25">
      <c r="A427" s="718"/>
      <c r="B427" s="490" t="s">
        <v>232</v>
      </c>
      <c r="C427" s="2669" t="s">
        <v>829</v>
      </c>
      <c r="D427" s="2669"/>
      <c r="E427" s="2669"/>
      <c r="F427" s="719"/>
      <c r="G427" s="564"/>
      <c r="H427" s="564"/>
      <c r="I427" s="564"/>
      <c r="J427" s="510">
        <v>0.37</v>
      </c>
      <c r="K427" s="564"/>
      <c r="L427" s="510">
        <v>3</v>
      </c>
      <c r="M427" s="506">
        <v>7.72</v>
      </c>
      <c r="N427" s="730">
        <v>23.16</v>
      </c>
      <c r="AF427" s="716"/>
      <c r="AG427" s="481"/>
      <c r="AI427" s="481"/>
      <c r="AK427" s="491" t="s">
        <v>829</v>
      </c>
      <c r="AN427" s="481"/>
      <c r="AO427" s="746"/>
      <c r="AP427" s="746"/>
      <c r="AQ427" s="699"/>
      <c r="AR427" s="699"/>
      <c r="AS427" s="699"/>
      <c r="AT427" s="699"/>
      <c r="AU427" s="699"/>
      <c r="AV427" s="481"/>
      <c r="AX427" s="481"/>
    </row>
    <row r="428" spans="1:50" s="454" customFormat="1" ht="15" x14ac:dyDescent="0.25">
      <c r="A428" s="721"/>
      <c r="B428" s="490"/>
      <c r="C428" s="2669" t="s">
        <v>2524</v>
      </c>
      <c r="D428" s="2669"/>
      <c r="E428" s="2669"/>
      <c r="F428" s="719" t="s">
        <v>807</v>
      </c>
      <c r="G428" s="506">
        <v>0.85</v>
      </c>
      <c r="H428" s="511">
        <v>1.5</v>
      </c>
      <c r="I428" s="791">
        <v>10.353</v>
      </c>
      <c r="J428" s="501"/>
      <c r="K428" s="564"/>
      <c r="L428" s="501"/>
      <c r="M428" s="564"/>
      <c r="N428" s="723"/>
      <c r="AF428" s="716"/>
      <c r="AG428" s="481"/>
      <c r="AI428" s="481"/>
      <c r="AL428" s="491" t="s">
        <v>2524</v>
      </c>
      <c r="AN428" s="481"/>
      <c r="AO428" s="746"/>
      <c r="AP428" s="746"/>
      <c r="AQ428" s="699"/>
      <c r="AR428" s="699"/>
      <c r="AS428" s="699"/>
      <c r="AT428" s="699"/>
      <c r="AU428" s="699"/>
      <c r="AV428" s="481"/>
      <c r="AX428" s="481"/>
    </row>
    <row r="429" spans="1:50" s="454" customFormat="1" ht="15" x14ac:dyDescent="0.25">
      <c r="A429" s="721"/>
      <c r="B429" s="490"/>
      <c r="C429" s="2669" t="s">
        <v>2501</v>
      </c>
      <c r="D429" s="2669"/>
      <c r="E429" s="2669"/>
      <c r="F429" s="719" t="s">
        <v>807</v>
      </c>
      <c r="G429" s="506">
        <v>7.0000000000000007E-2</v>
      </c>
      <c r="H429" s="511">
        <v>1.5</v>
      </c>
      <c r="I429" s="752">
        <v>0.85260000000000002</v>
      </c>
      <c r="J429" s="501"/>
      <c r="K429" s="564"/>
      <c r="L429" s="501"/>
      <c r="M429" s="564"/>
      <c r="N429" s="723"/>
      <c r="AF429" s="716"/>
      <c r="AG429" s="481"/>
      <c r="AI429" s="481"/>
      <c r="AL429" s="491" t="s">
        <v>2501</v>
      </c>
      <c r="AN429" s="481"/>
      <c r="AO429" s="746"/>
      <c r="AP429" s="746"/>
      <c r="AQ429" s="699"/>
      <c r="AR429" s="699"/>
      <c r="AS429" s="699"/>
      <c r="AT429" s="699"/>
      <c r="AU429" s="699"/>
      <c r="AV429" s="481"/>
      <c r="AX429" s="481"/>
    </row>
    <row r="430" spans="1:50" s="454" customFormat="1" ht="15" x14ac:dyDescent="0.25">
      <c r="A430" s="718"/>
      <c r="B430" s="490"/>
      <c r="C430" s="2711" t="s">
        <v>2502</v>
      </c>
      <c r="D430" s="2711"/>
      <c r="E430" s="2711"/>
      <c r="F430" s="724"/>
      <c r="G430" s="563"/>
      <c r="H430" s="563"/>
      <c r="I430" s="563"/>
      <c r="J430" s="729">
        <v>15.41</v>
      </c>
      <c r="K430" s="563"/>
      <c r="L430" s="729">
        <v>186.19</v>
      </c>
      <c r="M430" s="563"/>
      <c r="N430" s="726">
        <v>3372</v>
      </c>
      <c r="AF430" s="716"/>
      <c r="AG430" s="481"/>
      <c r="AI430" s="481"/>
      <c r="AM430" s="491" t="s">
        <v>2502</v>
      </c>
      <c r="AN430" s="481"/>
      <c r="AO430" s="746"/>
      <c r="AP430" s="746"/>
      <c r="AQ430" s="699"/>
      <c r="AR430" s="699"/>
      <c r="AS430" s="699"/>
      <c r="AT430" s="699"/>
      <c r="AU430" s="699"/>
      <c r="AV430" s="481"/>
      <c r="AX430" s="481"/>
    </row>
    <row r="431" spans="1:50" s="454" customFormat="1" ht="15" x14ac:dyDescent="0.25">
      <c r="A431" s="721"/>
      <c r="B431" s="490"/>
      <c r="C431" s="2669" t="s">
        <v>867</v>
      </c>
      <c r="D431" s="2669"/>
      <c r="E431" s="2669"/>
      <c r="F431" s="719"/>
      <c r="G431" s="564"/>
      <c r="H431" s="564"/>
      <c r="I431" s="564"/>
      <c r="J431" s="501"/>
      <c r="K431" s="564"/>
      <c r="L431" s="510">
        <v>92.09</v>
      </c>
      <c r="M431" s="564"/>
      <c r="N431" s="720">
        <v>2515.9</v>
      </c>
      <c r="AF431" s="716"/>
      <c r="AG431" s="481"/>
      <c r="AI431" s="481"/>
      <c r="AL431" s="491" t="s">
        <v>867</v>
      </c>
      <c r="AN431" s="481"/>
      <c r="AO431" s="746"/>
      <c r="AP431" s="746"/>
      <c r="AQ431" s="699"/>
      <c r="AR431" s="699"/>
      <c r="AS431" s="699"/>
      <c r="AT431" s="699"/>
      <c r="AU431" s="699"/>
      <c r="AV431" s="481"/>
      <c r="AX431" s="481"/>
    </row>
    <row r="432" spans="1:50" s="454" customFormat="1" ht="15" x14ac:dyDescent="0.25">
      <c r="A432" s="721"/>
      <c r="B432" s="490" t="s">
        <v>2556</v>
      </c>
      <c r="C432" s="2669" t="s">
        <v>2557</v>
      </c>
      <c r="D432" s="2669"/>
      <c r="E432" s="2669"/>
      <c r="F432" s="719" t="s">
        <v>636</v>
      </c>
      <c r="G432" s="727">
        <v>110</v>
      </c>
      <c r="H432" s="564"/>
      <c r="I432" s="727">
        <v>110</v>
      </c>
      <c r="J432" s="501"/>
      <c r="K432" s="564"/>
      <c r="L432" s="510">
        <v>101.3</v>
      </c>
      <c r="M432" s="564"/>
      <c r="N432" s="720">
        <v>2767.49</v>
      </c>
      <c r="AF432" s="716"/>
      <c r="AG432" s="481"/>
      <c r="AI432" s="481"/>
      <c r="AL432" s="491" t="s">
        <v>2557</v>
      </c>
      <c r="AN432" s="481"/>
      <c r="AO432" s="746"/>
      <c r="AP432" s="746"/>
      <c r="AQ432" s="699"/>
      <c r="AR432" s="699"/>
      <c r="AS432" s="699"/>
      <c r="AT432" s="699"/>
      <c r="AU432" s="699"/>
      <c r="AV432" s="481"/>
      <c r="AX432" s="481"/>
    </row>
    <row r="433" spans="1:50" s="454" customFormat="1" ht="15" x14ac:dyDescent="0.25">
      <c r="A433" s="721"/>
      <c r="B433" s="490" t="s">
        <v>2558</v>
      </c>
      <c r="C433" s="2669" t="s">
        <v>2559</v>
      </c>
      <c r="D433" s="2669"/>
      <c r="E433" s="2669"/>
      <c r="F433" s="719" t="s">
        <v>636</v>
      </c>
      <c r="G433" s="727">
        <v>69</v>
      </c>
      <c r="H433" s="564"/>
      <c r="I433" s="727">
        <v>69</v>
      </c>
      <c r="J433" s="501"/>
      <c r="K433" s="564"/>
      <c r="L433" s="510">
        <v>63.54</v>
      </c>
      <c r="M433" s="564"/>
      <c r="N433" s="720">
        <v>1735.97</v>
      </c>
      <c r="AF433" s="716"/>
      <c r="AG433" s="481"/>
      <c r="AI433" s="481"/>
      <c r="AL433" s="491" t="s">
        <v>2559</v>
      </c>
      <c r="AN433" s="481"/>
      <c r="AO433" s="746"/>
      <c r="AP433" s="746"/>
      <c r="AQ433" s="699"/>
      <c r="AR433" s="699"/>
      <c r="AS433" s="699"/>
      <c r="AT433" s="699"/>
      <c r="AU433" s="699"/>
      <c r="AV433" s="481"/>
      <c r="AX433" s="481"/>
    </row>
    <row r="434" spans="1:50" s="454" customFormat="1" ht="15" x14ac:dyDescent="0.25">
      <c r="A434" s="526"/>
      <c r="B434" s="567"/>
      <c r="C434" s="2722" t="s">
        <v>872</v>
      </c>
      <c r="D434" s="2722"/>
      <c r="E434" s="2722"/>
      <c r="F434" s="483"/>
      <c r="G434" s="484"/>
      <c r="H434" s="484"/>
      <c r="I434" s="484"/>
      <c r="J434" s="487"/>
      <c r="K434" s="484"/>
      <c r="L434" s="527">
        <v>351.03</v>
      </c>
      <c r="M434" s="563"/>
      <c r="N434" s="525">
        <v>7875.46</v>
      </c>
      <c r="AF434" s="716"/>
      <c r="AG434" s="481"/>
      <c r="AI434" s="481"/>
      <c r="AN434" s="481" t="s">
        <v>872</v>
      </c>
      <c r="AO434" s="746"/>
      <c r="AP434" s="746"/>
      <c r="AQ434" s="699"/>
      <c r="AR434" s="699"/>
      <c r="AS434" s="699"/>
      <c r="AT434" s="699"/>
      <c r="AU434" s="699"/>
      <c r="AV434" s="481"/>
      <c r="AX434" s="481"/>
    </row>
    <row r="435" spans="1:50" s="454" customFormat="1" ht="34.5" x14ac:dyDescent="0.25">
      <c r="A435" s="482" t="s">
        <v>1319</v>
      </c>
      <c r="B435" s="568" t="s">
        <v>2639</v>
      </c>
      <c r="C435" s="2722" t="s">
        <v>2640</v>
      </c>
      <c r="D435" s="2722"/>
      <c r="E435" s="2722"/>
      <c r="F435" s="483" t="s">
        <v>832</v>
      </c>
      <c r="G435" s="484">
        <v>9.3379999999999992</v>
      </c>
      <c r="H435" s="485">
        <v>1</v>
      </c>
      <c r="I435" s="731">
        <v>9.3379999999999992</v>
      </c>
      <c r="J435" s="527">
        <v>90.94</v>
      </c>
      <c r="K435" s="484"/>
      <c r="L435" s="527">
        <v>849.2</v>
      </c>
      <c r="M435" s="732">
        <v>7.72</v>
      </c>
      <c r="N435" s="525">
        <v>6555.82</v>
      </c>
      <c r="AF435" s="716"/>
      <c r="AG435" s="481"/>
      <c r="AI435" s="481" t="s">
        <v>2640</v>
      </c>
      <c r="AN435" s="481"/>
      <c r="AO435" s="746"/>
      <c r="AP435" s="746"/>
      <c r="AQ435" s="699"/>
      <c r="AR435" s="699"/>
      <c r="AS435" s="699"/>
      <c r="AT435" s="699"/>
      <c r="AU435" s="699"/>
      <c r="AV435" s="481"/>
      <c r="AX435" s="481"/>
    </row>
    <row r="436" spans="1:50" s="454" customFormat="1" ht="15" x14ac:dyDescent="0.25">
      <c r="A436" s="526"/>
      <c r="B436" s="567"/>
      <c r="C436" s="2722" t="s">
        <v>872</v>
      </c>
      <c r="D436" s="2722"/>
      <c r="E436" s="2722"/>
      <c r="F436" s="483"/>
      <c r="G436" s="484"/>
      <c r="H436" s="484"/>
      <c r="I436" s="484"/>
      <c r="J436" s="487"/>
      <c r="K436" s="484"/>
      <c r="L436" s="527">
        <v>849.2</v>
      </c>
      <c r="M436" s="563"/>
      <c r="N436" s="525">
        <v>6555.82</v>
      </c>
      <c r="AF436" s="716"/>
      <c r="AG436" s="481"/>
      <c r="AI436" s="481"/>
      <c r="AN436" s="481" t="s">
        <v>872</v>
      </c>
      <c r="AO436" s="746"/>
      <c r="AP436" s="746"/>
      <c r="AQ436" s="699"/>
      <c r="AR436" s="699"/>
      <c r="AS436" s="699"/>
      <c r="AT436" s="699"/>
      <c r="AU436" s="699"/>
      <c r="AV436" s="481"/>
      <c r="AX436" s="481"/>
    </row>
    <row r="437" spans="1:50" s="454" customFormat="1" ht="34.5" x14ac:dyDescent="0.25">
      <c r="A437" s="482" t="s">
        <v>1322</v>
      </c>
      <c r="B437" s="568" t="s">
        <v>2543</v>
      </c>
      <c r="C437" s="2722" t="s">
        <v>2544</v>
      </c>
      <c r="D437" s="2722"/>
      <c r="E437" s="2722"/>
      <c r="F437" s="483" t="s">
        <v>2499</v>
      </c>
      <c r="G437" s="484">
        <v>0.15679999999999999</v>
      </c>
      <c r="H437" s="485">
        <v>1</v>
      </c>
      <c r="I437" s="717">
        <v>0.15679999999999999</v>
      </c>
      <c r="J437" s="487"/>
      <c r="K437" s="484"/>
      <c r="L437" s="487"/>
      <c r="M437" s="484"/>
      <c r="N437" s="488"/>
      <c r="AF437" s="716"/>
      <c r="AG437" s="481"/>
      <c r="AI437" s="481" t="s">
        <v>2544</v>
      </c>
      <c r="AN437" s="481"/>
      <c r="AO437" s="746"/>
      <c r="AP437" s="746"/>
      <c r="AQ437" s="699"/>
      <c r="AR437" s="699"/>
      <c r="AS437" s="699"/>
      <c r="AT437" s="699"/>
      <c r="AU437" s="699"/>
      <c r="AV437" s="481"/>
      <c r="AX437" s="481"/>
    </row>
    <row r="438" spans="1:50" s="454" customFormat="1" ht="33.75" x14ac:dyDescent="0.25">
      <c r="A438" s="489"/>
      <c r="B438" s="490" t="s">
        <v>1655</v>
      </c>
      <c r="C438" s="2709" t="s">
        <v>1656</v>
      </c>
      <c r="D438" s="2709"/>
      <c r="E438" s="2709"/>
      <c r="F438" s="2709"/>
      <c r="G438" s="2709"/>
      <c r="H438" s="2709"/>
      <c r="I438" s="2709"/>
      <c r="J438" s="2709"/>
      <c r="K438" s="2709"/>
      <c r="L438" s="2709"/>
      <c r="M438" s="2709"/>
      <c r="N438" s="2710"/>
      <c r="AF438" s="716"/>
      <c r="AG438" s="481"/>
      <c r="AI438" s="481"/>
      <c r="AJ438" s="491" t="s">
        <v>1656</v>
      </c>
      <c r="AN438" s="481"/>
      <c r="AO438" s="746"/>
      <c r="AP438" s="746"/>
      <c r="AQ438" s="699"/>
      <c r="AR438" s="699"/>
      <c r="AS438" s="699"/>
      <c r="AT438" s="699"/>
      <c r="AU438" s="699"/>
      <c r="AV438" s="481"/>
      <c r="AX438" s="481"/>
    </row>
    <row r="439" spans="1:50" s="454" customFormat="1" ht="15" x14ac:dyDescent="0.25">
      <c r="A439" s="718"/>
      <c r="B439" s="490" t="s">
        <v>190</v>
      </c>
      <c r="C439" s="2669" t="s">
        <v>2523</v>
      </c>
      <c r="D439" s="2669"/>
      <c r="E439" s="2669"/>
      <c r="F439" s="719"/>
      <c r="G439" s="564"/>
      <c r="H439" s="564"/>
      <c r="I439" s="564"/>
      <c r="J439" s="505">
        <v>5408.02</v>
      </c>
      <c r="K439" s="511">
        <v>1.5</v>
      </c>
      <c r="L439" s="505">
        <v>1271.97</v>
      </c>
      <c r="M439" s="506">
        <v>27.32</v>
      </c>
      <c r="N439" s="720">
        <v>34750.22</v>
      </c>
      <c r="AF439" s="716"/>
      <c r="AG439" s="481"/>
      <c r="AI439" s="481"/>
      <c r="AK439" s="491" t="s">
        <v>2523</v>
      </c>
      <c r="AN439" s="481"/>
      <c r="AO439" s="746"/>
      <c r="AP439" s="746"/>
      <c r="AQ439" s="699"/>
      <c r="AR439" s="699"/>
      <c r="AS439" s="699"/>
      <c r="AT439" s="699"/>
      <c r="AU439" s="699"/>
      <c r="AV439" s="481"/>
      <c r="AX439" s="481"/>
    </row>
    <row r="440" spans="1:50" s="454" customFormat="1" ht="15" x14ac:dyDescent="0.25">
      <c r="A440" s="718"/>
      <c r="B440" s="490" t="s">
        <v>639</v>
      </c>
      <c r="C440" s="2669" t="s">
        <v>697</v>
      </c>
      <c r="D440" s="2669"/>
      <c r="E440" s="2669"/>
      <c r="F440" s="719"/>
      <c r="G440" s="564"/>
      <c r="H440" s="564"/>
      <c r="I440" s="564"/>
      <c r="J440" s="505">
        <v>2828.36</v>
      </c>
      <c r="K440" s="511">
        <v>1.5</v>
      </c>
      <c r="L440" s="510">
        <v>665.23</v>
      </c>
      <c r="M440" s="506">
        <v>10.92</v>
      </c>
      <c r="N440" s="720">
        <v>7264.31</v>
      </c>
      <c r="AF440" s="716"/>
      <c r="AG440" s="481"/>
      <c r="AI440" s="481"/>
      <c r="AK440" s="491" t="s">
        <v>697</v>
      </c>
      <c r="AN440" s="481"/>
      <c r="AO440" s="746"/>
      <c r="AP440" s="746"/>
      <c r="AQ440" s="699"/>
      <c r="AR440" s="699"/>
      <c r="AS440" s="699"/>
      <c r="AT440" s="699"/>
      <c r="AU440" s="699"/>
      <c r="AV440" s="481"/>
      <c r="AX440" s="481"/>
    </row>
    <row r="441" spans="1:50" s="454" customFormat="1" ht="15" x14ac:dyDescent="0.25">
      <c r="A441" s="718"/>
      <c r="B441" s="490" t="s">
        <v>640</v>
      </c>
      <c r="C441" s="2669" t="s">
        <v>2500</v>
      </c>
      <c r="D441" s="2669"/>
      <c r="E441" s="2669"/>
      <c r="F441" s="719"/>
      <c r="G441" s="564"/>
      <c r="H441" s="564"/>
      <c r="I441" s="564"/>
      <c r="J441" s="510">
        <v>431.06</v>
      </c>
      <c r="K441" s="511">
        <v>1.5</v>
      </c>
      <c r="L441" s="510">
        <v>101.39</v>
      </c>
      <c r="M441" s="506">
        <v>27.32</v>
      </c>
      <c r="N441" s="720">
        <v>2769.97</v>
      </c>
      <c r="AF441" s="716"/>
      <c r="AG441" s="481"/>
      <c r="AI441" s="481"/>
      <c r="AK441" s="491" t="s">
        <v>2500</v>
      </c>
      <c r="AN441" s="481"/>
      <c r="AO441" s="746"/>
      <c r="AP441" s="746"/>
      <c r="AQ441" s="699"/>
      <c r="AR441" s="699"/>
      <c r="AS441" s="699"/>
      <c r="AT441" s="699"/>
      <c r="AU441" s="699"/>
      <c r="AV441" s="481"/>
      <c r="AX441" s="481"/>
    </row>
    <row r="442" spans="1:50" s="454" customFormat="1" ht="15" x14ac:dyDescent="0.25">
      <c r="A442" s="718"/>
      <c r="B442" s="490" t="s">
        <v>232</v>
      </c>
      <c r="C442" s="2669" t="s">
        <v>829</v>
      </c>
      <c r="D442" s="2669"/>
      <c r="E442" s="2669"/>
      <c r="F442" s="719"/>
      <c r="G442" s="564"/>
      <c r="H442" s="564"/>
      <c r="I442" s="564"/>
      <c r="J442" s="505">
        <v>4148.05</v>
      </c>
      <c r="K442" s="564"/>
      <c r="L442" s="510">
        <v>650.41</v>
      </c>
      <c r="M442" s="506">
        <v>7.72</v>
      </c>
      <c r="N442" s="720">
        <v>5021.17</v>
      </c>
      <c r="AF442" s="716"/>
      <c r="AG442" s="481"/>
      <c r="AI442" s="481"/>
      <c r="AK442" s="491" t="s">
        <v>829</v>
      </c>
      <c r="AN442" s="481"/>
      <c r="AO442" s="746"/>
      <c r="AP442" s="746"/>
      <c r="AQ442" s="699"/>
      <c r="AR442" s="699"/>
      <c r="AS442" s="699"/>
      <c r="AT442" s="699"/>
      <c r="AU442" s="699"/>
      <c r="AV442" s="481"/>
      <c r="AX442" s="481"/>
    </row>
    <row r="443" spans="1:50" s="454" customFormat="1" ht="15" x14ac:dyDescent="0.25">
      <c r="A443" s="721"/>
      <c r="B443" s="490"/>
      <c r="C443" s="2669" t="s">
        <v>2524</v>
      </c>
      <c r="D443" s="2669"/>
      <c r="E443" s="2669"/>
      <c r="F443" s="719" t="s">
        <v>807</v>
      </c>
      <c r="G443" s="727">
        <v>634</v>
      </c>
      <c r="H443" s="511">
        <v>1.5</v>
      </c>
      <c r="I443" s="752">
        <v>149.11680000000001</v>
      </c>
      <c r="J443" s="501"/>
      <c r="K443" s="564"/>
      <c r="L443" s="501"/>
      <c r="M443" s="564"/>
      <c r="N443" s="723"/>
      <c r="AF443" s="716"/>
      <c r="AG443" s="481"/>
      <c r="AI443" s="481"/>
      <c r="AL443" s="491" t="s">
        <v>2524</v>
      </c>
      <c r="AN443" s="481"/>
      <c r="AO443" s="746"/>
      <c r="AP443" s="746"/>
      <c r="AQ443" s="699"/>
      <c r="AR443" s="699"/>
      <c r="AS443" s="699"/>
      <c r="AT443" s="699"/>
      <c r="AU443" s="699"/>
      <c r="AV443" s="481"/>
      <c r="AX443" s="481"/>
    </row>
    <row r="444" spans="1:50" s="454" customFormat="1" ht="15" x14ac:dyDescent="0.25">
      <c r="A444" s="721"/>
      <c r="B444" s="490"/>
      <c r="C444" s="2669" t="s">
        <v>2501</v>
      </c>
      <c r="D444" s="2669"/>
      <c r="E444" s="2669"/>
      <c r="F444" s="719" t="s">
        <v>807</v>
      </c>
      <c r="G444" s="506">
        <v>32.119999999999997</v>
      </c>
      <c r="H444" s="511">
        <v>1.5</v>
      </c>
      <c r="I444" s="728">
        <v>7.5546239999999996</v>
      </c>
      <c r="J444" s="501"/>
      <c r="K444" s="564"/>
      <c r="L444" s="501"/>
      <c r="M444" s="564"/>
      <c r="N444" s="723"/>
      <c r="AF444" s="716"/>
      <c r="AG444" s="481"/>
      <c r="AI444" s="481"/>
      <c r="AL444" s="491" t="s">
        <v>2501</v>
      </c>
      <c r="AN444" s="481"/>
      <c r="AO444" s="746"/>
      <c r="AP444" s="746"/>
      <c r="AQ444" s="699"/>
      <c r="AR444" s="699"/>
      <c r="AS444" s="699"/>
      <c r="AT444" s="699"/>
      <c r="AU444" s="699"/>
      <c r="AV444" s="481"/>
      <c r="AX444" s="481"/>
    </row>
    <row r="445" spans="1:50" s="454" customFormat="1" ht="15" x14ac:dyDescent="0.25">
      <c r="A445" s="718"/>
      <c r="B445" s="490"/>
      <c r="C445" s="2711" t="s">
        <v>2502</v>
      </c>
      <c r="D445" s="2711"/>
      <c r="E445" s="2711"/>
      <c r="F445" s="724"/>
      <c r="G445" s="563"/>
      <c r="H445" s="563"/>
      <c r="I445" s="563"/>
      <c r="J445" s="725">
        <v>12384.43</v>
      </c>
      <c r="K445" s="563"/>
      <c r="L445" s="725">
        <v>2587.61</v>
      </c>
      <c r="M445" s="563"/>
      <c r="N445" s="726">
        <v>47035.7</v>
      </c>
      <c r="AF445" s="716"/>
      <c r="AG445" s="481"/>
      <c r="AI445" s="481"/>
      <c r="AM445" s="491" t="s">
        <v>2502</v>
      </c>
      <c r="AN445" s="481"/>
      <c r="AO445" s="746"/>
      <c r="AP445" s="746"/>
      <c r="AQ445" s="699"/>
      <c r="AR445" s="699"/>
      <c r="AS445" s="699"/>
      <c r="AT445" s="699"/>
      <c r="AU445" s="699"/>
      <c r="AV445" s="481"/>
      <c r="AX445" s="481"/>
    </row>
    <row r="446" spans="1:50" s="454" customFormat="1" ht="15" x14ac:dyDescent="0.25">
      <c r="A446" s="721"/>
      <c r="B446" s="490"/>
      <c r="C446" s="2669" t="s">
        <v>867</v>
      </c>
      <c r="D446" s="2669"/>
      <c r="E446" s="2669"/>
      <c r="F446" s="719"/>
      <c r="G446" s="564"/>
      <c r="H446" s="564"/>
      <c r="I446" s="564"/>
      <c r="J446" s="501"/>
      <c r="K446" s="564"/>
      <c r="L446" s="505">
        <v>1373.36</v>
      </c>
      <c r="M446" s="564"/>
      <c r="N446" s="720">
        <v>37520.19</v>
      </c>
      <c r="AF446" s="716"/>
      <c r="AG446" s="481"/>
      <c r="AI446" s="481"/>
      <c r="AL446" s="491" t="s">
        <v>867</v>
      </c>
      <c r="AN446" s="481"/>
      <c r="AO446" s="746"/>
      <c r="AP446" s="746"/>
      <c r="AQ446" s="699"/>
      <c r="AR446" s="699"/>
      <c r="AS446" s="699"/>
      <c r="AT446" s="699"/>
      <c r="AU446" s="699"/>
      <c r="AV446" s="481"/>
      <c r="AX446" s="481"/>
    </row>
    <row r="447" spans="1:50" s="454" customFormat="1" ht="23.25" x14ac:dyDescent="0.25">
      <c r="A447" s="721"/>
      <c r="B447" s="490" t="s">
        <v>2525</v>
      </c>
      <c r="C447" s="2669" t="s">
        <v>2526</v>
      </c>
      <c r="D447" s="2669"/>
      <c r="E447" s="2669"/>
      <c r="F447" s="719" t="s">
        <v>636</v>
      </c>
      <c r="G447" s="727">
        <v>102</v>
      </c>
      <c r="H447" s="564"/>
      <c r="I447" s="727">
        <v>102</v>
      </c>
      <c r="J447" s="501"/>
      <c r="K447" s="564"/>
      <c r="L447" s="505">
        <v>1400.83</v>
      </c>
      <c r="M447" s="564"/>
      <c r="N447" s="720">
        <v>38270.589999999997</v>
      </c>
      <c r="AF447" s="716"/>
      <c r="AG447" s="481"/>
      <c r="AI447" s="481"/>
      <c r="AL447" s="491" t="s">
        <v>2526</v>
      </c>
      <c r="AN447" s="481"/>
      <c r="AO447" s="746"/>
      <c r="AP447" s="746"/>
      <c r="AQ447" s="699"/>
      <c r="AR447" s="699"/>
      <c r="AS447" s="699"/>
      <c r="AT447" s="699"/>
      <c r="AU447" s="699"/>
      <c r="AV447" s="481"/>
      <c r="AX447" s="481"/>
    </row>
    <row r="448" spans="1:50" s="454" customFormat="1" ht="23.25" x14ac:dyDescent="0.25">
      <c r="A448" s="721"/>
      <c r="B448" s="490" t="s">
        <v>2527</v>
      </c>
      <c r="C448" s="2669" t="s">
        <v>2528</v>
      </c>
      <c r="D448" s="2669"/>
      <c r="E448" s="2669"/>
      <c r="F448" s="719" t="s">
        <v>636</v>
      </c>
      <c r="G448" s="727">
        <v>58</v>
      </c>
      <c r="H448" s="564"/>
      <c r="I448" s="727">
        <v>58</v>
      </c>
      <c r="J448" s="501"/>
      <c r="K448" s="564"/>
      <c r="L448" s="510">
        <v>796.55</v>
      </c>
      <c r="M448" s="564"/>
      <c r="N448" s="720">
        <v>21761.71</v>
      </c>
      <c r="AF448" s="716"/>
      <c r="AG448" s="481"/>
      <c r="AI448" s="481"/>
      <c r="AL448" s="491" t="s">
        <v>2528</v>
      </c>
      <c r="AN448" s="481"/>
      <c r="AO448" s="746"/>
      <c r="AP448" s="746"/>
      <c r="AQ448" s="699"/>
      <c r="AR448" s="699"/>
      <c r="AS448" s="699"/>
      <c r="AT448" s="699"/>
      <c r="AU448" s="699"/>
      <c r="AV448" s="481"/>
      <c r="AX448" s="481"/>
    </row>
    <row r="449" spans="1:50" s="454" customFormat="1" ht="15" x14ac:dyDescent="0.25">
      <c r="A449" s="526"/>
      <c r="B449" s="567"/>
      <c r="C449" s="2722" t="s">
        <v>872</v>
      </c>
      <c r="D449" s="2722"/>
      <c r="E449" s="2722"/>
      <c r="F449" s="483"/>
      <c r="G449" s="484"/>
      <c r="H449" s="484"/>
      <c r="I449" s="484"/>
      <c r="J449" s="487"/>
      <c r="K449" s="484"/>
      <c r="L449" s="524">
        <v>4784.99</v>
      </c>
      <c r="M449" s="563"/>
      <c r="N449" s="525">
        <v>107068</v>
      </c>
      <c r="AF449" s="716"/>
      <c r="AG449" s="481"/>
      <c r="AI449" s="481"/>
      <c r="AN449" s="481" t="s">
        <v>872</v>
      </c>
      <c r="AO449" s="746"/>
      <c r="AP449" s="746"/>
      <c r="AQ449" s="699"/>
      <c r="AR449" s="699"/>
      <c r="AS449" s="699"/>
      <c r="AT449" s="699"/>
      <c r="AU449" s="699"/>
      <c r="AV449" s="481"/>
      <c r="AX449" s="481"/>
    </row>
    <row r="450" spans="1:50" s="454" customFormat="1" ht="22.5" x14ac:dyDescent="0.25">
      <c r="A450" s="736" t="s">
        <v>1365</v>
      </c>
      <c r="B450" s="737" t="s">
        <v>2545</v>
      </c>
      <c r="C450" s="2723" t="s">
        <v>2546</v>
      </c>
      <c r="D450" s="2723"/>
      <c r="E450" s="2723"/>
      <c r="F450" s="738" t="s">
        <v>832</v>
      </c>
      <c r="G450" s="739">
        <v>11.936400000000001</v>
      </c>
      <c r="H450" s="740">
        <v>1</v>
      </c>
      <c r="I450" s="751">
        <v>11.936400000000001</v>
      </c>
      <c r="J450" s="742">
        <v>725.69</v>
      </c>
      <c r="K450" s="739"/>
      <c r="L450" s="743">
        <v>8662.1299999999992</v>
      </c>
      <c r="M450" s="744">
        <v>7.72</v>
      </c>
      <c r="N450" s="745">
        <v>66871.64</v>
      </c>
      <c r="AF450" s="716"/>
      <c r="AG450" s="481"/>
      <c r="AI450" s="481"/>
      <c r="AN450" s="481"/>
      <c r="AO450" s="746" t="s">
        <v>2546</v>
      </c>
      <c r="AP450" s="746"/>
      <c r="AQ450" s="699"/>
      <c r="AR450" s="699"/>
      <c r="AS450" s="699"/>
      <c r="AT450" s="699"/>
      <c r="AU450" s="699"/>
      <c r="AV450" s="481"/>
      <c r="AX450" s="481"/>
    </row>
    <row r="451" spans="1:50" s="454" customFormat="1" ht="15" x14ac:dyDescent="0.25">
      <c r="A451" s="747"/>
      <c r="B451" s="748"/>
      <c r="C451" s="2723" t="s">
        <v>872</v>
      </c>
      <c r="D451" s="2723"/>
      <c r="E451" s="2723"/>
      <c r="F451" s="738"/>
      <c r="G451" s="739"/>
      <c r="H451" s="739"/>
      <c r="I451" s="739"/>
      <c r="J451" s="749"/>
      <c r="K451" s="739"/>
      <c r="L451" s="743">
        <v>8662.1299999999992</v>
      </c>
      <c r="M451" s="750"/>
      <c r="N451" s="745">
        <v>66871.64</v>
      </c>
      <c r="AF451" s="716"/>
      <c r="AG451" s="481"/>
      <c r="AI451" s="481"/>
      <c r="AN451" s="481"/>
      <c r="AO451" s="746"/>
      <c r="AP451" s="746" t="s">
        <v>872</v>
      </c>
      <c r="AQ451" s="699"/>
      <c r="AR451" s="699"/>
      <c r="AS451" s="699"/>
      <c r="AT451" s="699"/>
      <c r="AU451" s="699"/>
      <c r="AV451" s="481"/>
      <c r="AX451" s="481"/>
    </row>
    <row r="452" spans="1:50" s="454" customFormat="1" ht="23.25" x14ac:dyDescent="0.25">
      <c r="A452" s="482" t="s">
        <v>1325</v>
      </c>
      <c r="B452" s="568" t="s">
        <v>2551</v>
      </c>
      <c r="C452" s="2722" t="s">
        <v>2552</v>
      </c>
      <c r="D452" s="2722"/>
      <c r="E452" s="2722"/>
      <c r="F452" s="483" t="s">
        <v>2499</v>
      </c>
      <c r="G452" s="484">
        <v>0.15920000000000001</v>
      </c>
      <c r="H452" s="485">
        <v>1</v>
      </c>
      <c r="I452" s="717">
        <v>0.15920000000000001</v>
      </c>
      <c r="J452" s="487"/>
      <c r="K452" s="484"/>
      <c r="L452" s="487"/>
      <c r="M452" s="484"/>
      <c r="N452" s="488"/>
      <c r="AF452" s="716"/>
      <c r="AG452" s="481"/>
      <c r="AI452" s="481" t="s">
        <v>2552</v>
      </c>
      <c r="AN452" s="481"/>
      <c r="AO452" s="746"/>
      <c r="AP452" s="746"/>
      <c r="AQ452" s="699"/>
      <c r="AR452" s="699"/>
      <c r="AS452" s="699"/>
      <c r="AT452" s="699"/>
      <c r="AU452" s="699"/>
      <c r="AV452" s="481"/>
      <c r="AX452" s="481"/>
    </row>
    <row r="453" spans="1:50" s="454" customFormat="1" ht="33.75" x14ac:dyDescent="0.25">
      <c r="A453" s="489"/>
      <c r="B453" s="490" t="s">
        <v>1655</v>
      </c>
      <c r="C453" s="2709" t="s">
        <v>1656</v>
      </c>
      <c r="D453" s="2709"/>
      <c r="E453" s="2709"/>
      <c r="F453" s="2709"/>
      <c r="G453" s="2709"/>
      <c r="H453" s="2709"/>
      <c r="I453" s="2709"/>
      <c r="J453" s="2709"/>
      <c r="K453" s="2709"/>
      <c r="L453" s="2709"/>
      <c r="M453" s="2709"/>
      <c r="N453" s="2710"/>
      <c r="AF453" s="716"/>
      <c r="AG453" s="481"/>
      <c r="AI453" s="481"/>
      <c r="AJ453" s="491" t="s">
        <v>1656</v>
      </c>
      <c r="AN453" s="481"/>
      <c r="AO453" s="746"/>
      <c r="AP453" s="746"/>
      <c r="AQ453" s="699"/>
      <c r="AR453" s="699"/>
      <c r="AS453" s="699"/>
      <c r="AT453" s="699"/>
      <c r="AU453" s="699"/>
      <c r="AV453" s="481"/>
      <c r="AX453" s="481"/>
    </row>
    <row r="454" spans="1:50" s="454" customFormat="1" ht="15" x14ac:dyDescent="0.25">
      <c r="A454" s="718"/>
      <c r="B454" s="490" t="s">
        <v>190</v>
      </c>
      <c r="C454" s="2669" t="s">
        <v>2523</v>
      </c>
      <c r="D454" s="2669"/>
      <c r="E454" s="2669"/>
      <c r="F454" s="719"/>
      <c r="G454" s="564"/>
      <c r="H454" s="564"/>
      <c r="I454" s="564"/>
      <c r="J454" s="505">
        <v>2082.6</v>
      </c>
      <c r="K454" s="511">
        <v>1.5</v>
      </c>
      <c r="L454" s="510">
        <v>497.32</v>
      </c>
      <c r="M454" s="506">
        <v>27.32</v>
      </c>
      <c r="N454" s="720">
        <v>13586.78</v>
      </c>
      <c r="AF454" s="716"/>
      <c r="AG454" s="481"/>
      <c r="AI454" s="481"/>
      <c r="AK454" s="491" t="s">
        <v>2523</v>
      </c>
      <c r="AN454" s="481"/>
      <c r="AO454" s="746"/>
      <c r="AP454" s="746"/>
      <c r="AQ454" s="699"/>
      <c r="AR454" s="699"/>
      <c r="AS454" s="699"/>
      <c r="AT454" s="699"/>
      <c r="AU454" s="699"/>
      <c r="AV454" s="481"/>
      <c r="AX454" s="481"/>
    </row>
    <row r="455" spans="1:50" s="454" customFormat="1" ht="15" x14ac:dyDescent="0.25">
      <c r="A455" s="718"/>
      <c r="B455" s="490" t="s">
        <v>639</v>
      </c>
      <c r="C455" s="2669" t="s">
        <v>697</v>
      </c>
      <c r="D455" s="2669"/>
      <c r="E455" s="2669"/>
      <c r="F455" s="719"/>
      <c r="G455" s="564"/>
      <c r="H455" s="564"/>
      <c r="I455" s="564"/>
      <c r="J455" s="505">
        <v>1847.63</v>
      </c>
      <c r="K455" s="511">
        <v>1.5</v>
      </c>
      <c r="L455" s="510">
        <v>441.21</v>
      </c>
      <c r="M455" s="506">
        <v>10.92</v>
      </c>
      <c r="N455" s="720">
        <v>4818.01</v>
      </c>
      <c r="AF455" s="716"/>
      <c r="AG455" s="481"/>
      <c r="AI455" s="481"/>
      <c r="AK455" s="491" t="s">
        <v>697</v>
      </c>
      <c r="AN455" s="481"/>
      <c r="AO455" s="746"/>
      <c r="AP455" s="746"/>
      <c r="AQ455" s="699"/>
      <c r="AR455" s="699"/>
      <c r="AS455" s="699"/>
      <c r="AT455" s="699"/>
      <c r="AU455" s="699"/>
      <c r="AV455" s="481"/>
      <c r="AX455" s="481"/>
    </row>
    <row r="456" spans="1:50" s="454" customFormat="1" ht="15" x14ac:dyDescent="0.25">
      <c r="A456" s="718"/>
      <c r="B456" s="490" t="s">
        <v>640</v>
      </c>
      <c r="C456" s="2669" t="s">
        <v>2500</v>
      </c>
      <c r="D456" s="2669"/>
      <c r="E456" s="2669"/>
      <c r="F456" s="719"/>
      <c r="G456" s="564"/>
      <c r="H456" s="564"/>
      <c r="I456" s="564"/>
      <c r="J456" s="510">
        <v>361.66</v>
      </c>
      <c r="K456" s="511">
        <v>1.5</v>
      </c>
      <c r="L456" s="510">
        <v>86.36</v>
      </c>
      <c r="M456" s="506">
        <v>27.32</v>
      </c>
      <c r="N456" s="720">
        <v>2359.36</v>
      </c>
      <c r="AF456" s="716"/>
      <c r="AG456" s="481"/>
      <c r="AI456" s="481"/>
      <c r="AK456" s="491" t="s">
        <v>2500</v>
      </c>
      <c r="AN456" s="481"/>
      <c r="AO456" s="746"/>
      <c r="AP456" s="746"/>
      <c r="AQ456" s="699"/>
      <c r="AR456" s="699"/>
      <c r="AS456" s="699"/>
      <c r="AT456" s="699"/>
      <c r="AU456" s="699"/>
      <c r="AV456" s="481"/>
      <c r="AX456" s="481"/>
    </row>
    <row r="457" spans="1:50" s="454" customFormat="1" ht="15" x14ac:dyDescent="0.25">
      <c r="A457" s="718"/>
      <c r="B457" s="490" t="s">
        <v>232</v>
      </c>
      <c r="C457" s="2669" t="s">
        <v>829</v>
      </c>
      <c r="D457" s="2669"/>
      <c r="E457" s="2669"/>
      <c r="F457" s="719"/>
      <c r="G457" s="564"/>
      <c r="H457" s="564"/>
      <c r="I457" s="564"/>
      <c r="J457" s="505">
        <v>30662.21</v>
      </c>
      <c r="K457" s="564"/>
      <c r="L457" s="505">
        <v>4881.42</v>
      </c>
      <c r="M457" s="506">
        <v>7.72</v>
      </c>
      <c r="N457" s="720">
        <v>37684.559999999998</v>
      </c>
      <c r="AF457" s="716"/>
      <c r="AG457" s="481"/>
      <c r="AI457" s="481"/>
      <c r="AK457" s="491" t="s">
        <v>829</v>
      </c>
      <c r="AN457" s="481"/>
      <c r="AO457" s="746"/>
      <c r="AP457" s="746"/>
      <c r="AQ457" s="699"/>
      <c r="AR457" s="699"/>
      <c r="AS457" s="699"/>
      <c r="AT457" s="699"/>
      <c r="AU457" s="699"/>
      <c r="AV457" s="481"/>
      <c r="AX457" s="481"/>
    </row>
    <row r="458" spans="1:50" s="454" customFormat="1" ht="15" x14ac:dyDescent="0.25">
      <c r="A458" s="721"/>
      <c r="B458" s="490"/>
      <c r="C458" s="2669" t="s">
        <v>2524</v>
      </c>
      <c r="D458" s="2669"/>
      <c r="E458" s="2669"/>
      <c r="F458" s="719" t="s">
        <v>807</v>
      </c>
      <c r="G458" s="727">
        <v>267</v>
      </c>
      <c r="H458" s="511">
        <v>1.5</v>
      </c>
      <c r="I458" s="752">
        <v>63.759599999999999</v>
      </c>
      <c r="J458" s="501"/>
      <c r="K458" s="564"/>
      <c r="L458" s="501"/>
      <c r="M458" s="564"/>
      <c r="N458" s="723"/>
      <c r="AF458" s="716"/>
      <c r="AG458" s="481"/>
      <c r="AI458" s="481"/>
      <c r="AL458" s="491" t="s">
        <v>2524</v>
      </c>
      <c r="AN458" s="481"/>
      <c r="AO458" s="746"/>
      <c r="AP458" s="746"/>
      <c r="AQ458" s="699"/>
      <c r="AR458" s="699"/>
      <c r="AS458" s="699"/>
      <c r="AT458" s="699"/>
      <c r="AU458" s="699"/>
      <c r="AV458" s="481"/>
      <c r="AX458" s="481"/>
    </row>
    <row r="459" spans="1:50" s="454" customFormat="1" ht="15" x14ac:dyDescent="0.25">
      <c r="A459" s="721"/>
      <c r="B459" s="490"/>
      <c r="C459" s="2669" t="s">
        <v>2501</v>
      </c>
      <c r="D459" s="2669"/>
      <c r="E459" s="2669"/>
      <c r="F459" s="719" t="s">
        <v>807</v>
      </c>
      <c r="G459" s="506">
        <v>35.950000000000003</v>
      </c>
      <c r="H459" s="511">
        <v>1.5</v>
      </c>
      <c r="I459" s="735">
        <v>8.5848600000000008</v>
      </c>
      <c r="J459" s="501"/>
      <c r="K459" s="564"/>
      <c r="L459" s="501"/>
      <c r="M459" s="564"/>
      <c r="N459" s="723"/>
      <c r="AF459" s="716"/>
      <c r="AG459" s="481"/>
      <c r="AI459" s="481"/>
      <c r="AL459" s="491" t="s">
        <v>2501</v>
      </c>
      <c r="AN459" s="481"/>
      <c r="AO459" s="746"/>
      <c r="AP459" s="746"/>
      <c r="AQ459" s="699"/>
      <c r="AR459" s="699"/>
      <c r="AS459" s="699"/>
      <c r="AT459" s="699"/>
      <c r="AU459" s="699"/>
      <c r="AV459" s="481"/>
      <c r="AX459" s="481"/>
    </row>
    <row r="460" spans="1:50" s="454" customFormat="1" ht="15" x14ac:dyDescent="0.25">
      <c r="A460" s="718"/>
      <c r="B460" s="490"/>
      <c r="C460" s="2711" t="s">
        <v>2502</v>
      </c>
      <c r="D460" s="2711"/>
      <c r="E460" s="2711"/>
      <c r="F460" s="724"/>
      <c r="G460" s="563"/>
      <c r="H460" s="563"/>
      <c r="I460" s="563"/>
      <c r="J460" s="725">
        <v>34592.44</v>
      </c>
      <c r="K460" s="563"/>
      <c r="L460" s="725">
        <v>5819.95</v>
      </c>
      <c r="M460" s="563"/>
      <c r="N460" s="726">
        <v>56089.35</v>
      </c>
      <c r="AF460" s="716"/>
      <c r="AG460" s="481"/>
      <c r="AI460" s="481"/>
      <c r="AM460" s="491" t="s">
        <v>2502</v>
      </c>
      <c r="AN460" s="481"/>
      <c r="AO460" s="746"/>
      <c r="AP460" s="746"/>
      <c r="AQ460" s="699"/>
      <c r="AR460" s="699"/>
      <c r="AS460" s="699"/>
      <c r="AT460" s="699"/>
      <c r="AU460" s="699"/>
      <c r="AV460" s="481"/>
      <c r="AX460" s="481"/>
    </row>
    <row r="461" spans="1:50" s="454" customFormat="1" ht="15" x14ac:dyDescent="0.25">
      <c r="A461" s="721"/>
      <c r="B461" s="490"/>
      <c r="C461" s="2669" t="s">
        <v>867</v>
      </c>
      <c r="D461" s="2669"/>
      <c r="E461" s="2669"/>
      <c r="F461" s="719"/>
      <c r="G461" s="564"/>
      <c r="H461" s="564"/>
      <c r="I461" s="564"/>
      <c r="J461" s="501"/>
      <c r="K461" s="564"/>
      <c r="L461" s="510">
        <v>583.67999999999995</v>
      </c>
      <c r="M461" s="564"/>
      <c r="N461" s="720">
        <v>15946.14</v>
      </c>
      <c r="AF461" s="716"/>
      <c r="AG461" s="481"/>
      <c r="AI461" s="481"/>
      <c r="AL461" s="491" t="s">
        <v>867</v>
      </c>
      <c r="AN461" s="481"/>
      <c r="AO461" s="746"/>
      <c r="AP461" s="746"/>
      <c r="AQ461" s="699"/>
      <c r="AR461" s="699"/>
      <c r="AS461" s="699"/>
      <c r="AT461" s="699"/>
      <c r="AU461" s="699"/>
      <c r="AV461" s="481"/>
      <c r="AX461" s="481"/>
    </row>
    <row r="462" spans="1:50" s="454" customFormat="1" ht="34.5" x14ac:dyDescent="0.25">
      <c r="A462" s="721"/>
      <c r="B462" s="490" t="s">
        <v>2533</v>
      </c>
      <c r="C462" s="2669" t="s">
        <v>2534</v>
      </c>
      <c r="D462" s="2669"/>
      <c r="E462" s="2669"/>
      <c r="F462" s="719" t="s">
        <v>636</v>
      </c>
      <c r="G462" s="727">
        <v>73</v>
      </c>
      <c r="H462" s="564"/>
      <c r="I462" s="727">
        <v>73</v>
      </c>
      <c r="J462" s="501"/>
      <c r="K462" s="564"/>
      <c r="L462" s="510">
        <v>426.09</v>
      </c>
      <c r="M462" s="564"/>
      <c r="N462" s="720">
        <v>11640.68</v>
      </c>
      <c r="AF462" s="716"/>
      <c r="AG462" s="481"/>
      <c r="AI462" s="481"/>
      <c r="AL462" s="491" t="s">
        <v>2534</v>
      </c>
      <c r="AN462" s="481"/>
      <c r="AO462" s="746"/>
      <c r="AP462" s="746"/>
      <c r="AQ462" s="699"/>
      <c r="AR462" s="699"/>
      <c r="AS462" s="699"/>
      <c r="AT462" s="699"/>
      <c r="AU462" s="699"/>
      <c r="AV462" s="481"/>
      <c r="AX462" s="481"/>
    </row>
    <row r="463" spans="1:50" s="454" customFormat="1" ht="34.5" x14ac:dyDescent="0.25">
      <c r="A463" s="721"/>
      <c r="B463" s="490" t="s">
        <v>2535</v>
      </c>
      <c r="C463" s="2669" t="s">
        <v>2536</v>
      </c>
      <c r="D463" s="2669"/>
      <c r="E463" s="2669"/>
      <c r="F463" s="719" t="s">
        <v>636</v>
      </c>
      <c r="G463" s="727">
        <v>34</v>
      </c>
      <c r="H463" s="564"/>
      <c r="I463" s="727">
        <v>34</v>
      </c>
      <c r="J463" s="501"/>
      <c r="K463" s="564"/>
      <c r="L463" s="510">
        <v>198.45</v>
      </c>
      <c r="M463" s="564"/>
      <c r="N463" s="720">
        <v>5421.69</v>
      </c>
      <c r="AF463" s="716"/>
      <c r="AG463" s="481"/>
      <c r="AI463" s="481"/>
      <c r="AL463" s="491" t="s">
        <v>2536</v>
      </c>
      <c r="AN463" s="481"/>
      <c r="AO463" s="746"/>
      <c r="AP463" s="746"/>
      <c r="AQ463" s="699"/>
      <c r="AR463" s="699"/>
      <c r="AS463" s="699"/>
      <c r="AT463" s="699"/>
      <c r="AU463" s="699"/>
      <c r="AV463" s="481"/>
      <c r="AX463" s="481"/>
    </row>
    <row r="464" spans="1:50" s="454" customFormat="1" ht="15" x14ac:dyDescent="0.25">
      <c r="A464" s="526"/>
      <c r="B464" s="567"/>
      <c r="C464" s="2722" t="s">
        <v>872</v>
      </c>
      <c r="D464" s="2722"/>
      <c r="E464" s="2722"/>
      <c r="F464" s="483"/>
      <c r="G464" s="484"/>
      <c r="H464" s="484"/>
      <c r="I464" s="484"/>
      <c r="J464" s="487"/>
      <c r="K464" s="484"/>
      <c r="L464" s="524">
        <v>6444.49</v>
      </c>
      <c r="M464" s="563"/>
      <c r="N464" s="525">
        <v>73151.72</v>
      </c>
      <c r="AF464" s="716"/>
      <c r="AG464" s="481"/>
      <c r="AI464" s="481"/>
      <c r="AN464" s="481" t="s">
        <v>872</v>
      </c>
      <c r="AO464" s="746"/>
      <c r="AP464" s="746"/>
      <c r="AQ464" s="699"/>
      <c r="AR464" s="699"/>
      <c r="AS464" s="699"/>
      <c r="AT464" s="699"/>
      <c r="AU464" s="699"/>
      <c r="AV464" s="481"/>
      <c r="AX464" s="481"/>
    </row>
    <row r="465" spans="1:50" s="454" customFormat="1" ht="22.5" x14ac:dyDescent="0.25">
      <c r="A465" s="736" t="s">
        <v>1369</v>
      </c>
      <c r="B465" s="737" t="s">
        <v>2537</v>
      </c>
      <c r="C465" s="2723" t="s">
        <v>2538</v>
      </c>
      <c r="D465" s="2723"/>
      <c r="E465" s="2723"/>
      <c r="F465" s="738" t="s">
        <v>832</v>
      </c>
      <c r="G465" s="739">
        <v>5.6117999999999997</v>
      </c>
      <c r="H465" s="740">
        <v>1</v>
      </c>
      <c r="I465" s="751">
        <v>5.6117999999999997</v>
      </c>
      <c r="J465" s="742">
        <v>59.99</v>
      </c>
      <c r="K465" s="739"/>
      <c r="L465" s="742">
        <v>336.65</v>
      </c>
      <c r="M465" s="744">
        <v>7.72</v>
      </c>
      <c r="N465" s="745">
        <v>2598.94</v>
      </c>
      <c r="AF465" s="716"/>
      <c r="AG465" s="481"/>
      <c r="AI465" s="481"/>
      <c r="AN465" s="481"/>
      <c r="AO465" s="746" t="s">
        <v>2538</v>
      </c>
      <c r="AP465" s="746"/>
      <c r="AQ465" s="699"/>
      <c r="AR465" s="699"/>
      <c r="AS465" s="699"/>
      <c r="AT465" s="699"/>
      <c r="AU465" s="699"/>
      <c r="AV465" s="481"/>
      <c r="AX465" s="481"/>
    </row>
    <row r="466" spans="1:50" s="454" customFormat="1" ht="15" x14ac:dyDescent="0.25">
      <c r="A466" s="747"/>
      <c r="B466" s="748"/>
      <c r="C466" s="2723" t="s">
        <v>872</v>
      </c>
      <c r="D466" s="2723"/>
      <c r="E466" s="2723"/>
      <c r="F466" s="738"/>
      <c r="G466" s="739"/>
      <c r="H466" s="739"/>
      <c r="I466" s="739"/>
      <c r="J466" s="749"/>
      <c r="K466" s="739"/>
      <c r="L466" s="742">
        <v>336.65</v>
      </c>
      <c r="M466" s="750"/>
      <c r="N466" s="745">
        <v>2598.94</v>
      </c>
      <c r="AF466" s="716"/>
      <c r="AG466" s="481"/>
      <c r="AI466" s="481"/>
      <c r="AN466" s="481"/>
      <c r="AO466" s="746"/>
      <c r="AP466" s="746" t="s">
        <v>872</v>
      </c>
      <c r="AQ466" s="699"/>
      <c r="AR466" s="699"/>
      <c r="AS466" s="699"/>
      <c r="AT466" s="699"/>
      <c r="AU466" s="699"/>
      <c r="AV466" s="481"/>
      <c r="AX466" s="481"/>
    </row>
    <row r="467" spans="1:50" s="454" customFormat="1" ht="15" x14ac:dyDescent="0.25">
      <c r="A467" s="736" t="s">
        <v>1371</v>
      </c>
      <c r="B467" s="737" t="s">
        <v>2539</v>
      </c>
      <c r="C467" s="2723" t="s">
        <v>2540</v>
      </c>
      <c r="D467" s="2723"/>
      <c r="E467" s="2723"/>
      <c r="F467" s="738" t="s">
        <v>832</v>
      </c>
      <c r="G467" s="739">
        <v>9.5519999999999996</v>
      </c>
      <c r="H467" s="740">
        <v>1</v>
      </c>
      <c r="I467" s="741">
        <v>9.5519999999999996</v>
      </c>
      <c r="J467" s="742">
        <v>185.49</v>
      </c>
      <c r="K467" s="739"/>
      <c r="L467" s="743">
        <v>1771.8</v>
      </c>
      <c r="M467" s="744">
        <v>7.72</v>
      </c>
      <c r="N467" s="745">
        <v>13678.3</v>
      </c>
      <c r="AF467" s="716"/>
      <c r="AG467" s="481"/>
      <c r="AI467" s="481"/>
      <c r="AN467" s="481"/>
      <c r="AO467" s="746" t="s">
        <v>2540</v>
      </c>
      <c r="AP467" s="746"/>
      <c r="AQ467" s="699"/>
      <c r="AR467" s="699"/>
      <c r="AS467" s="699"/>
      <c r="AT467" s="699"/>
      <c r="AU467" s="699"/>
      <c r="AV467" s="481"/>
      <c r="AX467" s="481"/>
    </row>
    <row r="468" spans="1:50" s="454" customFormat="1" ht="15" x14ac:dyDescent="0.25">
      <c r="A468" s="747"/>
      <c r="B468" s="748"/>
      <c r="C468" s="2723" t="s">
        <v>872</v>
      </c>
      <c r="D468" s="2723"/>
      <c r="E468" s="2723"/>
      <c r="F468" s="738"/>
      <c r="G468" s="739"/>
      <c r="H468" s="739"/>
      <c r="I468" s="739"/>
      <c r="J468" s="749"/>
      <c r="K468" s="739"/>
      <c r="L468" s="743">
        <v>1771.8</v>
      </c>
      <c r="M468" s="750"/>
      <c r="N468" s="745">
        <v>13678.3</v>
      </c>
      <c r="AF468" s="716"/>
      <c r="AG468" s="481"/>
      <c r="AI468" s="481"/>
      <c r="AN468" s="481"/>
      <c r="AO468" s="746"/>
      <c r="AP468" s="746" t="s">
        <v>872</v>
      </c>
      <c r="AQ468" s="699"/>
      <c r="AR468" s="699"/>
      <c r="AS468" s="699"/>
      <c r="AT468" s="699"/>
      <c r="AU468" s="699"/>
      <c r="AV468" s="481"/>
      <c r="AX468" s="481"/>
    </row>
    <row r="469" spans="1:50" s="454" customFormat="1" ht="33" x14ac:dyDescent="0.25">
      <c r="A469" s="736" t="s">
        <v>1374</v>
      </c>
      <c r="B469" s="737" t="s">
        <v>2541</v>
      </c>
      <c r="C469" s="2723" t="s">
        <v>2542</v>
      </c>
      <c r="D469" s="2723"/>
      <c r="E469" s="2723"/>
      <c r="F469" s="738" t="s">
        <v>801</v>
      </c>
      <c r="G469" s="739">
        <v>4.5610999999999997</v>
      </c>
      <c r="H469" s="740">
        <v>1</v>
      </c>
      <c r="I469" s="751">
        <v>4.5610999999999997</v>
      </c>
      <c r="J469" s="742">
        <v>313</v>
      </c>
      <c r="K469" s="739"/>
      <c r="L469" s="743">
        <v>1427.62</v>
      </c>
      <c r="M469" s="744">
        <v>7.72</v>
      </c>
      <c r="N469" s="745">
        <v>11021.23</v>
      </c>
      <c r="AF469" s="716"/>
      <c r="AG469" s="481"/>
      <c r="AI469" s="481"/>
      <c r="AN469" s="481"/>
      <c r="AO469" s="746" t="s">
        <v>2542</v>
      </c>
      <c r="AP469" s="746"/>
      <c r="AQ469" s="699"/>
      <c r="AR469" s="699"/>
      <c r="AS469" s="699"/>
      <c r="AT469" s="699"/>
      <c r="AU469" s="699"/>
      <c r="AV469" s="481"/>
      <c r="AX469" s="481"/>
    </row>
    <row r="470" spans="1:50" s="454" customFormat="1" ht="15" x14ac:dyDescent="0.25">
      <c r="A470" s="747"/>
      <c r="B470" s="748"/>
      <c r="C470" s="2723" t="s">
        <v>872</v>
      </c>
      <c r="D470" s="2723"/>
      <c r="E470" s="2723"/>
      <c r="F470" s="738"/>
      <c r="G470" s="739"/>
      <c r="H470" s="739"/>
      <c r="I470" s="739"/>
      <c r="J470" s="749"/>
      <c r="K470" s="739"/>
      <c r="L470" s="743">
        <v>1427.62</v>
      </c>
      <c r="M470" s="750"/>
      <c r="N470" s="745">
        <v>11021.23</v>
      </c>
      <c r="AF470" s="716"/>
      <c r="AG470" s="481"/>
      <c r="AI470" s="481"/>
      <c r="AN470" s="481"/>
      <c r="AO470" s="746"/>
      <c r="AP470" s="746" t="s">
        <v>872</v>
      </c>
      <c r="AQ470" s="699"/>
      <c r="AR470" s="699"/>
      <c r="AS470" s="699"/>
      <c r="AT470" s="699"/>
      <c r="AU470" s="699"/>
      <c r="AV470" s="481"/>
      <c r="AX470" s="481"/>
    </row>
    <row r="471" spans="1:50" s="454" customFormat="1" ht="23.25" x14ac:dyDescent="0.25">
      <c r="A471" s="482" t="s">
        <v>1327</v>
      </c>
      <c r="B471" s="568" t="s">
        <v>2549</v>
      </c>
      <c r="C471" s="2722" t="s">
        <v>2550</v>
      </c>
      <c r="D471" s="2722"/>
      <c r="E471" s="2722"/>
      <c r="F471" s="483" t="s">
        <v>801</v>
      </c>
      <c r="G471" s="484">
        <v>0.51324000000000003</v>
      </c>
      <c r="H471" s="485">
        <v>1</v>
      </c>
      <c r="I471" s="541">
        <v>0.51324000000000003</v>
      </c>
      <c r="J471" s="524">
        <v>5488.69</v>
      </c>
      <c r="K471" s="484"/>
      <c r="L471" s="524">
        <v>2817.02</v>
      </c>
      <c r="M471" s="732">
        <v>7.72</v>
      </c>
      <c r="N471" s="525">
        <v>21747.39</v>
      </c>
      <c r="AF471" s="716"/>
      <c r="AG471" s="481"/>
      <c r="AI471" s="481" t="s">
        <v>2550</v>
      </c>
      <c r="AN471" s="481"/>
      <c r="AO471" s="746"/>
      <c r="AP471" s="746"/>
      <c r="AQ471" s="699"/>
      <c r="AR471" s="699"/>
      <c r="AS471" s="699"/>
      <c r="AT471" s="699"/>
      <c r="AU471" s="699"/>
      <c r="AV471" s="481"/>
      <c r="AX471" s="481"/>
    </row>
    <row r="472" spans="1:50" s="454" customFormat="1" ht="15" x14ac:dyDescent="0.25">
      <c r="A472" s="526"/>
      <c r="B472" s="567"/>
      <c r="C472" s="2722" t="s">
        <v>872</v>
      </c>
      <c r="D472" s="2722"/>
      <c r="E472" s="2722"/>
      <c r="F472" s="483"/>
      <c r="G472" s="484"/>
      <c r="H472" s="484"/>
      <c r="I472" s="484"/>
      <c r="J472" s="487"/>
      <c r="K472" s="484"/>
      <c r="L472" s="524">
        <v>2817.02</v>
      </c>
      <c r="M472" s="563"/>
      <c r="N472" s="525">
        <v>21747.39</v>
      </c>
      <c r="AF472" s="716"/>
      <c r="AG472" s="481"/>
      <c r="AI472" s="481"/>
      <c r="AN472" s="481" t="s">
        <v>872</v>
      </c>
      <c r="AO472" s="746"/>
      <c r="AP472" s="746"/>
      <c r="AQ472" s="699"/>
      <c r="AR472" s="699"/>
      <c r="AS472" s="699"/>
      <c r="AT472" s="699"/>
      <c r="AU472" s="699"/>
      <c r="AV472" s="481"/>
      <c r="AX472" s="481"/>
    </row>
    <row r="473" spans="1:50" s="454" customFormat="1" ht="23.25" x14ac:dyDescent="0.25">
      <c r="A473" s="482" t="s">
        <v>1329</v>
      </c>
      <c r="B473" s="568" t="s">
        <v>2641</v>
      </c>
      <c r="C473" s="2722" t="s">
        <v>2642</v>
      </c>
      <c r="D473" s="2722"/>
      <c r="E473" s="2722"/>
      <c r="F473" s="483" t="s">
        <v>801</v>
      </c>
      <c r="G473" s="484">
        <v>1.5708</v>
      </c>
      <c r="H473" s="485">
        <v>1</v>
      </c>
      <c r="I473" s="717">
        <v>1.5708</v>
      </c>
      <c r="J473" s="524">
        <v>5488.69</v>
      </c>
      <c r="K473" s="484"/>
      <c r="L473" s="524">
        <v>8621.6299999999992</v>
      </c>
      <c r="M473" s="732">
        <v>7.72</v>
      </c>
      <c r="N473" s="525">
        <v>66558.98</v>
      </c>
      <c r="AF473" s="716"/>
      <c r="AG473" s="481"/>
      <c r="AI473" s="481" t="s">
        <v>2642</v>
      </c>
      <c r="AN473" s="481"/>
      <c r="AO473" s="746"/>
      <c r="AP473" s="746"/>
      <c r="AQ473" s="699"/>
      <c r="AR473" s="699"/>
      <c r="AS473" s="699"/>
      <c r="AT473" s="699"/>
      <c r="AU473" s="699"/>
      <c r="AV473" s="481"/>
      <c r="AX473" s="481"/>
    </row>
    <row r="474" spans="1:50" s="454" customFormat="1" ht="15" x14ac:dyDescent="0.25">
      <c r="A474" s="526"/>
      <c r="B474" s="567"/>
      <c r="C474" s="2722" t="s">
        <v>872</v>
      </c>
      <c r="D474" s="2722"/>
      <c r="E474" s="2722"/>
      <c r="F474" s="483"/>
      <c r="G474" s="484"/>
      <c r="H474" s="484"/>
      <c r="I474" s="484"/>
      <c r="J474" s="487"/>
      <c r="K474" s="484"/>
      <c r="L474" s="524">
        <v>8621.6299999999992</v>
      </c>
      <c r="M474" s="563"/>
      <c r="N474" s="525">
        <v>66558.98</v>
      </c>
      <c r="AF474" s="716"/>
      <c r="AG474" s="481"/>
      <c r="AI474" s="481"/>
      <c r="AN474" s="481" t="s">
        <v>872</v>
      </c>
      <c r="AO474" s="746"/>
      <c r="AP474" s="746"/>
      <c r="AQ474" s="699"/>
      <c r="AR474" s="699"/>
      <c r="AS474" s="699"/>
      <c r="AT474" s="699"/>
      <c r="AU474" s="699"/>
      <c r="AV474" s="481"/>
      <c r="AX474" s="481"/>
    </row>
    <row r="475" spans="1:50" s="454" customFormat="1" ht="23.25" x14ac:dyDescent="0.25">
      <c r="A475" s="482" t="s">
        <v>1332</v>
      </c>
      <c r="B475" s="568" t="s">
        <v>2643</v>
      </c>
      <c r="C475" s="2722" t="s">
        <v>2644</v>
      </c>
      <c r="D475" s="2722"/>
      <c r="E475" s="2722"/>
      <c r="F475" s="483" t="s">
        <v>801</v>
      </c>
      <c r="G475" s="484">
        <v>0.112</v>
      </c>
      <c r="H475" s="485">
        <v>1</v>
      </c>
      <c r="I475" s="731">
        <v>0.112</v>
      </c>
      <c r="J475" s="524">
        <v>5584.58</v>
      </c>
      <c r="K475" s="484"/>
      <c r="L475" s="527">
        <v>625.47</v>
      </c>
      <c r="M475" s="732">
        <v>7.72</v>
      </c>
      <c r="N475" s="525">
        <v>4828.63</v>
      </c>
      <c r="AF475" s="716"/>
      <c r="AG475" s="481"/>
      <c r="AI475" s="481" t="s">
        <v>2644</v>
      </c>
      <c r="AN475" s="481"/>
      <c r="AO475" s="746"/>
      <c r="AP475" s="746"/>
      <c r="AQ475" s="699"/>
      <c r="AR475" s="699"/>
      <c r="AS475" s="699"/>
      <c r="AT475" s="699"/>
      <c r="AU475" s="699"/>
      <c r="AV475" s="481"/>
      <c r="AX475" s="481"/>
    </row>
    <row r="476" spans="1:50" s="454" customFormat="1" ht="15" x14ac:dyDescent="0.25">
      <c r="A476" s="526"/>
      <c r="B476" s="567"/>
      <c r="C476" s="2722" t="s">
        <v>872</v>
      </c>
      <c r="D476" s="2722"/>
      <c r="E476" s="2722"/>
      <c r="F476" s="483"/>
      <c r="G476" s="484"/>
      <c r="H476" s="484"/>
      <c r="I476" s="484"/>
      <c r="J476" s="487"/>
      <c r="K476" s="484"/>
      <c r="L476" s="527">
        <v>625.47</v>
      </c>
      <c r="M476" s="563"/>
      <c r="N476" s="525">
        <v>4828.63</v>
      </c>
      <c r="AF476" s="716"/>
      <c r="AG476" s="481"/>
      <c r="AI476" s="481"/>
      <c r="AN476" s="481" t="s">
        <v>872</v>
      </c>
      <c r="AO476" s="746"/>
      <c r="AP476" s="746"/>
      <c r="AQ476" s="699"/>
      <c r="AR476" s="699"/>
      <c r="AS476" s="699"/>
      <c r="AT476" s="699"/>
      <c r="AU476" s="699"/>
      <c r="AV476" s="481"/>
      <c r="AX476" s="481"/>
    </row>
    <row r="477" spans="1:50" s="454" customFormat="1" ht="45.75" x14ac:dyDescent="0.25">
      <c r="A477" s="482" t="s">
        <v>1334</v>
      </c>
      <c r="B477" s="568" t="s">
        <v>2645</v>
      </c>
      <c r="C477" s="2722" t="s">
        <v>2646</v>
      </c>
      <c r="D477" s="2722"/>
      <c r="E477" s="2722"/>
      <c r="F477" s="483" t="s">
        <v>2647</v>
      </c>
      <c r="G477" s="484">
        <v>5.04</v>
      </c>
      <c r="H477" s="485">
        <v>1</v>
      </c>
      <c r="I477" s="732">
        <v>5.04</v>
      </c>
      <c r="J477" s="527">
        <v>111.05</v>
      </c>
      <c r="K477" s="484"/>
      <c r="L477" s="527">
        <v>559.69000000000005</v>
      </c>
      <c r="M477" s="732">
        <v>7.72</v>
      </c>
      <c r="N477" s="525">
        <v>4320.8100000000004</v>
      </c>
      <c r="AF477" s="716"/>
      <c r="AG477" s="481"/>
      <c r="AI477" s="481" t="s">
        <v>2646</v>
      </c>
      <c r="AN477" s="481"/>
      <c r="AO477" s="746"/>
      <c r="AP477" s="746"/>
      <c r="AQ477" s="699"/>
      <c r="AR477" s="699"/>
      <c r="AS477" s="699"/>
      <c r="AT477" s="699"/>
      <c r="AU477" s="699"/>
      <c r="AV477" s="481"/>
      <c r="AX477" s="481"/>
    </row>
    <row r="478" spans="1:50" s="454" customFormat="1" ht="15" x14ac:dyDescent="0.25">
      <c r="A478" s="526"/>
      <c r="B478" s="567"/>
      <c r="C478" s="2722" t="s">
        <v>872</v>
      </c>
      <c r="D478" s="2722"/>
      <c r="E478" s="2722"/>
      <c r="F478" s="483"/>
      <c r="G478" s="484"/>
      <c r="H478" s="484"/>
      <c r="I478" s="484"/>
      <c r="J478" s="487"/>
      <c r="K478" s="484"/>
      <c r="L478" s="527">
        <v>559.69000000000005</v>
      </c>
      <c r="M478" s="563"/>
      <c r="N478" s="525">
        <v>4320.8100000000004</v>
      </c>
      <c r="AF478" s="716"/>
      <c r="AG478" s="481"/>
      <c r="AI478" s="481"/>
      <c r="AN478" s="481" t="s">
        <v>872</v>
      </c>
      <c r="AO478" s="746"/>
      <c r="AP478" s="746"/>
      <c r="AQ478" s="699"/>
      <c r="AR478" s="699"/>
      <c r="AS478" s="699"/>
      <c r="AT478" s="699"/>
      <c r="AU478" s="699"/>
      <c r="AV478" s="481"/>
      <c r="AX478" s="481"/>
    </row>
    <row r="479" spans="1:50" s="454" customFormat="1" ht="15" x14ac:dyDescent="0.25">
      <c r="A479" s="530"/>
      <c r="B479" s="531"/>
      <c r="C479" s="531"/>
      <c r="D479" s="531"/>
      <c r="E479" s="531"/>
      <c r="F479" s="532"/>
      <c r="G479" s="532"/>
      <c r="H479" s="532"/>
      <c r="I479" s="532"/>
      <c r="J479" s="533"/>
      <c r="K479" s="532"/>
      <c r="L479" s="533"/>
      <c r="M479" s="564"/>
      <c r="N479" s="533"/>
      <c r="AF479" s="716"/>
      <c r="AG479" s="481"/>
      <c r="AI479" s="481"/>
      <c r="AN479" s="481"/>
      <c r="AO479" s="746"/>
      <c r="AP479" s="746"/>
      <c r="AQ479" s="699"/>
      <c r="AR479" s="699"/>
      <c r="AS479" s="699"/>
      <c r="AT479" s="699"/>
      <c r="AU479" s="699"/>
      <c r="AV479" s="481"/>
      <c r="AX479" s="481"/>
    </row>
    <row r="480" spans="1:50" s="454" customFormat="1" ht="15" x14ac:dyDescent="0.25">
      <c r="A480" s="779"/>
      <c r="B480" s="780"/>
      <c r="C480" s="2722" t="s">
        <v>2648</v>
      </c>
      <c r="D480" s="2722"/>
      <c r="E480" s="2722"/>
      <c r="F480" s="2722"/>
      <c r="G480" s="2722"/>
      <c r="H480" s="2722"/>
      <c r="I480" s="2722"/>
      <c r="J480" s="2722"/>
      <c r="K480" s="2722"/>
      <c r="L480" s="781"/>
      <c r="M480" s="782"/>
      <c r="N480" s="783"/>
      <c r="AF480" s="716"/>
      <c r="AG480" s="481"/>
      <c r="AI480" s="481"/>
      <c r="AN480" s="481"/>
      <c r="AO480" s="746"/>
      <c r="AP480" s="746"/>
      <c r="AQ480" s="699"/>
      <c r="AR480" s="699"/>
      <c r="AS480" s="699"/>
      <c r="AT480" s="699"/>
      <c r="AU480" s="699"/>
      <c r="AV480" s="481" t="s">
        <v>2648</v>
      </c>
      <c r="AX480" s="481"/>
    </row>
    <row r="481" spans="1:50" s="454" customFormat="1" ht="15" x14ac:dyDescent="0.25">
      <c r="A481" s="523"/>
      <c r="B481" s="490"/>
      <c r="C481" s="2669" t="s">
        <v>890</v>
      </c>
      <c r="D481" s="2669"/>
      <c r="E481" s="2669"/>
      <c r="F481" s="2669"/>
      <c r="G481" s="2669"/>
      <c r="H481" s="2669"/>
      <c r="I481" s="2669"/>
      <c r="J481" s="2669"/>
      <c r="K481" s="2669"/>
      <c r="L481" s="784">
        <v>2526486.33</v>
      </c>
      <c r="M481" s="785"/>
      <c r="N481" s="536">
        <v>26475414.600000001</v>
      </c>
      <c r="AF481" s="716"/>
      <c r="AG481" s="481"/>
      <c r="AI481" s="481"/>
      <c r="AN481" s="481"/>
      <c r="AO481" s="746"/>
      <c r="AP481" s="746"/>
      <c r="AQ481" s="699"/>
      <c r="AR481" s="699"/>
      <c r="AS481" s="699"/>
      <c r="AT481" s="699"/>
      <c r="AU481" s="699"/>
      <c r="AV481" s="481"/>
      <c r="AW481" s="491" t="s">
        <v>890</v>
      </c>
      <c r="AX481" s="481"/>
    </row>
    <row r="482" spans="1:50" s="454" customFormat="1" ht="15" x14ac:dyDescent="0.25">
      <c r="A482" s="523"/>
      <c r="B482" s="490"/>
      <c r="C482" s="2669" t="s">
        <v>891</v>
      </c>
      <c r="D482" s="2669"/>
      <c r="E482" s="2669"/>
      <c r="F482" s="2669"/>
      <c r="G482" s="2669"/>
      <c r="H482" s="2669"/>
      <c r="I482" s="2669"/>
      <c r="J482" s="2669"/>
      <c r="K482" s="2669"/>
      <c r="L482" s="786"/>
      <c r="M482" s="785"/>
      <c r="N482" s="537"/>
      <c r="AF482" s="716"/>
      <c r="AG482" s="481"/>
      <c r="AI482" s="481"/>
      <c r="AN482" s="481"/>
      <c r="AO482" s="746"/>
      <c r="AP482" s="746"/>
      <c r="AQ482" s="699"/>
      <c r="AR482" s="699"/>
      <c r="AS482" s="699"/>
      <c r="AT482" s="699"/>
      <c r="AU482" s="699"/>
      <c r="AV482" s="481"/>
      <c r="AW482" s="491" t="s">
        <v>891</v>
      </c>
      <c r="AX482" s="481"/>
    </row>
    <row r="483" spans="1:50" s="454" customFormat="1" ht="15" x14ac:dyDescent="0.25">
      <c r="A483" s="523"/>
      <c r="B483" s="490"/>
      <c r="C483" s="2669" t="s">
        <v>892</v>
      </c>
      <c r="D483" s="2669"/>
      <c r="E483" s="2669"/>
      <c r="F483" s="2669"/>
      <c r="G483" s="2669"/>
      <c r="H483" s="2669"/>
      <c r="I483" s="2669"/>
      <c r="J483" s="2669"/>
      <c r="K483" s="2669"/>
      <c r="L483" s="784">
        <v>124380.02</v>
      </c>
      <c r="M483" s="785"/>
      <c r="N483" s="536">
        <v>3398062.14</v>
      </c>
      <c r="AF483" s="716"/>
      <c r="AG483" s="481"/>
      <c r="AI483" s="481"/>
      <c r="AN483" s="481"/>
      <c r="AO483" s="746"/>
      <c r="AP483" s="746"/>
      <c r="AQ483" s="699"/>
      <c r="AR483" s="699"/>
      <c r="AS483" s="699"/>
      <c r="AT483" s="699"/>
      <c r="AU483" s="699"/>
      <c r="AV483" s="481"/>
      <c r="AW483" s="491" t="s">
        <v>892</v>
      </c>
      <c r="AX483" s="481"/>
    </row>
    <row r="484" spans="1:50" s="454" customFormat="1" ht="15" x14ac:dyDescent="0.25">
      <c r="A484" s="523"/>
      <c r="B484" s="490"/>
      <c r="C484" s="2669" t="s">
        <v>893</v>
      </c>
      <c r="D484" s="2669"/>
      <c r="E484" s="2669"/>
      <c r="F484" s="2669"/>
      <c r="G484" s="2669"/>
      <c r="H484" s="2669"/>
      <c r="I484" s="2669"/>
      <c r="J484" s="2669"/>
      <c r="K484" s="2669"/>
      <c r="L484" s="784">
        <v>1416591.16</v>
      </c>
      <c r="M484" s="785"/>
      <c r="N484" s="536">
        <v>15469175.460000001</v>
      </c>
      <c r="AF484" s="716"/>
      <c r="AG484" s="481"/>
      <c r="AI484" s="481"/>
      <c r="AN484" s="481"/>
      <c r="AO484" s="746"/>
      <c r="AP484" s="746"/>
      <c r="AQ484" s="699"/>
      <c r="AR484" s="699"/>
      <c r="AS484" s="699"/>
      <c r="AT484" s="699"/>
      <c r="AU484" s="699"/>
      <c r="AV484" s="481"/>
      <c r="AW484" s="491" t="s">
        <v>893</v>
      </c>
      <c r="AX484" s="481"/>
    </row>
    <row r="485" spans="1:50" s="454" customFormat="1" ht="15" x14ac:dyDescent="0.25">
      <c r="A485" s="523"/>
      <c r="B485" s="490"/>
      <c r="C485" s="2669" t="s">
        <v>2578</v>
      </c>
      <c r="D485" s="2669"/>
      <c r="E485" s="2669"/>
      <c r="F485" s="2669"/>
      <c r="G485" s="2669"/>
      <c r="H485" s="2669"/>
      <c r="I485" s="2669"/>
      <c r="J485" s="2669"/>
      <c r="K485" s="2669"/>
      <c r="L485" s="784">
        <v>63576.97</v>
      </c>
      <c r="M485" s="785"/>
      <c r="N485" s="536">
        <v>1736922.81</v>
      </c>
      <c r="AF485" s="716"/>
      <c r="AG485" s="481"/>
      <c r="AI485" s="481"/>
      <c r="AN485" s="481"/>
      <c r="AO485" s="746"/>
      <c r="AP485" s="746"/>
      <c r="AQ485" s="699"/>
      <c r="AR485" s="699"/>
      <c r="AS485" s="699"/>
      <c r="AT485" s="699"/>
      <c r="AU485" s="699"/>
      <c r="AV485" s="481"/>
      <c r="AW485" s="491" t="s">
        <v>2578</v>
      </c>
      <c r="AX485" s="481"/>
    </row>
    <row r="486" spans="1:50" s="454" customFormat="1" ht="15" x14ac:dyDescent="0.25">
      <c r="A486" s="523"/>
      <c r="B486" s="490"/>
      <c r="C486" s="2669" t="s">
        <v>895</v>
      </c>
      <c r="D486" s="2669"/>
      <c r="E486" s="2669"/>
      <c r="F486" s="2669"/>
      <c r="G486" s="2669"/>
      <c r="H486" s="2669"/>
      <c r="I486" s="2669"/>
      <c r="J486" s="2669"/>
      <c r="K486" s="2669"/>
      <c r="L486" s="784">
        <v>985515.15</v>
      </c>
      <c r="M486" s="785"/>
      <c r="N486" s="536">
        <v>7608177</v>
      </c>
      <c r="AF486" s="716"/>
      <c r="AG486" s="481"/>
      <c r="AI486" s="481"/>
      <c r="AN486" s="481"/>
      <c r="AO486" s="746"/>
      <c r="AP486" s="746"/>
      <c r="AQ486" s="699"/>
      <c r="AR486" s="699"/>
      <c r="AS486" s="699"/>
      <c r="AT486" s="699"/>
      <c r="AU486" s="699"/>
      <c r="AV486" s="481"/>
      <c r="AW486" s="491" t="s">
        <v>895</v>
      </c>
      <c r="AX486" s="481"/>
    </row>
    <row r="487" spans="1:50" s="454" customFormat="1" ht="15" x14ac:dyDescent="0.25">
      <c r="A487" s="523"/>
      <c r="B487" s="490"/>
      <c r="C487" s="2669" t="s">
        <v>897</v>
      </c>
      <c r="D487" s="2669"/>
      <c r="E487" s="2669"/>
      <c r="F487" s="2669"/>
      <c r="G487" s="2669"/>
      <c r="H487" s="2669"/>
      <c r="I487" s="2669"/>
      <c r="J487" s="2669"/>
      <c r="K487" s="2669"/>
      <c r="L487" s="784">
        <v>2809603.14</v>
      </c>
      <c r="M487" s="785"/>
      <c r="N487" s="536">
        <v>34210165.43</v>
      </c>
      <c r="AF487" s="716"/>
      <c r="AG487" s="481"/>
      <c r="AI487" s="481"/>
      <c r="AN487" s="481"/>
      <c r="AO487" s="746"/>
      <c r="AP487" s="746"/>
      <c r="AQ487" s="699"/>
      <c r="AR487" s="699"/>
      <c r="AS487" s="699"/>
      <c r="AT487" s="699"/>
      <c r="AU487" s="699"/>
      <c r="AV487" s="481"/>
      <c r="AW487" s="491" t="s">
        <v>897</v>
      </c>
      <c r="AX487" s="481"/>
    </row>
    <row r="488" spans="1:50" s="454" customFormat="1" ht="15" x14ac:dyDescent="0.25">
      <c r="A488" s="523"/>
      <c r="B488" s="490"/>
      <c r="C488" s="2669" t="s">
        <v>898</v>
      </c>
      <c r="D488" s="2669"/>
      <c r="E488" s="2669"/>
      <c r="F488" s="2669"/>
      <c r="G488" s="2669"/>
      <c r="H488" s="2669"/>
      <c r="I488" s="2669"/>
      <c r="J488" s="2669"/>
      <c r="K488" s="2669"/>
      <c r="L488" s="784">
        <v>2803158.65</v>
      </c>
      <c r="M488" s="785"/>
      <c r="N488" s="536">
        <v>34137013.710000001</v>
      </c>
      <c r="AF488" s="716"/>
      <c r="AG488" s="481"/>
      <c r="AI488" s="481"/>
      <c r="AN488" s="481"/>
      <c r="AO488" s="746"/>
      <c r="AP488" s="746"/>
      <c r="AQ488" s="699"/>
      <c r="AR488" s="699"/>
      <c r="AS488" s="699"/>
      <c r="AT488" s="699"/>
      <c r="AU488" s="699"/>
      <c r="AV488" s="481"/>
      <c r="AW488" s="491" t="s">
        <v>898</v>
      </c>
      <c r="AX488" s="481"/>
    </row>
    <row r="489" spans="1:50" s="454" customFormat="1" ht="15" x14ac:dyDescent="0.25">
      <c r="A489" s="523"/>
      <c r="B489" s="490"/>
      <c r="C489" s="2669" t="s">
        <v>899</v>
      </c>
      <c r="D489" s="2669"/>
      <c r="E489" s="2669"/>
      <c r="F489" s="2669"/>
      <c r="G489" s="2669"/>
      <c r="H489" s="2669"/>
      <c r="I489" s="2669"/>
      <c r="J489" s="2669"/>
      <c r="K489" s="2669"/>
      <c r="L489" s="786"/>
      <c r="M489" s="785"/>
      <c r="N489" s="537"/>
      <c r="AF489" s="716"/>
      <c r="AG489" s="481"/>
      <c r="AI489" s="481"/>
      <c r="AN489" s="481"/>
      <c r="AO489" s="746"/>
      <c r="AP489" s="746"/>
      <c r="AQ489" s="699"/>
      <c r="AR489" s="699"/>
      <c r="AS489" s="699"/>
      <c r="AT489" s="699"/>
      <c r="AU489" s="699"/>
      <c r="AV489" s="481"/>
      <c r="AW489" s="491" t="s">
        <v>899</v>
      </c>
      <c r="AX489" s="481"/>
    </row>
    <row r="490" spans="1:50" s="454" customFormat="1" ht="15" x14ac:dyDescent="0.25">
      <c r="A490" s="523"/>
      <c r="B490" s="490"/>
      <c r="C490" s="2669" t="s">
        <v>900</v>
      </c>
      <c r="D490" s="2669"/>
      <c r="E490" s="2669"/>
      <c r="F490" s="2669"/>
      <c r="G490" s="2669"/>
      <c r="H490" s="2669"/>
      <c r="I490" s="2669"/>
      <c r="J490" s="2669"/>
      <c r="K490" s="2669"/>
      <c r="L490" s="784">
        <v>123882.7</v>
      </c>
      <c r="M490" s="785"/>
      <c r="N490" s="536">
        <v>3384475.36</v>
      </c>
      <c r="AF490" s="716"/>
      <c r="AG490" s="481"/>
      <c r="AI490" s="481"/>
      <c r="AN490" s="481"/>
      <c r="AO490" s="746"/>
      <c r="AP490" s="746"/>
      <c r="AQ490" s="699"/>
      <c r="AR490" s="699"/>
      <c r="AS490" s="699"/>
      <c r="AT490" s="699"/>
      <c r="AU490" s="699"/>
      <c r="AV490" s="481"/>
      <c r="AW490" s="491" t="s">
        <v>900</v>
      </c>
      <c r="AX490" s="481"/>
    </row>
    <row r="491" spans="1:50" s="454" customFormat="1" ht="15" x14ac:dyDescent="0.25">
      <c r="A491" s="523"/>
      <c r="B491" s="490"/>
      <c r="C491" s="2669" t="s">
        <v>901</v>
      </c>
      <c r="D491" s="2669"/>
      <c r="E491" s="2669"/>
      <c r="F491" s="2669"/>
      <c r="G491" s="2669"/>
      <c r="H491" s="2669"/>
      <c r="I491" s="2669"/>
      <c r="J491" s="2669"/>
      <c r="K491" s="2669"/>
      <c r="L491" s="784">
        <v>1416149.95</v>
      </c>
      <c r="M491" s="785"/>
      <c r="N491" s="536">
        <v>15464357.449999999</v>
      </c>
      <c r="AF491" s="716"/>
      <c r="AG491" s="481"/>
      <c r="AI491" s="481"/>
      <c r="AN491" s="481"/>
      <c r="AO491" s="746"/>
      <c r="AP491" s="746"/>
      <c r="AQ491" s="699"/>
      <c r="AR491" s="699"/>
      <c r="AS491" s="699"/>
      <c r="AT491" s="699"/>
      <c r="AU491" s="699"/>
      <c r="AV491" s="481"/>
      <c r="AW491" s="491" t="s">
        <v>901</v>
      </c>
      <c r="AX491" s="481"/>
    </row>
    <row r="492" spans="1:50" s="454" customFormat="1" ht="15" x14ac:dyDescent="0.25">
      <c r="A492" s="523"/>
      <c r="B492" s="490"/>
      <c r="C492" s="2669" t="s">
        <v>2579</v>
      </c>
      <c r="D492" s="2669"/>
      <c r="E492" s="2669"/>
      <c r="F492" s="2669"/>
      <c r="G492" s="2669"/>
      <c r="H492" s="2669"/>
      <c r="I492" s="2669"/>
      <c r="J492" s="2669"/>
      <c r="K492" s="2669"/>
      <c r="L492" s="784">
        <v>63490.61</v>
      </c>
      <c r="M492" s="785"/>
      <c r="N492" s="536">
        <v>1734563.45</v>
      </c>
      <c r="AF492" s="716"/>
      <c r="AG492" s="481"/>
      <c r="AI492" s="481"/>
      <c r="AN492" s="481"/>
      <c r="AO492" s="746"/>
      <c r="AP492" s="746"/>
      <c r="AQ492" s="699"/>
      <c r="AR492" s="699"/>
      <c r="AS492" s="699"/>
      <c r="AT492" s="699"/>
      <c r="AU492" s="699"/>
      <c r="AV492" s="481"/>
      <c r="AW492" s="491" t="s">
        <v>2579</v>
      </c>
      <c r="AX492" s="481"/>
    </row>
    <row r="493" spans="1:50" s="454" customFormat="1" ht="15" x14ac:dyDescent="0.25">
      <c r="A493" s="523"/>
      <c r="B493" s="490"/>
      <c r="C493" s="2669" t="s">
        <v>903</v>
      </c>
      <c r="D493" s="2669"/>
      <c r="E493" s="2669"/>
      <c r="F493" s="2669"/>
      <c r="G493" s="2669"/>
      <c r="H493" s="2669"/>
      <c r="I493" s="2669"/>
      <c r="J493" s="2669"/>
      <c r="K493" s="2669"/>
      <c r="L493" s="784">
        <v>980633.73</v>
      </c>
      <c r="M493" s="785"/>
      <c r="N493" s="536">
        <v>7570492.4400000004</v>
      </c>
      <c r="AF493" s="716"/>
      <c r="AG493" s="481"/>
      <c r="AI493" s="481"/>
      <c r="AN493" s="481"/>
      <c r="AO493" s="746"/>
      <c r="AP493" s="746"/>
      <c r="AQ493" s="699"/>
      <c r="AR493" s="699"/>
      <c r="AS493" s="699"/>
      <c r="AT493" s="699"/>
      <c r="AU493" s="699"/>
      <c r="AV493" s="481"/>
      <c r="AW493" s="491" t="s">
        <v>903</v>
      </c>
      <c r="AX493" s="481"/>
    </row>
    <row r="494" spans="1:50" s="454" customFormat="1" ht="15" x14ac:dyDescent="0.25">
      <c r="A494" s="523"/>
      <c r="B494" s="490"/>
      <c r="C494" s="2669" t="s">
        <v>904</v>
      </c>
      <c r="D494" s="2669"/>
      <c r="E494" s="2669"/>
      <c r="F494" s="2669"/>
      <c r="G494" s="2669"/>
      <c r="H494" s="2669"/>
      <c r="I494" s="2669"/>
      <c r="J494" s="2669"/>
      <c r="K494" s="2669"/>
      <c r="L494" s="784">
        <v>197146.54</v>
      </c>
      <c r="M494" s="785"/>
      <c r="N494" s="536">
        <v>5386043.2300000004</v>
      </c>
      <c r="AF494" s="716"/>
      <c r="AG494" s="481"/>
      <c r="AI494" s="481"/>
      <c r="AN494" s="481"/>
      <c r="AO494" s="746"/>
      <c r="AP494" s="746"/>
      <c r="AQ494" s="699"/>
      <c r="AR494" s="699"/>
      <c r="AS494" s="699"/>
      <c r="AT494" s="699"/>
      <c r="AU494" s="699"/>
      <c r="AV494" s="481"/>
      <c r="AW494" s="491" t="s">
        <v>904</v>
      </c>
      <c r="AX494" s="481"/>
    </row>
    <row r="495" spans="1:50" s="454" customFormat="1" ht="15" x14ac:dyDescent="0.25">
      <c r="A495" s="523"/>
      <c r="B495" s="490"/>
      <c r="C495" s="2669" t="s">
        <v>905</v>
      </c>
      <c r="D495" s="2669"/>
      <c r="E495" s="2669"/>
      <c r="F495" s="2669"/>
      <c r="G495" s="2669"/>
      <c r="H495" s="2669"/>
      <c r="I495" s="2669"/>
      <c r="J495" s="2669"/>
      <c r="K495" s="2669"/>
      <c r="L495" s="784">
        <v>85345.73</v>
      </c>
      <c r="M495" s="785"/>
      <c r="N495" s="536">
        <v>2331645.23</v>
      </c>
      <c r="AF495" s="716"/>
      <c r="AG495" s="481"/>
      <c r="AI495" s="481"/>
      <c r="AN495" s="481"/>
      <c r="AO495" s="746"/>
      <c r="AP495" s="746"/>
      <c r="AQ495" s="699"/>
      <c r="AR495" s="699"/>
      <c r="AS495" s="699"/>
      <c r="AT495" s="699"/>
      <c r="AU495" s="699"/>
      <c r="AV495" s="481"/>
      <c r="AW495" s="491" t="s">
        <v>905</v>
      </c>
      <c r="AX495" s="481"/>
    </row>
    <row r="496" spans="1:50" s="454" customFormat="1" ht="15" x14ac:dyDescent="0.25">
      <c r="A496" s="523"/>
      <c r="B496" s="490"/>
      <c r="C496" s="2669" t="s">
        <v>2580</v>
      </c>
      <c r="D496" s="2669"/>
      <c r="E496" s="2669"/>
      <c r="F496" s="2669"/>
      <c r="G496" s="2669"/>
      <c r="H496" s="2669"/>
      <c r="I496" s="2669"/>
      <c r="J496" s="2669"/>
      <c r="K496" s="2669"/>
      <c r="L496" s="784">
        <v>6444.49</v>
      </c>
      <c r="M496" s="785"/>
      <c r="N496" s="536">
        <v>73151.72</v>
      </c>
      <c r="AF496" s="716"/>
      <c r="AG496" s="481"/>
      <c r="AI496" s="481"/>
      <c r="AN496" s="481"/>
      <c r="AO496" s="746"/>
      <c r="AP496" s="746"/>
      <c r="AQ496" s="699"/>
      <c r="AR496" s="699"/>
      <c r="AS496" s="699"/>
      <c r="AT496" s="699"/>
      <c r="AU496" s="699"/>
      <c r="AV496" s="481"/>
      <c r="AW496" s="491" t="s">
        <v>2580</v>
      </c>
      <c r="AX496" s="481"/>
    </row>
    <row r="497" spans="1:50" s="454" customFormat="1" ht="15" x14ac:dyDescent="0.25">
      <c r="A497" s="523"/>
      <c r="B497" s="490"/>
      <c r="C497" s="2669" t="s">
        <v>899</v>
      </c>
      <c r="D497" s="2669"/>
      <c r="E497" s="2669"/>
      <c r="F497" s="2669"/>
      <c r="G497" s="2669"/>
      <c r="H497" s="2669"/>
      <c r="I497" s="2669"/>
      <c r="J497" s="2669"/>
      <c r="K497" s="2669"/>
      <c r="L497" s="786"/>
      <c r="M497" s="785"/>
      <c r="N497" s="537"/>
      <c r="AF497" s="716"/>
      <c r="AG497" s="481"/>
      <c r="AI497" s="481"/>
      <c r="AN497" s="481"/>
      <c r="AO497" s="746"/>
      <c r="AP497" s="746"/>
      <c r="AQ497" s="699"/>
      <c r="AR497" s="699"/>
      <c r="AS497" s="699"/>
      <c r="AT497" s="699"/>
      <c r="AU497" s="699"/>
      <c r="AV497" s="481"/>
      <c r="AW497" s="491" t="s">
        <v>899</v>
      </c>
      <c r="AX497" s="481"/>
    </row>
    <row r="498" spans="1:50" s="454" customFormat="1" ht="15" x14ac:dyDescent="0.25">
      <c r="A498" s="523"/>
      <c r="B498" s="490"/>
      <c r="C498" s="2669" t="s">
        <v>900</v>
      </c>
      <c r="D498" s="2669"/>
      <c r="E498" s="2669"/>
      <c r="F498" s="2669"/>
      <c r="G498" s="2669"/>
      <c r="H498" s="2669"/>
      <c r="I498" s="2669"/>
      <c r="J498" s="2669"/>
      <c r="K498" s="2669"/>
      <c r="L498" s="787">
        <v>497.32</v>
      </c>
      <c r="M498" s="785"/>
      <c r="N498" s="536">
        <v>13586.78</v>
      </c>
      <c r="AF498" s="716"/>
      <c r="AG498" s="481"/>
      <c r="AI498" s="481"/>
      <c r="AN498" s="481"/>
      <c r="AO498" s="746"/>
      <c r="AP498" s="746"/>
      <c r="AQ498" s="699"/>
      <c r="AR498" s="699"/>
      <c r="AS498" s="699"/>
      <c r="AT498" s="699"/>
      <c r="AU498" s="699"/>
      <c r="AV498" s="481"/>
      <c r="AW498" s="491" t="s">
        <v>900</v>
      </c>
      <c r="AX498" s="481"/>
    </row>
    <row r="499" spans="1:50" s="454" customFormat="1" ht="15" x14ac:dyDescent="0.25">
      <c r="A499" s="523"/>
      <c r="B499" s="490"/>
      <c r="C499" s="2669" t="s">
        <v>901</v>
      </c>
      <c r="D499" s="2669"/>
      <c r="E499" s="2669"/>
      <c r="F499" s="2669"/>
      <c r="G499" s="2669"/>
      <c r="H499" s="2669"/>
      <c r="I499" s="2669"/>
      <c r="J499" s="2669"/>
      <c r="K499" s="2669"/>
      <c r="L499" s="787">
        <v>441.21</v>
      </c>
      <c r="M499" s="785"/>
      <c r="N499" s="536">
        <v>4818.01</v>
      </c>
      <c r="AF499" s="716"/>
      <c r="AG499" s="481"/>
      <c r="AI499" s="481"/>
      <c r="AN499" s="481"/>
      <c r="AO499" s="746"/>
      <c r="AP499" s="746"/>
      <c r="AQ499" s="699"/>
      <c r="AR499" s="699"/>
      <c r="AS499" s="699"/>
      <c r="AT499" s="699"/>
      <c r="AU499" s="699"/>
      <c r="AV499" s="481"/>
      <c r="AW499" s="491" t="s">
        <v>901</v>
      </c>
      <c r="AX499" s="481"/>
    </row>
    <row r="500" spans="1:50" s="454" customFormat="1" ht="15" x14ac:dyDescent="0.25">
      <c r="A500" s="523"/>
      <c r="B500" s="490"/>
      <c r="C500" s="2669" t="s">
        <v>2579</v>
      </c>
      <c r="D500" s="2669"/>
      <c r="E500" s="2669"/>
      <c r="F500" s="2669"/>
      <c r="G500" s="2669"/>
      <c r="H500" s="2669"/>
      <c r="I500" s="2669"/>
      <c r="J500" s="2669"/>
      <c r="K500" s="2669"/>
      <c r="L500" s="787">
        <v>86.36</v>
      </c>
      <c r="M500" s="785"/>
      <c r="N500" s="536">
        <v>2359.36</v>
      </c>
      <c r="AF500" s="716"/>
      <c r="AG500" s="481"/>
      <c r="AI500" s="481"/>
      <c r="AN500" s="481"/>
      <c r="AO500" s="746"/>
      <c r="AP500" s="746"/>
      <c r="AQ500" s="699"/>
      <c r="AR500" s="699"/>
      <c r="AS500" s="699"/>
      <c r="AT500" s="699"/>
      <c r="AU500" s="699"/>
      <c r="AV500" s="481"/>
      <c r="AW500" s="491" t="s">
        <v>2579</v>
      </c>
      <c r="AX500" s="481"/>
    </row>
    <row r="501" spans="1:50" s="454" customFormat="1" ht="15" x14ac:dyDescent="0.25">
      <c r="A501" s="523"/>
      <c r="B501" s="490"/>
      <c r="C501" s="2669" t="s">
        <v>903</v>
      </c>
      <c r="D501" s="2669"/>
      <c r="E501" s="2669"/>
      <c r="F501" s="2669"/>
      <c r="G501" s="2669"/>
      <c r="H501" s="2669"/>
      <c r="I501" s="2669"/>
      <c r="J501" s="2669"/>
      <c r="K501" s="2669"/>
      <c r="L501" s="784">
        <v>4881.42</v>
      </c>
      <c r="M501" s="785"/>
      <c r="N501" s="536">
        <v>37684.559999999998</v>
      </c>
      <c r="AF501" s="716"/>
      <c r="AG501" s="481"/>
      <c r="AI501" s="481"/>
      <c r="AN501" s="481"/>
      <c r="AO501" s="746"/>
      <c r="AP501" s="746"/>
      <c r="AQ501" s="699"/>
      <c r="AR501" s="699"/>
      <c r="AS501" s="699"/>
      <c r="AT501" s="699"/>
      <c r="AU501" s="699"/>
      <c r="AV501" s="481"/>
      <c r="AW501" s="491" t="s">
        <v>903</v>
      </c>
      <c r="AX501" s="481"/>
    </row>
    <row r="502" spans="1:50" s="454" customFormat="1" ht="15" x14ac:dyDescent="0.25">
      <c r="A502" s="523"/>
      <c r="B502" s="490"/>
      <c r="C502" s="2669" t="s">
        <v>904</v>
      </c>
      <c r="D502" s="2669"/>
      <c r="E502" s="2669"/>
      <c r="F502" s="2669"/>
      <c r="G502" s="2669"/>
      <c r="H502" s="2669"/>
      <c r="I502" s="2669"/>
      <c r="J502" s="2669"/>
      <c r="K502" s="2669"/>
      <c r="L502" s="787">
        <v>426.09</v>
      </c>
      <c r="M502" s="785"/>
      <c r="N502" s="536">
        <v>11640.68</v>
      </c>
      <c r="AF502" s="716"/>
      <c r="AG502" s="481"/>
      <c r="AI502" s="481"/>
      <c r="AN502" s="481"/>
      <c r="AO502" s="746"/>
      <c r="AP502" s="746"/>
      <c r="AQ502" s="699"/>
      <c r="AR502" s="699"/>
      <c r="AS502" s="699"/>
      <c r="AT502" s="699"/>
      <c r="AU502" s="699"/>
      <c r="AV502" s="481"/>
      <c r="AW502" s="491" t="s">
        <v>904</v>
      </c>
      <c r="AX502" s="481"/>
    </row>
    <row r="503" spans="1:50" s="454" customFormat="1" ht="15" x14ac:dyDescent="0.25">
      <c r="A503" s="523"/>
      <c r="B503" s="490"/>
      <c r="C503" s="2669" t="s">
        <v>905</v>
      </c>
      <c r="D503" s="2669"/>
      <c r="E503" s="2669"/>
      <c r="F503" s="2669"/>
      <c r="G503" s="2669"/>
      <c r="H503" s="2669"/>
      <c r="I503" s="2669"/>
      <c r="J503" s="2669"/>
      <c r="K503" s="2669"/>
      <c r="L503" s="787">
        <v>198.45</v>
      </c>
      <c r="M503" s="785"/>
      <c r="N503" s="536">
        <v>5421.69</v>
      </c>
      <c r="AF503" s="716"/>
      <c r="AG503" s="481"/>
      <c r="AI503" s="481"/>
      <c r="AN503" s="481"/>
      <c r="AO503" s="746"/>
      <c r="AP503" s="746"/>
      <c r="AQ503" s="699"/>
      <c r="AR503" s="699"/>
      <c r="AS503" s="699"/>
      <c r="AT503" s="699"/>
      <c r="AU503" s="699"/>
      <c r="AV503" s="481"/>
      <c r="AW503" s="491" t="s">
        <v>905</v>
      </c>
      <c r="AX503" s="481"/>
    </row>
    <row r="504" spans="1:50" s="454" customFormat="1" ht="15" x14ac:dyDescent="0.25">
      <c r="A504" s="523"/>
      <c r="B504" s="490"/>
      <c r="C504" s="2669" t="s">
        <v>907</v>
      </c>
      <c r="D504" s="2669"/>
      <c r="E504" s="2669"/>
      <c r="F504" s="2669"/>
      <c r="G504" s="2669"/>
      <c r="H504" s="2669"/>
      <c r="I504" s="2669"/>
      <c r="J504" s="2669"/>
      <c r="K504" s="2669"/>
      <c r="L504" s="784">
        <v>187956.99</v>
      </c>
      <c r="M504" s="785"/>
      <c r="N504" s="536">
        <v>5134984.95</v>
      </c>
      <c r="AF504" s="716"/>
      <c r="AG504" s="481"/>
      <c r="AI504" s="481"/>
      <c r="AN504" s="481"/>
      <c r="AO504" s="746"/>
      <c r="AP504" s="746"/>
      <c r="AQ504" s="699"/>
      <c r="AR504" s="699"/>
      <c r="AS504" s="699"/>
      <c r="AT504" s="699"/>
      <c r="AU504" s="699"/>
      <c r="AV504" s="481"/>
      <c r="AW504" s="491" t="s">
        <v>907</v>
      </c>
      <c r="AX504" s="481"/>
    </row>
    <row r="505" spans="1:50" s="454" customFormat="1" ht="15" x14ac:dyDescent="0.25">
      <c r="A505" s="523"/>
      <c r="B505" s="490"/>
      <c r="C505" s="2669" t="s">
        <v>908</v>
      </c>
      <c r="D505" s="2669"/>
      <c r="E505" s="2669"/>
      <c r="F505" s="2669"/>
      <c r="G505" s="2669"/>
      <c r="H505" s="2669"/>
      <c r="I505" s="2669"/>
      <c r="J505" s="2669"/>
      <c r="K505" s="2669"/>
      <c r="L505" s="784">
        <v>197572.63</v>
      </c>
      <c r="M505" s="785"/>
      <c r="N505" s="536">
        <v>5397683.9100000001</v>
      </c>
      <c r="AF505" s="716"/>
      <c r="AG505" s="481"/>
      <c r="AI505" s="481"/>
      <c r="AN505" s="481"/>
      <c r="AO505" s="746"/>
      <c r="AP505" s="746"/>
      <c r="AQ505" s="699"/>
      <c r="AR505" s="699"/>
      <c r="AS505" s="699"/>
      <c r="AT505" s="699"/>
      <c r="AU505" s="699"/>
      <c r="AV505" s="481"/>
      <c r="AW505" s="491" t="s">
        <v>908</v>
      </c>
      <c r="AX505" s="481"/>
    </row>
    <row r="506" spans="1:50" s="454" customFormat="1" ht="15" x14ac:dyDescent="0.25">
      <c r="A506" s="523"/>
      <c r="B506" s="490"/>
      <c r="C506" s="2669" t="s">
        <v>909</v>
      </c>
      <c r="D506" s="2669"/>
      <c r="E506" s="2669"/>
      <c r="F506" s="2669"/>
      <c r="G506" s="2669"/>
      <c r="H506" s="2669"/>
      <c r="I506" s="2669"/>
      <c r="J506" s="2669"/>
      <c r="K506" s="2669"/>
      <c r="L506" s="784">
        <v>85544.18</v>
      </c>
      <c r="M506" s="785"/>
      <c r="N506" s="536">
        <v>2337066.92</v>
      </c>
      <c r="AF506" s="716"/>
      <c r="AG506" s="481"/>
      <c r="AI506" s="481"/>
      <c r="AN506" s="481"/>
      <c r="AO506" s="746"/>
      <c r="AP506" s="746"/>
      <c r="AQ506" s="699"/>
      <c r="AR506" s="699"/>
      <c r="AS506" s="699"/>
      <c r="AT506" s="699"/>
      <c r="AU506" s="699"/>
      <c r="AV506" s="481"/>
      <c r="AW506" s="491" t="s">
        <v>909</v>
      </c>
      <c r="AX506" s="481"/>
    </row>
    <row r="507" spans="1:50" s="454" customFormat="1" ht="15" x14ac:dyDescent="0.25">
      <c r="A507" s="523"/>
      <c r="B507" s="534"/>
      <c r="C507" s="2729" t="s">
        <v>2649</v>
      </c>
      <c r="D507" s="2729"/>
      <c r="E507" s="2729"/>
      <c r="F507" s="2729"/>
      <c r="G507" s="2729"/>
      <c r="H507" s="2729"/>
      <c r="I507" s="2729"/>
      <c r="J507" s="2729"/>
      <c r="K507" s="2729"/>
      <c r="L507" s="544">
        <v>2809603.14</v>
      </c>
      <c r="M507" s="788"/>
      <c r="N507" s="538">
        <v>34210165.43</v>
      </c>
      <c r="AF507" s="716"/>
      <c r="AG507" s="481"/>
      <c r="AI507" s="481"/>
      <c r="AN507" s="481"/>
      <c r="AO507" s="746"/>
      <c r="AP507" s="746"/>
      <c r="AQ507" s="699"/>
      <c r="AR507" s="699"/>
      <c r="AS507" s="699"/>
      <c r="AT507" s="699"/>
      <c r="AU507" s="699"/>
      <c r="AV507" s="481"/>
      <c r="AX507" s="481" t="s">
        <v>2649</v>
      </c>
    </row>
    <row r="508" spans="1:50" s="454" customFormat="1" ht="15" x14ac:dyDescent="0.25">
      <c r="A508" s="523"/>
      <c r="B508" s="490"/>
      <c r="C508" s="2669" t="s">
        <v>891</v>
      </c>
      <c r="D508" s="2669"/>
      <c r="E508" s="2669"/>
      <c r="F508" s="2669"/>
      <c r="G508" s="2669"/>
      <c r="H508" s="2669"/>
      <c r="I508" s="2669"/>
      <c r="J508" s="2669"/>
      <c r="K508" s="2669"/>
      <c r="L508" s="786"/>
      <c r="M508" s="785"/>
      <c r="N508" s="537"/>
      <c r="AF508" s="716"/>
      <c r="AG508" s="481"/>
      <c r="AI508" s="481"/>
      <c r="AN508" s="481"/>
      <c r="AO508" s="746"/>
      <c r="AP508" s="746"/>
      <c r="AQ508" s="699"/>
      <c r="AR508" s="699"/>
      <c r="AS508" s="699"/>
      <c r="AT508" s="699"/>
      <c r="AU508" s="699"/>
      <c r="AV508" s="481"/>
      <c r="AW508" s="491" t="s">
        <v>891</v>
      </c>
      <c r="AX508" s="481"/>
    </row>
    <row r="509" spans="1:50" s="454" customFormat="1" ht="15" x14ac:dyDescent="0.25">
      <c r="A509" s="523"/>
      <c r="B509" s="490"/>
      <c r="C509" s="2669" t="s">
        <v>2650</v>
      </c>
      <c r="D509" s="2669"/>
      <c r="E509" s="2669"/>
      <c r="F509" s="2669"/>
      <c r="G509" s="2669"/>
      <c r="H509" s="2669"/>
      <c r="I509" s="2669"/>
      <c r="J509" s="2669"/>
      <c r="K509" s="2669"/>
      <c r="L509" s="784">
        <v>692230.83</v>
      </c>
      <c r="M509" s="785"/>
      <c r="N509" s="536">
        <v>5344022.04</v>
      </c>
      <c r="AF509" s="716"/>
      <c r="AG509" s="481"/>
      <c r="AI509" s="481"/>
      <c r="AN509" s="481"/>
      <c r="AO509" s="746"/>
      <c r="AP509" s="746"/>
      <c r="AQ509" s="699"/>
      <c r="AR509" s="699"/>
      <c r="AS509" s="699"/>
      <c r="AT509" s="699"/>
      <c r="AU509" s="699"/>
      <c r="AV509" s="481"/>
      <c r="AW509" s="491" t="s">
        <v>2650</v>
      </c>
      <c r="AX509" s="481"/>
    </row>
    <row r="510" spans="1:50" s="454" customFormat="1" ht="15" x14ac:dyDescent="0.25">
      <c r="A510" s="2713" t="s">
        <v>2651</v>
      </c>
      <c r="B510" s="2714"/>
      <c r="C510" s="2714"/>
      <c r="D510" s="2714"/>
      <c r="E510" s="2714"/>
      <c r="F510" s="2714"/>
      <c r="G510" s="2714"/>
      <c r="H510" s="2714"/>
      <c r="I510" s="2714"/>
      <c r="J510" s="2714"/>
      <c r="K510" s="2714"/>
      <c r="L510" s="2714"/>
      <c r="M510" s="2714"/>
      <c r="N510" s="2715"/>
      <c r="AF510" s="716" t="s">
        <v>2651</v>
      </c>
      <c r="AG510" s="481"/>
      <c r="AI510" s="481"/>
      <c r="AN510" s="481"/>
      <c r="AO510" s="746"/>
      <c r="AP510" s="746"/>
      <c r="AQ510" s="699"/>
      <c r="AR510" s="699"/>
      <c r="AS510" s="699"/>
      <c r="AT510" s="699"/>
      <c r="AU510" s="699"/>
      <c r="AV510" s="481"/>
      <c r="AX510" s="481"/>
    </row>
    <row r="511" spans="1:50" s="454" customFormat="1" ht="15" x14ac:dyDescent="0.25">
      <c r="A511" s="2716" t="s">
        <v>2652</v>
      </c>
      <c r="B511" s="2717"/>
      <c r="C511" s="2717"/>
      <c r="D511" s="2717"/>
      <c r="E511" s="2717"/>
      <c r="F511" s="2717"/>
      <c r="G511" s="2717"/>
      <c r="H511" s="2717"/>
      <c r="I511" s="2717"/>
      <c r="J511" s="2717"/>
      <c r="K511" s="2717"/>
      <c r="L511" s="2717"/>
      <c r="M511" s="2717"/>
      <c r="N511" s="2718"/>
      <c r="AF511" s="716"/>
      <c r="AG511" s="481" t="s">
        <v>2652</v>
      </c>
      <c r="AI511" s="481"/>
      <c r="AN511" s="481"/>
      <c r="AO511" s="746"/>
      <c r="AP511" s="746"/>
      <c r="AQ511" s="699"/>
      <c r="AR511" s="699"/>
      <c r="AS511" s="699"/>
      <c r="AT511" s="699"/>
      <c r="AU511" s="699"/>
      <c r="AV511" s="481"/>
      <c r="AX511" s="481"/>
    </row>
    <row r="512" spans="1:50" s="454" customFormat="1" ht="34.5" x14ac:dyDescent="0.25">
      <c r="A512" s="482" t="s">
        <v>1336</v>
      </c>
      <c r="B512" s="568" t="s">
        <v>2586</v>
      </c>
      <c r="C512" s="2722" t="s">
        <v>2587</v>
      </c>
      <c r="D512" s="2722"/>
      <c r="E512" s="2722"/>
      <c r="F512" s="483" t="s">
        <v>2588</v>
      </c>
      <c r="G512" s="484">
        <v>0.61199999999999999</v>
      </c>
      <c r="H512" s="485">
        <v>1</v>
      </c>
      <c r="I512" s="731">
        <v>0.61199999999999999</v>
      </c>
      <c r="J512" s="487"/>
      <c r="K512" s="484"/>
      <c r="L512" s="487"/>
      <c r="M512" s="484"/>
      <c r="N512" s="488"/>
      <c r="AF512" s="716"/>
      <c r="AG512" s="481"/>
      <c r="AI512" s="481" t="s">
        <v>2587</v>
      </c>
      <c r="AN512" s="481"/>
      <c r="AO512" s="746"/>
      <c r="AP512" s="746"/>
      <c r="AQ512" s="699"/>
      <c r="AR512" s="699"/>
      <c r="AS512" s="699"/>
      <c r="AT512" s="699"/>
      <c r="AU512" s="699"/>
      <c r="AV512" s="481"/>
      <c r="AX512" s="481"/>
    </row>
    <row r="513" spans="1:50" s="454" customFormat="1" ht="33.75" x14ac:dyDescent="0.25">
      <c r="A513" s="489"/>
      <c r="B513" s="490" t="s">
        <v>1655</v>
      </c>
      <c r="C513" s="2709" t="s">
        <v>1656</v>
      </c>
      <c r="D513" s="2709"/>
      <c r="E513" s="2709"/>
      <c r="F513" s="2709"/>
      <c r="G513" s="2709"/>
      <c r="H513" s="2709"/>
      <c r="I513" s="2709"/>
      <c r="J513" s="2709"/>
      <c r="K513" s="2709"/>
      <c r="L513" s="2709"/>
      <c r="M513" s="2709"/>
      <c r="N513" s="2710"/>
      <c r="AF513" s="716"/>
      <c r="AG513" s="481"/>
      <c r="AI513" s="481"/>
      <c r="AJ513" s="491" t="s">
        <v>1656</v>
      </c>
      <c r="AN513" s="481"/>
      <c r="AO513" s="746"/>
      <c r="AP513" s="746"/>
      <c r="AQ513" s="699"/>
      <c r="AR513" s="699"/>
      <c r="AS513" s="699"/>
      <c r="AT513" s="699"/>
      <c r="AU513" s="699"/>
      <c r="AV513" s="481"/>
      <c r="AX513" s="481"/>
    </row>
    <row r="514" spans="1:50" s="454" customFormat="1" ht="15" x14ac:dyDescent="0.25">
      <c r="A514" s="718"/>
      <c r="B514" s="490" t="s">
        <v>190</v>
      </c>
      <c r="C514" s="2669" t="s">
        <v>2523</v>
      </c>
      <c r="D514" s="2669"/>
      <c r="E514" s="2669"/>
      <c r="F514" s="719"/>
      <c r="G514" s="564"/>
      <c r="H514" s="564"/>
      <c r="I514" s="564"/>
      <c r="J514" s="505">
        <v>5465.7</v>
      </c>
      <c r="K514" s="511">
        <v>1.5</v>
      </c>
      <c r="L514" s="505">
        <v>5017.51</v>
      </c>
      <c r="M514" s="506">
        <v>27.32</v>
      </c>
      <c r="N514" s="720">
        <v>137078.37</v>
      </c>
      <c r="AF514" s="716"/>
      <c r="AG514" s="481"/>
      <c r="AI514" s="481"/>
      <c r="AK514" s="491" t="s">
        <v>2523</v>
      </c>
      <c r="AN514" s="481"/>
      <c r="AO514" s="746"/>
      <c r="AP514" s="746"/>
      <c r="AQ514" s="699"/>
      <c r="AR514" s="699"/>
      <c r="AS514" s="699"/>
      <c r="AT514" s="699"/>
      <c r="AU514" s="699"/>
      <c r="AV514" s="481"/>
      <c r="AX514" s="481"/>
    </row>
    <row r="515" spans="1:50" s="454" customFormat="1" ht="15" x14ac:dyDescent="0.25">
      <c r="A515" s="718"/>
      <c r="B515" s="490" t="s">
        <v>639</v>
      </c>
      <c r="C515" s="2669" t="s">
        <v>697</v>
      </c>
      <c r="D515" s="2669"/>
      <c r="E515" s="2669"/>
      <c r="F515" s="719"/>
      <c r="G515" s="564"/>
      <c r="H515" s="564"/>
      <c r="I515" s="564"/>
      <c r="J515" s="505">
        <v>64226.96</v>
      </c>
      <c r="K515" s="511">
        <v>1.5</v>
      </c>
      <c r="L515" s="505">
        <v>58960.35</v>
      </c>
      <c r="M515" s="506">
        <v>10.92</v>
      </c>
      <c r="N515" s="720">
        <v>643847.02</v>
      </c>
      <c r="AF515" s="716"/>
      <c r="AG515" s="481"/>
      <c r="AI515" s="481"/>
      <c r="AK515" s="491" t="s">
        <v>697</v>
      </c>
      <c r="AN515" s="481"/>
      <c r="AO515" s="746"/>
      <c r="AP515" s="746"/>
      <c r="AQ515" s="699"/>
      <c r="AR515" s="699"/>
      <c r="AS515" s="699"/>
      <c r="AT515" s="699"/>
      <c r="AU515" s="699"/>
      <c r="AV515" s="481"/>
      <c r="AX515" s="481"/>
    </row>
    <row r="516" spans="1:50" s="454" customFormat="1" ht="15" x14ac:dyDescent="0.25">
      <c r="A516" s="718"/>
      <c r="B516" s="490" t="s">
        <v>640</v>
      </c>
      <c r="C516" s="2669" t="s">
        <v>2500</v>
      </c>
      <c r="D516" s="2669"/>
      <c r="E516" s="2669"/>
      <c r="F516" s="719"/>
      <c r="G516" s="564"/>
      <c r="H516" s="564"/>
      <c r="I516" s="564"/>
      <c r="J516" s="505">
        <v>3064.66</v>
      </c>
      <c r="K516" s="511">
        <v>1.5</v>
      </c>
      <c r="L516" s="505">
        <v>2813.36</v>
      </c>
      <c r="M516" s="506">
        <v>27.32</v>
      </c>
      <c r="N516" s="720">
        <v>76861</v>
      </c>
      <c r="AF516" s="716"/>
      <c r="AG516" s="481"/>
      <c r="AI516" s="481"/>
      <c r="AK516" s="491" t="s">
        <v>2500</v>
      </c>
      <c r="AN516" s="481"/>
      <c r="AO516" s="746"/>
      <c r="AP516" s="746"/>
      <c r="AQ516" s="699"/>
      <c r="AR516" s="699"/>
      <c r="AS516" s="699"/>
      <c r="AT516" s="699"/>
      <c r="AU516" s="699"/>
      <c r="AV516" s="481"/>
      <c r="AX516" s="481"/>
    </row>
    <row r="517" spans="1:50" s="454" customFormat="1" ht="15" x14ac:dyDescent="0.25">
      <c r="A517" s="718"/>
      <c r="B517" s="490" t="s">
        <v>232</v>
      </c>
      <c r="C517" s="2669" t="s">
        <v>829</v>
      </c>
      <c r="D517" s="2669"/>
      <c r="E517" s="2669"/>
      <c r="F517" s="719"/>
      <c r="G517" s="564"/>
      <c r="H517" s="564"/>
      <c r="I517" s="564"/>
      <c r="J517" s="510">
        <v>578.78</v>
      </c>
      <c r="K517" s="564"/>
      <c r="L517" s="510">
        <v>354.21</v>
      </c>
      <c r="M517" s="506">
        <v>7.72</v>
      </c>
      <c r="N517" s="720">
        <v>2734.5</v>
      </c>
      <c r="AF517" s="716"/>
      <c r="AG517" s="481"/>
      <c r="AI517" s="481"/>
      <c r="AK517" s="491" t="s">
        <v>829</v>
      </c>
      <c r="AN517" s="481"/>
      <c r="AO517" s="746"/>
      <c r="AP517" s="746"/>
      <c r="AQ517" s="699"/>
      <c r="AR517" s="699"/>
      <c r="AS517" s="699"/>
      <c r="AT517" s="699"/>
      <c r="AU517" s="699"/>
      <c r="AV517" s="481"/>
      <c r="AX517" s="481"/>
    </row>
    <row r="518" spans="1:50" s="454" customFormat="1" ht="15" x14ac:dyDescent="0.25">
      <c r="A518" s="721"/>
      <c r="B518" s="490"/>
      <c r="C518" s="2669" t="s">
        <v>2524</v>
      </c>
      <c r="D518" s="2669"/>
      <c r="E518" s="2669"/>
      <c r="F518" s="719" t="s">
        <v>807</v>
      </c>
      <c r="G518" s="506">
        <v>568.16</v>
      </c>
      <c r="H518" s="511">
        <v>1.5</v>
      </c>
      <c r="I518" s="735">
        <v>521.57087999999999</v>
      </c>
      <c r="J518" s="501"/>
      <c r="K518" s="564"/>
      <c r="L518" s="501"/>
      <c r="M518" s="564"/>
      <c r="N518" s="723"/>
      <c r="AF518" s="716"/>
      <c r="AG518" s="481"/>
      <c r="AI518" s="481"/>
      <c r="AL518" s="491" t="s">
        <v>2524</v>
      </c>
      <c r="AN518" s="481"/>
      <c r="AO518" s="746"/>
      <c r="AP518" s="746"/>
      <c r="AQ518" s="699"/>
      <c r="AR518" s="699"/>
      <c r="AS518" s="699"/>
      <c r="AT518" s="699"/>
      <c r="AU518" s="699"/>
      <c r="AV518" s="481"/>
      <c r="AX518" s="481"/>
    </row>
    <row r="519" spans="1:50" s="454" customFormat="1" ht="15" x14ac:dyDescent="0.25">
      <c r="A519" s="721"/>
      <c r="B519" s="490"/>
      <c r="C519" s="2669" t="s">
        <v>2501</v>
      </c>
      <c r="D519" s="2669"/>
      <c r="E519" s="2669"/>
      <c r="F519" s="719" t="s">
        <v>807</v>
      </c>
      <c r="G519" s="506">
        <v>239.17</v>
      </c>
      <c r="H519" s="511">
        <v>1.5</v>
      </c>
      <c r="I519" s="735">
        <v>219.55806000000001</v>
      </c>
      <c r="J519" s="501"/>
      <c r="K519" s="564"/>
      <c r="L519" s="501"/>
      <c r="M519" s="564"/>
      <c r="N519" s="723"/>
      <c r="AF519" s="716"/>
      <c r="AG519" s="481"/>
      <c r="AI519" s="481"/>
      <c r="AL519" s="491" t="s">
        <v>2501</v>
      </c>
      <c r="AN519" s="481"/>
      <c r="AO519" s="746"/>
      <c r="AP519" s="746"/>
      <c r="AQ519" s="699"/>
      <c r="AR519" s="699"/>
      <c r="AS519" s="699"/>
      <c r="AT519" s="699"/>
      <c r="AU519" s="699"/>
      <c r="AV519" s="481"/>
      <c r="AX519" s="481"/>
    </row>
    <row r="520" spans="1:50" s="454" customFormat="1" ht="15" x14ac:dyDescent="0.25">
      <c r="A520" s="718"/>
      <c r="B520" s="490"/>
      <c r="C520" s="2711" t="s">
        <v>2502</v>
      </c>
      <c r="D520" s="2711"/>
      <c r="E520" s="2711"/>
      <c r="F520" s="724"/>
      <c r="G520" s="563"/>
      <c r="H520" s="563"/>
      <c r="I520" s="563"/>
      <c r="J520" s="725">
        <v>70271.44</v>
      </c>
      <c r="K520" s="563"/>
      <c r="L520" s="725">
        <v>64332.07</v>
      </c>
      <c r="M520" s="563"/>
      <c r="N520" s="726">
        <v>783659.89</v>
      </c>
      <c r="AF520" s="716"/>
      <c r="AG520" s="481"/>
      <c r="AI520" s="481"/>
      <c r="AM520" s="491" t="s">
        <v>2502</v>
      </c>
      <c r="AN520" s="481"/>
      <c r="AO520" s="746"/>
      <c r="AP520" s="746"/>
      <c r="AQ520" s="699"/>
      <c r="AR520" s="699"/>
      <c r="AS520" s="699"/>
      <c r="AT520" s="699"/>
      <c r="AU520" s="699"/>
      <c r="AV520" s="481"/>
      <c r="AX520" s="481"/>
    </row>
    <row r="521" spans="1:50" s="454" customFormat="1" ht="15" x14ac:dyDescent="0.25">
      <c r="A521" s="721"/>
      <c r="B521" s="490"/>
      <c r="C521" s="2669" t="s">
        <v>867</v>
      </c>
      <c r="D521" s="2669"/>
      <c r="E521" s="2669"/>
      <c r="F521" s="719"/>
      <c r="G521" s="564"/>
      <c r="H521" s="564"/>
      <c r="I521" s="564"/>
      <c r="J521" s="501"/>
      <c r="K521" s="564"/>
      <c r="L521" s="505">
        <v>7830.87</v>
      </c>
      <c r="M521" s="564"/>
      <c r="N521" s="720">
        <v>213939.37</v>
      </c>
      <c r="AF521" s="716"/>
      <c r="AG521" s="481"/>
      <c r="AI521" s="481"/>
      <c r="AL521" s="491" t="s">
        <v>867</v>
      </c>
      <c r="AN521" s="481"/>
      <c r="AO521" s="746"/>
      <c r="AP521" s="746"/>
      <c r="AQ521" s="699"/>
      <c r="AR521" s="699"/>
      <c r="AS521" s="699"/>
      <c r="AT521" s="699"/>
      <c r="AU521" s="699"/>
      <c r="AV521" s="481"/>
      <c r="AX521" s="481"/>
    </row>
    <row r="522" spans="1:50" s="454" customFormat="1" ht="15" x14ac:dyDescent="0.25">
      <c r="A522" s="721"/>
      <c r="B522" s="490" t="s">
        <v>2589</v>
      </c>
      <c r="C522" s="2669" t="s">
        <v>2590</v>
      </c>
      <c r="D522" s="2669"/>
      <c r="E522" s="2669"/>
      <c r="F522" s="719" t="s">
        <v>636</v>
      </c>
      <c r="G522" s="727">
        <v>106</v>
      </c>
      <c r="H522" s="564"/>
      <c r="I522" s="727">
        <v>106</v>
      </c>
      <c r="J522" s="501"/>
      <c r="K522" s="564"/>
      <c r="L522" s="505">
        <v>8300.7199999999993</v>
      </c>
      <c r="M522" s="564"/>
      <c r="N522" s="720">
        <v>226775.73</v>
      </c>
      <c r="AF522" s="716"/>
      <c r="AG522" s="481"/>
      <c r="AI522" s="481"/>
      <c r="AL522" s="491" t="s">
        <v>2590</v>
      </c>
      <c r="AN522" s="481"/>
      <c r="AO522" s="746"/>
      <c r="AP522" s="746"/>
      <c r="AQ522" s="699"/>
      <c r="AR522" s="699"/>
      <c r="AS522" s="699"/>
      <c r="AT522" s="699"/>
      <c r="AU522" s="699"/>
      <c r="AV522" s="481"/>
      <c r="AX522" s="481"/>
    </row>
    <row r="523" spans="1:50" s="454" customFormat="1" ht="15" x14ac:dyDescent="0.25">
      <c r="A523" s="721"/>
      <c r="B523" s="490" t="s">
        <v>2591</v>
      </c>
      <c r="C523" s="2669" t="s">
        <v>2592</v>
      </c>
      <c r="D523" s="2669"/>
      <c r="E523" s="2669"/>
      <c r="F523" s="719" t="s">
        <v>636</v>
      </c>
      <c r="G523" s="727">
        <v>45</v>
      </c>
      <c r="H523" s="564"/>
      <c r="I523" s="727">
        <v>45</v>
      </c>
      <c r="J523" s="501"/>
      <c r="K523" s="564"/>
      <c r="L523" s="505">
        <v>3523.89</v>
      </c>
      <c r="M523" s="564"/>
      <c r="N523" s="720">
        <v>96272.72</v>
      </c>
      <c r="AF523" s="716"/>
      <c r="AG523" s="481"/>
      <c r="AI523" s="481"/>
      <c r="AL523" s="491" t="s">
        <v>2592</v>
      </c>
      <c r="AN523" s="481"/>
      <c r="AO523" s="746"/>
      <c r="AP523" s="746"/>
      <c r="AQ523" s="699"/>
      <c r="AR523" s="699"/>
      <c r="AS523" s="699"/>
      <c r="AT523" s="699"/>
      <c r="AU523" s="699"/>
      <c r="AV523" s="481"/>
      <c r="AX523" s="481"/>
    </row>
    <row r="524" spans="1:50" s="454" customFormat="1" ht="15" x14ac:dyDescent="0.25">
      <c r="A524" s="526"/>
      <c r="B524" s="567"/>
      <c r="C524" s="2722" t="s">
        <v>872</v>
      </c>
      <c r="D524" s="2722"/>
      <c r="E524" s="2722"/>
      <c r="F524" s="483"/>
      <c r="G524" s="484"/>
      <c r="H524" s="484"/>
      <c r="I524" s="484"/>
      <c r="J524" s="487"/>
      <c r="K524" s="484"/>
      <c r="L524" s="524">
        <v>76156.679999999993</v>
      </c>
      <c r="M524" s="563"/>
      <c r="N524" s="525">
        <v>1106708.3400000001</v>
      </c>
      <c r="AF524" s="716"/>
      <c r="AG524" s="481"/>
      <c r="AI524" s="481"/>
      <c r="AN524" s="481" t="s">
        <v>872</v>
      </c>
      <c r="AO524" s="746"/>
      <c r="AP524" s="746"/>
      <c r="AQ524" s="699"/>
      <c r="AR524" s="699"/>
      <c r="AS524" s="699"/>
      <c r="AT524" s="699"/>
      <c r="AU524" s="699"/>
      <c r="AV524" s="481"/>
      <c r="AX524" s="481"/>
    </row>
    <row r="525" spans="1:50" s="454" customFormat="1" ht="34.5" x14ac:dyDescent="0.25">
      <c r="A525" s="482" t="s">
        <v>1339</v>
      </c>
      <c r="B525" s="568" t="s">
        <v>2593</v>
      </c>
      <c r="C525" s="2722" t="s">
        <v>2594</v>
      </c>
      <c r="D525" s="2722"/>
      <c r="E525" s="2722"/>
      <c r="F525" s="483" t="s">
        <v>2588</v>
      </c>
      <c r="G525" s="484">
        <v>5.8680000000000003</v>
      </c>
      <c r="H525" s="485">
        <v>1</v>
      </c>
      <c r="I525" s="731">
        <v>5.8680000000000003</v>
      </c>
      <c r="J525" s="487"/>
      <c r="K525" s="484"/>
      <c r="L525" s="487"/>
      <c r="M525" s="484"/>
      <c r="N525" s="488"/>
      <c r="AF525" s="716"/>
      <c r="AG525" s="481"/>
      <c r="AI525" s="481" t="s">
        <v>2594</v>
      </c>
      <c r="AN525" s="481"/>
      <c r="AO525" s="746"/>
      <c r="AP525" s="746"/>
      <c r="AQ525" s="699"/>
      <c r="AR525" s="699"/>
      <c r="AS525" s="699"/>
      <c r="AT525" s="699"/>
      <c r="AU525" s="699"/>
      <c r="AV525" s="481"/>
      <c r="AX525" s="481"/>
    </row>
    <row r="526" spans="1:50" s="454" customFormat="1" ht="33.75" x14ac:dyDescent="0.25">
      <c r="A526" s="489"/>
      <c r="B526" s="490" t="s">
        <v>1655</v>
      </c>
      <c r="C526" s="2709" t="s">
        <v>1656</v>
      </c>
      <c r="D526" s="2709"/>
      <c r="E526" s="2709"/>
      <c r="F526" s="2709"/>
      <c r="G526" s="2709"/>
      <c r="H526" s="2709"/>
      <c r="I526" s="2709"/>
      <c r="J526" s="2709"/>
      <c r="K526" s="2709"/>
      <c r="L526" s="2709"/>
      <c r="M526" s="2709"/>
      <c r="N526" s="2710"/>
      <c r="AF526" s="716"/>
      <c r="AG526" s="481"/>
      <c r="AI526" s="481"/>
      <c r="AJ526" s="491" t="s">
        <v>1656</v>
      </c>
      <c r="AN526" s="481"/>
      <c r="AO526" s="746"/>
      <c r="AP526" s="746"/>
      <c r="AQ526" s="699"/>
      <c r="AR526" s="699"/>
      <c r="AS526" s="699"/>
      <c r="AT526" s="699"/>
      <c r="AU526" s="699"/>
      <c r="AV526" s="481"/>
      <c r="AX526" s="481"/>
    </row>
    <row r="527" spans="1:50" s="454" customFormat="1" ht="15" x14ac:dyDescent="0.25">
      <c r="A527" s="718"/>
      <c r="B527" s="490" t="s">
        <v>190</v>
      </c>
      <c r="C527" s="2669" t="s">
        <v>2523</v>
      </c>
      <c r="D527" s="2669"/>
      <c r="E527" s="2669"/>
      <c r="F527" s="719"/>
      <c r="G527" s="564"/>
      <c r="H527" s="564"/>
      <c r="I527" s="564"/>
      <c r="J527" s="505">
        <v>16197.77</v>
      </c>
      <c r="K527" s="511">
        <v>1.5</v>
      </c>
      <c r="L527" s="505">
        <v>142572.76999999999</v>
      </c>
      <c r="M527" s="506">
        <v>27.32</v>
      </c>
      <c r="N527" s="720">
        <v>3895088.08</v>
      </c>
      <c r="AF527" s="716"/>
      <c r="AG527" s="481"/>
      <c r="AI527" s="481"/>
      <c r="AK527" s="491" t="s">
        <v>2523</v>
      </c>
      <c r="AN527" s="481"/>
      <c r="AO527" s="746"/>
      <c r="AP527" s="746"/>
      <c r="AQ527" s="699"/>
      <c r="AR527" s="699"/>
      <c r="AS527" s="699"/>
      <c r="AT527" s="699"/>
      <c r="AU527" s="699"/>
      <c r="AV527" s="481"/>
      <c r="AX527" s="481"/>
    </row>
    <row r="528" spans="1:50" s="454" customFormat="1" ht="15" x14ac:dyDescent="0.25">
      <c r="A528" s="718"/>
      <c r="B528" s="490" t="s">
        <v>639</v>
      </c>
      <c r="C528" s="2669" t="s">
        <v>697</v>
      </c>
      <c r="D528" s="2669"/>
      <c r="E528" s="2669"/>
      <c r="F528" s="719"/>
      <c r="G528" s="564"/>
      <c r="H528" s="564"/>
      <c r="I528" s="564"/>
      <c r="J528" s="505">
        <v>195284.87</v>
      </c>
      <c r="K528" s="511">
        <v>1.5</v>
      </c>
      <c r="L528" s="505">
        <v>1718897.43</v>
      </c>
      <c r="M528" s="506">
        <v>10.92</v>
      </c>
      <c r="N528" s="720">
        <v>18770359.940000001</v>
      </c>
      <c r="AF528" s="716"/>
      <c r="AG528" s="481"/>
      <c r="AI528" s="481"/>
      <c r="AK528" s="491" t="s">
        <v>697</v>
      </c>
      <c r="AN528" s="481"/>
      <c r="AO528" s="746"/>
      <c r="AP528" s="746"/>
      <c r="AQ528" s="699"/>
      <c r="AR528" s="699"/>
      <c r="AS528" s="699"/>
      <c r="AT528" s="699"/>
      <c r="AU528" s="699"/>
      <c r="AV528" s="481"/>
      <c r="AX528" s="481"/>
    </row>
    <row r="529" spans="1:51" s="454" customFormat="1" ht="15" x14ac:dyDescent="0.25">
      <c r="A529" s="718"/>
      <c r="B529" s="490" t="s">
        <v>640</v>
      </c>
      <c r="C529" s="2669" t="s">
        <v>2500</v>
      </c>
      <c r="D529" s="2669"/>
      <c r="E529" s="2669"/>
      <c r="F529" s="719"/>
      <c r="G529" s="564"/>
      <c r="H529" s="564"/>
      <c r="I529" s="564"/>
      <c r="J529" s="505">
        <v>8277.1200000000008</v>
      </c>
      <c r="K529" s="511">
        <v>1.5</v>
      </c>
      <c r="L529" s="505">
        <v>72855.210000000006</v>
      </c>
      <c r="M529" s="506">
        <v>27.32</v>
      </c>
      <c r="N529" s="720">
        <v>1990404.34</v>
      </c>
      <c r="AF529" s="716"/>
      <c r="AG529" s="481"/>
      <c r="AI529" s="481"/>
      <c r="AK529" s="491" t="s">
        <v>2500</v>
      </c>
      <c r="AN529" s="481"/>
      <c r="AO529" s="746"/>
      <c r="AP529" s="746"/>
      <c r="AQ529" s="699"/>
      <c r="AR529" s="699"/>
      <c r="AS529" s="699"/>
      <c r="AT529" s="699"/>
      <c r="AU529" s="699"/>
      <c r="AV529" s="481"/>
      <c r="AX529" s="481"/>
    </row>
    <row r="530" spans="1:51" s="454" customFormat="1" ht="15" x14ac:dyDescent="0.25">
      <c r="A530" s="718"/>
      <c r="B530" s="490" t="s">
        <v>232</v>
      </c>
      <c r="C530" s="2669" t="s">
        <v>829</v>
      </c>
      <c r="D530" s="2669"/>
      <c r="E530" s="2669"/>
      <c r="F530" s="719"/>
      <c r="G530" s="564"/>
      <c r="H530" s="564"/>
      <c r="I530" s="564"/>
      <c r="J530" s="505">
        <v>1719.67</v>
      </c>
      <c r="K530" s="564"/>
      <c r="L530" s="505">
        <v>10091.02</v>
      </c>
      <c r="M530" s="506">
        <v>7.72</v>
      </c>
      <c r="N530" s="720">
        <v>77902.67</v>
      </c>
      <c r="AF530" s="716"/>
      <c r="AG530" s="481"/>
      <c r="AI530" s="481"/>
      <c r="AK530" s="491" t="s">
        <v>829</v>
      </c>
      <c r="AN530" s="481"/>
      <c r="AO530" s="746"/>
      <c r="AP530" s="746"/>
      <c r="AQ530" s="699"/>
      <c r="AR530" s="699"/>
      <c r="AS530" s="699"/>
      <c r="AT530" s="699"/>
      <c r="AU530" s="699"/>
      <c r="AV530" s="481"/>
      <c r="AX530" s="481"/>
    </row>
    <row r="531" spans="1:51" s="454" customFormat="1" ht="15" x14ac:dyDescent="0.25">
      <c r="A531" s="721"/>
      <c r="B531" s="490"/>
      <c r="C531" s="2669" t="s">
        <v>2524</v>
      </c>
      <c r="D531" s="2669"/>
      <c r="E531" s="2669"/>
      <c r="F531" s="719" t="s">
        <v>807</v>
      </c>
      <c r="G531" s="506">
        <v>1683.76</v>
      </c>
      <c r="H531" s="511">
        <v>1.5</v>
      </c>
      <c r="I531" s="735">
        <v>14820.45552</v>
      </c>
      <c r="J531" s="501"/>
      <c r="K531" s="564"/>
      <c r="L531" s="501"/>
      <c r="M531" s="564"/>
      <c r="N531" s="723"/>
      <c r="AF531" s="716"/>
      <c r="AG531" s="481"/>
      <c r="AI531" s="481"/>
      <c r="AL531" s="491" t="s">
        <v>2524</v>
      </c>
      <c r="AN531" s="481"/>
      <c r="AO531" s="746"/>
      <c r="AP531" s="746"/>
      <c r="AQ531" s="699"/>
      <c r="AR531" s="699"/>
      <c r="AS531" s="699"/>
      <c r="AT531" s="699"/>
      <c r="AU531" s="699"/>
      <c r="AV531" s="481"/>
      <c r="AX531" s="481"/>
    </row>
    <row r="532" spans="1:51" s="454" customFormat="1" ht="15" x14ac:dyDescent="0.25">
      <c r="A532" s="721"/>
      <c r="B532" s="490"/>
      <c r="C532" s="2669" t="s">
        <v>2501</v>
      </c>
      <c r="D532" s="2669"/>
      <c r="E532" s="2669"/>
      <c r="F532" s="719" t="s">
        <v>807</v>
      </c>
      <c r="G532" s="506">
        <v>625.36</v>
      </c>
      <c r="H532" s="511">
        <v>1.5</v>
      </c>
      <c r="I532" s="735">
        <v>5504.4187199999997</v>
      </c>
      <c r="J532" s="501"/>
      <c r="K532" s="564"/>
      <c r="L532" s="501"/>
      <c r="M532" s="564"/>
      <c r="N532" s="723"/>
      <c r="AF532" s="716"/>
      <c r="AG532" s="481"/>
      <c r="AI532" s="481"/>
      <c r="AL532" s="491" t="s">
        <v>2501</v>
      </c>
      <c r="AN532" s="481"/>
      <c r="AO532" s="746"/>
      <c r="AP532" s="746"/>
      <c r="AQ532" s="699"/>
      <c r="AR532" s="699"/>
      <c r="AS532" s="699"/>
      <c r="AT532" s="699"/>
      <c r="AU532" s="699"/>
      <c r="AV532" s="481"/>
      <c r="AX532" s="481"/>
    </row>
    <row r="533" spans="1:51" s="454" customFormat="1" ht="15" x14ac:dyDescent="0.25">
      <c r="A533" s="718"/>
      <c r="B533" s="490"/>
      <c r="C533" s="2711" t="s">
        <v>2502</v>
      </c>
      <c r="D533" s="2711"/>
      <c r="E533" s="2711"/>
      <c r="F533" s="724"/>
      <c r="G533" s="563"/>
      <c r="H533" s="563"/>
      <c r="I533" s="563"/>
      <c r="J533" s="725">
        <v>213202.31</v>
      </c>
      <c r="K533" s="563"/>
      <c r="L533" s="725">
        <v>1871561.22</v>
      </c>
      <c r="M533" s="563"/>
      <c r="N533" s="726">
        <v>22743350.690000001</v>
      </c>
      <c r="AF533" s="716"/>
      <c r="AG533" s="481"/>
      <c r="AI533" s="481"/>
      <c r="AM533" s="491" t="s">
        <v>2502</v>
      </c>
      <c r="AN533" s="481"/>
      <c r="AO533" s="746"/>
      <c r="AP533" s="746"/>
      <c r="AQ533" s="699"/>
      <c r="AR533" s="699"/>
      <c r="AS533" s="699"/>
      <c r="AT533" s="699"/>
      <c r="AU533" s="699"/>
      <c r="AV533" s="481"/>
      <c r="AX533" s="481"/>
    </row>
    <row r="534" spans="1:51" s="454" customFormat="1" ht="15" x14ac:dyDescent="0.25">
      <c r="A534" s="721"/>
      <c r="B534" s="490"/>
      <c r="C534" s="2669" t="s">
        <v>867</v>
      </c>
      <c r="D534" s="2669"/>
      <c r="E534" s="2669"/>
      <c r="F534" s="719"/>
      <c r="G534" s="564"/>
      <c r="H534" s="564"/>
      <c r="I534" s="564"/>
      <c r="J534" s="501"/>
      <c r="K534" s="564"/>
      <c r="L534" s="505">
        <v>215427.98</v>
      </c>
      <c r="M534" s="564"/>
      <c r="N534" s="720">
        <v>5885492.4199999999</v>
      </c>
      <c r="AF534" s="716"/>
      <c r="AG534" s="481"/>
      <c r="AI534" s="481"/>
      <c r="AL534" s="491" t="s">
        <v>867</v>
      </c>
      <c r="AN534" s="481"/>
      <c r="AO534" s="746"/>
      <c r="AP534" s="746"/>
      <c r="AQ534" s="699"/>
      <c r="AR534" s="699"/>
      <c r="AS534" s="699"/>
      <c r="AT534" s="699"/>
      <c r="AU534" s="699"/>
      <c r="AV534" s="481"/>
      <c r="AX534" s="481"/>
    </row>
    <row r="535" spans="1:51" s="454" customFormat="1" ht="15" x14ac:dyDescent="0.25">
      <c r="A535" s="721"/>
      <c r="B535" s="490" t="s">
        <v>2589</v>
      </c>
      <c r="C535" s="2669" t="s">
        <v>2590</v>
      </c>
      <c r="D535" s="2669"/>
      <c r="E535" s="2669"/>
      <c r="F535" s="719" t="s">
        <v>636</v>
      </c>
      <c r="G535" s="727">
        <v>106</v>
      </c>
      <c r="H535" s="564"/>
      <c r="I535" s="727">
        <v>106</v>
      </c>
      <c r="J535" s="501"/>
      <c r="K535" s="564"/>
      <c r="L535" s="505">
        <v>228353.66</v>
      </c>
      <c r="M535" s="564"/>
      <c r="N535" s="720">
        <v>6238621.9699999997</v>
      </c>
      <c r="AF535" s="716"/>
      <c r="AG535" s="481"/>
      <c r="AI535" s="481"/>
      <c r="AL535" s="491" t="s">
        <v>2590</v>
      </c>
      <c r="AN535" s="481"/>
      <c r="AO535" s="746"/>
      <c r="AP535" s="746"/>
      <c r="AQ535" s="699"/>
      <c r="AR535" s="699"/>
      <c r="AS535" s="699"/>
      <c r="AT535" s="699"/>
      <c r="AU535" s="699"/>
      <c r="AV535" s="481"/>
      <c r="AX535" s="481"/>
    </row>
    <row r="536" spans="1:51" s="454" customFormat="1" ht="15" x14ac:dyDescent="0.25">
      <c r="A536" s="721"/>
      <c r="B536" s="490" t="s">
        <v>2591</v>
      </c>
      <c r="C536" s="2669" t="s">
        <v>2592</v>
      </c>
      <c r="D536" s="2669"/>
      <c r="E536" s="2669"/>
      <c r="F536" s="719" t="s">
        <v>636</v>
      </c>
      <c r="G536" s="727">
        <v>45</v>
      </c>
      <c r="H536" s="564"/>
      <c r="I536" s="727">
        <v>45</v>
      </c>
      <c r="J536" s="501"/>
      <c r="K536" s="564"/>
      <c r="L536" s="505">
        <v>96942.59</v>
      </c>
      <c r="M536" s="564"/>
      <c r="N536" s="720">
        <v>2648471.59</v>
      </c>
      <c r="AF536" s="716"/>
      <c r="AG536" s="481"/>
      <c r="AI536" s="481"/>
      <c r="AL536" s="491" t="s">
        <v>2592</v>
      </c>
      <c r="AN536" s="481"/>
      <c r="AO536" s="746"/>
      <c r="AP536" s="746"/>
      <c r="AQ536" s="699"/>
      <c r="AR536" s="699"/>
      <c r="AS536" s="699"/>
      <c r="AT536" s="699"/>
      <c r="AU536" s="699"/>
      <c r="AV536" s="481"/>
      <c r="AX536" s="481"/>
    </row>
    <row r="537" spans="1:51" s="454" customFormat="1" ht="15" x14ac:dyDescent="0.25">
      <c r="A537" s="526"/>
      <c r="B537" s="567"/>
      <c r="C537" s="2722" t="s">
        <v>872</v>
      </c>
      <c r="D537" s="2722"/>
      <c r="E537" s="2722"/>
      <c r="F537" s="483"/>
      <c r="G537" s="484"/>
      <c r="H537" s="484"/>
      <c r="I537" s="484"/>
      <c r="J537" s="487"/>
      <c r="K537" s="484"/>
      <c r="L537" s="524">
        <v>2196857.4700000002</v>
      </c>
      <c r="M537" s="563"/>
      <c r="N537" s="525">
        <v>31630444.25</v>
      </c>
      <c r="AF537" s="716"/>
      <c r="AG537" s="481"/>
      <c r="AI537" s="481"/>
      <c r="AN537" s="481" t="s">
        <v>872</v>
      </c>
      <c r="AO537" s="746"/>
      <c r="AP537" s="746"/>
      <c r="AQ537" s="699"/>
      <c r="AR537" s="699"/>
      <c r="AS537" s="699"/>
      <c r="AT537" s="699"/>
      <c r="AU537" s="699"/>
      <c r="AV537" s="481"/>
      <c r="AX537" s="481"/>
    </row>
    <row r="538" spans="1:51" s="454" customFormat="1" ht="34.5" x14ac:dyDescent="0.25">
      <c r="A538" s="482" t="s">
        <v>1342</v>
      </c>
      <c r="B538" s="568" t="s">
        <v>2595</v>
      </c>
      <c r="C538" s="2722" t="s">
        <v>2596</v>
      </c>
      <c r="D538" s="2722"/>
      <c r="E538" s="2722"/>
      <c r="F538" s="483" t="s">
        <v>269</v>
      </c>
      <c r="G538" s="484">
        <v>36</v>
      </c>
      <c r="H538" s="485">
        <v>1</v>
      </c>
      <c r="I538" s="485">
        <v>36</v>
      </c>
      <c r="J538" s="527">
        <v>197.11</v>
      </c>
      <c r="K538" s="484"/>
      <c r="L538" s="524">
        <v>7095.96</v>
      </c>
      <c r="M538" s="732">
        <v>7.72</v>
      </c>
      <c r="N538" s="525">
        <v>54780.81</v>
      </c>
      <c r="AF538" s="716"/>
      <c r="AG538" s="481"/>
      <c r="AI538" s="481" t="s">
        <v>2596</v>
      </c>
      <c r="AN538" s="481"/>
      <c r="AO538" s="746"/>
      <c r="AP538" s="746"/>
      <c r="AQ538" s="699"/>
      <c r="AR538" s="699"/>
      <c r="AS538" s="699"/>
      <c r="AT538" s="699"/>
      <c r="AU538" s="699"/>
      <c r="AV538" s="481"/>
      <c r="AX538" s="481"/>
    </row>
    <row r="539" spans="1:51" s="454" customFormat="1" ht="15" x14ac:dyDescent="0.25">
      <c r="A539" s="526"/>
      <c r="B539" s="567"/>
      <c r="C539" s="2722" t="s">
        <v>872</v>
      </c>
      <c r="D539" s="2722"/>
      <c r="E539" s="2722"/>
      <c r="F539" s="483"/>
      <c r="G539" s="484"/>
      <c r="H539" s="484"/>
      <c r="I539" s="484"/>
      <c r="J539" s="487"/>
      <c r="K539" s="484"/>
      <c r="L539" s="524">
        <v>7095.96</v>
      </c>
      <c r="M539" s="563"/>
      <c r="N539" s="525">
        <v>54780.81</v>
      </c>
      <c r="AF539" s="716"/>
      <c r="AG539" s="481"/>
      <c r="AI539" s="481"/>
      <c r="AN539" s="481" t="s">
        <v>872</v>
      </c>
      <c r="AO539" s="746"/>
      <c r="AP539" s="746"/>
      <c r="AQ539" s="699"/>
      <c r="AR539" s="699"/>
      <c r="AS539" s="699"/>
      <c r="AT539" s="699"/>
      <c r="AU539" s="699"/>
      <c r="AV539" s="481"/>
      <c r="AX539" s="481"/>
    </row>
    <row r="540" spans="1:51" s="454" customFormat="1" ht="23.25" x14ac:dyDescent="0.25">
      <c r="A540" s="482" t="s">
        <v>1345</v>
      </c>
      <c r="B540" s="568" t="s">
        <v>2597</v>
      </c>
      <c r="C540" s="2722" t="s">
        <v>2598</v>
      </c>
      <c r="D540" s="2722"/>
      <c r="E540" s="2722"/>
      <c r="F540" s="483" t="s">
        <v>269</v>
      </c>
      <c r="G540" s="484">
        <v>36</v>
      </c>
      <c r="H540" s="485">
        <v>1</v>
      </c>
      <c r="I540" s="485">
        <v>36</v>
      </c>
      <c r="J540" s="524">
        <v>6325</v>
      </c>
      <c r="K540" s="484"/>
      <c r="L540" s="524">
        <v>227700</v>
      </c>
      <c r="M540" s="732">
        <v>7.72</v>
      </c>
      <c r="N540" s="525">
        <v>1757844</v>
      </c>
      <c r="AF540" s="716"/>
      <c r="AG540" s="481"/>
      <c r="AI540" s="481" t="s">
        <v>2598</v>
      </c>
      <c r="AN540" s="481"/>
      <c r="AO540" s="746"/>
      <c r="AP540" s="746"/>
      <c r="AQ540" s="699"/>
      <c r="AR540" s="699"/>
      <c r="AS540" s="699"/>
      <c r="AT540" s="699"/>
      <c r="AU540" s="699"/>
      <c r="AV540" s="481"/>
      <c r="AX540" s="481"/>
    </row>
    <row r="541" spans="1:51" s="454" customFormat="1" ht="15" x14ac:dyDescent="0.25">
      <c r="A541" s="526"/>
      <c r="B541" s="567"/>
      <c r="C541" s="2722" t="s">
        <v>872</v>
      </c>
      <c r="D541" s="2722"/>
      <c r="E541" s="2722"/>
      <c r="F541" s="483"/>
      <c r="G541" s="484"/>
      <c r="H541" s="484"/>
      <c r="I541" s="484"/>
      <c r="J541" s="487"/>
      <c r="K541" s="484"/>
      <c r="L541" s="524">
        <v>227700</v>
      </c>
      <c r="M541" s="563"/>
      <c r="N541" s="525">
        <v>1757844</v>
      </c>
      <c r="AF541" s="716"/>
      <c r="AG541" s="481"/>
      <c r="AI541" s="481"/>
      <c r="AN541" s="481" t="s">
        <v>872</v>
      </c>
      <c r="AO541" s="746"/>
      <c r="AP541" s="746"/>
      <c r="AQ541" s="699"/>
      <c r="AR541" s="699"/>
      <c r="AS541" s="699"/>
      <c r="AT541" s="699"/>
      <c r="AU541" s="699"/>
      <c r="AV541" s="481"/>
      <c r="AX541" s="481"/>
    </row>
    <row r="542" spans="1:51" s="454" customFormat="1" ht="23.25" x14ac:dyDescent="0.25">
      <c r="A542" s="482" t="s">
        <v>1347</v>
      </c>
      <c r="B542" s="568" t="s">
        <v>2599</v>
      </c>
      <c r="C542" s="2722" t="s">
        <v>2600</v>
      </c>
      <c r="D542" s="2722"/>
      <c r="E542" s="2722"/>
      <c r="F542" s="483" t="s">
        <v>269</v>
      </c>
      <c r="G542" s="484">
        <v>72</v>
      </c>
      <c r="H542" s="485">
        <v>1</v>
      </c>
      <c r="I542" s="485">
        <v>72</v>
      </c>
      <c r="J542" s="524">
        <v>20095.580000000002</v>
      </c>
      <c r="K542" s="484"/>
      <c r="L542" s="524">
        <v>187419.92</v>
      </c>
      <c r="M542" s="732">
        <v>7.72</v>
      </c>
      <c r="N542" s="525">
        <v>1446881.76</v>
      </c>
      <c r="AF542" s="716"/>
      <c r="AG542" s="481"/>
      <c r="AI542" s="481" t="s">
        <v>2600</v>
      </c>
      <c r="AN542" s="481"/>
      <c r="AO542" s="746"/>
      <c r="AP542" s="746"/>
      <c r="AQ542" s="699"/>
      <c r="AR542" s="699"/>
      <c r="AS542" s="699"/>
      <c r="AT542" s="699"/>
      <c r="AU542" s="699"/>
      <c r="AV542" s="481"/>
      <c r="AX542" s="481"/>
    </row>
    <row r="543" spans="1:51" s="454" customFormat="1" ht="15" x14ac:dyDescent="0.25">
      <c r="A543" s="542"/>
      <c r="B543" s="566"/>
      <c r="C543" s="2669" t="s">
        <v>2601</v>
      </c>
      <c r="D543" s="2669"/>
      <c r="E543" s="2669"/>
      <c r="F543" s="2669"/>
      <c r="G543" s="2669"/>
      <c r="H543" s="2669"/>
      <c r="I543" s="2669"/>
      <c r="J543" s="2669"/>
      <c r="K543" s="2669"/>
      <c r="L543" s="2669"/>
      <c r="M543" s="2669"/>
      <c r="N543" s="2730"/>
      <c r="AF543" s="716"/>
      <c r="AG543" s="481"/>
      <c r="AI543" s="481"/>
      <c r="AN543" s="481"/>
      <c r="AO543" s="746"/>
      <c r="AP543" s="746"/>
      <c r="AQ543" s="699"/>
      <c r="AR543" s="699"/>
      <c r="AS543" s="699"/>
      <c r="AT543" s="699"/>
      <c r="AU543" s="699"/>
      <c r="AV543" s="481"/>
      <c r="AX543" s="481"/>
      <c r="AY543" s="491" t="s">
        <v>2601</v>
      </c>
    </row>
    <row r="544" spans="1:51" s="454" customFormat="1" ht="15" x14ac:dyDescent="0.25">
      <c r="A544" s="526"/>
      <c r="B544" s="567"/>
      <c r="C544" s="2722" t="s">
        <v>872</v>
      </c>
      <c r="D544" s="2722"/>
      <c r="E544" s="2722"/>
      <c r="F544" s="483"/>
      <c r="G544" s="484"/>
      <c r="H544" s="484"/>
      <c r="I544" s="484"/>
      <c r="J544" s="487"/>
      <c r="K544" s="484"/>
      <c r="L544" s="524">
        <v>187419.92</v>
      </c>
      <c r="M544" s="563"/>
      <c r="N544" s="525">
        <v>1446881.76</v>
      </c>
      <c r="AF544" s="716"/>
      <c r="AG544" s="481"/>
      <c r="AI544" s="481"/>
      <c r="AN544" s="481" t="s">
        <v>872</v>
      </c>
      <c r="AO544" s="746"/>
      <c r="AP544" s="746"/>
      <c r="AQ544" s="699"/>
      <c r="AR544" s="699"/>
      <c r="AS544" s="699"/>
      <c r="AT544" s="699"/>
      <c r="AU544" s="699"/>
      <c r="AV544" s="481"/>
      <c r="AX544" s="481"/>
    </row>
    <row r="545" spans="1:51" s="454" customFormat="1" ht="23.25" x14ac:dyDescent="0.25">
      <c r="A545" s="482" t="s">
        <v>1349</v>
      </c>
      <c r="B545" s="568" t="s">
        <v>2599</v>
      </c>
      <c r="C545" s="2722" t="s">
        <v>2602</v>
      </c>
      <c r="D545" s="2722"/>
      <c r="E545" s="2722"/>
      <c r="F545" s="483" t="s">
        <v>269</v>
      </c>
      <c r="G545" s="484">
        <v>360</v>
      </c>
      <c r="H545" s="485">
        <v>1</v>
      </c>
      <c r="I545" s="485">
        <v>360</v>
      </c>
      <c r="J545" s="524">
        <v>13995.72</v>
      </c>
      <c r="K545" s="484"/>
      <c r="L545" s="524">
        <v>652650.16</v>
      </c>
      <c r="M545" s="732">
        <v>7.72</v>
      </c>
      <c r="N545" s="525">
        <v>5038459.2</v>
      </c>
      <c r="AF545" s="716"/>
      <c r="AG545" s="481"/>
      <c r="AI545" s="481" t="s">
        <v>2602</v>
      </c>
      <c r="AN545" s="481"/>
      <c r="AO545" s="746"/>
      <c r="AP545" s="746"/>
      <c r="AQ545" s="699"/>
      <c r="AR545" s="699"/>
      <c r="AS545" s="699"/>
      <c r="AT545" s="699"/>
      <c r="AU545" s="699"/>
      <c r="AV545" s="481"/>
      <c r="AX545" s="481"/>
    </row>
    <row r="546" spans="1:51" s="454" customFormat="1" ht="15" x14ac:dyDescent="0.25">
      <c r="A546" s="542"/>
      <c r="B546" s="566"/>
      <c r="C546" s="2669" t="s">
        <v>2603</v>
      </c>
      <c r="D546" s="2669"/>
      <c r="E546" s="2669"/>
      <c r="F546" s="2669"/>
      <c r="G546" s="2669"/>
      <c r="H546" s="2669"/>
      <c r="I546" s="2669"/>
      <c r="J546" s="2669"/>
      <c r="K546" s="2669"/>
      <c r="L546" s="2669"/>
      <c r="M546" s="2669"/>
      <c r="N546" s="2730"/>
      <c r="AF546" s="716"/>
      <c r="AG546" s="481"/>
      <c r="AI546" s="481"/>
      <c r="AN546" s="481"/>
      <c r="AO546" s="746"/>
      <c r="AP546" s="746"/>
      <c r="AQ546" s="699"/>
      <c r="AR546" s="699"/>
      <c r="AS546" s="699"/>
      <c r="AT546" s="699"/>
      <c r="AU546" s="699"/>
      <c r="AV546" s="481"/>
      <c r="AX546" s="481"/>
      <c r="AY546" s="491" t="s">
        <v>2603</v>
      </c>
    </row>
    <row r="547" spans="1:51" s="454" customFormat="1" ht="15" x14ac:dyDescent="0.25">
      <c r="A547" s="526"/>
      <c r="B547" s="567"/>
      <c r="C547" s="2722" t="s">
        <v>872</v>
      </c>
      <c r="D547" s="2722"/>
      <c r="E547" s="2722"/>
      <c r="F547" s="483"/>
      <c r="G547" s="484"/>
      <c r="H547" s="484"/>
      <c r="I547" s="484"/>
      <c r="J547" s="487"/>
      <c r="K547" s="484"/>
      <c r="L547" s="524">
        <v>652650.16</v>
      </c>
      <c r="M547" s="563"/>
      <c r="N547" s="525">
        <v>5038459.2</v>
      </c>
      <c r="AF547" s="716"/>
      <c r="AG547" s="481"/>
      <c r="AI547" s="481"/>
      <c r="AN547" s="481" t="s">
        <v>872</v>
      </c>
      <c r="AO547" s="746"/>
      <c r="AP547" s="746"/>
      <c r="AQ547" s="699"/>
      <c r="AR547" s="699"/>
      <c r="AS547" s="699"/>
      <c r="AT547" s="699"/>
      <c r="AU547" s="699"/>
      <c r="AV547" s="481"/>
      <c r="AX547" s="481"/>
    </row>
    <row r="548" spans="1:51" s="454" customFormat="1" ht="22.5" x14ac:dyDescent="0.25">
      <c r="A548" s="482" t="s">
        <v>1352</v>
      </c>
      <c r="B548" s="568" t="s">
        <v>2599</v>
      </c>
      <c r="C548" s="2722" t="s">
        <v>2604</v>
      </c>
      <c r="D548" s="2722"/>
      <c r="E548" s="2722"/>
      <c r="F548" s="483" t="s">
        <v>269</v>
      </c>
      <c r="G548" s="484">
        <v>180</v>
      </c>
      <c r="H548" s="485">
        <v>1</v>
      </c>
      <c r="I548" s="485">
        <v>180</v>
      </c>
      <c r="J548" s="524">
        <v>1276.2</v>
      </c>
      <c r="K548" s="484"/>
      <c r="L548" s="524">
        <v>29755.96</v>
      </c>
      <c r="M548" s="732">
        <v>7.72</v>
      </c>
      <c r="N548" s="525">
        <v>229716</v>
      </c>
      <c r="AF548" s="716"/>
      <c r="AG548" s="481"/>
      <c r="AI548" s="481" t="s">
        <v>2604</v>
      </c>
      <c r="AN548" s="481"/>
      <c r="AO548" s="746"/>
      <c r="AP548" s="746"/>
      <c r="AQ548" s="699"/>
      <c r="AR548" s="699"/>
      <c r="AS548" s="699"/>
      <c r="AT548" s="699"/>
      <c r="AU548" s="699"/>
      <c r="AV548" s="481"/>
      <c r="AX548" s="481"/>
    </row>
    <row r="549" spans="1:51" s="454" customFormat="1" ht="15" x14ac:dyDescent="0.25">
      <c r="A549" s="542"/>
      <c r="B549" s="566"/>
      <c r="C549" s="2669" t="s">
        <v>2605</v>
      </c>
      <c r="D549" s="2669"/>
      <c r="E549" s="2669"/>
      <c r="F549" s="2669"/>
      <c r="G549" s="2669"/>
      <c r="H549" s="2669"/>
      <c r="I549" s="2669"/>
      <c r="J549" s="2669"/>
      <c r="K549" s="2669"/>
      <c r="L549" s="2669"/>
      <c r="M549" s="2669"/>
      <c r="N549" s="2730"/>
      <c r="AF549" s="716"/>
      <c r="AG549" s="481"/>
      <c r="AI549" s="481"/>
      <c r="AN549" s="481"/>
      <c r="AO549" s="746"/>
      <c r="AP549" s="746"/>
      <c r="AQ549" s="699"/>
      <c r="AR549" s="699"/>
      <c r="AS549" s="699"/>
      <c r="AT549" s="699"/>
      <c r="AU549" s="699"/>
      <c r="AV549" s="481"/>
      <c r="AX549" s="481"/>
      <c r="AY549" s="491" t="s">
        <v>2605</v>
      </c>
    </row>
    <row r="550" spans="1:51" s="454" customFormat="1" ht="15" x14ac:dyDescent="0.25">
      <c r="A550" s="526"/>
      <c r="B550" s="567"/>
      <c r="C550" s="2722" t="s">
        <v>872</v>
      </c>
      <c r="D550" s="2722"/>
      <c r="E550" s="2722"/>
      <c r="F550" s="483"/>
      <c r="G550" s="484"/>
      <c r="H550" s="484"/>
      <c r="I550" s="484"/>
      <c r="J550" s="487"/>
      <c r="K550" s="484"/>
      <c r="L550" s="524">
        <v>29755.96</v>
      </c>
      <c r="M550" s="563"/>
      <c r="N550" s="525">
        <v>229716</v>
      </c>
      <c r="AF550" s="716"/>
      <c r="AG550" s="481"/>
      <c r="AI550" s="481"/>
      <c r="AN550" s="481" t="s">
        <v>872</v>
      </c>
      <c r="AO550" s="746"/>
      <c r="AP550" s="746"/>
      <c r="AQ550" s="699"/>
      <c r="AR550" s="699"/>
      <c r="AS550" s="699"/>
      <c r="AT550" s="699"/>
      <c r="AU550" s="699"/>
      <c r="AV550" s="481"/>
      <c r="AX550" s="481"/>
    </row>
    <row r="551" spans="1:51" s="454" customFormat="1" ht="22.5" x14ac:dyDescent="0.25">
      <c r="A551" s="482" t="s">
        <v>1355</v>
      </c>
      <c r="B551" s="568" t="s">
        <v>2599</v>
      </c>
      <c r="C551" s="2722" t="s">
        <v>2606</v>
      </c>
      <c r="D551" s="2722"/>
      <c r="E551" s="2722"/>
      <c r="F551" s="483" t="s">
        <v>269</v>
      </c>
      <c r="G551" s="484">
        <v>36</v>
      </c>
      <c r="H551" s="485">
        <v>1</v>
      </c>
      <c r="I551" s="485">
        <v>36</v>
      </c>
      <c r="J551" s="524">
        <v>2492.16</v>
      </c>
      <c r="K551" s="484"/>
      <c r="L551" s="524">
        <v>11621.47</v>
      </c>
      <c r="M551" s="732">
        <v>7.72</v>
      </c>
      <c r="N551" s="525">
        <v>89717.759999999995</v>
      </c>
      <c r="AF551" s="716"/>
      <c r="AG551" s="481"/>
      <c r="AI551" s="481" t="s">
        <v>2606</v>
      </c>
      <c r="AN551" s="481"/>
      <c r="AO551" s="746"/>
      <c r="AP551" s="746"/>
      <c r="AQ551" s="699"/>
      <c r="AR551" s="699"/>
      <c r="AS551" s="699"/>
      <c r="AT551" s="699"/>
      <c r="AU551" s="699"/>
      <c r="AV551" s="481"/>
      <c r="AX551" s="481"/>
    </row>
    <row r="552" spans="1:51" s="454" customFormat="1" ht="15" x14ac:dyDescent="0.25">
      <c r="A552" s="542"/>
      <c r="B552" s="566"/>
      <c r="C552" s="2669" t="s">
        <v>2607</v>
      </c>
      <c r="D552" s="2669"/>
      <c r="E552" s="2669"/>
      <c r="F552" s="2669"/>
      <c r="G552" s="2669"/>
      <c r="H552" s="2669"/>
      <c r="I552" s="2669"/>
      <c r="J552" s="2669"/>
      <c r="K552" s="2669"/>
      <c r="L552" s="2669"/>
      <c r="M552" s="2669"/>
      <c r="N552" s="2730"/>
      <c r="AF552" s="716"/>
      <c r="AG552" s="481"/>
      <c r="AI552" s="481"/>
      <c r="AN552" s="481"/>
      <c r="AO552" s="746"/>
      <c r="AP552" s="746"/>
      <c r="AQ552" s="699"/>
      <c r="AR552" s="699"/>
      <c r="AS552" s="699"/>
      <c r="AT552" s="699"/>
      <c r="AU552" s="699"/>
      <c r="AV552" s="481"/>
      <c r="AX552" s="481"/>
      <c r="AY552" s="491" t="s">
        <v>2607</v>
      </c>
    </row>
    <row r="553" spans="1:51" s="454" customFormat="1" ht="15" x14ac:dyDescent="0.25">
      <c r="A553" s="526"/>
      <c r="B553" s="567"/>
      <c r="C553" s="2722" t="s">
        <v>872</v>
      </c>
      <c r="D553" s="2722"/>
      <c r="E553" s="2722"/>
      <c r="F553" s="483"/>
      <c r="G553" s="484"/>
      <c r="H553" s="484"/>
      <c r="I553" s="484"/>
      <c r="J553" s="487"/>
      <c r="K553" s="484"/>
      <c r="L553" s="524">
        <v>11621.47</v>
      </c>
      <c r="M553" s="563"/>
      <c r="N553" s="525">
        <v>89717.759999999995</v>
      </c>
      <c r="AF553" s="716"/>
      <c r="AG553" s="481"/>
      <c r="AI553" s="481"/>
      <c r="AN553" s="481" t="s">
        <v>872</v>
      </c>
      <c r="AO553" s="746"/>
      <c r="AP553" s="746"/>
      <c r="AQ553" s="699"/>
      <c r="AR553" s="699"/>
      <c r="AS553" s="699"/>
      <c r="AT553" s="699"/>
      <c r="AU553" s="699"/>
      <c r="AV553" s="481"/>
      <c r="AX553" s="481"/>
    </row>
    <row r="554" spans="1:51" s="454" customFormat="1" ht="23.25" x14ac:dyDescent="0.25">
      <c r="A554" s="482" t="s">
        <v>1358</v>
      </c>
      <c r="B554" s="568" t="s">
        <v>2599</v>
      </c>
      <c r="C554" s="2722" t="s">
        <v>2608</v>
      </c>
      <c r="D554" s="2722"/>
      <c r="E554" s="2722"/>
      <c r="F554" s="483" t="s">
        <v>269</v>
      </c>
      <c r="G554" s="484">
        <v>36</v>
      </c>
      <c r="H554" s="485">
        <v>1</v>
      </c>
      <c r="I554" s="485">
        <v>36</v>
      </c>
      <c r="J554" s="524">
        <v>1836.41</v>
      </c>
      <c r="K554" s="484"/>
      <c r="L554" s="524">
        <v>8563.57</v>
      </c>
      <c r="M554" s="732">
        <v>7.72</v>
      </c>
      <c r="N554" s="525">
        <v>66110.759999999995</v>
      </c>
      <c r="AF554" s="716"/>
      <c r="AG554" s="481"/>
      <c r="AI554" s="481" t="s">
        <v>2608</v>
      </c>
      <c r="AN554" s="481"/>
      <c r="AO554" s="746"/>
      <c r="AP554" s="746"/>
      <c r="AQ554" s="699"/>
      <c r="AR554" s="699"/>
      <c r="AS554" s="699"/>
      <c r="AT554" s="699"/>
      <c r="AU554" s="699"/>
      <c r="AV554" s="481"/>
      <c r="AX554" s="481"/>
    </row>
    <row r="555" spans="1:51" s="454" customFormat="1" ht="15" x14ac:dyDescent="0.25">
      <c r="A555" s="542"/>
      <c r="B555" s="566"/>
      <c r="C555" s="2669" t="s">
        <v>2609</v>
      </c>
      <c r="D555" s="2669"/>
      <c r="E555" s="2669"/>
      <c r="F555" s="2669"/>
      <c r="G555" s="2669"/>
      <c r="H555" s="2669"/>
      <c r="I555" s="2669"/>
      <c r="J555" s="2669"/>
      <c r="K555" s="2669"/>
      <c r="L555" s="2669"/>
      <c r="M555" s="2669"/>
      <c r="N555" s="2730"/>
      <c r="AF555" s="716"/>
      <c r="AG555" s="481"/>
      <c r="AI555" s="481"/>
      <c r="AN555" s="481"/>
      <c r="AO555" s="746"/>
      <c r="AP555" s="746"/>
      <c r="AQ555" s="699"/>
      <c r="AR555" s="699"/>
      <c r="AS555" s="699"/>
      <c r="AT555" s="699"/>
      <c r="AU555" s="699"/>
      <c r="AV555" s="481"/>
      <c r="AX555" s="481"/>
      <c r="AY555" s="491" t="s">
        <v>2609</v>
      </c>
    </row>
    <row r="556" spans="1:51" s="454" customFormat="1" ht="15" x14ac:dyDescent="0.25">
      <c r="A556" s="526"/>
      <c r="B556" s="567"/>
      <c r="C556" s="2722" t="s">
        <v>872</v>
      </c>
      <c r="D556" s="2722"/>
      <c r="E556" s="2722"/>
      <c r="F556" s="483"/>
      <c r="G556" s="484"/>
      <c r="H556" s="484"/>
      <c r="I556" s="484"/>
      <c r="J556" s="487"/>
      <c r="K556" s="484"/>
      <c r="L556" s="524">
        <v>8563.57</v>
      </c>
      <c r="M556" s="563"/>
      <c r="N556" s="525">
        <v>66110.759999999995</v>
      </c>
      <c r="AF556" s="716"/>
      <c r="AG556" s="481"/>
      <c r="AI556" s="481"/>
      <c r="AN556" s="481" t="s">
        <v>872</v>
      </c>
      <c r="AO556" s="746"/>
      <c r="AP556" s="746"/>
      <c r="AQ556" s="699"/>
      <c r="AR556" s="699"/>
      <c r="AS556" s="699"/>
      <c r="AT556" s="699"/>
      <c r="AU556" s="699"/>
      <c r="AV556" s="481"/>
      <c r="AX556" s="481"/>
    </row>
    <row r="557" spans="1:51" s="454" customFormat="1" ht="85.5" x14ac:dyDescent="0.25">
      <c r="A557" s="736" t="s">
        <v>1360</v>
      </c>
      <c r="B557" s="737" t="s">
        <v>2653</v>
      </c>
      <c r="C557" s="2723" t="s">
        <v>2654</v>
      </c>
      <c r="D557" s="2723"/>
      <c r="E557" s="2723"/>
      <c r="F557" s="738" t="s">
        <v>801</v>
      </c>
      <c r="G557" s="739">
        <v>0.64871999999999996</v>
      </c>
      <c r="H557" s="740">
        <v>1</v>
      </c>
      <c r="I557" s="792">
        <v>0.64871999999999996</v>
      </c>
      <c r="J557" s="743">
        <v>5620.36</v>
      </c>
      <c r="K557" s="739"/>
      <c r="L557" s="743">
        <v>3646.04</v>
      </c>
      <c r="M557" s="744">
        <v>7.72</v>
      </c>
      <c r="N557" s="745">
        <v>28147.43</v>
      </c>
      <c r="AF557" s="716"/>
      <c r="AG557" s="481"/>
      <c r="AI557" s="481"/>
      <c r="AN557" s="481"/>
      <c r="AO557" s="746" t="s">
        <v>2654</v>
      </c>
      <c r="AP557" s="746"/>
      <c r="AQ557" s="699"/>
      <c r="AR557" s="699"/>
      <c r="AS557" s="699"/>
      <c r="AT557" s="699"/>
      <c r="AU557" s="699"/>
      <c r="AV557" s="481"/>
      <c r="AX557" s="481"/>
    </row>
    <row r="558" spans="1:51" s="454" customFormat="1" ht="15" x14ac:dyDescent="0.25">
      <c r="A558" s="772"/>
      <c r="B558" s="773"/>
      <c r="C558" s="2726" t="s">
        <v>2655</v>
      </c>
      <c r="D558" s="2726"/>
      <c r="E558" s="2726"/>
      <c r="F558" s="2726"/>
      <c r="G558" s="2726"/>
      <c r="H558" s="2726"/>
      <c r="I558" s="2726"/>
      <c r="J558" s="2726"/>
      <c r="K558" s="2726"/>
      <c r="L558" s="2726"/>
      <c r="M558" s="2726"/>
      <c r="N558" s="2728"/>
      <c r="AF558" s="716"/>
      <c r="AG558" s="481"/>
      <c r="AI558" s="481"/>
      <c r="AN558" s="481"/>
      <c r="AO558" s="746"/>
      <c r="AP558" s="746"/>
      <c r="AQ558" s="699"/>
      <c r="AR558" s="699"/>
      <c r="AS558" s="699"/>
      <c r="AT558" s="699"/>
      <c r="AU558" s="699" t="s">
        <v>2655</v>
      </c>
      <c r="AV558" s="481"/>
      <c r="AX558" s="481"/>
    </row>
    <row r="559" spans="1:51" s="454" customFormat="1" ht="15" x14ac:dyDescent="0.25">
      <c r="A559" s="747"/>
      <c r="B559" s="748"/>
      <c r="C559" s="2723" t="s">
        <v>872</v>
      </c>
      <c r="D559" s="2723"/>
      <c r="E559" s="2723"/>
      <c r="F559" s="738"/>
      <c r="G559" s="739"/>
      <c r="H559" s="739"/>
      <c r="I559" s="739"/>
      <c r="J559" s="749"/>
      <c r="K559" s="739"/>
      <c r="L559" s="743">
        <v>3646.04</v>
      </c>
      <c r="M559" s="750"/>
      <c r="N559" s="745">
        <v>28147.43</v>
      </c>
      <c r="AF559" s="716"/>
      <c r="AG559" s="481"/>
      <c r="AI559" s="481"/>
      <c r="AN559" s="481"/>
      <c r="AO559" s="746"/>
      <c r="AP559" s="746" t="s">
        <v>872</v>
      </c>
      <c r="AQ559" s="699"/>
      <c r="AR559" s="699"/>
      <c r="AS559" s="699"/>
      <c r="AT559" s="699"/>
      <c r="AU559" s="699"/>
      <c r="AV559" s="481"/>
      <c r="AX559" s="481"/>
    </row>
    <row r="560" spans="1:51" s="454" customFormat="1" ht="15" x14ac:dyDescent="0.25">
      <c r="A560" s="2719" t="s">
        <v>2610</v>
      </c>
      <c r="B560" s="2720"/>
      <c r="C560" s="2720"/>
      <c r="D560" s="2720"/>
      <c r="E560" s="2720"/>
      <c r="F560" s="2720"/>
      <c r="G560" s="2720"/>
      <c r="H560" s="2720"/>
      <c r="I560" s="2720"/>
      <c r="J560" s="2720"/>
      <c r="K560" s="2720"/>
      <c r="L560" s="2720"/>
      <c r="M560" s="2720"/>
      <c r="N560" s="2721"/>
      <c r="AF560" s="716"/>
      <c r="AG560" s="481"/>
      <c r="AH560" s="491" t="s">
        <v>2610</v>
      </c>
      <c r="AI560" s="481"/>
      <c r="AN560" s="481"/>
      <c r="AO560" s="746"/>
      <c r="AP560" s="746"/>
      <c r="AQ560" s="699"/>
      <c r="AR560" s="699"/>
      <c r="AS560" s="699"/>
      <c r="AT560" s="699"/>
      <c r="AU560" s="699"/>
      <c r="AV560" s="481"/>
      <c r="AX560" s="481"/>
    </row>
    <row r="561" spans="1:50" s="454" customFormat="1" ht="23.25" x14ac:dyDescent="0.25">
      <c r="A561" s="482" t="s">
        <v>1360</v>
      </c>
      <c r="B561" s="568" t="s">
        <v>2611</v>
      </c>
      <c r="C561" s="2722" t="s">
        <v>2612</v>
      </c>
      <c r="D561" s="2722"/>
      <c r="E561" s="2722"/>
      <c r="F561" s="483" t="s">
        <v>2555</v>
      </c>
      <c r="G561" s="484">
        <v>4.2000000000000003E-2</v>
      </c>
      <c r="H561" s="485">
        <v>1</v>
      </c>
      <c r="I561" s="731">
        <v>4.2000000000000003E-2</v>
      </c>
      <c r="J561" s="487"/>
      <c r="K561" s="484"/>
      <c r="L561" s="487"/>
      <c r="M561" s="484"/>
      <c r="N561" s="488"/>
      <c r="AF561" s="716"/>
      <c r="AG561" s="481"/>
      <c r="AI561" s="481" t="s">
        <v>2612</v>
      </c>
      <c r="AN561" s="481"/>
      <c r="AO561" s="746"/>
      <c r="AP561" s="746"/>
      <c r="AQ561" s="699"/>
      <c r="AR561" s="699"/>
      <c r="AS561" s="699"/>
      <c r="AT561" s="699"/>
      <c r="AU561" s="699"/>
      <c r="AV561" s="481"/>
      <c r="AX561" s="481"/>
    </row>
    <row r="562" spans="1:50" s="454" customFormat="1" ht="15" x14ac:dyDescent="0.25">
      <c r="A562" s="718"/>
      <c r="B562" s="490" t="s">
        <v>190</v>
      </c>
      <c r="C562" s="2669" t="s">
        <v>2523</v>
      </c>
      <c r="D562" s="2669"/>
      <c r="E562" s="2669"/>
      <c r="F562" s="719"/>
      <c r="G562" s="564"/>
      <c r="H562" s="564"/>
      <c r="I562" s="564"/>
      <c r="J562" s="510">
        <v>56.55</v>
      </c>
      <c r="K562" s="564"/>
      <c r="L562" s="510">
        <v>2.38</v>
      </c>
      <c r="M562" s="506">
        <v>27.32</v>
      </c>
      <c r="N562" s="730">
        <v>65.02</v>
      </c>
      <c r="AF562" s="716"/>
      <c r="AG562" s="481"/>
      <c r="AI562" s="481"/>
      <c r="AK562" s="491" t="s">
        <v>2523</v>
      </c>
      <c r="AN562" s="481"/>
      <c r="AO562" s="746"/>
      <c r="AP562" s="746"/>
      <c r="AQ562" s="699"/>
      <c r="AR562" s="699"/>
      <c r="AS562" s="699"/>
      <c r="AT562" s="699"/>
      <c r="AU562" s="699"/>
      <c r="AV562" s="481"/>
      <c r="AX562" s="481"/>
    </row>
    <row r="563" spans="1:50" s="454" customFormat="1" ht="15" x14ac:dyDescent="0.25">
      <c r="A563" s="718"/>
      <c r="B563" s="490" t="s">
        <v>639</v>
      </c>
      <c r="C563" s="2669" t="s">
        <v>697</v>
      </c>
      <c r="D563" s="2669"/>
      <c r="E563" s="2669"/>
      <c r="F563" s="719"/>
      <c r="G563" s="564"/>
      <c r="H563" s="564"/>
      <c r="I563" s="564"/>
      <c r="J563" s="510">
        <v>9.2200000000000006</v>
      </c>
      <c r="K563" s="564"/>
      <c r="L563" s="510">
        <v>0.39</v>
      </c>
      <c r="M563" s="506">
        <v>10.92</v>
      </c>
      <c r="N563" s="730">
        <v>4.26</v>
      </c>
      <c r="AF563" s="716"/>
      <c r="AG563" s="481"/>
      <c r="AI563" s="481"/>
      <c r="AK563" s="491" t="s">
        <v>697</v>
      </c>
      <c r="AN563" s="481"/>
      <c r="AO563" s="746"/>
      <c r="AP563" s="746"/>
      <c r="AQ563" s="699"/>
      <c r="AR563" s="699"/>
      <c r="AS563" s="699"/>
      <c r="AT563" s="699"/>
      <c r="AU563" s="699"/>
      <c r="AV563" s="481"/>
      <c r="AX563" s="481"/>
    </row>
    <row r="564" spans="1:50" s="454" customFormat="1" ht="15" x14ac:dyDescent="0.25">
      <c r="A564" s="718"/>
      <c r="B564" s="490" t="s">
        <v>640</v>
      </c>
      <c r="C564" s="2669" t="s">
        <v>2500</v>
      </c>
      <c r="D564" s="2669"/>
      <c r="E564" s="2669"/>
      <c r="F564" s="719"/>
      <c r="G564" s="564"/>
      <c r="H564" s="564"/>
      <c r="I564" s="564"/>
      <c r="J564" s="510">
        <v>0.22</v>
      </c>
      <c r="K564" s="564"/>
      <c r="L564" s="510">
        <v>0.01</v>
      </c>
      <c r="M564" s="506">
        <v>27.32</v>
      </c>
      <c r="N564" s="730">
        <v>0.27</v>
      </c>
      <c r="AF564" s="716"/>
      <c r="AG564" s="481"/>
      <c r="AI564" s="481"/>
      <c r="AK564" s="491" t="s">
        <v>2500</v>
      </c>
      <c r="AN564" s="481"/>
      <c r="AO564" s="746"/>
      <c r="AP564" s="746"/>
      <c r="AQ564" s="699"/>
      <c r="AR564" s="699"/>
      <c r="AS564" s="699"/>
      <c r="AT564" s="699"/>
      <c r="AU564" s="699"/>
      <c r="AV564" s="481"/>
      <c r="AX564" s="481"/>
    </row>
    <row r="565" spans="1:50" s="454" customFormat="1" ht="15" x14ac:dyDescent="0.25">
      <c r="A565" s="718"/>
      <c r="B565" s="490" t="s">
        <v>232</v>
      </c>
      <c r="C565" s="2669" t="s">
        <v>829</v>
      </c>
      <c r="D565" s="2669"/>
      <c r="E565" s="2669"/>
      <c r="F565" s="719"/>
      <c r="G565" s="564"/>
      <c r="H565" s="564"/>
      <c r="I565" s="564"/>
      <c r="J565" s="510">
        <v>152.04</v>
      </c>
      <c r="K565" s="564"/>
      <c r="L565" s="510">
        <v>6.39</v>
      </c>
      <c r="M565" s="506">
        <v>7.72</v>
      </c>
      <c r="N565" s="730">
        <v>49.33</v>
      </c>
      <c r="AF565" s="716"/>
      <c r="AG565" s="481"/>
      <c r="AI565" s="481"/>
      <c r="AK565" s="491" t="s">
        <v>829</v>
      </c>
      <c r="AN565" s="481"/>
      <c r="AO565" s="746"/>
      <c r="AP565" s="746"/>
      <c r="AQ565" s="699"/>
      <c r="AR565" s="699"/>
      <c r="AS565" s="699"/>
      <c r="AT565" s="699"/>
      <c r="AU565" s="699"/>
      <c r="AV565" s="481"/>
      <c r="AX565" s="481"/>
    </row>
    <row r="566" spans="1:50" s="454" customFormat="1" ht="15" x14ac:dyDescent="0.25">
      <c r="A566" s="721"/>
      <c r="B566" s="490"/>
      <c r="C566" s="2669" t="s">
        <v>2524</v>
      </c>
      <c r="D566" s="2669"/>
      <c r="E566" s="2669"/>
      <c r="F566" s="719" t="s">
        <v>807</v>
      </c>
      <c r="G566" s="506">
        <v>5.31</v>
      </c>
      <c r="H566" s="564"/>
      <c r="I566" s="735">
        <v>0.22302</v>
      </c>
      <c r="J566" s="501"/>
      <c r="K566" s="564"/>
      <c r="L566" s="501"/>
      <c r="M566" s="564"/>
      <c r="N566" s="723"/>
      <c r="AF566" s="716"/>
      <c r="AG566" s="481"/>
      <c r="AI566" s="481"/>
      <c r="AL566" s="491" t="s">
        <v>2524</v>
      </c>
      <c r="AN566" s="481"/>
      <c r="AO566" s="746"/>
      <c r="AP566" s="746"/>
      <c r="AQ566" s="699"/>
      <c r="AR566" s="699"/>
      <c r="AS566" s="699"/>
      <c r="AT566" s="699"/>
      <c r="AU566" s="699"/>
      <c r="AV566" s="481"/>
      <c r="AX566" s="481"/>
    </row>
    <row r="567" spans="1:50" s="454" customFormat="1" ht="15" x14ac:dyDescent="0.25">
      <c r="A567" s="721"/>
      <c r="B567" s="490"/>
      <c r="C567" s="2669" t="s">
        <v>2501</v>
      </c>
      <c r="D567" s="2669"/>
      <c r="E567" s="2669"/>
      <c r="F567" s="719" t="s">
        <v>807</v>
      </c>
      <c r="G567" s="506">
        <v>0.02</v>
      </c>
      <c r="H567" s="564"/>
      <c r="I567" s="735">
        <v>8.4000000000000003E-4</v>
      </c>
      <c r="J567" s="501"/>
      <c r="K567" s="564"/>
      <c r="L567" s="501"/>
      <c r="M567" s="564"/>
      <c r="N567" s="723"/>
      <c r="AF567" s="716"/>
      <c r="AG567" s="481"/>
      <c r="AI567" s="481"/>
      <c r="AL567" s="491" t="s">
        <v>2501</v>
      </c>
      <c r="AN567" s="481"/>
      <c r="AO567" s="746"/>
      <c r="AP567" s="746"/>
      <c r="AQ567" s="699"/>
      <c r="AR567" s="699"/>
      <c r="AS567" s="699"/>
      <c r="AT567" s="699"/>
      <c r="AU567" s="699"/>
      <c r="AV567" s="481"/>
      <c r="AX567" s="481"/>
    </row>
    <row r="568" spans="1:50" s="454" customFormat="1" ht="15" x14ac:dyDescent="0.25">
      <c r="A568" s="718"/>
      <c r="B568" s="490"/>
      <c r="C568" s="2711" t="s">
        <v>2502</v>
      </c>
      <c r="D568" s="2711"/>
      <c r="E568" s="2711"/>
      <c r="F568" s="724"/>
      <c r="G568" s="563"/>
      <c r="H568" s="563"/>
      <c r="I568" s="563"/>
      <c r="J568" s="729">
        <v>217.81</v>
      </c>
      <c r="K568" s="563"/>
      <c r="L568" s="729">
        <v>9.16</v>
      </c>
      <c r="M568" s="563"/>
      <c r="N568" s="733">
        <v>118.61</v>
      </c>
      <c r="AF568" s="716"/>
      <c r="AG568" s="481"/>
      <c r="AI568" s="481"/>
      <c r="AM568" s="491" t="s">
        <v>2502</v>
      </c>
      <c r="AN568" s="481"/>
      <c r="AO568" s="746"/>
      <c r="AP568" s="746"/>
      <c r="AQ568" s="699"/>
      <c r="AR568" s="699"/>
      <c r="AS568" s="699"/>
      <c r="AT568" s="699"/>
      <c r="AU568" s="699"/>
      <c r="AV568" s="481"/>
      <c r="AX568" s="481"/>
    </row>
    <row r="569" spans="1:50" s="454" customFormat="1" ht="15" x14ac:dyDescent="0.25">
      <c r="A569" s="721"/>
      <c r="B569" s="490"/>
      <c r="C569" s="2669" t="s">
        <v>867</v>
      </c>
      <c r="D569" s="2669"/>
      <c r="E569" s="2669"/>
      <c r="F569" s="719"/>
      <c r="G569" s="564"/>
      <c r="H569" s="564"/>
      <c r="I569" s="564"/>
      <c r="J569" s="501"/>
      <c r="K569" s="564"/>
      <c r="L569" s="510">
        <v>2.39</v>
      </c>
      <c r="M569" s="564"/>
      <c r="N569" s="730">
        <v>65.290000000000006</v>
      </c>
      <c r="AF569" s="716"/>
      <c r="AG569" s="481"/>
      <c r="AI569" s="481"/>
      <c r="AL569" s="491" t="s">
        <v>867</v>
      </c>
      <c r="AN569" s="481"/>
      <c r="AO569" s="746"/>
      <c r="AP569" s="746"/>
      <c r="AQ569" s="699"/>
      <c r="AR569" s="699"/>
      <c r="AS569" s="699"/>
      <c r="AT569" s="699"/>
      <c r="AU569" s="699"/>
      <c r="AV569" s="481"/>
      <c r="AX569" s="481"/>
    </row>
    <row r="570" spans="1:50" s="454" customFormat="1" ht="23.25" x14ac:dyDescent="0.25">
      <c r="A570" s="721"/>
      <c r="B570" s="490" t="s">
        <v>2613</v>
      </c>
      <c r="C570" s="2669" t="s">
        <v>2614</v>
      </c>
      <c r="D570" s="2669"/>
      <c r="E570" s="2669"/>
      <c r="F570" s="719" t="s">
        <v>636</v>
      </c>
      <c r="G570" s="727">
        <v>94</v>
      </c>
      <c r="H570" s="564"/>
      <c r="I570" s="727">
        <v>94</v>
      </c>
      <c r="J570" s="501"/>
      <c r="K570" s="564"/>
      <c r="L570" s="510">
        <v>2.25</v>
      </c>
      <c r="M570" s="564"/>
      <c r="N570" s="730">
        <v>61.37</v>
      </c>
      <c r="AF570" s="716"/>
      <c r="AG570" s="481"/>
      <c r="AI570" s="481"/>
      <c r="AL570" s="491" t="s">
        <v>2614</v>
      </c>
      <c r="AN570" s="481"/>
      <c r="AO570" s="746"/>
      <c r="AP570" s="746"/>
      <c r="AQ570" s="699"/>
      <c r="AR570" s="699"/>
      <c r="AS570" s="699"/>
      <c r="AT570" s="699"/>
      <c r="AU570" s="699"/>
      <c r="AV570" s="481"/>
      <c r="AX570" s="481"/>
    </row>
    <row r="571" spans="1:50" s="454" customFormat="1" ht="23.25" x14ac:dyDescent="0.25">
      <c r="A571" s="721"/>
      <c r="B571" s="490" t="s">
        <v>2615</v>
      </c>
      <c r="C571" s="2669" t="s">
        <v>2616</v>
      </c>
      <c r="D571" s="2669"/>
      <c r="E571" s="2669"/>
      <c r="F571" s="719" t="s">
        <v>636</v>
      </c>
      <c r="G571" s="727">
        <v>51</v>
      </c>
      <c r="H571" s="564"/>
      <c r="I571" s="727">
        <v>51</v>
      </c>
      <c r="J571" s="501"/>
      <c r="K571" s="564"/>
      <c r="L571" s="510">
        <v>1.22</v>
      </c>
      <c r="M571" s="564"/>
      <c r="N571" s="730">
        <v>33.299999999999997</v>
      </c>
      <c r="AF571" s="716"/>
      <c r="AG571" s="481"/>
      <c r="AI571" s="481"/>
      <c r="AL571" s="491" t="s">
        <v>2616</v>
      </c>
      <c r="AN571" s="481"/>
      <c r="AO571" s="746"/>
      <c r="AP571" s="746"/>
      <c r="AQ571" s="699"/>
      <c r="AR571" s="699"/>
      <c r="AS571" s="699"/>
      <c r="AT571" s="699"/>
      <c r="AU571" s="699"/>
      <c r="AV571" s="481"/>
      <c r="AX571" s="481"/>
    </row>
    <row r="572" spans="1:50" s="454" customFormat="1" ht="15" x14ac:dyDescent="0.25">
      <c r="A572" s="526"/>
      <c r="B572" s="567"/>
      <c r="C572" s="2722" t="s">
        <v>872</v>
      </c>
      <c r="D572" s="2722"/>
      <c r="E572" s="2722"/>
      <c r="F572" s="483"/>
      <c r="G572" s="484"/>
      <c r="H572" s="484"/>
      <c r="I572" s="484"/>
      <c r="J572" s="487"/>
      <c r="K572" s="484"/>
      <c r="L572" s="527">
        <v>12.63</v>
      </c>
      <c r="M572" s="563"/>
      <c r="N572" s="734">
        <v>213.28</v>
      </c>
      <c r="AF572" s="716"/>
      <c r="AG572" s="481"/>
      <c r="AI572" s="481"/>
      <c r="AN572" s="481" t="s">
        <v>872</v>
      </c>
      <c r="AO572" s="746"/>
      <c r="AP572" s="746"/>
      <c r="AQ572" s="699"/>
      <c r="AR572" s="699"/>
      <c r="AS572" s="699"/>
      <c r="AT572" s="699"/>
      <c r="AU572" s="699"/>
      <c r="AV572" s="481"/>
      <c r="AX572" s="481"/>
    </row>
    <row r="573" spans="1:50" s="454" customFormat="1" ht="23.25" x14ac:dyDescent="0.25">
      <c r="A573" s="482" t="s">
        <v>1362</v>
      </c>
      <c r="B573" s="568" t="s">
        <v>2617</v>
      </c>
      <c r="C573" s="2722" t="s">
        <v>2618</v>
      </c>
      <c r="D573" s="2722"/>
      <c r="E573" s="2722"/>
      <c r="F573" s="483" t="s">
        <v>2555</v>
      </c>
      <c r="G573" s="484">
        <v>4.2000000000000003E-2</v>
      </c>
      <c r="H573" s="485">
        <v>1</v>
      </c>
      <c r="I573" s="731">
        <v>4.2000000000000003E-2</v>
      </c>
      <c r="J573" s="487"/>
      <c r="K573" s="484"/>
      <c r="L573" s="487"/>
      <c r="M573" s="484"/>
      <c r="N573" s="488"/>
      <c r="AF573" s="716"/>
      <c r="AG573" s="481"/>
      <c r="AI573" s="481" t="s">
        <v>2618</v>
      </c>
      <c r="AN573" s="481"/>
      <c r="AO573" s="746"/>
      <c r="AP573" s="746"/>
      <c r="AQ573" s="699"/>
      <c r="AR573" s="699"/>
      <c r="AS573" s="699"/>
      <c r="AT573" s="699"/>
      <c r="AU573" s="699"/>
      <c r="AV573" s="481"/>
      <c r="AX573" s="481"/>
    </row>
    <row r="574" spans="1:50" s="454" customFormat="1" ht="15" x14ac:dyDescent="0.25">
      <c r="A574" s="718"/>
      <c r="B574" s="490" t="s">
        <v>190</v>
      </c>
      <c r="C574" s="2669" t="s">
        <v>2523</v>
      </c>
      <c r="D574" s="2669"/>
      <c r="E574" s="2669"/>
      <c r="F574" s="719"/>
      <c r="G574" s="564"/>
      <c r="H574" s="564"/>
      <c r="I574" s="564"/>
      <c r="J574" s="510">
        <v>22.86</v>
      </c>
      <c r="K574" s="564"/>
      <c r="L574" s="510">
        <v>0.96</v>
      </c>
      <c r="M574" s="506">
        <v>27.32</v>
      </c>
      <c r="N574" s="730">
        <v>26.23</v>
      </c>
      <c r="AF574" s="716"/>
      <c r="AG574" s="481"/>
      <c r="AI574" s="481"/>
      <c r="AK574" s="491" t="s">
        <v>2523</v>
      </c>
      <c r="AN574" s="481"/>
      <c r="AO574" s="746"/>
      <c r="AP574" s="746"/>
      <c r="AQ574" s="699"/>
      <c r="AR574" s="699"/>
      <c r="AS574" s="699"/>
      <c r="AT574" s="699"/>
      <c r="AU574" s="699"/>
      <c r="AV574" s="481"/>
      <c r="AX574" s="481"/>
    </row>
    <row r="575" spans="1:50" s="454" customFormat="1" ht="15" x14ac:dyDescent="0.25">
      <c r="A575" s="718"/>
      <c r="B575" s="490" t="s">
        <v>639</v>
      </c>
      <c r="C575" s="2669" t="s">
        <v>697</v>
      </c>
      <c r="D575" s="2669"/>
      <c r="E575" s="2669"/>
      <c r="F575" s="719"/>
      <c r="G575" s="564"/>
      <c r="H575" s="564"/>
      <c r="I575" s="564"/>
      <c r="J575" s="510">
        <v>6.66</v>
      </c>
      <c r="K575" s="564"/>
      <c r="L575" s="510">
        <v>0.28000000000000003</v>
      </c>
      <c r="M575" s="506">
        <v>10.92</v>
      </c>
      <c r="N575" s="730">
        <v>3.06</v>
      </c>
      <c r="AF575" s="716"/>
      <c r="AG575" s="481"/>
      <c r="AI575" s="481"/>
      <c r="AK575" s="491" t="s">
        <v>697</v>
      </c>
      <c r="AN575" s="481"/>
      <c r="AO575" s="746"/>
      <c r="AP575" s="746"/>
      <c r="AQ575" s="699"/>
      <c r="AR575" s="699"/>
      <c r="AS575" s="699"/>
      <c r="AT575" s="699"/>
      <c r="AU575" s="699"/>
      <c r="AV575" s="481"/>
      <c r="AX575" s="481"/>
    </row>
    <row r="576" spans="1:50" s="454" customFormat="1" ht="15" x14ac:dyDescent="0.25">
      <c r="A576" s="718"/>
      <c r="B576" s="490" t="s">
        <v>640</v>
      </c>
      <c r="C576" s="2669" t="s">
        <v>2500</v>
      </c>
      <c r="D576" s="2669"/>
      <c r="E576" s="2669"/>
      <c r="F576" s="719"/>
      <c r="G576" s="564"/>
      <c r="H576" s="564"/>
      <c r="I576" s="564"/>
      <c r="J576" s="510">
        <v>0.33</v>
      </c>
      <c r="K576" s="564"/>
      <c r="L576" s="510">
        <v>0.01</v>
      </c>
      <c r="M576" s="506">
        <v>27.32</v>
      </c>
      <c r="N576" s="730">
        <v>0.27</v>
      </c>
      <c r="AF576" s="716"/>
      <c r="AG576" s="481"/>
      <c r="AI576" s="481"/>
      <c r="AK576" s="491" t="s">
        <v>2500</v>
      </c>
      <c r="AN576" s="481"/>
      <c r="AO576" s="746"/>
      <c r="AP576" s="746"/>
      <c r="AQ576" s="699"/>
      <c r="AR576" s="699"/>
      <c r="AS576" s="699"/>
      <c r="AT576" s="699"/>
      <c r="AU576" s="699"/>
      <c r="AV576" s="481"/>
      <c r="AX576" s="481"/>
    </row>
    <row r="577" spans="1:50" s="454" customFormat="1" ht="15" x14ac:dyDescent="0.25">
      <c r="A577" s="718"/>
      <c r="B577" s="490" t="s">
        <v>232</v>
      </c>
      <c r="C577" s="2669" t="s">
        <v>829</v>
      </c>
      <c r="D577" s="2669"/>
      <c r="E577" s="2669"/>
      <c r="F577" s="719"/>
      <c r="G577" s="564"/>
      <c r="H577" s="564"/>
      <c r="I577" s="564"/>
      <c r="J577" s="510">
        <v>543.84</v>
      </c>
      <c r="K577" s="564"/>
      <c r="L577" s="510">
        <v>22.84</v>
      </c>
      <c r="M577" s="506">
        <v>7.72</v>
      </c>
      <c r="N577" s="730">
        <v>176.32</v>
      </c>
      <c r="AF577" s="716"/>
      <c r="AG577" s="481"/>
      <c r="AI577" s="481"/>
      <c r="AK577" s="491" t="s">
        <v>829</v>
      </c>
      <c r="AN577" s="481"/>
      <c r="AO577" s="746"/>
      <c r="AP577" s="746"/>
      <c r="AQ577" s="699"/>
      <c r="AR577" s="699"/>
      <c r="AS577" s="699"/>
      <c r="AT577" s="699"/>
      <c r="AU577" s="699"/>
      <c r="AV577" s="481"/>
      <c r="AX577" s="481"/>
    </row>
    <row r="578" spans="1:50" s="454" customFormat="1" ht="15" x14ac:dyDescent="0.25">
      <c r="A578" s="721"/>
      <c r="B578" s="490"/>
      <c r="C578" s="2669" t="s">
        <v>2524</v>
      </c>
      <c r="D578" s="2669"/>
      <c r="E578" s="2669"/>
      <c r="F578" s="719" t="s">
        <v>807</v>
      </c>
      <c r="G578" s="506">
        <v>2.52</v>
      </c>
      <c r="H578" s="564"/>
      <c r="I578" s="735">
        <v>0.10584</v>
      </c>
      <c r="J578" s="501"/>
      <c r="K578" s="564"/>
      <c r="L578" s="501"/>
      <c r="M578" s="564"/>
      <c r="N578" s="723"/>
      <c r="AF578" s="716"/>
      <c r="AG578" s="481"/>
      <c r="AI578" s="481"/>
      <c r="AL578" s="491" t="s">
        <v>2524</v>
      </c>
      <c r="AN578" s="481"/>
      <c r="AO578" s="746"/>
      <c r="AP578" s="746"/>
      <c r="AQ578" s="699"/>
      <c r="AR578" s="699"/>
      <c r="AS578" s="699"/>
      <c r="AT578" s="699"/>
      <c r="AU578" s="699"/>
      <c r="AV578" s="481"/>
      <c r="AX578" s="481"/>
    </row>
    <row r="579" spans="1:50" s="454" customFormat="1" ht="15" x14ac:dyDescent="0.25">
      <c r="A579" s="721"/>
      <c r="B579" s="490"/>
      <c r="C579" s="2669" t="s">
        <v>2501</v>
      </c>
      <c r="D579" s="2669"/>
      <c r="E579" s="2669"/>
      <c r="F579" s="719" t="s">
        <v>807</v>
      </c>
      <c r="G579" s="506">
        <v>0.03</v>
      </c>
      <c r="H579" s="564"/>
      <c r="I579" s="735">
        <v>1.2600000000000001E-3</v>
      </c>
      <c r="J579" s="501"/>
      <c r="K579" s="564"/>
      <c r="L579" s="501"/>
      <c r="M579" s="564"/>
      <c r="N579" s="723"/>
      <c r="AF579" s="716"/>
      <c r="AG579" s="481"/>
      <c r="AI579" s="481"/>
      <c r="AL579" s="491" t="s">
        <v>2501</v>
      </c>
      <c r="AN579" s="481"/>
      <c r="AO579" s="746"/>
      <c r="AP579" s="746"/>
      <c r="AQ579" s="699"/>
      <c r="AR579" s="699"/>
      <c r="AS579" s="699"/>
      <c r="AT579" s="699"/>
      <c r="AU579" s="699"/>
      <c r="AV579" s="481"/>
      <c r="AX579" s="481"/>
    </row>
    <row r="580" spans="1:50" s="454" customFormat="1" ht="15" x14ac:dyDescent="0.25">
      <c r="A580" s="718"/>
      <c r="B580" s="490"/>
      <c r="C580" s="2711" t="s">
        <v>2502</v>
      </c>
      <c r="D580" s="2711"/>
      <c r="E580" s="2711"/>
      <c r="F580" s="724"/>
      <c r="G580" s="563"/>
      <c r="H580" s="563"/>
      <c r="I580" s="563"/>
      <c r="J580" s="729">
        <v>573.36</v>
      </c>
      <c r="K580" s="563"/>
      <c r="L580" s="729">
        <v>24.08</v>
      </c>
      <c r="M580" s="563"/>
      <c r="N580" s="733">
        <v>205.61</v>
      </c>
      <c r="AF580" s="716"/>
      <c r="AG580" s="481"/>
      <c r="AI580" s="481"/>
      <c r="AM580" s="491" t="s">
        <v>2502</v>
      </c>
      <c r="AN580" s="481"/>
      <c r="AO580" s="746"/>
      <c r="AP580" s="746"/>
      <c r="AQ580" s="699"/>
      <c r="AR580" s="699"/>
      <c r="AS580" s="699"/>
      <c r="AT580" s="699"/>
      <c r="AU580" s="699"/>
      <c r="AV580" s="481"/>
      <c r="AX580" s="481"/>
    </row>
    <row r="581" spans="1:50" s="454" customFormat="1" ht="15" x14ac:dyDescent="0.25">
      <c r="A581" s="721"/>
      <c r="B581" s="490"/>
      <c r="C581" s="2669" t="s">
        <v>867</v>
      </c>
      <c r="D581" s="2669"/>
      <c r="E581" s="2669"/>
      <c r="F581" s="719"/>
      <c r="G581" s="564"/>
      <c r="H581" s="564"/>
      <c r="I581" s="564"/>
      <c r="J581" s="501"/>
      <c r="K581" s="564"/>
      <c r="L581" s="510">
        <v>0.97</v>
      </c>
      <c r="M581" s="564"/>
      <c r="N581" s="730">
        <v>26.5</v>
      </c>
      <c r="AF581" s="716"/>
      <c r="AG581" s="481"/>
      <c r="AI581" s="481"/>
      <c r="AL581" s="491" t="s">
        <v>867</v>
      </c>
      <c r="AN581" s="481"/>
      <c r="AO581" s="746"/>
      <c r="AP581" s="746"/>
      <c r="AQ581" s="699"/>
      <c r="AR581" s="699"/>
      <c r="AS581" s="699"/>
      <c r="AT581" s="699"/>
      <c r="AU581" s="699"/>
      <c r="AV581" s="481"/>
      <c r="AX581" s="481"/>
    </row>
    <row r="582" spans="1:50" s="454" customFormat="1" ht="23.25" x14ac:dyDescent="0.25">
      <c r="A582" s="721"/>
      <c r="B582" s="490" t="s">
        <v>2613</v>
      </c>
      <c r="C582" s="2669" t="s">
        <v>2614</v>
      </c>
      <c r="D582" s="2669"/>
      <c r="E582" s="2669"/>
      <c r="F582" s="719" t="s">
        <v>636</v>
      </c>
      <c r="G582" s="727">
        <v>94</v>
      </c>
      <c r="H582" s="564"/>
      <c r="I582" s="727">
        <v>94</v>
      </c>
      <c r="J582" s="501"/>
      <c r="K582" s="564"/>
      <c r="L582" s="510">
        <v>0.91</v>
      </c>
      <c r="M582" s="564"/>
      <c r="N582" s="730">
        <v>24.91</v>
      </c>
      <c r="AF582" s="716"/>
      <c r="AG582" s="481"/>
      <c r="AI582" s="481"/>
      <c r="AL582" s="491" t="s">
        <v>2614</v>
      </c>
      <c r="AN582" s="481"/>
      <c r="AO582" s="746"/>
      <c r="AP582" s="746"/>
      <c r="AQ582" s="699"/>
      <c r="AR582" s="699"/>
      <c r="AS582" s="699"/>
      <c r="AT582" s="699"/>
      <c r="AU582" s="699"/>
      <c r="AV582" s="481"/>
      <c r="AX582" s="481"/>
    </row>
    <row r="583" spans="1:50" s="454" customFormat="1" ht="23.25" x14ac:dyDescent="0.25">
      <c r="A583" s="721"/>
      <c r="B583" s="490" t="s">
        <v>2615</v>
      </c>
      <c r="C583" s="2669" t="s">
        <v>2616</v>
      </c>
      <c r="D583" s="2669"/>
      <c r="E583" s="2669"/>
      <c r="F583" s="719" t="s">
        <v>636</v>
      </c>
      <c r="G583" s="727">
        <v>51</v>
      </c>
      <c r="H583" s="564"/>
      <c r="I583" s="727">
        <v>51</v>
      </c>
      <c r="J583" s="501"/>
      <c r="K583" s="564"/>
      <c r="L583" s="510">
        <v>0.49</v>
      </c>
      <c r="M583" s="564"/>
      <c r="N583" s="730">
        <v>13.52</v>
      </c>
      <c r="AF583" s="716"/>
      <c r="AG583" s="481"/>
      <c r="AI583" s="481"/>
      <c r="AL583" s="491" t="s">
        <v>2616</v>
      </c>
      <c r="AN583" s="481"/>
      <c r="AO583" s="746"/>
      <c r="AP583" s="746"/>
      <c r="AQ583" s="699"/>
      <c r="AR583" s="699"/>
      <c r="AS583" s="699"/>
      <c r="AT583" s="699"/>
      <c r="AU583" s="699"/>
      <c r="AV583" s="481"/>
      <c r="AX583" s="481"/>
    </row>
    <row r="584" spans="1:50" s="454" customFormat="1" ht="15" x14ac:dyDescent="0.25">
      <c r="A584" s="526"/>
      <c r="B584" s="567"/>
      <c r="C584" s="2722" t="s">
        <v>872</v>
      </c>
      <c r="D584" s="2722"/>
      <c r="E584" s="2722"/>
      <c r="F584" s="483"/>
      <c r="G584" s="484"/>
      <c r="H584" s="484"/>
      <c r="I584" s="484"/>
      <c r="J584" s="487"/>
      <c r="K584" s="484"/>
      <c r="L584" s="527">
        <v>25.48</v>
      </c>
      <c r="M584" s="563"/>
      <c r="N584" s="734">
        <v>244.04</v>
      </c>
      <c r="AF584" s="716"/>
      <c r="AG584" s="481"/>
      <c r="AI584" s="481"/>
      <c r="AN584" s="481" t="s">
        <v>872</v>
      </c>
      <c r="AO584" s="746"/>
      <c r="AP584" s="746"/>
      <c r="AQ584" s="699"/>
      <c r="AR584" s="699"/>
      <c r="AS584" s="699"/>
      <c r="AT584" s="699"/>
      <c r="AU584" s="699"/>
      <c r="AV584" s="481"/>
      <c r="AX584" s="481"/>
    </row>
    <row r="585" spans="1:50" s="454" customFormat="1" ht="15" x14ac:dyDescent="0.25">
      <c r="A585" s="482" t="s">
        <v>1365</v>
      </c>
      <c r="B585" s="568" t="s">
        <v>2619</v>
      </c>
      <c r="C585" s="2722" t="s">
        <v>2620</v>
      </c>
      <c r="D585" s="2722"/>
      <c r="E585" s="2722"/>
      <c r="F585" s="483" t="s">
        <v>801</v>
      </c>
      <c r="G585" s="484">
        <v>-7.9799999999999999E-4</v>
      </c>
      <c r="H585" s="485">
        <v>1</v>
      </c>
      <c r="I585" s="753">
        <v>-7.9799999999999999E-4</v>
      </c>
      <c r="J585" s="524">
        <v>26640</v>
      </c>
      <c r="K585" s="484"/>
      <c r="L585" s="527">
        <v>-21.26</v>
      </c>
      <c r="M585" s="732">
        <v>7.72</v>
      </c>
      <c r="N585" s="734">
        <v>-164.13</v>
      </c>
      <c r="AF585" s="716"/>
      <c r="AG585" s="481"/>
      <c r="AI585" s="481" t="s">
        <v>2620</v>
      </c>
      <c r="AN585" s="481"/>
      <c r="AO585" s="746"/>
      <c r="AP585" s="746"/>
      <c r="AQ585" s="699"/>
      <c r="AR585" s="699"/>
      <c r="AS585" s="699"/>
      <c r="AT585" s="699"/>
      <c r="AU585" s="699"/>
      <c r="AV585" s="481"/>
      <c r="AX585" s="481"/>
    </row>
    <row r="586" spans="1:50" s="454" customFormat="1" ht="15" x14ac:dyDescent="0.25">
      <c r="A586" s="526"/>
      <c r="B586" s="567"/>
      <c r="C586" s="2722" t="s">
        <v>872</v>
      </c>
      <c r="D586" s="2722"/>
      <c r="E586" s="2722"/>
      <c r="F586" s="483"/>
      <c r="G586" s="484"/>
      <c r="H586" s="484"/>
      <c r="I586" s="484"/>
      <c r="J586" s="487"/>
      <c r="K586" s="484"/>
      <c r="L586" s="527">
        <v>-21.26</v>
      </c>
      <c r="M586" s="563"/>
      <c r="N586" s="734">
        <v>-164.13</v>
      </c>
      <c r="AF586" s="716"/>
      <c r="AG586" s="481"/>
      <c r="AI586" s="481"/>
      <c r="AN586" s="481" t="s">
        <v>872</v>
      </c>
      <c r="AO586" s="746"/>
      <c r="AP586" s="746"/>
      <c r="AQ586" s="699"/>
      <c r="AR586" s="699"/>
      <c r="AS586" s="699"/>
      <c r="AT586" s="699"/>
      <c r="AU586" s="699"/>
      <c r="AV586" s="481"/>
      <c r="AX586" s="481"/>
    </row>
    <row r="587" spans="1:50" s="454" customFormat="1" ht="15" x14ac:dyDescent="0.25">
      <c r="A587" s="482" t="s">
        <v>1367</v>
      </c>
      <c r="B587" s="568" t="s">
        <v>2621</v>
      </c>
      <c r="C587" s="2722" t="s">
        <v>2622</v>
      </c>
      <c r="D587" s="2722"/>
      <c r="E587" s="2722"/>
      <c r="F587" s="483" t="s">
        <v>801</v>
      </c>
      <c r="G587" s="484">
        <v>7.9799999999999999E-4</v>
      </c>
      <c r="H587" s="485">
        <v>1</v>
      </c>
      <c r="I587" s="753">
        <v>7.9799999999999999E-4</v>
      </c>
      <c r="J587" s="524">
        <v>29335.67</v>
      </c>
      <c r="K587" s="484"/>
      <c r="L587" s="527">
        <v>23.41</v>
      </c>
      <c r="M587" s="732">
        <v>7.72</v>
      </c>
      <c r="N587" s="734">
        <v>180.73</v>
      </c>
      <c r="AF587" s="716"/>
      <c r="AG587" s="481"/>
      <c r="AI587" s="481" t="s">
        <v>2622</v>
      </c>
      <c r="AN587" s="481"/>
      <c r="AO587" s="746"/>
      <c r="AP587" s="746"/>
      <c r="AQ587" s="699"/>
      <c r="AR587" s="699"/>
      <c r="AS587" s="699"/>
      <c r="AT587" s="699"/>
      <c r="AU587" s="699"/>
      <c r="AV587" s="481"/>
      <c r="AX587" s="481"/>
    </row>
    <row r="588" spans="1:50" s="454" customFormat="1" ht="15" x14ac:dyDescent="0.25">
      <c r="A588" s="526"/>
      <c r="B588" s="567"/>
      <c r="C588" s="2722" t="s">
        <v>872</v>
      </c>
      <c r="D588" s="2722"/>
      <c r="E588" s="2722"/>
      <c r="F588" s="483"/>
      <c r="G588" s="484"/>
      <c r="H588" s="484"/>
      <c r="I588" s="484"/>
      <c r="J588" s="487"/>
      <c r="K588" s="484"/>
      <c r="L588" s="527">
        <v>23.41</v>
      </c>
      <c r="M588" s="563"/>
      <c r="N588" s="734">
        <v>180.73</v>
      </c>
      <c r="AF588" s="716"/>
      <c r="AG588" s="481"/>
      <c r="AI588" s="481"/>
      <c r="AN588" s="481" t="s">
        <v>872</v>
      </c>
      <c r="AO588" s="746"/>
      <c r="AP588" s="746"/>
      <c r="AQ588" s="699"/>
      <c r="AR588" s="699"/>
      <c r="AS588" s="699"/>
      <c r="AT588" s="699"/>
      <c r="AU588" s="699"/>
      <c r="AV588" s="481"/>
      <c r="AX588" s="481"/>
    </row>
    <row r="589" spans="1:50" s="454" customFormat="1" ht="23.25" x14ac:dyDescent="0.25">
      <c r="A589" s="482" t="s">
        <v>1369</v>
      </c>
      <c r="B589" s="568" t="s">
        <v>2623</v>
      </c>
      <c r="C589" s="2722" t="s">
        <v>2624</v>
      </c>
      <c r="D589" s="2722"/>
      <c r="E589" s="2722"/>
      <c r="F589" s="483" t="s">
        <v>2588</v>
      </c>
      <c r="G589" s="484">
        <v>6.48</v>
      </c>
      <c r="H589" s="485">
        <v>1</v>
      </c>
      <c r="I589" s="732">
        <v>6.48</v>
      </c>
      <c r="J589" s="487"/>
      <c r="K589" s="484"/>
      <c r="L589" s="487"/>
      <c r="M589" s="484"/>
      <c r="N589" s="488"/>
      <c r="AF589" s="716"/>
      <c r="AG589" s="481"/>
      <c r="AI589" s="481" t="s">
        <v>2624</v>
      </c>
      <c r="AN589" s="481"/>
      <c r="AO589" s="746"/>
      <c r="AP589" s="746"/>
      <c r="AQ589" s="699"/>
      <c r="AR589" s="699"/>
      <c r="AS589" s="699"/>
      <c r="AT589" s="699"/>
      <c r="AU589" s="699"/>
      <c r="AV589" s="481"/>
      <c r="AX589" s="481"/>
    </row>
    <row r="590" spans="1:50" s="454" customFormat="1" ht="33.75" x14ac:dyDescent="0.25">
      <c r="A590" s="489"/>
      <c r="B590" s="490" t="s">
        <v>1655</v>
      </c>
      <c r="C590" s="2709" t="s">
        <v>1656</v>
      </c>
      <c r="D590" s="2709"/>
      <c r="E590" s="2709"/>
      <c r="F590" s="2709"/>
      <c r="G590" s="2709"/>
      <c r="H590" s="2709"/>
      <c r="I590" s="2709"/>
      <c r="J590" s="2709"/>
      <c r="K590" s="2709"/>
      <c r="L590" s="2709"/>
      <c r="M590" s="2709"/>
      <c r="N590" s="2710"/>
      <c r="AF590" s="716"/>
      <c r="AG590" s="481"/>
      <c r="AI590" s="481"/>
      <c r="AJ590" s="491" t="s">
        <v>1656</v>
      </c>
      <c r="AN590" s="481"/>
      <c r="AO590" s="746"/>
      <c r="AP590" s="746"/>
      <c r="AQ590" s="699"/>
      <c r="AR590" s="699"/>
      <c r="AS590" s="699"/>
      <c r="AT590" s="699"/>
      <c r="AU590" s="699"/>
      <c r="AV590" s="481"/>
      <c r="AX590" s="481"/>
    </row>
    <row r="591" spans="1:50" s="454" customFormat="1" ht="15" x14ac:dyDescent="0.25">
      <c r="A591" s="718"/>
      <c r="B591" s="490" t="s">
        <v>190</v>
      </c>
      <c r="C591" s="2669" t="s">
        <v>2523</v>
      </c>
      <c r="D591" s="2669"/>
      <c r="E591" s="2669"/>
      <c r="F591" s="719"/>
      <c r="G591" s="564"/>
      <c r="H591" s="564"/>
      <c r="I591" s="564"/>
      <c r="J591" s="510">
        <v>971.62</v>
      </c>
      <c r="K591" s="511">
        <v>1.5</v>
      </c>
      <c r="L591" s="505">
        <v>9444.15</v>
      </c>
      <c r="M591" s="506">
        <v>27.32</v>
      </c>
      <c r="N591" s="720">
        <v>258014.18</v>
      </c>
      <c r="AF591" s="716"/>
      <c r="AG591" s="481"/>
      <c r="AI591" s="481"/>
      <c r="AK591" s="491" t="s">
        <v>2523</v>
      </c>
      <c r="AN591" s="481"/>
      <c r="AO591" s="746"/>
      <c r="AP591" s="746"/>
      <c r="AQ591" s="699"/>
      <c r="AR591" s="699"/>
      <c r="AS591" s="699"/>
      <c r="AT591" s="699"/>
      <c r="AU591" s="699"/>
      <c r="AV591" s="481"/>
      <c r="AX591" s="481"/>
    </row>
    <row r="592" spans="1:50" s="454" customFormat="1" ht="15" x14ac:dyDescent="0.25">
      <c r="A592" s="718"/>
      <c r="B592" s="490" t="s">
        <v>639</v>
      </c>
      <c r="C592" s="2669" t="s">
        <v>697</v>
      </c>
      <c r="D592" s="2669"/>
      <c r="E592" s="2669"/>
      <c r="F592" s="719"/>
      <c r="G592" s="564"/>
      <c r="H592" s="564"/>
      <c r="I592" s="564"/>
      <c r="J592" s="505">
        <v>4263.16</v>
      </c>
      <c r="K592" s="511">
        <v>1.5</v>
      </c>
      <c r="L592" s="505">
        <v>41437.919999999998</v>
      </c>
      <c r="M592" s="506">
        <v>10.92</v>
      </c>
      <c r="N592" s="720">
        <v>452502.09</v>
      </c>
      <c r="AF592" s="716"/>
      <c r="AG592" s="481"/>
      <c r="AI592" s="481"/>
      <c r="AK592" s="491" t="s">
        <v>697</v>
      </c>
      <c r="AN592" s="481"/>
      <c r="AO592" s="746"/>
      <c r="AP592" s="746"/>
      <c r="AQ592" s="699"/>
      <c r="AR592" s="699"/>
      <c r="AS592" s="699"/>
      <c r="AT592" s="699"/>
      <c r="AU592" s="699"/>
      <c r="AV592" s="481"/>
      <c r="AX592" s="481"/>
    </row>
    <row r="593" spans="1:50" s="454" customFormat="1" ht="15" x14ac:dyDescent="0.25">
      <c r="A593" s="718"/>
      <c r="B593" s="490" t="s">
        <v>640</v>
      </c>
      <c r="C593" s="2669" t="s">
        <v>2500</v>
      </c>
      <c r="D593" s="2669"/>
      <c r="E593" s="2669"/>
      <c r="F593" s="719"/>
      <c r="G593" s="564"/>
      <c r="H593" s="564"/>
      <c r="I593" s="564"/>
      <c r="J593" s="510">
        <v>591.01</v>
      </c>
      <c r="K593" s="511">
        <v>1.5</v>
      </c>
      <c r="L593" s="505">
        <v>5744.62</v>
      </c>
      <c r="M593" s="506">
        <v>27.32</v>
      </c>
      <c r="N593" s="720">
        <v>156943.01999999999</v>
      </c>
      <c r="AF593" s="716"/>
      <c r="AG593" s="481"/>
      <c r="AI593" s="481"/>
      <c r="AK593" s="491" t="s">
        <v>2500</v>
      </c>
      <c r="AN593" s="481"/>
      <c r="AO593" s="746"/>
      <c r="AP593" s="746"/>
      <c r="AQ593" s="699"/>
      <c r="AR593" s="699"/>
      <c r="AS593" s="699"/>
      <c r="AT593" s="699"/>
      <c r="AU593" s="699"/>
      <c r="AV593" s="481"/>
      <c r="AX593" s="481"/>
    </row>
    <row r="594" spans="1:50" s="454" customFormat="1" ht="15" x14ac:dyDescent="0.25">
      <c r="A594" s="718"/>
      <c r="B594" s="490" t="s">
        <v>232</v>
      </c>
      <c r="C594" s="2669" t="s">
        <v>829</v>
      </c>
      <c r="D594" s="2669"/>
      <c r="E594" s="2669"/>
      <c r="F594" s="719"/>
      <c r="G594" s="564"/>
      <c r="H594" s="564"/>
      <c r="I594" s="564"/>
      <c r="J594" s="505">
        <v>21384.97</v>
      </c>
      <c r="K594" s="564"/>
      <c r="L594" s="505">
        <v>7749.89</v>
      </c>
      <c r="M594" s="506">
        <v>7.72</v>
      </c>
      <c r="N594" s="720">
        <v>59829.15</v>
      </c>
      <c r="AF594" s="716"/>
      <c r="AG594" s="481"/>
      <c r="AI594" s="481"/>
      <c r="AK594" s="491" t="s">
        <v>829</v>
      </c>
      <c r="AN594" s="481"/>
      <c r="AO594" s="746"/>
      <c r="AP594" s="746"/>
      <c r="AQ594" s="699"/>
      <c r="AR594" s="699"/>
      <c r="AS594" s="699"/>
      <c r="AT594" s="699"/>
      <c r="AU594" s="699"/>
      <c r="AV594" s="481"/>
      <c r="AX594" s="481"/>
    </row>
    <row r="595" spans="1:50" s="454" customFormat="1" ht="15" x14ac:dyDescent="0.25">
      <c r="A595" s="721"/>
      <c r="B595" s="490"/>
      <c r="C595" s="2669" t="s">
        <v>2524</v>
      </c>
      <c r="D595" s="2669"/>
      <c r="E595" s="2669"/>
      <c r="F595" s="719" t="s">
        <v>807</v>
      </c>
      <c r="G595" s="727">
        <v>101</v>
      </c>
      <c r="H595" s="511">
        <v>1.5</v>
      </c>
      <c r="I595" s="506">
        <v>981.72</v>
      </c>
      <c r="J595" s="501"/>
      <c r="K595" s="564"/>
      <c r="L595" s="501"/>
      <c r="M595" s="564"/>
      <c r="N595" s="723"/>
      <c r="AF595" s="716"/>
      <c r="AG595" s="481"/>
      <c r="AI595" s="481"/>
      <c r="AL595" s="491" t="s">
        <v>2524</v>
      </c>
      <c r="AN595" s="481"/>
      <c r="AO595" s="746"/>
      <c r="AP595" s="746"/>
      <c r="AQ595" s="699"/>
      <c r="AR595" s="699"/>
      <c r="AS595" s="699"/>
      <c r="AT595" s="699"/>
      <c r="AU595" s="699"/>
      <c r="AV595" s="481"/>
      <c r="AX595" s="481"/>
    </row>
    <row r="596" spans="1:50" s="454" customFormat="1" ht="15" x14ac:dyDescent="0.25">
      <c r="A596" s="721"/>
      <c r="B596" s="490"/>
      <c r="C596" s="2669" t="s">
        <v>2501</v>
      </c>
      <c r="D596" s="2669"/>
      <c r="E596" s="2669"/>
      <c r="F596" s="719" t="s">
        <v>807</v>
      </c>
      <c r="G596" s="506">
        <v>43.84</v>
      </c>
      <c r="H596" s="511">
        <v>1.5</v>
      </c>
      <c r="I596" s="752">
        <v>426.12479999999999</v>
      </c>
      <c r="J596" s="501"/>
      <c r="K596" s="564"/>
      <c r="L596" s="501"/>
      <c r="M596" s="564"/>
      <c r="N596" s="723"/>
      <c r="AF596" s="716"/>
      <c r="AG596" s="481"/>
      <c r="AI596" s="481"/>
      <c r="AL596" s="491" t="s">
        <v>2501</v>
      </c>
      <c r="AN596" s="481"/>
      <c r="AO596" s="746"/>
      <c r="AP596" s="746"/>
      <c r="AQ596" s="699"/>
      <c r="AR596" s="699"/>
      <c r="AS596" s="699"/>
      <c r="AT596" s="699"/>
      <c r="AU596" s="699"/>
      <c r="AV596" s="481"/>
      <c r="AX596" s="481"/>
    </row>
    <row r="597" spans="1:50" s="454" customFormat="1" ht="15" x14ac:dyDescent="0.25">
      <c r="A597" s="718"/>
      <c r="B597" s="490"/>
      <c r="C597" s="2711" t="s">
        <v>2502</v>
      </c>
      <c r="D597" s="2711"/>
      <c r="E597" s="2711"/>
      <c r="F597" s="724"/>
      <c r="G597" s="563"/>
      <c r="H597" s="563"/>
      <c r="I597" s="563"/>
      <c r="J597" s="725">
        <v>6430.75</v>
      </c>
      <c r="K597" s="563"/>
      <c r="L597" s="725">
        <v>58631.96</v>
      </c>
      <c r="M597" s="563"/>
      <c r="N597" s="726">
        <v>770345.42</v>
      </c>
      <c r="AF597" s="716"/>
      <c r="AG597" s="481"/>
      <c r="AI597" s="481"/>
      <c r="AM597" s="491" t="s">
        <v>2502</v>
      </c>
      <c r="AN597" s="481"/>
      <c r="AO597" s="746"/>
      <c r="AP597" s="746"/>
      <c r="AQ597" s="699"/>
      <c r="AR597" s="699"/>
      <c r="AS597" s="699"/>
      <c r="AT597" s="699"/>
      <c r="AU597" s="699"/>
      <c r="AV597" s="481"/>
      <c r="AX597" s="481"/>
    </row>
    <row r="598" spans="1:50" s="454" customFormat="1" ht="15" x14ac:dyDescent="0.25">
      <c r="A598" s="721"/>
      <c r="B598" s="490"/>
      <c r="C598" s="2669" t="s">
        <v>867</v>
      </c>
      <c r="D598" s="2669"/>
      <c r="E598" s="2669"/>
      <c r="F598" s="719"/>
      <c r="G598" s="564"/>
      <c r="H598" s="564"/>
      <c r="I598" s="564"/>
      <c r="J598" s="501"/>
      <c r="K598" s="564"/>
      <c r="L598" s="505">
        <v>15188.77</v>
      </c>
      <c r="M598" s="564"/>
      <c r="N598" s="720">
        <v>414957.2</v>
      </c>
      <c r="AF598" s="716"/>
      <c r="AG598" s="481"/>
      <c r="AI598" s="481"/>
      <c r="AL598" s="491" t="s">
        <v>867</v>
      </c>
      <c r="AN598" s="481"/>
      <c r="AO598" s="746"/>
      <c r="AP598" s="746"/>
      <c r="AQ598" s="699"/>
      <c r="AR598" s="699"/>
      <c r="AS598" s="699"/>
      <c r="AT598" s="699"/>
      <c r="AU598" s="699"/>
      <c r="AV598" s="481"/>
      <c r="AX598" s="481"/>
    </row>
    <row r="599" spans="1:50" s="454" customFormat="1" ht="15" x14ac:dyDescent="0.25">
      <c r="A599" s="721"/>
      <c r="B599" s="490" t="s">
        <v>2625</v>
      </c>
      <c r="C599" s="2669" t="s">
        <v>2626</v>
      </c>
      <c r="D599" s="2669"/>
      <c r="E599" s="2669"/>
      <c r="F599" s="719" t="s">
        <v>636</v>
      </c>
      <c r="G599" s="727">
        <v>94</v>
      </c>
      <c r="H599" s="564"/>
      <c r="I599" s="727">
        <v>94</v>
      </c>
      <c r="J599" s="501"/>
      <c r="K599" s="564"/>
      <c r="L599" s="505">
        <v>14277.44</v>
      </c>
      <c r="M599" s="564"/>
      <c r="N599" s="720">
        <v>390059.77</v>
      </c>
      <c r="AF599" s="716"/>
      <c r="AG599" s="481"/>
      <c r="AI599" s="481"/>
      <c r="AL599" s="491" t="s">
        <v>2626</v>
      </c>
      <c r="AN599" s="481"/>
      <c r="AO599" s="746"/>
      <c r="AP599" s="746"/>
      <c r="AQ599" s="699"/>
      <c r="AR599" s="699"/>
      <c r="AS599" s="699"/>
      <c r="AT599" s="699"/>
      <c r="AU599" s="699"/>
      <c r="AV599" s="481"/>
      <c r="AX599" s="481"/>
    </row>
    <row r="600" spans="1:50" s="454" customFormat="1" ht="15" x14ac:dyDescent="0.25">
      <c r="A600" s="721"/>
      <c r="B600" s="490" t="s">
        <v>2627</v>
      </c>
      <c r="C600" s="2669" t="s">
        <v>2628</v>
      </c>
      <c r="D600" s="2669"/>
      <c r="E600" s="2669"/>
      <c r="F600" s="719" t="s">
        <v>636</v>
      </c>
      <c r="G600" s="727">
        <v>52</v>
      </c>
      <c r="H600" s="564"/>
      <c r="I600" s="727">
        <v>52</v>
      </c>
      <c r="J600" s="501"/>
      <c r="K600" s="564"/>
      <c r="L600" s="505">
        <v>7898.16</v>
      </c>
      <c r="M600" s="564"/>
      <c r="N600" s="720">
        <v>215777.74</v>
      </c>
      <c r="AF600" s="716"/>
      <c r="AG600" s="481"/>
      <c r="AI600" s="481"/>
      <c r="AL600" s="491" t="s">
        <v>2628</v>
      </c>
      <c r="AN600" s="481"/>
      <c r="AO600" s="746"/>
      <c r="AP600" s="746"/>
      <c r="AQ600" s="699"/>
      <c r="AR600" s="699"/>
      <c r="AS600" s="699"/>
      <c r="AT600" s="699"/>
      <c r="AU600" s="699"/>
      <c r="AV600" s="481"/>
      <c r="AX600" s="481"/>
    </row>
    <row r="601" spans="1:50" s="454" customFormat="1" ht="15" x14ac:dyDescent="0.25">
      <c r="A601" s="526"/>
      <c r="B601" s="567"/>
      <c r="C601" s="2722" t="s">
        <v>872</v>
      </c>
      <c r="D601" s="2722"/>
      <c r="E601" s="2722"/>
      <c r="F601" s="483"/>
      <c r="G601" s="484"/>
      <c r="H601" s="484"/>
      <c r="I601" s="484"/>
      <c r="J601" s="487"/>
      <c r="K601" s="484"/>
      <c r="L601" s="524">
        <v>80807.56</v>
      </c>
      <c r="M601" s="563"/>
      <c r="N601" s="525">
        <v>1376182.93</v>
      </c>
      <c r="AF601" s="716"/>
      <c r="AG601" s="481"/>
      <c r="AI601" s="481"/>
      <c r="AN601" s="481" t="s">
        <v>872</v>
      </c>
      <c r="AO601" s="746"/>
      <c r="AP601" s="746"/>
      <c r="AQ601" s="699"/>
      <c r="AR601" s="699"/>
      <c r="AS601" s="699"/>
      <c r="AT601" s="699"/>
      <c r="AU601" s="699"/>
      <c r="AV601" s="481"/>
      <c r="AX601" s="481"/>
    </row>
    <row r="602" spans="1:50" s="454" customFormat="1" ht="34.5" x14ac:dyDescent="0.25">
      <c r="A602" s="482" t="s">
        <v>1371</v>
      </c>
      <c r="B602" s="568" t="s">
        <v>2629</v>
      </c>
      <c r="C602" s="2722" t="s">
        <v>2630</v>
      </c>
      <c r="D602" s="2722"/>
      <c r="E602" s="2722"/>
      <c r="F602" s="483" t="s">
        <v>801</v>
      </c>
      <c r="G602" s="484">
        <v>47.52</v>
      </c>
      <c r="H602" s="485">
        <v>1</v>
      </c>
      <c r="I602" s="732">
        <v>47.52</v>
      </c>
      <c r="J602" s="527">
        <v>480</v>
      </c>
      <c r="K602" s="484"/>
      <c r="L602" s="524">
        <v>22809.599999999999</v>
      </c>
      <c r="M602" s="732">
        <v>7.72</v>
      </c>
      <c r="N602" s="525">
        <v>176090.11</v>
      </c>
      <c r="AF602" s="716"/>
      <c r="AG602" s="481"/>
      <c r="AI602" s="481" t="s">
        <v>2630</v>
      </c>
      <c r="AN602" s="481"/>
      <c r="AO602" s="746"/>
      <c r="AP602" s="746"/>
      <c r="AQ602" s="699"/>
      <c r="AR602" s="699"/>
      <c r="AS602" s="699"/>
      <c r="AT602" s="699"/>
      <c r="AU602" s="699"/>
      <c r="AV602" s="481"/>
      <c r="AX602" s="481"/>
    </row>
    <row r="603" spans="1:50" s="454" customFormat="1" ht="15" x14ac:dyDescent="0.25">
      <c r="A603" s="526"/>
      <c r="B603" s="567"/>
      <c r="C603" s="2722" t="s">
        <v>872</v>
      </c>
      <c r="D603" s="2722"/>
      <c r="E603" s="2722"/>
      <c r="F603" s="483"/>
      <c r="G603" s="484"/>
      <c r="H603" s="484"/>
      <c r="I603" s="484"/>
      <c r="J603" s="487"/>
      <c r="K603" s="484"/>
      <c r="L603" s="524">
        <v>22809.599999999999</v>
      </c>
      <c r="M603" s="563"/>
      <c r="N603" s="525">
        <v>176090.11</v>
      </c>
      <c r="AF603" s="716"/>
      <c r="AG603" s="481"/>
      <c r="AI603" s="481"/>
      <c r="AN603" s="481" t="s">
        <v>872</v>
      </c>
      <c r="AO603" s="746"/>
      <c r="AP603" s="746"/>
      <c r="AQ603" s="699"/>
      <c r="AR603" s="699"/>
      <c r="AS603" s="699"/>
      <c r="AT603" s="699"/>
      <c r="AU603" s="699"/>
      <c r="AV603" s="481"/>
      <c r="AX603" s="481"/>
    </row>
    <row r="604" spans="1:50" s="454" customFormat="1" ht="15" x14ac:dyDescent="0.25">
      <c r="A604" s="482" t="s">
        <v>1374</v>
      </c>
      <c r="B604" s="568" t="s">
        <v>2631</v>
      </c>
      <c r="C604" s="2722" t="s">
        <v>2632</v>
      </c>
      <c r="D604" s="2722"/>
      <c r="E604" s="2722"/>
      <c r="F604" s="483" t="s">
        <v>835</v>
      </c>
      <c r="G604" s="484">
        <v>1440</v>
      </c>
      <c r="H604" s="485">
        <v>1</v>
      </c>
      <c r="I604" s="485">
        <v>1440</v>
      </c>
      <c r="J604" s="527">
        <v>3.85</v>
      </c>
      <c r="K604" s="484"/>
      <c r="L604" s="524">
        <v>5544</v>
      </c>
      <c r="M604" s="732">
        <v>7.72</v>
      </c>
      <c r="N604" s="525">
        <v>42799.68</v>
      </c>
      <c r="AF604" s="716"/>
      <c r="AG604" s="481"/>
      <c r="AI604" s="481" t="s">
        <v>2632</v>
      </c>
      <c r="AN604" s="481"/>
      <c r="AO604" s="746"/>
      <c r="AP604" s="746"/>
      <c r="AQ604" s="699"/>
      <c r="AR604" s="699"/>
      <c r="AS604" s="699"/>
      <c r="AT604" s="699"/>
      <c r="AU604" s="699"/>
      <c r="AV604" s="481"/>
      <c r="AX604" s="481"/>
    </row>
    <row r="605" spans="1:50" s="454" customFormat="1" ht="15" x14ac:dyDescent="0.25">
      <c r="A605" s="526"/>
      <c r="B605" s="567"/>
      <c r="C605" s="2722" t="s">
        <v>872</v>
      </c>
      <c r="D605" s="2722"/>
      <c r="E605" s="2722"/>
      <c r="F605" s="483"/>
      <c r="G605" s="484"/>
      <c r="H605" s="484"/>
      <c r="I605" s="484"/>
      <c r="J605" s="487"/>
      <c r="K605" s="484"/>
      <c r="L605" s="524">
        <v>5544</v>
      </c>
      <c r="M605" s="563"/>
      <c r="N605" s="525">
        <v>42799.68</v>
      </c>
      <c r="AF605" s="716"/>
      <c r="AG605" s="481"/>
      <c r="AI605" s="481"/>
      <c r="AN605" s="481" t="s">
        <v>872</v>
      </c>
      <c r="AO605" s="746"/>
      <c r="AP605" s="746"/>
      <c r="AQ605" s="699"/>
      <c r="AR605" s="699"/>
      <c r="AS605" s="699"/>
      <c r="AT605" s="699"/>
      <c r="AU605" s="699"/>
      <c r="AV605" s="481"/>
      <c r="AX605" s="481"/>
    </row>
    <row r="606" spans="1:50" s="454" customFormat="1" ht="15" x14ac:dyDescent="0.25">
      <c r="A606" s="482" t="s">
        <v>1377</v>
      </c>
      <c r="B606" s="568" t="s">
        <v>2633</v>
      </c>
      <c r="C606" s="2722" t="s">
        <v>2634</v>
      </c>
      <c r="D606" s="2722"/>
      <c r="E606" s="2722"/>
      <c r="F606" s="483" t="s">
        <v>832</v>
      </c>
      <c r="G606" s="484">
        <v>27.216000000000001</v>
      </c>
      <c r="H606" s="485">
        <v>1</v>
      </c>
      <c r="I606" s="731">
        <v>27.216000000000001</v>
      </c>
      <c r="J606" s="527">
        <v>2.44</v>
      </c>
      <c r="K606" s="484"/>
      <c r="L606" s="527">
        <v>66.41</v>
      </c>
      <c r="M606" s="732">
        <v>7.72</v>
      </c>
      <c r="N606" s="734">
        <v>512.69000000000005</v>
      </c>
      <c r="AF606" s="716"/>
      <c r="AG606" s="481"/>
      <c r="AI606" s="481" t="s">
        <v>2634</v>
      </c>
      <c r="AN606" s="481"/>
      <c r="AO606" s="746"/>
      <c r="AP606" s="746"/>
      <c r="AQ606" s="699"/>
      <c r="AR606" s="699"/>
      <c r="AS606" s="699"/>
      <c r="AT606" s="699"/>
      <c r="AU606" s="699"/>
      <c r="AV606" s="481"/>
      <c r="AX606" s="481"/>
    </row>
    <row r="607" spans="1:50" s="454" customFormat="1" ht="15" x14ac:dyDescent="0.25">
      <c r="A607" s="526"/>
      <c r="B607" s="567"/>
      <c r="C607" s="2722" t="s">
        <v>872</v>
      </c>
      <c r="D607" s="2722"/>
      <c r="E607" s="2722"/>
      <c r="F607" s="483"/>
      <c r="G607" s="484"/>
      <c r="H607" s="484"/>
      <c r="I607" s="484"/>
      <c r="J607" s="487"/>
      <c r="K607" s="484"/>
      <c r="L607" s="527">
        <v>66.41</v>
      </c>
      <c r="M607" s="563"/>
      <c r="N607" s="734">
        <v>512.69000000000005</v>
      </c>
      <c r="AF607" s="716"/>
      <c r="AG607" s="481"/>
      <c r="AI607" s="481"/>
      <c r="AN607" s="481" t="s">
        <v>872</v>
      </c>
      <c r="AO607" s="746"/>
      <c r="AP607" s="746"/>
      <c r="AQ607" s="699"/>
      <c r="AR607" s="699"/>
      <c r="AS607" s="699"/>
      <c r="AT607" s="699"/>
      <c r="AU607" s="699"/>
      <c r="AV607" s="481"/>
      <c r="AX607" s="481"/>
    </row>
    <row r="608" spans="1:50" s="454" customFormat="1" ht="23.25" x14ac:dyDescent="0.25">
      <c r="A608" s="482" t="s">
        <v>1379</v>
      </c>
      <c r="B608" s="568" t="s">
        <v>2635</v>
      </c>
      <c r="C608" s="2722" t="s">
        <v>2636</v>
      </c>
      <c r="D608" s="2722"/>
      <c r="E608" s="2722"/>
      <c r="F608" s="483" t="s">
        <v>2637</v>
      </c>
      <c r="G608" s="484">
        <v>216</v>
      </c>
      <c r="H608" s="485">
        <v>1</v>
      </c>
      <c r="I608" s="485">
        <v>216</v>
      </c>
      <c r="J608" s="487"/>
      <c r="K608" s="484"/>
      <c r="L608" s="487"/>
      <c r="M608" s="484"/>
      <c r="N608" s="488"/>
      <c r="AF608" s="716"/>
      <c r="AG608" s="481"/>
      <c r="AI608" s="481" t="s">
        <v>2636</v>
      </c>
      <c r="AN608" s="481"/>
      <c r="AO608" s="746"/>
      <c r="AP608" s="746"/>
      <c r="AQ608" s="699"/>
      <c r="AR608" s="699"/>
      <c r="AS608" s="699"/>
      <c r="AT608" s="699"/>
      <c r="AU608" s="699"/>
      <c r="AV608" s="481"/>
      <c r="AX608" s="481"/>
    </row>
    <row r="609" spans="1:50" s="454" customFormat="1" ht="33.75" x14ac:dyDescent="0.25">
      <c r="A609" s="489"/>
      <c r="B609" s="490" t="s">
        <v>1655</v>
      </c>
      <c r="C609" s="2709" t="s">
        <v>1656</v>
      </c>
      <c r="D609" s="2709"/>
      <c r="E609" s="2709"/>
      <c r="F609" s="2709"/>
      <c r="G609" s="2709"/>
      <c r="H609" s="2709"/>
      <c r="I609" s="2709"/>
      <c r="J609" s="2709"/>
      <c r="K609" s="2709"/>
      <c r="L609" s="2709"/>
      <c r="M609" s="2709"/>
      <c r="N609" s="2710"/>
      <c r="AF609" s="716"/>
      <c r="AG609" s="481"/>
      <c r="AI609" s="481"/>
      <c r="AJ609" s="491" t="s">
        <v>1656</v>
      </c>
      <c r="AN609" s="481"/>
      <c r="AO609" s="746"/>
      <c r="AP609" s="746"/>
      <c r="AQ609" s="699"/>
      <c r="AR609" s="699"/>
      <c r="AS609" s="699"/>
      <c r="AT609" s="699"/>
      <c r="AU609" s="699"/>
      <c r="AV609" s="481"/>
      <c r="AX609" s="481"/>
    </row>
    <row r="610" spans="1:50" s="454" customFormat="1" ht="15" x14ac:dyDescent="0.25">
      <c r="A610" s="718"/>
      <c r="B610" s="490" t="s">
        <v>190</v>
      </c>
      <c r="C610" s="2669" t="s">
        <v>2523</v>
      </c>
      <c r="D610" s="2669"/>
      <c r="E610" s="2669"/>
      <c r="F610" s="719"/>
      <c r="G610" s="564"/>
      <c r="H610" s="564"/>
      <c r="I610" s="564"/>
      <c r="J610" s="510">
        <v>1.54</v>
      </c>
      <c r="K610" s="511">
        <v>1.5</v>
      </c>
      <c r="L610" s="510">
        <v>498.96</v>
      </c>
      <c r="M610" s="506">
        <v>27.32</v>
      </c>
      <c r="N610" s="720">
        <v>13631.59</v>
      </c>
      <c r="AF610" s="716"/>
      <c r="AG610" s="481"/>
      <c r="AI610" s="481"/>
      <c r="AK610" s="491" t="s">
        <v>2523</v>
      </c>
      <c r="AN610" s="481"/>
      <c r="AO610" s="746"/>
      <c r="AP610" s="746"/>
      <c r="AQ610" s="699"/>
      <c r="AR610" s="699"/>
      <c r="AS610" s="699"/>
      <c r="AT610" s="699"/>
      <c r="AU610" s="699"/>
      <c r="AV610" s="481"/>
      <c r="AX610" s="481"/>
    </row>
    <row r="611" spans="1:50" s="454" customFormat="1" ht="15" x14ac:dyDescent="0.25">
      <c r="A611" s="718"/>
      <c r="B611" s="490" t="s">
        <v>639</v>
      </c>
      <c r="C611" s="2669" t="s">
        <v>697</v>
      </c>
      <c r="D611" s="2669"/>
      <c r="E611" s="2669"/>
      <c r="F611" s="719"/>
      <c r="G611" s="564"/>
      <c r="H611" s="564"/>
      <c r="I611" s="564"/>
      <c r="J611" s="510">
        <v>1.49</v>
      </c>
      <c r="K611" s="511">
        <v>1.5</v>
      </c>
      <c r="L611" s="510">
        <v>482.76</v>
      </c>
      <c r="M611" s="506">
        <v>10.92</v>
      </c>
      <c r="N611" s="720">
        <v>5271.74</v>
      </c>
      <c r="AF611" s="716"/>
      <c r="AG611" s="481"/>
      <c r="AI611" s="481"/>
      <c r="AK611" s="491" t="s">
        <v>697</v>
      </c>
      <c r="AN611" s="481"/>
      <c r="AO611" s="746"/>
      <c r="AP611" s="746"/>
      <c r="AQ611" s="699"/>
      <c r="AR611" s="699"/>
      <c r="AS611" s="699"/>
      <c r="AT611" s="699"/>
      <c r="AU611" s="699"/>
      <c r="AV611" s="481"/>
      <c r="AX611" s="481"/>
    </row>
    <row r="612" spans="1:50" s="454" customFormat="1" ht="15" x14ac:dyDescent="0.25">
      <c r="A612" s="718"/>
      <c r="B612" s="490" t="s">
        <v>640</v>
      </c>
      <c r="C612" s="2669" t="s">
        <v>2500</v>
      </c>
      <c r="D612" s="2669"/>
      <c r="E612" s="2669"/>
      <c r="F612" s="719"/>
      <c r="G612" s="564"/>
      <c r="H612" s="564"/>
      <c r="I612" s="564"/>
      <c r="J612" s="510">
        <v>0.23</v>
      </c>
      <c r="K612" s="511">
        <v>1.5</v>
      </c>
      <c r="L612" s="510">
        <v>74.52</v>
      </c>
      <c r="M612" s="506">
        <v>27.32</v>
      </c>
      <c r="N612" s="720">
        <v>2035.89</v>
      </c>
      <c r="AF612" s="716"/>
      <c r="AG612" s="481"/>
      <c r="AI612" s="481"/>
      <c r="AK612" s="491" t="s">
        <v>2500</v>
      </c>
      <c r="AN612" s="481"/>
      <c r="AO612" s="746"/>
      <c r="AP612" s="746"/>
      <c r="AQ612" s="699"/>
      <c r="AR612" s="699"/>
      <c r="AS612" s="699"/>
      <c r="AT612" s="699"/>
      <c r="AU612" s="699"/>
      <c r="AV612" s="481"/>
      <c r="AX612" s="481"/>
    </row>
    <row r="613" spans="1:50" s="454" customFormat="1" ht="15" x14ac:dyDescent="0.25">
      <c r="A613" s="718"/>
      <c r="B613" s="490" t="s">
        <v>232</v>
      </c>
      <c r="C613" s="2669" t="s">
        <v>829</v>
      </c>
      <c r="D613" s="2669"/>
      <c r="E613" s="2669"/>
      <c r="F613" s="719"/>
      <c r="G613" s="564"/>
      <c r="H613" s="564"/>
      <c r="I613" s="564"/>
      <c r="J613" s="510">
        <v>1.1100000000000001</v>
      </c>
      <c r="K613" s="564"/>
      <c r="L613" s="510">
        <v>239.76</v>
      </c>
      <c r="M613" s="506">
        <v>7.72</v>
      </c>
      <c r="N613" s="720">
        <v>1850.95</v>
      </c>
      <c r="AF613" s="716"/>
      <c r="AG613" s="481"/>
      <c r="AI613" s="481"/>
      <c r="AK613" s="491" t="s">
        <v>829</v>
      </c>
      <c r="AN613" s="481"/>
      <c r="AO613" s="746"/>
      <c r="AP613" s="746"/>
      <c r="AQ613" s="699"/>
      <c r="AR613" s="699"/>
      <c r="AS613" s="699"/>
      <c r="AT613" s="699"/>
      <c r="AU613" s="699"/>
      <c r="AV613" s="481"/>
      <c r="AX613" s="481"/>
    </row>
    <row r="614" spans="1:50" s="454" customFormat="1" ht="15" x14ac:dyDescent="0.25">
      <c r="A614" s="721"/>
      <c r="B614" s="490"/>
      <c r="C614" s="2669" t="s">
        <v>2524</v>
      </c>
      <c r="D614" s="2669"/>
      <c r="E614" s="2669"/>
      <c r="F614" s="719" t="s">
        <v>807</v>
      </c>
      <c r="G614" s="506">
        <v>0.17</v>
      </c>
      <c r="H614" s="511">
        <v>1.5</v>
      </c>
      <c r="I614" s="506">
        <v>55.08</v>
      </c>
      <c r="J614" s="501"/>
      <c r="K614" s="564"/>
      <c r="L614" s="501"/>
      <c r="M614" s="564"/>
      <c r="N614" s="723"/>
      <c r="AF614" s="716"/>
      <c r="AG614" s="481"/>
      <c r="AI614" s="481"/>
      <c r="AL614" s="491" t="s">
        <v>2524</v>
      </c>
      <c r="AN614" s="481"/>
      <c r="AO614" s="746"/>
      <c r="AP614" s="746"/>
      <c r="AQ614" s="699"/>
      <c r="AR614" s="699"/>
      <c r="AS614" s="699"/>
      <c r="AT614" s="699"/>
      <c r="AU614" s="699"/>
      <c r="AV614" s="481"/>
      <c r="AX614" s="481"/>
    </row>
    <row r="615" spans="1:50" s="454" customFormat="1" ht="15" x14ac:dyDescent="0.25">
      <c r="A615" s="721"/>
      <c r="B615" s="490"/>
      <c r="C615" s="2669" t="s">
        <v>2501</v>
      </c>
      <c r="D615" s="2669"/>
      <c r="E615" s="2669"/>
      <c r="F615" s="719" t="s">
        <v>807</v>
      </c>
      <c r="G615" s="506">
        <v>0.02</v>
      </c>
      <c r="H615" s="511">
        <v>1.5</v>
      </c>
      <c r="I615" s="506">
        <v>6.48</v>
      </c>
      <c r="J615" s="501"/>
      <c r="K615" s="564"/>
      <c r="L615" s="501"/>
      <c r="M615" s="564"/>
      <c r="N615" s="723"/>
      <c r="AF615" s="716"/>
      <c r="AG615" s="481"/>
      <c r="AI615" s="481"/>
      <c r="AL615" s="491" t="s">
        <v>2501</v>
      </c>
      <c r="AN615" s="481"/>
      <c r="AO615" s="746"/>
      <c r="AP615" s="746"/>
      <c r="AQ615" s="699"/>
      <c r="AR615" s="699"/>
      <c r="AS615" s="699"/>
      <c r="AT615" s="699"/>
      <c r="AU615" s="699"/>
      <c r="AV615" s="481"/>
      <c r="AX615" s="481"/>
    </row>
    <row r="616" spans="1:50" s="454" customFormat="1" ht="15" x14ac:dyDescent="0.25">
      <c r="A616" s="718"/>
      <c r="B616" s="490"/>
      <c r="C616" s="2711" t="s">
        <v>2502</v>
      </c>
      <c r="D616" s="2711"/>
      <c r="E616" s="2711"/>
      <c r="F616" s="724"/>
      <c r="G616" s="563"/>
      <c r="H616" s="563"/>
      <c r="I616" s="563"/>
      <c r="J616" s="729">
        <v>4.1399999999999997</v>
      </c>
      <c r="K616" s="563"/>
      <c r="L616" s="725">
        <v>1221.48</v>
      </c>
      <c r="M616" s="563"/>
      <c r="N616" s="726">
        <v>20754.28</v>
      </c>
      <c r="AF616" s="716"/>
      <c r="AG616" s="481"/>
      <c r="AI616" s="481"/>
      <c r="AM616" s="491" t="s">
        <v>2502</v>
      </c>
      <c r="AN616" s="481"/>
      <c r="AO616" s="746"/>
      <c r="AP616" s="746"/>
      <c r="AQ616" s="699"/>
      <c r="AR616" s="699"/>
      <c r="AS616" s="699"/>
      <c r="AT616" s="699"/>
      <c r="AU616" s="699"/>
      <c r="AV616" s="481"/>
      <c r="AX616" s="481"/>
    </row>
    <row r="617" spans="1:50" s="454" customFormat="1" ht="15" x14ac:dyDescent="0.25">
      <c r="A617" s="721"/>
      <c r="B617" s="490"/>
      <c r="C617" s="2669" t="s">
        <v>867</v>
      </c>
      <c r="D617" s="2669"/>
      <c r="E617" s="2669"/>
      <c r="F617" s="719"/>
      <c r="G617" s="564"/>
      <c r="H617" s="564"/>
      <c r="I617" s="564"/>
      <c r="J617" s="501"/>
      <c r="K617" s="564"/>
      <c r="L617" s="510">
        <v>573.48</v>
      </c>
      <c r="M617" s="564"/>
      <c r="N617" s="720">
        <v>15667.48</v>
      </c>
      <c r="AF617" s="716"/>
      <c r="AG617" s="481"/>
      <c r="AI617" s="481"/>
      <c r="AL617" s="491" t="s">
        <v>867</v>
      </c>
      <c r="AN617" s="481"/>
      <c r="AO617" s="746"/>
      <c r="AP617" s="746"/>
      <c r="AQ617" s="699"/>
      <c r="AR617" s="699"/>
      <c r="AS617" s="699"/>
      <c r="AT617" s="699"/>
      <c r="AU617" s="699"/>
      <c r="AV617" s="481"/>
      <c r="AX617" s="481"/>
    </row>
    <row r="618" spans="1:50" s="454" customFormat="1" ht="15" x14ac:dyDescent="0.25">
      <c r="A618" s="721"/>
      <c r="B618" s="490" t="s">
        <v>2589</v>
      </c>
      <c r="C618" s="2669" t="s">
        <v>2590</v>
      </c>
      <c r="D618" s="2669"/>
      <c r="E618" s="2669"/>
      <c r="F618" s="719" t="s">
        <v>636</v>
      </c>
      <c r="G618" s="727">
        <v>106</v>
      </c>
      <c r="H618" s="564"/>
      <c r="I618" s="727">
        <v>106</v>
      </c>
      <c r="J618" s="501"/>
      <c r="K618" s="564"/>
      <c r="L618" s="510">
        <v>607.89</v>
      </c>
      <c r="M618" s="564"/>
      <c r="N618" s="720">
        <v>16607.53</v>
      </c>
      <c r="AF618" s="716"/>
      <c r="AG618" s="481"/>
      <c r="AI618" s="481"/>
      <c r="AL618" s="491" t="s">
        <v>2590</v>
      </c>
      <c r="AN618" s="481"/>
      <c r="AO618" s="746"/>
      <c r="AP618" s="746"/>
      <c r="AQ618" s="699"/>
      <c r="AR618" s="699"/>
      <c r="AS618" s="699"/>
      <c r="AT618" s="699"/>
      <c r="AU618" s="699"/>
      <c r="AV618" s="481"/>
      <c r="AX618" s="481"/>
    </row>
    <row r="619" spans="1:50" s="454" customFormat="1" ht="15" x14ac:dyDescent="0.25">
      <c r="A619" s="721"/>
      <c r="B619" s="490" t="s">
        <v>2591</v>
      </c>
      <c r="C619" s="2669" t="s">
        <v>2592</v>
      </c>
      <c r="D619" s="2669"/>
      <c r="E619" s="2669"/>
      <c r="F619" s="719" t="s">
        <v>636</v>
      </c>
      <c r="G619" s="727">
        <v>45</v>
      </c>
      <c r="H619" s="564"/>
      <c r="I619" s="727">
        <v>45</v>
      </c>
      <c r="J619" s="501"/>
      <c r="K619" s="564"/>
      <c r="L619" s="510">
        <v>258.07</v>
      </c>
      <c r="M619" s="564"/>
      <c r="N619" s="720">
        <v>7050.37</v>
      </c>
      <c r="AF619" s="716"/>
      <c r="AG619" s="481"/>
      <c r="AI619" s="481"/>
      <c r="AL619" s="491" t="s">
        <v>2592</v>
      </c>
      <c r="AN619" s="481"/>
      <c r="AO619" s="746"/>
      <c r="AP619" s="746"/>
      <c r="AQ619" s="699"/>
      <c r="AR619" s="699"/>
      <c r="AS619" s="699"/>
      <c r="AT619" s="699"/>
      <c r="AU619" s="699"/>
      <c r="AV619" s="481"/>
      <c r="AX619" s="481"/>
    </row>
    <row r="620" spans="1:50" s="454" customFormat="1" ht="15" x14ac:dyDescent="0.25">
      <c r="A620" s="526"/>
      <c r="B620" s="567"/>
      <c r="C620" s="2722" t="s">
        <v>872</v>
      </c>
      <c r="D620" s="2722"/>
      <c r="E620" s="2722"/>
      <c r="F620" s="483"/>
      <c r="G620" s="484"/>
      <c r="H620" s="484"/>
      <c r="I620" s="484"/>
      <c r="J620" s="487"/>
      <c r="K620" s="484"/>
      <c r="L620" s="524">
        <v>2087.44</v>
      </c>
      <c r="M620" s="563"/>
      <c r="N620" s="525">
        <v>44412.18</v>
      </c>
      <c r="AF620" s="716"/>
      <c r="AG620" s="481"/>
      <c r="AI620" s="481"/>
      <c r="AN620" s="481" t="s">
        <v>872</v>
      </c>
      <c r="AO620" s="746"/>
      <c r="AP620" s="746"/>
      <c r="AQ620" s="699"/>
      <c r="AR620" s="699"/>
      <c r="AS620" s="699"/>
      <c r="AT620" s="699"/>
      <c r="AU620" s="699"/>
      <c r="AV620" s="481"/>
      <c r="AX620" s="481"/>
    </row>
    <row r="621" spans="1:50" s="454" customFormat="1" ht="15" x14ac:dyDescent="0.25">
      <c r="A621" s="2716" t="s">
        <v>2656</v>
      </c>
      <c r="B621" s="2717"/>
      <c r="C621" s="2717"/>
      <c r="D621" s="2717"/>
      <c r="E621" s="2717"/>
      <c r="F621" s="2717"/>
      <c r="G621" s="2717"/>
      <c r="H621" s="2717"/>
      <c r="I621" s="2717"/>
      <c r="J621" s="2717"/>
      <c r="K621" s="2717"/>
      <c r="L621" s="2717"/>
      <c r="M621" s="2717"/>
      <c r="N621" s="2718"/>
      <c r="AF621" s="716"/>
      <c r="AG621" s="481" t="s">
        <v>2656</v>
      </c>
      <c r="AI621" s="481"/>
      <c r="AN621" s="481"/>
      <c r="AO621" s="746"/>
      <c r="AP621" s="746"/>
      <c r="AQ621" s="699"/>
      <c r="AR621" s="699"/>
      <c r="AS621" s="699"/>
      <c r="AT621" s="699"/>
      <c r="AU621" s="699"/>
      <c r="AV621" s="481"/>
      <c r="AX621" s="481"/>
    </row>
    <row r="622" spans="1:50" s="454" customFormat="1" ht="23.25" x14ac:dyDescent="0.25">
      <c r="A622" s="482" t="s">
        <v>1381</v>
      </c>
      <c r="B622" s="568" t="s">
        <v>2569</v>
      </c>
      <c r="C622" s="2722" t="s">
        <v>2570</v>
      </c>
      <c r="D622" s="2722"/>
      <c r="E622" s="2722"/>
      <c r="F622" s="483" t="s">
        <v>832</v>
      </c>
      <c r="G622" s="484">
        <v>10.44</v>
      </c>
      <c r="H622" s="485">
        <v>1</v>
      </c>
      <c r="I622" s="732">
        <v>10.44</v>
      </c>
      <c r="J622" s="487"/>
      <c r="K622" s="484"/>
      <c r="L622" s="487"/>
      <c r="M622" s="484"/>
      <c r="N622" s="488"/>
      <c r="AF622" s="716"/>
      <c r="AG622" s="481"/>
      <c r="AI622" s="481" t="s">
        <v>2570</v>
      </c>
      <c r="AN622" s="481"/>
      <c r="AO622" s="746"/>
      <c r="AP622" s="746"/>
      <c r="AQ622" s="699"/>
      <c r="AR622" s="699"/>
      <c r="AS622" s="699"/>
      <c r="AT622" s="699"/>
      <c r="AU622" s="699"/>
      <c r="AV622" s="481"/>
      <c r="AX622" s="481"/>
    </row>
    <row r="623" spans="1:50" s="454" customFormat="1" ht="33.75" x14ac:dyDescent="0.25">
      <c r="A623" s="489"/>
      <c r="B623" s="490" t="s">
        <v>1655</v>
      </c>
      <c r="C623" s="2709" t="s">
        <v>1656</v>
      </c>
      <c r="D623" s="2709"/>
      <c r="E623" s="2709"/>
      <c r="F623" s="2709"/>
      <c r="G623" s="2709"/>
      <c r="H623" s="2709"/>
      <c r="I623" s="2709"/>
      <c r="J623" s="2709"/>
      <c r="K623" s="2709"/>
      <c r="L623" s="2709"/>
      <c r="M623" s="2709"/>
      <c r="N623" s="2710"/>
      <c r="AF623" s="716"/>
      <c r="AG623" s="481"/>
      <c r="AI623" s="481"/>
      <c r="AJ623" s="491" t="s">
        <v>1656</v>
      </c>
      <c r="AN623" s="481"/>
      <c r="AO623" s="746"/>
      <c r="AP623" s="746"/>
      <c r="AQ623" s="699"/>
      <c r="AR623" s="699"/>
      <c r="AS623" s="699"/>
      <c r="AT623" s="699"/>
      <c r="AU623" s="699"/>
      <c r="AV623" s="481"/>
      <c r="AX623" s="481"/>
    </row>
    <row r="624" spans="1:50" s="454" customFormat="1" ht="15" x14ac:dyDescent="0.25">
      <c r="A624" s="718"/>
      <c r="B624" s="490" t="s">
        <v>190</v>
      </c>
      <c r="C624" s="2669" t="s">
        <v>2523</v>
      </c>
      <c r="D624" s="2669"/>
      <c r="E624" s="2669"/>
      <c r="F624" s="719"/>
      <c r="G624" s="564"/>
      <c r="H624" s="564"/>
      <c r="I624" s="564"/>
      <c r="J624" s="510">
        <v>6.75</v>
      </c>
      <c r="K624" s="511">
        <v>1.5</v>
      </c>
      <c r="L624" s="510">
        <v>105.71</v>
      </c>
      <c r="M624" s="506">
        <v>27.32</v>
      </c>
      <c r="N624" s="720">
        <v>2888</v>
      </c>
      <c r="AF624" s="716"/>
      <c r="AG624" s="481"/>
      <c r="AI624" s="481"/>
      <c r="AK624" s="491" t="s">
        <v>2523</v>
      </c>
      <c r="AN624" s="481"/>
      <c r="AO624" s="746"/>
      <c r="AP624" s="746"/>
      <c r="AQ624" s="699"/>
      <c r="AR624" s="699"/>
      <c r="AS624" s="699"/>
      <c r="AT624" s="699"/>
      <c r="AU624" s="699"/>
      <c r="AV624" s="481"/>
      <c r="AX624" s="481"/>
    </row>
    <row r="625" spans="1:50" s="454" customFormat="1" ht="15" x14ac:dyDescent="0.25">
      <c r="A625" s="718"/>
      <c r="B625" s="490" t="s">
        <v>639</v>
      </c>
      <c r="C625" s="2669" t="s">
        <v>697</v>
      </c>
      <c r="D625" s="2669"/>
      <c r="E625" s="2669"/>
      <c r="F625" s="719"/>
      <c r="G625" s="564"/>
      <c r="H625" s="564"/>
      <c r="I625" s="564"/>
      <c r="J625" s="510">
        <v>8.2899999999999991</v>
      </c>
      <c r="K625" s="511">
        <v>1.5</v>
      </c>
      <c r="L625" s="510">
        <v>129.82</v>
      </c>
      <c r="M625" s="506">
        <v>10.92</v>
      </c>
      <c r="N625" s="720">
        <v>1417.63</v>
      </c>
      <c r="AF625" s="716"/>
      <c r="AG625" s="481"/>
      <c r="AI625" s="481"/>
      <c r="AK625" s="491" t="s">
        <v>697</v>
      </c>
      <c r="AN625" s="481"/>
      <c r="AO625" s="746"/>
      <c r="AP625" s="746"/>
      <c r="AQ625" s="699"/>
      <c r="AR625" s="699"/>
      <c r="AS625" s="699"/>
      <c r="AT625" s="699"/>
      <c r="AU625" s="699"/>
      <c r="AV625" s="481"/>
      <c r="AX625" s="481"/>
    </row>
    <row r="626" spans="1:50" s="454" customFormat="1" ht="15" x14ac:dyDescent="0.25">
      <c r="A626" s="718"/>
      <c r="B626" s="490" t="s">
        <v>640</v>
      </c>
      <c r="C626" s="2669" t="s">
        <v>2500</v>
      </c>
      <c r="D626" s="2669"/>
      <c r="E626" s="2669"/>
      <c r="F626" s="719"/>
      <c r="G626" s="564"/>
      <c r="H626" s="564"/>
      <c r="I626" s="564"/>
      <c r="J626" s="510">
        <v>0.81</v>
      </c>
      <c r="K626" s="511">
        <v>1.5</v>
      </c>
      <c r="L626" s="510">
        <v>12.68</v>
      </c>
      <c r="M626" s="506">
        <v>27.32</v>
      </c>
      <c r="N626" s="730">
        <v>346.42</v>
      </c>
      <c r="AF626" s="716"/>
      <c r="AG626" s="481"/>
      <c r="AI626" s="481"/>
      <c r="AK626" s="491" t="s">
        <v>2500</v>
      </c>
      <c r="AN626" s="481"/>
      <c r="AO626" s="746"/>
      <c r="AP626" s="746"/>
      <c r="AQ626" s="699"/>
      <c r="AR626" s="699"/>
      <c r="AS626" s="699"/>
      <c r="AT626" s="699"/>
      <c r="AU626" s="699"/>
      <c r="AV626" s="481"/>
      <c r="AX626" s="481"/>
    </row>
    <row r="627" spans="1:50" s="454" customFormat="1" ht="15" x14ac:dyDescent="0.25">
      <c r="A627" s="718"/>
      <c r="B627" s="490" t="s">
        <v>232</v>
      </c>
      <c r="C627" s="2669" t="s">
        <v>829</v>
      </c>
      <c r="D627" s="2669"/>
      <c r="E627" s="2669"/>
      <c r="F627" s="719"/>
      <c r="G627" s="564"/>
      <c r="H627" s="564"/>
      <c r="I627" s="564"/>
      <c r="J627" s="510">
        <v>0.37</v>
      </c>
      <c r="K627" s="564"/>
      <c r="L627" s="510">
        <v>3.86</v>
      </c>
      <c r="M627" s="506">
        <v>7.72</v>
      </c>
      <c r="N627" s="730">
        <v>29.8</v>
      </c>
      <c r="AF627" s="716"/>
      <c r="AG627" s="481"/>
      <c r="AI627" s="481"/>
      <c r="AK627" s="491" t="s">
        <v>829</v>
      </c>
      <c r="AN627" s="481"/>
      <c r="AO627" s="746"/>
      <c r="AP627" s="746"/>
      <c r="AQ627" s="699"/>
      <c r="AR627" s="699"/>
      <c r="AS627" s="699"/>
      <c r="AT627" s="699"/>
      <c r="AU627" s="699"/>
      <c r="AV627" s="481"/>
      <c r="AX627" s="481"/>
    </row>
    <row r="628" spans="1:50" s="454" customFormat="1" ht="15" x14ac:dyDescent="0.25">
      <c r="A628" s="721"/>
      <c r="B628" s="490"/>
      <c r="C628" s="2669" t="s">
        <v>2524</v>
      </c>
      <c r="D628" s="2669"/>
      <c r="E628" s="2669"/>
      <c r="F628" s="719" t="s">
        <v>807</v>
      </c>
      <c r="G628" s="506">
        <v>0.85</v>
      </c>
      <c r="H628" s="511">
        <v>1.5</v>
      </c>
      <c r="I628" s="791">
        <v>13.311</v>
      </c>
      <c r="J628" s="501"/>
      <c r="K628" s="564"/>
      <c r="L628" s="501"/>
      <c r="M628" s="564"/>
      <c r="N628" s="723"/>
      <c r="AF628" s="716"/>
      <c r="AG628" s="481"/>
      <c r="AI628" s="481"/>
      <c r="AL628" s="491" t="s">
        <v>2524</v>
      </c>
      <c r="AN628" s="481"/>
      <c r="AO628" s="746"/>
      <c r="AP628" s="746"/>
      <c r="AQ628" s="699"/>
      <c r="AR628" s="699"/>
      <c r="AS628" s="699"/>
      <c r="AT628" s="699"/>
      <c r="AU628" s="699"/>
      <c r="AV628" s="481"/>
      <c r="AX628" s="481"/>
    </row>
    <row r="629" spans="1:50" s="454" customFormat="1" ht="15" x14ac:dyDescent="0.25">
      <c r="A629" s="721"/>
      <c r="B629" s="490"/>
      <c r="C629" s="2669" t="s">
        <v>2501</v>
      </c>
      <c r="D629" s="2669"/>
      <c r="E629" s="2669"/>
      <c r="F629" s="719" t="s">
        <v>807</v>
      </c>
      <c r="G629" s="506">
        <v>7.0000000000000007E-2</v>
      </c>
      <c r="H629" s="511">
        <v>1.5</v>
      </c>
      <c r="I629" s="752">
        <v>1.0962000000000001</v>
      </c>
      <c r="J629" s="501"/>
      <c r="K629" s="564"/>
      <c r="L629" s="501"/>
      <c r="M629" s="564"/>
      <c r="N629" s="723"/>
      <c r="AF629" s="716"/>
      <c r="AG629" s="481"/>
      <c r="AI629" s="481"/>
      <c r="AL629" s="491" t="s">
        <v>2501</v>
      </c>
      <c r="AN629" s="481"/>
      <c r="AO629" s="746"/>
      <c r="AP629" s="746"/>
      <c r="AQ629" s="699"/>
      <c r="AR629" s="699"/>
      <c r="AS629" s="699"/>
      <c r="AT629" s="699"/>
      <c r="AU629" s="699"/>
      <c r="AV629" s="481"/>
      <c r="AX629" s="481"/>
    </row>
    <row r="630" spans="1:50" s="454" customFormat="1" ht="15" x14ac:dyDescent="0.25">
      <c r="A630" s="718"/>
      <c r="B630" s="490"/>
      <c r="C630" s="2711" t="s">
        <v>2502</v>
      </c>
      <c r="D630" s="2711"/>
      <c r="E630" s="2711"/>
      <c r="F630" s="724"/>
      <c r="G630" s="563"/>
      <c r="H630" s="563"/>
      <c r="I630" s="563"/>
      <c r="J630" s="729">
        <v>15.41</v>
      </c>
      <c r="K630" s="563"/>
      <c r="L630" s="729">
        <v>239.39</v>
      </c>
      <c r="M630" s="563"/>
      <c r="N630" s="726">
        <v>4335.43</v>
      </c>
      <c r="AF630" s="716"/>
      <c r="AG630" s="481"/>
      <c r="AI630" s="481"/>
      <c r="AM630" s="491" t="s">
        <v>2502</v>
      </c>
      <c r="AN630" s="481"/>
      <c r="AO630" s="746"/>
      <c r="AP630" s="746"/>
      <c r="AQ630" s="699"/>
      <c r="AR630" s="699"/>
      <c r="AS630" s="699"/>
      <c r="AT630" s="699"/>
      <c r="AU630" s="699"/>
      <c r="AV630" s="481"/>
      <c r="AX630" s="481"/>
    </row>
    <row r="631" spans="1:50" s="454" customFormat="1" ht="15" x14ac:dyDescent="0.25">
      <c r="A631" s="721"/>
      <c r="B631" s="490"/>
      <c r="C631" s="2669" t="s">
        <v>867</v>
      </c>
      <c r="D631" s="2669"/>
      <c r="E631" s="2669"/>
      <c r="F631" s="719"/>
      <c r="G631" s="564"/>
      <c r="H631" s="564"/>
      <c r="I631" s="564"/>
      <c r="J631" s="501"/>
      <c r="K631" s="564"/>
      <c r="L631" s="510">
        <v>118.39</v>
      </c>
      <c r="M631" s="564"/>
      <c r="N631" s="720">
        <v>3234.42</v>
      </c>
      <c r="AF631" s="716"/>
      <c r="AG631" s="481"/>
      <c r="AI631" s="481"/>
      <c r="AL631" s="491" t="s">
        <v>867</v>
      </c>
      <c r="AN631" s="481"/>
      <c r="AO631" s="746"/>
      <c r="AP631" s="746"/>
      <c r="AQ631" s="699"/>
      <c r="AR631" s="699"/>
      <c r="AS631" s="699"/>
      <c r="AT631" s="699"/>
      <c r="AU631" s="699"/>
      <c r="AV631" s="481"/>
      <c r="AX631" s="481"/>
    </row>
    <row r="632" spans="1:50" s="454" customFormat="1" ht="15" x14ac:dyDescent="0.25">
      <c r="A632" s="721"/>
      <c r="B632" s="490" t="s">
        <v>2556</v>
      </c>
      <c r="C632" s="2669" t="s">
        <v>2557</v>
      </c>
      <c r="D632" s="2669"/>
      <c r="E632" s="2669"/>
      <c r="F632" s="719" t="s">
        <v>636</v>
      </c>
      <c r="G632" s="727">
        <v>110</v>
      </c>
      <c r="H632" s="564"/>
      <c r="I632" s="727">
        <v>110</v>
      </c>
      <c r="J632" s="501"/>
      <c r="K632" s="564"/>
      <c r="L632" s="510">
        <v>130.22999999999999</v>
      </c>
      <c r="M632" s="564"/>
      <c r="N632" s="720">
        <v>3557.86</v>
      </c>
      <c r="AF632" s="716"/>
      <c r="AG632" s="481"/>
      <c r="AI632" s="481"/>
      <c r="AL632" s="491" t="s">
        <v>2557</v>
      </c>
      <c r="AN632" s="481"/>
      <c r="AO632" s="746"/>
      <c r="AP632" s="746"/>
      <c r="AQ632" s="699"/>
      <c r="AR632" s="699"/>
      <c r="AS632" s="699"/>
      <c r="AT632" s="699"/>
      <c r="AU632" s="699"/>
      <c r="AV632" s="481"/>
      <c r="AX632" s="481"/>
    </row>
    <row r="633" spans="1:50" s="454" customFormat="1" ht="15" x14ac:dyDescent="0.25">
      <c r="A633" s="721"/>
      <c r="B633" s="490" t="s">
        <v>2558</v>
      </c>
      <c r="C633" s="2669" t="s">
        <v>2559</v>
      </c>
      <c r="D633" s="2669"/>
      <c r="E633" s="2669"/>
      <c r="F633" s="719" t="s">
        <v>636</v>
      </c>
      <c r="G633" s="727">
        <v>69</v>
      </c>
      <c r="H633" s="564"/>
      <c r="I633" s="727">
        <v>69</v>
      </c>
      <c r="J633" s="501"/>
      <c r="K633" s="564"/>
      <c r="L633" s="510">
        <v>81.69</v>
      </c>
      <c r="M633" s="564"/>
      <c r="N633" s="720">
        <v>2231.75</v>
      </c>
      <c r="AF633" s="716"/>
      <c r="AG633" s="481"/>
      <c r="AI633" s="481"/>
      <c r="AL633" s="491" t="s">
        <v>2559</v>
      </c>
      <c r="AN633" s="481"/>
      <c r="AO633" s="746"/>
      <c r="AP633" s="746"/>
      <c r="AQ633" s="699"/>
      <c r="AR633" s="699"/>
      <c r="AS633" s="699"/>
      <c r="AT633" s="699"/>
      <c r="AU633" s="699"/>
      <c r="AV633" s="481"/>
      <c r="AX633" s="481"/>
    </row>
    <row r="634" spans="1:50" s="454" customFormat="1" ht="15" x14ac:dyDescent="0.25">
      <c r="A634" s="526"/>
      <c r="B634" s="567"/>
      <c r="C634" s="2722" t="s">
        <v>872</v>
      </c>
      <c r="D634" s="2722"/>
      <c r="E634" s="2722"/>
      <c r="F634" s="483"/>
      <c r="G634" s="484"/>
      <c r="H634" s="484"/>
      <c r="I634" s="484"/>
      <c r="J634" s="487"/>
      <c r="K634" s="484"/>
      <c r="L634" s="527">
        <v>451.31</v>
      </c>
      <c r="M634" s="563"/>
      <c r="N634" s="525">
        <v>10125.040000000001</v>
      </c>
      <c r="AF634" s="716"/>
      <c r="AG634" s="481"/>
      <c r="AI634" s="481"/>
      <c r="AN634" s="481" t="s">
        <v>872</v>
      </c>
      <c r="AO634" s="746"/>
      <c r="AP634" s="746"/>
      <c r="AQ634" s="699"/>
      <c r="AR634" s="699"/>
      <c r="AS634" s="699"/>
      <c r="AT634" s="699"/>
      <c r="AU634" s="699"/>
      <c r="AV634" s="481"/>
      <c r="AX634" s="481"/>
    </row>
    <row r="635" spans="1:50" s="454" customFormat="1" ht="34.5" x14ac:dyDescent="0.25">
      <c r="A635" s="482" t="s">
        <v>1384</v>
      </c>
      <c r="B635" s="568" t="s">
        <v>2639</v>
      </c>
      <c r="C635" s="2722" t="s">
        <v>2640</v>
      </c>
      <c r="D635" s="2722"/>
      <c r="E635" s="2722"/>
      <c r="F635" s="483" t="s">
        <v>832</v>
      </c>
      <c r="G635" s="484">
        <v>12.006</v>
      </c>
      <c r="H635" s="485">
        <v>1</v>
      </c>
      <c r="I635" s="731">
        <v>12.006</v>
      </c>
      <c r="J635" s="527">
        <v>90.94</v>
      </c>
      <c r="K635" s="484"/>
      <c r="L635" s="524">
        <v>1091.83</v>
      </c>
      <c r="M635" s="732">
        <v>7.72</v>
      </c>
      <c r="N635" s="525">
        <v>8428.93</v>
      </c>
      <c r="AF635" s="716"/>
      <c r="AG635" s="481"/>
      <c r="AI635" s="481" t="s">
        <v>2640</v>
      </c>
      <c r="AN635" s="481"/>
      <c r="AO635" s="746"/>
      <c r="AP635" s="746"/>
      <c r="AQ635" s="699"/>
      <c r="AR635" s="699"/>
      <c r="AS635" s="699"/>
      <c r="AT635" s="699"/>
      <c r="AU635" s="699"/>
      <c r="AV635" s="481"/>
      <c r="AX635" s="481"/>
    </row>
    <row r="636" spans="1:50" s="454" customFormat="1" ht="15" x14ac:dyDescent="0.25">
      <c r="A636" s="526"/>
      <c r="B636" s="567"/>
      <c r="C636" s="2722" t="s">
        <v>872</v>
      </c>
      <c r="D636" s="2722"/>
      <c r="E636" s="2722"/>
      <c r="F636" s="483"/>
      <c r="G636" s="484"/>
      <c r="H636" s="484"/>
      <c r="I636" s="484"/>
      <c r="J636" s="487"/>
      <c r="K636" s="484"/>
      <c r="L636" s="524">
        <v>1091.83</v>
      </c>
      <c r="M636" s="563"/>
      <c r="N636" s="525">
        <v>8428.93</v>
      </c>
      <c r="AF636" s="716"/>
      <c r="AG636" s="481"/>
      <c r="AI636" s="481"/>
      <c r="AN636" s="481" t="s">
        <v>872</v>
      </c>
      <c r="AO636" s="746"/>
      <c r="AP636" s="746"/>
      <c r="AQ636" s="699"/>
      <c r="AR636" s="699"/>
      <c r="AS636" s="699"/>
      <c r="AT636" s="699"/>
      <c r="AU636" s="699"/>
      <c r="AV636" s="481"/>
      <c r="AX636" s="481"/>
    </row>
    <row r="637" spans="1:50" s="454" customFormat="1" ht="34.5" x14ac:dyDescent="0.25">
      <c r="A637" s="482" t="s">
        <v>1391</v>
      </c>
      <c r="B637" s="568" t="s">
        <v>2543</v>
      </c>
      <c r="C637" s="2722" t="s">
        <v>2544</v>
      </c>
      <c r="D637" s="2722"/>
      <c r="E637" s="2722"/>
      <c r="F637" s="483" t="s">
        <v>2499</v>
      </c>
      <c r="G637" s="484">
        <v>0.2016</v>
      </c>
      <c r="H637" s="485">
        <v>1</v>
      </c>
      <c r="I637" s="717">
        <v>0.2016</v>
      </c>
      <c r="J637" s="487"/>
      <c r="K637" s="484"/>
      <c r="L637" s="487"/>
      <c r="M637" s="484"/>
      <c r="N637" s="488"/>
      <c r="AF637" s="716"/>
      <c r="AG637" s="481"/>
      <c r="AI637" s="481" t="s">
        <v>2544</v>
      </c>
      <c r="AN637" s="481"/>
      <c r="AO637" s="746"/>
      <c r="AP637" s="746"/>
      <c r="AQ637" s="699"/>
      <c r="AR637" s="699"/>
      <c r="AS637" s="699"/>
      <c r="AT637" s="699"/>
      <c r="AU637" s="699"/>
      <c r="AV637" s="481"/>
      <c r="AX637" s="481"/>
    </row>
    <row r="638" spans="1:50" s="454" customFormat="1" ht="33.75" x14ac:dyDescent="0.25">
      <c r="A638" s="489"/>
      <c r="B638" s="490" t="s">
        <v>1655</v>
      </c>
      <c r="C638" s="2709" t="s">
        <v>1656</v>
      </c>
      <c r="D638" s="2709"/>
      <c r="E638" s="2709"/>
      <c r="F638" s="2709"/>
      <c r="G638" s="2709"/>
      <c r="H638" s="2709"/>
      <c r="I638" s="2709"/>
      <c r="J638" s="2709"/>
      <c r="K638" s="2709"/>
      <c r="L638" s="2709"/>
      <c r="M638" s="2709"/>
      <c r="N638" s="2710"/>
      <c r="AF638" s="716"/>
      <c r="AG638" s="481"/>
      <c r="AI638" s="481"/>
      <c r="AJ638" s="491" t="s">
        <v>1656</v>
      </c>
      <c r="AN638" s="481"/>
      <c r="AO638" s="746"/>
      <c r="AP638" s="746"/>
      <c r="AQ638" s="699"/>
      <c r="AR638" s="699"/>
      <c r="AS638" s="699"/>
      <c r="AT638" s="699"/>
      <c r="AU638" s="699"/>
      <c r="AV638" s="481"/>
      <c r="AX638" s="481"/>
    </row>
    <row r="639" spans="1:50" s="454" customFormat="1" ht="15" x14ac:dyDescent="0.25">
      <c r="A639" s="718"/>
      <c r="B639" s="490" t="s">
        <v>190</v>
      </c>
      <c r="C639" s="2669" t="s">
        <v>2523</v>
      </c>
      <c r="D639" s="2669"/>
      <c r="E639" s="2669"/>
      <c r="F639" s="719"/>
      <c r="G639" s="564"/>
      <c r="H639" s="564"/>
      <c r="I639" s="564"/>
      <c r="J639" s="505">
        <v>5408.02</v>
      </c>
      <c r="K639" s="511">
        <v>1.5</v>
      </c>
      <c r="L639" s="505">
        <v>1635.39</v>
      </c>
      <c r="M639" s="506">
        <v>27.32</v>
      </c>
      <c r="N639" s="720">
        <v>44678.85</v>
      </c>
      <c r="AF639" s="716"/>
      <c r="AG639" s="481"/>
      <c r="AI639" s="481"/>
      <c r="AK639" s="491" t="s">
        <v>2523</v>
      </c>
      <c r="AN639" s="481"/>
      <c r="AO639" s="746"/>
      <c r="AP639" s="746"/>
      <c r="AQ639" s="699"/>
      <c r="AR639" s="699"/>
      <c r="AS639" s="699"/>
      <c r="AT639" s="699"/>
      <c r="AU639" s="699"/>
      <c r="AV639" s="481"/>
      <c r="AX639" s="481"/>
    </row>
    <row r="640" spans="1:50" s="454" customFormat="1" ht="15" x14ac:dyDescent="0.25">
      <c r="A640" s="718"/>
      <c r="B640" s="490" t="s">
        <v>639</v>
      </c>
      <c r="C640" s="2669" t="s">
        <v>697</v>
      </c>
      <c r="D640" s="2669"/>
      <c r="E640" s="2669"/>
      <c r="F640" s="719"/>
      <c r="G640" s="564"/>
      <c r="H640" s="564"/>
      <c r="I640" s="564"/>
      <c r="J640" s="505">
        <v>2828.36</v>
      </c>
      <c r="K640" s="511">
        <v>1.5</v>
      </c>
      <c r="L640" s="510">
        <v>855.3</v>
      </c>
      <c r="M640" s="506">
        <v>10.92</v>
      </c>
      <c r="N640" s="720">
        <v>9339.8799999999992</v>
      </c>
      <c r="AF640" s="716"/>
      <c r="AG640" s="481"/>
      <c r="AI640" s="481"/>
      <c r="AK640" s="491" t="s">
        <v>697</v>
      </c>
      <c r="AN640" s="481"/>
      <c r="AO640" s="746"/>
      <c r="AP640" s="746"/>
      <c r="AQ640" s="699"/>
      <c r="AR640" s="699"/>
      <c r="AS640" s="699"/>
      <c r="AT640" s="699"/>
      <c r="AU640" s="699"/>
      <c r="AV640" s="481"/>
      <c r="AX640" s="481"/>
    </row>
    <row r="641" spans="1:50" s="454" customFormat="1" ht="15" x14ac:dyDescent="0.25">
      <c r="A641" s="718"/>
      <c r="B641" s="490" t="s">
        <v>640</v>
      </c>
      <c r="C641" s="2669" t="s">
        <v>2500</v>
      </c>
      <c r="D641" s="2669"/>
      <c r="E641" s="2669"/>
      <c r="F641" s="719"/>
      <c r="G641" s="564"/>
      <c r="H641" s="564"/>
      <c r="I641" s="564"/>
      <c r="J641" s="510">
        <v>431.06</v>
      </c>
      <c r="K641" s="511">
        <v>1.5</v>
      </c>
      <c r="L641" s="510">
        <v>130.35</v>
      </c>
      <c r="M641" s="506">
        <v>27.32</v>
      </c>
      <c r="N641" s="720">
        <v>3561.16</v>
      </c>
      <c r="AF641" s="716"/>
      <c r="AG641" s="481"/>
      <c r="AI641" s="481"/>
      <c r="AK641" s="491" t="s">
        <v>2500</v>
      </c>
      <c r="AN641" s="481"/>
      <c r="AO641" s="746"/>
      <c r="AP641" s="746"/>
      <c r="AQ641" s="699"/>
      <c r="AR641" s="699"/>
      <c r="AS641" s="699"/>
      <c r="AT641" s="699"/>
      <c r="AU641" s="699"/>
      <c r="AV641" s="481"/>
      <c r="AX641" s="481"/>
    </row>
    <row r="642" spans="1:50" s="454" customFormat="1" ht="15" x14ac:dyDescent="0.25">
      <c r="A642" s="718"/>
      <c r="B642" s="490" t="s">
        <v>232</v>
      </c>
      <c r="C642" s="2669" t="s">
        <v>829</v>
      </c>
      <c r="D642" s="2669"/>
      <c r="E642" s="2669"/>
      <c r="F642" s="719"/>
      <c r="G642" s="564"/>
      <c r="H642" s="564"/>
      <c r="I642" s="564"/>
      <c r="J642" s="505">
        <v>4148.05</v>
      </c>
      <c r="K642" s="564"/>
      <c r="L642" s="510">
        <v>836.25</v>
      </c>
      <c r="M642" s="506">
        <v>7.72</v>
      </c>
      <c r="N642" s="720">
        <v>6455.85</v>
      </c>
      <c r="AF642" s="716"/>
      <c r="AG642" s="481"/>
      <c r="AI642" s="481"/>
      <c r="AK642" s="491" t="s">
        <v>829</v>
      </c>
      <c r="AN642" s="481"/>
      <c r="AO642" s="746"/>
      <c r="AP642" s="746"/>
      <c r="AQ642" s="699"/>
      <c r="AR642" s="699"/>
      <c r="AS642" s="699"/>
      <c r="AT642" s="699"/>
      <c r="AU642" s="699"/>
      <c r="AV642" s="481"/>
      <c r="AX642" s="481"/>
    </row>
    <row r="643" spans="1:50" s="454" customFormat="1" ht="15" x14ac:dyDescent="0.25">
      <c r="A643" s="721"/>
      <c r="B643" s="490"/>
      <c r="C643" s="2669" t="s">
        <v>2524</v>
      </c>
      <c r="D643" s="2669"/>
      <c r="E643" s="2669"/>
      <c r="F643" s="719" t="s">
        <v>807</v>
      </c>
      <c r="G643" s="727">
        <v>634</v>
      </c>
      <c r="H643" s="511">
        <v>1.5</v>
      </c>
      <c r="I643" s="752">
        <v>191.7216</v>
      </c>
      <c r="J643" s="501"/>
      <c r="K643" s="564"/>
      <c r="L643" s="501"/>
      <c r="M643" s="564"/>
      <c r="N643" s="723"/>
      <c r="AF643" s="716"/>
      <c r="AG643" s="481"/>
      <c r="AI643" s="481"/>
      <c r="AL643" s="491" t="s">
        <v>2524</v>
      </c>
      <c r="AN643" s="481"/>
      <c r="AO643" s="746"/>
      <c r="AP643" s="746"/>
      <c r="AQ643" s="699"/>
      <c r="AR643" s="699"/>
      <c r="AS643" s="699"/>
      <c r="AT643" s="699"/>
      <c r="AU643" s="699"/>
      <c r="AV643" s="481"/>
      <c r="AX643" s="481"/>
    </row>
    <row r="644" spans="1:50" s="454" customFormat="1" ht="15" x14ac:dyDescent="0.25">
      <c r="A644" s="721"/>
      <c r="B644" s="490"/>
      <c r="C644" s="2669" t="s">
        <v>2501</v>
      </c>
      <c r="D644" s="2669"/>
      <c r="E644" s="2669"/>
      <c r="F644" s="719" t="s">
        <v>807</v>
      </c>
      <c r="G644" s="506">
        <v>32.119999999999997</v>
      </c>
      <c r="H644" s="511">
        <v>1.5</v>
      </c>
      <c r="I644" s="728">
        <v>9.7130880000000008</v>
      </c>
      <c r="J644" s="501"/>
      <c r="K644" s="564"/>
      <c r="L644" s="501"/>
      <c r="M644" s="564"/>
      <c r="N644" s="723"/>
      <c r="AF644" s="716"/>
      <c r="AG644" s="481"/>
      <c r="AI644" s="481"/>
      <c r="AL644" s="491" t="s">
        <v>2501</v>
      </c>
      <c r="AN644" s="481"/>
      <c r="AO644" s="746"/>
      <c r="AP644" s="746"/>
      <c r="AQ644" s="699"/>
      <c r="AR644" s="699"/>
      <c r="AS644" s="699"/>
      <c r="AT644" s="699"/>
      <c r="AU644" s="699"/>
      <c r="AV644" s="481"/>
      <c r="AX644" s="481"/>
    </row>
    <row r="645" spans="1:50" s="454" customFormat="1" ht="15" x14ac:dyDescent="0.25">
      <c r="A645" s="718"/>
      <c r="B645" s="490"/>
      <c r="C645" s="2711" t="s">
        <v>2502</v>
      </c>
      <c r="D645" s="2711"/>
      <c r="E645" s="2711"/>
      <c r="F645" s="724"/>
      <c r="G645" s="563"/>
      <c r="H645" s="563"/>
      <c r="I645" s="563"/>
      <c r="J645" s="725">
        <v>12384.43</v>
      </c>
      <c r="K645" s="563"/>
      <c r="L645" s="725">
        <v>3326.94</v>
      </c>
      <c r="M645" s="563"/>
      <c r="N645" s="726">
        <v>60474.58</v>
      </c>
      <c r="AF645" s="716"/>
      <c r="AG645" s="481"/>
      <c r="AI645" s="481"/>
      <c r="AM645" s="491" t="s">
        <v>2502</v>
      </c>
      <c r="AN645" s="481"/>
      <c r="AO645" s="746"/>
      <c r="AP645" s="746"/>
      <c r="AQ645" s="699"/>
      <c r="AR645" s="699"/>
      <c r="AS645" s="699"/>
      <c r="AT645" s="699"/>
      <c r="AU645" s="699"/>
      <c r="AV645" s="481"/>
      <c r="AX645" s="481"/>
    </row>
    <row r="646" spans="1:50" s="454" customFormat="1" ht="15" x14ac:dyDescent="0.25">
      <c r="A646" s="721"/>
      <c r="B646" s="490"/>
      <c r="C646" s="2669" t="s">
        <v>867</v>
      </c>
      <c r="D646" s="2669"/>
      <c r="E646" s="2669"/>
      <c r="F646" s="719"/>
      <c r="G646" s="564"/>
      <c r="H646" s="564"/>
      <c r="I646" s="564"/>
      <c r="J646" s="501"/>
      <c r="K646" s="564"/>
      <c r="L646" s="505">
        <v>1765.74</v>
      </c>
      <c r="M646" s="564"/>
      <c r="N646" s="720">
        <v>48240.01</v>
      </c>
      <c r="AF646" s="716"/>
      <c r="AG646" s="481"/>
      <c r="AI646" s="481"/>
      <c r="AL646" s="491" t="s">
        <v>867</v>
      </c>
      <c r="AN646" s="481"/>
      <c r="AO646" s="746"/>
      <c r="AP646" s="746"/>
      <c r="AQ646" s="699"/>
      <c r="AR646" s="699"/>
      <c r="AS646" s="699"/>
      <c r="AT646" s="699"/>
      <c r="AU646" s="699"/>
      <c r="AV646" s="481"/>
      <c r="AX646" s="481"/>
    </row>
    <row r="647" spans="1:50" s="454" customFormat="1" ht="23.25" x14ac:dyDescent="0.25">
      <c r="A647" s="721"/>
      <c r="B647" s="490" t="s">
        <v>2525</v>
      </c>
      <c r="C647" s="2669" t="s">
        <v>2526</v>
      </c>
      <c r="D647" s="2669"/>
      <c r="E647" s="2669"/>
      <c r="F647" s="719" t="s">
        <v>636</v>
      </c>
      <c r="G647" s="727">
        <v>102</v>
      </c>
      <c r="H647" s="564"/>
      <c r="I647" s="727">
        <v>102</v>
      </c>
      <c r="J647" s="501"/>
      <c r="K647" s="564"/>
      <c r="L647" s="505">
        <v>1801.05</v>
      </c>
      <c r="M647" s="564"/>
      <c r="N647" s="720">
        <v>49204.81</v>
      </c>
      <c r="AF647" s="716"/>
      <c r="AG647" s="481"/>
      <c r="AI647" s="481"/>
      <c r="AL647" s="491" t="s">
        <v>2526</v>
      </c>
      <c r="AN647" s="481"/>
      <c r="AO647" s="746"/>
      <c r="AP647" s="746"/>
      <c r="AQ647" s="699"/>
      <c r="AR647" s="699"/>
      <c r="AS647" s="699"/>
      <c r="AT647" s="699"/>
      <c r="AU647" s="699"/>
      <c r="AV647" s="481"/>
      <c r="AX647" s="481"/>
    </row>
    <row r="648" spans="1:50" s="454" customFormat="1" ht="23.25" x14ac:dyDescent="0.25">
      <c r="A648" s="721"/>
      <c r="B648" s="490" t="s">
        <v>2527</v>
      </c>
      <c r="C648" s="2669" t="s">
        <v>2528</v>
      </c>
      <c r="D648" s="2669"/>
      <c r="E648" s="2669"/>
      <c r="F648" s="719" t="s">
        <v>636</v>
      </c>
      <c r="G648" s="727">
        <v>58</v>
      </c>
      <c r="H648" s="564"/>
      <c r="I648" s="727">
        <v>58</v>
      </c>
      <c r="J648" s="501"/>
      <c r="K648" s="564"/>
      <c r="L648" s="505">
        <v>1024.1300000000001</v>
      </c>
      <c r="M648" s="564"/>
      <c r="N648" s="720">
        <v>27979.21</v>
      </c>
      <c r="AF648" s="716"/>
      <c r="AG648" s="481"/>
      <c r="AI648" s="481"/>
      <c r="AL648" s="491" t="s">
        <v>2528</v>
      </c>
      <c r="AN648" s="481"/>
      <c r="AO648" s="746"/>
      <c r="AP648" s="746"/>
      <c r="AQ648" s="699"/>
      <c r="AR648" s="699"/>
      <c r="AS648" s="699"/>
      <c r="AT648" s="699"/>
      <c r="AU648" s="699"/>
      <c r="AV648" s="481"/>
      <c r="AX648" s="481"/>
    </row>
    <row r="649" spans="1:50" s="454" customFormat="1" ht="15" x14ac:dyDescent="0.25">
      <c r="A649" s="526"/>
      <c r="B649" s="567"/>
      <c r="C649" s="2722" t="s">
        <v>872</v>
      </c>
      <c r="D649" s="2722"/>
      <c r="E649" s="2722"/>
      <c r="F649" s="483"/>
      <c r="G649" s="484"/>
      <c r="H649" s="484"/>
      <c r="I649" s="484"/>
      <c r="J649" s="487"/>
      <c r="K649" s="484"/>
      <c r="L649" s="524">
        <v>6152.12</v>
      </c>
      <c r="M649" s="563"/>
      <c r="N649" s="525">
        <v>137658.6</v>
      </c>
      <c r="AF649" s="716"/>
      <c r="AG649" s="481"/>
      <c r="AI649" s="481"/>
      <c r="AN649" s="481" t="s">
        <v>872</v>
      </c>
      <c r="AO649" s="746"/>
      <c r="AP649" s="746"/>
      <c r="AQ649" s="699"/>
      <c r="AR649" s="699"/>
      <c r="AS649" s="699"/>
      <c r="AT649" s="699"/>
      <c r="AU649" s="699"/>
      <c r="AV649" s="481"/>
      <c r="AX649" s="481"/>
    </row>
    <row r="650" spans="1:50" s="454" customFormat="1" ht="22.5" x14ac:dyDescent="0.25">
      <c r="A650" s="736" t="s">
        <v>1434</v>
      </c>
      <c r="B650" s="737" t="s">
        <v>2545</v>
      </c>
      <c r="C650" s="2723" t="s">
        <v>2546</v>
      </c>
      <c r="D650" s="2723"/>
      <c r="E650" s="2723"/>
      <c r="F650" s="738" t="s">
        <v>832</v>
      </c>
      <c r="G650" s="739">
        <v>20.462399999999999</v>
      </c>
      <c r="H650" s="740">
        <v>1</v>
      </c>
      <c r="I650" s="751">
        <v>20.462399999999999</v>
      </c>
      <c r="J650" s="742">
        <v>725.69</v>
      </c>
      <c r="K650" s="739"/>
      <c r="L650" s="743">
        <v>14849.36</v>
      </c>
      <c r="M650" s="744">
        <v>7.72</v>
      </c>
      <c r="N650" s="745">
        <v>114637.06</v>
      </c>
      <c r="AF650" s="716"/>
      <c r="AG650" s="481"/>
      <c r="AI650" s="481"/>
      <c r="AN650" s="481"/>
      <c r="AO650" s="746" t="s">
        <v>2546</v>
      </c>
      <c r="AP650" s="746"/>
      <c r="AQ650" s="699"/>
      <c r="AR650" s="699"/>
      <c r="AS650" s="699"/>
      <c r="AT650" s="699"/>
      <c r="AU650" s="699"/>
      <c r="AV650" s="481"/>
      <c r="AX650" s="481"/>
    </row>
    <row r="651" spans="1:50" s="454" customFormat="1" ht="15" x14ac:dyDescent="0.25">
      <c r="A651" s="747"/>
      <c r="B651" s="748"/>
      <c r="C651" s="2723" t="s">
        <v>872</v>
      </c>
      <c r="D651" s="2723"/>
      <c r="E651" s="2723"/>
      <c r="F651" s="738"/>
      <c r="G651" s="739"/>
      <c r="H651" s="739"/>
      <c r="I651" s="739"/>
      <c r="J651" s="749"/>
      <c r="K651" s="739"/>
      <c r="L651" s="743">
        <v>14849.36</v>
      </c>
      <c r="M651" s="750"/>
      <c r="N651" s="745">
        <v>114637.06</v>
      </c>
      <c r="AF651" s="716"/>
      <c r="AG651" s="481"/>
      <c r="AI651" s="481"/>
      <c r="AN651" s="481"/>
      <c r="AO651" s="746"/>
      <c r="AP651" s="746" t="s">
        <v>872</v>
      </c>
      <c r="AQ651" s="699"/>
      <c r="AR651" s="699"/>
      <c r="AS651" s="699"/>
      <c r="AT651" s="699"/>
      <c r="AU651" s="699"/>
      <c r="AV651" s="481"/>
      <c r="AX651" s="481"/>
    </row>
    <row r="652" spans="1:50" s="454" customFormat="1" ht="23.25" x14ac:dyDescent="0.25">
      <c r="A652" s="482" t="s">
        <v>1395</v>
      </c>
      <c r="B652" s="568" t="s">
        <v>2551</v>
      </c>
      <c r="C652" s="2722" t="s">
        <v>2552</v>
      </c>
      <c r="D652" s="2722"/>
      <c r="E652" s="2722"/>
      <c r="F652" s="483" t="s">
        <v>2499</v>
      </c>
      <c r="G652" s="484">
        <v>0.2046</v>
      </c>
      <c r="H652" s="485">
        <v>1</v>
      </c>
      <c r="I652" s="717">
        <v>0.2046</v>
      </c>
      <c r="J652" s="487"/>
      <c r="K652" s="484"/>
      <c r="L652" s="487"/>
      <c r="M652" s="484"/>
      <c r="N652" s="488"/>
      <c r="AF652" s="716"/>
      <c r="AG652" s="481"/>
      <c r="AI652" s="481" t="s">
        <v>2552</v>
      </c>
      <c r="AN652" s="481"/>
      <c r="AO652" s="746"/>
      <c r="AP652" s="746"/>
      <c r="AQ652" s="699"/>
      <c r="AR652" s="699"/>
      <c r="AS652" s="699"/>
      <c r="AT652" s="699"/>
      <c r="AU652" s="699"/>
      <c r="AV652" s="481"/>
      <c r="AX652" s="481"/>
    </row>
    <row r="653" spans="1:50" s="454" customFormat="1" ht="33.75" x14ac:dyDescent="0.25">
      <c r="A653" s="489"/>
      <c r="B653" s="490" t="s">
        <v>1655</v>
      </c>
      <c r="C653" s="2709" t="s">
        <v>1656</v>
      </c>
      <c r="D653" s="2709"/>
      <c r="E653" s="2709"/>
      <c r="F653" s="2709"/>
      <c r="G653" s="2709"/>
      <c r="H653" s="2709"/>
      <c r="I653" s="2709"/>
      <c r="J653" s="2709"/>
      <c r="K653" s="2709"/>
      <c r="L653" s="2709"/>
      <c r="M653" s="2709"/>
      <c r="N653" s="2710"/>
      <c r="AF653" s="716"/>
      <c r="AG653" s="481"/>
      <c r="AI653" s="481"/>
      <c r="AJ653" s="491" t="s">
        <v>1656</v>
      </c>
      <c r="AN653" s="481"/>
      <c r="AO653" s="746"/>
      <c r="AP653" s="746"/>
      <c r="AQ653" s="699"/>
      <c r="AR653" s="699"/>
      <c r="AS653" s="699"/>
      <c r="AT653" s="699"/>
      <c r="AU653" s="699"/>
      <c r="AV653" s="481"/>
      <c r="AX653" s="481"/>
    </row>
    <row r="654" spans="1:50" s="454" customFormat="1" ht="15" x14ac:dyDescent="0.25">
      <c r="A654" s="718"/>
      <c r="B654" s="490" t="s">
        <v>190</v>
      </c>
      <c r="C654" s="2669" t="s">
        <v>2523</v>
      </c>
      <c r="D654" s="2669"/>
      <c r="E654" s="2669"/>
      <c r="F654" s="719"/>
      <c r="G654" s="564"/>
      <c r="H654" s="564"/>
      <c r="I654" s="564"/>
      <c r="J654" s="505">
        <v>2082.6</v>
      </c>
      <c r="K654" s="511">
        <v>1.5</v>
      </c>
      <c r="L654" s="510">
        <v>639.15</v>
      </c>
      <c r="M654" s="506">
        <v>27.32</v>
      </c>
      <c r="N654" s="720">
        <v>17461.580000000002</v>
      </c>
      <c r="AF654" s="716"/>
      <c r="AG654" s="481"/>
      <c r="AI654" s="481"/>
      <c r="AK654" s="491" t="s">
        <v>2523</v>
      </c>
      <c r="AN654" s="481"/>
      <c r="AO654" s="746"/>
      <c r="AP654" s="746"/>
      <c r="AQ654" s="699"/>
      <c r="AR654" s="699"/>
      <c r="AS654" s="699"/>
      <c r="AT654" s="699"/>
      <c r="AU654" s="699"/>
      <c r="AV654" s="481"/>
      <c r="AX654" s="481"/>
    </row>
    <row r="655" spans="1:50" s="454" customFormat="1" ht="15" x14ac:dyDescent="0.25">
      <c r="A655" s="718"/>
      <c r="B655" s="490" t="s">
        <v>639</v>
      </c>
      <c r="C655" s="2669" t="s">
        <v>697</v>
      </c>
      <c r="D655" s="2669"/>
      <c r="E655" s="2669"/>
      <c r="F655" s="719"/>
      <c r="G655" s="564"/>
      <c r="H655" s="564"/>
      <c r="I655" s="564"/>
      <c r="J655" s="505">
        <v>1847.63</v>
      </c>
      <c r="K655" s="511">
        <v>1.5</v>
      </c>
      <c r="L655" s="510">
        <v>567.04</v>
      </c>
      <c r="M655" s="506">
        <v>10.92</v>
      </c>
      <c r="N655" s="720">
        <v>6192.08</v>
      </c>
      <c r="AF655" s="716"/>
      <c r="AG655" s="481"/>
      <c r="AI655" s="481"/>
      <c r="AK655" s="491" t="s">
        <v>697</v>
      </c>
      <c r="AN655" s="481"/>
      <c r="AO655" s="746"/>
      <c r="AP655" s="746"/>
      <c r="AQ655" s="699"/>
      <c r="AR655" s="699"/>
      <c r="AS655" s="699"/>
      <c r="AT655" s="699"/>
      <c r="AU655" s="699"/>
      <c r="AV655" s="481"/>
      <c r="AX655" s="481"/>
    </row>
    <row r="656" spans="1:50" s="454" customFormat="1" ht="15" x14ac:dyDescent="0.25">
      <c r="A656" s="718"/>
      <c r="B656" s="490" t="s">
        <v>640</v>
      </c>
      <c r="C656" s="2669" t="s">
        <v>2500</v>
      </c>
      <c r="D656" s="2669"/>
      <c r="E656" s="2669"/>
      <c r="F656" s="719"/>
      <c r="G656" s="564"/>
      <c r="H656" s="564"/>
      <c r="I656" s="564"/>
      <c r="J656" s="510">
        <v>361.66</v>
      </c>
      <c r="K656" s="511">
        <v>1.5</v>
      </c>
      <c r="L656" s="510">
        <v>110.99</v>
      </c>
      <c r="M656" s="506">
        <v>27.32</v>
      </c>
      <c r="N656" s="720">
        <v>3032.25</v>
      </c>
      <c r="AF656" s="716"/>
      <c r="AG656" s="481"/>
      <c r="AI656" s="481"/>
      <c r="AK656" s="491" t="s">
        <v>2500</v>
      </c>
      <c r="AN656" s="481"/>
      <c r="AO656" s="746"/>
      <c r="AP656" s="746"/>
      <c r="AQ656" s="699"/>
      <c r="AR656" s="699"/>
      <c r="AS656" s="699"/>
      <c r="AT656" s="699"/>
      <c r="AU656" s="699"/>
      <c r="AV656" s="481"/>
      <c r="AX656" s="481"/>
    </row>
    <row r="657" spans="1:50" s="454" customFormat="1" ht="15" x14ac:dyDescent="0.25">
      <c r="A657" s="718"/>
      <c r="B657" s="490" t="s">
        <v>232</v>
      </c>
      <c r="C657" s="2669" t="s">
        <v>829</v>
      </c>
      <c r="D657" s="2669"/>
      <c r="E657" s="2669"/>
      <c r="F657" s="719"/>
      <c r="G657" s="564"/>
      <c r="H657" s="564"/>
      <c r="I657" s="564"/>
      <c r="J657" s="505">
        <v>30662.21</v>
      </c>
      <c r="K657" s="564"/>
      <c r="L657" s="505">
        <v>6273.49</v>
      </c>
      <c r="M657" s="506">
        <v>7.72</v>
      </c>
      <c r="N657" s="720">
        <v>48431.34</v>
      </c>
      <c r="AF657" s="716"/>
      <c r="AG657" s="481"/>
      <c r="AI657" s="481"/>
      <c r="AK657" s="491" t="s">
        <v>829</v>
      </c>
      <c r="AN657" s="481"/>
      <c r="AO657" s="746"/>
      <c r="AP657" s="746"/>
      <c r="AQ657" s="699"/>
      <c r="AR657" s="699"/>
      <c r="AS657" s="699"/>
      <c r="AT657" s="699"/>
      <c r="AU657" s="699"/>
      <c r="AV657" s="481"/>
      <c r="AX657" s="481"/>
    </row>
    <row r="658" spans="1:50" s="454" customFormat="1" ht="15" x14ac:dyDescent="0.25">
      <c r="A658" s="721"/>
      <c r="B658" s="490"/>
      <c r="C658" s="2669" t="s">
        <v>2524</v>
      </c>
      <c r="D658" s="2669"/>
      <c r="E658" s="2669"/>
      <c r="F658" s="719" t="s">
        <v>807</v>
      </c>
      <c r="G658" s="727">
        <v>267</v>
      </c>
      <c r="H658" s="511">
        <v>1.5</v>
      </c>
      <c r="I658" s="752">
        <v>81.942300000000003</v>
      </c>
      <c r="J658" s="501"/>
      <c r="K658" s="564"/>
      <c r="L658" s="501"/>
      <c r="M658" s="564"/>
      <c r="N658" s="723"/>
      <c r="AF658" s="716"/>
      <c r="AG658" s="481"/>
      <c r="AI658" s="481"/>
      <c r="AL658" s="491" t="s">
        <v>2524</v>
      </c>
      <c r="AN658" s="481"/>
      <c r="AO658" s="746"/>
      <c r="AP658" s="746"/>
      <c r="AQ658" s="699"/>
      <c r="AR658" s="699"/>
      <c r="AS658" s="699"/>
      <c r="AT658" s="699"/>
      <c r="AU658" s="699"/>
      <c r="AV658" s="481"/>
      <c r="AX658" s="481"/>
    </row>
    <row r="659" spans="1:50" s="454" customFormat="1" ht="15" x14ac:dyDescent="0.25">
      <c r="A659" s="721"/>
      <c r="B659" s="490"/>
      <c r="C659" s="2669" t="s">
        <v>2501</v>
      </c>
      <c r="D659" s="2669"/>
      <c r="E659" s="2669"/>
      <c r="F659" s="719" t="s">
        <v>807</v>
      </c>
      <c r="G659" s="506">
        <v>35.950000000000003</v>
      </c>
      <c r="H659" s="511">
        <v>1.5</v>
      </c>
      <c r="I659" s="728">
        <v>11.033054999999999</v>
      </c>
      <c r="J659" s="501"/>
      <c r="K659" s="564"/>
      <c r="L659" s="501"/>
      <c r="M659" s="564"/>
      <c r="N659" s="723"/>
      <c r="AF659" s="716"/>
      <c r="AG659" s="481"/>
      <c r="AI659" s="481"/>
      <c r="AL659" s="491" t="s">
        <v>2501</v>
      </c>
      <c r="AN659" s="481"/>
      <c r="AO659" s="746"/>
      <c r="AP659" s="746"/>
      <c r="AQ659" s="699"/>
      <c r="AR659" s="699"/>
      <c r="AS659" s="699"/>
      <c r="AT659" s="699"/>
      <c r="AU659" s="699"/>
      <c r="AV659" s="481"/>
      <c r="AX659" s="481"/>
    </row>
    <row r="660" spans="1:50" s="454" customFormat="1" ht="15" x14ac:dyDescent="0.25">
      <c r="A660" s="718"/>
      <c r="B660" s="490"/>
      <c r="C660" s="2711" t="s">
        <v>2502</v>
      </c>
      <c r="D660" s="2711"/>
      <c r="E660" s="2711"/>
      <c r="F660" s="724"/>
      <c r="G660" s="563"/>
      <c r="H660" s="563"/>
      <c r="I660" s="563"/>
      <c r="J660" s="725">
        <v>34592.44</v>
      </c>
      <c r="K660" s="563"/>
      <c r="L660" s="725">
        <v>7479.68</v>
      </c>
      <c r="M660" s="563"/>
      <c r="N660" s="726">
        <v>72085</v>
      </c>
      <c r="AF660" s="716"/>
      <c r="AG660" s="481"/>
      <c r="AI660" s="481"/>
      <c r="AM660" s="491" t="s">
        <v>2502</v>
      </c>
      <c r="AN660" s="481"/>
      <c r="AO660" s="746"/>
      <c r="AP660" s="746"/>
      <c r="AQ660" s="699"/>
      <c r="AR660" s="699"/>
      <c r="AS660" s="699"/>
      <c r="AT660" s="699"/>
      <c r="AU660" s="699"/>
      <c r="AV660" s="481"/>
      <c r="AX660" s="481"/>
    </row>
    <row r="661" spans="1:50" s="454" customFormat="1" ht="15" x14ac:dyDescent="0.25">
      <c r="A661" s="721"/>
      <c r="B661" s="490"/>
      <c r="C661" s="2669" t="s">
        <v>867</v>
      </c>
      <c r="D661" s="2669"/>
      <c r="E661" s="2669"/>
      <c r="F661" s="719"/>
      <c r="G661" s="564"/>
      <c r="H661" s="564"/>
      <c r="I661" s="564"/>
      <c r="J661" s="501"/>
      <c r="K661" s="564"/>
      <c r="L661" s="510">
        <v>750.14</v>
      </c>
      <c r="M661" s="564"/>
      <c r="N661" s="720">
        <v>20493.830000000002</v>
      </c>
      <c r="AF661" s="716"/>
      <c r="AG661" s="481"/>
      <c r="AI661" s="481"/>
      <c r="AL661" s="491" t="s">
        <v>867</v>
      </c>
      <c r="AN661" s="481"/>
      <c r="AO661" s="746"/>
      <c r="AP661" s="746"/>
      <c r="AQ661" s="699"/>
      <c r="AR661" s="699"/>
      <c r="AS661" s="699"/>
      <c r="AT661" s="699"/>
      <c r="AU661" s="699"/>
      <c r="AV661" s="481"/>
      <c r="AX661" s="481"/>
    </row>
    <row r="662" spans="1:50" s="454" customFormat="1" ht="34.5" x14ac:dyDescent="0.25">
      <c r="A662" s="721"/>
      <c r="B662" s="490" t="s">
        <v>2533</v>
      </c>
      <c r="C662" s="2669" t="s">
        <v>2534</v>
      </c>
      <c r="D662" s="2669"/>
      <c r="E662" s="2669"/>
      <c r="F662" s="719" t="s">
        <v>636</v>
      </c>
      <c r="G662" s="727">
        <v>73</v>
      </c>
      <c r="H662" s="564"/>
      <c r="I662" s="727">
        <v>73</v>
      </c>
      <c r="J662" s="501"/>
      <c r="K662" s="564"/>
      <c r="L662" s="510">
        <v>547.6</v>
      </c>
      <c r="M662" s="564"/>
      <c r="N662" s="720">
        <v>14960.5</v>
      </c>
      <c r="AF662" s="716"/>
      <c r="AG662" s="481"/>
      <c r="AI662" s="481"/>
      <c r="AL662" s="491" t="s">
        <v>2534</v>
      </c>
      <c r="AN662" s="481"/>
      <c r="AO662" s="746"/>
      <c r="AP662" s="746"/>
      <c r="AQ662" s="699"/>
      <c r="AR662" s="699"/>
      <c r="AS662" s="699"/>
      <c r="AT662" s="699"/>
      <c r="AU662" s="699"/>
      <c r="AV662" s="481"/>
      <c r="AX662" s="481"/>
    </row>
    <row r="663" spans="1:50" s="454" customFormat="1" ht="34.5" x14ac:dyDescent="0.25">
      <c r="A663" s="721"/>
      <c r="B663" s="490" t="s">
        <v>2535</v>
      </c>
      <c r="C663" s="2669" t="s">
        <v>2536</v>
      </c>
      <c r="D663" s="2669"/>
      <c r="E663" s="2669"/>
      <c r="F663" s="719" t="s">
        <v>636</v>
      </c>
      <c r="G663" s="727">
        <v>34</v>
      </c>
      <c r="H663" s="564"/>
      <c r="I663" s="727">
        <v>34</v>
      </c>
      <c r="J663" s="501"/>
      <c r="K663" s="564"/>
      <c r="L663" s="510">
        <v>255.05</v>
      </c>
      <c r="M663" s="564"/>
      <c r="N663" s="720">
        <v>6967.9</v>
      </c>
      <c r="AF663" s="716"/>
      <c r="AG663" s="481"/>
      <c r="AI663" s="481"/>
      <c r="AL663" s="491" t="s">
        <v>2536</v>
      </c>
      <c r="AN663" s="481"/>
      <c r="AO663" s="746"/>
      <c r="AP663" s="746"/>
      <c r="AQ663" s="699"/>
      <c r="AR663" s="699"/>
      <c r="AS663" s="699"/>
      <c r="AT663" s="699"/>
      <c r="AU663" s="699"/>
      <c r="AV663" s="481"/>
      <c r="AX663" s="481"/>
    </row>
    <row r="664" spans="1:50" s="454" customFormat="1" ht="15" x14ac:dyDescent="0.25">
      <c r="A664" s="526"/>
      <c r="B664" s="567"/>
      <c r="C664" s="2722" t="s">
        <v>872</v>
      </c>
      <c r="D664" s="2722"/>
      <c r="E664" s="2722"/>
      <c r="F664" s="483"/>
      <c r="G664" s="484"/>
      <c r="H664" s="484"/>
      <c r="I664" s="484"/>
      <c r="J664" s="487"/>
      <c r="K664" s="484"/>
      <c r="L664" s="524">
        <v>8282.33</v>
      </c>
      <c r="M664" s="563"/>
      <c r="N664" s="525">
        <v>94013.4</v>
      </c>
      <c r="AF664" s="716"/>
      <c r="AG664" s="481"/>
      <c r="AI664" s="481"/>
      <c r="AN664" s="481" t="s">
        <v>872</v>
      </c>
      <c r="AO664" s="746"/>
      <c r="AP664" s="746"/>
      <c r="AQ664" s="699"/>
      <c r="AR664" s="699"/>
      <c r="AS664" s="699"/>
      <c r="AT664" s="699"/>
      <c r="AU664" s="699"/>
      <c r="AV664" s="481"/>
      <c r="AX664" s="481"/>
    </row>
    <row r="665" spans="1:50" s="454" customFormat="1" ht="22.5" x14ac:dyDescent="0.25">
      <c r="A665" s="736" t="s">
        <v>1440</v>
      </c>
      <c r="B665" s="737" t="s">
        <v>2537</v>
      </c>
      <c r="C665" s="2723" t="s">
        <v>2538</v>
      </c>
      <c r="D665" s="2723"/>
      <c r="E665" s="2723"/>
      <c r="F665" s="738" t="s">
        <v>832</v>
      </c>
      <c r="G665" s="739">
        <v>9.6161999999999992</v>
      </c>
      <c r="H665" s="740">
        <v>1</v>
      </c>
      <c r="I665" s="751">
        <v>9.6161999999999992</v>
      </c>
      <c r="J665" s="742">
        <v>59.99</v>
      </c>
      <c r="K665" s="739"/>
      <c r="L665" s="742">
        <v>576.88</v>
      </c>
      <c r="M665" s="744">
        <v>7.72</v>
      </c>
      <c r="N665" s="745">
        <v>4453.51</v>
      </c>
      <c r="AF665" s="716"/>
      <c r="AG665" s="481"/>
      <c r="AI665" s="481"/>
      <c r="AN665" s="481"/>
      <c r="AO665" s="746" t="s">
        <v>2538</v>
      </c>
      <c r="AP665" s="746"/>
      <c r="AQ665" s="699"/>
      <c r="AR665" s="699"/>
      <c r="AS665" s="699"/>
      <c r="AT665" s="699"/>
      <c r="AU665" s="699"/>
      <c r="AV665" s="481"/>
      <c r="AX665" s="481"/>
    </row>
    <row r="666" spans="1:50" s="454" customFormat="1" ht="15" x14ac:dyDescent="0.25">
      <c r="A666" s="747"/>
      <c r="B666" s="748"/>
      <c r="C666" s="2723" t="s">
        <v>872</v>
      </c>
      <c r="D666" s="2723"/>
      <c r="E666" s="2723"/>
      <c r="F666" s="738"/>
      <c r="G666" s="739"/>
      <c r="H666" s="739"/>
      <c r="I666" s="739"/>
      <c r="J666" s="749"/>
      <c r="K666" s="739"/>
      <c r="L666" s="742">
        <v>576.88</v>
      </c>
      <c r="M666" s="750"/>
      <c r="N666" s="745">
        <v>4453.51</v>
      </c>
      <c r="AF666" s="716"/>
      <c r="AG666" s="481"/>
      <c r="AI666" s="481"/>
      <c r="AN666" s="481"/>
      <c r="AO666" s="746"/>
      <c r="AP666" s="746" t="s">
        <v>872</v>
      </c>
      <c r="AQ666" s="699"/>
      <c r="AR666" s="699"/>
      <c r="AS666" s="699"/>
      <c r="AT666" s="699"/>
      <c r="AU666" s="699"/>
      <c r="AV666" s="481"/>
      <c r="AX666" s="481"/>
    </row>
    <row r="667" spans="1:50" s="454" customFormat="1" ht="15" x14ac:dyDescent="0.25">
      <c r="A667" s="736" t="s">
        <v>1442</v>
      </c>
      <c r="B667" s="737" t="s">
        <v>2539</v>
      </c>
      <c r="C667" s="2723" t="s">
        <v>2540</v>
      </c>
      <c r="D667" s="2723"/>
      <c r="E667" s="2723"/>
      <c r="F667" s="738" t="s">
        <v>832</v>
      </c>
      <c r="G667" s="739">
        <v>16.367999999999999</v>
      </c>
      <c r="H667" s="740">
        <v>1</v>
      </c>
      <c r="I667" s="741">
        <v>16.367999999999999</v>
      </c>
      <c r="J667" s="742">
        <v>185.49</v>
      </c>
      <c r="K667" s="739"/>
      <c r="L667" s="743">
        <v>3036.1</v>
      </c>
      <c r="M667" s="744">
        <v>7.72</v>
      </c>
      <c r="N667" s="745">
        <v>23438.69</v>
      </c>
      <c r="AF667" s="716"/>
      <c r="AG667" s="481"/>
      <c r="AI667" s="481"/>
      <c r="AN667" s="481"/>
      <c r="AO667" s="746" t="s">
        <v>2540</v>
      </c>
      <c r="AP667" s="746"/>
      <c r="AQ667" s="699"/>
      <c r="AR667" s="699"/>
      <c r="AS667" s="699"/>
      <c r="AT667" s="699"/>
      <c r="AU667" s="699"/>
      <c r="AV667" s="481"/>
      <c r="AX667" s="481"/>
    </row>
    <row r="668" spans="1:50" s="454" customFormat="1" ht="15" x14ac:dyDescent="0.25">
      <c r="A668" s="747"/>
      <c r="B668" s="748"/>
      <c r="C668" s="2723" t="s">
        <v>872</v>
      </c>
      <c r="D668" s="2723"/>
      <c r="E668" s="2723"/>
      <c r="F668" s="738"/>
      <c r="G668" s="739"/>
      <c r="H668" s="739"/>
      <c r="I668" s="739"/>
      <c r="J668" s="749"/>
      <c r="K668" s="739"/>
      <c r="L668" s="743">
        <v>3036.1</v>
      </c>
      <c r="M668" s="750"/>
      <c r="N668" s="745">
        <v>23438.69</v>
      </c>
      <c r="AF668" s="716"/>
      <c r="AG668" s="481"/>
      <c r="AI668" s="481"/>
      <c r="AN668" s="481"/>
      <c r="AO668" s="746"/>
      <c r="AP668" s="746" t="s">
        <v>872</v>
      </c>
      <c r="AQ668" s="699"/>
      <c r="AR668" s="699"/>
      <c r="AS668" s="699"/>
      <c r="AT668" s="699"/>
      <c r="AU668" s="699"/>
      <c r="AV668" s="481"/>
      <c r="AX668" s="481"/>
    </row>
    <row r="669" spans="1:50" s="454" customFormat="1" ht="33" x14ac:dyDescent="0.25">
      <c r="A669" s="736" t="s">
        <v>1443</v>
      </c>
      <c r="B669" s="737" t="s">
        <v>2541</v>
      </c>
      <c r="C669" s="2723" t="s">
        <v>2542</v>
      </c>
      <c r="D669" s="2723"/>
      <c r="E669" s="2723"/>
      <c r="F669" s="738" t="s">
        <v>801</v>
      </c>
      <c r="G669" s="739">
        <v>7.8156999999999996</v>
      </c>
      <c r="H669" s="740">
        <v>1</v>
      </c>
      <c r="I669" s="751">
        <v>7.8156999999999996</v>
      </c>
      <c r="J669" s="742">
        <v>313</v>
      </c>
      <c r="K669" s="739"/>
      <c r="L669" s="743">
        <v>2446.31</v>
      </c>
      <c r="M669" s="744">
        <v>7.72</v>
      </c>
      <c r="N669" s="745">
        <v>18885.509999999998</v>
      </c>
      <c r="AF669" s="716"/>
      <c r="AG669" s="481"/>
      <c r="AI669" s="481"/>
      <c r="AN669" s="481"/>
      <c r="AO669" s="746" t="s">
        <v>2542</v>
      </c>
      <c r="AP669" s="746"/>
      <c r="AQ669" s="699"/>
      <c r="AR669" s="699"/>
      <c r="AS669" s="699"/>
      <c r="AT669" s="699"/>
      <c r="AU669" s="699"/>
      <c r="AV669" s="481"/>
      <c r="AX669" s="481"/>
    </row>
    <row r="670" spans="1:50" s="454" customFormat="1" ht="15" x14ac:dyDescent="0.25">
      <c r="A670" s="747"/>
      <c r="B670" s="748"/>
      <c r="C670" s="2723" t="s">
        <v>872</v>
      </c>
      <c r="D670" s="2723"/>
      <c r="E670" s="2723"/>
      <c r="F670" s="738"/>
      <c r="G670" s="739"/>
      <c r="H670" s="739"/>
      <c r="I670" s="739"/>
      <c r="J670" s="749"/>
      <c r="K670" s="739"/>
      <c r="L670" s="743">
        <v>2446.31</v>
      </c>
      <c r="M670" s="750"/>
      <c r="N670" s="745">
        <v>18885.509999999998</v>
      </c>
      <c r="AF670" s="716"/>
      <c r="AG670" s="481"/>
      <c r="AI670" s="481"/>
      <c r="AN670" s="481"/>
      <c r="AO670" s="746"/>
      <c r="AP670" s="746" t="s">
        <v>872</v>
      </c>
      <c r="AQ670" s="699"/>
      <c r="AR670" s="699"/>
      <c r="AS670" s="699"/>
      <c r="AT670" s="699"/>
      <c r="AU670" s="699"/>
      <c r="AV670" s="481"/>
      <c r="AX670" s="481"/>
    </row>
    <row r="671" spans="1:50" s="454" customFormat="1" ht="23.25" x14ac:dyDescent="0.25">
      <c r="A671" s="482" t="s">
        <v>1402</v>
      </c>
      <c r="B671" s="568" t="s">
        <v>2549</v>
      </c>
      <c r="C671" s="2722" t="s">
        <v>2550</v>
      </c>
      <c r="D671" s="2722"/>
      <c r="E671" s="2722"/>
      <c r="F671" s="483" t="s">
        <v>801</v>
      </c>
      <c r="G671" s="484">
        <v>0.65988000000000002</v>
      </c>
      <c r="H671" s="485">
        <v>1</v>
      </c>
      <c r="I671" s="541">
        <v>0.65988000000000002</v>
      </c>
      <c r="J671" s="524">
        <v>5488.69</v>
      </c>
      <c r="K671" s="484"/>
      <c r="L671" s="524">
        <v>3621.88</v>
      </c>
      <c r="M671" s="732">
        <v>7.72</v>
      </c>
      <c r="N671" s="525">
        <v>27960.91</v>
      </c>
      <c r="AF671" s="716"/>
      <c r="AG671" s="481"/>
      <c r="AI671" s="481" t="s">
        <v>2550</v>
      </c>
      <c r="AN671" s="481"/>
      <c r="AO671" s="746"/>
      <c r="AP671" s="746"/>
      <c r="AQ671" s="699"/>
      <c r="AR671" s="699"/>
      <c r="AS671" s="699"/>
      <c r="AT671" s="699"/>
      <c r="AU671" s="699"/>
      <c r="AV671" s="481"/>
      <c r="AX671" s="481"/>
    </row>
    <row r="672" spans="1:50" s="454" customFormat="1" ht="15" x14ac:dyDescent="0.25">
      <c r="A672" s="526"/>
      <c r="B672" s="567"/>
      <c r="C672" s="2722" t="s">
        <v>872</v>
      </c>
      <c r="D672" s="2722"/>
      <c r="E672" s="2722"/>
      <c r="F672" s="483"/>
      <c r="G672" s="484"/>
      <c r="H672" s="484"/>
      <c r="I672" s="484"/>
      <c r="J672" s="487"/>
      <c r="K672" s="484"/>
      <c r="L672" s="524">
        <v>3621.88</v>
      </c>
      <c r="M672" s="563"/>
      <c r="N672" s="525">
        <v>27960.91</v>
      </c>
      <c r="AF672" s="716"/>
      <c r="AG672" s="481"/>
      <c r="AI672" s="481"/>
      <c r="AN672" s="481" t="s">
        <v>872</v>
      </c>
      <c r="AO672" s="746"/>
      <c r="AP672" s="746"/>
      <c r="AQ672" s="699"/>
      <c r="AR672" s="699"/>
      <c r="AS672" s="699"/>
      <c r="AT672" s="699"/>
      <c r="AU672" s="699"/>
      <c r="AV672" s="481"/>
      <c r="AX672" s="481"/>
    </row>
    <row r="673" spans="1:50" s="454" customFormat="1" ht="23.25" x14ac:dyDescent="0.25">
      <c r="A673" s="482" t="s">
        <v>1406</v>
      </c>
      <c r="B673" s="568" t="s">
        <v>2641</v>
      </c>
      <c r="C673" s="2722" t="s">
        <v>2642</v>
      </c>
      <c r="D673" s="2722"/>
      <c r="E673" s="2722"/>
      <c r="F673" s="483" t="s">
        <v>801</v>
      </c>
      <c r="G673" s="484">
        <v>2.0196000000000001</v>
      </c>
      <c r="H673" s="485">
        <v>1</v>
      </c>
      <c r="I673" s="717">
        <v>2.0196000000000001</v>
      </c>
      <c r="J673" s="524">
        <v>5488.69</v>
      </c>
      <c r="K673" s="484"/>
      <c r="L673" s="524">
        <v>11084.96</v>
      </c>
      <c r="M673" s="732">
        <v>7.72</v>
      </c>
      <c r="N673" s="525">
        <v>85575.89</v>
      </c>
      <c r="AF673" s="716"/>
      <c r="AG673" s="481"/>
      <c r="AI673" s="481" t="s">
        <v>2642</v>
      </c>
      <c r="AN673" s="481"/>
      <c r="AO673" s="746"/>
      <c r="AP673" s="746"/>
      <c r="AQ673" s="699"/>
      <c r="AR673" s="699"/>
      <c r="AS673" s="699"/>
      <c r="AT673" s="699"/>
      <c r="AU673" s="699"/>
      <c r="AV673" s="481"/>
      <c r="AX673" s="481"/>
    </row>
    <row r="674" spans="1:50" s="454" customFormat="1" ht="15" x14ac:dyDescent="0.25">
      <c r="A674" s="526"/>
      <c r="B674" s="567"/>
      <c r="C674" s="2722" t="s">
        <v>872</v>
      </c>
      <c r="D674" s="2722"/>
      <c r="E674" s="2722"/>
      <c r="F674" s="483"/>
      <c r="G674" s="484"/>
      <c r="H674" s="484"/>
      <c r="I674" s="484"/>
      <c r="J674" s="487"/>
      <c r="K674" s="484"/>
      <c r="L674" s="524">
        <v>11084.96</v>
      </c>
      <c r="M674" s="563"/>
      <c r="N674" s="525">
        <v>85575.89</v>
      </c>
      <c r="AF674" s="716"/>
      <c r="AG674" s="481"/>
      <c r="AI674" s="481"/>
      <c r="AN674" s="481" t="s">
        <v>872</v>
      </c>
      <c r="AO674" s="746"/>
      <c r="AP674" s="746"/>
      <c r="AQ674" s="699"/>
      <c r="AR674" s="699"/>
      <c r="AS674" s="699"/>
      <c r="AT674" s="699"/>
      <c r="AU674" s="699"/>
      <c r="AV674" s="481"/>
      <c r="AX674" s="481"/>
    </row>
    <row r="675" spans="1:50" s="454" customFormat="1" ht="23.25" x14ac:dyDescent="0.25">
      <c r="A675" s="482" t="s">
        <v>2357</v>
      </c>
      <c r="B675" s="568" t="s">
        <v>2643</v>
      </c>
      <c r="C675" s="2722" t="s">
        <v>2644</v>
      </c>
      <c r="D675" s="2722"/>
      <c r="E675" s="2722"/>
      <c r="F675" s="483" t="s">
        <v>801</v>
      </c>
      <c r="G675" s="484">
        <v>0.14399999999999999</v>
      </c>
      <c r="H675" s="485">
        <v>1</v>
      </c>
      <c r="I675" s="731">
        <v>0.14399999999999999</v>
      </c>
      <c r="J675" s="524">
        <v>5584.58</v>
      </c>
      <c r="K675" s="484"/>
      <c r="L675" s="527">
        <v>804.18</v>
      </c>
      <c r="M675" s="732">
        <v>7.72</v>
      </c>
      <c r="N675" s="525">
        <v>6208.27</v>
      </c>
      <c r="AF675" s="716"/>
      <c r="AG675" s="481"/>
      <c r="AI675" s="481" t="s">
        <v>2644</v>
      </c>
      <c r="AN675" s="481"/>
      <c r="AO675" s="746"/>
      <c r="AP675" s="746"/>
      <c r="AQ675" s="699"/>
      <c r="AR675" s="699"/>
      <c r="AS675" s="699"/>
      <c r="AT675" s="699"/>
      <c r="AU675" s="699"/>
      <c r="AV675" s="481"/>
      <c r="AX675" s="481"/>
    </row>
    <row r="676" spans="1:50" s="454" customFormat="1" ht="15" x14ac:dyDescent="0.25">
      <c r="A676" s="526"/>
      <c r="B676" s="567"/>
      <c r="C676" s="2722" t="s">
        <v>872</v>
      </c>
      <c r="D676" s="2722"/>
      <c r="E676" s="2722"/>
      <c r="F676" s="483"/>
      <c r="G676" s="484"/>
      <c r="H676" s="484"/>
      <c r="I676" s="484"/>
      <c r="J676" s="487"/>
      <c r="K676" s="484"/>
      <c r="L676" s="527">
        <v>804.18</v>
      </c>
      <c r="M676" s="563"/>
      <c r="N676" s="525">
        <v>6208.27</v>
      </c>
      <c r="AF676" s="716"/>
      <c r="AG676" s="481"/>
      <c r="AI676" s="481"/>
      <c r="AN676" s="481" t="s">
        <v>872</v>
      </c>
      <c r="AO676" s="746"/>
      <c r="AP676" s="746"/>
      <c r="AQ676" s="699"/>
      <c r="AR676" s="699"/>
      <c r="AS676" s="699"/>
      <c r="AT676" s="699"/>
      <c r="AU676" s="699"/>
      <c r="AV676" s="481"/>
      <c r="AX676" s="481"/>
    </row>
    <row r="677" spans="1:50" s="454" customFormat="1" ht="45.75" x14ac:dyDescent="0.25">
      <c r="A677" s="482" t="s">
        <v>1410</v>
      </c>
      <c r="B677" s="568" t="s">
        <v>2645</v>
      </c>
      <c r="C677" s="2722" t="s">
        <v>2646</v>
      </c>
      <c r="D677" s="2722"/>
      <c r="E677" s="2722"/>
      <c r="F677" s="483" t="s">
        <v>2647</v>
      </c>
      <c r="G677" s="484">
        <v>6.48</v>
      </c>
      <c r="H677" s="485">
        <v>1</v>
      </c>
      <c r="I677" s="732">
        <v>6.48</v>
      </c>
      <c r="J677" s="527">
        <v>111.05</v>
      </c>
      <c r="K677" s="484"/>
      <c r="L677" s="527">
        <v>719.6</v>
      </c>
      <c r="M677" s="732">
        <v>7.72</v>
      </c>
      <c r="N677" s="525">
        <v>5555.31</v>
      </c>
      <c r="AF677" s="716"/>
      <c r="AG677" s="481"/>
      <c r="AI677" s="481" t="s">
        <v>2646</v>
      </c>
      <c r="AN677" s="481"/>
      <c r="AO677" s="746"/>
      <c r="AP677" s="746"/>
      <c r="AQ677" s="699"/>
      <c r="AR677" s="699"/>
      <c r="AS677" s="699"/>
      <c r="AT677" s="699"/>
      <c r="AU677" s="699"/>
      <c r="AV677" s="481"/>
      <c r="AX677" s="481"/>
    </row>
    <row r="678" spans="1:50" s="454" customFormat="1" ht="15" x14ac:dyDescent="0.25">
      <c r="A678" s="526"/>
      <c r="B678" s="567"/>
      <c r="C678" s="2722" t="s">
        <v>872</v>
      </c>
      <c r="D678" s="2722"/>
      <c r="E678" s="2722"/>
      <c r="F678" s="483"/>
      <c r="G678" s="484"/>
      <c r="H678" s="484"/>
      <c r="I678" s="484"/>
      <c r="J678" s="487"/>
      <c r="K678" s="484"/>
      <c r="L678" s="527">
        <v>719.6</v>
      </c>
      <c r="M678" s="563"/>
      <c r="N678" s="525">
        <v>5555.31</v>
      </c>
      <c r="AF678" s="716"/>
      <c r="AG678" s="481"/>
      <c r="AI678" s="481"/>
      <c r="AN678" s="481" t="s">
        <v>872</v>
      </c>
      <c r="AO678" s="746"/>
      <c r="AP678" s="746"/>
      <c r="AQ678" s="699"/>
      <c r="AR678" s="699"/>
      <c r="AS678" s="699"/>
      <c r="AT678" s="699"/>
      <c r="AU678" s="699"/>
      <c r="AV678" s="481"/>
      <c r="AX678" s="481"/>
    </row>
    <row r="679" spans="1:50" s="454" customFormat="1" ht="15" x14ac:dyDescent="0.25">
      <c r="A679" s="530"/>
      <c r="B679" s="531"/>
      <c r="C679" s="531"/>
      <c r="D679" s="531"/>
      <c r="E679" s="531"/>
      <c r="F679" s="532"/>
      <c r="G679" s="532"/>
      <c r="H679" s="532"/>
      <c r="I679" s="532"/>
      <c r="J679" s="533"/>
      <c r="K679" s="532"/>
      <c r="L679" s="533"/>
      <c r="M679" s="564"/>
      <c r="N679" s="533"/>
      <c r="AF679" s="716"/>
      <c r="AG679" s="481"/>
      <c r="AI679" s="481"/>
      <c r="AN679" s="481"/>
      <c r="AO679" s="746"/>
      <c r="AP679" s="746"/>
      <c r="AQ679" s="699"/>
      <c r="AR679" s="699"/>
      <c r="AS679" s="699"/>
      <c r="AT679" s="699"/>
      <c r="AU679" s="699"/>
      <c r="AV679" s="481"/>
      <c r="AX679" s="481"/>
    </row>
    <row r="680" spans="1:50" s="454" customFormat="1" ht="15" x14ac:dyDescent="0.25">
      <c r="A680" s="779"/>
      <c r="B680" s="780"/>
      <c r="C680" s="2722" t="s">
        <v>2657</v>
      </c>
      <c r="D680" s="2722"/>
      <c r="E680" s="2722"/>
      <c r="F680" s="2722"/>
      <c r="G680" s="2722"/>
      <c r="H680" s="2722"/>
      <c r="I680" s="2722"/>
      <c r="J680" s="2722"/>
      <c r="K680" s="2722"/>
      <c r="L680" s="781"/>
      <c r="M680" s="782"/>
      <c r="N680" s="783"/>
      <c r="AF680" s="716"/>
      <c r="AG680" s="481"/>
      <c r="AI680" s="481"/>
      <c r="AN680" s="481"/>
      <c r="AO680" s="746"/>
      <c r="AP680" s="746"/>
      <c r="AQ680" s="699"/>
      <c r="AR680" s="699"/>
      <c r="AS680" s="699"/>
      <c r="AT680" s="699"/>
      <c r="AU680" s="699"/>
      <c r="AV680" s="481" t="s">
        <v>2657</v>
      </c>
      <c r="AX680" s="481"/>
    </row>
    <row r="681" spans="1:50" s="454" customFormat="1" ht="15" x14ac:dyDescent="0.25">
      <c r="A681" s="523"/>
      <c r="B681" s="490"/>
      <c r="C681" s="2669" t="s">
        <v>890</v>
      </c>
      <c r="D681" s="2669"/>
      <c r="E681" s="2669"/>
      <c r="F681" s="2669"/>
      <c r="G681" s="2669"/>
      <c r="H681" s="2669"/>
      <c r="I681" s="2669"/>
      <c r="J681" s="2669"/>
      <c r="K681" s="2669"/>
      <c r="L681" s="784">
        <v>3177377.63</v>
      </c>
      <c r="M681" s="785"/>
      <c r="N681" s="536">
        <v>33491988.190000001</v>
      </c>
      <c r="AF681" s="716"/>
      <c r="AG681" s="481"/>
      <c r="AI681" s="481"/>
      <c r="AN681" s="481"/>
      <c r="AO681" s="746"/>
      <c r="AP681" s="746"/>
      <c r="AQ681" s="699"/>
      <c r="AR681" s="699"/>
      <c r="AS681" s="699"/>
      <c r="AT681" s="699"/>
      <c r="AU681" s="699"/>
      <c r="AV681" s="481"/>
      <c r="AW681" s="491" t="s">
        <v>890</v>
      </c>
      <c r="AX681" s="481"/>
    </row>
    <row r="682" spans="1:50" s="454" customFormat="1" ht="15" x14ac:dyDescent="0.25">
      <c r="A682" s="523"/>
      <c r="B682" s="490"/>
      <c r="C682" s="2669" t="s">
        <v>891</v>
      </c>
      <c r="D682" s="2669"/>
      <c r="E682" s="2669"/>
      <c r="F682" s="2669"/>
      <c r="G682" s="2669"/>
      <c r="H682" s="2669"/>
      <c r="I682" s="2669"/>
      <c r="J682" s="2669"/>
      <c r="K682" s="2669"/>
      <c r="L682" s="786"/>
      <c r="M682" s="785"/>
      <c r="N682" s="537"/>
      <c r="AF682" s="716"/>
      <c r="AG682" s="481"/>
      <c r="AI682" s="481"/>
      <c r="AN682" s="481"/>
      <c r="AO682" s="746"/>
      <c r="AP682" s="746"/>
      <c r="AQ682" s="699"/>
      <c r="AR682" s="699"/>
      <c r="AS682" s="699"/>
      <c r="AT682" s="699"/>
      <c r="AU682" s="699"/>
      <c r="AV682" s="481"/>
      <c r="AW682" s="491" t="s">
        <v>891</v>
      </c>
      <c r="AX682" s="481"/>
    </row>
    <row r="683" spans="1:50" s="454" customFormat="1" ht="15" x14ac:dyDescent="0.25">
      <c r="A683" s="523"/>
      <c r="B683" s="490"/>
      <c r="C683" s="2669" t="s">
        <v>892</v>
      </c>
      <c r="D683" s="2669"/>
      <c r="E683" s="2669"/>
      <c r="F683" s="2669"/>
      <c r="G683" s="2669"/>
      <c r="H683" s="2669"/>
      <c r="I683" s="2669"/>
      <c r="J683" s="2669"/>
      <c r="K683" s="2669"/>
      <c r="L683" s="784">
        <v>159916.98000000001</v>
      </c>
      <c r="M683" s="785"/>
      <c r="N683" s="536">
        <v>4368931.9000000004</v>
      </c>
      <c r="AF683" s="716"/>
      <c r="AG683" s="481"/>
      <c r="AI683" s="481"/>
      <c r="AN683" s="481"/>
      <c r="AO683" s="746"/>
      <c r="AP683" s="746"/>
      <c r="AQ683" s="699"/>
      <c r="AR683" s="699"/>
      <c r="AS683" s="699"/>
      <c r="AT683" s="699"/>
      <c r="AU683" s="699"/>
      <c r="AV683" s="481"/>
      <c r="AW683" s="491" t="s">
        <v>892</v>
      </c>
      <c r="AX683" s="481"/>
    </row>
    <row r="684" spans="1:50" s="454" customFormat="1" ht="15" x14ac:dyDescent="0.25">
      <c r="A684" s="523"/>
      <c r="B684" s="490"/>
      <c r="C684" s="2669" t="s">
        <v>893</v>
      </c>
      <c r="D684" s="2669"/>
      <c r="E684" s="2669"/>
      <c r="F684" s="2669"/>
      <c r="G684" s="2669"/>
      <c r="H684" s="2669"/>
      <c r="I684" s="2669"/>
      <c r="J684" s="2669"/>
      <c r="K684" s="2669"/>
      <c r="L684" s="784">
        <v>1821331.29</v>
      </c>
      <c r="M684" s="785"/>
      <c r="N684" s="536">
        <v>19888937.699999999</v>
      </c>
      <c r="AF684" s="716"/>
      <c r="AG684" s="481"/>
      <c r="AI684" s="481"/>
      <c r="AN684" s="481"/>
      <c r="AO684" s="746"/>
      <c r="AP684" s="746"/>
      <c r="AQ684" s="699"/>
      <c r="AR684" s="699"/>
      <c r="AS684" s="699"/>
      <c r="AT684" s="699"/>
      <c r="AU684" s="699"/>
      <c r="AV684" s="481"/>
      <c r="AW684" s="491" t="s">
        <v>893</v>
      </c>
      <c r="AX684" s="481"/>
    </row>
    <row r="685" spans="1:50" s="454" customFormat="1" ht="15" x14ac:dyDescent="0.25">
      <c r="A685" s="523"/>
      <c r="B685" s="490"/>
      <c r="C685" s="2669" t="s">
        <v>2578</v>
      </c>
      <c r="D685" s="2669"/>
      <c r="E685" s="2669"/>
      <c r="F685" s="2669"/>
      <c r="G685" s="2669"/>
      <c r="H685" s="2669"/>
      <c r="I685" s="2669"/>
      <c r="J685" s="2669"/>
      <c r="K685" s="2669"/>
      <c r="L685" s="784">
        <v>81741.75</v>
      </c>
      <c r="M685" s="785"/>
      <c r="N685" s="536">
        <v>2233184.62</v>
      </c>
      <c r="AF685" s="716"/>
      <c r="AG685" s="481"/>
      <c r="AI685" s="481"/>
      <c r="AN685" s="481"/>
      <c r="AO685" s="746"/>
      <c r="AP685" s="746"/>
      <c r="AQ685" s="699"/>
      <c r="AR685" s="699"/>
      <c r="AS685" s="699"/>
      <c r="AT685" s="699"/>
      <c r="AU685" s="699"/>
      <c r="AV685" s="481"/>
      <c r="AW685" s="491" t="s">
        <v>2578</v>
      </c>
      <c r="AX685" s="481"/>
    </row>
    <row r="686" spans="1:50" s="454" customFormat="1" ht="15" x14ac:dyDescent="0.25">
      <c r="A686" s="523"/>
      <c r="B686" s="490"/>
      <c r="C686" s="2669" t="s">
        <v>895</v>
      </c>
      <c r="D686" s="2669"/>
      <c r="E686" s="2669"/>
      <c r="F686" s="2669"/>
      <c r="G686" s="2669"/>
      <c r="H686" s="2669"/>
      <c r="I686" s="2669"/>
      <c r="J686" s="2669"/>
      <c r="K686" s="2669"/>
      <c r="L686" s="784">
        <v>1196129.3600000001</v>
      </c>
      <c r="M686" s="785"/>
      <c r="N686" s="536">
        <v>9234118.5899999999</v>
      </c>
      <c r="AF686" s="716"/>
      <c r="AG686" s="481"/>
      <c r="AI686" s="481"/>
      <c r="AN686" s="481"/>
      <c r="AO686" s="746"/>
      <c r="AP686" s="746"/>
      <c r="AQ686" s="699"/>
      <c r="AR686" s="699"/>
      <c r="AS686" s="699"/>
      <c r="AT686" s="699"/>
      <c r="AU686" s="699"/>
      <c r="AV686" s="481"/>
      <c r="AW686" s="491" t="s">
        <v>895</v>
      </c>
      <c r="AX686" s="481"/>
    </row>
    <row r="687" spans="1:50" s="454" customFormat="1" ht="15" x14ac:dyDescent="0.25">
      <c r="A687" s="523"/>
      <c r="B687" s="490"/>
      <c r="C687" s="2669" t="s">
        <v>897</v>
      </c>
      <c r="D687" s="2669"/>
      <c r="E687" s="2669"/>
      <c r="F687" s="2669"/>
      <c r="G687" s="2669"/>
      <c r="H687" s="2669"/>
      <c r="I687" s="2669"/>
      <c r="J687" s="2669"/>
      <c r="K687" s="2669"/>
      <c r="L687" s="784">
        <v>3541384.67</v>
      </c>
      <c r="M687" s="785"/>
      <c r="N687" s="536">
        <v>43436660.740000002</v>
      </c>
      <c r="AF687" s="716"/>
      <c r="AG687" s="481"/>
      <c r="AI687" s="481"/>
      <c r="AN687" s="481"/>
      <c r="AO687" s="746"/>
      <c r="AP687" s="746"/>
      <c r="AQ687" s="699"/>
      <c r="AR687" s="699"/>
      <c r="AS687" s="699"/>
      <c r="AT687" s="699"/>
      <c r="AU687" s="699"/>
      <c r="AV687" s="481"/>
      <c r="AW687" s="491" t="s">
        <v>897</v>
      </c>
      <c r="AX687" s="481"/>
    </row>
    <row r="688" spans="1:50" s="454" customFormat="1" ht="15" x14ac:dyDescent="0.25">
      <c r="A688" s="523"/>
      <c r="B688" s="490"/>
      <c r="C688" s="2669" t="s">
        <v>898</v>
      </c>
      <c r="D688" s="2669"/>
      <c r="E688" s="2669"/>
      <c r="F688" s="2669"/>
      <c r="G688" s="2669"/>
      <c r="H688" s="2669"/>
      <c r="I688" s="2669"/>
      <c r="J688" s="2669"/>
      <c r="K688" s="2669"/>
      <c r="L688" s="784">
        <v>3533102.34</v>
      </c>
      <c r="M688" s="785"/>
      <c r="N688" s="536">
        <v>43342647.340000004</v>
      </c>
      <c r="AF688" s="716"/>
      <c r="AG688" s="481"/>
      <c r="AI688" s="481"/>
      <c r="AN688" s="481"/>
      <c r="AO688" s="746"/>
      <c r="AP688" s="746"/>
      <c r="AQ688" s="699"/>
      <c r="AR688" s="699"/>
      <c r="AS688" s="699"/>
      <c r="AT688" s="699"/>
      <c r="AU688" s="699"/>
      <c r="AV688" s="481"/>
      <c r="AW688" s="491" t="s">
        <v>898</v>
      </c>
      <c r="AX688" s="481"/>
    </row>
    <row r="689" spans="1:50" s="454" customFormat="1" ht="15" x14ac:dyDescent="0.25">
      <c r="A689" s="523"/>
      <c r="B689" s="490"/>
      <c r="C689" s="2669" t="s">
        <v>899</v>
      </c>
      <c r="D689" s="2669"/>
      <c r="E689" s="2669"/>
      <c r="F689" s="2669"/>
      <c r="G689" s="2669"/>
      <c r="H689" s="2669"/>
      <c r="I689" s="2669"/>
      <c r="J689" s="2669"/>
      <c r="K689" s="2669"/>
      <c r="L689" s="786"/>
      <c r="M689" s="785"/>
      <c r="N689" s="537"/>
      <c r="AF689" s="716"/>
      <c r="AG689" s="481"/>
      <c r="AI689" s="481"/>
      <c r="AN689" s="481"/>
      <c r="AO689" s="746"/>
      <c r="AP689" s="746"/>
      <c r="AQ689" s="699"/>
      <c r="AR689" s="699"/>
      <c r="AS689" s="699"/>
      <c r="AT689" s="699"/>
      <c r="AU689" s="699"/>
      <c r="AV689" s="481"/>
      <c r="AW689" s="491" t="s">
        <v>899</v>
      </c>
      <c r="AX689" s="481"/>
    </row>
    <row r="690" spans="1:50" s="454" customFormat="1" ht="15" x14ac:dyDescent="0.25">
      <c r="A690" s="523"/>
      <c r="B690" s="490"/>
      <c r="C690" s="2669" t="s">
        <v>900</v>
      </c>
      <c r="D690" s="2669"/>
      <c r="E690" s="2669"/>
      <c r="F690" s="2669"/>
      <c r="G690" s="2669"/>
      <c r="H690" s="2669"/>
      <c r="I690" s="2669"/>
      <c r="J690" s="2669"/>
      <c r="K690" s="2669"/>
      <c r="L690" s="784">
        <v>159277.82999999999</v>
      </c>
      <c r="M690" s="785"/>
      <c r="N690" s="536">
        <v>4351470.32</v>
      </c>
      <c r="AF690" s="716"/>
      <c r="AG690" s="481"/>
      <c r="AI690" s="481"/>
      <c r="AN690" s="481"/>
      <c r="AO690" s="746"/>
      <c r="AP690" s="746"/>
      <c r="AQ690" s="699"/>
      <c r="AR690" s="699"/>
      <c r="AS690" s="699"/>
      <c r="AT690" s="699"/>
      <c r="AU690" s="699"/>
      <c r="AV690" s="481"/>
      <c r="AW690" s="491" t="s">
        <v>900</v>
      </c>
      <c r="AX690" s="481"/>
    </row>
    <row r="691" spans="1:50" s="454" customFormat="1" ht="15" x14ac:dyDescent="0.25">
      <c r="A691" s="523"/>
      <c r="B691" s="490"/>
      <c r="C691" s="2669" t="s">
        <v>901</v>
      </c>
      <c r="D691" s="2669"/>
      <c r="E691" s="2669"/>
      <c r="F691" s="2669"/>
      <c r="G691" s="2669"/>
      <c r="H691" s="2669"/>
      <c r="I691" s="2669"/>
      <c r="J691" s="2669"/>
      <c r="K691" s="2669"/>
      <c r="L691" s="784">
        <v>1820764.25</v>
      </c>
      <c r="M691" s="785"/>
      <c r="N691" s="536">
        <v>19882745.620000001</v>
      </c>
      <c r="AF691" s="716"/>
      <c r="AG691" s="481"/>
      <c r="AI691" s="481"/>
      <c r="AN691" s="481"/>
      <c r="AO691" s="746"/>
      <c r="AP691" s="746"/>
      <c r="AQ691" s="699"/>
      <c r="AR691" s="699"/>
      <c r="AS691" s="699"/>
      <c r="AT691" s="699"/>
      <c r="AU691" s="699"/>
      <c r="AV691" s="481"/>
      <c r="AW691" s="491" t="s">
        <v>901</v>
      </c>
      <c r="AX691" s="481"/>
    </row>
    <row r="692" spans="1:50" s="454" customFormat="1" ht="15" x14ac:dyDescent="0.25">
      <c r="A692" s="523"/>
      <c r="B692" s="490"/>
      <c r="C692" s="2669" t="s">
        <v>2579</v>
      </c>
      <c r="D692" s="2669"/>
      <c r="E692" s="2669"/>
      <c r="F692" s="2669"/>
      <c r="G692" s="2669"/>
      <c r="H692" s="2669"/>
      <c r="I692" s="2669"/>
      <c r="J692" s="2669"/>
      <c r="K692" s="2669"/>
      <c r="L692" s="784">
        <v>81630.759999999995</v>
      </c>
      <c r="M692" s="785"/>
      <c r="N692" s="536">
        <v>2230152.37</v>
      </c>
      <c r="AF692" s="716"/>
      <c r="AG692" s="481"/>
      <c r="AI692" s="481"/>
      <c r="AN692" s="481"/>
      <c r="AO692" s="746"/>
      <c r="AP692" s="746"/>
      <c r="AQ692" s="699"/>
      <c r="AR692" s="699"/>
      <c r="AS692" s="699"/>
      <c r="AT692" s="699"/>
      <c r="AU692" s="699"/>
      <c r="AV692" s="481"/>
      <c r="AW692" s="491" t="s">
        <v>2579</v>
      </c>
      <c r="AX692" s="481"/>
    </row>
    <row r="693" spans="1:50" s="454" customFormat="1" ht="15" x14ac:dyDescent="0.25">
      <c r="A693" s="523"/>
      <c r="B693" s="490"/>
      <c r="C693" s="2669" t="s">
        <v>903</v>
      </c>
      <c r="D693" s="2669"/>
      <c r="E693" s="2669"/>
      <c r="F693" s="2669"/>
      <c r="G693" s="2669"/>
      <c r="H693" s="2669"/>
      <c r="I693" s="2669"/>
      <c r="J693" s="2669"/>
      <c r="K693" s="2669"/>
      <c r="L693" s="784">
        <v>1189855.8700000001</v>
      </c>
      <c r="M693" s="785"/>
      <c r="N693" s="536">
        <v>9185687.25</v>
      </c>
      <c r="AF693" s="716"/>
      <c r="AG693" s="481"/>
      <c r="AI693" s="481"/>
      <c r="AN693" s="481"/>
      <c r="AO693" s="746"/>
      <c r="AP693" s="746"/>
      <c r="AQ693" s="699"/>
      <c r="AR693" s="699"/>
      <c r="AS693" s="699"/>
      <c r="AT693" s="699"/>
      <c r="AU693" s="699"/>
      <c r="AV693" s="481"/>
      <c r="AW693" s="491" t="s">
        <v>903</v>
      </c>
      <c r="AX693" s="481"/>
    </row>
    <row r="694" spans="1:50" s="454" customFormat="1" ht="15" x14ac:dyDescent="0.25">
      <c r="A694" s="523"/>
      <c r="B694" s="490"/>
      <c r="C694" s="2669" t="s">
        <v>904</v>
      </c>
      <c r="D694" s="2669"/>
      <c r="E694" s="2669"/>
      <c r="F694" s="2669"/>
      <c r="G694" s="2669"/>
      <c r="H694" s="2669"/>
      <c r="I694" s="2669"/>
      <c r="J694" s="2669"/>
      <c r="K694" s="2669"/>
      <c r="L694" s="784">
        <v>253474.15</v>
      </c>
      <c r="M694" s="785"/>
      <c r="N694" s="536">
        <v>6924913.9500000002</v>
      </c>
      <c r="AF694" s="716"/>
      <c r="AG694" s="481"/>
      <c r="AI694" s="481"/>
      <c r="AN694" s="481"/>
      <c r="AO694" s="746"/>
      <c r="AP694" s="746"/>
      <c r="AQ694" s="699"/>
      <c r="AR694" s="699"/>
      <c r="AS694" s="699"/>
      <c r="AT694" s="699"/>
      <c r="AU694" s="699"/>
      <c r="AV694" s="481"/>
      <c r="AW694" s="491" t="s">
        <v>904</v>
      </c>
      <c r="AX694" s="481"/>
    </row>
    <row r="695" spans="1:50" s="454" customFormat="1" ht="15" x14ac:dyDescent="0.25">
      <c r="A695" s="523"/>
      <c r="B695" s="490"/>
      <c r="C695" s="2669" t="s">
        <v>905</v>
      </c>
      <c r="D695" s="2669"/>
      <c r="E695" s="2669"/>
      <c r="F695" s="2669"/>
      <c r="G695" s="2669"/>
      <c r="H695" s="2669"/>
      <c r="I695" s="2669"/>
      <c r="J695" s="2669"/>
      <c r="K695" s="2669"/>
      <c r="L695" s="784">
        <v>109730.24000000001</v>
      </c>
      <c r="M695" s="785"/>
      <c r="N695" s="536">
        <v>2997830.2</v>
      </c>
      <c r="AF695" s="716"/>
      <c r="AG695" s="481"/>
      <c r="AI695" s="481"/>
      <c r="AN695" s="481"/>
      <c r="AO695" s="746"/>
      <c r="AP695" s="746"/>
      <c r="AQ695" s="699"/>
      <c r="AR695" s="699"/>
      <c r="AS695" s="699"/>
      <c r="AT695" s="699"/>
      <c r="AU695" s="699"/>
      <c r="AV695" s="481"/>
      <c r="AW695" s="491" t="s">
        <v>905</v>
      </c>
      <c r="AX695" s="481"/>
    </row>
    <row r="696" spans="1:50" s="454" customFormat="1" ht="15" x14ac:dyDescent="0.25">
      <c r="A696" s="523"/>
      <c r="B696" s="490"/>
      <c r="C696" s="2669" t="s">
        <v>2580</v>
      </c>
      <c r="D696" s="2669"/>
      <c r="E696" s="2669"/>
      <c r="F696" s="2669"/>
      <c r="G696" s="2669"/>
      <c r="H696" s="2669"/>
      <c r="I696" s="2669"/>
      <c r="J696" s="2669"/>
      <c r="K696" s="2669"/>
      <c r="L696" s="784">
        <v>8282.33</v>
      </c>
      <c r="M696" s="785"/>
      <c r="N696" s="536">
        <v>94013.4</v>
      </c>
      <c r="AF696" s="716"/>
      <c r="AG696" s="481"/>
      <c r="AI696" s="481"/>
      <c r="AN696" s="481"/>
      <c r="AO696" s="746"/>
      <c r="AP696" s="746"/>
      <c r="AQ696" s="699"/>
      <c r="AR696" s="699"/>
      <c r="AS696" s="699"/>
      <c r="AT696" s="699"/>
      <c r="AU696" s="699"/>
      <c r="AV696" s="481"/>
      <c r="AW696" s="491" t="s">
        <v>2580</v>
      </c>
      <c r="AX696" s="481"/>
    </row>
    <row r="697" spans="1:50" s="454" customFormat="1" ht="15" x14ac:dyDescent="0.25">
      <c r="A697" s="523"/>
      <c r="B697" s="490"/>
      <c r="C697" s="2669" t="s">
        <v>899</v>
      </c>
      <c r="D697" s="2669"/>
      <c r="E697" s="2669"/>
      <c r="F697" s="2669"/>
      <c r="G697" s="2669"/>
      <c r="H697" s="2669"/>
      <c r="I697" s="2669"/>
      <c r="J697" s="2669"/>
      <c r="K697" s="2669"/>
      <c r="L697" s="786"/>
      <c r="M697" s="785"/>
      <c r="N697" s="537"/>
      <c r="AF697" s="716"/>
      <c r="AG697" s="481"/>
      <c r="AI697" s="481"/>
      <c r="AN697" s="481"/>
      <c r="AO697" s="746"/>
      <c r="AP697" s="746"/>
      <c r="AQ697" s="699"/>
      <c r="AR697" s="699"/>
      <c r="AS697" s="699"/>
      <c r="AT697" s="699"/>
      <c r="AU697" s="699"/>
      <c r="AV697" s="481"/>
      <c r="AW697" s="491" t="s">
        <v>899</v>
      </c>
      <c r="AX697" s="481"/>
    </row>
    <row r="698" spans="1:50" s="454" customFormat="1" ht="15" x14ac:dyDescent="0.25">
      <c r="A698" s="523"/>
      <c r="B698" s="490"/>
      <c r="C698" s="2669" t="s">
        <v>900</v>
      </c>
      <c r="D698" s="2669"/>
      <c r="E698" s="2669"/>
      <c r="F698" s="2669"/>
      <c r="G698" s="2669"/>
      <c r="H698" s="2669"/>
      <c r="I698" s="2669"/>
      <c r="J698" s="2669"/>
      <c r="K698" s="2669"/>
      <c r="L698" s="787">
        <v>639.15</v>
      </c>
      <c r="M698" s="785"/>
      <c r="N698" s="536">
        <v>17461.580000000002</v>
      </c>
      <c r="AF698" s="716"/>
      <c r="AG698" s="481"/>
      <c r="AI698" s="481"/>
      <c r="AN698" s="481"/>
      <c r="AO698" s="746"/>
      <c r="AP698" s="746"/>
      <c r="AQ698" s="699"/>
      <c r="AR698" s="699"/>
      <c r="AS698" s="699"/>
      <c r="AT698" s="699"/>
      <c r="AU698" s="699"/>
      <c r="AV698" s="481"/>
      <c r="AW698" s="491" t="s">
        <v>900</v>
      </c>
      <c r="AX698" s="481"/>
    </row>
    <row r="699" spans="1:50" s="454" customFormat="1" ht="15" x14ac:dyDescent="0.25">
      <c r="A699" s="523"/>
      <c r="B699" s="490"/>
      <c r="C699" s="2669" t="s">
        <v>901</v>
      </c>
      <c r="D699" s="2669"/>
      <c r="E699" s="2669"/>
      <c r="F699" s="2669"/>
      <c r="G699" s="2669"/>
      <c r="H699" s="2669"/>
      <c r="I699" s="2669"/>
      <c r="J699" s="2669"/>
      <c r="K699" s="2669"/>
      <c r="L699" s="787">
        <v>567.04</v>
      </c>
      <c r="M699" s="785"/>
      <c r="N699" s="536">
        <v>6192.08</v>
      </c>
      <c r="AF699" s="716"/>
      <c r="AG699" s="481"/>
      <c r="AI699" s="481"/>
      <c r="AN699" s="481"/>
      <c r="AO699" s="746"/>
      <c r="AP699" s="746"/>
      <c r="AQ699" s="699"/>
      <c r="AR699" s="699"/>
      <c r="AS699" s="699"/>
      <c r="AT699" s="699"/>
      <c r="AU699" s="699"/>
      <c r="AV699" s="481"/>
      <c r="AW699" s="491" t="s">
        <v>901</v>
      </c>
      <c r="AX699" s="481"/>
    </row>
    <row r="700" spans="1:50" s="454" customFormat="1" ht="15" x14ac:dyDescent="0.25">
      <c r="A700" s="523"/>
      <c r="B700" s="490"/>
      <c r="C700" s="2669" t="s">
        <v>2579</v>
      </c>
      <c r="D700" s="2669"/>
      <c r="E700" s="2669"/>
      <c r="F700" s="2669"/>
      <c r="G700" s="2669"/>
      <c r="H700" s="2669"/>
      <c r="I700" s="2669"/>
      <c r="J700" s="2669"/>
      <c r="K700" s="2669"/>
      <c r="L700" s="787">
        <v>110.99</v>
      </c>
      <c r="M700" s="785"/>
      <c r="N700" s="536">
        <v>3032.25</v>
      </c>
      <c r="AF700" s="716"/>
      <c r="AG700" s="481"/>
      <c r="AI700" s="481"/>
      <c r="AN700" s="481"/>
      <c r="AO700" s="746"/>
      <c r="AP700" s="746"/>
      <c r="AQ700" s="699"/>
      <c r="AR700" s="699"/>
      <c r="AS700" s="699"/>
      <c r="AT700" s="699"/>
      <c r="AU700" s="699"/>
      <c r="AV700" s="481"/>
      <c r="AW700" s="491" t="s">
        <v>2579</v>
      </c>
      <c r="AX700" s="481"/>
    </row>
    <row r="701" spans="1:50" s="454" customFormat="1" ht="15" x14ac:dyDescent="0.25">
      <c r="A701" s="523"/>
      <c r="B701" s="490"/>
      <c r="C701" s="2669" t="s">
        <v>903</v>
      </c>
      <c r="D701" s="2669"/>
      <c r="E701" s="2669"/>
      <c r="F701" s="2669"/>
      <c r="G701" s="2669"/>
      <c r="H701" s="2669"/>
      <c r="I701" s="2669"/>
      <c r="J701" s="2669"/>
      <c r="K701" s="2669"/>
      <c r="L701" s="784">
        <v>6273.49</v>
      </c>
      <c r="M701" s="785"/>
      <c r="N701" s="536">
        <v>48431.34</v>
      </c>
      <c r="AF701" s="716"/>
      <c r="AG701" s="481"/>
      <c r="AI701" s="481"/>
      <c r="AN701" s="481"/>
      <c r="AO701" s="746"/>
      <c r="AP701" s="746"/>
      <c r="AQ701" s="699"/>
      <c r="AR701" s="699"/>
      <c r="AS701" s="699"/>
      <c r="AT701" s="699"/>
      <c r="AU701" s="699"/>
      <c r="AV701" s="481"/>
      <c r="AW701" s="491" t="s">
        <v>903</v>
      </c>
      <c r="AX701" s="481"/>
    </row>
    <row r="702" spans="1:50" s="454" customFormat="1" ht="15" x14ac:dyDescent="0.25">
      <c r="A702" s="523"/>
      <c r="B702" s="490"/>
      <c r="C702" s="2669" t="s">
        <v>904</v>
      </c>
      <c r="D702" s="2669"/>
      <c r="E702" s="2669"/>
      <c r="F702" s="2669"/>
      <c r="G702" s="2669"/>
      <c r="H702" s="2669"/>
      <c r="I702" s="2669"/>
      <c r="J702" s="2669"/>
      <c r="K702" s="2669"/>
      <c r="L702" s="787">
        <v>547.6</v>
      </c>
      <c r="M702" s="785"/>
      <c r="N702" s="536">
        <v>14960.5</v>
      </c>
      <c r="AF702" s="716"/>
      <c r="AG702" s="481"/>
      <c r="AI702" s="481"/>
      <c r="AN702" s="481"/>
      <c r="AO702" s="746"/>
      <c r="AP702" s="746"/>
      <c r="AQ702" s="699"/>
      <c r="AR702" s="699"/>
      <c r="AS702" s="699"/>
      <c r="AT702" s="699"/>
      <c r="AU702" s="699"/>
      <c r="AV702" s="481"/>
      <c r="AW702" s="491" t="s">
        <v>904</v>
      </c>
      <c r="AX702" s="481"/>
    </row>
    <row r="703" spans="1:50" s="454" customFormat="1" ht="15" x14ac:dyDescent="0.25">
      <c r="A703" s="523"/>
      <c r="B703" s="490"/>
      <c r="C703" s="2669" t="s">
        <v>905</v>
      </c>
      <c r="D703" s="2669"/>
      <c r="E703" s="2669"/>
      <c r="F703" s="2669"/>
      <c r="G703" s="2669"/>
      <c r="H703" s="2669"/>
      <c r="I703" s="2669"/>
      <c r="J703" s="2669"/>
      <c r="K703" s="2669"/>
      <c r="L703" s="787">
        <v>255.05</v>
      </c>
      <c r="M703" s="785"/>
      <c r="N703" s="536">
        <v>6967.9</v>
      </c>
      <c r="AF703" s="716"/>
      <c r="AG703" s="481"/>
      <c r="AI703" s="481"/>
      <c r="AN703" s="481"/>
      <c r="AO703" s="746"/>
      <c r="AP703" s="746"/>
      <c r="AQ703" s="699"/>
      <c r="AR703" s="699"/>
      <c r="AS703" s="699"/>
      <c r="AT703" s="699"/>
      <c r="AU703" s="699"/>
      <c r="AV703" s="481"/>
      <c r="AW703" s="491" t="s">
        <v>905</v>
      </c>
      <c r="AX703" s="481"/>
    </row>
    <row r="704" spans="1:50" s="454" customFormat="1" ht="15" x14ac:dyDescent="0.25">
      <c r="A704" s="523"/>
      <c r="B704" s="490"/>
      <c r="C704" s="2669" t="s">
        <v>907</v>
      </c>
      <c r="D704" s="2669"/>
      <c r="E704" s="2669"/>
      <c r="F704" s="2669"/>
      <c r="G704" s="2669"/>
      <c r="H704" s="2669"/>
      <c r="I704" s="2669"/>
      <c r="J704" s="2669"/>
      <c r="K704" s="2669"/>
      <c r="L704" s="784">
        <v>241658.73</v>
      </c>
      <c r="M704" s="785"/>
      <c r="N704" s="536">
        <v>6602116.5199999996</v>
      </c>
      <c r="AF704" s="716"/>
      <c r="AG704" s="481"/>
      <c r="AI704" s="481"/>
      <c r="AN704" s="481"/>
      <c r="AO704" s="746"/>
      <c r="AP704" s="746"/>
      <c r="AQ704" s="699"/>
      <c r="AR704" s="699"/>
      <c r="AS704" s="699"/>
      <c r="AT704" s="699"/>
      <c r="AU704" s="699"/>
      <c r="AV704" s="481"/>
      <c r="AW704" s="491" t="s">
        <v>907</v>
      </c>
      <c r="AX704" s="481"/>
    </row>
    <row r="705" spans="1:50" s="454" customFormat="1" ht="15" x14ac:dyDescent="0.25">
      <c r="A705" s="523"/>
      <c r="B705" s="490"/>
      <c r="C705" s="2669" t="s">
        <v>908</v>
      </c>
      <c r="D705" s="2669"/>
      <c r="E705" s="2669"/>
      <c r="F705" s="2669"/>
      <c r="G705" s="2669"/>
      <c r="H705" s="2669"/>
      <c r="I705" s="2669"/>
      <c r="J705" s="2669"/>
      <c r="K705" s="2669"/>
      <c r="L705" s="784">
        <v>254021.75</v>
      </c>
      <c r="M705" s="785"/>
      <c r="N705" s="536">
        <v>6939874.4500000002</v>
      </c>
      <c r="AF705" s="716"/>
      <c r="AG705" s="481"/>
      <c r="AI705" s="481"/>
      <c r="AN705" s="481"/>
      <c r="AO705" s="746"/>
      <c r="AP705" s="746"/>
      <c r="AQ705" s="699"/>
      <c r="AR705" s="699"/>
      <c r="AS705" s="699"/>
      <c r="AT705" s="699"/>
      <c r="AU705" s="699"/>
      <c r="AV705" s="481"/>
      <c r="AW705" s="491" t="s">
        <v>908</v>
      </c>
      <c r="AX705" s="481"/>
    </row>
    <row r="706" spans="1:50" s="454" customFormat="1" ht="15" x14ac:dyDescent="0.25">
      <c r="A706" s="523"/>
      <c r="B706" s="490"/>
      <c r="C706" s="2669" t="s">
        <v>909</v>
      </c>
      <c r="D706" s="2669"/>
      <c r="E706" s="2669"/>
      <c r="F706" s="2669"/>
      <c r="G706" s="2669"/>
      <c r="H706" s="2669"/>
      <c r="I706" s="2669"/>
      <c r="J706" s="2669"/>
      <c r="K706" s="2669"/>
      <c r="L706" s="784">
        <v>109985.29</v>
      </c>
      <c r="M706" s="785"/>
      <c r="N706" s="536">
        <v>3004798.1</v>
      </c>
      <c r="AF706" s="716"/>
      <c r="AG706" s="481"/>
      <c r="AI706" s="481"/>
      <c r="AN706" s="481"/>
      <c r="AO706" s="746"/>
      <c r="AP706" s="746"/>
      <c r="AQ706" s="699"/>
      <c r="AR706" s="699"/>
      <c r="AS706" s="699"/>
      <c r="AT706" s="699"/>
      <c r="AU706" s="699"/>
      <c r="AV706" s="481"/>
      <c r="AW706" s="491" t="s">
        <v>909</v>
      </c>
      <c r="AX706" s="481"/>
    </row>
    <row r="707" spans="1:50" s="454" customFormat="1" ht="15" x14ac:dyDescent="0.25">
      <c r="A707" s="523"/>
      <c r="B707" s="534"/>
      <c r="C707" s="2729" t="s">
        <v>2658</v>
      </c>
      <c r="D707" s="2729"/>
      <c r="E707" s="2729"/>
      <c r="F707" s="2729"/>
      <c r="G707" s="2729"/>
      <c r="H707" s="2729"/>
      <c r="I707" s="2729"/>
      <c r="J707" s="2729"/>
      <c r="K707" s="2729"/>
      <c r="L707" s="544">
        <v>3541384.67</v>
      </c>
      <c r="M707" s="788"/>
      <c r="N707" s="538">
        <v>43436660.740000002</v>
      </c>
      <c r="AF707" s="716"/>
      <c r="AG707" s="481"/>
      <c r="AI707" s="481"/>
      <c r="AN707" s="481"/>
      <c r="AO707" s="746"/>
      <c r="AP707" s="746"/>
      <c r="AQ707" s="699"/>
      <c r="AR707" s="699"/>
      <c r="AS707" s="699"/>
      <c r="AT707" s="699"/>
      <c r="AU707" s="699"/>
      <c r="AV707" s="481"/>
      <c r="AX707" s="481" t="s">
        <v>2658</v>
      </c>
    </row>
    <row r="708" spans="1:50" s="454" customFormat="1" ht="15" x14ac:dyDescent="0.25">
      <c r="A708" s="523"/>
      <c r="B708" s="490"/>
      <c r="C708" s="2669" t="s">
        <v>891</v>
      </c>
      <c r="D708" s="2669"/>
      <c r="E708" s="2669"/>
      <c r="F708" s="2669"/>
      <c r="G708" s="2669"/>
      <c r="H708" s="2669"/>
      <c r="I708" s="2669"/>
      <c r="J708" s="2669"/>
      <c r="K708" s="2669"/>
      <c r="L708" s="786"/>
      <c r="M708" s="785"/>
      <c r="N708" s="537"/>
      <c r="AF708" s="716"/>
      <c r="AG708" s="481"/>
      <c r="AI708" s="481"/>
      <c r="AN708" s="481"/>
      <c r="AO708" s="746"/>
      <c r="AP708" s="746"/>
      <c r="AQ708" s="699"/>
      <c r="AR708" s="699"/>
      <c r="AS708" s="699"/>
      <c r="AT708" s="699"/>
      <c r="AU708" s="699"/>
      <c r="AV708" s="481"/>
      <c r="AW708" s="491" t="s">
        <v>891</v>
      </c>
      <c r="AX708" s="481"/>
    </row>
    <row r="709" spans="1:50" s="454" customFormat="1" ht="15" x14ac:dyDescent="0.25">
      <c r="A709" s="523"/>
      <c r="B709" s="490"/>
      <c r="C709" s="2669" t="s">
        <v>2650</v>
      </c>
      <c r="D709" s="2669"/>
      <c r="E709" s="2669"/>
      <c r="F709" s="2669"/>
      <c r="G709" s="2669"/>
      <c r="H709" s="2669"/>
      <c r="I709" s="2669"/>
      <c r="J709" s="2669"/>
      <c r="K709" s="2669"/>
      <c r="L709" s="784">
        <v>890011.08</v>
      </c>
      <c r="M709" s="785"/>
      <c r="N709" s="536">
        <v>6870885.4800000004</v>
      </c>
      <c r="AF709" s="716"/>
      <c r="AG709" s="481"/>
      <c r="AI709" s="481"/>
      <c r="AN709" s="481"/>
      <c r="AO709" s="746"/>
      <c r="AP709" s="746"/>
      <c r="AQ709" s="699"/>
      <c r="AR709" s="699"/>
      <c r="AS709" s="699"/>
      <c r="AT709" s="699"/>
      <c r="AU709" s="699"/>
      <c r="AV709" s="481"/>
      <c r="AW709" s="491" t="s">
        <v>2650</v>
      </c>
      <c r="AX709" s="481"/>
    </row>
    <row r="710" spans="1:50" s="454" customFormat="1" ht="15" x14ac:dyDescent="0.25">
      <c r="A710" s="2713" t="s">
        <v>2659</v>
      </c>
      <c r="B710" s="2714"/>
      <c r="C710" s="2714"/>
      <c r="D710" s="2714"/>
      <c r="E710" s="2714"/>
      <c r="F710" s="2714"/>
      <c r="G710" s="2714"/>
      <c r="H710" s="2714"/>
      <c r="I710" s="2714"/>
      <c r="J710" s="2714"/>
      <c r="K710" s="2714"/>
      <c r="L710" s="2714"/>
      <c r="M710" s="2714"/>
      <c r="N710" s="2715"/>
      <c r="AF710" s="716" t="s">
        <v>2659</v>
      </c>
      <c r="AG710" s="481"/>
      <c r="AI710" s="481"/>
      <c r="AN710" s="481"/>
      <c r="AO710" s="746"/>
      <c r="AP710" s="746"/>
      <c r="AQ710" s="699"/>
      <c r="AR710" s="699"/>
      <c r="AS710" s="699"/>
      <c r="AT710" s="699"/>
      <c r="AU710" s="699"/>
      <c r="AV710" s="481"/>
      <c r="AX710" s="481"/>
    </row>
    <row r="711" spans="1:50" s="454" customFormat="1" ht="23.25" x14ac:dyDescent="0.25">
      <c r="A711" s="2716" t="s">
        <v>2660</v>
      </c>
      <c r="B711" s="2717"/>
      <c r="C711" s="2717"/>
      <c r="D711" s="2717"/>
      <c r="E711" s="2717"/>
      <c r="F711" s="2717"/>
      <c r="G711" s="2717"/>
      <c r="H711" s="2717"/>
      <c r="I711" s="2717"/>
      <c r="J711" s="2717"/>
      <c r="K711" s="2717"/>
      <c r="L711" s="2717"/>
      <c r="M711" s="2717"/>
      <c r="N711" s="2718"/>
      <c r="AF711" s="716"/>
      <c r="AG711" s="481" t="s">
        <v>2660</v>
      </c>
      <c r="AI711" s="481"/>
      <c r="AN711" s="481"/>
      <c r="AO711" s="746"/>
      <c r="AP711" s="746"/>
      <c r="AQ711" s="699"/>
      <c r="AR711" s="699"/>
      <c r="AS711" s="699"/>
      <c r="AT711" s="699"/>
      <c r="AU711" s="699"/>
      <c r="AV711" s="481"/>
      <c r="AX711" s="481"/>
    </row>
    <row r="712" spans="1:50" s="454" customFormat="1" ht="34.5" x14ac:dyDescent="0.25">
      <c r="A712" s="482" t="s">
        <v>1421</v>
      </c>
      <c r="B712" s="568" t="s">
        <v>2661</v>
      </c>
      <c r="C712" s="2722" t="s">
        <v>2662</v>
      </c>
      <c r="D712" s="2722"/>
      <c r="E712" s="2722"/>
      <c r="F712" s="483" t="s">
        <v>2516</v>
      </c>
      <c r="G712" s="484">
        <v>614.32000000000005</v>
      </c>
      <c r="H712" s="485">
        <v>1</v>
      </c>
      <c r="I712" s="732">
        <v>614.32000000000005</v>
      </c>
      <c r="J712" s="527">
        <v>20.079999999999998</v>
      </c>
      <c r="K712" s="484"/>
      <c r="L712" s="524">
        <v>12335.55</v>
      </c>
      <c r="M712" s="732">
        <v>10.92</v>
      </c>
      <c r="N712" s="525">
        <v>134704.21</v>
      </c>
      <c r="AF712" s="716"/>
      <c r="AG712" s="481"/>
      <c r="AI712" s="481" t="s">
        <v>2662</v>
      </c>
      <c r="AN712" s="481"/>
      <c r="AO712" s="746"/>
      <c r="AP712" s="746"/>
      <c r="AQ712" s="699"/>
      <c r="AR712" s="699"/>
      <c r="AS712" s="699"/>
      <c r="AT712" s="699"/>
      <c r="AU712" s="699"/>
      <c r="AV712" s="481"/>
      <c r="AX712" s="481"/>
    </row>
    <row r="713" spans="1:50" s="454" customFormat="1" ht="15" x14ac:dyDescent="0.25">
      <c r="A713" s="526"/>
      <c r="B713" s="567"/>
      <c r="C713" s="2722" t="s">
        <v>872</v>
      </c>
      <c r="D713" s="2722"/>
      <c r="E713" s="2722"/>
      <c r="F713" s="483"/>
      <c r="G713" s="484"/>
      <c r="H713" s="484"/>
      <c r="I713" s="484"/>
      <c r="J713" s="487"/>
      <c r="K713" s="484"/>
      <c r="L713" s="524">
        <v>12335.55</v>
      </c>
      <c r="M713" s="563"/>
      <c r="N713" s="525">
        <v>134704.21</v>
      </c>
      <c r="AF713" s="716"/>
      <c r="AG713" s="481"/>
      <c r="AI713" s="481"/>
      <c r="AN713" s="481" t="s">
        <v>872</v>
      </c>
      <c r="AO713" s="746"/>
      <c r="AP713" s="746"/>
      <c r="AQ713" s="699"/>
      <c r="AR713" s="699"/>
      <c r="AS713" s="699"/>
      <c r="AT713" s="699"/>
      <c r="AU713" s="699"/>
      <c r="AV713" s="481"/>
      <c r="AX713" s="481"/>
    </row>
    <row r="714" spans="1:50" s="454" customFormat="1" ht="34.5" x14ac:dyDescent="0.25">
      <c r="A714" s="482" t="s">
        <v>1424</v>
      </c>
      <c r="B714" s="568" t="s">
        <v>2663</v>
      </c>
      <c r="C714" s="2722" t="s">
        <v>2664</v>
      </c>
      <c r="D714" s="2722"/>
      <c r="E714" s="2722"/>
      <c r="F714" s="483" t="s">
        <v>2516</v>
      </c>
      <c r="G714" s="484">
        <v>614.32000000000005</v>
      </c>
      <c r="H714" s="485">
        <v>-1</v>
      </c>
      <c r="I714" s="732">
        <v>-614.32000000000005</v>
      </c>
      <c r="J714" s="527">
        <v>19.29</v>
      </c>
      <c r="K714" s="484"/>
      <c r="L714" s="524">
        <v>-11850.23</v>
      </c>
      <c r="M714" s="732">
        <v>10.92</v>
      </c>
      <c r="N714" s="525">
        <v>-129404.51</v>
      </c>
      <c r="AF714" s="716"/>
      <c r="AG714" s="481"/>
      <c r="AI714" s="481" t="s">
        <v>2664</v>
      </c>
      <c r="AN714" s="481"/>
      <c r="AO714" s="746"/>
      <c r="AP714" s="746"/>
      <c r="AQ714" s="699"/>
      <c r="AR714" s="699"/>
      <c r="AS714" s="699"/>
      <c r="AT714" s="699"/>
      <c r="AU714" s="699"/>
      <c r="AV714" s="481"/>
      <c r="AX714" s="481"/>
    </row>
    <row r="715" spans="1:50" s="454" customFormat="1" ht="15" x14ac:dyDescent="0.25">
      <c r="A715" s="526"/>
      <c r="B715" s="567"/>
      <c r="C715" s="2722" t="s">
        <v>872</v>
      </c>
      <c r="D715" s="2722"/>
      <c r="E715" s="2722"/>
      <c r="F715" s="483"/>
      <c r="G715" s="484"/>
      <c r="H715" s="484"/>
      <c r="I715" s="484"/>
      <c r="J715" s="487"/>
      <c r="K715" s="484"/>
      <c r="L715" s="524">
        <v>-11850.23</v>
      </c>
      <c r="M715" s="563"/>
      <c r="N715" s="525">
        <v>-129404.51</v>
      </c>
      <c r="AF715" s="716"/>
      <c r="AG715" s="481"/>
      <c r="AI715" s="481"/>
      <c r="AN715" s="481" t="s">
        <v>872</v>
      </c>
      <c r="AO715" s="746"/>
      <c r="AP715" s="746"/>
      <c r="AQ715" s="699"/>
      <c r="AR715" s="699"/>
      <c r="AS715" s="699"/>
      <c r="AT715" s="699"/>
      <c r="AU715" s="699"/>
      <c r="AV715" s="481"/>
      <c r="AX715" s="481"/>
    </row>
    <row r="716" spans="1:50" s="454" customFormat="1" ht="15" x14ac:dyDescent="0.25">
      <c r="A716" s="2716" t="s">
        <v>2665</v>
      </c>
      <c r="B716" s="2717"/>
      <c r="C716" s="2717"/>
      <c r="D716" s="2717"/>
      <c r="E716" s="2717"/>
      <c r="F716" s="2717"/>
      <c r="G716" s="2717"/>
      <c r="H716" s="2717"/>
      <c r="I716" s="2717"/>
      <c r="J716" s="2717"/>
      <c r="K716" s="2717"/>
      <c r="L716" s="2717"/>
      <c r="M716" s="2717"/>
      <c r="N716" s="2718"/>
      <c r="AF716" s="716"/>
      <c r="AG716" s="481" t="s">
        <v>2665</v>
      </c>
      <c r="AI716" s="481"/>
      <c r="AN716" s="481"/>
      <c r="AO716" s="746"/>
      <c r="AP716" s="746"/>
      <c r="AQ716" s="699"/>
      <c r="AR716" s="699"/>
      <c r="AS716" s="699"/>
      <c r="AT716" s="699"/>
      <c r="AU716" s="699"/>
      <c r="AV716" s="481"/>
      <c r="AX716" s="481"/>
    </row>
    <row r="717" spans="1:50" s="454" customFormat="1" ht="34.5" x14ac:dyDescent="0.25">
      <c r="A717" s="482" t="s">
        <v>1427</v>
      </c>
      <c r="B717" s="568" t="s">
        <v>2666</v>
      </c>
      <c r="C717" s="2722" t="s">
        <v>2667</v>
      </c>
      <c r="D717" s="2722"/>
      <c r="E717" s="2722"/>
      <c r="F717" s="483" t="s">
        <v>2516</v>
      </c>
      <c r="G717" s="484">
        <v>498.899</v>
      </c>
      <c r="H717" s="485">
        <v>1</v>
      </c>
      <c r="I717" s="731">
        <v>498.899</v>
      </c>
      <c r="J717" s="527">
        <v>49.8</v>
      </c>
      <c r="K717" s="484"/>
      <c r="L717" s="524">
        <v>24845.17</v>
      </c>
      <c r="M717" s="732">
        <v>7.72</v>
      </c>
      <c r="N717" s="525">
        <v>191804.71</v>
      </c>
      <c r="AF717" s="716"/>
      <c r="AG717" s="481"/>
      <c r="AI717" s="481" t="s">
        <v>2667</v>
      </c>
      <c r="AN717" s="481"/>
      <c r="AO717" s="746"/>
      <c r="AP717" s="746"/>
      <c r="AQ717" s="699"/>
      <c r="AR717" s="699"/>
      <c r="AS717" s="699"/>
      <c r="AT717" s="699"/>
      <c r="AU717" s="699"/>
      <c r="AV717" s="481"/>
      <c r="AX717" s="481"/>
    </row>
    <row r="718" spans="1:50" s="454" customFormat="1" ht="15" x14ac:dyDescent="0.25">
      <c r="A718" s="526"/>
      <c r="B718" s="567"/>
      <c r="C718" s="2722" t="s">
        <v>872</v>
      </c>
      <c r="D718" s="2722"/>
      <c r="E718" s="2722"/>
      <c r="F718" s="483"/>
      <c r="G718" s="484"/>
      <c r="H718" s="484"/>
      <c r="I718" s="484"/>
      <c r="J718" s="487"/>
      <c r="K718" s="484"/>
      <c r="L718" s="524">
        <v>24845.17</v>
      </c>
      <c r="M718" s="563"/>
      <c r="N718" s="525">
        <v>191804.71</v>
      </c>
      <c r="AF718" s="716"/>
      <c r="AG718" s="481"/>
      <c r="AI718" s="481"/>
      <c r="AN718" s="481" t="s">
        <v>872</v>
      </c>
      <c r="AO718" s="746"/>
      <c r="AP718" s="746"/>
      <c r="AQ718" s="699"/>
      <c r="AR718" s="699"/>
      <c r="AS718" s="699"/>
      <c r="AT718" s="699"/>
      <c r="AU718" s="699"/>
      <c r="AV718" s="481"/>
      <c r="AX718" s="481"/>
    </row>
    <row r="719" spans="1:50" s="454" customFormat="1" ht="34.5" x14ac:dyDescent="0.25">
      <c r="A719" s="482" t="s">
        <v>1429</v>
      </c>
      <c r="B719" s="568" t="s">
        <v>2668</v>
      </c>
      <c r="C719" s="2722" t="s">
        <v>2669</v>
      </c>
      <c r="D719" s="2722"/>
      <c r="E719" s="2722"/>
      <c r="F719" s="483" t="s">
        <v>2516</v>
      </c>
      <c r="G719" s="484">
        <v>498.899</v>
      </c>
      <c r="H719" s="485">
        <v>-1</v>
      </c>
      <c r="I719" s="731">
        <v>-498.899</v>
      </c>
      <c r="J719" s="527">
        <v>18.16</v>
      </c>
      <c r="K719" s="484"/>
      <c r="L719" s="524">
        <v>-9060.01</v>
      </c>
      <c r="M719" s="732">
        <v>7.72</v>
      </c>
      <c r="N719" s="525">
        <v>-69943.28</v>
      </c>
      <c r="AF719" s="716"/>
      <c r="AG719" s="481"/>
      <c r="AI719" s="481" t="s">
        <v>2669</v>
      </c>
      <c r="AN719" s="481"/>
      <c r="AO719" s="746"/>
      <c r="AP719" s="746"/>
      <c r="AQ719" s="699"/>
      <c r="AR719" s="699"/>
      <c r="AS719" s="699"/>
      <c r="AT719" s="699"/>
      <c r="AU719" s="699"/>
      <c r="AV719" s="481"/>
      <c r="AX719" s="481"/>
    </row>
    <row r="720" spans="1:50" s="454" customFormat="1" ht="15" x14ac:dyDescent="0.25">
      <c r="A720" s="526"/>
      <c r="B720" s="567"/>
      <c r="C720" s="2722" t="s">
        <v>872</v>
      </c>
      <c r="D720" s="2722"/>
      <c r="E720" s="2722"/>
      <c r="F720" s="483"/>
      <c r="G720" s="484"/>
      <c r="H720" s="484"/>
      <c r="I720" s="484"/>
      <c r="J720" s="487"/>
      <c r="K720" s="484"/>
      <c r="L720" s="524">
        <v>-9060.01</v>
      </c>
      <c r="M720" s="563"/>
      <c r="N720" s="525">
        <v>-69943.28</v>
      </c>
      <c r="AF720" s="716"/>
      <c r="AG720" s="481"/>
      <c r="AI720" s="481"/>
      <c r="AN720" s="481" t="s">
        <v>872</v>
      </c>
      <c r="AO720" s="746"/>
      <c r="AP720" s="746"/>
      <c r="AQ720" s="699"/>
      <c r="AR720" s="699"/>
      <c r="AS720" s="699"/>
      <c r="AT720" s="699"/>
      <c r="AU720" s="699"/>
      <c r="AV720" s="481"/>
      <c r="AX720" s="481"/>
    </row>
    <row r="721" spans="1:53" s="454" customFormat="1" ht="15" x14ac:dyDescent="0.25">
      <c r="A721" s="2716" t="s">
        <v>2670</v>
      </c>
      <c r="B721" s="2717"/>
      <c r="C721" s="2717"/>
      <c r="D721" s="2717"/>
      <c r="E721" s="2717"/>
      <c r="F721" s="2717"/>
      <c r="G721" s="2717"/>
      <c r="H721" s="2717"/>
      <c r="I721" s="2717"/>
      <c r="J721" s="2717"/>
      <c r="K721" s="2717"/>
      <c r="L721" s="2717"/>
      <c r="M721" s="2717"/>
      <c r="N721" s="2718"/>
      <c r="AF721" s="716"/>
      <c r="AG721" s="481" t="s">
        <v>2670</v>
      </c>
      <c r="AI721" s="481"/>
      <c r="AN721" s="481"/>
      <c r="AO721" s="746"/>
      <c r="AP721" s="746"/>
      <c r="AQ721" s="699"/>
      <c r="AR721" s="699"/>
      <c r="AS721" s="699"/>
      <c r="AT721" s="699"/>
      <c r="AU721" s="699"/>
      <c r="AV721" s="481"/>
      <c r="AX721" s="481"/>
    </row>
    <row r="722" spans="1:53" s="454" customFormat="1" ht="34.5" x14ac:dyDescent="0.25">
      <c r="A722" s="482" t="s">
        <v>1430</v>
      </c>
      <c r="B722" s="568" t="s">
        <v>2666</v>
      </c>
      <c r="C722" s="2722" t="s">
        <v>2667</v>
      </c>
      <c r="D722" s="2722"/>
      <c r="E722" s="2722"/>
      <c r="F722" s="483" t="s">
        <v>2516</v>
      </c>
      <c r="G722" s="484">
        <v>9.5709999999999997</v>
      </c>
      <c r="H722" s="485">
        <v>1</v>
      </c>
      <c r="I722" s="731">
        <v>9.5709999999999997</v>
      </c>
      <c r="J722" s="527">
        <v>49.8</v>
      </c>
      <c r="K722" s="484"/>
      <c r="L722" s="527">
        <v>476.64</v>
      </c>
      <c r="M722" s="732">
        <v>7.72</v>
      </c>
      <c r="N722" s="525">
        <v>3679.66</v>
      </c>
      <c r="AF722" s="716"/>
      <c r="AG722" s="481"/>
      <c r="AI722" s="481" t="s">
        <v>2667</v>
      </c>
      <c r="AN722" s="481"/>
      <c r="AO722" s="746"/>
      <c r="AP722" s="746"/>
      <c r="AQ722" s="699"/>
      <c r="AR722" s="699"/>
      <c r="AS722" s="699"/>
      <c r="AT722" s="699"/>
      <c r="AU722" s="699"/>
      <c r="AV722" s="481"/>
      <c r="AX722" s="481"/>
    </row>
    <row r="723" spans="1:53" s="454" customFormat="1" ht="15" x14ac:dyDescent="0.25">
      <c r="A723" s="526"/>
      <c r="B723" s="567"/>
      <c r="C723" s="2722" t="s">
        <v>872</v>
      </c>
      <c r="D723" s="2722"/>
      <c r="E723" s="2722"/>
      <c r="F723" s="483"/>
      <c r="G723" s="484"/>
      <c r="H723" s="484"/>
      <c r="I723" s="484"/>
      <c r="J723" s="487"/>
      <c r="K723" s="484"/>
      <c r="L723" s="527">
        <v>476.64</v>
      </c>
      <c r="M723" s="563"/>
      <c r="N723" s="525">
        <v>3679.66</v>
      </c>
      <c r="AF723" s="716"/>
      <c r="AG723" s="481"/>
      <c r="AI723" s="481"/>
      <c r="AN723" s="481" t="s">
        <v>872</v>
      </c>
      <c r="AO723" s="746"/>
      <c r="AP723" s="746"/>
      <c r="AQ723" s="699"/>
      <c r="AR723" s="699"/>
      <c r="AS723" s="699"/>
      <c r="AT723" s="699"/>
      <c r="AU723" s="699"/>
      <c r="AV723" s="481"/>
      <c r="AX723" s="481"/>
    </row>
    <row r="724" spans="1:53" s="454" customFormat="1" ht="34.5" x14ac:dyDescent="0.25">
      <c r="A724" s="482" t="s">
        <v>1431</v>
      </c>
      <c r="B724" s="568" t="s">
        <v>2668</v>
      </c>
      <c r="C724" s="2722" t="s">
        <v>2669</v>
      </c>
      <c r="D724" s="2722"/>
      <c r="E724" s="2722"/>
      <c r="F724" s="483" t="s">
        <v>2516</v>
      </c>
      <c r="G724" s="484">
        <v>9.5709999999999997</v>
      </c>
      <c r="H724" s="485">
        <v>-1</v>
      </c>
      <c r="I724" s="731">
        <v>-9.5709999999999997</v>
      </c>
      <c r="J724" s="527">
        <v>18.16</v>
      </c>
      <c r="K724" s="484"/>
      <c r="L724" s="527">
        <v>-173.81</v>
      </c>
      <c r="M724" s="732">
        <v>7.72</v>
      </c>
      <c r="N724" s="525">
        <v>-1341.81</v>
      </c>
      <c r="AF724" s="716"/>
      <c r="AG724" s="481"/>
      <c r="AI724" s="481" t="s">
        <v>2669</v>
      </c>
      <c r="AN724" s="481"/>
      <c r="AO724" s="746"/>
      <c r="AP724" s="746"/>
      <c r="AQ724" s="699"/>
      <c r="AR724" s="699"/>
      <c r="AS724" s="699"/>
      <c r="AT724" s="699"/>
      <c r="AU724" s="699"/>
      <c r="AV724" s="481"/>
      <c r="AX724" s="481"/>
    </row>
    <row r="725" spans="1:53" s="454" customFormat="1" ht="15" x14ac:dyDescent="0.25">
      <c r="A725" s="526"/>
      <c r="B725" s="567"/>
      <c r="C725" s="2722" t="s">
        <v>872</v>
      </c>
      <c r="D725" s="2722"/>
      <c r="E725" s="2722"/>
      <c r="F725" s="483"/>
      <c r="G725" s="484"/>
      <c r="H725" s="484"/>
      <c r="I725" s="484"/>
      <c r="J725" s="487"/>
      <c r="K725" s="484"/>
      <c r="L725" s="527">
        <v>-173.81</v>
      </c>
      <c r="M725" s="563"/>
      <c r="N725" s="525">
        <v>-1341.81</v>
      </c>
      <c r="AF725" s="716"/>
      <c r="AG725" s="481"/>
      <c r="AI725" s="481"/>
      <c r="AN725" s="481" t="s">
        <v>872</v>
      </c>
      <c r="AO725" s="746"/>
      <c r="AP725" s="746"/>
      <c r="AQ725" s="699"/>
      <c r="AR725" s="699"/>
      <c r="AS725" s="699"/>
      <c r="AT725" s="699"/>
      <c r="AU725" s="699"/>
      <c r="AV725" s="481"/>
      <c r="AX725" s="481"/>
    </row>
    <row r="726" spans="1:53" s="454" customFormat="1" ht="15" x14ac:dyDescent="0.25">
      <c r="A726" s="530"/>
      <c r="B726" s="531"/>
      <c r="C726" s="531"/>
      <c r="D726" s="531"/>
      <c r="E726" s="531"/>
      <c r="F726" s="532"/>
      <c r="G726" s="532"/>
      <c r="H726" s="532"/>
      <c r="I726" s="532"/>
      <c r="J726" s="533"/>
      <c r="K726" s="532"/>
      <c r="L726" s="533"/>
      <c r="M726" s="564"/>
      <c r="N726" s="533"/>
      <c r="AF726" s="716"/>
      <c r="AG726" s="481"/>
      <c r="AI726" s="481"/>
      <c r="AN726" s="481"/>
      <c r="AO726" s="746"/>
      <c r="AP726" s="746"/>
      <c r="AQ726" s="699"/>
      <c r="AR726" s="699"/>
      <c r="AS726" s="699"/>
      <c r="AT726" s="699"/>
      <c r="AU726" s="699"/>
      <c r="AV726" s="481"/>
      <c r="AX726" s="481"/>
    </row>
    <row r="727" spans="1:53" s="454" customFormat="1" ht="15" x14ac:dyDescent="0.25">
      <c r="A727" s="779"/>
      <c r="B727" s="780"/>
      <c r="C727" s="2722" t="s">
        <v>2671</v>
      </c>
      <c r="D727" s="2722"/>
      <c r="E727" s="2722"/>
      <c r="F727" s="2722"/>
      <c r="G727" s="2722"/>
      <c r="H727" s="2722"/>
      <c r="I727" s="2722"/>
      <c r="J727" s="2722"/>
      <c r="K727" s="2722"/>
      <c r="L727" s="781"/>
      <c r="M727" s="782"/>
      <c r="N727" s="783"/>
      <c r="AF727" s="716"/>
      <c r="AG727" s="481"/>
      <c r="AI727" s="481"/>
      <c r="AN727" s="481"/>
      <c r="AO727" s="746"/>
      <c r="AP727" s="746"/>
      <c r="AQ727" s="699"/>
      <c r="AR727" s="699"/>
      <c r="AS727" s="699"/>
      <c r="AT727" s="699"/>
      <c r="AU727" s="699"/>
      <c r="AV727" s="481" t="s">
        <v>2671</v>
      </c>
      <c r="AX727" s="481"/>
    </row>
    <row r="728" spans="1:53" s="454" customFormat="1" ht="15" x14ac:dyDescent="0.25">
      <c r="A728" s="523"/>
      <c r="B728" s="490"/>
      <c r="C728" s="2669" t="s">
        <v>890</v>
      </c>
      <c r="D728" s="2669"/>
      <c r="E728" s="2669"/>
      <c r="F728" s="2669"/>
      <c r="G728" s="2669"/>
      <c r="H728" s="2669"/>
      <c r="I728" s="2669"/>
      <c r="J728" s="2669"/>
      <c r="K728" s="2669"/>
      <c r="L728" s="784">
        <v>16573.310000000001</v>
      </c>
      <c r="M728" s="785"/>
      <c r="N728" s="536">
        <v>129498.98</v>
      </c>
      <c r="AF728" s="716"/>
      <c r="AG728" s="481"/>
      <c r="AI728" s="481"/>
      <c r="AN728" s="481"/>
      <c r="AO728" s="746"/>
      <c r="AP728" s="746"/>
      <c r="AQ728" s="699"/>
      <c r="AR728" s="699"/>
      <c r="AS728" s="699"/>
      <c r="AT728" s="699"/>
      <c r="AU728" s="699"/>
      <c r="AV728" s="481"/>
      <c r="AW728" s="491" t="s">
        <v>890</v>
      </c>
      <c r="AX728" s="481"/>
    </row>
    <row r="729" spans="1:53" s="454" customFormat="1" ht="15" x14ac:dyDescent="0.25">
      <c r="A729" s="523"/>
      <c r="B729" s="490"/>
      <c r="C729" s="2669" t="s">
        <v>891</v>
      </c>
      <c r="D729" s="2669"/>
      <c r="E729" s="2669"/>
      <c r="F729" s="2669"/>
      <c r="G729" s="2669"/>
      <c r="H729" s="2669"/>
      <c r="I729" s="2669"/>
      <c r="J729" s="2669"/>
      <c r="K729" s="2669"/>
      <c r="L729" s="786"/>
      <c r="M729" s="785"/>
      <c r="N729" s="537"/>
      <c r="AF729" s="716"/>
      <c r="AG729" s="481"/>
      <c r="AI729" s="481"/>
      <c r="AN729" s="481"/>
      <c r="AO729" s="746"/>
      <c r="AP729" s="746"/>
      <c r="AQ729" s="699"/>
      <c r="AR729" s="699"/>
      <c r="AS729" s="699"/>
      <c r="AT729" s="699"/>
      <c r="AU729" s="699"/>
      <c r="AV729" s="481"/>
      <c r="AW729" s="491" t="s">
        <v>891</v>
      </c>
      <c r="AX729" s="481"/>
    </row>
    <row r="730" spans="1:53" s="454" customFormat="1" ht="15" x14ac:dyDescent="0.25">
      <c r="A730" s="523"/>
      <c r="B730" s="490"/>
      <c r="C730" s="2669" t="s">
        <v>896</v>
      </c>
      <c r="D730" s="2669"/>
      <c r="E730" s="2669"/>
      <c r="F730" s="2669"/>
      <c r="G730" s="2669"/>
      <c r="H730" s="2669"/>
      <c r="I730" s="2669"/>
      <c r="J730" s="2669"/>
      <c r="K730" s="2669"/>
      <c r="L730" s="784">
        <v>16573.310000000001</v>
      </c>
      <c r="M730" s="785"/>
      <c r="N730" s="536">
        <v>129498.98</v>
      </c>
      <c r="AF730" s="716"/>
      <c r="AG730" s="481"/>
      <c r="AI730" s="481"/>
      <c r="AN730" s="481"/>
      <c r="AO730" s="746"/>
      <c r="AP730" s="746"/>
      <c r="AQ730" s="699"/>
      <c r="AR730" s="699"/>
      <c r="AS730" s="699"/>
      <c r="AT730" s="699"/>
      <c r="AU730" s="699"/>
      <c r="AV730" s="481"/>
      <c r="AW730" s="491" t="s">
        <v>896</v>
      </c>
      <c r="AX730" s="481"/>
    </row>
    <row r="731" spans="1:53" s="454" customFormat="1" ht="15" x14ac:dyDescent="0.25">
      <c r="A731" s="523"/>
      <c r="B731" s="490"/>
      <c r="C731" s="2669" t="s">
        <v>897</v>
      </c>
      <c r="D731" s="2669"/>
      <c r="E731" s="2669"/>
      <c r="F731" s="2669"/>
      <c r="G731" s="2669"/>
      <c r="H731" s="2669"/>
      <c r="I731" s="2669"/>
      <c r="J731" s="2669"/>
      <c r="K731" s="2669"/>
      <c r="L731" s="784">
        <v>16573.310000000001</v>
      </c>
      <c r="M731" s="785"/>
      <c r="N731" s="536">
        <v>129498.98</v>
      </c>
      <c r="AF731" s="716"/>
      <c r="AG731" s="481"/>
      <c r="AI731" s="481"/>
      <c r="AN731" s="481"/>
      <c r="AO731" s="746"/>
      <c r="AP731" s="746"/>
      <c r="AQ731" s="699"/>
      <c r="AR731" s="699"/>
      <c r="AS731" s="699"/>
      <c r="AT731" s="699"/>
      <c r="AU731" s="699"/>
      <c r="AV731" s="481"/>
      <c r="AW731" s="491" t="s">
        <v>897</v>
      </c>
      <c r="AX731" s="481"/>
    </row>
    <row r="732" spans="1:53" s="454" customFormat="1" ht="15" x14ac:dyDescent="0.25">
      <c r="A732" s="523"/>
      <c r="B732" s="490"/>
      <c r="C732" s="2669" t="s">
        <v>906</v>
      </c>
      <c r="D732" s="2669"/>
      <c r="E732" s="2669"/>
      <c r="F732" s="2669"/>
      <c r="G732" s="2669"/>
      <c r="H732" s="2669"/>
      <c r="I732" s="2669"/>
      <c r="J732" s="2669"/>
      <c r="K732" s="2669"/>
      <c r="L732" s="784">
        <v>16573.310000000001</v>
      </c>
      <c r="M732" s="785"/>
      <c r="N732" s="536">
        <v>129498.98</v>
      </c>
      <c r="AF732" s="716"/>
      <c r="AG732" s="481"/>
      <c r="AI732" s="481"/>
      <c r="AN732" s="481"/>
      <c r="AO732" s="746"/>
      <c r="AP732" s="746"/>
      <c r="AQ732" s="699"/>
      <c r="AR732" s="699"/>
      <c r="AS732" s="699"/>
      <c r="AT732" s="699"/>
      <c r="AU732" s="699"/>
      <c r="AV732" s="481"/>
      <c r="AW732" s="491" t="s">
        <v>906</v>
      </c>
      <c r="AX732" s="481"/>
    </row>
    <row r="733" spans="1:53" s="454" customFormat="1" ht="15" x14ac:dyDescent="0.25">
      <c r="A733" s="523"/>
      <c r="B733" s="534"/>
      <c r="C733" s="2729" t="s">
        <v>2672</v>
      </c>
      <c r="D733" s="2729"/>
      <c r="E733" s="2729"/>
      <c r="F733" s="2729"/>
      <c r="G733" s="2729"/>
      <c r="H733" s="2729"/>
      <c r="I733" s="2729"/>
      <c r="J733" s="2729"/>
      <c r="K733" s="2729"/>
      <c r="L733" s="544">
        <v>16573.310000000001</v>
      </c>
      <c r="M733" s="788"/>
      <c r="N733" s="538">
        <v>129498.98</v>
      </c>
      <c r="AF733" s="716"/>
      <c r="AG733" s="481"/>
      <c r="AI733" s="481"/>
      <c r="AN733" s="481"/>
      <c r="AO733" s="746"/>
      <c r="AP733" s="746"/>
      <c r="AQ733" s="699"/>
      <c r="AR733" s="699"/>
      <c r="AS733" s="699"/>
      <c r="AT733" s="699"/>
      <c r="AU733" s="699"/>
      <c r="AV733" s="481"/>
      <c r="AX733" s="481" t="s">
        <v>2672</v>
      </c>
    </row>
    <row r="734" spans="1:53" s="454" customFormat="1" ht="11.25" hidden="1" customHeight="1" x14ac:dyDescent="0.25">
      <c r="B734" s="793"/>
      <c r="C734" s="793"/>
      <c r="D734" s="793"/>
      <c r="E734" s="793"/>
      <c r="F734" s="793"/>
      <c r="G734" s="793"/>
      <c r="H734" s="793"/>
      <c r="I734" s="793"/>
      <c r="J734" s="793"/>
      <c r="K734" s="793"/>
      <c r="L734" s="794"/>
      <c r="M734" s="794"/>
      <c r="N734" s="794"/>
      <c r="R734" s="795"/>
    </row>
    <row r="735" spans="1:53" s="454" customFormat="1" ht="15" x14ac:dyDescent="0.25">
      <c r="A735" s="779"/>
      <c r="B735" s="780"/>
      <c r="C735" s="2722" t="s">
        <v>921</v>
      </c>
      <c r="D735" s="2722"/>
      <c r="E735" s="2722"/>
      <c r="F735" s="2722"/>
      <c r="G735" s="2722"/>
      <c r="H735" s="2722"/>
      <c r="I735" s="2722"/>
      <c r="J735" s="2722"/>
      <c r="K735" s="2722"/>
      <c r="L735" s="781"/>
      <c r="M735" s="782"/>
      <c r="N735" s="783"/>
      <c r="AZ735" s="481" t="s">
        <v>921</v>
      </c>
    </row>
    <row r="736" spans="1:53" s="454" customFormat="1" ht="15" x14ac:dyDescent="0.25">
      <c r="A736" s="523"/>
      <c r="B736" s="490"/>
      <c r="C736" s="2669" t="s">
        <v>890</v>
      </c>
      <c r="D736" s="2669"/>
      <c r="E736" s="2669"/>
      <c r="F736" s="2669"/>
      <c r="G736" s="2669"/>
      <c r="H736" s="2669"/>
      <c r="I736" s="2669"/>
      <c r="J736" s="2669"/>
      <c r="K736" s="2669"/>
      <c r="L736" s="784">
        <v>5824679.2199999997</v>
      </c>
      <c r="M736" s="785"/>
      <c r="N736" s="536">
        <v>61202102.979999997</v>
      </c>
      <c r="AZ736" s="481"/>
      <c r="BA736" s="491" t="s">
        <v>890</v>
      </c>
    </row>
    <row r="737" spans="1:53" s="454" customFormat="1" ht="15" x14ac:dyDescent="0.25">
      <c r="A737" s="523"/>
      <c r="B737" s="490"/>
      <c r="C737" s="2669" t="s">
        <v>891</v>
      </c>
      <c r="D737" s="2669"/>
      <c r="E737" s="2669"/>
      <c r="F737" s="2669"/>
      <c r="G737" s="2669"/>
      <c r="H737" s="2669"/>
      <c r="I737" s="2669"/>
      <c r="J737" s="2669"/>
      <c r="K737" s="2669"/>
      <c r="L737" s="786"/>
      <c r="M737" s="785"/>
      <c r="N737" s="537"/>
      <c r="AZ737" s="481"/>
      <c r="BA737" s="491" t="s">
        <v>891</v>
      </c>
    </row>
    <row r="738" spans="1:53" s="454" customFormat="1" ht="15" x14ac:dyDescent="0.25">
      <c r="A738" s="523"/>
      <c r="B738" s="490"/>
      <c r="C738" s="2669" t="s">
        <v>892</v>
      </c>
      <c r="D738" s="2669"/>
      <c r="E738" s="2669"/>
      <c r="F738" s="2669"/>
      <c r="G738" s="2669"/>
      <c r="H738" s="2669"/>
      <c r="I738" s="2669"/>
      <c r="J738" s="2669"/>
      <c r="K738" s="2669"/>
      <c r="L738" s="784">
        <v>290727.98</v>
      </c>
      <c r="M738" s="785"/>
      <c r="N738" s="536">
        <v>7942688.4100000001</v>
      </c>
      <c r="AZ738" s="481"/>
      <c r="BA738" s="491" t="s">
        <v>892</v>
      </c>
    </row>
    <row r="739" spans="1:53" s="454" customFormat="1" ht="15" x14ac:dyDescent="0.25">
      <c r="A739" s="523"/>
      <c r="B739" s="490"/>
      <c r="C739" s="2669" t="s">
        <v>893</v>
      </c>
      <c r="D739" s="2669"/>
      <c r="E739" s="2669"/>
      <c r="F739" s="2669"/>
      <c r="G739" s="2669"/>
      <c r="H739" s="2669"/>
      <c r="I739" s="2669"/>
      <c r="J739" s="2669"/>
      <c r="K739" s="2669"/>
      <c r="L739" s="784">
        <v>3286668.31</v>
      </c>
      <c r="M739" s="785"/>
      <c r="N739" s="536">
        <v>35890417.960000001</v>
      </c>
      <c r="AZ739" s="481"/>
      <c r="BA739" s="491" t="s">
        <v>893</v>
      </c>
    </row>
    <row r="740" spans="1:53" s="454" customFormat="1" ht="15" x14ac:dyDescent="0.25">
      <c r="A740" s="523"/>
      <c r="B740" s="490"/>
      <c r="C740" s="2669" t="s">
        <v>2578</v>
      </c>
      <c r="D740" s="2669"/>
      <c r="E740" s="2669"/>
      <c r="F740" s="2669"/>
      <c r="G740" s="2669"/>
      <c r="H740" s="2669"/>
      <c r="I740" s="2669"/>
      <c r="J740" s="2669"/>
      <c r="K740" s="2669"/>
      <c r="L740" s="784">
        <v>146942.04</v>
      </c>
      <c r="M740" s="785"/>
      <c r="N740" s="536">
        <v>4014456.54</v>
      </c>
      <c r="AZ740" s="481"/>
      <c r="BA740" s="491" t="s">
        <v>2578</v>
      </c>
    </row>
    <row r="741" spans="1:53" s="454" customFormat="1" ht="15" x14ac:dyDescent="0.25">
      <c r="A741" s="523"/>
      <c r="B741" s="490"/>
      <c r="C741" s="2669" t="s">
        <v>895</v>
      </c>
      <c r="D741" s="2669"/>
      <c r="E741" s="2669"/>
      <c r="F741" s="2669"/>
      <c r="G741" s="2669"/>
      <c r="H741" s="2669"/>
      <c r="I741" s="2669"/>
      <c r="J741" s="2669"/>
      <c r="K741" s="2669"/>
      <c r="L741" s="784">
        <v>2224953.56</v>
      </c>
      <c r="M741" s="785"/>
      <c r="N741" s="536">
        <v>17176641.449999999</v>
      </c>
      <c r="AZ741" s="481"/>
      <c r="BA741" s="491" t="s">
        <v>895</v>
      </c>
    </row>
    <row r="742" spans="1:53" s="454" customFormat="1" ht="15" x14ac:dyDescent="0.25">
      <c r="A742" s="523"/>
      <c r="B742" s="490"/>
      <c r="C742" s="2669" t="s">
        <v>896</v>
      </c>
      <c r="D742" s="2669"/>
      <c r="E742" s="2669"/>
      <c r="F742" s="2669"/>
      <c r="G742" s="2669"/>
      <c r="H742" s="2669"/>
      <c r="I742" s="2669"/>
      <c r="J742" s="2669"/>
      <c r="K742" s="2669"/>
      <c r="L742" s="784">
        <v>22329.37</v>
      </c>
      <c r="M742" s="785"/>
      <c r="N742" s="536">
        <v>192355.16</v>
      </c>
      <c r="AZ742" s="481"/>
      <c r="BA742" s="491" t="s">
        <v>896</v>
      </c>
    </row>
    <row r="743" spans="1:53" s="454" customFormat="1" ht="15" x14ac:dyDescent="0.25">
      <c r="A743" s="523"/>
      <c r="B743" s="490"/>
      <c r="C743" s="2669" t="s">
        <v>897</v>
      </c>
      <c r="D743" s="2669"/>
      <c r="E743" s="2669"/>
      <c r="F743" s="2669"/>
      <c r="G743" s="2669"/>
      <c r="H743" s="2669"/>
      <c r="I743" s="2669"/>
      <c r="J743" s="2669"/>
      <c r="K743" s="2669"/>
      <c r="L743" s="784">
        <v>6482874.7800000003</v>
      </c>
      <c r="M743" s="785"/>
      <c r="N743" s="536">
        <v>79184005.049999997</v>
      </c>
      <c r="AZ743" s="481"/>
      <c r="BA743" s="491" t="s">
        <v>897</v>
      </c>
    </row>
    <row r="744" spans="1:53" s="454" customFormat="1" ht="15" x14ac:dyDescent="0.25">
      <c r="A744" s="523"/>
      <c r="B744" s="490"/>
      <c r="C744" s="2669" t="s">
        <v>898</v>
      </c>
      <c r="D744" s="2669"/>
      <c r="E744" s="2669"/>
      <c r="F744" s="2669"/>
      <c r="G744" s="2669"/>
      <c r="H744" s="2669"/>
      <c r="I744" s="2669"/>
      <c r="J744" s="2669"/>
      <c r="K744" s="2669"/>
      <c r="L744" s="784">
        <v>6433591.7000000002</v>
      </c>
      <c r="M744" s="785"/>
      <c r="N744" s="536">
        <v>78684603.709999993</v>
      </c>
      <c r="AZ744" s="481"/>
      <c r="BA744" s="491" t="s">
        <v>898</v>
      </c>
    </row>
    <row r="745" spans="1:53" s="454" customFormat="1" ht="15" x14ac:dyDescent="0.25">
      <c r="A745" s="523"/>
      <c r="B745" s="490"/>
      <c r="C745" s="2669" t="s">
        <v>899</v>
      </c>
      <c r="D745" s="2669"/>
      <c r="E745" s="2669"/>
      <c r="F745" s="2669"/>
      <c r="G745" s="2669"/>
      <c r="H745" s="2669"/>
      <c r="I745" s="2669"/>
      <c r="J745" s="2669"/>
      <c r="K745" s="2669"/>
      <c r="L745" s="786"/>
      <c r="M745" s="785"/>
      <c r="N745" s="537"/>
      <c r="AZ745" s="481"/>
      <c r="BA745" s="491" t="s">
        <v>899</v>
      </c>
    </row>
    <row r="746" spans="1:53" s="454" customFormat="1" ht="15" x14ac:dyDescent="0.25">
      <c r="A746" s="523"/>
      <c r="B746" s="490"/>
      <c r="C746" s="2669" t="s">
        <v>900</v>
      </c>
      <c r="D746" s="2669"/>
      <c r="E746" s="2669"/>
      <c r="F746" s="2669"/>
      <c r="G746" s="2669"/>
      <c r="H746" s="2669"/>
      <c r="I746" s="2669"/>
      <c r="J746" s="2669"/>
      <c r="K746" s="2669"/>
      <c r="L746" s="784">
        <v>288625.14</v>
      </c>
      <c r="M746" s="785"/>
      <c r="N746" s="536">
        <v>7885238.8200000003</v>
      </c>
      <c r="AZ746" s="481"/>
      <c r="BA746" s="491" t="s">
        <v>900</v>
      </c>
    </row>
    <row r="747" spans="1:53" s="454" customFormat="1" ht="15" x14ac:dyDescent="0.25">
      <c r="A747" s="523"/>
      <c r="B747" s="490"/>
      <c r="C747" s="2669" t="s">
        <v>901</v>
      </c>
      <c r="D747" s="2669"/>
      <c r="E747" s="2669"/>
      <c r="F747" s="2669"/>
      <c r="G747" s="2669"/>
      <c r="H747" s="2669"/>
      <c r="I747" s="2669"/>
      <c r="J747" s="2669"/>
      <c r="K747" s="2669"/>
      <c r="L747" s="784">
        <v>3284799.31</v>
      </c>
      <c r="M747" s="785"/>
      <c r="N747" s="536">
        <v>35870008.479999997</v>
      </c>
      <c r="AZ747" s="481"/>
      <c r="BA747" s="491" t="s">
        <v>901</v>
      </c>
    </row>
    <row r="748" spans="1:53" s="454" customFormat="1" ht="15" x14ac:dyDescent="0.25">
      <c r="A748" s="523"/>
      <c r="B748" s="490"/>
      <c r="C748" s="2669" t="s">
        <v>2579</v>
      </c>
      <c r="D748" s="2669"/>
      <c r="E748" s="2669"/>
      <c r="F748" s="2669"/>
      <c r="G748" s="2669"/>
      <c r="H748" s="2669"/>
      <c r="I748" s="2669"/>
      <c r="J748" s="2669"/>
      <c r="K748" s="2669"/>
      <c r="L748" s="784">
        <v>146576.49</v>
      </c>
      <c r="M748" s="785"/>
      <c r="N748" s="536">
        <v>4004469.7</v>
      </c>
      <c r="AZ748" s="481"/>
      <c r="BA748" s="491" t="s">
        <v>2579</v>
      </c>
    </row>
    <row r="749" spans="1:53" s="454" customFormat="1" ht="15" x14ac:dyDescent="0.25">
      <c r="A749" s="523"/>
      <c r="B749" s="490"/>
      <c r="C749" s="2669" t="s">
        <v>903</v>
      </c>
      <c r="D749" s="2669"/>
      <c r="E749" s="2669"/>
      <c r="F749" s="2669"/>
      <c r="G749" s="2669"/>
      <c r="H749" s="2669"/>
      <c r="I749" s="2669"/>
      <c r="J749" s="2669"/>
      <c r="K749" s="2669"/>
      <c r="L749" s="784">
        <v>2204612.87</v>
      </c>
      <c r="M749" s="785"/>
      <c r="N749" s="536">
        <v>17019611.329999998</v>
      </c>
      <c r="AZ749" s="481"/>
      <c r="BA749" s="491" t="s">
        <v>903</v>
      </c>
    </row>
    <row r="750" spans="1:53" s="454" customFormat="1" ht="15" x14ac:dyDescent="0.25">
      <c r="A750" s="523"/>
      <c r="B750" s="490"/>
      <c r="C750" s="2669" t="s">
        <v>904</v>
      </c>
      <c r="D750" s="2669"/>
      <c r="E750" s="2669"/>
      <c r="F750" s="2669"/>
      <c r="G750" s="2669"/>
      <c r="H750" s="2669"/>
      <c r="I750" s="2669"/>
      <c r="J750" s="2669"/>
      <c r="K750" s="2669"/>
      <c r="L750" s="784">
        <v>457149.78</v>
      </c>
      <c r="M750" s="785"/>
      <c r="N750" s="536">
        <v>12489331.76</v>
      </c>
      <c r="AZ750" s="481"/>
      <c r="BA750" s="491" t="s">
        <v>904</v>
      </c>
    </row>
    <row r="751" spans="1:53" s="454" customFormat="1" ht="15" x14ac:dyDescent="0.25">
      <c r="A751" s="523"/>
      <c r="B751" s="490"/>
      <c r="C751" s="2669" t="s">
        <v>905</v>
      </c>
      <c r="D751" s="2669"/>
      <c r="E751" s="2669"/>
      <c r="F751" s="2669"/>
      <c r="G751" s="2669"/>
      <c r="H751" s="2669"/>
      <c r="I751" s="2669"/>
      <c r="J751" s="2669"/>
      <c r="K751" s="2669"/>
      <c r="L751" s="784">
        <v>198404.6</v>
      </c>
      <c r="M751" s="785"/>
      <c r="N751" s="536">
        <v>5420413.3200000003</v>
      </c>
      <c r="AZ751" s="481"/>
      <c r="BA751" s="491" t="s">
        <v>905</v>
      </c>
    </row>
    <row r="752" spans="1:53" s="454" customFormat="1" ht="15" x14ac:dyDescent="0.25">
      <c r="A752" s="523"/>
      <c r="B752" s="490"/>
      <c r="C752" s="2669" t="s">
        <v>906</v>
      </c>
      <c r="D752" s="2669"/>
      <c r="E752" s="2669"/>
      <c r="F752" s="2669"/>
      <c r="G752" s="2669"/>
      <c r="H752" s="2669"/>
      <c r="I752" s="2669"/>
      <c r="J752" s="2669"/>
      <c r="K752" s="2669"/>
      <c r="L752" s="784">
        <v>22329.37</v>
      </c>
      <c r="M752" s="785"/>
      <c r="N752" s="536">
        <v>192355.16</v>
      </c>
      <c r="AZ752" s="481"/>
      <c r="BA752" s="491" t="s">
        <v>906</v>
      </c>
    </row>
    <row r="753" spans="1:54" s="454" customFormat="1" ht="15" x14ac:dyDescent="0.25">
      <c r="A753" s="523"/>
      <c r="B753" s="490"/>
      <c r="C753" s="2669" t="s">
        <v>2580</v>
      </c>
      <c r="D753" s="2669"/>
      <c r="E753" s="2669"/>
      <c r="F753" s="2669"/>
      <c r="G753" s="2669"/>
      <c r="H753" s="2669"/>
      <c r="I753" s="2669"/>
      <c r="J753" s="2669"/>
      <c r="K753" s="2669"/>
      <c r="L753" s="784">
        <v>26953.71</v>
      </c>
      <c r="M753" s="785"/>
      <c r="N753" s="536">
        <v>307046.18</v>
      </c>
      <c r="AZ753" s="481"/>
      <c r="BA753" s="491" t="s">
        <v>2580</v>
      </c>
    </row>
    <row r="754" spans="1:54" s="454" customFormat="1" ht="15" x14ac:dyDescent="0.25">
      <c r="A754" s="523"/>
      <c r="B754" s="490"/>
      <c r="C754" s="2669" t="s">
        <v>899</v>
      </c>
      <c r="D754" s="2669"/>
      <c r="E754" s="2669"/>
      <c r="F754" s="2669"/>
      <c r="G754" s="2669"/>
      <c r="H754" s="2669"/>
      <c r="I754" s="2669"/>
      <c r="J754" s="2669"/>
      <c r="K754" s="2669"/>
      <c r="L754" s="786"/>
      <c r="M754" s="785"/>
      <c r="N754" s="537"/>
      <c r="AZ754" s="481"/>
      <c r="BA754" s="491" t="s">
        <v>899</v>
      </c>
    </row>
    <row r="755" spans="1:54" s="454" customFormat="1" ht="15" x14ac:dyDescent="0.25">
      <c r="A755" s="523"/>
      <c r="B755" s="490"/>
      <c r="C755" s="2669" t="s">
        <v>900</v>
      </c>
      <c r="D755" s="2669"/>
      <c r="E755" s="2669"/>
      <c r="F755" s="2669"/>
      <c r="G755" s="2669"/>
      <c r="H755" s="2669"/>
      <c r="I755" s="2669"/>
      <c r="J755" s="2669"/>
      <c r="K755" s="2669"/>
      <c r="L755" s="784">
        <v>2102.84</v>
      </c>
      <c r="M755" s="785"/>
      <c r="N755" s="536">
        <v>57449.59</v>
      </c>
      <c r="AZ755" s="481"/>
      <c r="BA755" s="491" t="s">
        <v>900</v>
      </c>
    </row>
    <row r="756" spans="1:54" s="454" customFormat="1" ht="15" x14ac:dyDescent="0.25">
      <c r="A756" s="523"/>
      <c r="B756" s="490"/>
      <c r="C756" s="2669" t="s">
        <v>901</v>
      </c>
      <c r="D756" s="2669"/>
      <c r="E756" s="2669"/>
      <c r="F756" s="2669"/>
      <c r="G756" s="2669"/>
      <c r="H756" s="2669"/>
      <c r="I756" s="2669"/>
      <c r="J756" s="2669"/>
      <c r="K756" s="2669"/>
      <c r="L756" s="784">
        <v>1869</v>
      </c>
      <c r="M756" s="785"/>
      <c r="N756" s="536">
        <v>20409.48</v>
      </c>
      <c r="AZ756" s="481"/>
      <c r="BA756" s="491" t="s">
        <v>901</v>
      </c>
    </row>
    <row r="757" spans="1:54" s="454" customFormat="1" ht="15" x14ac:dyDescent="0.25">
      <c r="A757" s="523"/>
      <c r="B757" s="490"/>
      <c r="C757" s="2669" t="s">
        <v>2579</v>
      </c>
      <c r="D757" s="2669"/>
      <c r="E757" s="2669"/>
      <c r="F757" s="2669"/>
      <c r="G757" s="2669"/>
      <c r="H757" s="2669"/>
      <c r="I757" s="2669"/>
      <c r="J757" s="2669"/>
      <c r="K757" s="2669"/>
      <c r="L757" s="787">
        <v>365.55</v>
      </c>
      <c r="M757" s="785"/>
      <c r="N757" s="536">
        <v>9986.84</v>
      </c>
      <c r="AZ757" s="481"/>
      <c r="BA757" s="491" t="s">
        <v>2579</v>
      </c>
    </row>
    <row r="758" spans="1:54" s="454" customFormat="1" ht="15" x14ac:dyDescent="0.25">
      <c r="A758" s="523"/>
      <c r="B758" s="490"/>
      <c r="C758" s="2669" t="s">
        <v>903</v>
      </c>
      <c r="D758" s="2669"/>
      <c r="E758" s="2669"/>
      <c r="F758" s="2669"/>
      <c r="G758" s="2669"/>
      <c r="H758" s="2669"/>
      <c r="I758" s="2669"/>
      <c r="J758" s="2669"/>
      <c r="K758" s="2669"/>
      <c r="L758" s="784">
        <v>20340.689999999999</v>
      </c>
      <c r="M758" s="785"/>
      <c r="N758" s="536">
        <v>157030.12</v>
      </c>
      <c r="AZ758" s="481"/>
      <c r="BA758" s="491" t="s">
        <v>903</v>
      </c>
    </row>
    <row r="759" spans="1:54" s="454" customFormat="1" ht="15" x14ac:dyDescent="0.25">
      <c r="A759" s="523"/>
      <c r="B759" s="490"/>
      <c r="C759" s="2669" t="s">
        <v>904</v>
      </c>
      <c r="D759" s="2669"/>
      <c r="E759" s="2669"/>
      <c r="F759" s="2669"/>
      <c r="G759" s="2669"/>
      <c r="H759" s="2669"/>
      <c r="I759" s="2669"/>
      <c r="J759" s="2669"/>
      <c r="K759" s="2669"/>
      <c r="L759" s="784">
        <v>1801.93</v>
      </c>
      <c r="M759" s="785"/>
      <c r="N759" s="536">
        <v>49228.6</v>
      </c>
      <c r="AZ759" s="481"/>
      <c r="BA759" s="491" t="s">
        <v>904</v>
      </c>
    </row>
    <row r="760" spans="1:54" s="454" customFormat="1" ht="15" x14ac:dyDescent="0.25">
      <c r="A760" s="523"/>
      <c r="B760" s="490"/>
      <c r="C760" s="2669" t="s">
        <v>905</v>
      </c>
      <c r="D760" s="2669"/>
      <c r="E760" s="2669"/>
      <c r="F760" s="2669"/>
      <c r="G760" s="2669"/>
      <c r="H760" s="2669"/>
      <c r="I760" s="2669"/>
      <c r="J760" s="2669"/>
      <c r="K760" s="2669"/>
      <c r="L760" s="787">
        <v>839.25</v>
      </c>
      <c r="M760" s="785"/>
      <c r="N760" s="536">
        <v>22928.39</v>
      </c>
      <c r="AZ760" s="481"/>
      <c r="BA760" s="491" t="s">
        <v>905</v>
      </c>
    </row>
    <row r="761" spans="1:54" s="454" customFormat="1" ht="15" x14ac:dyDescent="0.25">
      <c r="A761" s="523"/>
      <c r="B761" s="490"/>
      <c r="C761" s="2669" t="s">
        <v>907</v>
      </c>
      <c r="D761" s="2669"/>
      <c r="E761" s="2669"/>
      <c r="F761" s="2669"/>
      <c r="G761" s="2669"/>
      <c r="H761" s="2669"/>
      <c r="I761" s="2669"/>
      <c r="J761" s="2669"/>
      <c r="K761" s="2669"/>
      <c r="L761" s="784">
        <v>437670.02</v>
      </c>
      <c r="M761" s="785"/>
      <c r="N761" s="536">
        <v>11957144.949999999</v>
      </c>
      <c r="AZ761" s="481"/>
      <c r="BA761" s="491" t="s">
        <v>907</v>
      </c>
    </row>
    <row r="762" spans="1:54" s="454" customFormat="1" ht="15" x14ac:dyDescent="0.25">
      <c r="A762" s="523"/>
      <c r="B762" s="490"/>
      <c r="C762" s="2669" t="s">
        <v>908</v>
      </c>
      <c r="D762" s="2669"/>
      <c r="E762" s="2669"/>
      <c r="F762" s="2669"/>
      <c r="G762" s="2669"/>
      <c r="H762" s="2669"/>
      <c r="I762" s="2669"/>
      <c r="J762" s="2669"/>
      <c r="K762" s="2669"/>
      <c r="L762" s="784">
        <v>458951.71</v>
      </c>
      <c r="M762" s="785"/>
      <c r="N762" s="536">
        <v>12538560.359999999</v>
      </c>
      <c r="AZ762" s="481"/>
      <c r="BA762" s="491" t="s">
        <v>908</v>
      </c>
    </row>
    <row r="763" spans="1:54" s="454" customFormat="1" ht="15" x14ac:dyDescent="0.25">
      <c r="A763" s="523"/>
      <c r="B763" s="490"/>
      <c r="C763" s="2669" t="s">
        <v>909</v>
      </c>
      <c r="D763" s="2669"/>
      <c r="E763" s="2669"/>
      <c r="F763" s="2669"/>
      <c r="G763" s="2669"/>
      <c r="H763" s="2669"/>
      <c r="I763" s="2669"/>
      <c r="J763" s="2669"/>
      <c r="K763" s="2669"/>
      <c r="L763" s="784">
        <v>199243.85</v>
      </c>
      <c r="M763" s="785"/>
      <c r="N763" s="536">
        <v>5443341.71</v>
      </c>
      <c r="AZ763" s="481"/>
      <c r="BA763" s="491" t="s">
        <v>909</v>
      </c>
    </row>
    <row r="764" spans="1:54" s="454" customFormat="1" ht="15" x14ac:dyDescent="0.25">
      <c r="A764" s="523"/>
      <c r="B764" s="534"/>
      <c r="C764" s="2729" t="s">
        <v>1630</v>
      </c>
      <c r="D764" s="2729"/>
      <c r="E764" s="2729"/>
      <c r="F764" s="2729"/>
      <c r="G764" s="2729"/>
      <c r="H764" s="2729"/>
      <c r="I764" s="2729"/>
      <c r="J764" s="2729"/>
      <c r="K764" s="2729"/>
      <c r="L764" s="544">
        <v>6482874.7800000003</v>
      </c>
      <c r="M764" s="788"/>
      <c r="N764" s="538">
        <v>79184005.049999997</v>
      </c>
      <c r="AZ764" s="481"/>
      <c r="BB764" s="481" t="s">
        <v>1630</v>
      </c>
    </row>
    <row r="765" spans="1:54" s="454" customFormat="1" ht="15" x14ac:dyDescent="0.25">
      <c r="A765" s="523"/>
      <c r="B765" s="490"/>
      <c r="C765" s="2669" t="s">
        <v>891</v>
      </c>
      <c r="D765" s="2669"/>
      <c r="E765" s="2669"/>
      <c r="F765" s="2669"/>
      <c r="G765" s="2669"/>
      <c r="H765" s="2669"/>
      <c r="I765" s="2669"/>
      <c r="J765" s="2669"/>
      <c r="K765" s="2669"/>
      <c r="L765" s="786"/>
      <c r="M765" s="785"/>
      <c r="N765" s="537"/>
      <c r="AZ765" s="481"/>
      <c r="BA765" s="491" t="s">
        <v>891</v>
      </c>
      <c r="BB765" s="481"/>
    </row>
    <row r="766" spans="1:54" s="454" customFormat="1" ht="15" x14ac:dyDescent="0.25">
      <c r="A766" s="523"/>
      <c r="B766" s="490"/>
      <c r="C766" s="2669" t="s">
        <v>2650</v>
      </c>
      <c r="D766" s="2669"/>
      <c r="E766" s="2669"/>
      <c r="F766" s="2669"/>
      <c r="G766" s="2669"/>
      <c r="H766" s="2669"/>
      <c r="I766" s="2669"/>
      <c r="J766" s="2669"/>
      <c r="K766" s="2669"/>
      <c r="L766" s="784">
        <v>1582241.91</v>
      </c>
      <c r="M766" s="785"/>
      <c r="N766" s="536">
        <v>12214907.52</v>
      </c>
      <c r="AZ766" s="481"/>
      <c r="BA766" s="491" t="s">
        <v>2650</v>
      </c>
      <c r="BB766" s="481"/>
    </row>
    <row r="767" spans="1:54" s="454" customFormat="1" ht="13.5" hidden="1" customHeight="1" x14ac:dyDescent="0.25">
      <c r="B767" s="533"/>
      <c r="C767" s="531"/>
      <c r="D767" s="531"/>
      <c r="E767" s="531"/>
      <c r="F767" s="531"/>
      <c r="G767" s="531"/>
      <c r="H767" s="531"/>
      <c r="I767" s="531"/>
      <c r="J767" s="531"/>
      <c r="K767" s="531"/>
      <c r="L767" s="544"/>
      <c r="M767" s="545"/>
      <c r="N767" s="546"/>
    </row>
    <row r="768" spans="1:54" s="454" customFormat="1" ht="26.25" customHeight="1" x14ac:dyDescent="0.25">
      <c r="A768" s="547"/>
      <c r="B768" s="651"/>
      <c r="C768" s="651"/>
      <c r="D768" s="651"/>
      <c r="E768" s="651"/>
      <c r="F768" s="651"/>
      <c r="G768" s="651"/>
      <c r="H768" s="651"/>
      <c r="I768" s="651"/>
      <c r="J768" s="651"/>
      <c r="K768" s="651"/>
      <c r="L768" s="651"/>
      <c r="M768" s="651"/>
      <c r="N768" s="651"/>
    </row>
    <row r="769" spans="1:58" s="469" customFormat="1" ht="15" x14ac:dyDescent="0.25">
      <c r="A769" s="455"/>
      <c r="B769" s="548" t="s">
        <v>926</v>
      </c>
      <c r="C769" s="2731"/>
      <c r="D769" s="2731"/>
      <c r="E769" s="2731"/>
      <c r="F769" s="2731"/>
      <c r="G769" s="2731"/>
      <c r="H769" s="2732" t="s">
        <v>2673</v>
      </c>
      <c r="I769" s="2732"/>
      <c r="J769" s="2732"/>
      <c r="K769" s="2732"/>
      <c r="L769" s="2732"/>
      <c r="M769" s="454"/>
      <c r="N769" s="454"/>
      <c r="O769" s="454"/>
      <c r="P769" s="454"/>
      <c r="Q769" s="454"/>
      <c r="R769" s="454"/>
      <c r="S769" s="454"/>
      <c r="T769" s="454"/>
      <c r="U769" s="454"/>
      <c r="V769" s="456"/>
      <c r="W769" s="456"/>
      <c r="X769" s="456"/>
      <c r="Y769" s="456"/>
      <c r="Z769" s="456"/>
      <c r="AA769" s="456"/>
      <c r="AB769" s="456"/>
      <c r="AC769" s="456"/>
      <c r="AD769" s="456"/>
      <c r="AE769" s="456"/>
      <c r="AF769" s="456"/>
      <c r="AG769" s="456"/>
      <c r="AH769" s="456"/>
      <c r="AI769" s="456"/>
      <c r="AJ769" s="456"/>
      <c r="AK769" s="456"/>
      <c r="AL769" s="456"/>
      <c r="AM769" s="456"/>
      <c r="AN769" s="456"/>
      <c r="AO769" s="456"/>
      <c r="AP769" s="456"/>
      <c r="AQ769" s="456"/>
      <c r="AR769" s="456"/>
      <c r="AS769" s="456"/>
      <c r="AT769" s="456"/>
      <c r="AU769" s="456"/>
      <c r="AV769" s="456"/>
      <c r="AW769" s="456"/>
      <c r="AX769" s="456"/>
      <c r="AY769" s="456"/>
      <c r="AZ769" s="456"/>
      <c r="BA769" s="456"/>
      <c r="BB769" s="456"/>
      <c r="BC769" s="456" t="s">
        <v>588</v>
      </c>
      <c r="BD769" s="456" t="s">
        <v>2673</v>
      </c>
      <c r="BE769" s="456"/>
      <c r="BF769" s="456"/>
    </row>
    <row r="770" spans="1:58" s="549" customFormat="1" ht="16.5" customHeight="1" x14ac:dyDescent="0.25">
      <c r="A770" s="461"/>
      <c r="B770" s="548"/>
      <c r="C770" s="2733" t="s">
        <v>929</v>
      </c>
      <c r="D770" s="2733"/>
      <c r="E770" s="2733"/>
      <c r="F770" s="2733"/>
      <c r="G770" s="2733"/>
      <c r="H770" s="2733"/>
      <c r="I770" s="2733"/>
      <c r="J770" s="2733"/>
      <c r="K770" s="2733"/>
      <c r="L770" s="2733"/>
      <c r="V770" s="551"/>
      <c r="W770" s="551"/>
      <c r="X770" s="551"/>
      <c r="Y770" s="551"/>
      <c r="Z770" s="551"/>
      <c r="AA770" s="551"/>
      <c r="AB770" s="551"/>
      <c r="AC770" s="551"/>
      <c r="AD770" s="551"/>
      <c r="AE770" s="551"/>
      <c r="AF770" s="551"/>
      <c r="AG770" s="551"/>
      <c r="AH770" s="551"/>
      <c r="AI770" s="551"/>
      <c r="AJ770" s="551"/>
      <c r="AK770" s="551"/>
      <c r="AL770" s="551"/>
      <c r="AM770" s="551"/>
      <c r="AN770" s="551"/>
      <c r="AO770" s="551"/>
      <c r="AP770" s="551"/>
      <c r="AQ770" s="551"/>
      <c r="AR770" s="551"/>
      <c r="AS770" s="551"/>
      <c r="AT770" s="551"/>
      <c r="AU770" s="551"/>
      <c r="AV770" s="551"/>
      <c r="AW770" s="551"/>
      <c r="AX770" s="551"/>
      <c r="AY770" s="551"/>
      <c r="AZ770" s="551"/>
      <c r="BA770" s="551"/>
      <c r="BB770" s="551"/>
      <c r="BC770" s="551"/>
      <c r="BD770" s="551"/>
      <c r="BE770" s="551"/>
      <c r="BF770" s="551"/>
    </row>
    <row r="771" spans="1:58" s="469" customFormat="1" ht="15" x14ac:dyDescent="0.25">
      <c r="A771" s="455"/>
      <c r="B771" s="548" t="s">
        <v>930</v>
      </c>
      <c r="C771" s="2731" t="s">
        <v>2674</v>
      </c>
      <c r="D771" s="2731"/>
      <c r="E771" s="2731"/>
      <c r="F771" s="2731"/>
      <c r="G771" s="2731"/>
      <c r="H771" s="2732" t="s">
        <v>2675</v>
      </c>
      <c r="I771" s="2732"/>
      <c r="J771" s="2732"/>
      <c r="K771" s="2732"/>
      <c r="L771" s="2732"/>
      <c r="M771" s="454"/>
      <c r="N771" s="454"/>
      <c r="O771" s="454"/>
      <c r="P771" s="454"/>
      <c r="Q771" s="454"/>
      <c r="R771" s="454"/>
      <c r="S771" s="454"/>
      <c r="T771" s="454"/>
      <c r="U771" s="454"/>
      <c r="V771" s="456"/>
      <c r="W771" s="456"/>
      <c r="X771" s="456"/>
      <c r="Y771" s="456"/>
      <c r="Z771" s="456"/>
      <c r="AA771" s="456"/>
      <c r="AB771" s="456"/>
      <c r="AC771" s="456"/>
      <c r="AD771" s="456"/>
      <c r="AE771" s="456"/>
      <c r="AF771" s="456"/>
      <c r="AG771" s="456"/>
      <c r="AH771" s="456"/>
      <c r="AI771" s="456"/>
      <c r="AJ771" s="456"/>
      <c r="AK771" s="456"/>
      <c r="AL771" s="456"/>
      <c r="AM771" s="456"/>
      <c r="AN771" s="456"/>
      <c r="AO771" s="456"/>
      <c r="AP771" s="456"/>
      <c r="AQ771" s="456"/>
      <c r="AR771" s="456"/>
      <c r="AS771" s="456"/>
      <c r="AT771" s="456"/>
      <c r="AU771" s="456"/>
      <c r="AV771" s="456"/>
      <c r="AW771" s="456"/>
      <c r="AX771" s="456"/>
      <c r="AY771" s="456"/>
      <c r="AZ771" s="456"/>
      <c r="BA771" s="456"/>
      <c r="BB771" s="456"/>
      <c r="BC771" s="456"/>
      <c r="BD771" s="456"/>
      <c r="BE771" s="456" t="s">
        <v>2674</v>
      </c>
      <c r="BF771" s="456" t="s">
        <v>2675</v>
      </c>
    </row>
    <row r="772" spans="1:58" s="549" customFormat="1" ht="16.5" customHeight="1" x14ac:dyDescent="0.25">
      <c r="A772" s="461"/>
      <c r="C772" s="2733" t="s">
        <v>929</v>
      </c>
      <c r="D772" s="2733"/>
      <c r="E772" s="2733"/>
      <c r="F772" s="2733"/>
      <c r="G772" s="2733"/>
      <c r="H772" s="2733"/>
      <c r="I772" s="2733"/>
      <c r="J772" s="2733"/>
      <c r="K772" s="2733"/>
      <c r="L772" s="2733"/>
      <c r="V772" s="551"/>
      <c r="W772" s="551"/>
      <c r="X772" s="551"/>
      <c r="Y772" s="551"/>
      <c r="Z772" s="551"/>
      <c r="AA772" s="551"/>
      <c r="AB772" s="551"/>
      <c r="AC772" s="551"/>
      <c r="AD772" s="551"/>
      <c r="AE772" s="551"/>
      <c r="AF772" s="551"/>
      <c r="AG772" s="551"/>
      <c r="AH772" s="551"/>
      <c r="AI772" s="551"/>
      <c r="AJ772" s="551"/>
      <c r="AK772" s="551"/>
      <c r="AL772" s="551"/>
      <c r="AM772" s="551"/>
      <c r="AN772" s="551"/>
      <c r="AO772" s="551"/>
      <c r="AP772" s="551"/>
      <c r="AQ772" s="551"/>
      <c r="AR772" s="551"/>
      <c r="AS772" s="551"/>
      <c r="AT772" s="551"/>
      <c r="AU772" s="551"/>
      <c r="AV772" s="551"/>
      <c r="AW772" s="551"/>
      <c r="AX772" s="551"/>
      <c r="AY772" s="551"/>
      <c r="AZ772" s="551"/>
      <c r="BA772" s="551"/>
      <c r="BB772" s="551"/>
      <c r="BC772" s="551"/>
      <c r="BD772" s="551"/>
      <c r="BE772" s="551"/>
      <c r="BF772" s="551"/>
    </row>
    <row r="773" spans="1:58" s="469" customFormat="1" ht="19.5" customHeight="1" x14ac:dyDescent="0.2">
      <c r="A773" s="455"/>
      <c r="C773" s="796"/>
      <c r="D773" s="796"/>
      <c r="E773" s="796"/>
      <c r="F773" s="796"/>
      <c r="G773" s="796"/>
      <c r="H773" s="796"/>
      <c r="I773" s="796"/>
      <c r="J773" s="796"/>
      <c r="K773" s="796"/>
      <c r="L773" s="796"/>
      <c r="V773" s="456"/>
      <c r="W773" s="456"/>
      <c r="X773" s="456"/>
      <c r="Y773" s="456"/>
      <c r="Z773" s="456"/>
      <c r="AA773" s="456"/>
      <c r="AB773" s="456"/>
      <c r="AC773" s="456"/>
      <c r="AD773" s="456"/>
      <c r="AE773" s="456"/>
      <c r="AF773" s="456"/>
      <c r="AG773" s="456"/>
      <c r="AH773" s="456"/>
      <c r="AI773" s="456"/>
      <c r="AJ773" s="456"/>
      <c r="AK773" s="456"/>
      <c r="AL773" s="456"/>
      <c r="AM773" s="456"/>
      <c r="AN773" s="456"/>
      <c r="AO773" s="456"/>
      <c r="AP773" s="456"/>
      <c r="AQ773" s="456"/>
      <c r="AR773" s="456"/>
      <c r="AS773" s="456"/>
      <c r="AT773" s="456"/>
      <c r="AU773" s="456"/>
      <c r="AV773" s="456"/>
      <c r="AW773" s="456"/>
      <c r="AX773" s="456"/>
      <c r="AY773" s="456"/>
      <c r="AZ773" s="456"/>
      <c r="BA773" s="456"/>
      <c r="BB773" s="456"/>
      <c r="BC773" s="456"/>
      <c r="BD773" s="456"/>
      <c r="BE773" s="456"/>
      <c r="BF773" s="456"/>
    </row>
    <row r="774" spans="1:58" s="454" customFormat="1" ht="22.5" customHeight="1" x14ac:dyDescent="0.25">
      <c r="A774" s="2709" t="s">
        <v>2676</v>
      </c>
      <c r="B774" s="2709"/>
      <c r="C774" s="2709"/>
      <c r="D774" s="2709"/>
      <c r="E774" s="2709"/>
      <c r="F774" s="2709"/>
      <c r="G774" s="2709"/>
      <c r="H774" s="2709"/>
      <c r="I774" s="2709"/>
      <c r="J774" s="2709"/>
      <c r="K774" s="2709"/>
      <c r="L774" s="2709"/>
      <c r="M774" s="2709"/>
      <c r="N774" s="2709"/>
      <c r="O774" s="793"/>
      <c r="P774" s="793"/>
    </row>
    <row r="775" spans="1:58" s="454" customFormat="1" ht="12.75" customHeight="1" x14ac:dyDescent="0.25">
      <c r="A775" s="2709" t="s">
        <v>933</v>
      </c>
      <c r="B775" s="2709"/>
      <c r="C775" s="2709"/>
      <c r="D775" s="2709"/>
      <c r="E775" s="2709"/>
      <c r="F775" s="2709"/>
      <c r="G775" s="2709"/>
      <c r="H775" s="2709"/>
      <c r="I775" s="2709"/>
      <c r="J775" s="2709"/>
      <c r="K775" s="2709"/>
      <c r="L775" s="2709"/>
      <c r="M775" s="2709"/>
      <c r="N775" s="2709"/>
      <c r="O775" s="793"/>
      <c r="P775" s="793"/>
    </row>
    <row r="776" spans="1:58" s="454" customFormat="1" ht="12.75" customHeight="1" x14ac:dyDescent="0.25">
      <c r="A776" s="2709" t="s">
        <v>934</v>
      </c>
      <c r="B776" s="2709"/>
      <c r="C776" s="2709"/>
      <c r="D776" s="2709"/>
      <c r="E776" s="2709"/>
      <c r="F776" s="2709"/>
      <c r="G776" s="2709"/>
      <c r="H776" s="2709"/>
      <c r="I776" s="2709"/>
      <c r="J776" s="2709"/>
      <c r="K776" s="2709"/>
      <c r="L776" s="2709"/>
      <c r="M776" s="2709"/>
      <c r="N776" s="2709"/>
      <c r="O776" s="793"/>
      <c r="P776" s="793"/>
    </row>
    <row r="777" spans="1:58" s="454" customFormat="1" ht="19.5" customHeight="1" x14ac:dyDescent="0.25"/>
    <row r="778" spans="1:58" s="454" customFormat="1" ht="15" x14ac:dyDescent="0.25">
      <c r="B778" s="797"/>
      <c r="D778" s="797"/>
      <c r="F778" s="797"/>
    </row>
  </sheetData>
  <mergeCells count="764">
    <mergeCell ref="C771:G771"/>
    <mergeCell ref="H771:L771"/>
    <mergeCell ref="C772:L772"/>
    <mergeCell ref="A774:N774"/>
    <mergeCell ref="A775:N775"/>
    <mergeCell ref="A776:N776"/>
    <mergeCell ref="C764:K764"/>
    <mergeCell ref="C765:K765"/>
    <mergeCell ref="C766:K766"/>
    <mergeCell ref="C769:G769"/>
    <mergeCell ref="H769:L769"/>
    <mergeCell ref="C770:L770"/>
    <mergeCell ref="C758:K758"/>
    <mergeCell ref="C759:K759"/>
    <mergeCell ref="C760:K760"/>
    <mergeCell ref="C761:K761"/>
    <mergeCell ref="C762:K762"/>
    <mergeCell ref="C763:K763"/>
    <mergeCell ref="C752:K752"/>
    <mergeCell ref="C753:K753"/>
    <mergeCell ref="C754:K754"/>
    <mergeCell ref="C755:K755"/>
    <mergeCell ref="C756:K756"/>
    <mergeCell ref="C757:K757"/>
    <mergeCell ref="C746:K746"/>
    <mergeCell ref="C747:K747"/>
    <mergeCell ref="C748:K748"/>
    <mergeCell ref="C749:K749"/>
    <mergeCell ref="C750:K750"/>
    <mergeCell ref="C751:K751"/>
    <mergeCell ref="C740:K740"/>
    <mergeCell ref="C741:K741"/>
    <mergeCell ref="C742:K742"/>
    <mergeCell ref="C743:K743"/>
    <mergeCell ref="C744:K744"/>
    <mergeCell ref="C745:K745"/>
    <mergeCell ref="C733:K733"/>
    <mergeCell ref="C735:K735"/>
    <mergeCell ref="C736:K736"/>
    <mergeCell ref="C737:K737"/>
    <mergeCell ref="C738:K738"/>
    <mergeCell ref="C739:K739"/>
    <mergeCell ref="C727:K727"/>
    <mergeCell ref="C728:K728"/>
    <mergeCell ref="C729:K729"/>
    <mergeCell ref="C730:K730"/>
    <mergeCell ref="C731:K731"/>
    <mergeCell ref="C732:K732"/>
    <mergeCell ref="C720:E720"/>
    <mergeCell ref="A721:N721"/>
    <mergeCell ref="C722:E722"/>
    <mergeCell ref="C723:E723"/>
    <mergeCell ref="C724:E724"/>
    <mergeCell ref="C725:E725"/>
    <mergeCell ref="C714:E714"/>
    <mergeCell ref="C715:E715"/>
    <mergeCell ref="A716:N716"/>
    <mergeCell ref="C717:E717"/>
    <mergeCell ref="C718:E718"/>
    <mergeCell ref="C719:E719"/>
    <mergeCell ref="C708:K708"/>
    <mergeCell ref="C709:K709"/>
    <mergeCell ref="A710:N710"/>
    <mergeCell ref="A711:N711"/>
    <mergeCell ref="C712:E712"/>
    <mergeCell ref="C713:E713"/>
    <mergeCell ref="C702:K702"/>
    <mergeCell ref="C703:K703"/>
    <mergeCell ref="C704:K704"/>
    <mergeCell ref="C705:K705"/>
    <mergeCell ref="C706:K706"/>
    <mergeCell ref="C707:K707"/>
    <mergeCell ref="C696:K696"/>
    <mergeCell ref="C697:K697"/>
    <mergeCell ref="C698:K698"/>
    <mergeCell ref="C699:K699"/>
    <mergeCell ref="C700:K700"/>
    <mergeCell ref="C701:K701"/>
    <mergeCell ref="C690:K690"/>
    <mergeCell ref="C691:K691"/>
    <mergeCell ref="C692:K692"/>
    <mergeCell ref="C693:K693"/>
    <mergeCell ref="C694:K694"/>
    <mergeCell ref="C695:K695"/>
    <mergeCell ref="C684:K684"/>
    <mergeCell ref="C685:K685"/>
    <mergeCell ref="C686:K686"/>
    <mergeCell ref="C687:K687"/>
    <mergeCell ref="C688:K688"/>
    <mergeCell ref="C689:K689"/>
    <mergeCell ref="C677:E677"/>
    <mergeCell ref="C678:E678"/>
    <mergeCell ref="C680:K680"/>
    <mergeCell ref="C681:K681"/>
    <mergeCell ref="C682:K682"/>
    <mergeCell ref="C683:K683"/>
    <mergeCell ref="C671:E671"/>
    <mergeCell ref="C672:E672"/>
    <mergeCell ref="C673:E673"/>
    <mergeCell ref="C674:E674"/>
    <mergeCell ref="C675:E675"/>
    <mergeCell ref="C676:E676"/>
    <mergeCell ref="C665:E665"/>
    <mergeCell ref="C666:E666"/>
    <mergeCell ref="C667:E667"/>
    <mergeCell ref="C668:E668"/>
    <mergeCell ref="C669:E669"/>
    <mergeCell ref="C670:E670"/>
    <mergeCell ref="C659:E659"/>
    <mergeCell ref="C660:E660"/>
    <mergeCell ref="C661:E661"/>
    <mergeCell ref="C662:E662"/>
    <mergeCell ref="C663:E663"/>
    <mergeCell ref="C664:E664"/>
    <mergeCell ref="C653:N653"/>
    <mergeCell ref="C654:E654"/>
    <mergeCell ref="C655:E655"/>
    <mergeCell ref="C656:E656"/>
    <mergeCell ref="C657:E657"/>
    <mergeCell ref="C658:E658"/>
    <mergeCell ref="C647:E647"/>
    <mergeCell ref="C648:E648"/>
    <mergeCell ref="C649:E649"/>
    <mergeCell ref="C650:E650"/>
    <mergeCell ref="C651:E651"/>
    <mergeCell ref="C652:E652"/>
    <mergeCell ref="C641:E641"/>
    <mergeCell ref="C642:E642"/>
    <mergeCell ref="C643:E643"/>
    <mergeCell ref="C644:E644"/>
    <mergeCell ref="C645:E645"/>
    <mergeCell ref="C646:E646"/>
    <mergeCell ref="C635:E635"/>
    <mergeCell ref="C636:E636"/>
    <mergeCell ref="C637:E637"/>
    <mergeCell ref="C638:N638"/>
    <mergeCell ref="C639:E639"/>
    <mergeCell ref="C640:E640"/>
    <mergeCell ref="C629:E629"/>
    <mergeCell ref="C630:E630"/>
    <mergeCell ref="C631:E631"/>
    <mergeCell ref="C632:E632"/>
    <mergeCell ref="C633:E633"/>
    <mergeCell ref="C634:E634"/>
    <mergeCell ref="C623:N623"/>
    <mergeCell ref="C624:E624"/>
    <mergeCell ref="C625:E625"/>
    <mergeCell ref="C626:E626"/>
    <mergeCell ref="C627:E627"/>
    <mergeCell ref="C628:E628"/>
    <mergeCell ref="C617:E617"/>
    <mergeCell ref="C618:E618"/>
    <mergeCell ref="C619:E619"/>
    <mergeCell ref="C620:E620"/>
    <mergeCell ref="A621:N621"/>
    <mergeCell ref="C622:E622"/>
    <mergeCell ref="C611:E611"/>
    <mergeCell ref="C612:E612"/>
    <mergeCell ref="C613:E613"/>
    <mergeCell ref="C614:E614"/>
    <mergeCell ref="C615:E615"/>
    <mergeCell ref="C616:E616"/>
    <mergeCell ref="C605:E605"/>
    <mergeCell ref="C606:E606"/>
    <mergeCell ref="C607:E607"/>
    <mergeCell ref="C608:E608"/>
    <mergeCell ref="C609:N609"/>
    <mergeCell ref="C610:E610"/>
    <mergeCell ref="C599:E599"/>
    <mergeCell ref="C600:E600"/>
    <mergeCell ref="C601:E601"/>
    <mergeCell ref="C602:E602"/>
    <mergeCell ref="C603:E603"/>
    <mergeCell ref="C604:E604"/>
    <mergeCell ref="C593:E593"/>
    <mergeCell ref="C594:E594"/>
    <mergeCell ref="C595:E595"/>
    <mergeCell ref="C596:E596"/>
    <mergeCell ref="C597:E597"/>
    <mergeCell ref="C598:E598"/>
    <mergeCell ref="C587:E587"/>
    <mergeCell ref="C588:E588"/>
    <mergeCell ref="C589:E589"/>
    <mergeCell ref="C590:N590"/>
    <mergeCell ref="C591:E591"/>
    <mergeCell ref="C592:E592"/>
    <mergeCell ref="C581:E581"/>
    <mergeCell ref="C582:E582"/>
    <mergeCell ref="C583:E583"/>
    <mergeCell ref="C584:E584"/>
    <mergeCell ref="C585:E585"/>
    <mergeCell ref="C586:E586"/>
    <mergeCell ref="C575:E575"/>
    <mergeCell ref="C576:E576"/>
    <mergeCell ref="C577:E577"/>
    <mergeCell ref="C578:E578"/>
    <mergeCell ref="C579:E579"/>
    <mergeCell ref="C580:E580"/>
    <mergeCell ref="C569:E569"/>
    <mergeCell ref="C570:E570"/>
    <mergeCell ref="C571:E571"/>
    <mergeCell ref="C572:E572"/>
    <mergeCell ref="C573:E573"/>
    <mergeCell ref="C574:E574"/>
    <mergeCell ref="C563:E563"/>
    <mergeCell ref="C564:E564"/>
    <mergeCell ref="C565:E565"/>
    <mergeCell ref="C566:E566"/>
    <mergeCell ref="C567:E567"/>
    <mergeCell ref="C568:E568"/>
    <mergeCell ref="C557:E557"/>
    <mergeCell ref="C558:N558"/>
    <mergeCell ref="C559:E559"/>
    <mergeCell ref="A560:N560"/>
    <mergeCell ref="C561:E561"/>
    <mergeCell ref="C562:E562"/>
    <mergeCell ref="C551:E551"/>
    <mergeCell ref="C552:N552"/>
    <mergeCell ref="C553:E553"/>
    <mergeCell ref="C554:E554"/>
    <mergeCell ref="C555:N555"/>
    <mergeCell ref="C556:E556"/>
    <mergeCell ref="C545:E545"/>
    <mergeCell ref="C546:N546"/>
    <mergeCell ref="C547:E547"/>
    <mergeCell ref="C548:E548"/>
    <mergeCell ref="C549:N549"/>
    <mergeCell ref="C550:E550"/>
    <mergeCell ref="C539:E539"/>
    <mergeCell ref="C540:E540"/>
    <mergeCell ref="C541:E541"/>
    <mergeCell ref="C542:E542"/>
    <mergeCell ref="C543:N543"/>
    <mergeCell ref="C544:E544"/>
    <mergeCell ref="C533:E533"/>
    <mergeCell ref="C534:E534"/>
    <mergeCell ref="C535:E535"/>
    <mergeCell ref="C536:E536"/>
    <mergeCell ref="C537:E537"/>
    <mergeCell ref="C538:E538"/>
    <mergeCell ref="C527:E527"/>
    <mergeCell ref="C528:E528"/>
    <mergeCell ref="C529:E529"/>
    <mergeCell ref="C530:E530"/>
    <mergeCell ref="C531:E531"/>
    <mergeCell ref="C532:E532"/>
    <mergeCell ref="C521:E521"/>
    <mergeCell ref="C522:E522"/>
    <mergeCell ref="C523:E523"/>
    <mergeCell ref="C524:E524"/>
    <mergeCell ref="C525:E525"/>
    <mergeCell ref="C526:N526"/>
    <mergeCell ref="C515:E515"/>
    <mergeCell ref="C516:E516"/>
    <mergeCell ref="C517:E517"/>
    <mergeCell ref="C518:E518"/>
    <mergeCell ref="C519:E519"/>
    <mergeCell ref="C520:E520"/>
    <mergeCell ref="C509:K509"/>
    <mergeCell ref="A510:N510"/>
    <mergeCell ref="A511:N511"/>
    <mergeCell ref="C512:E512"/>
    <mergeCell ref="C513:N513"/>
    <mergeCell ref="C514:E514"/>
    <mergeCell ref="C503:K503"/>
    <mergeCell ref="C504:K504"/>
    <mergeCell ref="C505:K505"/>
    <mergeCell ref="C506:K506"/>
    <mergeCell ref="C507:K507"/>
    <mergeCell ref="C508:K508"/>
    <mergeCell ref="C497:K497"/>
    <mergeCell ref="C498:K498"/>
    <mergeCell ref="C499:K499"/>
    <mergeCell ref="C500:K500"/>
    <mergeCell ref="C501:K501"/>
    <mergeCell ref="C502:K502"/>
    <mergeCell ref="C491:K491"/>
    <mergeCell ref="C492:K492"/>
    <mergeCell ref="C493:K493"/>
    <mergeCell ref="C494:K494"/>
    <mergeCell ref="C495:K495"/>
    <mergeCell ref="C496:K496"/>
    <mergeCell ref="C485:K485"/>
    <mergeCell ref="C486:K486"/>
    <mergeCell ref="C487:K487"/>
    <mergeCell ref="C488:K488"/>
    <mergeCell ref="C489:K489"/>
    <mergeCell ref="C490:K490"/>
    <mergeCell ref="C478:E478"/>
    <mergeCell ref="C480:K480"/>
    <mergeCell ref="C481:K481"/>
    <mergeCell ref="C482:K482"/>
    <mergeCell ref="C483:K483"/>
    <mergeCell ref="C484:K484"/>
    <mergeCell ref="C472:E472"/>
    <mergeCell ref="C473:E473"/>
    <mergeCell ref="C474:E474"/>
    <mergeCell ref="C475:E475"/>
    <mergeCell ref="C476:E476"/>
    <mergeCell ref="C477:E477"/>
    <mergeCell ref="C466:E466"/>
    <mergeCell ref="C467:E467"/>
    <mergeCell ref="C468:E468"/>
    <mergeCell ref="C469:E469"/>
    <mergeCell ref="C470:E470"/>
    <mergeCell ref="C471:E471"/>
    <mergeCell ref="C460:E460"/>
    <mergeCell ref="C461:E461"/>
    <mergeCell ref="C462:E462"/>
    <mergeCell ref="C463:E463"/>
    <mergeCell ref="C464:E464"/>
    <mergeCell ref="C465:E465"/>
    <mergeCell ref="C454:E454"/>
    <mergeCell ref="C455:E455"/>
    <mergeCell ref="C456:E456"/>
    <mergeCell ref="C457:E457"/>
    <mergeCell ref="C458:E458"/>
    <mergeCell ref="C459:E459"/>
    <mergeCell ref="C448:E448"/>
    <mergeCell ref="C449:E449"/>
    <mergeCell ref="C450:E450"/>
    <mergeCell ref="C451:E451"/>
    <mergeCell ref="C452:E452"/>
    <mergeCell ref="C453:N453"/>
    <mergeCell ref="C442:E442"/>
    <mergeCell ref="C443:E443"/>
    <mergeCell ref="C444:E444"/>
    <mergeCell ref="C445:E445"/>
    <mergeCell ref="C446:E446"/>
    <mergeCell ref="C447:E447"/>
    <mergeCell ref="C436:E436"/>
    <mergeCell ref="C437:E437"/>
    <mergeCell ref="C438:N438"/>
    <mergeCell ref="C439:E439"/>
    <mergeCell ref="C440:E440"/>
    <mergeCell ref="C441:E441"/>
    <mergeCell ref="C430:E430"/>
    <mergeCell ref="C431:E431"/>
    <mergeCell ref="C432:E432"/>
    <mergeCell ref="C433:E433"/>
    <mergeCell ref="C434:E434"/>
    <mergeCell ref="C435:E435"/>
    <mergeCell ref="C424:E424"/>
    <mergeCell ref="C425:E425"/>
    <mergeCell ref="C426:E426"/>
    <mergeCell ref="C427:E427"/>
    <mergeCell ref="C428:E428"/>
    <mergeCell ref="C429:E429"/>
    <mergeCell ref="C418:E418"/>
    <mergeCell ref="C419:E419"/>
    <mergeCell ref="C420:E420"/>
    <mergeCell ref="A421:N421"/>
    <mergeCell ref="C422:E422"/>
    <mergeCell ref="C423:N423"/>
    <mergeCell ref="C412:E412"/>
    <mergeCell ref="C413:E413"/>
    <mergeCell ref="C414:E414"/>
    <mergeCell ref="C415:E415"/>
    <mergeCell ref="C416:E416"/>
    <mergeCell ref="C417:E417"/>
    <mergeCell ref="C406:E406"/>
    <mergeCell ref="C407:E407"/>
    <mergeCell ref="C408:E408"/>
    <mergeCell ref="C409:N409"/>
    <mergeCell ref="C410:E410"/>
    <mergeCell ref="C411:E411"/>
    <mergeCell ref="C400:E400"/>
    <mergeCell ref="C401:E401"/>
    <mergeCell ref="C402:E402"/>
    <mergeCell ref="C403:E403"/>
    <mergeCell ref="C404:E404"/>
    <mergeCell ref="C405:E405"/>
    <mergeCell ref="C394:E394"/>
    <mergeCell ref="C395:E395"/>
    <mergeCell ref="C396:E396"/>
    <mergeCell ref="C397:E397"/>
    <mergeCell ref="C398:E398"/>
    <mergeCell ref="C399:E399"/>
    <mergeCell ref="C388:E388"/>
    <mergeCell ref="C389:E389"/>
    <mergeCell ref="C390:N390"/>
    <mergeCell ref="C391:E391"/>
    <mergeCell ref="C392:E392"/>
    <mergeCell ref="C393:E393"/>
    <mergeCell ref="C382:E382"/>
    <mergeCell ref="C383:E383"/>
    <mergeCell ref="C384:E384"/>
    <mergeCell ref="C385:E385"/>
    <mergeCell ref="C386:E386"/>
    <mergeCell ref="C387:E387"/>
    <mergeCell ref="C376:E376"/>
    <mergeCell ref="C377:E377"/>
    <mergeCell ref="C378:E378"/>
    <mergeCell ref="C379:E379"/>
    <mergeCell ref="C380:E380"/>
    <mergeCell ref="C381:E381"/>
    <mergeCell ref="C370:E370"/>
    <mergeCell ref="C371:E371"/>
    <mergeCell ref="C372:E372"/>
    <mergeCell ref="C373:E373"/>
    <mergeCell ref="C374:E374"/>
    <mergeCell ref="C375:E375"/>
    <mergeCell ref="C364:E364"/>
    <mergeCell ref="C365:E365"/>
    <mergeCell ref="C366:E366"/>
    <mergeCell ref="C367:E367"/>
    <mergeCell ref="C368:E368"/>
    <mergeCell ref="C369:E369"/>
    <mergeCell ref="C358:N358"/>
    <mergeCell ref="C359:E359"/>
    <mergeCell ref="A360:N360"/>
    <mergeCell ref="C361:E361"/>
    <mergeCell ref="C362:E362"/>
    <mergeCell ref="C363:E363"/>
    <mergeCell ref="C352:N352"/>
    <mergeCell ref="C353:E353"/>
    <mergeCell ref="C354:E354"/>
    <mergeCell ref="C355:N355"/>
    <mergeCell ref="C356:E356"/>
    <mergeCell ref="C357:E357"/>
    <mergeCell ref="C346:N346"/>
    <mergeCell ref="C347:E347"/>
    <mergeCell ref="C348:E348"/>
    <mergeCell ref="C349:N349"/>
    <mergeCell ref="C350:E350"/>
    <mergeCell ref="C351:E351"/>
    <mergeCell ref="C340:E340"/>
    <mergeCell ref="C341:E341"/>
    <mergeCell ref="C342:E342"/>
    <mergeCell ref="C343:E343"/>
    <mergeCell ref="C344:E344"/>
    <mergeCell ref="C345:E345"/>
    <mergeCell ref="C334:E334"/>
    <mergeCell ref="C335:E335"/>
    <mergeCell ref="C336:E336"/>
    <mergeCell ref="C337:E337"/>
    <mergeCell ref="C338:E338"/>
    <mergeCell ref="C339:E339"/>
    <mergeCell ref="C328:E328"/>
    <mergeCell ref="C329:N329"/>
    <mergeCell ref="C330:E330"/>
    <mergeCell ref="C331:E331"/>
    <mergeCell ref="C332:E332"/>
    <mergeCell ref="C333:E333"/>
    <mergeCell ref="C322:E322"/>
    <mergeCell ref="C323:E323"/>
    <mergeCell ref="C324:E324"/>
    <mergeCell ref="C325:E325"/>
    <mergeCell ref="C326:E326"/>
    <mergeCell ref="C327:E327"/>
    <mergeCell ref="C316:N316"/>
    <mergeCell ref="C317:E317"/>
    <mergeCell ref="C318:E318"/>
    <mergeCell ref="C319:E319"/>
    <mergeCell ref="C320:E320"/>
    <mergeCell ref="C321:E321"/>
    <mergeCell ref="C310:K310"/>
    <mergeCell ref="C311:K311"/>
    <mergeCell ref="C312:K312"/>
    <mergeCell ref="A313:N313"/>
    <mergeCell ref="A314:N314"/>
    <mergeCell ref="C315:E315"/>
    <mergeCell ref="C304:K304"/>
    <mergeCell ref="C305:K305"/>
    <mergeCell ref="C306:K306"/>
    <mergeCell ref="C307:K307"/>
    <mergeCell ref="C308:K308"/>
    <mergeCell ref="C309:K309"/>
    <mergeCell ref="C298:K298"/>
    <mergeCell ref="C299:K299"/>
    <mergeCell ref="C300:K300"/>
    <mergeCell ref="C301:K301"/>
    <mergeCell ref="C302:K302"/>
    <mergeCell ref="C303:K303"/>
    <mergeCell ref="C291:E291"/>
    <mergeCell ref="C293:K293"/>
    <mergeCell ref="C294:K294"/>
    <mergeCell ref="C295:K295"/>
    <mergeCell ref="C296:K296"/>
    <mergeCell ref="C297:K297"/>
    <mergeCell ref="C285:E285"/>
    <mergeCell ref="C286:E286"/>
    <mergeCell ref="C287:E287"/>
    <mergeCell ref="C288:E288"/>
    <mergeCell ref="C289:E289"/>
    <mergeCell ref="C290:E290"/>
    <mergeCell ref="A279:N279"/>
    <mergeCell ref="C280:E280"/>
    <mergeCell ref="C281:N281"/>
    <mergeCell ref="C282:E282"/>
    <mergeCell ref="C283:E283"/>
    <mergeCell ref="C284:E284"/>
    <mergeCell ref="C273:K273"/>
    <mergeCell ref="A274:N274"/>
    <mergeCell ref="A275:N275"/>
    <mergeCell ref="A276:N276"/>
    <mergeCell ref="C277:E277"/>
    <mergeCell ref="C278:E278"/>
    <mergeCell ref="A266:N266"/>
    <mergeCell ref="A267:N267"/>
    <mergeCell ref="A268:N268"/>
    <mergeCell ref="A269:N269"/>
    <mergeCell ref="A270:N270"/>
    <mergeCell ref="C272:K272"/>
    <mergeCell ref="C260:K260"/>
    <mergeCell ref="C261:K261"/>
    <mergeCell ref="C262:K262"/>
    <mergeCell ref="C263:K263"/>
    <mergeCell ref="A264:N264"/>
    <mergeCell ref="A265:N265"/>
    <mergeCell ref="C254:K254"/>
    <mergeCell ref="C255:K255"/>
    <mergeCell ref="C256:K256"/>
    <mergeCell ref="C257:K257"/>
    <mergeCell ref="C258:K258"/>
    <mergeCell ref="C259:K259"/>
    <mergeCell ref="C248:K248"/>
    <mergeCell ref="C249:K249"/>
    <mergeCell ref="C250:K250"/>
    <mergeCell ref="C251:K251"/>
    <mergeCell ref="C252:K252"/>
    <mergeCell ref="C253:K253"/>
    <mergeCell ref="C242:K242"/>
    <mergeCell ref="C243:K243"/>
    <mergeCell ref="C244:K244"/>
    <mergeCell ref="C245:K245"/>
    <mergeCell ref="C246:K246"/>
    <mergeCell ref="C247:K247"/>
    <mergeCell ref="C236:K236"/>
    <mergeCell ref="C237:K237"/>
    <mergeCell ref="C238:K238"/>
    <mergeCell ref="C239:K239"/>
    <mergeCell ref="C240:K240"/>
    <mergeCell ref="C241:K241"/>
    <mergeCell ref="C229:E229"/>
    <mergeCell ref="C230:E230"/>
    <mergeCell ref="C231:N231"/>
    <mergeCell ref="C232:E232"/>
    <mergeCell ref="C234:K234"/>
    <mergeCell ref="C235:K235"/>
    <mergeCell ref="C223:E223"/>
    <mergeCell ref="C224:E224"/>
    <mergeCell ref="C225:E225"/>
    <mergeCell ref="C226:E226"/>
    <mergeCell ref="C227:E227"/>
    <mergeCell ref="C228:E228"/>
    <mergeCell ref="C217:E217"/>
    <mergeCell ref="C218:E218"/>
    <mergeCell ref="C219:E219"/>
    <mergeCell ref="C220:N220"/>
    <mergeCell ref="C221:N221"/>
    <mergeCell ref="C222:E222"/>
    <mergeCell ref="C211:E211"/>
    <mergeCell ref="C212:E212"/>
    <mergeCell ref="C213:E213"/>
    <mergeCell ref="C214:E214"/>
    <mergeCell ref="C215:E215"/>
    <mergeCell ref="C216:E216"/>
    <mergeCell ref="C205:E205"/>
    <mergeCell ref="C206:E206"/>
    <mergeCell ref="C207:E207"/>
    <mergeCell ref="C208:E208"/>
    <mergeCell ref="C209:E209"/>
    <mergeCell ref="C210:E210"/>
    <mergeCell ref="A199:N199"/>
    <mergeCell ref="A200:N200"/>
    <mergeCell ref="A201:N201"/>
    <mergeCell ref="C202:E202"/>
    <mergeCell ref="C203:N203"/>
    <mergeCell ref="C204:E204"/>
    <mergeCell ref="C193:E193"/>
    <mergeCell ref="C194:E194"/>
    <mergeCell ref="C195:E195"/>
    <mergeCell ref="C196:E196"/>
    <mergeCell ref="A197:N197"/>
    <mergeCell ref="A198:N198"/>
    <mergeCell ref="C187:E187"/>
    <mergeCell ref="C188:E188"/>
    <mergeCell ref="C189:E189"/>
    <mergeCell ref="C190:E190"/>
    <mergeCell ref="C191:E191"/>
    <mergeCell ref="C192:E192"/>
    <mergeCell ref="C181:E181"/>
    <mergeCell ref="C182:E182"/>
    <mergeCell ref="C183:E183"/>
    <mergeCell ref="A184:N184"/>
    <mergeCell ref="C185:E185"/>
    <mergeCell ref="C186:N186"/>
    <mergeCell ref="C175:N175"/>
    <mergeCell ref="C176:E176"/>
    <mergeCell ref="C177:E177"/>
    <mergeCell ref="C178:E178"/>
    <mergeCell ref="C179:E179"/>
    <mergeCell ref="C180:E180"/>
    <mergeCell ref="C169:E169"/>
    <mergeCell ref="C170:E170"/>
    <mergeCell ref="C171:E171"/>
    <mergeCell ref="C172:E172"/>
    <mergeCell ref="C173:E173"/>
    <mergeCell ref="C174:E174"/>
    <mergeCell ref="C163:E163"/>
    <mergeCell ref="C164:E164"/>
    <mergeCell ref="C165:E165"/>
    <mergeCell ref="C166:E166"/>
    <mergeCell ref="C167:E167"/>
    <mergeCell ref="C168:E168"/>
    <mergeCell ref="C157:E157"/>
    <mergeCell ref="C158:N158"/>
    <mergeCell ref="C159:E159"/>
    <mergeCell ref="C160:E160"/>
    <mergeCell ref="C161:E161"/>
    <mergeCell ref="C162:E162"/>
    <mergeCell ref="C151:E151"/>
    <mergeCell ref="C152:E152"/>
    <mergeCell ref="C153:E153"/>
    <mergeCell ref="C154:E154"/>
    <mergeCell ref="C155:E155"/>
    <mergeCell ref="C156:E156"/>
    <mergeCell ref="C145:E145"/>
    <mergeCell ref="C146:E146"/>
    <mergeCell ref="C147:E147"/>
    <mergeCell ref="C148:E148"/>
    <mergeCell ref="C149:E149"/>
    <mergeCell ref="C150:E150"/>
    <mergeCell ref="C139:N139"/>
    <mergeCell ref="C140:E140"/>
    <mergeCell ref="C141:E141"/>
    <mergeCell ref="C142:E142"/>
    <mergeCell ref="C143:E143"/>
    <mergeCell ref="C144:E144"/>
    <mergeCell ref="C133:E133"/>
    <mergeCell ref="C134:E134"/>
    <mergeCell ref="C135:E135"/>
    <mergeCell ref="C136:E136"/>
    <mergeCell ref="C137:E137"/>
    <mergeCell ref="C138:E138"/>
    <mergeCell ref="C127:E127"/>
    <mergeCell ref="C128:E128"/>
    <mergeCell ref="C129:E129"/>
    <mergeCell ref="C130:E130"/>
    <mergeCell ref="C131:E131"/>
    <mergeCell ref="C132:E132"/>
    <mergeCell ref="C121:E121"/>
    <mergeCell ref="C122:E122"/>
    <mergeCell ref="C123:E123"/>
    <mergeCell ref="C124:E124"/>
    <mergeCell ref="C125:E125"/>
    <mergeCell ref="C126:E126"/>
    <mergeCell ref="C115:E115"/>
    <mergeCell ref="C116:E116"/>
    <mergeCell ref="C117:E117"/>
    <mergeCell ref="C118:E118"/>
    <mergeCell ref="C119:E119"/>
    <mergeCell ref="C120:N120"/>
    <mergeCell ref="C109:E109"/>
    <mergeCell ref="C110:E110"/>
    <mergeCell ref="C111:E111"/>
    <mergeCell ref="C112:E112"/>
    <mergeCell ref="C113:E113"/>
    <mergeCell ref="C114:E114"/>
    <mergeCell ref="C103:E103"/>
    <mergeCell ref="C104:E104"/>
    <mergeCell ref="C105:E105"/>
    <mergeCell ref="C106:E106"/>
    <mergeCell ref="C107:E107"/>
    <mergeCell ref="C108:E108"/>
    <mergeCell ref="C97:E97"/>
    <mergeCell ref="C98:E98"/>
    <mergeCell ref="C99:E99"/>
    <mergeCell ref="C100:E100"/>
    <mergeCell ref="C101:N101"/>
    <mergeCell ref="C102:E102"/>
    <mergeCell ref="C91:E91"/>
    <mergeCell ref="C92:E92"/>
    <mergeCell ref="C93:E93"/>
    <mergeCell ref="C94:E94"/>
    <mergeCell ref="C95:E95"/>
    <mergeCell ref="C96:E96"/>
    <mergeCell ref="C85:E85"/>
    <mergeCell ref="C86:N86"/>
    <mergeCell ref="C87:E87"/>
    <mergeCell ref="C88:E88"/>
    <mergeCell ref="C89:E89"/>
    <mergeCell ref="C90:E90"/>
    <mergeCell ref="C79:E79"/>
    <mergeCell ref="C80:E80"/>
    <mergeCell ref="C81:E81"/>
    <mergeCell ref="C82:E82"/>
    <mergeCell ref="C83:E83"/>
    <mergeCell ref="C84:E84"/>
    <mergeCell ref="C73:E73"/>
    <mergeCell ref="C74:E74"/>
    <mergeCell ref="C75:E75"/>
    <mergeCell ref="C76:N76"/>
    <mergeCell ref="C77:E77"/>
    <mergeCell ref="C78:E78"/>
    <mergeCell ref="C67:E67"/>
    <mergeCell ref="C68:E68"/>
    <mergeCell ref="C69:E69"/>
    <mergeCell ref="C70:E70"/>
    <mergeCell ref="C71:E71"/>
    <mergeCell ref="C72:E72"/>
    <mergeCell ref="C61:E61"/>
    <mergeCell ref="C62:E62"/>
    <mergeCell ref="C63:E63"/>
    <mergeCell ref="C64:E64"/>
    <mergeCell ref="C65:N65"/>
    <mergeCell ref="C66:E66"/>
    <mergeCell ref="C55:E55"/>
    <mergeCell ref="C56:E56"/>
    <mergeCell ref="C57:E57"/>
    <mergeCell ref="C58:E58"/>
    <mergeCell ref="C59:E59"/>
    <mergeCell ref="C60:E60"/>
    <mergeCell ref="C49:E49"/>
    <mergeCell ref="C50:E50"/>
    <mergeCell ref="C51:E51"/>
    <mergeCell ref="C52:E52"/>
    <mergeCell ref="C53:N53"/>
    <mergeCell ref="C54:E54"/>
    <mergeCell ref="C43:N43"/>
    <mergeCell ref="C44:E44"/>
    <mergeCell ref="C45:E45"/>
    <mergeCell ref="C46:E46"/>
    <mergeCell ref="C47:E47"/>
    <mergeCell ref="C48:E48"/>
    <mergeCell ref="N35:N37"/>
    <mergeCell ref="C38:E38"/>
    <mergeCell ref="A39:N39"/>
    <mergeCell ref="A40:N40"/>
    <mergeCell ref="A41:N41"/>
    <mergeCell ref="C42:E42"/>
    <mergeCell ref="L33:M33"/>
    <mergeCell ref="A35:A37"/>
    <mergeCell ref="B35:B37"/>
    <mergeCell ref="C35:E37"/>
    <mergeCell ref="F35:F37"/>
    <mergeCell ref="G35:I36"/>
    <mergeCell ref="J35:L36"/>
    <mergeCell ref="M35:M37"/>
    <mergeCell ref="A21:N21"/>
    <mergeCell ref="B23:F23"/>
    <mergeCell ref="B24:F24"/>
    <mergeCell ref="D26:F26"/>
    <mergeCell ref="L31:M31"/>
    <mergeCell ref="L32:M32"/>
    <mergeCell ref="A17:N17"/>
    <mergeCell ref="A18:N18"/>
    <mergeCell ref="A20:N20"/>
    <mergeCell ref="A9:F9"/>
    <mergeCell ref="G9:N9"/>
    <mergeCell ref="A10:F10"/>
    <mergeCell ref="G10:N10"/>
    <mergeCell ref="A11:F11"/>
    <mergeCell ref="G11:N11"/>
    <mergeCell ref="G5:N5"/>
    <mergeCell ref="G6:N6"/>
    <mergeCell ref="A7:F7"/>
    <mergeCell ref="G7:N7"/>
    <mergeCell ref="A8:F8"/>
    <mergeCell ref="G8:N8"/>
    <mergeCell ref="A13:N13"/>
    <mergeCell ref="A14:N14"/>
    <mergeCell ref="A16:N16"/>
  </mergeCells>
  <printOptions horizontalCentered="1"/>
  <pageMargins left="0.31496062874794001" right="0.31496062874794001" top="0.78740155696868896" bottom="0.31496062874794001" header="0.19685038924217199" footer="0.19685038924217199"/>
  <pageSetup paperSize="9" fitToHeight="0" orientation="landscape"/>
  <headerFooter>
    <oddFooter>&amp;RСтраница &amp;P</oddFooter>
  </headerFooter>
  <rowBreaks count="1" manualBreakCount="1">
    <brk id="34" max="77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BO414"/>
  <sheetViews>
    <sheetView workbookViewId="0">
      <selection activeCell="K389" sqref="K389"/>
    </sheetView>
  </sheetViews>
  <sheetFormatPr defaultColWidth="9.140625" defaultRowHeight="11.25" customHeight="1" x14ac:dyDescent="0.2"/>
  <cols>
    <col min="1" max="1" width="9.7109375" style="552" customWidth="1"/>
    <col min="2" max="2" width="20.7109375" style="552" customWidth="1"/>
    <col min="3" max="3" width="10.7109375" style="552" customWidth="1"/>
    <col min="4" max="4" width="12.85546875" style="552" customWidth="1"/>
    <col min="5" max="5" width="10.42578125" style="552" customWidth="1"/>
    <col min="6" max="6" width="11.7109375" style="552" customWidth="1"/>
    <col min="7" max="7" width="6.140625" style="552" customWidth="1"/>
    <col min="8" max="8" width="9.28515625" style="552" customWidth="1"/>
    <col min="9" max="9" width="10.7109375" style="552" customWidth="1"/>
    <col min="10" max="10" width="12.42578125" style="552" customWidth="1"/>
    <col min="11" max="11" width="13.28515625" style="552" customWidth="1"/>
    <col min="12" max="12" width="17" style="552" customWidth="1"/>
    <col min="13" max="13" width="11.5703125" style="552" customWidth="1"/>
    <col min="14" max="14" width="17" style="552" customWidth="1"/>
    <col min="15" max="15" width="12.85546875" style="552" customWidth="1"/>
    <col min="16" max="16" width="17" style="552" customWidth="1"/>
    <col min="17" max="17" width="75.28515625" style="459" hidden="1" customWidth="1"/>
    <col min="18" max="18" width="126.5703125" style="459" hidden="1" customWidth="1"/>
    <col min="19" max="27" width="9.140625" style="552"/>
    <col min="28" max="34" width="127.28515625" style="491" hidden="1" customWidth="1"/>
    <col min="35" max="37" width="203.42578125" style="491" hidden="1" customWidth="1"/>
    <col min="38" max="38" width="66.42578125" style="491" hidden="1" customWidth="1"/>
    <col min="39" max="39" width="45.7109375" style="491" hidden="1" customWidth="1"/>
    <col min="40" max="41" width="203.42578125" style="491" hidden="1" customWidth="1"/>
    <col min="42" max="42" width="51.85546875" style="491" hidden="1" customWidth="1"/>
    <col min="43" max="43" width="173" style="491" hidden="1" customWidth="1"/>
    <col min="44" max="50" width="51.85546875" style="491" hidden="1" customWidth="1"/>
    <col min="51" max="51" width="173" style="491" hidden="1" customWidth="1"/>
    <col min="52" max="53" width="51.85546875" style="491" hidden="1" customWidth="1"/>
    <col min="54" max="57" width="156" style="491" hidden="1" customWidth="1"/>
    <col min="58" max="58" width="84.28515625" style="491" hidden="1" customWidth="1"/>
    <col min="59" max="62" width="156" style="491" hidden="1" customWidth="1"/>
    <col min="63" max="63" width="84.28515625" style="491" hidden="1" customWidth="1"/>
    <col min="64" max="64" width="61.140625" style="491" hidden="1" customWidth="1"/>
    <col min="65" max="65" width="82" style="491" hidden="1" customWidth="1"/>
    <col min="66" max="66" width="61.140625" style="491" hidden="1" customWidth="1"/>
    <col min="67" max="67" width="82" style="491" hidden="1" customWidth="1"/>
    <col min="68" max="16384" width="9.140625" style="552"/>
  </cols>
  <sheetData>
    <row r="1" spans="1:36" s="454" customFormat="1" ht="15" x14ac:dyDescent="0.25">
      <c r="A1" s="452"/>
      <c r="B1" s="452"/>
      <c r="C1" s="452"/>
      <c r="D1" s="452"/>
      <c r="E1" s="452"/>
      <c r="F1" s="452"/>
      <c r="G1" s="452"/>
      <c r="H1" s="452"/>
      <c r="I1" s="452"/>
      <c r="J1" s="452"/>
      <c r="K1" s="452"/>
      <c r="L1" s="452"/>
      <c r="M1" s="452"/>
      <c r="N1" s="452"/>
      <c r="O1" s="452"/>
      <c r="P1" s="453" t="s">
        <v>757</v>
      </c>
    </row>
    <row r="2" spans="1:36" s="454" customFormat="1" ht="11.25" customHeight="1" x14ac:dyDescent="0.25">
      <c r="A2" s="455"/>
      <c r="B2" s="455"/>
      <c r="C2" s="455"/>
      <c r="D2" s="455"/>
      <c r="E2" s="455"/>
      <c r="F2" s="455"/>
      <c r="G2" s="455"/>
      <c r="H2" s="455"/>
      <c r="I2" s="455"/>
      <c r="J2" s="455"/>
      <c r="K2" s="455"/>
      <c r="L2" s="455"/>
      <c r="M2" s="455"/>
      <c r="P2" s="453" t="s">
        <v>758</v>
      </c>
    </row>
    <row r="3" spans="1:36" s="454" customFormat="1" ht="15" x14ac:dyDescent="0.25">
      <c r="A3" s="455"/>
      <c r="B3" s="455"/>
      <c r="C3" s="455"/>
      <c r="D3" s="455"/>
      <c r="E3" s="455"/>
      <c r="F3" s="455"/>
      <c r="G3" s="455"/>
      <c r="H3" s="455"/>
      <c r="I3" s="455"/>
      <c r="J3" s="455"/>
      <c r="K3" s="455"/>
      <c r="L3" s="455"/>
      <c r="M3" s="455"/>
      <c r="P3" s="453"/>
    </row>
    <row r="4" spans="1:36" s="454" customFormat="1" ht="12.75" customHeight="1" x14ac:dyDescent="0.25">
      <c r="A4" s="2697" t="s">
        <v>759</v>
      </c>
      <c r="B4" s="2697"/>
      <c r="C4" s="2697"/>
      <c r="D4" s="2697"/>
      <c r="E4" s="2697"/>
      <c r="F4" s="2697"/>
      <c r="G4" s="2734" t="s">
        <v>760</v>
      </c>
      <c r="H4" s="2734"/>
      <c r="I4" s="2734"/>
      <c r="J4" s="2734"/>
      <c r="K4" s="2734"/>
      <c r="L4" s="2734"/>
      <c r="M4" s="2734"/>
      <c r="N4" s="2734"/>
      <c r="O4" s="2734"/>
      <c r="P4" s="2734"/>
    </row>
    <row r="5" spans="1:36" s="454" customFormat="1" ht="22.5" customHeight="1" x14ac:dyDescent="0.25">
      <c r="A5" s="2697" t="s">
        <v>761</v>
      </c>
      <c r="B5" s="2697"/>
      <c r="C5" s="2697"/>
      <c r="D5" s="2697"/>
      <c r="E5" s="2697"/>
      <c r="F5" s="2697"/>
      <c r="G5" s="2696" t="s">
        <v>762</v>
      </c>
      <c r="H5" s="2696"/>
      <c r="I5" s="2696"/>
      <c r="J5" s="2696"/>
      <c r="K5" s="2696"/>
      <c r="L5" s="2696"/>
      <c r="M5" s="2696"/>
      <c r="N5" s="2696"/>
      <c r="O5" s="2696"/>
      <c r="P5" s="2696"/>
      <c r="AB5" s="456" t="s">
        <v>762</v>
      </c>
    </row>
    <row r="6" spans="1:36" s="454" customFormat="1" ht="45" customHeight="1" x14ac:dyDescent="0.25">
      <c r="A6" s="2697" t="s">
        <v>763</v>
      </c>
      <c r="B6" s="2697"/>
      <c r="C6" s="2697"/>
      <c r="D6" s="2697"/>
      <c r="E6" s="2697"/>
      <c r="F6" s="2697"/>
      <c r="G6" s="2696" t="s">
        <v>764</v>
      </c>
      <c r="H6" s="2696"/>
      <c r="I6" s="2696"/>
      <c r="J6" s="2696"/>
      <c r="K6" s="2696"/>
      <c r="L6" s="2696"/>
      <c r="M6" s="2696"/>
      <c r="N6" s="2696"/>
      <c r="O6" s="2696"/>
      <c r="P6" s="2696"/>
      <c r="AC6" s="456" t="s">
        <v>764</v>
      </c>
    </row>
    <row r="7" spans="1:36" s="454" customFormat="1" ht="67.5" customHeight="1" x14ac:dyDescent="0.25">
      <c r="A7" s="2698" t="s">
        <v>765</v>
      </c>
      <c r="B7" s="2698"/>
      <c r="C7" s="2698"/>
      <c r="D7" s="2698"/>
      <c r="E7" s="2698"/>
      <c r="F7" s="2698"/>
      <c r="G7" s="2696" t="s">
        <v>766</v>
      </c>
      <c r="H7" s="2696"/>
      <c r="I7" s="2696"/>
      <c r="J7" s="2696"/>
      <c r="K7" s="2696"/>
      <c r="L7" s="2696"/>
      <c r="M7" s="2696"/>
      <c r="N7" s="2696"/>
      <c r="O7" s="2696"/>
      <c r="P7" s="2696"/>
      <c r="Q7" s="457" t="s">
        <v>765</v>
      </c>
      <c r="R7" s="458" t="s">
        <v>766</v>
      </c>
      <c r="S7" s="456"/>
      <c r="T7" s="456"/>
      <c r="U7" s="456"/>
      <c r="V7" s="456"/>
      <c r="W7" s="456"/>
      <c r="X7" s="456"/>
      <c r="Y7" s="456"/>
      <c r="Z7" s="456"/>
      <c r="AA7" s="456"/>
      <c r="AD7" s="456" t="s">
        <v>766</v>
      </c>
    </row>
    <row r="8" spans="1:36" s="454" customFormat="1" ht="33.75" customHeight="1" x14ac:dyDescent="0.25">
      <c r="A8" s="2697" t="s">
        <v>767</v>
      </c>
      <c r="B8" s="2697"/>
      <c r="C8" s="2697"/>
      <c r="D8" s="2697"/>
      <c r="E8" s="2697"/>
      <c r="F8" s="2697"/>
      <c r="G8" s="2696"/>
      <c r="H8" s="2696"/>
      <c r="I8" s="2696"/>
      <c r="J8" s="2696"/>
      <c r="K8" s="2696"/>
      <c r="L8" s="2696"/>
      <c r="M8" s="2696"/>
      <c r="N8" s="2696"/>
      <c r="O8" s="2696"/>
      <c r="P8" s="2696"/>
      <c r="Q8" s="457" t="s">
        <v>767</v>
      </c>
      <c r="R8" s="458"/>
      <c r="S8" s="456"/>
      <c r="T8" s="456"/>
      <c r="U8" s="456"/>
      <c r="V8" s="456"/>
      <c r="W8" s="456"/>
      <c r="X8" s="456"/>
      <c r="Y8" s="456"/>
      <c r="Z8" s="456"/>
      <c r="AA8" s="456"/>
      <c r="AE8" s="456" t="s">
        <v>588</v>
      </c>
    </row>
    <row r="9" spans="1:36" s="454" customFormat="1" ht="11.25" customHeight="1" x14ac:dyDescent="0.25">
      <c r="A9" s="2697" t="s">
        <v>768</v>
      </c>
      <c r="B9" s="2697"/>
      <c r="C9" s="2697"/>
      <c r="D9" s="2697"/>
      <c r="E9" s="2697"/>
      <c r="F9" s="2697"/>
      <c r="G9" s="2696"/>
      <c r="H9" s="2696"/>
      <c r="I9" s="2696"/>
      <c r="J9" s="2696"/>
      <c r="K9" s="2696"/>
      <c r="L9" s="2696"/>
      <c r="M9" s="2696"/>
      <c r="N9" s="2696"/>
      <c r="O9" s="2696"/>
      <c r="P9" s="2696"/>
      <c r="AF9" s="456" t="s">
        <v>588</v>
      </c>
    </row>
    <row r="10" spans="1:36" s="454" customFormat="1" ht="11.25" customHeight="1" x14ac:dyDescent="0.25">
      <c r="A10" s="2697" t="s">
        <v>769</v>
      </c>
      <c r="B10" s="2697"/>
      <c r="C10" s="2697"/>
      <c r="D10" s="2697"/>
      <c r="E10" s="2697"/>
      <c r="F10" s="2697"/>
      <c r="G10" s="2696" t="s">
        <v>770</v>
      </c>
      <c r="H10" s="2696"/>
      <c r="I10" s="2696"/>
      <c r="J10" s="2696"/>
      <c r="K10" s="2696"/>
      <c r="L10" s="2696"/>
      <c r="M10" s="2696"/>
      <c r="N10" s="2696"/>
      <c r="O10" s="2696"/>
      <c r="P10" s="2696"/>
      <c r="R10" s="459" t="s">
        <v>770</v>
      </c>
      <c r="AG10" s="456" t="s">
        <v>770</v>
      </c>
    </row>
    <row r="11" spans="1:36" s="454" customFormat="1" ht="15" x14ac:dyDescent="0.25">
      <c r="A11" s="2697" t="s">
        <v>771</v>
      </c>
      <c r="B11" s="2697"/>
      <c r="C11" s="2697"/>
      <c r="D11" s="2697"/>
      <c r="E11" s="2697"/>
      <c r="F11" s="2697"/>
      <c r="G11" s="2696"/>
      <c r="H11" s="2696"/>
      <c r="I11" s="2696"/>
      <c r="J11" s="2696"/>
      <c r="K11" s="2696"/>
      <c r="L11" s="2696"/>
      <c r="M11" s="2696"/>
      <c r="N11" s="2696"/>
      <c r="O11" s="2696"/>
      <c r="P11" s="2696"/>
      <c r="AH11" s="456" t="s">
        <v>588</v>
      </c>
    </row>
    <row r="12" spans="1:36" s="454" customFormat="1" ht="6" customHeight="1" x14ac:dyDescent="0.25">
      <c r="A12" s="460"/>
      <c r="B12" s="455"/>
      <c r="C12" s="455"/>
      <c r="D12" s="455"/>
      <c r="E12" s="455"/>
      <c r="F12" s="461"/>
      <c r="G12" s="462"/>
      <c r="H12" s="462"/>
      <c r="I12" s="462"/>
      <c r="J12" s="462"/>
      <c r="K12" s="462"/>
      <c r="L12" s="462"/>
      <c r="M12" s="462"/>
      <c r="N12" s="462"/>
      <c r="O12" s="462"/>
      <c r="P12" s="462"/>
    </row>
    <row r="13" spans="1:36" s="454" customFormat="1" ht="15" x14ac:dyDescent="0.25">
      <c r="A13" s="2735" t="s">
        <v>4057</v>
      </c>
      <c r="B13" s="2735"/>
      <c r="C13" s="2735"/>
      <c r="D13" s="2735"/>
      <c r="E13" s="2735"/>
      <c r="F13" s="2735"/>
      <c r="G13" s="2735"/>
      <c r="H13" s="2735"/>
      <c r="I13" s="2735"/>
      <c r="J13" s="2735"/>
      <c r="K13" s="2735"/>
      <c r="L13" s="2735"/>
      <c r="M13" s="2735"/>
      <c r="N13" s="2735"/>
      <c r="O13" s="2735"/>
      <c r="P13" s="2735"/>
      <c r="AI13" s="456" t="s">
        <v>4057</v>
      </c>
    </row>
    <row r="14" spans="1:36" s="454" customFormat="1" ht="15" customHeight="1" x14ac:dyDescent="0.25">
      <c r="A14" s="2664" t="s">
        <v>675</v>
      </c>
      <c r="B14" s="2664"/>
      <c r="C14" s="2664"/>
      <c r="D14" s="2664"/>
      <c r="E14" s="2664"/>
      <c r="F14" s="2664"/>
      <c r="G14" s="2664"/>
      <c r="H14" s="2664"/>
      <c r="I14" s="2664"/>
      <c r="J14" s="2664"/>
      <c r="K14" s="2664"/>
      <c r="L14" s="2664"/>
      <c r="M14" s="2664"/>
      <c r="N14" s="2664"/>
      <c r="O14" s="2664"/>
      <c r="P14" s="2664"/>
    </row>
    <row r="15" spans="1:36" s="454" customFormat="1" ht="6" customHeight="1" x14ac:dyDescent="0.25">
      <c r="A15" s="463"/>
      <c r="B15" s="463"/>
      <c r="C15" s="463"/>
      <c r="D15" s="463"/>
      <c r="E15" s="463"/>
      <c r="F15" s="463"/>
      <c r="G15" s="463"/>
      <c r="H15" s="463"/>
      <c r="I15" s="463"/>
      <c r="J15" s="463"/>
      <c r="K15" s="463"/>
      <c r="L15" s="463"/>
      <c r="M15" s="463"/>
      <c r="N15" s="463"/>
      <c r="O15" s="463"/>
      <c r="P15" s="463"/>
    </row>
    <row r="16" spans="1:36" s="454" customFormat="1" ht="15" x14ac:dyDescent="0.25">
      <c r="A16" s="2735"/>
      <c r="B16" s="2735"/>
      <c r="C16" s="2735"/>
      <c r="D16" s="2735"/>
      <c r="E16" s="2735"/>
      <c r="F16" s="2735"/>
      <c r="G16" s="2735"/>
      <c r="H16" s="2735"/>
      <c r="I16" s="2735"/>
      <c r="J16" s="2735"/>
      <c r="K16" s="2735"/>
      <c r="L16" s="2735"/>
      <c r="M16" s="2735"/>
      <c r="N16" s="2735"/>
      <c r="O16" s="2735"/>
      <c r="P16" s="2735"/>
      <c r="AJ16" s="456" t="s">
        <v>588</v>
      </c>
    </row>
    <row r="17" spans="1:39" s="454" customFormat="1" ht="15" x14ac:dyDescent="0.25">
      <c r="A17" s="2664" t="s">
        <v>772</v>
      </c>
      <c r="B17" s="2664"/>
      <c r="C17" s="2664"/>
      <c r="D17" s="2664"/>
      <c r="E17" s="2664"/>
      <c r="F17" s="2664"/>
      <c r="G17" s="2664"/>
      <c r="H17" s="2664"/>
      <c r="I17" s="2664"/>
      <c r="J17" s="2664"/>
      <c r="K17" s="2664"/>
      <c r="L17" s="2664"/>
      <c r="M17" s="2664"/>
      <c r="N17" s="2664"/>
      <c r="O17" s="2664"/>
      <c r="P17" s="2664"/>
    </row>
    <row r="18" spans="1:39" s="454" customFormat="1" ht="17.25" customHeight="1" x14ac:dyDescent="0.25">
      <c r="A18" s="2700" t="s">
        <v>4058</v>
      </c>
      <c r="B18" s="2700"/>
      <c r="C18" s="2700"/>
      <c r="D18" s="2700"/>
      <c r="E18" s="2700"/>
      <c r="F18" s="2700"/>
      <c r="G18" s="2700"/>
      <c r="H18" s="2700"/>
      <c r="I18" s="2700"/>
      <c r="J18" s="2700"/>
      <c r="K18" s="2700"/>
      <c r="L18" s="2700"/>
      <c r="M18" s="2700"/>
      <c r="N18" s="2700"/>
      <c r="O18" s="2700"/>
      <c r="P18" s="2700"/>
    </row>
    <row r="19" spans="1:39" s="454" customFormat="1" ht="8.25" customHeight="1" x14ac:dyDescent="0.25">
      <c r="A19" s="569"/>
      <c r="B19" s="569"/>
      <c r="C19" s="569"/>
      <c r="D19" s="569"/>
      <c r="E19" s="569"/>
      <c r="F19" s="569"/>
      <c r="G19" s="569"/>
      <c r="H19" s="569"/>
      <c r="I19" s="569"/>
      <c r="J19" s="569"/>
      <c r="K19" s="569"/>
      <c r="L19" s="569"/>
      <c r="M19" s="569"/>
      <c r="N19" s="569"/>
      <c r="O19" s="569"/>
      <c r="P19" s="569"/>
    </row>
    <row r="20" spans="1:39" s="454" customFormat="1" ht="15" x14ac:dyDescent="0.25">
      <c r="A20" s="2735" t="s">
        <v>4056</v>
      </c>
      <c r="B20" s="2735"/>
      <c r="C20" s="2735"/>
      <c r="D20" s="2735"/>
      <c r="E20" s="2735"/>
      <c r="F20" s="2735"/>
      <c r="G20" s="2735"/>
      <c r="H20" s="2735"/>
      <c r="I20" s="2735"/>
      <c r="J20" s="2735"/>
      <c r="K20" s="2735"/>
      <c r="L20" s="2735"/>
      <c r="M20" s="2735"/>
      <c r="N20" s="2735"/>
      <c r="O20" s="2735"/>
      <c r="P20" s="2735"/>
      <c r="AK20" s="456" t="s">
        <v>4056</v>
      </c>
    </row>
    <row r="21" spans="1:39" s="454" customFormat="1" ht="11.25" customHeight="1" x14ac:dyDescent="0.25">
      <c r="A21" s="2664" t="s">
        <v>773</v>
      </c>
      <c r="B21" s="2664"/>
      <c r="C21" s="2664"/>
      <c r="D21" s="2664"/>
      <c r="E21" s="2664"/>
      <c r="F21" s="2664"/>
      <c r="G21" s="2664"/>
      <c r="H21" s="2664"/>
      <c r="I21" s="2664"/>
      <c r="J21" s="2664"/>
      <c r="K21" s="2664"/>
      <c r="L21" s="2664"/>
      <c r="M21" s="2664"/>
      <c r="N21" s="2664"/>
      <c r="O21" s="2664"/>
      <c r="P21" s="2664"/>
    </row>
    <row r="22" spans="1:39" s="454" customFormat="1" ht="12" customHeight="1" x14ac:dyDescent="0.25">
      <c r="A22" s="455" t="s">
        <v>774</v>
      </c>
      <c r="B22" s="837" t="s">
        <v>775</v>
      </c>
      <c r="C22" s="452" t="s">
        <v>776</v>
      </c>
      <c r="D22" s="452"/>
      <c r="E22" s="452"/>
      <c r="F22" s="464"/>
      <c r="G22" s="464"/>
      <c r="H22" s="464"/>
      <c r="I22" s="464"/>
      <c r="J22" s="464"/>
      <c r="K22" s="464"/>
      <c r="L22" s="464"/>
      <c r="M22" s="464"/>
      <c r="N22" s="464"/>
      <c r="O22" s="464"/>
      <c r="P22" s="464"/>
    </row>
    <row r="23" spans="1:39" s="454" customFormat="1" ht="15" x14ac:dyDescent="0.25">
      <c r="A23" s="455" t="s">
        <v>630</v>
      </c>
      <c r="B23" s="2736" t="s">
        <v>777</v>
      </c>
      <c r="C23" s="2736"/>
      <c r="D23" s="2736"/>
      <c r="E23" s="2736"/>
      <c r="F23" s="2736"/>
      <c r="G23" s="464"/>
      <c r="H23" s="464"/>
      <c r="I23" s="464"/>
      <c r="J23" s="464"/>
      <c r="K23" s="464"/>
      <c r="L23" s="464"/>
      <c r="M23" s="464"/>
      <c r="N23" s="464"/>
      <c r="O23" s="464"/>
      <c r="P23" s="464"/>
      <c r="AL23" s="456" t="s">
        <v>777</v>
      </c>
    </row>
    <row r="24" spans="1:39" s="454" customFormat="1" ht="10.5" customHeight="1" x14ac:dyDescent="0.25">
      <c r="A24" s="455"/>
      <c r="B24" s="2706" t="s">
        <v>778</v>
      </c>
      <c r="C24" s="2706"/>
      <c r="D24" s="2706"/>
      <c r="E24" s="2706"/>
      <c r="F24" s="2706"/>
      <c r="G24" s="465"/>
      <c r="H24" s="465"/>
      <c r="I24" s="465"/>
      <c r="J24" s="465"/>
      <c r="K24" s="465"/>
      <c r="L24" s="465"/>
      <c r="M24" s="465"/>
      <c r="N24" s="465"/>
      <c r="O24" s="466"/>
      <c r="P24" s="465"/>
    </row>
    <row r="25" spans="1:39" s="454" customFormat="1" ht="9.75" customHeight="1" x14ac:dyDescent="0.25">
      <c r="A25" s="455"/>
      <c r="B25" s="455"/>
      <c r="C25" s="455"/>
      <c r="D25" s="467"/>
      <c r="E25" s="467"/>
      <c r="F25" s="467"/>
      <c r="G25" s="467"/>
      <c r="H25" s="467"/>
      <c r="I25" s="467"/>
      <c r="J25" s="467"/>
      <c r="K25" s="467"/>
      <c r="L25" s="467"/>
      <c r="M25" s="467"/>
      <c r="N25" s="467"/>
      <c r="O25" s="465"/>
      <c r="P25" s="465"/>
    </row>
    <row r="26" spans="1:39" s="454" customFormat="1" ht="15" x14ac:dyDescent="0.25">
      <c r="A26" s="468" t="s">
        <v>779</v>
      </c>
      <c r="B26" s="469"/>
      <c r="C26" s="2747" t="s">
        <v>780</v>
      </c>
      <c r="D26" s="2747"/>
      <c r="E26" s="2747"/>
      <c r="F26" s="2747"/>
      <c r="G26" s="456"/>
      <c r="H26" s="456"/>
      <c r="I26" s="456"/>
      <c r="J26" s="456"/>
      <c r="K26" s="456"/>
      <c r="L26" s="456"/>
      <c r="M26" s="456"/>
      <c r="N26" s="456"/>
      <c r="O26" s="456"/>
      <c r="P26" s="456"/>
      <c r="AM26" s="456" t="s">
        <v>780</v>
      </c>
    </row>
    <row r="27" spans="1:39" s="454" customFormat="1" ht="9.75" customHeight="1" x14ac:dyDescent="0.25">
      <c r="A27" s="455"/>
      <c r="B27" s="469"/>
      <c r="C27" s="470"/>
      <c r="D27" s="471"/>
      <c r="E27" s="471"/>
      <c r="F27" s="471"/>
      <c r="G27" s="472"/>
      <c r="H27" s="472"/>
      <c r="I27" s="472"/>
      <c r="J27" s="472"/>
      <c r="K27" s="472"/>
      <c r="L27" s="472"/>
      <c r="M27" s="472"/>
      <c r="N27" s="472"/>
      <c r="O27" s="472"/>
      <c r="P27" s="472"/>
    </row>
    <row r="28" spans="1:39" s="454" customFormat="1" ht="12" customHeight="1" x14ac:dyDescent="0.25">
      <c r="A28" s="468" t="s">
        <v>781</v>
      </c>
      <c r="B28" s="469"/>
      <c r="C28" s="838"/>
      <c r="D28" s="839">
        <v>5481.77</v>
      </c>
      <c r="E28" s="473" t="s">
        <v>782</v>
      </c>
      <c r="G28" s="469"/>
      <c r="H28" s="469"/>
      <c r="I28" s="469"/>
      <c r="J28" s="469"/>
      <c r="K28" s="469"/>
      <c r="L28" s="469"/>
      <c r="M28" s="469"/>
      <c r="N28" s="474"/>
      <c r="O28" s="474"/>
      <c r="P28" s="469"/>
    </row>
    <row r="29" spans="1:39" s="454" customFormat="1" ht="12" customHeight="1" x14ac:dyDescent="0.25">
      <c r="A29" s="455"/>
      <c r="B29" s="475" t="s">
        <v>783</v>
      </c>
      <c r="C29" s="476"/>
      <c r="D29" s="477"/>
      <c r="E29" s="473"/>
      <c r="G29" s="469"/>
    </row>
    <row r="30" spans="1:39" s="454" customFormat="1" ht="12" customHeight="1" x14ac:dyDescent="0.25">
      <c r="A30" s="455"/>
      <c r="B30" s="478" t="s">
        <v>784</v>
      </c>
      <c r="C30" s="838"/>
      <c r="D30" s="839">
        <v>5481.77</v>
      </c>
      <c r="E30" s="473" t="s">
        <v>782</v>
      </c>
      <c r="I30" s="469"/>
      <c r="K30" s="469" t="s">
        <v>785</v>
      </c>
      <c r="L30" s="469"/>
      <c r="M30" s="469"/>
      <c r="N30" s="840"/>
      <c r="O30" s="839">
        <v>611.49</v>
      </c>
      <c r="P30" s="473" t="s">
        <v>782</v>
      </c>
    </row>
    <row r="31" spans="1:39" s="454" customFormat="1" ht="12" customHeight="1" x14ac:dyDescent="0.25">
      <c r="A31" s="455"/>
      <c r="B31" s="478" t="s">
        <v>680</v>
      </c>
      <c r="C31" s="648"/>
      <c r="D31" s="649">
        <v>0</v>
      </c>
      <c r="E31" s="473" t="s">
        <v>782</v>
      </c>
      <c r="I31" s="469"/>
      <c r="K31" s="469" t="s">
        <v>786</v>
      </c>
      <c r="L31" s="469"/>
      <c r="M31" s="469"/>
      <c r="N31" s="840"/>
      <c r="O31" s="839">
        <v>110.37</v>
      </c>
      <c r="P31" s="473" t="s">
        <v>782</v>
      </c>
    </row>
    <row r="32" spans="1:39" s="454" customFormat="1" ht="12" customHeight="1" x14ac:dyDescent="0.25">
      <c r="A32" s="455"/>
      <c r="B32" s="478" t="s">
        <v>681</v>
      </c>
      <c r="C32" s="648"/>
      <c r="D32" s="649">
        <v>0</v>
      </c>
      <c r="E32" s="473" t="s">
        <v>782</v>
      </c>
      <c r="I32" s="469"/>
      <c r="K32" s="469" t="s">
        <v>787</v>
      </c>
      <c r="L32" s="469"/>
      <c r="M32" s="469"/>
      <c r="N32" s="841"/>
      <c r="O32" s="649">
        <v>2358.06</v>
      </c>
      <c r="P32" s="479" t="s">
        <v>788</v>
      </c>
    </row>
    <row r="33" spans="1:67" s="454" customFormat="1" ht="12" customHeight="1" x14ac:dyDescent="0.25">
      <c r="A33" s="455"/>
      <c r="B33" s="478" t="s">
        <v>682</v>
      </c>
      <c r="C33" s="648"/>
      <c r="D33" s="839">
        <v>0</v>
      </c>
      <c r="E33" s="473" t="s">
        <v>782</v>
      </c>
      <c r="I33" s="469"/>
      <c r="K33" s="469" t="s">
        <v>789</v>
      </c>
      <c r="L33" s="469"/>
      <c r="M33" s="469"/>
      <c r="N33" s="841"/>
      <c r="O33" s="649">
        <v>306.02</v>
      </c>
      <c r="P33" s="479" t="s">
        <v>788</v>
      </c>
    </row>
    <row r="34" spans="1:67" s="454" customFormat="1" ht="9.75" customHeight="1" x14ac:dyDescent="0.25">
      <c r="A34" s="455"/>
      <c r="B34" s="469"/>
      <c r="D34" s="480"/>
      <c r="E34" s="473"/>
      <c r="H34" s="469"/>
      <c r="I34" s="469"/>
      <c r="J34" s="469"/>
      <c r="K34" s="469"/>
      <c r="L34" s="469"/>
      <c r="M34" s="469"/>
      <c r="N34" s="472"/>
      <c r="O34" s="472"/>
      <c r="P34" s="469"/>
    </row>
    <row r="35" spans="1:67" s="454" customFormat="1" ht="11.25" customHeight="1" x14ac:dyDescent="0.25">
      <c r="A35" s="2704" t="s">
        <v>5</v>
      </c>
      <c r="B35" s="2705" t="s">
        <v>665</v>
      </c>
      <c r="C35" s="2737" t="s">
        <v>527</v>
      </c>
      <c r="D35" s="2738"/>
      <c r="E35" s="2738"/>
      <c r="F35" s="2738"/>
      <c r="G35" s="2739"/>
      <c r="H35" s="2705" t="s">
        <v>455</v>
      </c>
      <c r="I35" s="2705" t="s">
        <v>790</v>
      </c>
      <c r="J35" s="2705"/>
      <c r="K35" s="2705"/>
      <c r="L35" s="2737" t="s">
        <v>791</v>
      </c>
      <c r="M35" s="2738"/>
      <c r="N35" s="2738"/>
      <c r="O35" s="2738"/>
      <c r="P35" s="2739"/>
    </row>
    <row r="36" spans="1:67" s="454" customFormat="1" ht="11.25" customHeight="1" x14ac:dyDescent="0.25">
      <c r="A36" s="2704"/>
      <c r="B36" s="2705"/>
      <c r="C36" s="2748"/>
      <c r="D36" s="2749"/>
      <c r="E36" s="2749"/>
      <c r="F36" s="2749"/>
      <c r="G36" s="2750"/>
      <c r="H36" s="2705"/>
      <c r="I36" s="2705"/>
      <c r="J36" s="2705"/>
      <c r="K36" s="2705"/>
      <c r="L36" s="2740"/>
      <c r="M36" s="2741"/>
      <c r="N36" s="2741"/>
      <c r="O36" s="2741"/>
      <c r="P36" s="2742"/>
    </row>
    <row r="37" spans="1:67" s="454" customFormat="1" ht="54" customHeight="1" x14ac:dyDescent="0.25">
      <c r="A37" s="2704"/>
      <c r="B37" s="2705"/>
      <c r="C37" s="2740"/>
      <c r="D37" s="2741"/>
      <c r="E37" s="2741"/>
      <c r="F37" s="2741"/>
      <c r="G37" s="2742"/>
      <c r="H37" s="2705"/>
      <c r="I37" s="713" t="s">
        <v>792</v>
      </c>
      <c r="J37" s="713" t="s">
        <v>793</v>
      </c>
      <c r="K37" s="713" t="s">
        <v>794</v>
      </c>
      <c r="L37" s="713" t="s">
        <v>795</v>
      </c>
      <c r="M37" s="713" t="s">
        <v>796</v>
      </c>
      <c r="N37" s="713" t="s">
        <v>797</v>
      </c>
      <c r="O37" s="713" t="s">
        <v>793</v>
      </c>
      <c r="P37" s="713" t="s">
        <v>798</v>
      </c>
    </row>
    <row r="38" spans="1:67" s="454" customFormat="1" ht="13.5" customHeight="1" x14ac:dyDescent="0.25">
      <c r="A38" s="714">
        <v>1</v>
      </c>
      <c r="B38" s="715">
        <v>2</v>
      </c>
      <c r="C38" s="2743">
        <v>3</v>
      </c>
      <c r="D38" s="2744"/>
      <c r="E38" s="2744"/>
      <c r="F38" s="2744"/>
      <c r="G38" s="2745"/>
      <c r="H38" s="715">
        <v>4</v>
      </c>
      <c r="I38" s="715">
        <v>5</v>
      </c>
      <c r="J38" s="715">
        <v>6</v>
      </c>
      <c r="K38" s="715">
        <v>7</v>
      </c>
      <c r="L38" s="715">
        <v>8</v>
      </c>
      <c r="M38" s="715">
        <v>9</v>
      </c>
      <c r="N38" s="715">
        <v>10</v>
      </c>
      <c r="O38" s="715">
        <v>11</v>
      </c>
      <c r="P38" s="715">
        <v>12</v>
      </c>
    </row>
    <row r="39" spans="1:67" s="469" customFormat="1" ht="15" x14ac:dyDescent="0.25">
      <c r="A39" s="2716" t="s">
        <v>4059</v>
      </c>
      <c r="B39" s="2717"/>
      <c r="C39" s="2717"/>
      <c r="D39" s="2717"/>
      <c r="E39" s="2717"/>
      <c r="F39" s="2717"/>
      <c r="G39" s="2717"/>
      <c r="H39" s="2717"/>
      <c r="I39" s="2717"/>
      <c r="J39" s="2717"/>
      <c r="K39" s="2717"/>
      <c r="L39" s="2717"/>
      <c r="M39" s="2717"/>
      <c r="N39" s="2717"/>
      <c r="O39" s="2717"/>
      <c r="P39" s="2718"/>
      <c r="Q39" s="454"/>
      <c r="R39" s="454"/>
      <c r="S39" s="454"/>
      <c r="T39" s="454"/>
      <c r="U39" s="454"/>
      <c r="V39" s="454"/>
      <c r="W39" s="454"/>
      <c r="X39" s="454"/>
      <c r="Y39" s="454"/>
      <c r="Z39" s="454"/>
      <c r="AA39" s="454"/>
      <c r="AB39" s="456"/>
      <c r="AC39" s="456"/>
      <c r="AD39" s="456"/>
      <c r="AE39" s="456"/>
      <c r="AF39" s="456"/>
      <c r="AG39" s="456"/>
      <c r="AH39" s="456"/>
      <c r="AI39" s="456"/>
      <c r="AJ39" s="456"/>
      <c r="AK39" s="456"/>
      <c r="AL39" s="456"/>
      <c r="AM39" s="456"/>
      <c r="AN39" s="481" t="s">
        <v>4059</v>
      </c>
      <c r="AO39" s="456"/>
      <c r="AP39" s="456"/>
      <c r="AQ39" s="456"/>
      <c r="AR39" s="456"/>
      <c r="AS39" s="456"/>
      <c r="AT39" s="456"/>
      <c r="AU39" s="456"/>
      <c r="AV39" s="456"/>
      <c r="AW39" s="456"/>
      <c r="AX39" s="456"/>
      <c r="AY39" s="456"/>
      <c r="AZ39" s="456"/>
      <c r="BA39" s="456"/>
      <c r="BB39" s="456"/>
      <c r="BC39" s="456"/>
      <c r="BD39" s="456"/>
      <c r="BE39" s="456"/>
      <c r="BF39" s="456"/>
      <c r="BG39" s="456"/>
      <c r="BH39" s="456"/>
      <c r="BI39" s="456"/>
      <c r="BJ39" s="456"/>
      <c r="BK39" s="456"/>
      <c r="BL39" s="456"/>
      <c r="BM39" s="456"/>
      <c r="BN39" s="456"/>
      <c r="BO39" s="456"/>
    </row>
    <row r="40" spans="1:67" s="469" customFormat="1" ht="15" x14ac:dyDescent="0.25">
      <c r="A40" s="2716" t="s">
        <v>4060</v>
      </c>
      <c r="B40" s="2717"/>
      <c r="C40" s="2717"/>
      <c r="D40" s="2717"/>
      <c r="E40" s="2717"/>
      <c r="F40" s="2717"/>
      <c r="G40" s="2717"/>
      <c r="H40" s="2717"/>
      <c r="I40" s="2717"/>
      <c r="J40" s="2717"/>
      <c r="K40" s="2717"/>
      <c r="L40" s="2717"/>
      <c r="M40" s="2717"/>
      <c r="N40" s="2717"/>
      <c r="O40" s="2717"/>
      <c r="P40" s="2718"/>
      <c r="Q40" s="454"/>
      <c r="R40" s="454"/>
      <c r="S40" s="454"/>
      <c r="T40" s="454"/>
      <c r="U40" s="454"/>
      <c r="V40" s="454"/>
      <c r="W40" s="454"/>
      <c r="X40" s="454"/>
      <c r="Y40" s="454"/>
      <c r="Z40" s="454"/>
      <c r="AA40" s="454"/>
      <c r="AB40" s="456"/>
      <c r="AC40" s="456"/>
      <c r="AD40" s="456"/>
      <c r="AE40" s="456"/>
      <c r="AF40" s="456"/>
      <c r="AG40" s="456"/>
      <c r="AH40" s="456"/>
      <c r="AI40" s="456"/>
      <c r="AJ40" s="456"/>
      <c r="AK40" s="456"/>
      <c r="AL40" s="456"/>
      <c r="AM40" s="456"/>
      <c r="AN40" s="481"/>
      <c r="AO40" s="481" t="s">
        <v>4060</v>
      </c>
      <c r="AP40" s="456"/>
      <c r="AQ40" s="456"/>
      <c r="AR40" s="456"/>
      <c r="AS40" s="456"/>
      <c r="AT40" s="456"/>
      <c r="AU40" s="456"/>
      <c r="AV40" s="456"/>
      <c r="AW40" s="456"/>
      <c r="AX40" s="456"/>
      <c r="AY40" s="456"/>
      <c r="AZ40" s="456"/>
      <c r="BA40" s="456"/>
      <c r="BB40" s="456"/>
      <c r="BC40" s="456"/>
      <c r="BD40" s="456"/>
      <c r="BE40" s="456"/>
      <c r="BF40" s="456"/>
      <c r="BG40" s="456"/>
      <c r="BH40" s="456"/>
      <c r="BI40" s="456"/>
      <c r="BJ40" s="456"/>
      <c r="BK40" s="456"/>
      <c r="BL40" s="456"/>
      <c r="BM40" s="456"/>
      <c r="BN40" s="456"/>
      <c r="BO40" s="456"/>
    </row>
    <row r="41" spans="1:67" s="469" customFormat="1" ht="23.25" x14ac:dyDescent="0.25">
      <c r="A41" s="482" t="s">
        <v>190</v>
      </c>
      <c r="B41" s="568" t="s">
        <v>799</v>
      </c>
      <c r="C41" s="2746" t="s">
        <v>800</v>
      </c>
      <c r="D41" s="2746"/>
      <c r="E41" s="2746"/>
      <c r="F41" s="2746"/>
      <c r="G41" s="2746"/>
      <c r="H41" s="483" t="s">
        <v>801</v>
      </c>
      <c r="I41" s="484">
        <v>7.1</v>
      </c>
      <c r="J41" s="485">
        <v>1</v>
      </c>
      <c r="K41" s="486">
        <v>7.1</v>
      </c>
      <c r="L41" s="487"/>
      <c r="M41" s="484"/>
      <c r="N41" s="487"/>
      <c r="O41" s="484"/>
      <c r="P41" s="488"/>
      <c r="Q41" s="454"/>
      <c r="R41" s="454"/>
      <c r="S41" s="454"/>
      <c r="T41" s="454"/>
      <c r="U41" s="454"/>
      <c r="V41" s="454"/>
      <c r="W41" s="454"/>
      <c r="X41" s="454"/>
      <c r="Y41" s="454"/>
      <c r="Z41" s="454"/>
      <c r="AA41" s="454"/>
      <c r="AB41" s="456"/>
      <c r="AC41" s="456"/>
      <c r="AD41" s="456"/>
      <c r="AE41" s="456"/>
      <c r="AF41" s="456"/>
      <c r="AG41" s="456"/>
      <c r="AH41" s="456"/>
      <c r="AI41" s="456"/>
      <c r="AJ41" s="456"/>
      <c r="AK41" s="456"/>
      <c r="AL41" s="456"/>
      <c r="AM41" s="456"/>
      <c r="AN41" s="481"/>
      <c r="AO41" s="481"/>
      <c r="AP41" s="481" t="s">
        <v>800</v>
      </c>
      <c r="AQ41" s="456"/>
      <c r="AR41" s="456"/>
      <c r="AS41" s="456"/>
      <c r="AT41" s="456"/>
      <c r="AU41" s="456"/>
      <c r="AV41" s="456"/>
      <c r="AW41" s="456"/>
      <c r="AX41" s="456"/>
      <c r="AY41" s="456"/>
      <c r="AZ41" s="456"/>
      <c r="BA41" s="456"/>
      <c r="BB41" s="456"/>
      <c r="BC41" s="456"/>
      <c r="BD41" s="456"/>
      <c r="BE41" s="456"/>
      <c r="BF41" s="456"/>
      <c r="BG41" s="456"/>
      <c r="BH41" s="456"/>
      <c r="BI41" s="456"/>
      <c r="BJ41" s="456"/>
      <c r="BK41" s="456"/>
      <c r="BL41" s="456"/>
      <c r="BM41" s="456"/>
      <c r="BN41" s="456"/>
      <c r="BO41" s="456"/>
    </row>
    <row r="42" spans="1:67" s="469" customFormat="1" ht="22.5" x14ac:dyDescent="0.25">
      <c r="A42" s="489"/>
      <c r="B42" s="490" t="s">
        <v>802</v>
      </c>
      <c r="C42" s="2709" t="s">
        <v>803</v>
      </c>
      <c r="D42" s="2709"/>
      <c r="E42" s="2709"/>
      <c r="F42" s="2709"/>
      <c r="G42" s="2709"/>
      <c r="H42" s="2709"/>
      <c r="I42" s="2709"/>
      <c r="J42" s="2709"/>
      <c r="K42" s="2709"/>
      <c r="L42" s="2709"/>
      <c r="M42" s="2709"/>
      <c r="N42" s="2709"/>
      <c r="O42" s="2709"/>
      <c r="P42" s="2710"/>
      <c r="Q42" s="454"/>
      <c r="R42" s="454"/>
      <c r="S42" s="454"/>
      <c r="T42" s="454"/>
      <c r="U42" s="454"/>
      <c r="V42" s="454"/>
      <c r="W42" s="454"/>
      <c r="X42" s="454"/>
      <c r="Y42" s="454"/>
      <c r="Z42" s="454"/>
      <c r="AA42" s="454"/>
      <c r="AB42" s="456"/>
      <c r="AC42" s="456"/>
      <c r="AD42" s="456"/>
      <c r="AE42" s="456"/>
      <c r="AF42" s="456"/>
      <c r="AG42" s="456"/>
      <c r="AH42" s="456"/>
      <c r="AI42" s="456"/>
      <c r="AJ42" s="456"/>
      <c r="AK42" s="456"/>
      <c r="AL42" s="456"/>
      <c r="AM42" s="456"/>
      <c r="AN42" s="481"/>
      <c r="AO42" s="481"/>
      <c r="AP42" s="481"/>
      <c r="AQ42" s="491" t="s">
        <v>803</v>
      </c>
      <c r="AR42" s="456"/>
      <c r="AS42" s="456"/>
      <c r="AT42" s="456"/>
      <c r="AU42" s="456"/>
      <c r="AV42" s="456"/>
      <c r="AW42" s="456"/>
      <c r="AX42" s="456"/>
      <c r="AY42" s="456"/>
      <c r="AZ42" s="456"/>
      <c r="BA42" s="456"/>
      <c r="BB42" s="456"/>
      <c r="BC42" s="456"/>
      <c r="BD42" s="456"/>
      <c r="BE42" s="456"/>
      <c r="BF42" s="456"/>
      <c r="BG42" s="456"/>
      <c r="BH42" s="456"/>
      <c r="BI42" s="456"/>
      <c r="BJ42" s="456"/>
      <c r="BK42" s="456"/>
      <c r="BL42" s="456"/>
      <c r="BM42" s="456"/>
      <c r="BN42" s="456"/>
      <c r="BO42" s="456"/>
    </row>
    <row r="43" spans="1:67" s="469" customFormat="1" ht="33.75" x14ac:dyDescent="0.25">
      <c r="A43" s="489"/>
      <c r="B43" s="490" t="s">
        <v>804</v>
      </c>
      <c r="C43" s="2709" t="s">
        <v>805</v>
      </c>
      <c r="D43" s="2709"/>
      <c r="E43" s="2709"/>
      <c r="F43" s="2709"/>
      <c r="G43" s="2709"/>
      <c r="H43" s="2709"/>
      <c r="I43" s="2709"/>
      <c r="J43" s="2709"/>
      <c r="K43" s="2709"/>
      <c r="L43" s="2709"/>
      <c r="M43" s="2709"/>
      <c r="N43" s="2709"/>
      <c r="O43" s="2709"/>
      <c r="P43" s="2710"/>
      <c r="Q43" s="454"/>
      <c r="R43" s="454"/>
      <c r="S43" s="454"/>
      <c r="T43" s="454"/>
      <c r="U43" s="454"/>
      <c r="V43" s="454"/>
      <c r="W43" s="454"/>
      <c r="X43" s="454"/>
      <c r="Y43" s="454"/>
      <c r="Z43" s="454"/>
      <c r="AA43" s="454"/>
      <c r="AB43" s="456"/>
      <c r="AC43" s="456"/>
      <c r="AD43" s="456"/>
      <c r="AE43" s="456"/>
      <c r="AF43" s="456"/>
      <c r="AG43" s="456"/>
      <c r="AH43" s="456"/>
      <c r="AI43" s="456"/>
      <c r="AJ43" s="456"/>
      <c r="AK43" s="456"/>
      <c r="AL43" s="456"/>
      <c r="AM43" s="456"/>
      <c r="AN43" s="481"/>
      <c r="AO43" s="481"/>
      <c r="AP43" s="481"/>
      <c r="AQ43" s="491" t="s">
        <v>805</v>
      </c>
      <c r="AR43" s="456"/>
      <c r="AS43" s="456"/>
      <c r="AT43" s="456"/>
      <c r="AU43" s="456"/>
      <c r="AV43" s="456"/>
      <c r="AW43" s="456"/>
      <c r="AX43" s="456"/>
      <c r="AY43" s="456"/>
      <c r="AZ43" s="456"/>
      <c r="BA43" s="456"/>
      <c r="BB43" s="456"/>
      <c r="BC43" s="456"/>
      <c r="BD43" s="456"/>
      <c r="BE43" s="456"/>
      <c r="BF43" s="456"/>
      <c r="BG43" s="456"/>
      <c r="BH43" s="456"/>
      <c r="BI43" s="456"/>
      <c r="BJ43" s="456"/>
      <c r="BK43" s="456"/>
      <c r="BL43" s="456"/>
      <c r="BM43" s="456"/>
      <c r="BN43" s="456"/>
      <c r="BO43" s="456"/>
    </row>
    <row r="44" spans="1:67" s="469" customFormat="1" ht="15" x14ac:dyDescent="0.25">
      <c r="A44" s="492"/>
      <c r="B44" s="493" t="s">
        <v>190</v>
      </c>
      <c r="C44" s="2697" t="s">
        <v>806</v>
      </c>
      <c r="D44" s="2697"/>
      <c r="E44" s="2697"/>
      <c r="F44" s="2697"/>
      <c r="G44" s="2697"/>
      <c r="H44" s="494" t="s">
        <v>807</v>
      </c>
      <c r="I44" s="495"/>
      <c r="J44" s="495"/>
      <c r="K44" s="504">
        <v>240.87105</v>
      </c>
      <c r="L44" s="497"/>
      <c r="M44" s="495"/>
      <c r="N44" s="497"/>
      <c r="O44" s="495"/>
      <c r="P44" s="498">
        <v>62462.68</v>
      </c>
      <c r="Q44" s="454"/>
      <c r="R44" s="454"/>
      <c r="S44" s="454"/>
      <c r="T44" s="454"/>
      <c r="U44" s="454"/>
      <c r="V44" s="454"/>
      <c r="W44" s="454"/>
      <c r="X44" s="454"/>
      <c r="Y44" s="454"/>
      <c r="Z44" s="454"/>
      <c r="AA44" s="454"/>
      <c r="AB44" s="456"/>
      <c r="AC44" s="456"/>
      <c r="AD44" s="456"/>
      <c r="AE44" s="456"/>
      <c r="AF44" s="456"/>
      <c r="AG44" s="456"/>
      <c r="AH44" s="456"/>
      <c r="AI44" s="456"/>
      <c r="AJ44" s="456"/>
      <c r="AK44" s="456"/>
      <c r="AL44" s="456"/>
      <c r="AM44" s="456"/>
      <c r="AN44" s="481"/>
      <c r="AO44" s="481"/>
      <c r="AP44" s="481"/>
      <c r="AQ44" s="491"/>
      <c r="AR44" s="456" t="s">
        <v>806</v>
      </c>
      <c r="AS44" s="456"/>
      <c r="AT44" s="456"/>
      <c r="AU44" s="456"/>
      <c r="AV44" s="456"/>
      <c r="AW44" s="456"/>
      <c r="AX44" s="456"/>
      <c r="AY44" s="456"/>
      <c r="AZ44" s="456"/>
      <c r="BA44" s="456"/>
      <c r="BB44" s="456"/>
      <c r="BC44" s="456"/>
      <c r="BD44" s="456"/>
      <c r="BE44" s="456"/>
      <c r="BF44" s="456"/>
      <c r="BG44" s="456"/>
      <c r="BH44" s="456"/>
      <c r="BI44" s="456"/>
      <c r="BJ44" s="456"/>
      <c r="BK44" s="456"/>
      <c r="BL44" s="456"/>
      <c r="BM44" s="456"/>
      <c r="BN44" s="456"/>
      <c r="BO44" s="456"/>
    </row>
    <row r="45" spans="1:67" s="469" customFormat="1" ht="22.5" x14ac:dyDescent="0.25">
      <c r="A45" s="499"/>
      <c r="B45" s="493" t="s">
        <v>808</v>
      </c>
      <c r="C45" s="2697" t="s">
        <v>809</v>
      </c>
      <c r="D45" s="2697"/>
      <c r="E45" s="2697"/>
      <c r="F45" s="2697"/>
      <c r="G45" s="2697"/>
      <c r="H45" s="494" t="s">
        <v>807</v>
      </c>
      <c r="I45" s="500">
        <v>35.9</v>
      </c>
      <c r="J45" s="495" t="s">
        <v>810</v>
      </c>
      <c r="K45" s="504">
        <v>240.87105</v>
      </c>
      <c r="L45" s="501"/>
      <c r="M45" s="564"/>
      <c r="N45" s="502">
        <v>259.32</v>
      </c>
      <c r="O45" s="495"/>
      <c r="P45" s="498">
        <v>62462.68</v>
      </c>
      <c r="Q45" s="503"/>
      <c r="R45" s="503"/>
      <c r="S45" s="454"/>
      <c r="T45" s="454"/>
      <c r="U45" s="454"/>
      <c r="V45" s="454"/>
      <c r="W45" s="454"/>
      <c r="X45" s="454"/>
      <c r="Y45" s="454"/>
      <c r="Z45" s="454"/>
      <c r="AA45" s="454"/>
      <c r="AB45" s="456"/>
      <c r="AC45" s="456"/>
      <c r="AD45" s="456"/>
      <c r="AE45" s="456"/>
      <c r="AF45" s="456"/>
      <c r="AG45" s="456"/>
      <c r="AH45" s="456"/>
      <c r="AI45" s="456"/>
      <c r="AJ45" s="456"/>
      <c r="AK45" s="456"/>
      <c r="AL45" s="456"/>
      <c r="AM45" s="456"/>
      <c r="AN45" s="481"/>
      <c r="AO45" s="481"/>
      <c r="AP45" s="481"/>
      <c r="AQ45" s="491"/>
      <c r="AR45" s="456"/>
      <c r="AS45" s="456" t="s">
        <v>809</v>
      </c>
      <c r="AT45" s="456"/>
      <c r="AU45" s="456"/>
      <c r="AV45" s="456"/>
      <c r="AW45" s="456"/>
      <c r="AX45" s="456"/>
      <c r="AY45" s="456"/>
      <c r="AZ45" s="456"/>
      <c r="BA45" s="456"/>
      <c r="BB45" s="456"/>
      <c r="BC45" s="456"/>
      <c r="BD45" s="456"/>
      <c r="BE45" s="456"/>
      <c r="BF45" s="456"/>
      <c r="BG45" s="456"/>
      <c r="BH45" s="456"/>
      <c r="BI45" s="456"/>
      <c r="BJ45" s="456"/>
      <c r="BK45" s="456"/>
      <c r="BL45" s="456"/>
      <c r="BM45" s="456"/>
      <c r="BN45" s="456"/>
      <c r="BO45" s="456"/>
    </row>
    <row r="46" spans="1:67" s="469" customFormat="1" ht="15" x14ac:dyDescent="0.25">
      <c r="A46" s="492"/>
      <c r="B46" s="493" t="s">
        <v>639</v>
      </c>
      <c r="C46" s="2697" t="s">
        <v>697</v>
      </c>
      <c r="D46" s="2697"/>
      <c r="E46" s="2697"/>
      <c r="F46" s="2697"/>
      <c r="G46" s="2697"/>
      <c r="H46" s="494"/>
      <c r="I46" s="495"/>
      <c r="J46" s="495"/>
      <c r="K46" s="495"/>
      <c r="L46" s="497"/>
      <c r="M46" s="495"/>
      <c r="N46" s="497"/>
      <c r="O46" s="495"/>
      <c r="P46" s="498">
        <v>42146.35</v>
      </c>
      <c r="Q46" s="454"/>
      <c r="R46" s="454"/>
      <c r="S46" s="454"/>
      <c r="T46" s="454"/>
      <c r="U46" s="454"/>
      <c r="V46" s="454"/>
      <c r="W46" s="454"/>
      <c r="X46" s="454"/>
      <c r="Y46" s="454"/>
      <c r="Z46" s="454"/>
      <c r="AA46" s="454"/>
      <c r="AB46" s="456"/>
      <c r="AC46" s="456"/>
      <c r="AD46" s="456"/>
      <c r="AE46" s="456"/>
      <c r="AF46" s="456"/>
      <c r="AG46" s="456"/>
      <c r="AH46" s="456"/>
      <c r="AI46" s="456"/>
      <c r="AJ46" s="456"/>
      <c r="AK46" s="456"/>
      <c r="AL46" s="456"/>
      <c r="AM46" s="456"/>
      <c r="AN46" s="481"/>
      <c r="AO46" s="481"/>
      <c r="AP46" s="481"/>
      <c r="AQ46" s="491"/>
      <c r="AR46" s="456" t="s">
        <v>697</v>
      </c>
      <c r="AS46" s="456"/>
      <c r="AT46" s="456"/>
      <c r="AU46" s="456"/>
      <c r="AV46" s="456"/>
      <c r="AW46" s="456"/>
      <c r="AX46" s="456"/>
      <c r="AY46" s="456"/>
      <c r="AZ46" s="456"/>
      <c r="BA46" s="456"/>
      <c r="BB46" s="456"/>
      <c r="BC46" s="456"/>
      <c r="BD46" s="456"/>
      <c r="BE46" s="456"/>
      <c r="BF46" s="456"/>
      <c r="BG46" s="456"/>
      <c r="BH46" s="456"/>
      <c r="BI46" s="456"/>
      <c r="BJ46" s="456"/>
      <c r="BK46" s="456"/>
      <c r="BL46" s="456"/>
      <c r="BM46" s="456"/>
      <c r="BN46" s="456"/>
      <c r="BO46" s="456"/>
    </row>
    <row r="47" spans="1:67" s="469" customFormat="1" ht="15" x14ac:dyDescent="0.25">
      <c r="A47" s="492"/>
      <c r="B47" s="493"/>
      <c r="C47" s="2697" t="s">
        <v>811</v>
      </c>
      <c r="D47" s="2697"/>
      <c r="E47" s="2697"/>
      <c r="F47" s="2697"/>
      <c r="G47" s="2697"/>
      <c r="H47" s="494" t="s">
        <v>807</v>
      </c>
      <c r="I47" s="495"/>
      <c r="J47" s="495"/>
      <c r="K47" s="504">
        <v>29.655989999999999</v>
      </c>
      <c r="L47" s="497"/>
      <c r="M47" s="495"/>
      <c r="N47" s="497"/>
      <c r="O47" s="495"/>
      <c r="P47" s="498">
        <v>10695.55</v>
      </c>
      <c r="Q47" s="454"/>
      <c r="R47" s="454"/>
      <c r="S47" s="454"/>
      <c r="T47" s="454"/>
      <c r="U47" s="454"/>
      <c r="V47" s="454"/>
      <c r="W47" s="454"/>
      <c r="X47" s="454"/>
      <c r="Y47" s="454"/>
      <c r="Z47" s="454"/>
      <c r="AA47" s="454"/>
      <c r="AB47" s="456"/>
      <c r="AC47" s="456"/>
      <c r="AD47" s="456"/>
      <c r="AE47" s="456"/>
      <c r="AF47" s="456"/>
      <c r="AG47" s="456"/>
      <c r="AH47" s="456"/>
      <c r="AI47" s="456"/>
      <c r="AJ47" s="456"/>
      <c r="AK47" s="456"/>
      <c r="AL47" s="456"/>
      <c r="AM47" s="456"/>
      <c r="AN47" s="481"/>
      <c r="AO47" s="481"/>
      <c r="AP47" s="481"/>
      <c r="AQ47" s="491"/>
      <c r="AR47" s="456" t="s">
        <v>811</v>
      </c>
      <c r="AS47" s="456"/>
      <c r="AT47" s="456"/>
      <c r="AU47" s="456"/>
      <c r="AV47" s="456"/>
      <c r="AW47" s="456"/>
      <c r="AX47" s="456"/>
      <c r="AY47" s="456"/>
      <c r="AZ47" s="456"/>
      <c r="BA47" s="456"/>
      <c r="BB47" s="456"/>
      <c r="BC47" s="456"/>
      <c r="BD47" s="456"/>
      <c r="BE47" s="456"/>
      <c r="BF47" s="456"/>
      <c r="BG47" s="456"/>
      <c r="BH47" s="456"/>
      <c r="BI47" s="456"/>
      <c r="BJ47" s="456"/>
      <c r="BK47" s="456"/>
      <c r="BL47" s="456"/>
      <c r="BM47" s="456"/>
      <c r="BN47" s="456"/>
      <c r="BO47" s="456"/>
    </row>
    <row r="48" spans="1:67" s="469" customFormat="1" ht="22.5" x14ac:dyDescent="0.25">
      <c r="A48" s="499"/>
      <c r="B48" s="493" t="s">
        <v>812</v>
      </c>
      <c r="C48" s="2697" t="s">
        <v>813</v>
      </c>
      <c r="D48" s="2697"/>
      <c r="E48" s="2697"/>
      <c r="F48" s="2697"/>
      <c r="G48" s="2697"/>
      <c r="H48" s="494" t="s">
        <v>814</v>
      </c>
      <c r="I48" s="500">
        <v>0.1</v>
      </c>
      <c r="J48" s="495" t="s">
        <v>810</v>
      </c>
      <c r="K48" s="504">
        <v>0.67095000000000005</v>
      </c>
      <c r="L48" s="505">
        <v>1803.79</v>
      </c>
      <c r="M48" s="506">
        <v>1.1399999999999999</v>
      </c>
      <c r="N48" s="502">
        <v>2056.3200000000002</v>
      </c>
      <c r="O48" s="495"/>
      <c r="P48" s="498">
        <v>1379.69</v>
      </c>
      <c r="Q48" s="503"/>
      <c r="R48" s="503"/>
      <c r="S48" s="454"/>
      <c r="T48" s="454"/>
      <c r="U48" s="454"/>
      <c r="V48" s="454"/>
      <c r="W48" s="454"/>
      <c r="X48" s="454"/>
      <c r="Y48" s="454"/>
      <c r="Z48" s="454"/>
      <c r="AA48" s="454"/>
      <c r="AB48" s="456"/>
      <c r="AC48" s="456"/>
      <c r="AD48" s="456"/>
      <c r="AE48" s="456"/>
      <c r="AF48" s="456"/>
      <c r="AG48" s="456"/>
      <c r="AH48" s="456"/>
      <c r="AI48" s="456"/>
      <c r="AJ48" s="456"/>
      <c r="AK48" s="456"/>
      <c r="AL48" s="456"/>
      <c r="AM48" s="456"/>
      <c r="AN48" s="481"/>
      <c r="AO48" s="481"/>
      <c r="AP48" s="481"/>
      <c r="AQ48" s="491"/>
      <c r="AR48" s="456"/>
      <c r="AS48" s="456" t="s">
        <v>813</v>
      </c>
      <c r="AT48" s="456"/>
      <c r="AU48" s="456"/>
      <c r="AV48" s="456"/>
      <c r="AW48" s="456"/>
      <c r="AX48" s="456"/>
      <c r="AY48" s="456"/>
      <c r="AZ48" s="456"/>
      <c r="BA48" s="456"/>
      <c r="BB48" s="456"/>
      <c r="BC48" s="456"/>
      <c r="BD48" s="456"/>
      <c r="BE48" s="456"/>
      <c r="BF48" s="456"/>
      <c r="BG48" s="456"/>
      <c r="BH48" s="456"/>
      <c r="BI48" s="456"/>
      <c r="BJ48" s="456"/>
      <c r="BK48" s="456"/>
      <c r="BL48" s="456"/>
      <c r="BM48" s="456"/>
      <c r="BN48" s="456"/>
      <c r="BO48" s="456"/>
    </row>
    <row r="49" spans="1:67" s="469" customFormat="1" ht="22.5" x14ac:dyDescent="0.25">
      <c r="A49" s="507"/>
      <c r="B49" s="493" t="s">
        <v>815</v>
      </c>
      <c r="C49" s="2697" t="s">
        <v>816</v>
      </c>
      <c r="D49" s="2697"/>
      <c r="E49" s="2697"/>
      <c r="F49" s="2697"/>
      <c r="G49" s="2697"/>
      <c r="H49" s="494" t="s">
        <v>807</v>
      </c>
      <c r="I49" s="500">
        <v>0.1</v>
      </c>
      <c r="J49" s="495" t="s">
        <v>810</v>
      </c>
      <c r="K49" s="504">
        <v>0.67095000000000005</v>
      </c>
      <c r="L49" s="497"/>
      <c r="M49" s="495"/>
      <c r="N49" s="508">
        <v>364.66</v>
      </c>
      <c r="O49" s="495"/>
      <c r="P49" s="512">
        <v>244.67</v>
      </c>
      <c r="Q49" s="454"/>
      <c r="R49" s="454"/>
      <c r="S49" s="454"/>
      <c r="T49" s="454"/>
      <c r="U49" s="454"/>
      <c r="V49" s="454"/>
      <c r="W49" s="454"/>
      <c r="X49" s="454"/>
      <c r="Y49" s="454"/>
      <c r="Z49" s="454"/>
      <c r="AA49" s="454"/>
      <c r="AB49" s="456"/>
      <c r="AC49" s="456"/>
      <c r="AD49" s="456"/>
      <c r="AE49" s="456"/>
      <c r="AF49" s="456"/>
      <c r="AG49" s="456"/>
      <c r="AH49" s="456"/>
      <c r="AI49" s="456"/>
      <c r="AJ49" s="456"/>
      <c r="AK49" s="456"/>
      <c r="AL49" s="456"/>
      <c r="AM49" s="456"/>
      <c r="AN49" s="481"/>
      <c r="AO49" s="481"/>
      <c r="AP49" s="481"/>
      <c r="AQ49" s="491"/>
      <c r="AR49" s="456"/>
      <c r="AS49" s="456"/>
      <c r="AT49" s="456" t="s">
        <v>816</v>
      </c>
      <c r="AU49" s="456"/>
      <c r="AV49" s="456"/>
      <c r="AW49" s="456"/>
      <c r="AX49" s="456"/>
      <c r="AY49" s="456"/>
      <c r="AZ49" s="456"/>
      <c r="BA49" s="456"/>
      <c r="BB49" s="456"/>
      <c r="BC49" s="456"/>
      <c r="BD49" s="456"/>
      <c r="BE49" s="456"/>
      <c r="BF49" s="456"/>
      <c r="BG49" s="456"/>
      <c r="BH49" s="456"/>
      <c r="BI49" s="456"/>
      <c r="BJ49" s="456"/>
      <c r="BK49" s="456"/>
      <c r="BL49" s="456"/>
      <c r="BM49" s="456"/>
      <c r="BN49" s="456"/>
      <c r="BO49" s="456"/>
    </row>
    <row r="50" spans="1:67" s="469" customFormat="1" ht="22.5" x14ac:dyDescent="0.25">
      <c r="A50" s="499"/>
      <c r="B50" s="493" t="s">
        <v>817</v>
      </c>
      <c r="C50" s="2697" t="s">
        <v>818</v>
      </c>
      <c r="D50" s="2697"/>
      <c r="E50" s="2697"/>
      <c r="F50" s="2697"/>
      <c r="G50" s="2697"/>
      <c r="H50" s="494" t="s">
        <v>814</v>
      </c>
      <c r="I50" s="509">
        <v>4.13</v>
      </c>
      <c r="J50" s="495" t="s">
        <v>810</v>
      </c>
      <c r="K50" s="528">
        <v>27.710235000000001</v>
      </c>
      <c r="L50" s="501"/>
      <c r="M50" s="564"/>
      <c r="N50" s="502">
        <v>1374.22</v>
      </c>
      <c r="O50" s="495"/>
      <c r="P50" s="498">
        <v>38079.96</v>
      </c>
      <c r="Q50" s="503"/>
      <c r="R50" s="503"/>
      <c r="S50" s="454"/>
      <c r="T50" s="454"/>
      <c r="U50" s="454"/>
      <c r="V50" s="454"/>
      <c r="W50" s="454"/>
      <c r="X50" s="454"/>
      <c r="Y50" s="454"/>
      <c r="Z50" s="454"/>
      <c r="AA50" s="454"/>
      <c r="AB50" s="456"/>
      <c r="AC50" s="456"/>
      <c r="AD50" s="456"/>
      <c r="AE50" s="456"/>
      <c r="AF50" s="456"/>
      <c r="AG50" s="456"/>
      <c r="AH50" s="456"/>
      <c r="AI50" s="456"/>
      <c r="AJ50" s="456"/>
      <c r="AK50" s="456"/>
      <c r="AL50" s="456"/>
      <c r="AM50" s="456"/>
      <c r="AN50" s="481"/>
      <c r="AO50" s="481"/>
      <c r="AP50" s="481"/>
      <c r="AQ50" s="491"/>
      <c r="AR50" s="456"/>
      <c r="AS50" s="456" t="s">
        <v>818</v>
      </c>
      <c r="AT50" s="456"/>
      <c r="AU50" s="456"/>
      <c r="AV50" s="456"/>
      <c r="AW50" s="456"/>
      <c r="AX50" s="456"/>
      <c r="AY50" s="456"/>
      <c r="AZ50" s="456"/>
      <c r="BA50" s="456"/>
      <c r="BB50" s="456"/>
      <c r="BC50" s="456"/>
      <c r="BD50" s="456"/>
      <c r="BE50" s="456"/>
      <c r="BF50" s="456"/>
      <c r="BG50" s="456"/>
      <c r="BH50" s="456"/>
      <c r="BI50" s="456"/>
      <c r="BJ50" s="456"/>
      <c r="BK50" s="456"/>
      <c r="BL50" s="456"/>
      <c r="BM50" s="456"/>
      <c r="BN50" s="456"/>
      <c r="BO50" s="456"/>
    </row>
    <row r="51" spans="1:67" s="469" customFormat="1" ht="22.5" x14ac:dyDescent="0.25">
      <c r="A51" s="507"/>
      <c r="B51" s="493" t="s">
        <v>815</v>
      </c>
      <c r="C51" s="2697" t="s">
        <v>816</v>
      </c>
      <c r="D51" s="2697"/>
      <c r="E51" s="2697"/>
      <c r="F51" s="2697"/>
      <c r="G51" s="2697"/>
      <c r="H51" s="494" t="s">
        <v>807</v>
      </c>
      <c r="I51" s="509">
        <v>4.13</v>
      </c>
      <c r="J51" s="495" t="s">
        <v>810</v>
      </c>
      <c r="K51" s="528">
        <v>27.710235000000001</v>
      </c>
      <c r="L51" s="497"/>
      <c r="M51" s="495"/>
      <c r="N51" s="508">
        <v>364.66</v>
      </c>
      <c r="O51" s="495"/>
      <c r="P51" s="498">
        <v>10104.81</v>
      </c>
      <c r="Q51" s="454"/>
      <c r="R51" s="454"/>
      <c r="S51" s="454"/>
      <c r="T51" s="454"/>
      <c r="U51" s="454"/>
      <c r="V51" s="454"/>
      <c r="W51" s="454"/>
      <c r="X51" s="454"/>
      <c r="Y51" s="454"/>
      <c r="Z51" s="454"/>
      <c r="AA51" s="454"/>
      <c r="AB51" s="456"/>
      <c r="AC51" s="456"/>
      <c r="AD51" s="456"/>
      <c r="AE51" s="456"/>
      <c r="AF51" s="456"/>
      <c r="AG51" s="456"/>
      <c r="AH51" s="456"/>
      <c r="AI51" s="456"/>
      <c r="AJ51" s="456"/>
      <c r="AK51" s="456"/>
      <c r="AL51" s="456"/>
      <c r="AM51" s="456"/>
      <c r="AN51" s="481"/>
      <c r="AO51" s="481"/>
      <c r="AP51" s="481"/>
      <c r="AQ51" s="491"/>
      <c r="AR51" s="456"/>
      <c r="AS51" s="456"/>
      <c r="AT51" s="456" t="s">
        <v>816</v>
      </c>
      <c r="AU51" s="456"/>
      <c r="AV51" s="456"/>
      <c r="AW51" s="456"/>
      <c r="AX51" s="456"/>
      <c r="AY51" s="456"/>
      <c r="AZ51" s="456"/>
      <c r="BA51" s="456"/>
      <c r="BB51" s="456"/>
      <c r="BC51" s="456"/>
      <c r="BD51" s="456"/>
      <c r="BE51" s="456"/>
      <c r="BF51" s="456"/>
      <c r="BG51" s="456"/>
      <c r="BH51" s="456"/>
      <c r="BI51" s="456"/>
      <c r="BJ51" s="456"/>
      <c r="BK51" s="456"/>
      <c r="BL51" s="456"/>
      <c r="BM51" s="456"/>
      <c r="BN51" s="456"/>
      <c r="BO51" s="456"/>
    </row>
    <row r="52" spans="1:67" s="469" customFormat="1" ht="22.5" x14ac:dyDescent="0.25">
      <c r="A52" s="499"/>
      <c r="B52" s="493" t="s">
        <v>819</v>
      </c>
      <c r="C52" s="2697" t="s">
        <v>820</v>
      </c>
      <c r="D52" s="2697"/>
      <c r="E52" s="2697"/>
      <c r="F52" s="2697"/>
      <c r="G52" s="2697"/>
      <c r="H52" s="494" t="s">
        <v>814</v>
      </c>
      <c r="I52" s="509">
        <v>3.17</v>
      </c>
      <c r="J52" s="495" t="s">
        <v>810</v>
      </c>
      <c r="K52" s="528">
        <v>21.269114999999999</v>
      </c>
      <c r="L52" s="510">
        <v>1.75</v>
      </c>
      <c r="M52" s="506">
        <v>1.26</v>
      </c>
      <c r="N52" s="502">
        <v>2.21</v>
      </c>
      <c r="O52" s="495"/>
      <c r="P52" s="498">
        <v>47</v>
      </c>
      <c r="Q52" s="503"/>
      <c r="R52" s="503"/>
      <c r="S52" s="454"/>
      <c r="T52" s="454"/>
      <c r="U52" s="454"/>
      <c r="V52" s="454"/>
      <c r="W52" s="454"/>
      <c r="X52" s="454"/>
      <c r="Y52" s="454"/>
      <c r="Z52" s="454"/>
      <c r="AA52" s="454"/>
      <c r="AB52" s="456"/>
      <c r="AC52" s="456"/>
      <c r="AD52" s="456"/>
      <c r="AE52" s="456"/>
      <c r="AF52" s="456"/>
      <c r="AG52" s="456"/>
      <c r="AH52" s="456"/>
      <c r="AI52" s="456"/>
      <c r="AJ52" s="456"/>
      <c r="AK52" s="456"/>
      <c r="AL52" s="456"/>
      <c r="AM52" s="456"/>
      <c r="AN52" s="481"/>
      <c r="AO52" s="481"/>
      <c r="AP52" s="481"/>
      <c r="AQ52" s="491"/>
      <c r="AR52" s="456"/>
      <c r="AS52" s="456" t="s">
        <v>820</v>
      </c>
      <c r="AT52" s="456"/>
      <c r="AU52" s="456"/>
      <c r="AV52" s="456"/>
      <c r="AW52" s="456"/>
      <c r="AX52" s="456"/>
      <c r="AY52" s="456"/>
      <c r="AZ52" s="456"/>
      <c r="BA52" s="456"/>
      <c r="BB52" s="456"/>
      <c r="BC52" s="456"/>
      <c r="BD52" s="456"/>
      <c r="BE52" s="456"/>
      <c r="BF52" s="456"/>
      <c r="BG52" s="456"/>
      <c r="BH52" s="456"/>
      <c r="BI52" s="456"/>
      <c r="BJ52" s="456"/>
      <c r="BK52" s="456"/>
      <c r="BL52" s="456"/>
      <c r="BM52" s="456"/>
      <c r="BN52" s="456"/>
      <c r="BO52" s="456"/>
    </row>
    <row r="53" spans="1:67" s="469" customFormat="1" ht="22.5" x14ac:dyDescent="0.25">
      <c r="A53" s="499"/>
      <c r="B53" s="493" t="s">
        <v>821</v>
      </c>
      <c r="C53" s="2697" t="s">
        <v>822</v>
      </c>
      <c r="D53" s="2697"/>
      <c r="E53" s="2697"/>
      <c r="F53" s="2697"/>
      <c r="G53" s="2697"/>
      <c r="H53" s="494" t="s">
        <v>814</v>
      </c>
      <c r="I53" s="509">
        <v>0.19</v>
      </c>
      <c r="J53" s="495" t="s">
        <v>810</v>
      </c>
      <c r="K53" s="528">
        <v>1.274805</v>
      </c>
      <c r="L53" s="501"/>
      <c r="M53" s="564"/>
      <c r="N53" s="502">
        <v>535.19000000000005</v>
      </c>
      <c r="O53" s="495"/>
      <c r="P53" s="498">
        <v>682.26</v>
      </c>
      <c r="Q53" s="503"/>
      <c r="R53" s="503"/>
      <c r="S53" s="454"/>
      <c r="T53" s="454"/>
      <c r="U53" s="454"/>
      <c r="V53" s="454"/>
      <c r="W53" s="454"/>
      <c r="X53" s="454"/>
      <c r="Y53" s="454"/>
      <c r="Z53" s="454"/>
      <c r="AA53" s="454"/>
      <c r="AB53" s="456"/>
      <c r="AC53" s="456"/>
      <c r="AD53" s="456"/>
      <c r="AE53" s="456"/>
      <c r="AF53" s="456"/>
      <c r="AG53" s="456"/>
      <c r="AH53" s="456"/>
      <c r="AI53" s="456"/>
      <c r="AJ53" s="456"/>
      <c r="AK53" s="456"/>
      <c r="AL53" s="456"/>
      <c r="AM53" s="456"/>
      <c r="AN53" s="481"/>
      <c r="AO53" s="481"/>
      <c r="AP53" s="481"/>
      <c r="AQ53" s="491"/>
      <c r="AR53" s="456"/>
      <c r="AS53" s="456" t="s">
        <v>822</v>
      </c>
      <c r="AT53" s="456"/>
      <c r="AU53" s="456"/>
      <c r="AV53" s="456"/>
      <c r="AW53" s="456"/>
      <c r="AX53" s="456"/>
      <c r="AY53" s="456"/>
      <c r="AZ53" s="456"/>
      <c r="BA53" s="456"/>
      <c r="BB53" s="456"/>
      <c r="BC53" s="456"/>
      <c r="BD53" s="456"/>
      <c r="BE53" s="456"/>
      <c r="BF53" s="456"/>
      <c r="BG53" s="456"/>
      <c r="BH53" s="456"/>
      <c r="BI53" s="456"/>
      <c r="BJ53" s="456"/>
      <c r="BK53" s="456"/>
      <c r="BL53" s="456"/>
      <c r="BM53" s="456"/>
      <c r="BN53" s="456"/>
      <c r="BO53" s="456"/>
    </row>
    <row r="54" spans="1:67" s="469" customFormat="1" ht="22.5" x14ac:dyDescent="0.25">
      <c r="A54" s="507"/>
      <c r="B54" s="493" t="s">
        <v>823</v>
      </c>
      <c r="C54" s="2697" t="s">
        <v>824</v>
      </c>
      <c r="D54" s="2697"/>
      <c r="E54" s="2697"/>
      <c r="F54" s="2697"/>
      <c r="G54" s="2697"/>
      <c r="H54" s="494" t="s">
        <v>807</v>
      </c>
      <c r="I54" s="509">
        <v>0.19</v>
      </c>
      <c r="J54" s="495" t="s">
        <v>810</v>
      </c>
      <c r="K54" s="528">
        <v>1.274805</v>
      </c>
      <c r="L54" s="497"/>
      <c r="M54" s="495"/>
      <c r="N54" s="508">
        <v>271.47000000000003</v>
      </c>
      <c r="O54" s="495"/>
      <c r="P54" s="512">
        <v>346.07</v>
      </c>
      <c r="Q54" s="454"/>
      <c r="R54" s="454"/>
      <c r="S54" s="454"/>
      <c r="T54" s="454"/>
      <c r="U54" s="454"/>
      <c r="V54" s="454"/>
      <c r="W54" s="454"/>
      <c r="X54" s="454"/>
      <c r="Y54" s="454"/>
      <c r="Z54" s="454"/>
      <c r="AA54" s="454"/>
      <c r="AB54" s="456"/>
      <c r="AC54" s="456"/>
      <c r="AD54" s="456"/>
      <c r="AE54" s="456"/>
      <c r="AF54" s="456"/>
      <c r="AG54" s="456"/>
      <c r="AH54" s="456"/>
      <c r="AI54" s="456"/>
      <c r="AJ54" s="456"/>
      <c r="AK54" s="456"/>
      <c r="AL54" s="456"/>
      <c r="AM54" s="456"/>
      <c r="AN54" s="481"/>
      <c r="AO54" s="481"/>
      <c r="AP54" s="481"/>
      <c r="AQ54" s="491"/>
      <c r="AR54" s="456"/>
      <c r="AS54" s="456"/>
      <c r="AT54" s="456" t="s">
        <v>824</v>
      </c>
      <c r="AU54" s="456"/>
      <c r="AV54" s="456"/>
      <c r="AW54" s="456"/>
      <c r="AX54" s="456"/>
      <c r="AY54" s="456"/>
      <c r="AZ54" s="456"/>
      <c r="BA54" s="456"/>
      <c r="BB54" s="456"/>
      <c r="BC54" s="456"/>
      <c r="BD54" s="456"/>
      <c r="BE54" s="456"/>
      <c r="BF54" s="456"/>
      <c r="BG54" s="456"/>
      <c r="BH54" s="456"/>
      <c r="BI54" s="456"/>
      <c r="BJ54" s="456"/>
      <c r="BK54" s="456"/>
      <c r="BL54" s="456"/>
      <c r="BM54" s="456"/>
      <c r="BN54" s="456"/>
      <c r="BO54" s="456"/>
    </row>
    <row r="55" spans="1:67" s="469" customFormat="1" ht="22.5" x14ac:dyDescent="0.25">
      <c r="A55" s="499"/>
      <c r="B55" s="493" t="s">
        <v>825</v>
      </c>
      <c r="C55" s="2697" t="s">
        <v>826</v>
      </c>
      <c r="D55" s="2697"/>
      <c r="E55" s="2697"/>
      <c r="F55" s="2697"/>
      <c r="G55" s="2697"/>
      <c r="H55" s="494" t="s">
        <v>814</v>
      </c>
      <c r="I55" s="509">
        <v>1.63</v>
      </c>
      <c r="J55" s="495" t="s">
        <v>810</v>
      </c>
      <c r="K55" s="528">
        <v>10.936484999999999</v>
      </c>
      <c r="L55" s="510">
        <v>4.3499999999999996</v>
      </c>
      <c r="M55" s="506">
        <v>1.19</v>
      </c>
      <c r="N55" s="502">
        <v>5.18</v>
      </c>
      <c r="O55" s="495"/>
      <c r="P55" s="498">
        <v>56.65</v>
      </c>
      <c r="Q55" s="503"/>
      <c r="R55" s="503"/>
      <c r="S55" s="454"/>
      <c r="T55" s="454"/>
      <c r="U55" s="454"/>
      <c r="V55" s="454"/>
      <c r="W55" s="454"/>
      <c r="X55" s="454"/>
      <c r="Y55" s="454"/>
      <c r="Z55" s="454"/>
      <c r="AA55" s="454"/>
      <c r="AB55" s="456"/>
      <c r="AC55" s="456"/>
      <c r="AD55" s="456"/>
      <c r="AE55" s="456"/>
      <c r="AF55" s="456"/>
      <c r="AG55" s="456"/>
      <c r="AH55" s="456"/>
      <c r="AI55" s="456"/>
      <c r="AJ55" s="456"/>
      <c r="AK55" s="456"/>
      <c r="AL55" s="456"/>
      <c r="AM55" s="456"/>
      <c r="AN55" s="481"/>
      <c r="AO55" s="481"/>
      <c r="AP55" s="481"/>
      <c r="AQ55" s="491"/>
      <c r="AR55" s="456"/>
      <c r="AS55" s="456" t="s">
        <v>826</v>
      </c>
      <c r="AT55" s="456"/>
      <c r="AU55" s="456"/>
      <c r="AV55" s="456"/>
      <c r="AW55" s="456"/>
      <c r="AX55" s="456"/>
      <c r="AY55" s="456"/>
      <c r="AZ55" s="456"/>
      <c r="BA55" s="456"/>
      <c r="BB55" s="456"/>
      <c r="BC55" s="456"/>
      <c r="BD55" s="456"/>
      <c r="BE55" s="456"/>
      <c r="BF55" s="456"/>
      <c r="BG55" s="456"/>
      <c r="BH55" s="456"/>
      <c r="BI55" s="456"/>
      <c r="BJ55" s="456"/>
      <c r="BK55" s="456"/>
      <c r="BL55" s="456"/>
      <c r="BM55" s="456"/>
      <c r="BN55" s="456"/>
      <c r="BO55" s="456"/>
    </row>
    <row r="56" spans="1:67" s="469" customFormat="1" ht="23.25" x14ac:dyDescent="0.25">
      <c r="A56" s="499"/>
      <c r="B56" s="493" t="s">
        <v>827</v>
      </c>
      <c r="C56" s="2697" t="s">
        <v>828</v>
      </c>
      <c r="D56" s="2697"/>
      <c r="E56" s="2697"/>
      <c r="F56" s="2697"/>
      <c r="G56" s="2697"/>
      <c r="H56" s="494" t="s">
        <v>814</v>
      </c>
      <c r="I56" s="509">
        <v>6.16</v>
      </c>
      <c r="J56" s="495" t="s">
        <v>810</v>
      </c>
      <c r="K56" s="504">
        <v>41.33052</v>
      </c>
      <c r="L56" s="510">
        <v>51.1</v>
      </c>
      <c r="M56" s="511">
        <v>0.9</v>
      </c>
      <c r="N56" s="502">
        <v>45.99</v>
      </c>
      <c r="O56" s="495"/>
      <c r="P56" s="498">
        <v>1900.79</v>
      </c>
      <c r="Q56" s="503"/>
      <c r="R56" s="503"/>
      <c r="S56" s="454"/>
      <c r="T56" s="454"/>
      <c r="U56" s="454"/>
      <c r="V56" s="454"/>
      <c r="W56" s="454"/>
      <c r="X56" s="454"/>
      <c r="Y56" s="454"/>
      <c r="Z56" s="454"/>
      <c r="AA56" s="454"/>
      <c r="AB56" s="456"/>
      <c r="AC56" s="456"/>
      <c r="AD56" s="456"/>
      <c r="AE56" s="456"/>
      <c r="AF56" s="456"/>
      <c r="AG56" s="456"/>
      <c r="AH56" s="456"/>
      <c r="AI56" s="456"/>
      <c r="AJ56" s="456"/>
      <c r="AK56" s="456"/>
      <c r="AL56" s="456"/>
      <c r="AM56" s="456"/>
      <c r="AN56" s="481"/>
      <c r="AO56" s="481"/>
      <c r="AP56" s="481"/>
      <c r="AQ56" s="491"/>
      <c r="AR56" s="456"/>
      <c r="AS56" s="456" t="s">
        <v>828</v>
      </c>
      <c r="AT56" s="456"/>
      <c r="AU56" s="456"/>
      <c r="AV56" s="456"/>
      <c r="AW56" s="456"/>
      <c r="AX56" s="456"/>
      <c r="AY56" s="456"/>
      <c r="AZ56" s="456"/>
      <c r="BA56" s="456"/>
      <c r="BB56" s="456"/>
      <c r="BC56" s="456"/>
      <c r="BD56" s="456"/>
      <c r="BE56" s="456"/>
      <c r="BF56" s="456"/>
      <c r="BG56" s="456"/>
      <c r="BH56" s="456"/>
      <c r="BI56" s="456"/>
      <c r="BJ56" s="456"/>
      <c r="BK56" s="456"/>
      <c r="BL56" s="456"/>
      <c r="BM56" s="456"/>
      <c r="BN56" s="456"/>
      <c r="BO56" s="456"/>
    </row>
    <row r="57" spans="1:67" s="469" customFormat="1" ht="15" x14ac:dyDescent="0.25">
      <c r="A57" s="492"/>
      <c r="B57" s="493" t="s">
        <v>232</v>
      </c>
      <c r="C57" s="2697" t="s">
        <v>829</v>
      </c>
      <c r="D57" s="2697"/>
      <c r="E57" s="2697"/>
      <c r="F57" s="2697"/>
      <c r="G57" s="2697"/>
      <c r="H57" s="494"/>
      <c r="I57" s="495"/>
      <c r="J57" s="495"/>
      <c r="K57" s="495"/>
      <c r="L57" s="497"/>
      <c r="M57" s="495"/>
      <c r="N57" s="497"/>
      <c r="O57" s="495"/>
      <c r="P57" s="512">
        <v>0</v>
      </c>
      <c r="Q57" s="454"/>
      <c r="R57" s="454"/>
      <c r="S57" s="454"/>
      <c r="T57" s="454"/>
      <c r="U57" s="454"/>
      <c r="V57" s="454"/>
      <c r="W57" s="454"/>
      <c r="X57" s="454"/>
      <c r="Y57" s="454"/>
      <c r="Z57" s="454"/>
      <c r="AA57" s="454"/>
      <c r="AB57" s="456"/>
      <c r="AC57" s="456"/>
      <c r="AD57" s="456"/>
      <c r="AE57" s="456"/>
      <c r="AF57" s="456"/>
      <c r="AG57" s="456"/>
      <c r="AH57" s="456"/>
      <c r="AI57" s="456"/>
      <c r="AJ57" s="456"/>
      <c r="AK57" s="456"/>
      <c r="AL57" s="456"/>
      <c r="AM57" s="456"/>
      <c r="AN57" s="481"/>
      <c r="AO57" s="481"/>
      <c r="AP57" s="481"/>
      <c r="AQ57" s="491"/>
      <c r="AR57" s="456" t="s">
        <v>829</v>
      </c>
      <c r="AS57" s="456"/>
      <c r="AT57" s="456"/>
      <c r="AU57" s="456"/>
      <c r="AV57" s="456"/>
      <c r="AW57" s="456"/>
      <c r="AX57" s="456"/>
      <c r="AY57" s="456"/>
      <c r="AZ57" s="456"/>
      <c r="BA57" s="456"/>
      <c r="BB57" s="456"/>
      <c r="BC57" s="456"/>
      <c r="BD57" s="456"/>
      <c r="BE57" s="456"/>
      <c r="BF57" s="456"/>
      <c r="BG57" s="456"/>
      <c r="BH57" s="456"/>
      <c r="BI57" s="456"/>
      <c r="BJ57" s="456"/>
      <c r="BK57" s="456"/>
      <c r="BL57" s="456"/>
      <c r="BM57" s="456"/>
      <c r="BN57" s="456"/>
      <c r="BO57" s="456"/>
    </row>
    <row r="58" spans="1:67" s="469" customFormat="1" ht="15" x14ac:dyDescent="0.25">
      <c r="A58" s="499"/>
      <c r="B58" s="493" t="s">
        <v>830</v>
      </c>
      <c r="C58" s="2697" t="s">
        <v>831</v>
      </c>
      <c r="D58" s="2697"/>
      <c r="E58" s="2697"/>
      <c r="F58" s="2697"/>
      <c r="G58" s="2697"/>
      <c r="H58" s="494" t="s">
        <v>832</v>
      </c>
      <c r="I58" s="509">
        <v>1.37</v>
      </c>
      <c r="J58" s="513">
        <v>0</v>
      </c>
      <c r="K58" s="513">
        <v>0</v>
      </c>
      <c r="L58" s="501"/>
      <c r="M58" s="564"/>
      <c r="N58" s="502">
        <v>114.64</v>
      </c>
      <c r="O58" s="495"/>
      <c r="P58" s="498">
        <v>0</v>
      </c>
      <c r="Q58" s="503"/>
      <c r="R58" s="503"/>
      <c r="S58" s="454"/>
      <c r="T58" s="454"/>
      <c r="U58" s="454"/>
      <c r="V58" s="454"/>
      <c r="W58" s="454"/>
      <c r="X58" s="454"/>
      <c r="Y58" s="454"/>
      <c r="Z58" s="454"/>
      <c r="AA58" s="454"/>
      <c r="AB58" s="456"/>
      <c r="AC58" s="456"/>
      <c r="AD58" s="456"/>
      <c r="AE58" s="456"/>
      <c r="AF58" s="456"/>
      <c r="AG58" s="456"/>
      <c r="AH58" s="456"/>
      <c r="AI58" s="456"/>
      <c r="AJ58" s="456"/>
      <c r="AK58" s="456"/>
      <c r="AL58" s="456"/>
      <c r="AM58" s="456"/>
      <c r="AN58" s="481"/>
      <c r="AO58" s="481"/>
      <c r="AP58" s="481"/>
      <c r="AQ58" s="491"/>
      <c r="AR58" s="456"/>
      <c r="AS58" s="456" t="s">
        <v>831</v>
      </c>
      <c r="AT58" s="456"/>
      <c r="AU58" s="456"/>
      <c r="AV58" s="456"/>
      <c r="AW58" s="456"/>
      <c r="AX58" s="456"/>
      <c r="AY58" s="456"/>
      <c r="AZ58" s="456"/>
      <c r="BA58" s="456"/>
      <c r="BB58" s="456"/>
      <c r="BC58" s="456"/>
      <c r="BD58" s="456"/>
      <c r="BE58" s="456"/>
      <c r="BF58" s="456"/>
      <c r="BG58" s="456"/>
      <c r="BH58" s="456"/>
      <c r="BI58" s="456"/>
      <c r="BJ58" s="456"/>
      <c r="BK58" s="456"/>
      <c r="BL58" s="456"/>
      <c r="BM58" s="456"/>
      <c r="BN58" s="456"/>
      <c r="BO58" s="456"/>
    </row>
    <row r="59" spans="1:67" s="469" customFormat="1" ht="15" x14ac:dyDescent="0.25">
      <c r="A59" s="499"/>
      <c r="B59" s="493" t="s">
        <v>833</v>
      </c>
      <c r="C59" s="2697" t="s">
        <v>834</v>
      </c>
      <c r="D59" s="2697"/>
      <c r="E59" s="2697"/>
      <c r="F59" s="2697"/>
      <c r="G59" s="2697"/>
      <c r="H59" s="494" t="s">
        <v>835</v>
      </c>
      <c r="I59" s="509">
        <v>0.41</v>
      </c>
      <c r="J59" s="513">
        <v>0</v>
      </c>
      <c r="K59" s="513">
        <v>0</v>
      </c>
      <c r="L59" s="510">
        <v>41.38</v>
      </c>
      <c r="M59" s="511">
        <v>1.2</v>
      </c>
      <c r="N59" s="502">
        <v>49.66</v>
      </c>
      <c r="O59" s="495"/>
      <c r="P59" s="498">
        <v>0</v>
      </c>
      <c r="Q59" s="503"/>
      <c r="R59" s="503"/>
      <c r="S59" s="454"/>
      <c r="T59" s="454"/>
      <c r="U59" s="454"/>
      <c r="V59" s="454"/>
      <c r="W59" s="454"/>
      <c r="X59" s="454"/>
      <c r="Y59" s="454"/>
      <c r="Z59" s="454"/>
      <c r="AA59" s="454"/>
      <c r="AB59" s="456"/>
      <c r="AC59" s="456"/>
      <c r="AD59" s="456"/>
      <c r="AE59" s="456"/>
      <c r="AF59" s="456"/>
      <c r="AG59" s="456"/>
      <c r="AH59" s="456"/>
      <c r="AI59" s="456"/>
      <c r="AJ59" s="456"/>
      <c r="AK59" s="456"/>
      <c r="AL59" s="456"/>
      <c r="AM59" s="456"/>
      <c r="AN59" s="481"/>
      <c r="AO59" s="481"/>
      <c r="AP59" s="481"/>
      <c r="AQ59" s="491"/>
      <c r="AR59" s="456"/>
      <c r="AS59" s="456" t="s">
        <v>834</v>
      </c>
      <c r="AT59" s="456"/>
      <c r="AU59" s="456"/>
      <c r="AV59" s="456"/>
      <c r="AW59" s="456"/>
      <c r="AX59" s="456"/>
      <c r="AY59" s="456"/>
      <c r="AZ59" s="456"/>
      <c r="BA59" s="456"/>
      <c r="BB59" s="456"/>
      <c r="BC59" s="456"/>
      <c r="BD59" s="456"/>
      <c r="BE59" s="456"/>
      <c r="BF59" s="456"/>
      <c r="BG59" s="456"/>
      <c r="BH59" s="456"/>
      <c r="BI59" s="456"/>
      <c r="BJ59" s="456"/>
      <c r="BK59" s="456"/>
      <c r="BL59" s="456"/>
      <c r="BM59" s="456"/>
      <c r="BN59" s="456"/>
      <c r="BO59" s="456"/>
    </row>
    <row r="60" spans="1:67" s="469" customFormat="1" ht="15" x14ac:dyDescent="0.25">
      <c r="A60" s="499"/>
      <c r="B60" s="493" t="s">
        <v>836</v>
      </c>
      <c r="C60" s="2697" t="s">
        <v>837</v>
      </c>
      <c r="D60" s="2697"/>
      <c r="E60" s="2697"/>
      <c r="F60" s="2697"/>
      <c r="G60" s="2697"/>
      <c r="H60" s="494" t="s">
        <v>838</v>
      </c>
      <c r="I60" s="514">
        <v>3.2189999999999999</v>
      </c>
      <c r="J60" s="513">
        <v>0</v>
      </c>
      <c r="K60" s="513">
        <v>0</v>
      </c>
      <c r="L60" s="501"/>
      <c r="M60" s="564"/>
      <c r="N60" s="502">
        <v>6.17</v>
      </c>
      <c r="O60" s="495"/>
      <c r="P60" s="498">
        <v>0</v>
      </c>
      <c r="Q60" s="503"/>
      <c r="R60" s="503"/>
      <c r="S60" s="454"/>
      <c r="T60" s="454"/>
      <c r="U60" s="454"/>
      <c r="V60" s="454"/>
      <c r="W60" s="454"/>
      <c r="X60" s="454"/>
      <c r="Y60" s="454"/>
      <c r="Z60" s="454"/>
      <c r="AA60" s="454"/>
      <c r="AB60" s="456"/>
      <c r="AC60" s="456"/>
      <c r="AD60" s="456"/>
      <c r="AE60" s="456"/>
      <c r="AF60" s="456"/>
      <c r="AG60" s="456"/>
      <c r="AH60" s="456"/>
      <c r="AI60" s="456"/>
      <c r="AJ60" s="456"/>
      <c r="AK60" s="456"/>
      <c r="AL60" s="456"/>
      <c r="AM60" s="456"/>
      <c r="AN60" s="481"/>
      <c r="AO60" s="481"/>
      <c r="AP60" s="481"/>
      <c r="AQ60" s="491"/>
      <c r="AR60" s="456"/>
      <c r="AS60" s="456" t="s">
        <v>837</v>
      </c>
      <c r="AT60" s="456"/>
      <c r="AU60" s="456"/>
      <c r="AV60" s="456"/>
      <c r="AW60" s="456"/>
      <c r="AX60" s="456"/>
      <c r="AY60" s="456"/>
      <c r="AZ60" s="456"/>
      <c r="BA60" s="456"/>
      <c r="BB60" s="456"/>
      <c r="BC60" s="456"/>
      <c r="BD60" s="456"/>
      <c r="BE60" s="456"/>
      <c r="BF60" s="456"/>
      <c r="BG60" s="456"/>
      <c r="BH60" s="456"/>
      <c r="BI60" s="456"/>
      <c r="BJ60" s="456"/>
      <c r="BK60" s="456"/>
      <c r="BL60" s="456"/>
      <c r="BM60" s="456"/>
      <c r="BN60" s="456"/>
      <c r="BO60" s="456"/>
    </row>
    <row r="61" spans="1:67" s="469" customFormat="1" ht="23.25" x14ac:dyDescent="0.25">
      <c r="A61" s="499"/>
      <c r="B61" s="493" t="s">
        <v>839</v>
      </c>
      <c r="C61" s="2697" t="s">
        <v>840</v>
      </c>
      <c r="D61" s="2697"/>
      <c r="E61" s="2697"/>
      <c r="F61" s="2697"/>
      <c r="G61" s="2697"/>
      <c r="H61" s="494" t="s">
        <v>835</v>
      </c>
      <c r="I61" s="513">
        <v>4</v>
      </c>
      <c r="J61" s="513">
        <v>0</v>
      </c>
      <c r="K61" s="513">
        <v>0</v>
      </c>
      <c r="L61" s="510">
        <v>142.68</v>
      </c>
      <c r="M61" s="506">
        <v>1.05</v>
      </c>
      <c r="N61" s="502">
        <v>149.81</v>
      </c>
      <c r="O61" s="495"/>
      <c r="P61" s="498">
        <v>0</v>
      </c>
      <c r="Q61" s="503"/>
      <c r="R61" s="503"/>
      <c r="S61" s="454"/>
      <c r="T61" s="454"/>
      <c r="U61" s="454"/>
      <c r="V61" s="454"/>
      <c r="W61" s="454"/>
      <c r="X61" s="454"/>
      <c r="Y61" s="454"/>
      <c r="Z61" s="454"/>
      <c r="AA61" s="454"/>
      <c r="AB61" s="456"/>
      <c r="AC61" s="456"/>
      <c r="AD61" s="456"/>
      <c r="AE61" s="456"/>
      <c r="AF61" s="456"/>
      <c r="AG61" s="456"/>
      <c r="AH61" s="456"/>
      <c r="AI61" s="456"/>
      <c r="AJ61" s="456"/>
      <c r="AK61" s="456"/>
      <c r="AL61" s="456"/>
      <c r="AM61" s="456"/>
      <c r="AN61" s="481"/>
      <c r="AO61" s="481"/>
      <c r="AP61" s="481"/>
      <c r="AQ61" s="491"/>
      <c r="AR61" s="456"/>
      <c r="AS61" s="456" t="s">
        <v>840</v>
      </c>
      <c r="AT61" s="456"/>
      <c r="AU61" s="456"/>
      <c r="AV61" s="456"/>
      <c r="AW61" s="456"/>
      <c r="AX61" s="456"/>
      <c r="AY61" s="456"/>
      <c r="AZ61" s="456"/>
      <c r="BA61" s="456"/>
      <c r="BB61" s="456"/>
      <c r="BC61" s="456"/>
      <c r="BD61" s="456"/>
      <c r="BE61" s="456"/>
      <c r="BF61" s="456"/>
      <c r="BG61" s="456"/>
      <c r="BH61" s="456"/>
      <c r="BI61" s="456"/>
      <c r="BJ61" s="456"/>
      <c r="BK61" s="456"/>
      <c r="BL61" s="456"/>
      <c r="BM61" s="456"/>
      <c r="BN61" s="456"/>
      <c r="BO61" s="456"/>
    </row>
    <row r="62" spans="1:67" s="469" customFormat="1" ht="15" x14ac:dyDescent="0.25">
      <c r="A62" s="499"/>
      <c r="B62" s="493" t="s">
        <v>841</v>
      </c>
      <c r="C62" s="2697" t="s">
        <v>842</v>
      </c>
      <c r="D62" s="2697"/>
      <c r="E62" s="2697"/>
      <c r="F62" s="2697"/>
      <c r="G62" s="2697"/>
      <c r="H62" s="494" t="s">
        <v>801</v>
      </c>
      <c r="I62" s="504">
        <v>1.0000000000000001E-5</v>
      </c>
      <c r="J62" s="513">
        <v>0</v>
      </c>
      <c r="K62" s="513">
        <v>0</v>
      </c>
      <c r="L62" s="505">
        <v>70296.2</v>
      </c>
      <c r="M62" s="506">
        <v>1.17</v>
      </c>
      <c r="N62" s="502">
        <v>82246.55</v>
      </c>
      <c r="O62" s="495"/>
      <c r="P62" s="498">
        <v>0</v>
      </c>
      <c r="Q62" s="503"/>
      <c r="R62" s="503"/>
      <c r="S62" s="454"/>
      <c r="T62" s="454"/>
      <c r="U62" s="454"/>
      <c r="V62" s="454"/>
      <c r="W62" s="454"/>
      <c r="X62" s="454"/>
      <c r="Y62" s="454"/>
      <c r="Z62" s="454"/>
      <c r="AA62" s="454"/>
      <c r="AB62" s="456"/>
      <c r="AC62" s="456"/>
      <c r="AD62" s="456"/>
      <c r="AE62" s="456"/>
      <c r="AF62" s="456"/>
      <c r="AG62" s="456"/>
      <c r="AH62" s="456"/>
      <c r="AI62" s="456"/>
      <c r="AJ62" s="456"/>
      <c r="AK62" s="456"/>
      <c r="AL62" s="456"/>
      <c r="AM62" s="456"/>
      <c r="AN62" s="481"/>
      <c r="AO62" s="481"/>
      <c r="AP62" s="481"/>
      <c r="AQ62" s="491"/>
      <c r="AR62" s="456"/>
      <c r="AS62" s="456" t="s">
        <v>842</v>
      </c>
      <c r="AT62" s="456"/>
      <c r="AU62" s="456"/>
      <c r="AV62" s="456"/>
      <c r="AW62" s="456"/>
      <c r="AX62" s="456"/>
      <c r="AY62" s="456"/>
      <c r="AZ62" s="456"/>
      <c r="BA62" s="456"/>
      <c r="BB62" s="456"/>
      <c r="BC62" s="456"/>
      <c r="BD62" s="456"/>
      <c r="BE62" s="456"/>
      <c r="BF62" s="456"/>
      <c r="BG62" s="456"/>
      <c r="BH62" s="456"/>
      <c r="BI62" s="456"/>
      <c r="BJ62" s="456"/>
      <c r="BK62" s="456"/>
      <c r="BL62" s="456"/>
      <c r="BM62" s="456"/>
      <c r="BN62" s="456"/>
      <c r="BO62" s="456"/>
    </row>
    <row r="63" spans="1:67" s="469" customFormat="1" ht="15" x14ac:dyDescent="0.25">
      <c r="A63" s="499"/>
      <c r="B63" s="493" t="s">
        <v>843</v>
      </c>
      <c r="C63" s="2697" t="s">
        <v>844</v>
      </c>
      <c r="D63" s="2697"/>
      <c r="E63" s="2697"/>
      <c r="F63" s="2697"/>
      <c r="G63" s="2697"/>
      <c r="H63" s="494" t="s">
        <v>801</v>
      </c>
      <c r="I63" s="496">
        <v>1E-4</v>
      </c>
      <c r="J63" s="513">
        <v>0</v>
      </c>
      <c r="K63" s="513">
        <v>0</v>
      </c>
      <c r="L63" s="505">
        <v>231787.35</v>
      </c>
      <c r="M63" s="511">
        <v>1.9</v>
      </c>
      <c r="N63" s="502">
        <v>440395.97</v>
      </c>
      <c r="O63" s="495"/>
      <c r="P63" s="498">
        <v>0</v>
      </c>
      <c r="Q63" s="503"/>
      <c r="R63" s="503"/>
      <c r="S63" s="454"/>
      <c r="T63" s="454"/>
      <c r="U63" s="454"/>
      <c r="V63" s="454"/>
      <c r="W63" s="454"/>
      <c r="X63" s="454"/>
      <c r="Y63" s="454"/>
      <c r="Z63" s="454"/>
      <c r="AA63" s="454"/>
      <c r="AB63" s="456"/>
      <c r="AC63" s="456"/>
      <c r="AD63" s="456"/>
      <c r="AE63" s="456"/>
      <c r="AF63" s="456"/>
      <c r="AG63" s="456"/>
      <c r="AH63" s="456"/>
      <c r="AI63" s="456"/>
      <c r="AJ63" s="456"/>
      <c r="AK63" s="456"/>
      <c r="AL63" s="456"/>
      <c r="AM63" s="456"/>
      <c r="AN63" s="481"/>
      <c r="AO63" s="481"/>
      <c r="AP63" s="481"/>
      <c r="AQ63" s="491"/>
      <c r="AR63" s="456"/>
      <c r="AS63" s="456" t="s">
        <v>844</v>
      </c>
      <c r="AT63" s="456"/>
      <c r="AU63" s="456"/>
      <c r="AV63" s="456"/>
      <c r="AW63" s="456"/>
      <c r="AX63" s="456"/>
      <c r="AY63" s="456"/>
      <c r="AZ63" s="456"/>
      <c r="BA63" s="456"/>
      <c r="BB63" s="456"/>
      <c r="BC63" s="456"/>
      <c r="BD63" s="456"/>
      <c r="BE63" s="456"/>
      <c r="BF63" s="456"/>
      <c r="BG63" s="456"/>
      <c r="BH63" s="456"/>
      <c r="BI63" s="456"/>
      <c r="BJ63" s="456"/>
      <c r="BK63" s="456"/>
      <c r="BL63" s="456"/>
      <c r="BM63" s="456"/>
      <c r="BN63" s="456"/>
      <c r="BO63" s="456"/>
    </row>
    <row r="64" spans="1:67" s="469" customFormat="1" ht="23.25" x14ac:dyDescent="0.25">
      <c r="A64" s="499"/>
      <c r="B64" s="493" t="s">
        <v>845</v>
      </c>
      <c r="C64" s="2697" t="s">
        <v>846</v>
      </c>
      <c r="D64" s="2697"/>
      <c r="E64" s="2697"/>
      <c r="F64" s="2697"/>
      <c r="G64" s="2697"/>
      <c r="H64" s="494" t="s">
        <v>801</v>
      </c>
      <c r="I64" s="514">
        <v>1E-3</v>
      </c>
      <c r="J64" s="513">
        <v>0</v>
      </c>
      <c r="K64" s="513">
        <v>0</v>
      </c>
      <c r="L64" s="505">
        <v>105278.81</v>
      </c>
      <c r="M64" s="506">
        <v>1.1599999999999999</v>
      </c>
      <c r="N64" s="502">
        <v>122123.42</v>
      </c>
      <c r="O64" s="495"/>
      <c r="P64" s="498">
        <v>0</v>
      </c>
      <c r="Q64" s="503"/>
      <c r="R64" s="503"/>
      <c r="S64" s="454"/>
      <c r="T64" s="454"/>
      <c r="U64" s="454"/>
      <c r="V64" s="454"/>
      <c r="W64" s="454"/>
      <c r="X64" s="454"/>
      <c r="Y64" s="454"/>
      <c r="Z64" s="454"/>
      <c r="AA64" s="454"/>
      <c r="AB64" s="456"/>
      <c r="AC64" s="456"/>
      <c r="AD64" s="456"/>
      <c r="AE64" s="456"/>
      <c r="AF64" s="456"/>
      <c r="AG64" s="456"/>
      <c r="AH64" s="456"/>
      <c r="AI64" s="456"/>
      <c r="AJ64" s="456"/>
      <c r="AK64" s="456"/>
      <c r="AL64" s="456"/>
      <c r="AM64" s="456"/>
      <c r="AN64" s="481"/>
      <c r="AO64" s="481"/>
      <c r="AP64" s="481"/>
      <c r="AQ64" s="491"/>
      <c r="AR64" s="456"/>
      <c r="AS64" s="456" t="s">
        <v>846</v>
      </c>
      <c r="AT64" s="456"/>
      <c r="AU64" s="456"/>
      <c r="AV64" s="456"/>
      <c r="AW64" s="456"/>
      <c r="AX64" s="456"/>
      <c r="AY64" s="456"/>
      <c r="AZ64" s="456"/>
      <c r="BA64" s="456"/>
      <c r="BB64" s="456"/>
      <c r="BC64" s="456"/>
      <c r="BD64" s="456"/>
      <c r="BE64" s="456"/>
      <c r="BF64" s="456"/>
      <c r="BG64" s="456"/>
      <c r="BH64" s="456"/>
      <c r="BI64" s="456"/>
      <c r="BJ64" s="456"/>
      <c r="BK64" s="456"/>
      <c r="BL64" s="456"/>
      <c r="BM64" s="456"/>
      <c r="BN64" s="456"/>
      <c r="BO64" s="456"/>
    </row>
    <row r="65" spans="1:67" s="469" customFormat="1" ht="34.5" x14ac:dyDescent="0.25">
      <c r="A65" s="499"/>
      <c r="B65" s="493" t="s">
        <v>847</v>
      </c>
      <c r="C65" s="2697" t="s">
        <v>848</v>
      </c>
      <c r="D65" s="2697"/>
      <c r="E65" s="2697"/>
      <c r="F65" s="2697"/>
      <c r="G65" s="2697"/>
      <c r="H65" s="494" t="s">
        <v>849</v>
      </c>
      <c r="I65" s="496">
        <v>1.8700000000000001E-2</v>
      </c>
      <c r="J65" s="513">
        <v>0</v>
      </c>
      <c r="K65" s="513">
        <v>0</v>
      </c>
      <c r="L65" s="510">
        <v>307.83999999999997</v>
      </c>
      <c r="M65" s="506">
        <v>1.03</v>
      </c>
      <c r="N65" s="502">
        <v>317.08</v>
      </c>
      <c r="O65" s="495"/>
      <c r="P65" s="498">
        <v>0</v>
      </c>
      <c r="Q65" s="503"/>
      <c r="R65" s="503"/>
      <c r="S65" s="454"/>
      <c r="T65" s="454"/>
      <c r="U65" s="454"/>
      <c r="V65" s="454"/>
      <c r="W65" s="454"/>
      <c r="X65" s="454"/>
      <c r="Y65" s="454"/>
      <c r="Z65" s="454"/>
      <c r="AA65" s="454"/>
      <c r="AB65" s="456"/>
      <c r="AC65" s="456"/>
      <c r="AD65" s="456"/>
      <c r="AE65" s="456"/>
      <c r="AF65" s="456"/>
      <c r="AG65" s="456"/>
      <c r="AH65" s="456"/>
      <c r="AI65" s="456"/>
      <c r="AJ65" s="456"/>
      <c r="AK65" s="456"/>
      <c r="AL65" s="456"/>
      <c r="AM65" s="456"/>
      <c r="AN65" s="481"/>
      <c r="AO65" s="481"/>
      <c r="AP65" s="481"/>
      <c r="AQ65" s="491"/>
      <c r="AR65" s="456"/>
      <c r="AS65" s="456" t="s">
        <v>848</v>
      </c>
      <c r="AT65" s="456"/>
      <c r="AU65" s="456"/>
      <c r="AV65" s="456"/>
      <c r="AW65" s="456"/>
      <c r="AX65" s="456"/>
      <c r="AY65" s="456"/>
      <c r="AZ65" s="456"/>
      <c r="BA65" s="456"/>
      <c r="BB65" s="456"/>
      <c r="BC65" s="456"/>
      <c r="BD65" s="456"/>
      <c r="BE65" s="456"/>
      <c r="BF65" s="456"/>
      <c r="BG65" s="456"/>
      <c r="BH65" s="456"/>
      <c r="BI65" s="456"/>
      <c r="BJ65" s="456"/>
      <c r="BK65" s="456"/>
      <c r="BL65" s="456"/>
      <c r="BM65" s="456"/>
      <c r="BN65" s="456"/>
      <c r="BO65" s="456"/>
    </row>
    <row r="66" spans="1:67" s="469" customFormat="1" ht="15" x14ac:dyDescent="0.25">
      <c r="A66" s="499"/>
      <c r="B66" s="493" t="s">
        <v>850</v>
      </c>
      <c r="C66" s="2697" t="s">
        <v>851</v>
      </c>
      <c r="D66" s="2697"/>
      <c r="E66" s="2697"/>
      <c r="F66" s="2697"/>
      <c r="G66" s="2697"/>
      <c r="H66" s="494" t="s">
        <v>801</v>
      </c>
      <c r="I66" s="504">
        <v>3.0000000000000001E-5</v>
      </c>
      <c r="J66" s="513">
        <v>0</v>
      </c>
      <c r="K66" s="513">
        <v>0</v>
      </c>
      <c r="L66" s="505">
        <v>60258.2</v>
      </c>
      <c r="M66" s="506">
        <v>1.19</v>
      </c>
      <c r="N66" s="502">
        <v>71707.259999999995</v>
      </c>
      <c r="O66" s="495"/>
      <c r="P66" s="498">
        <v>0</v>
      </c>
      <c r="Q66" s="503"/>
      <c r="R66" s="503"/>
      <c r="S66" s="454"/>
      <c r="T66" s="454"/>
      <c r="U66" s="454"/>
      <c r="V66" s="454"/>
      <c r="W66" s="454"/>
      <c r="X66" s="454"/>
      <c r="Y66" s="454"/>
      <c r="Z66" s="454"/>
      <c r="AA66" s="454"/>
      <c r="AB66" s="456"/>
      <c r="AC66" s="456"/>
      <c r="AD66" s="456"/>
      <c r="AE66" s="456"/>
      <c r="AF66" s="456"/>
      <c r="AG66" s="456"/>
      <c r="AH66" s="456"/>
      <c r="AI66" s="456"/>
      <c r="AJ66" s="456"/>
      <c r="AK66" s="456"/>
      <c r="AL66" s="456"/>
      <c r="AM66" s="456"/>
      <c r="AN66" s="481"/>
      <c r="AO66" s="481"/>
      <c r="AP66" s="481"/>
      <c r="AQ66" s="491"/>
      <c r="AR66" s="456"/>
      <c r="AS66" s="456" t="s">
        <v>851</v>
      </c>
      <c r="AT66" s="456"/>
      <c r="AU66" s="456"/>
      <c r="AV66" s="456"/>
      <c r="AW66" s="456"/>
      <c r="AX66" s="456"/>
      <c r="AY66" s="456"/>
      <c r="AZ66" s="456"/>
      <c r="BA66" s="456"/>
      <c r="BB66" s="456"/>
      <c r="BC66" s="456"/>
      <c r="BD66" s="456"/>
      <c r="BE66" s="456"/>
      <c r="BF66" s="456"/>
      <c r="BG66" s="456"/>
      <c r="BH66" s="456"/>
      <c r="BI66" s="456"/>
      <c r="BJ66" s="456"/>
      <c r="BK66" s="456"/>
      <c r="BL66" s="456"/>
      <c r="BM66" s="456"/>
      <c r="BN66" s="456"/>
      <c r="BO66" s="456"/>
    </row>
    <row r="67" spans="1:67" s="469" customFormat="1" ht="23.25" x14ac:dyDescent="0.25">
      <c r="A67" s="499"/>
      <c r="B67" s="493" t="s">
        <v>852</v>
      </c>
      <c r="C67" s="2697" t="s">
        <v>853</v>
      </c>
      <c r="D67" s="2697"/>
      <c r="E67" s="2697"/>
      <c r="F67" s="2697"/>
      <c r="G67" s="2697"/>
      <c r="H67" s="494" t="s">
        <v>801</v>
      </c>
      <c r="I67" s="504">
        <v>1.9400000000000001E-3</v>
      </c>
      <c r="J67" s="513">
        <v>0</v>
      </c>
      <c r="K67" s="513">
        <v>0</v>
      </c>
      <c r="L67" s="505">
        <v>136760</v>
      </c>
      <c r="M67" s="506">
        <v>1.05</v>
      </c>
      <c r="N67" s="502">
        <v>143598</v>
      </c>
      <c r="O67" s="495"/>
      <c r="P67" s="498">
        <v>0</v>
      </c>
      <c r="Q67" s="503"/>
      <c r="R67" s="503"/>
      <c r="S67" s="454"/>
      <c r="T67" s="454"/>
      <c r="U67" s="454"/>
      <c r="V67" s="454"/>
      <c r="W67" s="454"/>
      <c r="X67" s="454"/>
      <c r="Y67" s="454"/>
      <c r="Z67" s="454"/>
      <c r="AA67" s="454"/>
      <c r="AB67" s="456"/>
      <c r="AC67" s="456"/>
      <c r="AD67" s="456"/>
      <c r="AE67" s="456"/>
      <c r="AF67" s="456"/>
      <c r="AG67" s="456"/>
      <c r="AH67" s="456"/>
      <c r="AI67" s="456"/>
      <c r="AJ67" s="456"/>
      <c r="AK67" s="456"/>
      <c r="AL67" s="456"/>
      <c r="AM67" s="456"/>
      <c r="AN67" s="481"/>
      <c r="AO67" s="481"/>
      <c r="AP67" s="481"/>
      <c r="AQ67" s="491"/>
      <c r="AR67" s="456"/>
      <c r="AS67" s="456" t="s">
        <v>853</v>
      </c>
      <c r="AT67" s="456"/>
      <c r="AU67" s="456"/>
      <c r="AV67" s="456"/>
      <c r="AW67" s="456"/>
      <c r="AX67" s="456"/>
      <c r="AY67" s="456"/>
      <c r="AZ67" s="456"/>
      <c r="BA67" s="456"/>
      <c r="BB67" s="456"/>
      <c r="BC67" s="456"/>
      <c r="BD67" s="456"/>
      <c r="BE67" s="456"/>
      <c r="BF67" s="456"/>
      <c r="BG67" s="456"/>
      <c r="BH67" s="456"/>
      <c r="BI67" s="456"/>
      <c r="BJ67" s="456"/>
      <c r="BK67" s="456"/>
      <c r="BL67" s="456"/>
      <c r="BM67" s="456"/>
      <c r="BN67" s="456"/>
      <c r="BO67" s="456"/>
    </row>
    <row r="68" spans="1:67" s="469" customFormat="1" ht="34.5" x14ac:dyDescent="0.25">
      <c r="A68" s="499"/>
      <c r="B68" s="493" t="s">
        <v>854</v>
      </c>
      <c r="C68" s="2697" t="s">
        <v>855</v>
      </c>
      <c r="D68" s="2697"/>
      <c r="E68" s="2697"/>
      <c r="F68" s="2697"/>
      <c r="G68" s="2697"/>
      <c r="H68" s="494" t="s">
        <v>832</v>
      </c>
      <c r="I68" s="504">
        <v>1.0300000000000001E-3</v>
      </c>
      <c r="J68" s="513">
        <v>0</v>
      </c>
      <c r="K68" s="513">
        <v>0</v>
      </c>
      <c r="L68" s="505">
        <v>16496.03</v>
      </c>
      <c r="M68" s="506">
        <v>0.86</v>
      </c>
      <c r="N68" s="502">
        <v>14186.59</v>
      </c>
      <c r="O68" s="495"/>
      <c r="P68" s="498">
        <v>0</v>
      </c>
      <c r="Q68" s="503"/>
      <c r="R68" s="503"/>
      <c r="S68" s="454"/>
      <c r="T68" s="454"/>
      <c r="U68" s="454"/>
      <c r="V68" s="454"/>
      <c r="W68" s="454"/>
      <c r="X68" s="454"/>
      <c r="Y68" s="454"/>
      <c r="Z68" s="454"/>
      <c r="AA68" s="454"/>
      <c r="AB68" s="456"/>
      <c r="AC68" s="456"/>
      <c r="AD68" s="456"/>
      <c r="AE68" s="456"/>
      <c r="AF68" s="456"/>
      <c r="AG68" s="456"/>
      <c r="AH68" s="456"/>
      <c r="AI68" s="456"/>
      <c r="AJ68" s="456"/>
      <c r="AK68" s="456"/>
      <c r="AL68" s="456"/>
      <c r="AM68" s="456"/>
      <c r="AN68" s="481"/>
      <c r="AO68" s="481"/>
      <c r="AP68" s="481"/>
      <c r="AQ68" s="491"/>
      <c r="AR68" s="456"/>
      <c r="AS68" s="456" t="s">
        <v>855</v>
      </c>
      <c r="AT68" s="456"/>
      <c r="AU68" s="456"/>
      <c r="AV68" s="456"/>
      <c r="AW68" s="456"/>
      <c r="AX68" s="456"/>
      <c r="AY68" s="456"/>
      <c r="AZ68" s="456"/>
      <c r="BA68" s="456"/>
      <c r="BB68" s="456"/>
      <c r="BC68" s="456"/>
      <c r="BD68" s="456"/>
      <c r="BE68" s="456"/>
      <c r="BF68" s="456"/>
      <c r="BG68" s="456"/>
      <c r="BH68" s="456"/>
      <c r="BI68" s="456"/>
      <c r="BJ68" s="456"/>
      <c r="BK68" s="456"/>
      <c r="BL68" s="456"/>
      <c r="BM68" s="456"/>
      <c r="BN68" s="456"/>
      <c r="BO68" s="456"/>
    </row>
    <row r="69" spans="1:67" s="469" customFormat="1" ht="15" x14ac:dyDescent="0.25">
      <c r="A69" s="499"/>
      <c r="B69" s="493" t="s">
        <v>856</v>
      </c>
      <c r="C69" s="2697" t="s">
        <v>857</v>
      </c>
      <c r="D69" s="2697"/>
      <c r="E69" s="2697"/>
      <c r="F69" s="2697"/>
      <c r="G69" s="2697"/>
      <c r="H69" s="494" t="s">
        <v>801</v>
      </c>
      <c r="I69" s="504">
        <v>3.1E-4</v>
      </c>
      <c r="J69" s="513">
        <v>0</v>
      </c>
      <c r="K69" s="513">
        <v>0</v>
      </c>
      <c r="L69" s="505">
        <v>51280.15</v>
      </c>
      <c r="M69" s="506">
        <v>1.71</v>
      </c>
      <c r="N69" s="502">
        <v>87689.06</v>
      </c>
      <c r="O69" s="495"/>
      <c r="P69" s="498">
        <v>0</v>
      </c>
      <c r="Q69" s="503"/>
      <c r="R69" s="503"/>
      <c r="S69" s="454"/>
      <c r="T69" s="454"/>
      <c r="U69" s="454"/>
      <c r="V69" s="454"/>
      <c r="W69" s="454"/>
      <c r="X69" s="454"/>
      <c r="Y69" s="454"/>
      <c r="Z69" s="454"/>
      <c r="AA69" s="454"/>
      <c r="AB69" s="456"/>
      <c r="AC69" s="456"/>
      <c r="AD69" s="456"/>
      <c r="AE69" s="456"/>
      <c r="AF69" s="456"/>
      <c r="AG69" s="456"/>
      <c r="AH69" s="456"/>
      <c r="AI69" s="456"/>
      <c r="AJ69" s="456"/>
      <c r="AK69" s="456"/>
      <c r="AL69" s="456"/>
      <c r="AM69" s="456"/>
      <c r="AN69" s="481"/>
      <c r="AO69" s="481"/>
      <c r="AP69" s="481"/>
      <c r="AQ69" s="491"/>
      <c r="AR69" s="456"/>
      <c r="AS69" s="456" t="s">
        <v>857</v>
      </c>
      <c r="AT69" s="456"/>
      <c r="AU69" s="456"/>
      <c r="AV69" s="456"/>
      <c r="AW69" s="456"/>
      <c r="AX69" s="456"/>
      <c r="AY69" s="456"/>
      <c r="AZ69" s="456"/>
      <c r="BA69" s="456"/>
      <c r="BB69" s="456"/>
      <c r="BC69" s="456"/>
      <c r="BD69" s="456"/>
      <c r="BE69" s="456"/>
      <c r="BF69" s="456"/>
      <c r="BG69" s="456"/>
      <c r="BH69" s="456"/>
      <c r="BI69" s="456"/>
      <c r="BJ69" s="456"/>
      <c r="BK69" s="456"/>
      <c r="BL69" s="456"/>
      <c r="BM69" s="456"/>
      <c r="BN69" s="456"/>
      <c r="BO69" s="456"/>
    </row>
    <row r="70" spans="1:67" s="469" customFormat="1" ht="15" x14ac:dyDescent="0.25">
      <c r="A70" s="499"/>
      <c r="B70" s="493" t="s">
        <v>858</v>
      </c>
      <c r="C70" s="2697" t="s">
        <v>859</v>
      </c>
      <c r="D70" s="2697"/>
      <c r="E70" s="2697"/>
      <c r="F70" s="2697"/>
      <c r="G70" s="2697"/>
      <c r="H70" s="494" t="s">
        <v>801</v>
      </c>
      <c r="I70" s="496">
        <v>5.9999999999999995E-4</v>
      </c>
      <c r="J70" s="513">
        <v>0</v>
      </c>
      <c r="K70" s="513">
        <v>0</v>
      </c>
      <c r="L70" s="505">
        <v>98526.45</v>
      </c>
      <c r="M70" s="506">
        <v>1.1599999999999999</v>
      </c>
      <c r="N70" s="502">
        <v>114290.68</v>
      </c>
      <c r="O70" s="495"/>
      <c r="P70" s="498">
        <v>0</v>
      </c>
      <c r="Q70" s="503"/>
      <c r="R70" s="503"/>
      <c r="S70" s="454"/>
      <c r="T70" s="454"/>
      <c r="U70" s="454"/>
      <c r="V70" s="454"/>
      <c r="W70" s="454"/>
      <c r="X70" s="454"/>
      <c r="Y70" s="454"/>
      <c r="Z70" s="454"/>
      <c r="AA70" s="454"/>
      <c r="AB70" s="456"/>
      <c r="AC70" s="456"/>
      <c r="AD70" s="456"/>
      <c r="AE70" s="456"/>
      <c r="AF70" s="456"/>
      <c r="AG70" s="456"/>
      <c r="AH70" s="456"/>
      <c r="AI70" s="456"/>
      <c r="AJ70" s="456"/>
      <c r="AK70" s="456"/>
      <c r="AL70" s="456"/>
      <c r="AM70" s="456"/>
      <c r="AN70" s="481"/>
      <c r="AO70" s="481"/>
      <c r="AP70" s="481"/>
      <c r="AQ70" s="491"/>
      <c r="AR70" s="456"/>
      <c r="AS70" s="456" t="s">
        <v>859</v>
      </c>
      <c r="AT70" s="456"/>
      <c r="AU70" s="456"/>
      <c r="AV70" s="456"/>
      <c r="AW70" s="456"/>
      <c r="AX70" s="456"/>
      <c r="AY70" s="456"/>
      <c r="AZ70" s="456"/>
      <c r="BA70" s="456"/>
      <c r="BB70" s="456"/>
      <c r="BC70" s="456"/>
      <c r="BD70" s="456"/>
      <c r="BE70" s="456"/>
      <c r="BF70" s="456"/>
      <c r="BG70" s="456"/>
      <c r="BH70" s="456"/>
      <c r="BI70" s="456"/>
      <c r="BJ70" s="456"/>
      <c r="BK70" s="456"/>
      <c r="BL70" s="456"/>
      <c r="BM70" s="456"/>
      <c r="BN70" s="456"/>
      <c r="BO70" s="456"/>
    </row>
    <row r="71" spans="1:67" s="469" customFormat="1" ht="15" x14ac:dyDescent="0.25">
      <c r="A71" s="515" t="s">
        <v>860</v>
      </c>
      <c r="B71" s="516" t="s">
        <v>861</v>
      </c>
      <c r="C71" s="2751" t="s">
        <v>862</v>
      </c>
      <c r="D71" s="2751"/>
      <c r="E71" s="2751"/>
      <c r="F71" s="2751"/>
      <c r="G71" s="2751"/>
      <c r="H71" s="517" t="s">
        <v>835</v>
      </c>
      <c r="I71" s="518">
        <v>0</v>
      </c>
      <c r="J71" s="518">
        <v>0</v>
      </c>
      <c r="K71" s="518">
        <v>0</v>
      </c>
      <c r="L71" s="519"/>
      <c r="M71" s="520"/>
      <c r="N71" s="519"/>
      <c r="O71" s="520"/>
      <c r="P71" s="521"/>
      <c r="Q71" s="454"/>
      <c r="R71" s="454"/>
      <c r="S71" s="454"/>
      <c r="T71" s="454"/>
      <c r="U71" s="454"/>
      <c r="V71" s="454"/>
      <c r="W71" s="454"/>
      <c r="X71" s="454"/>
      <c r="Y71" s="454"/>
      <c r="Z71" s="454"/>
      <c r="AA71" s="454"/>
      <c r="AB71" s="456"/>
      <c r="AC71" s="456"/>
      <c r="AD71" s="456"/>
      <c r="AE71" s="456"/>
      <c r="AF71" s="456"/>
      <c r="AG71" s="456"/>
      <c r="AH71" s="456"/>
      <c r="AI71" s="456"/>
      <c r="AJ71" s="456"/>
      <c r="AK71" s="456"/>
      <c r="AL71" s="456"/>
      <c r="AM71" s="456"/>
      <c r="AN71" s="481"/>
      <c r="AO71" s="481"/>
      <c r="AP71" s="481"/>
      <c r="AQ71" s="491"/>
      <c r="AR71" s="456"/>
      <c r="AS71" s="456"/>
      <c r="AT71" s="456"/>
      <c r="AU71" s="522" t="s">
        <v>862</v>
      </c>
      <c r="AV71" s="456"/>
      <c r="AW71" s="456"/>
      <c r="AX71" s="456"/>
      <c r="AY71" s="456"/>
      <c r="AZ71" s="456"/>
      <c r="BA71" s="456"/>
      <c r="BB71" s="456"/>
      <c r="BC71" s="456"/>
      <c r="BD71" s="456"/>
      <c r="BE71" s="456"/>
      <c r="BF71" s="456"/>
      <c r="BG71" s="456"/>
      <c r="BH71" s="456"/>
      <c r="BI71" s="456"/>
      <c r="BJ71" s="456"/>
      <c r="BK71" s="456"/>
      <c r="BL71" s="456"/>
      <c r="BM71" s="456"/>
      <c r="BN71" s="456"/>
      <c r="BO71" s="456"/>
    </row>
    <row r="72" spans="1:67" s="469" customFormat="1" ht="15" x14ac:dyDescent="0.25">
      <c r="A72" s="515" t="s">
        <v>863</v>
      </c>
      <c r="B72" s="516" t="s">
        <v>864</v>
      </c>
      <c r="C72" s="2751" t="s">
        <v>865</v>
      </c>
      <c r="D72" s="2751"/>
      <c r="E72" s="2751"/>
      <c r="F72" s="2751"/>
      <c r="G72" s="2751"/>
      <c r="H72" s="517" t="s">
        <v>801</v>
      </c>
      <c r="I72" s="518">
        <v>1</v>
      </c>
      <c r="J72" s="518">
        <v>0</v>
      </c>
      <c r="K72" s="518">
        <v>0</v>
      </c>
      <c r="L72" s="519"/>
      <c r="M72" s="520"/>
      <c r="N72" s="519"/>
      <c r="O72" s="520"/>
      <c r="P72" s="521"/>
      <c r="Q72" s="454"/>
      <c r="R72" s="454"/>
      <c r="S72" s="454"/>
      <c r="T72" s="454"/>
      <c r="U72" s="454"/>
      <c r="V72" s="454"/>
      <c r="W72" s="454"/>
      <c r="X72" s="454"/>
      <c r="Y72" s="454"/>
      <c r="Z72" s="454"/>
      <c r="AA72" s="454"/>
      <c r="AB72" s="456"/>
      <c r="AC72" s="456"/>
      <c r="AD72" s="456"/>
      <c r="AE72" s="456"/>
      <c r="AF72" s="456"/>
      <c r="AG72" s="456"/>
      <c r="AH72" s="456"/>
      <c r="AI72" s="456"/>
      <c r="AJ72" s="456"/>
      <c r="AK72" s="456"/>
      <c r="AL72" s="456"/>
      <c r="AM72" s="456"/>
      <c r="AN72" s="481"/>
      <c r="AO72" s="481"/>
      <c r="AP72" s="481"/>
      <c r="AQ72" s="491"/>
      <c r="AR72" s="456"/>
      <c r="AS72" s="456"/>
      <c r="AT72" s="456"/>
      <c r="AU72" s="522" t="s">
        <v>865</v>
      </c>
      <c r="AV72" s="456"/>
      <c r="AW72" s="456"/>
      <c r="AX72" s="456"/>
      <c r="AY72" s="456"/>
      <c r="AZ72" s="456"/>
      <c r="BA72" s="456"/>
      <c r="BB72" s="456"/>
      <c r="BC72" s="456"/>
      <c r="BD72" s="456"/>
      <c r="BE72" s="456"/>
      <c r="BF72" s="456"/>
      <c r="BG72" s="456"/>
      <c r="BH72" s="456"/>
      <c r="BI72" s="456"/>
      <c r="BJ72" s="456"/>
      <c r="BK72" s="456"/>
      <c r="BL72" s="456"/>
      <c r="BM72" s="456"/>
      <c r="BN72" s="456"/>
      <c r="BO72" s="456"/>
    </row>
    <row r="73" spans="1:67" s="469" customFormat="1" ht="15" x14ac:dyDescent="0.25">
      <c r="A73" s="523"/>
      <c r="B73" s="490"/>
      <c r="C73" s="2722" t="s">
        <v>866</v>
      </c>
      <c r="D73" s="2722"/>
      <c r="E73" s="2722"/>
      <c r="F73" s="2722"/>
      <c r="G73" s="2722"/>
      <c r="H73" s="483"/>
      <c r="I73" s="484"/>
      <c r="J73" s="484"/>
      <c r="K73" s="484"/>
      <c r="L73" s="487"/>
      <c r="M73" s="484"/>
      <c r="N73" s="524"/>
      <c r="O73" s="484"/>
      <c r="P73" s="525">
        <v>115304.58</v>
      </c>
      <c r="Q73" s="503"/>
      <c r="R73" s="503"/>
      <c r="S73" s="454"/>
      <c r="T73" s="454"/>
      <c r="U73" s="454"/>
      <c r="V73" s="454"/>
      <c r="W73" s="454"/>
      <c r="X73" s="454"/>
      <c r="Y73" s="454"/>
      <c r="Z73" s="454"/>
      <c r="AA73" s="454"/>
      <c r="AB73" s="456"/>
      <c r="AC73" s="456"/>
      <c r="AD73" s="456"/>
      <c r="AE73" s="456"/>
      <c r="AF73" s="456"/>
      <c r="AG73" s="456"/>
      <c r="AH73" s="456"/>
      <c r="AI73" s="456"/>
      <c r="AJ73" s="456"/>
      <c r="AK73" s="456"/>
      <c r="AL73" s="456"/>
      <c r="AM73" s="456"/>
      <c r="AN73" s="481"/>
      <c r="AO73" s="481"/>
      <c r="AP73" s="481"/>
      <c r="AQ73" s="491"/>
      <c r="AR73" s="456"/>
      <c r="AS73" s="456"/>
      <c r="AT73" s="456"/>
      <c r="AU73" s="522"/>
      <c r="AV73" s="481" t="s">
        <v>866</v>
      </c>
      <c r="AW73" s="456"/>
      <c r="AX73" s="456"/>
      <c r="AY73" s="456"/>
      <c r="AZ73" s="456"/>
      <c r="BA73" s="456"/>
      <c r="BB73" s="456"/>
      <c r="BC73" s="456"/>
      <c r="BD73" s="456"/>
      <c r="BE73" s="456"/>
      <c r="BF73" s="456"/>
      <c r="BG73" s="456"/>
      <c r="BH73" s="456"/>
      <c r="BI73" s="456"/>
      <c r="BJ73" s="456"/>
      <c r="BK73" s="456"/>
      <c r="BL73" s="456"/>
      <c r="BM73" s="456"/>
      <c r="BN73" s="456"/>
      <c r="BO73" s="456"/>
    </row>
    <row r="74" spans="1:67" s="469" customFormat="1" ht="15" x14ac:dyDescent="0.25">
      <c r="A74" s="507"/>
      <c r="B74" s="493"/>
      <c r="C74" s="2697" t="s">
        <v>867</v>
      </c>
      <c r="D74" s="2697"/>
      <c r="E74" s="2697"/>
      <c r="F74" s="2697"/>
      <c r="G74" s="2697"/>
      <c r="H74" s="494"/>
      <c r="I74" s="495"/>
      <c r="J74" s="495"/>
      <c r="K74" s="495"/>
      <c r="L74" s="497"/>
      <c r="M74" s="495"/>
      <c r="N74" s="497"/>
      <c r="O74" s="495"/>
      <c r="P74" s="498">
        <v>73158.23</v>
      </c>
      <c r="Q74" s="454"/>
      <c r="R74" s="454"/>
      <c r="S74" s="454"/>
      <c r="T74" s="454"/>
      <c r="U74" s="454"/>
      <c r="V74" s="454"/>
      <c r="W74" s="454"/>
      <c r="X74" s="454"/>
      <c r="Y74" s="454"/>
      <c r="Z74" s="454"/>
      <c r="AA74" s="454"/>
      <c r="AB74" s="456"/>
      <c r="AC74" s="456"/>
      <c r="AD74" s="456"/>
      <c r="AE74" s="456"/>
      <c r="AF74" s="456"/>
      <c r="AG74" s="456"/>
      <c r="AH74" s="456"/>
      <c r="AI74" s="456"/>
      <c r="AJ74" s="456"/>
      <c r="AK74" s="456"/>
      <c r="AL74" s="456"/>
      <c r="AM74" s="456"/>
      <c r="AN74" s="481"/>
      <c r="AO74" s="481"/>
      <c r="AP74" s="481"/>
      <c r="AQ74" s="491"/>
      <c r="AR74" s="456"/>
      <c r="AS74" s="456"/>
      <c r="AT74" s="456"/>
      <c r="AU74" s="522"/>
      <c r="AV74" s="481"/>
      <c r="AW74" s="456" t="s">
        <v>867</v>
      </c>
      <c r="AX74" s="456"/>
      <c r="AY74" s="456"/>
      <c r="AZ74" s="456"/>
      <c r="BA74" s="456"/>
      <c r="BB74" s="456"/>
      <c r="BC74" s="456"/>
      <c r="BD74" s="456"/>
      <c r="BE74" s="456"/>
      <c r="BF74" s="456"/>
      <c r="BG74" s="456"/>
      <c r="BH74" s="456"/>
      <c r="BI74" s="456"/>
      <c r="BJ74" s="456"/>
      <c r="BK74" s="456"/>
      <c r="BL74" s="456"/>
      <c r="BM74" s="456"/>
      <c r="BN74" s="456"/>
      <c r="BO74" s="456"/>
    </row>
    <row r="75" spans="1:67" s="469" customFormat="1" ht="15" x14ac:dyDescent="0.25">
      <c r="A75" s="507"/>
      <c r="B75" s="493" t="s">
        <v>868</v>
      </c>
      <c r="C75" s="2697" t="s">
        <v>869</v>
      </c>
      <c r="D75" s="2697"/>
      <c r="E75" s="2697"/>
      <c r="F75" s="2697"/>
      <c r="G75" s="2697"/>
      <c r="H75" s="494" t="s">
        <v>636</v>
      </c>
      <c r="I75" s="513">
        <v>93</v>
      </c>
      <c r="J75" s="495"/>
      <c r="K75" s="513">
        <v>93</v>
      </c>
      <c r="L75" s="497"/>
      <c r="M75" s="495"/>
      <c r="N75" s="497"/>
      <c r="O75" s="495"/>
      <c r="P75" s="498">
        <v>68037.149999999994</v>
      </c>
      <c r="Q75" s="454"/>
      <c r="R75" s="454"/>
      <c r="S75" s="454"/>
      <c r="T75" s="454"/>
      <c r="U75" s="454"/>
      <c r="V75" s="454"/>
      <c r="W75" s="454"/>
      <c r="X75" s="454"/>
      <c r="Y75" s="454"/>
      <c r="Z75" s="454"/>
      <c r="AA75" s="454"/>
      <c r="AB75" s="456"/>
      <c r="AC75" s="456"/>
      <c r="AD75" s="456"/>
      <c r="AE75" s="456"/>
      <c r="AF75" s="456"/>
      <c r="AG75" s="456"/>
      <c r="AH75" s="456"/>
      <c r="AI75" s="456"/>
      <c r="AJ75" s="456"/>
      <c r="AK75" s="456"/>
      <c r="AL75" s="456"/>
      <c r="AM75" s="456"/>
      <c r="AN75" s="481"/>
      <c r="AO75" s="481"/>
      <c r="AP75" s="481"/>
      <c r="AQ75" s="491"/>
      <c r="AR75" s="456"/>
      <c r="AS75" s="456"/>
      <c r="AT75" s="456"/>
      <c r="AU75" s="522"/>
      <c r="AV75" s="481"/>
      <c r="AW75" s="456" t="s">
        <v>869</v>
      </c>
      <c r="AX75" s="456"/>
      <c r="AY75" s="456"/>
      <c r="AZ75" s="456"/>
      <c r="BA75" s="456"/>
      <c r="BB75" s="456"/>
      <c r="BC75" s="456"/>
      <c r="BD75" s="456"/>
      <c r="BE75" s="456"/>
      <c r="BF75" s="456"/>
      <c r="BG75" s="456"/>
      <c r="BH75" s="456"/>
      <c r="BI75" s="456"/>
      <c r="BJ75" s="456"/>
      <c r="BK75" s="456"/>
      <c r="BL75" s="456"/>
      <c r="BM75" s="456"/>
      <c r="BN75" s="456"/>
      <c r="BO75" s="456"/>
    </row>
    <row r="76" spans="1:67" s="469" customFormat="1" ht="22.5" x14ac:dyDescent="0.25">
      <c r="A76" s="507"/>
      <c r="B76" s="493" t="s">
        <v>870</v>
      </c>
      <c r="C76" s="2697" t="s">
        <v>871</v>
      </c>
      <c r="D76" s="2697"/>
      <c r="E76" s="2697"/>
      <c r="F76" s="2697"/>
      <c r="G76" s="2697"/>
      <c r="H76" s="494" t="s">
        <v>636</v>
      </c>
      <c r="I76" s="513">
        <v>62</v>
      </c>
      <c r="J76" s="509">
        <v>0.85</v>
      </c>
      <c r="K76" s="500">
        <v>52.7</v>
      </c>
      <c r="L76" s="497"/>
      <c r="M76" s="495"/>
      <c r="N76" s="497"/>
      <c r="O76" s="495"/>
      <c r="P76" s="498">
        <v>38554.39</v>
      </c>
      <c r="Q76" s="454"/>
      <c r="R76" s="454"/>
      <c r="S76" s="454"/>
      <c r="T76" s="454"/>
      <c r="U76" s="454"/>
      <c r="V76" s="454"/>
      <c r="W76" s="454"/>
      <c r="X76" s="454"/>
      <c r="Y76" s="454"/>
      <c r="Z76" s="454"/>
      <c r="AA76" s="454"/>
      <c r="AB76" s="456"/>
      <c r="AC76" s="456"/>
      <c r="AD76" s="456"/>
      <c r="AE76" s="456"/>
      <c r="AF76" s="456"/>
      <c r="AG76" s="456"/>
      <c r="AH76" s="456"/>
      <c r="AI76" s="456"/>
      <c r="AJ76" s="456"/>
      <c r="AK76" s="456"/>
      <c r="AL76" s="456"/>
      <c r="AM76" s="456"/>
      <c r="AN76" s="481"/>
      <c r="AO76" s="481"/>
      <c r="AP76" s="481"/>
      <c r="AQ76" s="491"/>
      <c r="AR76" s="456"/>
      <c r="AS76" s="456"/>
      <c r="AT76" s="456"/>
      <c r="AU76" s="522"/>
      <c r="AV76" s="481"/>
      <c r="AW76" s="456" t="s">
        <v>871</v>
      </c>
      <c r="AX76" s="456"/>
      <c r="AY76" s="456"/>
      <c r="AZ76" s="456"/>
      <c r="BA76" s="456"/>
      <c r="BB76" s="456"/>
      <c r="BC76" s="456"/>
      <c r="BD76" s="456"/>
      <c r="BE76" s="456"/>
      <c r="BF76" s="456"/>
      <c r="BG76" s="456"/>
      <c r="BH76" s="456"/>
      <c r="BI76" s="456"/>
      <c r="BJ76" s="456"/>
      <c r="BK76" s="456"/>
      <c r="BL76" s="456"/>
      <c r="BM76" s="456"/>
      <c r="BN76" s="456"/>
      <c r="BO76" s="456"/>
    </row>
    <row r="77" spans="1:67" s="469" customFormat="1" ht="15" x14ac:dyDescent="0.25">
      <c r="A77" s="526"/>
      <c r="B77" s="567"/>
      <c r="C77" s="2722" t="s">
        <v>872</v>
      </c>
      <c r="D77" s="2722"/>
      <c r="E77" s="2722"/>
      <c r="F77" s="2722"/>
      <c r="G77" s="2722"/>
      <c r="H77" s="483"/>
      <c r="I77" s="484"/>
      <c r="J77" s="484"/>
      <c r="K77" s="484"/>
      <c r="L77" s="487"/>
      <c r="M77" s="484"/>
      <c r="N77" s="524">
        <v>31252.97</v>
      </c>
      <c r="O77" s="484"/>
      <c r="P77" s="525">
        <v>221896.12</v>
      </c>
      <c r="Q77" s="454"/>
      <c r="R77" s="454"/>
      <c r="S77" s="454"/>
      <c r="T77" s="454"/>
      <c r="U77" s="454"/>
      <c r="V77" s="454"/>
      <c r="W77" s="454"/>
      <c r="X77" s="454"/>
      <c r="Y77" s="454"/>
      <c r="Z77" s="454"/>
      <c r="AA77" s="454"/>
      <c r="AB77" s="456"/>
      <c r="AC77" s="456"/>
      <c r="AD77" s="456"/>
      <c r="AE77" s="456"/>
      <c r="AF77" s="456"/>
      <c r="AG77" s="456"/>
      <c r="AH77" s="456"/>
      <c r="AI77" s="456"/>
      <c r="AJ77" s="456"/>
      <c r="AK77" s="456"/>
      <c r="AL77" s="456"/>
      <c r="AM77" s="456"/>
      <c r="AN77" s="481"/>
      <c r="AO77" s="481"/>
      <c r="AP77" s="481"/>
      <c r="AQ77" s="491"/>
      <c r="AR77" s="456"/>
      <c r="AS77" s="456"/>
      <c r="AT77" s="456"/>
      <c r="AU77" s="522"/>
      <c r="AV77" s="481"/>
      <c r="AW77" s="456"/>
      <c r="AX77" s="481" t="s">
        <v>872</v>
      </c>
      <c r="AY77" s="456"/>
      <c r="AZ77" s="456"/>
      <c r="BA77" s="456"/>
      <c r="BB77" s="456"/>
      <c r="BC77" s="456"/>
      <c r="BD77" s="456"/>
      <c r="BE77" s="456"/>
      <c r="BF77" s="456"/>
      <c r="BG77" s="456"/>
      <c r="BH77" s="456"/>
      <c r="BI77" s="456"/>
      <c r="BJ77" s="456"/>
      <c r="BK77" s="456"/>
      <c r="BL77" s="456"/>
      <c r="BM77" s="456"/>
      <c r="BN77" s="456"/>
      <c r="BO77" s="456"/>
    </row>
    <row r="78" spans="1:67" s="469" customFormat="1" ht="68.25" x14ac:dyDescent="0.25">
      <c r="A78" s="482" t="s">
        <v>639</v>
      </c>
      <c r="B78" s="568" t="s">
        <v>873</v>
      </c>
      <c r="C78" s="2746" t="s">
        <v>874</v>
      </c>
      <c r="D78" s="2746"/>
      <c r="E78" s="2746"/>
      <c r="F78" s="2746"/>
      <c r="G78" s="2746"/>
      <c r="H78" s="483" t="s">
        <v>801</v>
      </c>
      <c r="I78" s="484">
        <v>7.1</v>
      </c>
      <c r="J78" s="485">
        <v>1</v>
      </c>
      <c r="K78" s="486">
        <v>7.1</v>
      </c>
      <c r="L78" s="487"/>
      <c r="M78" s="484"/>
      <c r="N78" s="527">
        <v>653.6</v>
      </c>
      <c r="O78" s="484"/>
      <c r="P78" s="525">
        <v>4640.5600000000004</v>
      </c>
      <c r="Q78" s="454"/>
      <c r="R78" s="454"/>
      <c r="S78" s="454"/>
      <c r="T78" s="454"/>
      <c r="U78" s="454"/>
      <c r="V78" s="454"/>
      <c r="W78" s="454"/>
      <c r="X78" s="454"/>
      <c r="Y78" s="454"/>
      <c r="Z78" s="454"/>
      <c r="AA78" s="454"/>
      <c r="AB78" s="456"/>
      <c r="AC78" s="456"/>
      <c r="AD78" s="456"/>
      <c r="AE78" s="456"/>
      <c r="AF78" s="456"/>
      <c r="AG78" s="456"/>
      <c r="AH78" s="456"/>
      <c r="AI78" s="456"/>
      <c r="AJ78" s="456"/>
      <c r="AK78" s="456"/>
      <c r="AL78" s="456"/>
      <c r="AM78" s="456"/>
      <c r="AN78" s="481"/>
      <c r="AO78" s="481"/>
      <c r="AP78" s="481" t="s">
        <v>874</v>
      </c>
      <c r="AQ78" s="491"/>
      <c r="AR78" s="456"/>
      <c r="AS78" s="456"/>
      <c r="AT78" s="456"/>
      <c r="AU78" s="522"/>
      <c r="AV78" s="481"/>
      <c r="AW78" s="456"/>
      <c r="AX78" s="481"/>
      <c r="AY78" s="456"/>
      <c r="AZ78" s="456"/>
      <c r="BA78" s="456"/>
      <c r="BB78" s="456"/>
      <c r="BC78" s="456"/>
      <c r="BD78" s="456"/>
      <c r="BE78" s="456"/>
      <c r="BF78" s="456"/>
      <c r="BG78" s="456"/>
      <c r="BH78" s="456"/>
      <c r="BI78" s="456"/>
      <c r="BJ78" s="456"/>
      <c r="BK78" s="456"/>
      <c r="BL78" s="456"/>
      <c r="BM78" s="456"/>
      <c r="BN78" s="456"/>
      <c r="BO78" s="456"/>
    </row>
    <row r="79" spans="1:67" s="469" customFormat="1" ht="15" x14ac:dyDescent="0.25">
      <c r="A79" s="526"/>
      <c r="B79" s="567"/>
      <c r="C79" s="2669" t="s">
        <v>875</v>
      </c>
      <c r="D79" s="2669"/>
      <c r="E79" s="2669"/>
      <c r="F79" s="2669"/>
      <c r="G79" s="2669"/>
      <c r="H79" s="2669"/>
      <c r="I79" s="2669"/>
      <c r="J79" s="2669"/>
      <c r="K79" s="2669"/>
      <c r="L79" s="2669"/>
      <c r="M79" s="2669"/>
      <c r="N79" s="2669"/>
      <c r="O79" s="2669"/>
      <c r="P79" s="2730"/>
      <c r="Q79" s="454"/>
      <c r="R79" s="454"/>
      <c r="S79" s="454"/>
      <c r="T79" s="454"/>
      <c r="U79" s="454"/>
      <c r="V79" s="454"/>
      <c r="W79" s="454"/>
      <c r="X79" s="454"/>
      <c r="Y79" s="454"/>
      <c r="Z79" s="454"/>
      <c r="AA79" s="454"/>
      <c r="AB79" s="456"/>
      <c r="AC79" s="456"/>
      <c r="AD79" s="456"/>
      <c r="AE79" s="456"/>
      <c r="AF79" s="456"/>
      <c r="AG79" s="456"/>
      <c r="AH79" s="456"/>
      <c r="AI79" s="456"/>
      <c r="AJ79" s="456"/>
      <c r="AK79" s="456"/>
      <c r="AL79" s="456"/>
      <c r="AM79" s="456"/>
      <c r="AN79" s="481"/>
      <c r="AO79" s="481"/>
      <c r="AP79" s="481"/>
      <c r="AQ79" s="491"/>
      <c r="AR79" s="456"/>
      <c r="AS79" s="456"/>
      <c r="AT79" s="456"/>
      <c r="AU79" s="522"/>
      <c r="AV79" s="481"/>
      <c r="AW79" s="456"/>
      <c r="AX79" s="481"/>
      <c r="AY79" s="491" t="s">
        <v>875</v>
      </c>
      <c r="AZ79" s="456"/>
      <c r="BA79" s="456"/>
      <c r="BB79" s="456"/>
      <c r="BC79" s="456"/>
      <c r="BD79" s="456"/>
      <c r="BE79" s="456"/>
      <c r="BF79" s="456"/>
      <c r="BG79" s="456"/>
      <c r="BH79" s="456"/>
      <c r="BI79" s="456"/>
      <c r="BJ79" s="456"/>
      <c r="BK79" s="456"/>
      <c r="BL79" s="456"/>
      <c r="BM79" s="456"/>
      <c r="BN79" s="456"/>
      <c r="BO79" s="456"/>
    </row>
    <row r="80" spans="1:67" s="469" customFormat="1" ht="15" x14ac:dyDescent="0.25">
      <c r="A80" s="526"/>
      <c r="B80" s="567"/>
      <c r="C80" s="2722" t="s">
        <v>872</v>
      </c>
      <c r="D80" s="2722"/>
      <c r="E80" s="2722"/>
      <c r="F80" s="2722"/>
      <c r="G80" s="2722"/>
      <c r="H80" s="483"/>
      <c r="I80" s="484"/>
      <c r="J80" s="484"/>
      <c r="K80" s="484"/>
      <c r="L80" s="487"/>
      <c r="M80" s="484"/>
      <c r="N80" s="487"/>
      <c r="O80" s="484"/>
      <c r="P80" s="525">
        <v>4640.5600000000004</v>
      </c>
      <c r="Q80" s="454"/>
      <c r="R80" s="454"/>
      <c r="S80" s="454"/>
      <c r="T80" s="454"/>
      <c r="U80" s="454"/>
      <c r="V80" s="454"/>
      <c r="W80" s="454"/>
      <c r="X80" s="454"/>
      <c r="Y80" s="454"/>
      <c r="Z80" s="454"/>
      <c r="AA80" s="454"/>
      <c r="AB80" s="456"/>
      <c r="AC80" s="456"/>
      <c r="AD80" s="456"/>
      <c r="AE80" s="456"/>
      <c r="AF80" s="456"/>
      <c r="AG80" s="456"/>
      <c r="AH80" s="456"/>
      <c r="AI80" s="456"/>
      <c r="AJ80" s="456"/>
      <c r="AK80" s="456"/>
      <c r="AL80" s="456"/>
      <c r="AM80" s="456"/>
      <c r="AN80" s="481"/>
      <c r="AO80" s="481"/>
      <c r="AP80" s="481"/>
      <c r="AQ80" s="491"/>
      <c r="AR80" s="456"/>
      <c r="AS80" s="456"/>
      <c r="AT80" s="456"/>
      <c r="AU80" s="522"/>
      <c r="AV80" s="481"/>
      <c r="AW80" s="456"/>
      <c r="AX80" s="481" t="s">
        <v>872</v>
      </c>
      <c r="AY80" s="491"/>
      <c r="AZ80" s="456"/>
      <c r="BA80" s="456"/>
      <c r="BB80" s="456"/>
      <c r="BC80" s="456"/>
      <c r="BD80" s="456"/>
      <c r="BE80" s="456"/>
      <c r="BF80" s="456"/>
      <c r="BG80" s="456"/>
      <c r="BH80" s="456"/>
      <c r="BI80" s="456"/>
      <c r="BJ80" s="456"/>
      <c r="BK80" s="456"/>
      <c r="BL80" s="456"/>
      <c r="BM80" s="456"/>
      <c r="BN80" s="456"/>
      <c r="BO80" s="456"/>
    </row>
    <row r="81" spans="1:67" s="469" customFormat="1" ht="23.25" x14ac:dyDescent="0.25">
      <c r="A81" s="482" t="s">
        <v>640</v>
      </c>
      <c r="B81" s="568" t="s">
        <v>799</v>
      </c>
      <c r="C81" s="2746" t="s">
        <v>876</v>
      </c>
      <c r="D81" s="2746"/>
      <c r="E81" s="2746"/>
      <c r="F81" s="2746"/>
      <c r="G81" s="2746"/>
      <c r="H81" s="483" t="s">
        <v>801</v>
      </c>
      <c r="I81" s="484">
        <v>7.1</v>
      </c>
      <c r="J81" s="485">
        <v>1</v>
      </c>
      <c r="K81" s="486">
        <v>7.1</v>
      </c>
      <c r="L81" s="487"/>
      <c r="M81" s="484"/>
      <c r="N81" s="487"/>
      <c r="O81" s="484"/>
      <c r="P81" s="488"/>
      <c r="Q81" s="454"/>
      <c r="R81" s="454"/>
      <c r="S81" s="454"/>
      <c r="T81" s="454"/>
      <c r="U81" s="454"/>
      <c r="V81" s="454"/>
      <c r="W81" s="454"/>
      <c r="X81" s="454"/>
      <c r="Y81" s="454"/>
      <c r="Z81" s="454"/>
      <c r="AA81" s="454"/>
      <c r="AB81" s="456"/>
      <c r="AC81" s="456"/>
      <c r="AD81" s="456"/>
      <c r="AE81" s="456"/>
      <c r="AF81" s="456"/>
      <c r="AG81" s="456"/>
      <c r="AH81" s="456"/>
      <c r="AI81" s="456"/>
      <c r="AJ81" s="456"/>
      <c r="AK81" s="456"/>
      <c r="AL81" s="456"/>
      <c r="AM81" s="456"/>
      <c r="AN81" s="481"/>
      <c r="AO81" s="481"/>
      <c r="AP81" s="481" t="s">
        <v>876</v>
      </c>
      <c r="AQ81" s="491"/>
      <c r="AR81" s="456"/>
      <c r="AS81" s="456"/>
      <c r="AT81" s="456"/>
      <c r="AU81" s="522"/>
      <c r="AV81" s="481"/>
      <c r="AW81" s="456"/>
      <c r="AX81" s="481"/>
      <c r="AY81" s="491"/>
      <c r="AZ81" s="456"/>
      <c r="BA81" s="456"/>
      <c r="BB81" s="456"/>
      <c r="BC81" s="456"/>
      <c r="BD81" s="456"/>
      <c r="BE81" s="456"/>
      <c r="BF81" s="456"/>
      <c r="BG81" s="456"/>
      <c r="BH81" s="456"/>
      <c r="BI81" s="456"/>
      <c r="BJ81" s="456"/>
      <c r="BK81" s="456"/>
      <c r="BL81" s="456"/>
      <c r="BM81" s="456"/>
      <c r="BN81" s="456"/>
      <c r="BO81" s="456"/>
    </row>
    <row r="82" spans="1:67" s="469" customFormat="1" ht="23.25" x14ac:dyDescent="0.25">
      <c r="A82" s="489"/>
      <c r="B82" s="490" t="s">
        <v>877</v>
      </c>
      <c r="C82" s="2709" t="s">
        <v>878</v>
      </c>
      <c r="D82" s="2709"/>
      <c r="E82" s="2709"/>
      <c r="F82" s="2709"/>
      <c r="G82" s="2709"/>
      <c r="H82" s="2709"/>
      <c r="I82" s="2709"/>
      <c r="J82" s="2709"/>
      <c r="K82" s="2709"/>
      <c r="L82" s="2709"/>
      <c r="M82" s="2709"/>
      <c r="N82" s="2709"/>
      <c r="O82" s="2709"/>
      <c r="P82" s="2710"/>
      <c r="Q82" s="454"/>
      <c r="R82" s="454"/>
      <c r="S82" s="454"/>
      <c r="T82" s="454"/>
      <c r="U82" s="454"/>
      <c r="V82" s="454"/>
      <c r="W82" s="454"/>
      <c r="X82" s="454"/>
      <c r="Y82" s="454"/>
      <c r="Z82" s="454"/>
      <c r="AA82" s="454"/>
      <c r="AB82" s="456"/>
      <c r="AC82" s="456"/>
      <c r="AD82" s="456"/>
      <c r="AE82" s="456"/>
      <c r="AF82" s="456"/>
      <c r="AG82" s="456"/>
      <c r="AH82" s="456"/>
      <c r="AI82" s="456"/>
      <c r="AJ82" s="456"/>
      <c r="AK82" s="456"/>
      <c r="AL82" s="456"/>
      <c r="AM82" s="456"/>
      <c r="AN82" s="481"/>
      <c r="AO82" s="481"/>
      <c r="AP82" s="481"/>
      <c r="AQ82" s="491" t="s">
        <v>878</v>
      </c>
      <c r="AR82" s="456"/>
      <c r="AS82" s="456"/>
      <c r="AT82" s="456"/>
      <c r="AU82" s="522"/>
      <c r="AV82" s="481"/>
      <c r="AW82" s="456"/>
      <c r="AX82" s="481"/>
      <c r="AY82" s="491"/>
      <c r="AZ82" s="456"/>
      <c r="BA82" s="456"/>
      <c r="BB82" s="456"/>
      <c r="BC82" s="456"/>
      <c r="BD82" s="456"/>
      <c r="BE82" s="456"/>
      <c r="BF82" s="456"/>
      <c r="BG82" s="456"/>
      <c r="BH82" s="456"/>
      <c r="BI82" s="456"/>
      <c r="BJ82" s="456"/>
      <c r="BK82" s="456"/>
      <c r="BL82" s="456"/>
      <c r="BM82" s="456"/>
      <c r="BN82" s="456"/>
      <c r="BO82" s="456"/>
    </row>
    <row r="83" spans="1:67" s="469" customFormat="1" ht="33.75" x14ac:dyDescent="0.25">
      <c r="A83" s="489"/>
      <c r="B83" s="490" t="s">
        <v>804</v>
      </c>
      <c r="C83" s="2709" t="s">
        <v>805</v>
      </c>
      <c r="D83" s="2709"/>
      <c r="E83" s="2709"/>
      <c r="F83" s="2709"/>
      <c r="G83" s="2709"/>
      <c r="H83" s="2709"/>
      <c r="I83" s="2709"/>
      <c r="J83" s="2709"/>
      <c r="K83" s="2709"/>
      <c r="L83" s="2709"/>
      <c r="M83" s="2709"/>
      <c r="N83" s="2709"/>
      <c r="O83" s="2709"/>
      <c r="P83" s="2710"/>
      <c r="Q83" s="454"/>
      <c r="R83" s="454"/>
      <c r="S83" s="454"/>
      <c r="T83" s="454"/>
      <c r="U83" s="454"/>
      <c r="V83" s="454"/>
      <c r="W83" s="454"/>
      <c r="X83" s="454"/>
      <c r="Y83" s="454"/>
      <c r="Z83" s="454"/>
      <c r="AA83" s="454"/>
      <c r="AB83" s="456"/>
      <c r="AC83" s="456"/>
      <c r="AD83" s="456"/>
      <c r="AE83" s="456"/>
      <c r="AF83" s="456"/>
      <c r="AG83" s="456"/>
      <c r="AH83" s="456"/>
      <c r="AI83" s="456"/>
      <c r="AJ83" s="456"/>
      <c r="AK83" s="456"/>
      <c r="AL83" s="456"/>
      <c r="AM83" s="456"/>
      <c r="AN83" s="481"/>
      <c r="AO83" s="481"/>
      <c r="AP83" s="481"/>
      <c r="AQ83" s="491" t="s">
        <v>805</v>
      </c>
      <c r="AR83" s="456"/>
      <c r="AS83" s="456"/>
      <c r="AT83" s="456"/>
      <c r="AU83" s="522"/>
      <c r="AV83" s="481"/>
      <c r="AW83" s="456"/>
      <c r="AX83" s="481"/>
      <c r="AY83" s="491"/>
      <c r="AZ83" s="456"/>
      <c r="BA83" s="456"/>
      <c r="BB83" s="456"/>
      <c r="BC83" s="456"/>
      <c r="BD83" s="456"/>
      <c r="BE83" s="456"/>
      <c r="BF83" s="456"/>
      <c r="BG83" s="456"/>
      <c r="BH83" s="456"/>
      <c r="BI83" s="456"/>
      <c r="BJ83" s="456"/>
      <c r="BK83" s="456"/>
      <c r="BL83" s="456"/>
      <c r="BM83" s="456"/>
      <c r="BN83" s="456"/>
      <c r="BO83" s="456"/>
    </row>
    <row r="84" spans="1:67" s="469" customFormat="1" ht="15" x14ac:dyDescent="0.25">
      <c r="A84" s="492"/>
      <c r="B84" s="493" t="s">
        <v>190</v>
      </c>
      <c r="C84" s="2697" t="s">
        <v>806</v>
      </c>
      <c r="D84" s="2697"/>
      <c r="E84" s="2697"/>
      <c r="F84" s="2697"/>
      <c r="G84" s="2697"/>
      <c r="H84" s="494" t="s">
        <v>807</v>
      </c>
      <c r="I84" s="495"/>
      <c r="J84" s="495"/>
      <c r="K84" s="528">
        <v>395.716725</v>
      </c>
      <c r="L84" s="497"/>
      <c r="M84" s="495"/>
      <c r="N84" s="497"/>
      <c r="O84" s="495"/>
      <c r="P84" s="498">
        <v>102617.26</v>
      </c>
      <c r="Q84" s="454"/>
      <c r="R84" s="454"/>
      <c r="S84" s="454"/>
      <c r="T84" s="454"/>
      <c r="U84" s="454"/>
      <c r="V84" s="454"/>
      <c r="W84" s="454"/>
      <c r="X84" s="454"/>
      <c r="Y84" s="454"/>
      <c r="Z84" s="454"/>
      <c r="AA84" s="454"/>
      <c r="AB84" s="456"/>
      <c r="AC84" s="456"/>
      <c r="AD84" s="456"/>
      <c r="AE84" s="456"/>
      <c r="AF84" s="456"/>
      <c r="AG84" s="456"/>
      <c r="AH84" s="456"/>
      <c r="AI84" s="456"/>
      <c r="AJ84" s="456"/>
      <c r="AK84" s="456"/>
      <c r="AL84" s="456"/>
      <c r="AM84" s="456"/>
      <c r="AN84" s="481"/>
      <c r="AO84" s="481"/>
      <c r="AP84" s="481"/>
      <c r="AQ84" s="491"/>
      <c r="AR84" s="456" t="s">
        <v>806</v>
      </c>
      <c r="AS84" s="456"/>
      <c r="AT84" s="456"/>
      <c r="AU84" s="522"/>
      <c r="AV84" s="481"/>
      <c r="AW84" s="456"/>
      <c r="AX84" s="481"/>
      <c r="AY84" s="491"/>
      <c r="AZ84" s="456"/>
      <c r="BA84" s="456"/>
      <c r="BB84" s="456"/>
      <c r="BC84" s="456"/>
      <c r="BD84" s="456"/>
      <c r="BE84" s="456"/>
      <c r="BF84" s="456"/>
      <c r="BG84" s="456"/>
      <c r="BH84" s="456"/>
      <c r="BI84" s="456"/>
      <c r="BJ84" s="456"/>
      <c r="BK84" s="456"/>
      <c r="BL84" s="456"/>
      <c r="BM84" s="456"/>
      <c r="BN84" s="456"/>
      <c r="BO84" s="456"/>
    </row>
    <row r="85" spans="1:67" s="469" customFormat="1" ht="22.5" x14ac:dyDescent="0.25">
      <c r="A85" s="499"/>
      <c r="B85" s="493" t="s">
        <v>808</v>
      </c>
      <c r="C85" s="2697" t="s">
        <v>809</v>
      </c>
      <c r="D85" s="2697"/>
      <c r="E85" s="2697"/>
      <c r="F85" s="2697"/>
      <c r="G85" s="2697"/>
      <c r="H85" s="494" t="s">
        <v>807</v>
      </c>
      <c r="I85" s="500">
        <v>35.9</v>
      </c>
      <c r="J85" s="495" t="s">
        <v>879</v>
      </c>
      <c r="K85" s="528">
        <v>395.716725</v>
      </c>
      <c r="L85" s="501"/>
      <c r="M85" s="564"/>
      <c r="N85" s="502">
        <v>259.32</v>
      </c>
      <c r="O85" s="495"/>
      <c r="P85" s="498">
        <v>102617.26</v>
      </c>
      <c r="Q85" s="503"/>
      <c r="R85" s="503"/>
      <c r="S85" s="454"/>
      <c r="T85" s="454"/>
      <c r="U85" s="454"/>
      <c r="V85" s="454"/>
      <c r="W85" s="454"/>
      <c r="X85" s="454"/>
      <c r="Y85" s="454"/>
      <c r="Z85" s="454"/>
      <c r="AA85" s="454"/>
      <c r="AB85" s="456"/>
      <c r="AC85" s="456"/>
      <c r="AD85" s="456"/>
      <c r="AE85" s="456"/>
      <c r="AF85" s="456"/>
      <c r="AG85" s="456"/>
      <c r="AH85" s="456"/>
      <c r="AI85" s="456"/>
      <c r="AJ85" s="456"/>
      <c r="AK85" s="456"/>
      <c r="AL85" s="456"/>
      <c r="AM85" s="456"/>
      <c r="AN85" s="481"/>
      <c r="AO85" s="481"/>
      <c r="AP85" s="481"/>
      <c r="AQ85" s="491"/>
      <c r="AR85" s="456"/>
      <c r="AS85" s="456" t="s">
        <v>809</v>
      </c>
      <c r="AT85" s="456"/>
      <c r="AU85" s="522"/>
      <c r="AV85" s="481"/>
      <c r="AW85" s="456"/>
      <c r="AX85" s="481"/>
      <c r="AY85" s="491"/>
      <c r="AZ85" s="456"/>
      <c r="BA85" s="456"/>
      <c r="BB85" s="456"/>
      <c r="BC85" s="456"/>
      <c r="BD85" s="456"/>
      <c r="BE85" s="456"/>
      <c r="BF85" s="456"/>
      <c r="BG85" s="456"/>
      <c r="BH85" s="456"/>
      <c r="BI85" s="456"/>
      <c r="BJ85" s="456"/>
      <c r="BK85" s="456"/>
      <c r="BL85" s="456"/>
      <c r="BM85" s="456"/>
      <c r="BN85" s="456"/>
      <c r="BO85" s="456"/>
    </row>
    <row r="86" spans="1:67" s="469" customFormat="1" ht="15" x14ac:dyDescent="0.25">
      <c r="A86" s="492"/>
      <c r="B86" s="493" t="s">
        <v>639</v>
      </c>
      <c r="C86" s="2697" t="s">
        <v>697</v>
      </c>
      <c r="D86" s="2697"/>
      <c r="E86" s="2697"/>
      <c r="F86" s="2697"/>
      <c r="G86" s="2697"/>
      <c r="H86" s="494"/>
      <c r="I86" s="495"/>
      <c r="J86" s="495"/>
      <c r="K86" s="495"/>
      <c r="L86" s="497"/>
      <c r="M86" s="495"/>
      <c r="N86" s="497"/>
      <c r="O86" s="495"/>
      <c r="P86" s="498">
        <v>75261.36</v>
      </c>
      <c r="Q86" s="454"/>
      <c r="R86" s="454"/>
      <c r="S86" s="454"/>
      <c r="T86" s="454"/>
      <c r="U86" s="454"/>
      <c r="V86" s="454"/>
      <c r="W86" s="454"/>
      <c r="X86" s="454"/>
      <c r="Y86" s="454"/>
      <c r="Z86" s="454"/>
      <c r="AA86" s="454"/>
      <c r="AB86" s="456"/>
      <c r="AC86" s="456"/>
      <c r="AD86" s="456"/>
      <c r="AE86" s="456"/>
      <c r="AF86" s="456"/>
      <c r="AG86" s="456"/>
      <c r="AH86" s="456"/>
      <c r="AI86" s="456"/>
      <c r="AJ86" s="456"/>
      <c r="AK86" s="456"/>
      <c r="AL86" s="456"/>
      <c r="AM86" s="456"/>
      <c r="AN86" s="481"/>
      <c r="AO86" s="481"/>
      <c r="AP86" s="481"/>
      <c r="AQ86" s="491"/>
      <c r="AR86" s="456" t="s">
        <v>697</v>
      </c>
      <c r="AS86" s="456"/>
      <c r="AT86" s="456"/>
      <c r="AU86" s="522"/>
      <c r="AV86" s="481"/>
      <c r="AW86" s="456"/>
      <c r="AX86" s="481"/>
      <c r="AY86" s="491"/>
      <c r="AZ86" s="456"/>
      <c r="BA86" s="456"/>
      <c r="BB86" s="456"/>
      <c r="BC86" s="456"/>
      <c r="BD86" s="456"/>
      <c r="BE86" s="456"/>
      <c r="BF86" s="456"/>
      <c r="BG86" s="456"/>
      <c r="BH86" s="456"/>
      <c r="BI86" s="456"/>
      <c r="BJ86" s="456"/>
      <c r="BK86" s="456"/>
      <c r="BL86" s="456"/>
      <c r="BM86" s="456"/>
      <c r="BN86" s="456"/>
      <c r="BO86" s="456"/>
    </row>
    <row r="87" spans="1:67" s="469" customFormat="1" ht="15" x14ac:dyDescent="0.25">
      <c r="A87" s="492"/>
      <c r="B87" s="493"/>
      <c r="C87" s="2697" t="s">
        <v>811</v>
      </c>
      <c r="D87" s="2697"/>
      <c r="E87" s="2697"/>
      <c r="F87" s="2697"/>
      <c r="G87" s="2697"/>
      <c r="H87" s="494" t="s">
        <v>807</v>
      </c>
      <c r="I87" s="495"/>
      <c r="J87" s="495"/>
      <c r="K87" s="528">
        <v>52.957124999999998</v>
      </c>
      <c r="L87" s="497"/>
      <c r="M87" s="495"/>
      <c r="N87" s="497"/>
      <c r="O87" s="495"/>
      <c r="P87" s="498">
        <v>19099.2</v>
      </c>
      <c r="Q87" s="454"/>
      <c r="R87" s="454"/>
      <c r="S87" s="454"/>
      <c r="T87" s="454"/>
      <c r="U87" s="454"/>
      <c r="V87" s="454"/>
      <c r="W87" s="454"/>
      <c r="X87" s="454"/>
      <c r="Y87" s="454"/>
      <c r="Z87" s="454"/>
      <c r="AA87" s="454"/>
      <c r="AB87" s="456"/>
      <c r="AC87" s="456"/>
      <c r="AD87" s="456"/>
      <c r="AE87" s="456"/>
      <c r="AF87" s="456"/>
      <c r="AG87" s="456"/>
      <c r="AH87" s="456"/>
      <c r="AI87" s="456"/>
      <c r="AJ87" s="456"/>
      <c r="AK87" s="456"/>
      <c r="AL87" s="456"/>
      <c r="AM87" s="456"/>
      <c r="AN87" s="481"/>
      <c r="AO87" s="481"/>
      <c r="AP87" s="481"/>
      <c r="AQ87" s="491"/>
      <c r="AR87" s="456" t="s">
        <v>811</v>
      </c>
      <c r="AS87" s="456"/>
      <c r="AT87" s="456"/>
      <c r="AU87" s="522"/>
      <c r="AV87" s="481"/>
      <c r="AW87" s="456"/>
      <c r="AX87" s="481"/>
      <c r="AY87" s="491"/>
      <c r="AZ87" s="456"/>
      <c r="BA87" s="456"/>
      <c r="BB87" s="456"/>
      <c r="BC87" s="456"/>
      <c r="BD87" s="456"/>
      <c r="BE87" s="456"/>
      <c r="BF87" s="456"/>
      <c r="BG87" s="456"/>
      <c r="BH87" s="456"/>
      <c r="BI87" s="456"/>
      <c r="BJ87" s="456"/>
      <c r="BK87" s="456"/>
      <c r="BL87" s="456"/>
      <c r="BM87" s="456"/>
      <c r="BN87" s="456"/>
      <c r="BO87" s="456"/>
    </row>
    <row r="88" spans="1:67" s="469" customFormat="1" ht="22.5" x14ac:dyDescent="0.25">
      <c r="A88" s="499"/>
      <c r="B88" s="493" t="s">
        <v>812</v>
      </c>
      <c r="C88" s="2697" t="s">
        <v>813</v>
      </c>
      <c r="D88" s="2697"/>
      <c r="E88" s="2697"/>
      <c r="F88" s="2697"/>
      <c r="G88" s="2697"/>
      <c r="H88" s="494" t="s">
        <v>814</v>
      </c>
      <c r="I88" s="500">
        <v>0.1</v>
      </c>
      <c r="J88" s="495" t="s">
        <v>880</v>
      </c>
      <c r="K88" s="528">
        <v>1.1981250000000001</v>
      </c>
      <c r="L88" s="505">
        <v>1803.79</v>
      </c>
      <c r="M88" s="506">
        <v>1.1399999999999999</v>
      </c>
      <c r="N88" s="502">
        <v>2056.3200000000002</v>
      </c>
      <c r="O88" s="495"/>
      <c r="P88" s="498">
        <v>2463.73</v>
      </c>
      <c r="Q88" s="503"/>
      <c r="R88" s="503"/>
      <c r="S88" s="454"/>
      <c r="T88" s="454"/>
      <c r="U88" s="454"/>
      <c r="V88" s="454"/>
      <c r="W88" s="454"/>
      <c r="X88" s="454"/>
      <c r="Y88" s="454"/>
      <c r="Z88" s="454"/>
      <c r="AA88" s="454"/>
      <c r="AB88" s="456"/>
      <c r="AC88" s="456"/>
      <c r="AD88" s="456"/>
      <c r="AE88" s="456"/>
      <c r="AF88" s="456"/>
      <c r="AG88" s="456"/>
      <c r="AH88" s="456"/>
      <c r="AI88" s="456"/>
      <c r="AJ88" s="456"/>
      <c r="AK88" s="456"/>
      <c r="AL88" s="456"/>
      <c r="AM88" s="456"/>
      <c r="AN88" s="481"/>
      <c r="AO88" s="481"/>
      <c r="AP88" s="481"/>
      <c r="AQ88" s="491"/>
      <c r="AR88" s="456"/>
      <c r="AS88" s="456" t="s">
        <v>813</v>
      </c>
      <c r="AT88" s="456"/>
      <c r="AU88" s="522"/>
      <c r="AV88" s="481"/>
      <c r="AW88" s="456"/>
      <c r="AX88" s="481"/>
      <c r="AY88" s="491"/>
      <c r="AZ88" s="456"/>
      <c r="BA88" s="456"/>
      <c r="BB88" s="456"/>
      <c r="BC88" s="456"/>
      <c r="BD88" s="456"/>
      <c r="BE88" s="456"/>
      <c r="BF88" s="456"/>
      <c r="BG88" s="456"/>
      <c r="BH88" s="456"/>
      <c r="BI88" s="456"/>
      <c r="BJ88" s="456"/>
      <c r="BK88" s="456"/>
      <c r="BL88" s="456"/>
      <c r="BM88" s="456"/>
      <c r="BN88" s="456"/>
      <c r="BO88" s="456"/>
    </row>
    <row r="89" spans="1:67" s="469" customFormat="1" ht="22.5" x14ac:dyDescent="0.25">
      <c r="A89" s="507"/>
      <c r="B89" s="493" t="s">
        <v>815</v>
      </c>
      <c r="C89" s="2697" t="s">
        <v>816</v>
      </c>
      <c r="D89" s="2697"/>
      <c r="E89" s="2697"/>
      <c r="F89" s="2697"/>
      <c r="G89" s="2697"/>
      <c r="H89" s="494" t="s">
        <v>807</v>
      </c>
      <c r="I89" s="500">
        <v>0.1</v>
      </c>
      <c r="J89" s="495" t="s">
        <v>880</v>
      </c>
      <c r="K89" s="528">
        <v>1.1981250000000001</v>
      </c>
      <c r="L89" s="497"/>
      <c r="M89" s="495"/>
      <c r="N89" s="508">
        <v>364.66</v>
      </c>
      <c r="O89" s="495"/>
      <c r="P89" s="512">
        <v>436.91</v>
      </c>
      <c r="Q89" s="454"/>
      <c r="R89" s="454"/>
      <c r="S89" s="454"/>
      <c r="T89" s="454"/>
      <c r="U89" s="454"/>
      <c r="V89" s="454"/>
      <c r="W89" s="454"/>
      <c r="X89" s="454"/>
      <c r="Y89" s="454"/>
      <c r="Z89" s="454"/>
      <c r="AA89" s="454"/>
      <c r="AB89" s="456"/>
      <c r="AC89" s="456"/>
      <c r="AD89" s="456"/>
      <c r="AE89" s="456"/>
      <c r="AF89" s="456"/>
      <c r="AG89" s="456"/>
      <c r="AH89" s="456"/>
      <c r="AI89" s="456"/>
      <c r="AJ89" s="456"/>
      <c r="AK89" s="456"/>
      <c r="AL89" s="456"/>
      <c r="AM89" s="456"/>
      <c r="AN89" s="481"/>
      <c r="AO89" s="481"/>
      <c r="AP89" s="481"/>
      <c r="AQ89" s="491"/>
      <c r="AR89" s="456"/>
      <c r="AS89" s="456"/>
      <c r="AT89" s="456" t="s">
        <v>816</v>
      </c>
      <c r="AU89" s="522"/>
      <c r="AV89" s="481"/>
      <c r="AW89" s="456"/>
      <c r="AX89" s="481"/>
      <c r="AY89" s="491"/>
      <c r="AZ89" s="456"/>
      <c r="BA89" s="456"/>
      <c r="BB89" s="456"/>
      <c r="BC89" s="456"/>
      <c r="BD89" s="456"/>
      <c r="BE89" s="456"/>
      <c r="BF89" s="456"/>
      <c r="BG89" s="456"/>
      <c r="BH89" s="456"/>
      <c r="BI89" s="456"/>
      <c r="BJ89" s="456"/>
      <c r="BK89" s="456"/>
      <c r="BL89" s="456"/>
      <c r="BM89" s="456"/>
      <c r="BN89" s="456"/>
      <c r="BO89" s="456"/>
    </row>
    <row r="90" spans="1:67" s="469" customFormat="1" ht="22.5" x14ac:dyDescent="0.25">
      <c r="A90" s="499"/>
      <c r="B90" s="493" t="s">
        <v>817</v>
      </c>
      <c r="C90" s="2697" t="s">
        <v>818</v>
      </c>
      <c r="D90" s="2697"/>
      <c r="E90" s="2697"/>
      <c r="F90" s="2697"/>
      <c r="G90" s="2697"/>
      <c r="H90" s="494" t="s">
        <v>814</v>
      </c>
      <c r="I90" s="509">
        <v>4.13</v>
      </c>
      <c r="J90" s="495" t="s">
        <v>880</v>
      </c>
      <c r="K90" s="543">
        <v>49.4825625</v>
      </c>
      <c r="L90" s="501"/>
      <c r="M90" s="564"/>
      <c r="N90" s="502">
        <v>1374.22</v>
      </c>
      <c r="O90" s="495"/>
      <c r="P90" s="498">
        <v>67999.929999999993</v>
      </c>
      <c r="Q90" s="503"/>
      <c r="R90" s="503"/>
      <c r="S90" s="454"/>
      <c r="T90" s="454"/>
      <c r="U90" s="454"/>
      <c r="V90" s="454"/>
      <c r="W90" s="454"/>
      <c r="X90" s="454"/>
      <c r="Y90" s="454"/>
      <c r="Z90" s="454"/>
      <c r="AA90" s="454"/>
      <c r="AB90" s="456"/>
      <c r="AC90" s="456"/>
      <c r="AD90" s="456"/>
      <c r="AE90" s="456"/>
      <c r="AF90" s="456"/>
      <c r="AG90" s="456"/>
      <c r="AH90" s="456"/>
      <c r="AI90" s="456"/>
      <c r="AJ90" s="456"/>
      <c r="AK90" s="456"/>
      <c r="AL90" s="456"/>
      <c r="AM90" s="456"/>
      <c r="AN90" s="481"/>
      <c r="AO90" s="481"/>
      <c r="AP90" s="481"/>
      <c r="AQ90" s="491"/>
      <c r="AR90" s="456"/>
      <c r="AS90" s="456" t="s">
        <v>818</v>
      </c>
      <c r="AT90" s="456"/>
      <c r="AU90" s="522"/>
      <c r="AV90" s="481"/>
      <c r="AW90" s="456"/>
      <c r="AX90" s="481"/>
      <c r="AY90" s="491"/>
      <c r="AZ90" s="456"/>
      <c r="BA90" s="456"/>
      <c r="BB90" s="456"/>
      <c r="BC90" s="456"/>
      <c r="BD90" s="456"/>
      <c r="BE90" s="456"/>
      <c r="BF90" s="456"/>
      <c r="BG90" s="456"/>
      <c r="BH90" s="456"/>
      <c r="BI90" s="456"/>
      <c r="BJ90" s="456"/>
      <c r="BK90" s="456"/>
      <c r="BL90" s="456"/>
      <c r="BM90" s="456"/>
      <c r="BN90" s="456"/>
      <c r="BO90" s="456"/>
    </row>
    <row r="91" spans="1:67" s="469" customFormat="1" ht="22.5" x14ac:dyDescent="0.25">
      <c r="A91" s="507"/>
      <c r="B91" s="493" t="s">
        <v>815</v>
      </c>
      <c r="C91" s="2697" t="s">
        <v>816</v>
      </c>
      <c r="D91" s="2697"/>
      <c r="E91" s="2697"/>
      <c r="F91" s="2697"/>
      <c r="G91" s="2697"/>
      <c r="H91" s="494" t="s">
        <v>807</v>
      </c>
      <c r="I91" s="509">
        <v>4.13</v>
      </c>
      <c r="J91" s="495" t="s">
        <v>880</v>
      </c>
      <c r="K91" s="543">
        <v>49.4825625</v>
      </c>
      <c r="L91" s="497"/>
      <c r="M91" s="495"/>
      <c r="N91" s="508">
        <v>364.66</v>
      </c>
      <c r="O91" s="495"/>
      <c r="P91" s="498">
        <v>18044.310000000001</v>
      </c>
      <c r="Q91" s="454"/>
      <c r="R91" s="454"/>
      <c r="S91" s="454"/>
      <c r="T91" s="454"/>
      <c r="U91" s="454"/>
      <c r="V91" s="454"/>
      <c r="W91" s="454"/>
      <c r="X91" s="454"/>
      <c r="Y91" s="454"/>
      <c r="Z91" s="454"/>
      <c r="AA91" s="454"/>
      <c r="AB91" s="456"/>
      <c r="AC91" s="456"/>
      <c r="AD91" s="456"/>
      <c r="AE91" s="456"/>
      <c r="AF91" s="456"/>
      <c r="AG91" s="456"/>
      <c r="AH91" s="456"/>
      <c r="AI91" s="456"/>
      <c r="AJ91" s="456"/>
      <c r="AK91" s="456"/>
      <c r="AL91" s="456"/>
      <c r="AM91" s="456"/>
      <c r="AN91" s="481"/>
      <c r="AO91" s="481"/>
      <c r="AP91" s="481"/>
      <c r="AQ91" s="491"/>
      <c r="AR91" s="456"/>
      <c r="AS91" s="456"/>
      <c r="AT91" s="456" t="s">
        <v>816</v>
      </c>
      <c r="AU91" s="522"/>
      <c r="AV91" s="481"/>
      <c r="AW91" s="456"/>
      <c r="AX91" s="481"/>
      <c r="AY91" s="491"/>
      <c r="AZ91" s="456"/>
      <c r="BA91" s="456"/>
      <c r="BB91" s="456"/>
      <c r="BC91" s="456"/>
      <c r="BD91" s="456"/>
      <c r="BE91" s="456"/>
      <c r="BF91" s="456"/>
      <c r="BG91" s="456"/>
      <c r="BH91" s="456"/>
      <c r="BI91" s="456"/>
      <c r="BJ91" s="456"/>
      <c r="BK91" s="456"/>
      <c r="BL91" s="456"/>
      <c r="BM91" s="456"/>
      <c r="BN91" s="456"/>
      <c r="BO91" s="456"/>
    </row>
    <row r="92" spans="1:67" s="469" customFormat="1" ht="22.5" x14ac:dyDescent="0.25">
      <c r="A92" s="499"/>
      <c r="B92" s="493" t="s">
        <v>819</v>
      </c>
      <c r="C92" s="2697" t="s">
        <v>820</v>
      </c>
      <c r="D92" s="2697"/>
      <c r="E92" s="2697"/>
      <c r="F92" s="2697"/>
      <c r="G92" s="2697"/>
      <c r="H92" s="494" t="s">
        <v>814</v>
      </c>
      <c r="I92" s="509">
        <v>3.17</v>
      </c>
      <c r="J92" s="495" t="s">
        <v>880</v>
      </c>
      <c r="K92" s="543">
        <v>37.980562499999998</v>
      </c>
      <c r="L92" s="510">
        <v>1.75</v>
      </c>
      <c r="M92" s="506">
        <v>1.26</v>
      </c>
      <c r="N92" s="502">
        <v>2.21</v>
      </c>
      <c r="O92" s="495"/>
      <c r="P92" s="498">
        <v>83.94</v>
      </c>
      <c r="Q92" s="503"/>
      <c r="R92" s="503"/>
      <c r="S92" s="454"/>
      <c r="T92" s="454"/>
      <c r="U92" s="454"/>
      <c r="V92" s="454"/>
      <c r="W92" s="454"/>
      <c r="X92" s="454"/>
      <c r="Y92" s="454"/>
      <c r="Z92" s="454"/>
      <c r="AA92" s="454"/>
      <c r="AB92" s="456"/>
      <c r="AC92" s="456"/>
      <c r="AD92" s="456"/>
      <c r="AE92" s="456"/>
      <c r="AF92" s="456"/>
      <c r="AG92" s="456"/>
      <c r="AH92" s="456"/>
      <c r="AI92" s="456"/>
      <c r="AJ92" s="456"/>
      <c r="AK92" s="456"/>
      <c r="AL92" s="456"/>
      <c r="AM92" s="456"/>
      <c r="AN92" s="481"/>
      <c r="AO92" s="481"/>
      <c r="AP92" s="481"/>
      <c r="AQ92" s="491"/>
      <c r="AR92" s="456"/>
      <c r="AS92" s="456" t="s">
        <v>820</v>
      </c>
      <c r="AT92" s="456"/>
      <c r="AU92" s="522"/>
      <c r="AV92" s="481"/>
      <c r="AW92" s="456"/>
      <c r="AX92" s="481"/>
      <c r="AY92" s="491"/>
      <c r="AZ92" s="456"/>
      <c r="BA92" s="456"/>
      <c r="BB92" s="456"/>
      <c r="BC92" s="456"/>
      <c r="BD92" s="456"/>
      <c r="BE92" s="456"/>
      <c r="BF92" s="456"/>
      <c r="BG92" s="456"/>
      <c r="BH92" s="456"/>
      <c r="BI92" s="456"/>
      <c r="BJ92" s="456"/>
      <c r="BK92" s="456"/>
      <c r="BL92" s="456"/>
      <c r="BM92" s="456"/>
      <c r="BN92" s="456"/>
      <c r="BO92" s="456"/>
    </row>
    <row r="93" spans="1:67" s="469" customFormat="1" ht="22.5" x14ac:dyDescent="0.25">
      <c r="A93" s="499"/>
      <c r="B93" s="493" t="s">
        <v>821</v>
      </c>
      <c r="C93" s="2697" t="s">
        <v>822</v>
      </c>
      <c r="D93" s="2697"/>
      <c r="E93" s="2697"/>
      <c r="F93" s="2697"/>
      <c r="G93" s="2697"/>
      <c r="H93" s="494" t="s">
        <v>814</v>
      </c>
      <c r="I93" s="509">
        <v>0.19</v>
      </c>
      <c r="J93" s="495" t="s">
        <v>880</v>
      </c>
      <c r="K93" s="543">
        <v>2.2764375000000001</v>
      </c>
      <c r="L93" s="501"/>
      <c r="M93" s="564"/>
      <c r="N93" s="502">
        <v>535.19000000000005</v>
      </c>
      <c r="O93" s="495"/>
      <c r="P93" s="498">
        <v>1218.33</v>
      </c>
      <c r="Q93" s="503"/>
      <c r="R93" s="503"/>
      <c r="S93" s="454"/>
      <c r="T93" s="454"/>
      <c r="U93" s="454"/>
      <c r="V93" s="454"/>
      <c r="W93" s="454"/>
      <c r="X93" s="454"/>
      <c r="Y93" s="454"/>
      <c r="Z93" s="454"/>
      <c r="AA93" s="454"/>
      <c r="AB93" s="456"/>
      <c r="AC93" s="456"/>
      <c r="AD93" s="456"/>
      <c r="AE93" s="456"/>
      <c r="AF93" s="456"/>
      <c r="AG93" s="456"/>
      <c r="AH93" s="456"/>
      <c r="AI93" s="456"/>
      <c r="AJ93" s="456"/>
      <c r="AK93" s="456"/>
      <c r="AL93" s="456"/>
      <c r="AM93" s="456"/>
      <c r="AN93" s="481"/>
      <c r="AO93" s="481"/>
      <c r="AP93" s="481"/>
      <c r="AQ93" s="491"/>
      <c r="AR93" s="456"/>
      <c r="AS93" s="456" t="s">
        <v>822</v>
      </c>
      <c r="AT93" s="456"/>
      <c r="AU93" s="522"/>
      <c r="AV93" s="481"/>
      <c r="AW93" s="456"/>
      <c r="AX93" s="481"/>
      <c r="AY93" s="491"/>
      <c r="AZ93" s="456"/>
      <c r="BA93" s="456"/>
      <c r="BB93" s="456"/>
      <c r="BC93" s="456"/>
      <c r="BD93" s="456"/>
      <c r="BE93" s="456"/>
      <c r="BF93" s="456"/>
      <c r="BG93" s="456"/>
      <c r="BH93" s="456"/>
      <c r="BI93" s="456"/>
      <c r="BJ93" s="456"/>
      <c r="BK93" s="456"/>
      <c r="BL93" s="456"/>
      <c r="BM93" s="456"/>
      <c r="BN93" s="456"/>
      <c r="BO93" s="456"/>
    </row>
    <row r="94" spans="1:67" s="469" customFormat="1" ht="22.5" x14ac:dyDescent="0.25">
      <c r="A94" s="507"/>
      <c r="B94" s="493" t="s">
        <v>823</v>
      </c>
      <c r="C94" s="2697" t="s">
        <v>824</v>
      </c>
      <c r="D94" s="2697"/>
      <c r="E94" s="2697"/>
      <c r="F94" s="2697"/>
      <c r="G94" s="2697"/>
      <c r="H94" s="494" t="s">
        <v>807</v>
      </c>
      <c r="I94" s="509">
        <v>0.19</v>
      </c>
      <c r="J94" s="495" t="s">
        <v>880</v>
      </c>
      <c r="K94" s="543">
        <v>2.2764375000000001</v>
      </c>
      <c r="L94" s="497"/>
      <c r="M94" s="495"/>
      <c r="N94" s="508">
        <v>271.47000000000003</v>
      </c>
      <c r="O94" s="495"/>
      <c r="P94" s="512">
        <v>617.98</v>
      </c>
      <c r="Q94" s="454"/>
      <c r="R94" s="454"/>
      <c r="S94" s="454"/>
      <c r="T94" s="454"/>
      <c r="U94" s="454"/>
      <c r="V94" s="454"/>
      <c r="W94" s="454"/>
      <c r="X94" s="454"/>
      <c r="Y94" s="454"/>
      <c r="Z94" s="454"/>
      <c r="AA94" s="454"/>
      <c r="AB94" s="456"/>
      <c r="AC94" s="456"/>
      <c r="AD94" s="456"/>
      <c r="AE94" s="456"/>
      <c r="AF94" s="456"/>
      <c r="AG94" s="456"/>
      <c r="AH94" s="456"/>
      <c r="AI94" s="456"/>
      <c r="AJ94" s="456"/>
      <c r="AK94" s="456"/>
      <c r="AL94" s="456"/>
      <c r="AM94" s="456"/>
      <c r="AN94" s="481"/>
      <c r="AO94" s="481"/>
      <c r="AP94" s="481"/>
      <c r="AQ94" s="491"/>
      <c r="AR94" s="456"/>
      <c r="AS94" s="456"/>
      <c r="AT94" s="456" t="s">
        <v>824</v>
      </c>
      <c r="AU94" s="522"/>
      <c r="AV94" s="481"/>
      <c r="AW94" s="456"/>
      <c r="AX94" s="481"/>
      <c r="AY94" s="491"/>
      <c r="AZ94" s="456"/>
      <c r="BA94" s="456"/>
      <c r="BB94" s="456"/>
      <c r="BC94" s="456"/>
      <c r="BD94" s="456"/>
      <c r="BE94" s="456"/>
      <c r="BF94" s="456"/>
      <c r="BG94" s="456"/>
      <c r="BH94" s="456"/>
      <c r="BI94" s="456"/>
      <c r="BJ94" s="456"/>
      <c r="BK94" s="456"/>
      <c r="BL94" s="456"/>
      <c r="BM94" s="456"/>
      <c r="BN94" s="456"/>
      <c r="BO94" s="456"/>
    </row>
    <row r="95" spans="1:67" s="469" customFormat="1" ht="22.5" x14ac:dyDescent="0.25">
      <c r="A95" s="499"/>
      <c r="B95" s="493" t="s">
        <v>825</v>
      </c>
      <c r="C95" s="2697" t="s">
        <v>826</v>
      </c>
      <c r="D95" s="2697"/>
      <c r="E95" s="2697"/>
      <c r="F95" s="2697"/>
      <c r="G95" s="2697"/>
      <c r="H95" s="494" t="s">
        <v>814</v>
      </c>
      <c r="I95" s="509">
        <v>1.63</v>
      </c>
      <c r="J95" s="495" t="s">
        <v>880</v>
      </c>
      <c r="K95" s="543">
        <v>19.5294375</v>
      </c>
      <c r="L95" s="510">
        <v>4.3499999999999996</v>
      </c>
      <c r="M95" s="506">
        <v>1.19</v>
      </c>
      <c r="N95" s="502">
        <v>5.18</v>
      </c>
      <c r="O95" s="495"/>
      <c r="P95" s="498">
        <v>101.16</v>
      </c>
      <c r="Q95" s="503"/>
      <c r="R95" s="503"/>
      <c r="S95" s="454"/>
      <c r="T95" s="454"/>
      <c r="U95" s="454"/>
      <c r="V95" s="454"/>
      <c r="W95" s="454"/>
      <c r="X95" s="454"/>
      <c r="Y95" s="454"/>
      <c r="Z95" s="454"/>
      <c r="AA95" s="454"/>
      <c r="AB95" s="456"/>
      <c r="AC95" s="456"/>
      <c r="AD95" s="456"/>
      <c r="AE95" s="456"/>
      <c r="AF95" s="456"/>
      <c r="AG95" s="456"/>
      <c r="AH95" s="456"/>
      <c r="AI95" s="456"/>
      <c r="AJ95" s="456"/>
      <c r="AK95" s="456"/>
      <c r="AL95" s="456"/>
      <c r="AM95" s="456"/>
      <c r="AN95" s="481"/>
      <c r="AO95" s="481"/>
      <c r="AP95" s="481"/>
      <c r="AQ95" s="491"/>
      <c r="AR95" s="456"/>
      <c r="AS95" s="456" t="s">
        <v>826</v>
      </c>
      <c r="AT95" s="456"/>
      <c r="AU95" s="522"/>
      <c r="AV95" s="481"/>
      <c r="AW95" s="456"/>
      <c r="AX95" s="481"/>
      <c r="AY95" s="491"/>
      <c r="AZ95" s="456"/>
      <c r="BA95" s="456"/>
      <c r="BB95" s="456"/>
      <c r="BC95" s="456"/>
      <c r="BD95" s="456"/>
      <c r="BE95" s="456"/>
      <c r="BF95" s="456"/>
      <c r="BG95" s="456"/>
      <c r="BH95" s="456"/>
      <c r="BI95" s="456"/>
      <c r="BJ95" s="456"/>
      <c r="BK95" s="456"/>
      <c r="BL95" s="456"/>
      <c r="BM95" s="456"/>
      <c r="BN95" s="456"/>
      <c r="BO95" s="456"/>
    </row>
    <row r="96" spans="1:67" s="469" customFormat="1" ht="23.25" x14ac:dyDescent="0.25">
      <c r="A96" s="499"/>
      <c r="B96" s="493" t="s">
        <v>827</v>
      </c>
      <c r="C96" s="2697" t="s">
        <v>828</v>
      </c>
      <c r="D96" s="2697"/>
      <c r="E96" s="2697"/>
      <c r="F96" s="2697"/>
      <c r="G96" s="2697"/>
      <c r="H96" s="494" t="s">
        <v>814</v>
      </c>
      <c r="I96" s="509">
        <v>6.16</v>
      </c>
      <c r="J96" s="495" t="s">
        <v>880</v>
      </c>
      <c r="K96" s="496">
        <v>73.804500000000004</v>
      </c>
      <c r="L96" s="510">
        <v>51.1</v>
      </c>
      <c r="M96" s="511">
        <v>0.9</v>
      </c>
      <c r="N96" s="502">
        <v>45.99</v>
      </c>
      <c r="O96" s="495"/>
      <c r="P96" s="498">
        <v>3394.27</v>
      </c>
      <c r="Q96" s="503"/>
      <c r="R96" s="503"/>
      <c r="S96" s="454"/>
      <c r="T96" s="454"/>
      <c r="U96" s="454"/>
      <c r="V96" s="454"/>
      <c r="W96" s="454"/>
      <c r="X96" s="454"/>
      <c r="Y96" s="454"/>
      <c r="Z96" s="454"/>
      <c r="AA96" s="454"/>
      <c r="AB96" s="456"/>
      <c r="AC96" s="456"/>
      <c r="AD96" s="456"/>
      <c r="AE96" s="456"/>
      <c r="AF96" s="456"/>
      <c r="AG96" s="456"/>
      <c r="AH96" s="456"/>
      <c r="AI96" s="456"/>
      <c r="AJ96" s="456"/>
      <c r="AK96" s="456"/>
      <c r="AL96" s="456"/>
      <c r="AM96" s="456"/>
      <c r="AN96" s="481"/>
      <c r="AO96" s="481"/>
      <c r="AP96" s="481"/>
      <c r="AQ96" s="491"/>
      <c r="AR96" s="456"/>
      <c r="AS96" s="456" t="s">
        <v>828</v>
      </c>
      <c r="AT96" s="456"/>
      <c r="AU96" s="522"/>
      <c r="AV96" s="481"/>
      <c r="AW96" s="456"/>
      <c r="AX96" s="481"/>
      <c r="AY96" s="491"/>
      <c r="AZ96" s="456"/>
      <c r="BA96" s="456"/>
      <c r="BB96" s="456"/>
      <c r="BC96" s="456"/>
      <c r="BD96" s="456"/>
      <c r="BE96" s="456"/>
      <c r="BF96" s="456"/>
      <c r="BG96" s="456"/>
      <c r="BH96" s="456"/>
      <c r="BI96" s="456"/>
      <c r="BJ96" s="456"/>
      <c r="BK96" s="456"/>
      <c r="BL96" s="456"/>
      <c r="BM96" s="456"/>
      <c r="BN96" s="456"/>
      <c r="BO96" s="456"/>
    </row>
    <row r="97" spans="1:67" s="469" customFormat="1" ht="15" x14ac:dyDescent="0.25">
      <c r="A97" s="492"/>
      <c r="B97" s="493" t="s">
        <v>232</v>
      </c>
      <c r="C97" s="2697" t="s">
        <v>829</v>
      </c>
      <c r="D97" s="2697"/>
      <c r="E97" s="2697"/>
      <c r="F97" s="2697"/>
      <c r="G97" s="2697"/>
      <c r="H97" s="494"/>
      <c r="I97" s="495"/>
      <c r="J97" s="495"/>
      <c r="K97" s="495"/>
      <c r="L97" s="497"/>
      <c r="M97" s="495"/>
      <c r="N97" s="497"/>
      <c r="O97" s="495"/>
      <c r="P97" s="498">
        <v>9659.7900000000009</v>
      </c>
      <c r="Q97" s="454"/>
      <c r="R97" s="454"/>
      <c r="S97" s="454"/>
      <c r="T97" s="454"/>
      <c r="U97" s="454"/>
      <c r="V97" s="454"/>
      <c r="W97" s="454"/>
      <c r="X97" s="454"/>
      <c r="Y97" s="454"/>
      <c r="Z97" s="454"/>
      <c r="AA97" s="454"/>
      <c r="AB97" s="456"/>
      <c r="AC97" s="456"/>
      <c r="AD97" s="456"/>
      <c r="AE97" s="456"/>
      <c r="AF97" s="456"/>
      <c r="AG97" s="456"/>
      <c r="AH97" s="456"/>
      <c r="AI97" s="456"/>
      <c r="AJ97" s="456"/>
      <c r="AK97" s="456"/>
      <c r="AL97" s="456"/>
      <c r="AM97" s="456"/>
      <c r="AN97" s="481"/>
      <c r="AO97" s="481"/>
      <c r="AP97" s="481"/>
      <c r="AQ97" s="491"/>
      <c r="AR97" s="456" t="s">
        <v>829</v>
      </c>
      <c r="AS97" s="456"/>
      <c r="AT97" s="456"/>
      <c r="AU97" s="522"/>
      <c r="AV97" s="481"/>
      <c r="AW97" s="456"/>
      <c r="AX97" s="481"/>
      <c r="AY97" s="491"/>
      <c r="AZ97" s="456"/>
      <c r="BA97" s="456"/>
      <c r="BB97" s="456"/>
      <c r="BC97" s="456"/>
      <c r="BD97" s="456"/>
      <c r="BE97" s="456"/>
      <c r="BF97" s="456"/>
      <c r="BG97" s="456"/>
      <c r="BH97" s="456"/>
      <c r="BI97" s="456"/>
      <c r="BJ97" s="456"/>
      <c r="BK97" s="456"/>
      <c r="BL97" s="456"/>
      <c r="BM97" s="456"/>
      <c r="BN97" s="456"/>
      <c r="BO97" s="456"/>
    </row>
    <row r="98" spans="1:67" s="469" customFormat="1" ht="15" x14ac:dyDescent="0.25">
      <c r="A98" s="499"/>
      <c r="B98" s="493" t="s">
        <v>830</v>
      </c>
      <c r="C98" s="2697" t="s">
        <v>831</v>
      </c>
      <c r="D98" s="2697"/>
      <c r="E98" s="2697"/>
      <c r="F98" s="2697"/>
      <c r="G98" s="2697"/>
      <c r="H98" s="494" t="s">
        <v>832</v>
      </c>
      <c r="I98" s="509">
        <v>1.37</v>
      </c>
      <c r="J98" s="495"/>
      <c r="K98" s="514">
        <v>9.7270000000000003</v>
      </c>
      <c r="L98" s="501"/>
      <c r="M98" s="564"/>
      <c r="N98" s="502">
        <v>114.64</v>
      </c>
      <c r="O98" s="495"/>
      <c r="P98" s="498">
        <v>1115.0999999999999</v>
      </c>
      <c r="Q98" s="503"/>
      <c r="R98" s="503"/>
      <c r="S98" s="454"/>
      <c r="T98" s="454"/>
      <c r="U98" s="454"/>
      <c r="V98" s="454"/>
      <c r="W98" s="454"/>
      <c r="X98" s="454"/>
      <c r="Y98" s="454"/>
      <c r="Z98" s="454"/>
      <c r="AA98" s="454"/>
      <c r="AB98" s="456"/>
      <c r="AC98" s="456"/>
      <c r="AD98" s="456"/>
      <c r="AE98" s="456"/>
      <c r="AF98" s="456"/>
      <c r="AG98" s="456"/>
      <c r="AH98" s="456"/>
      <c r="AI98" s="456"/>
      <c r="AJ98" s="456"/>
      <c r="AK98" s="456"/>
      <c r="AL98" s="456"/>
      <c r="AM98" s="456"/>
      <c r="AN98" s="481"/>
      <c r="AO98" s="481"/>
      <c r="AP98" s="481"/>
      <c r="AQ98" s="491"/>
      <c r="AR98" s="456"/>
      <c r="AS98" s="456" t="s">
        <v>831</v>
      </c>
      <c r="AT98" s="456"/>
      <c r="AU98" s="522"/>
      <c r="AV98" s="481"/>
      <c r="AW98" s="456"/>
      <c r="AX98" s="481"/>
      <c r="AY98" s="491"/>
      <c r="AZ98" s="456"/>
      <c r="BA98" s="456"/>
      <c r="BB98" s="456"/>
      <c r="BC98" s="456"/>
      <c r="BD98" s="456"/>
      <c r="BE98" s="456"/>
      <c r="BF98" s="456"/>
      <c r="BG98" s="456"/>
      <c r="BH98" s="456"/>
      <c r="BI98" s="456"/>
      <c r="BJ98" s="456"/>
      <c r="BK98" s="456"/>
      <c r="BL98" s="456"/>
      <c r="BM98" s="456"/>
      <c r="BN98" s="456"/>
      <c r="BO98" s="456"/>
    </row>
    <row r="99" spans="1:67" s="469" customFormat="1" ht="15" x14ac:dyDescent="0.25">
      <c r="A99" s="499"/>
      <c r="B99" s="493" t="s">
        <v>833</v>
      </c>
      <c r="C99" s="2697" t="s">
        <v>834</v>
      </c>
      <c r="D99" s="2697"/>
      <c r="E99" s="2697"/>
      <c r="F99" s="2697"/>
      <c r="G99" s="2697"/>
      <c r="H99" s="494" t="s">
        <v>835</v>
      </c>
      <c r="I99" s="509">
        <v>0.41</v>
      </c>
      <c r="J99" s="495"/>
      <c r="K99" s="514">
        <v>2.911</v>
      </c>
      <c r="L99" s="510">
        <v>41.38</v>
      </c>
      <c r="M99" s="511">
        <v>1.2</v>
      </c>
      <c r="N99" s="502">
        <v>49.66</v>
      </c>
      <c r="O99" s="495"/>
      <c r="P99" s="498">
        <v>144.56</v>
      </c>
      <c r="Q99" s="503"/>
      <c r="R99" s="503"/>
      <c r="S99" s="454"/>
      <c r="T99" s="454"/>
      <c r="U99" s="454"/>
      <c r="V99" s="454"/>
      <c r="W99" s="454"/>
      <c r="X99" s="454"/>
      <c r="Y99" s="454"/>
      <c r="Z99" s="454"/>
      <c r="AA99" s="454"/>
      <c r="AB99" s="456"/>
      <c r="AC99" s="456"/>
      <c r="AD99" s="456"/>
      <c r="AE99" s="456"/>
      <c r="AF99" s="456"/>
      <c r="AG99" s="456"/>
      <c r="AH99" s="456"/>
      <c r="AI99" s="456"/>
      <c r="AJ99" s="456"/>
      <c r="AK99" s="456"/>
      <c r="AL99" s="456"/>
      <c r="AM99" s="456"/>
      <c r="AN99" s="481"/>
      <c r="AO99" s="481"/>
      <c r="AP99" s="481"/>
      <c r="AQ99" s="491"/>
      <c r="AR99" s="456"/>
      <c r="AS99" s="456" t="s">
        <v>834</v>
      </c>
      <c r="AT99" s="456"/>
      <c r="AU99" s="522"/>
      <c r="AV99" s="481"/>
      <c r="AW99" s="456"/>
      <c r="AX99" s="481"/>
      <c r="AY99" s="491"/>
      <c r="AZ99" s="456"/>
      <c r="BA99" s="456"/>
      <c r="BB99" s="456"/>
      <c r="BC99" s="456"/>
      <c r="BD99" s="456"/>
      <c r="BE99" s="456"/>
      <c r="BF99" s="456"/>
      <c r="BG99" s="456"/>
      <c r="BH99" s="456"/>
      <c r="BI99" s="456"/>
      <c r="BJ99" s="456"/>
      <c r="BK99" s="456"/>
      <c r="BL99" s="456"/>
      <c r="BM99" s="456"/>
      <c r="BN99" s="456"/>
      <c r="BO99" s="456"/>
    </row>
    <row r="100" spans="1:67" s="469" customFormat="1" ht="15" x14ac:dyDescent="0.25">
      <c r="A100" s="499"/>
      <c r="B100" s="493" t="s">
        <v>836</v>
      </c>
      <c r="C100" s="2697" t="s">
        <v>837</v>
      </c>
      <c r="D100" s="2697"/>
      <c r="E100" s="2697"/>
      <c r="F100" s="2697"/>
      <c r="G100" s="2697"/>
      <c r="H100" s="494" t="s">
        <v>838</v>
      </c>
      <c r="I100" s="514">
        <v>3.2189999999999999</v>
      </c>
      <c r="J100" s="495"/>
      <c r="K100" s="496">
        <v>22.854900000000001</v>
      </c>
      <c r="L100" s="501"/>
      <c r="M100" s="564"/>
      <c r="N100" s="502">
        <v>6.17</v>
      </c>
      <c r="O100" s="495"/>
      <c r="P100" s="498">
        <v>141.01</v>
      </c>
      <c r="Q100" s="503"/>
      <c r="R100" s="503"/>
      <c r="S100" s="454"/>
      <c r="T100" s="454"/>
      <c r="U100" s="454"/>
      <c r="V100" s="454"/>
      <c r="W100" s="454"/>
      <c r="X100" s="454"/>
      <c r="Y100" s="454"/>
      <c r="Z100" s="454"/>
      <c r="AA100" s="454"/>
      <c r="AB100" s="456"/>
      <c r="AC100" s="456"/>
      <c r="AD100" s="456"/>
      <c r="AE100" s="456"/>
      <c r="AF100" s="456"/>
      <c r="AG100" s="456"/>
      <c r="AH100" s="456"/>
      <c r="AI100" s="456"/>
      <c r="AJ100" s="456"/>
      <c r="AK100" s="456"/>
      <c r="AL100" s="456"/>
      <c r="AM100" s="456"/>
      <c r="AN100" s="481"/>
      <c r="AO100" s="481"/>
      <c r="AP100" s="481"/>
      <c r="AQ100" s="491"/>
      <c r="AR100" s="456"/>
      <c r="AS100" s="456" t="s">
        <v>837</v>
      </c>
      <c r="AT100" s="456"/>
      <c r="AU100" s="522"/>
      <c r="AV100" s="481"/>
      <c r="AW100" s="456"/>
      <c r="AX100" s="481"/>
      <c r="AY100" s="491"/>
      <c r="AZ100" s="456"/>
      <c r="BA100" s="456"/>
      <c r="BB100" s="456"/>
      <c r="BC100" s="456"/>
      <c r="BD100" s="456"/>
      <c r="BE100" s="456"/>
      <c r="BF100" s="456"/>
      <c r="BG100" s="456"/>
      <c r="BH100" s="456"/>
      <c r="BI100" s="456"/>
      <c r="BJ100" s="456"/>
      <c r="BK100" s="456"/>
      <c r="BL100" s="456"/>
      <c r="BM100" s="456"/>
      <c r="BN100" s="456"/>
      <c r="BO100" s="456"/>
    </row>
    <row r="101" spans="1:67" s="469" customFormat="1" ht="23.25" x14ac:dyDescent="0.25">
      <c r="A101" s="499"/>
      <c r="B101" s="493" t="s">
        <v>839</v>
      </c>
      <c r="C101" s="2697" t="s">
        <v>840</v>
      </c>
      <c r="D101" s="2697"/>
      <c r="E101" s="2697"/>
      <c r="F101" s="2697"/>
      <c r="G101" s="2697"/>
      <c r="H101" s="494" t="s">
        <v>835</v>
      </c>
      <c r="I101" s="513">
        <v>4</v>
      </c>
      <c r="J101" s="495"/>
      <c r="K101" s="500">
        <v>28.4</v>
      </c>
      <c r="L101" s="510">
        <v>142.68</v>
      </c>
      <c r="M101" s="506">
        <v>1.05</v>
      </c>
      <c r="N101" s="502">
        <v>149.81</v>
      </c>
      <c r="O101" s="495"/>
      <c r="P101" s="498">
        <v>4254.6000000000004</v>
      </c>
      <c r="Q101" s="503"/>
      <c r="R101" s="503"/>
      <c r="S101" s="454"/>
      <c r="T101" s="454"/>
      <c r="U101" s="454"/>
      <c r="V101" s="454"/>
      <c r="W101" s="454"/>
      <c r="X101" s="454"/>
      <c r="Y101" s="454"/>
      <c r="Z101" s="454"/>
      <c r="AA101" s="454"/>
      <c r="AB101" s="456"/>
      <c r="AC101" s="456"/>
      <c r="AD101" s="456"/>
      <c r="AE101" s="456"/>
      <c r="AF101" s="456"/>
      <c r="AG101" s="456"/>
      <c r="AH101" s="456"/>
      <c r="AI101" s="456"/>
      <c r="AJ101" s="456"/>
      <c r="AK101" s="456"/>
      <c r="AL101" s="456"/>
      <c r="AM101" s="456"/>
      <c r="AN101" s="481"/>
      <c r="AO101" s="481"/>
      <c r="AP101" s="481"/>
      <c r="AQ101" s="491"/>
      <c r="AR101" s="456"/>
      <c r="AS101" s="456" t="s">
        <v>840</v>
      </c>
      <c r="AT101" s="456"/>
      <c r="AU101" s="522"/>
      <c r="AV101" s="481"/>
      <c r="AW101" s="456"/>
      <c r="AX101" s="481"/>
      <c r="AY101" s="491"/>
      <c r="AZ101" s="456"/>
      <c r="BA101" s="456"/>
      <c r="BB101" s="456"/>
      <c r="BC101" s="456"/>
      <c r="BD101" s="456"/>
      <c r="BE101" s="456"/>
      <c r="BF101" s="456"/>
      <c r="BG101" s="456"/>
      <c r="BH101" s="456"/>
      <c r="BI101" s="456"/>
      <c r="BJ101" s="456"/>
      <c r="BK101" s="456"/>
      <c r="BL101" s="456"/>
      <c r="BM101" s="456"/>
      <c r="BN101" s="456"/>
      <c r="BO101" s="456"/>
    </row>
    <row r="102" spans="1:67" s="469" customFormat="1" ht="15" x14ac:dyDescent="0.25">
      <c r="A102" s="499"/>
      <c r="B102" s="493" t="s">
        <v>841</v>
      </c>
      <c r="C102" s="2697" t="s">
        <v>842</v>
      </c>
      <c r="D102" s="2697"/>
      <c r="E102" s="2697"/>
      <c r="F102" s="2697"/>
      <c r="G102" s="2697"/>
      <c r="H102" s="494" t="s">
        <v>801</v>
      </c>
      <c r="I102" s="504">
        <v>1.0000000000000001E-5</v>
      </c>
      <c r="J102" s="495"/>
      <c r="K102" s="528">
        <v>7.1000000000000005E-5</v>
      </c>
      <c r="L102" s="505">
        <v>70296.2</v>
      </c>
      <c r="M102" s="506">
        <v>1.17</v>
      </c>
      <c r="N102" s="502">
        <v>82246.55</v>
      </c>
      <c r="O102" s="495"/>
      <c r="P102" s="498">
        <v>5.84</v>
      </c>
      <c r="Q102" s="503"/>
      <c r="R102" s="503"/>
      <c r="S102" s="454"/>
      <c r="T102" s="454"/>
      <c r="U102" s="454"/>
      <c r="V102" s="454"/>
      <c r="W102" s="454"/>
      <c r="X102" s="454"/>
      <c r="Y102" s="454"/>
      <c r="Z102" s="454"/>
      <c r="AA102" s="454"/>
      <c r="AB102" s="456"/>
      <c r="AC102" s="456"/>
      <c r="AD102" s="456"/>
      <c r="AE102" s="456"/>
      <c r="AF102" s="456"/>
      <c r="AG102" s="456"/>
      <c r="AH102" s="456"/>
      <c r="AI102" s="456"/>
      <c r="AJ102" s="456"/>
      <c r="AK102" s="456"/>
      <c r="AL102" s="456"/>
      <c r="AM102" s="456"/>
      <c r="AN102" s="481"/>
      <c r="AO102" s="481"/>
      <c r="AP102" s="481"/>
      <c r="AQ102" s="491"/>
      <c r="AR102" s="456"/>
      <c r="AS102" s="456" t="s">
        <v>842</v>
      </c>
      <c r="AT102" s="456"/>
      <c r="AU102" s="522"/>
      <c r="AV102" s="481"/>
      <c r="AW102" s="456"/>
      <c r="AX102" s="481"/>
      <c r="AY102" s="491"/>
      <c r="AZ102" s="456"/>
      <c r="BA102" s="456"/>
      <c r="BB102" s="456"/>
      <c r="BC102" s="456"/>
      <c r="BD102" s="456"/>
      <c r="BE102" s="456"/>
      <c r="BF102" s="456"/>
      <c r="BG102" s="456"/>
      <c r="BH102" s="456"/>
      <c r="BI102" s="456"/>
      <c r="BJ102" s="456"/>
      <c r="BK102" s="456"/>
      <c r="BL102" s="456"/>
      <c r="BM102" s="456"/>
      <c r="BN102" s="456"/>
      <c r="BO102" s="456"/>
    </row>
    <row r="103" spans="1:67" s="469" customFormat="1" ht="15" x14ac:dyDescent="0.25">
      <c r="A103" s="499"/>
      <c r="B103" s="493" t="s">
        <v>843</v>
      </c>
      <c r="C103" s="2697" t="s">
        <v>844</v>
      </c>
      <c r="D103" s="2697"/>
      <c r="E103" s="2697"/>
      <c r="F103" s="2697"/>
      <c r="G103" s="2697"/>
      <c r="H103" s="494" t="s">
        <v>801</v>
      </c>
      <c r="I103" s="496">
        <v>1E-4</v>
      </c>
      <c r="J103" s="495"/>
      <c r="K103" s="504">
        <v>7.1000000000000002E-4</v>
      </c>
      <c r="L103" s="505">
        <v>231787.35</v>
      </c>
      <c r="M103" s="511">
        <v>1.9</v>
      </c>
      <c r="N103" s="502">
        <v>440395.97</v>
      </c>
      <c r="O103" s="495"/>
      <c r="P103" s="498">
        <v>312.68</v>
      </c>
      <c r="Q103" s="503"/>
      <c r="R103" s="503"/>
      <c r="S103" s="454"/>
      <c r="T103" s="454"/>
      <c r="U103" s="454"/>
      <c r="V103" s="454"/>
      <c r="W103" s="454"/>
      <c r="X103" s="454"/>
      <c r="Y103" s="454"/>
      <c r="Z103" s="454"/>
      <c r="AA103" s="454"/>
      <c r="AB103" s="456"/>
      <c r="AC103" s="456"/>
      <c r="AD103" s="456"/>
      <c r="AE103" s="456"/>
      <c r="AF103" s="456"/>
      <c r="AG103" s="456"/>
      <c r="AH103" s="456"/>
      <c r="AI103" s="456"/>
      <c r="AJ103" s="456"/>
      <c r="AK103" s="456"/>
      <c r="AL103" s="456"/>
      <c r="AM103" s="456"/>
      <c r="AN103" s="481"/>
      <c r="AO103" s="481"/>
      <c r="AP103" s="481"/>
      <c r="AQ103" s="491"/>
      <c r="AR103" s="456"/>
      <c r="AS103" s="456" t="s">
        <v>844</v>
      </c>
      <c r="AT103" s="456"/>
      <c r="AU103" s="522"/>
      <c r="AV103" s="481"/>
      <c r="AW103" s="456"/>
      <c r="AX103" s="481"/>
      <c r="AY103" s="491"/>
      <c r="AZ103" s="456"/>
      <c r="BA103" s="456"/>
      <c r="BB103" s="456"/>
      <c r="BC103" s="456"/>
      <c r="BD103" s="456"/>
      <c r="BE103" s="456"/>
      <c r="BF103" s="456"/>
      <c r="BG103" s="456"/>
      <c r="BH103" s="456"/>
      <c r="BI103" s="456"/>
      <c r="BJ103" s="456"/>
      <c r="BK103" s="456"/>
      <c r="BL103" s="456"/>
      <c r="BM103" s="456"/>
      <c r="BN103" s="456"/>
      <c r="BO103" s="456"/>
    </row>
    <row r="104" spans="1:67" s="469" customFormat="1" ht="23.25" x14ac:dyDescent="0.25">
      <c r="A104" s="499"/>
      <c r="B104" s="493" t="s">
        <v>845</v>
      </c>
      <c r="C104" s="2697" t="s">
        <v>846</v>
      </c>
      <c r="D104" s="2697"/>
      <c r="E104" s="2697"/>
      <c r="F104" s="2697"/>
      <c r="G104" s="2697"/>
      <c r="H104" s="494" t="s">
        <v>801</v>
      </c>
      <c r="I104" s="514">
        <v>1E-3</v>
      </c>
      <c r="J104" s="495"/>
      <c r="K104" s="496">
        <v>7.1000000000000004E-3</v>
      </c>
      <c r="L104" s="505">
        <v>105278.81</v>
      </c>
      <c r="M104" s="506">
        <v>1.1599999999999999</v>
      </c>
      <c r="N104" s="502">
        <v>122123.42</v>
      </c>
      <c r="O104" s="495"/>
      <c r="P104" s="498">
        <v>867.08</v>
      </c>
      <c r="Q104" s="503"/>
      <c r="R104" s="503"/>
      <c r="S104" s="454"/>
      <c r="T104" s="454"/>
      <c r="U104" s="454"/>
      <c r="V104" s="454"/>
      <c r="W104" s="454"/>
      <c r="X104" s="454"/>
      <c r="Y104" s="454"/>
      <c r="Z104" s="454"/>
      <c r="AA104" s="454"/>
      <c r="AB104" s="456"/>
      <c r="AC104" s="456"/>
      <c r="AD104" s="456"/>
      <c r="AE104" s="456"/>
      <c r="AF104" s="456"/>
      <c r="AG104" s="456"/>
      <c r="AH104" s="456"/>
      <c r="AI104" s="456"/>
      <c r="AJ104" s="456"/>
      <c r="AK104" s="456"/>
      <c r="AL104" s="456"/>
      <c r="AM104" s="456"/>
      <c r="AN104" s="481"/>
      <c r="AO104" s="481"/>
      <c r="AP104" s="481"/>
      <c r="AQ104" s="491"/>
      <c r="AR104" s="456"/>
      <c r="AS104" s="456" t="s">
        <v>846</v>
      </c>
      <c r="AT104" s="456"/>
      <c r="AU104" s="522"/>
      <c r="AV104" s="481"/>
      <c r="AW104" s="456"/>
      <c r="AX104" s="481"/>
      <c r="AY104" s="491"/>
      <c r="AZ104" s="456"/>
      <c r="BA104" s="456"/>
      <c r="BB104" s="456"/>
      <c r="BC104" s="456"/>
      <c r="BD104" s="456"/>
      <c r="BE104" s="456"/>
      <c r="BF104" s="456"/>
      <c r="BG104" s="456"/>
      <c r="BH104" s="456"/>
      <c r="BI104" s="456"/>
      <c r="BJ104" s="456"/>
      <c r="BK104" s="456"/>
      <c r="BL104" s="456"/>
      <c r="BM104" s="456"/>
      <c r="BN104" s="456"/>
      <c r="BO104" s="456"/>
    </row>
    <row r="105" spans="1:67" s="469" customFormat="1" ht="34.5" x14ac:dyDescent="0.25">
      <c r="A105" s="499"/>
      <c r="B105" s="493" t="s">
        <v>847</v>
      </c>
      <c r="C105" s="2697" t="s">
        <v>848</v>
      </c>
      <c r="D105" s="2697"/>
      <c r="E105" s="2697"/>
      <c r="F105" s="2697"/>
      <c r="G105" s="2697"/>
      <c r="H105" s="494" t="s">
        <v>849</v>
      </c>
      <c r="I105" s="496">
        <v>1.8700000000000001E-2</v>
      </c>
      <c r="J105" s="495"/>
      <c r="K105" s="504">
        <v>0.13277</v>
      </c>
      <c r="L105" s="510">
        <v>307.83999999999997</v>
      </c>
      <c r="M105" s="506">
        <v>1.03</v>
      </c>
      <c r="N105" s="502">
        <v>317.08</v>
      </c>
      <c r="O105" s="495"/>
      <c r="P105" s="498">
        <v>42.1</v>
      </c>
      <c r="Q105" s="503"/>
      <c r="R105" s="503"/>
      <c r="S105" s="454"/>
      <c r="T105" s="454"/>
      <c r="U105" s="454"/>
      <c r="V105" s="454"/>
      <c r="W105" s="454"/>
      <c r="X105" s="454"/>
      <c r="Y105" s="454"/>
      <c r="Z105" s="454"/>
      <c r="AA105" s="454"/>
      <c r="AB105" s="456"/>
      <c r="AC105" s="456"/>
      <c r="AD105" s="456"/>
      <c r="AE105" s="456"/>
      <c r="AF105" s="456"/>
      <c r="AG105" s="456"/>
      <c r="AH105" s="456"/>
      <c r="AI105" s="456"/>
      <c r="AJ105" s="456"/>
      <c r="AK105" s="456"/>
      <c r="AL105" s="456"/>
      <c r="AM105" s="456"/>
      <c r="AN105" s="481"/>
      <c r="AO105" s="481"/>
      <c r="AP105" s="481"/>
      <c r="AQ105" s="491"/>
      <c r="AR105" s="456"/>
      <c r="AS105" s="456" t="s">
        <v>848</v>
      </c>
      <c r="AT105" s="456"/>
      <c r="AU105" s="522"/>
      <c r="AV105" s="481"/>
      <c r="AW105" s="456"/>
      <c r="AX105" s="481"/>
      <c r="AY105" s="491"/>
      <c r="AZ105" s="456"/>
      <c r="BA105" s="456"/>
      <c r="BB105" s="456"/>
      <c r="BC105" s="456"/>
      <c r="BD105" s="456"/>
      <c r="BE105" s="456"/>
      <c r="BF105" s="456"/>
      <c r="BG105" s="456"/>
      <c r="BH105" s="456"/>
      <c r="BI105" s="456"/>
      <c r="BJ105" s="456"/>
      <c r="BK105" s="456"/>
      <c r="BL105" s="456"/>
      <c r="BM105" s="456"/>
      <c r="BN105" s="456"/>
      <c r="BO105" s="456"/>
    </row>
    <row r="106" spans="1:67" s="469" customFormat="1" ht="15" x14ac:dyDescent="0.25">
      <c r="A106" s="499"/>
      <c r="B106" s="493" t="s">
        <v>850</v>
      </c>
      <c r="C106" s="2697" t="s">
        <v>851</v>
      </c>
      <c r="D106" s="2697"/>
      <c r="E106" s="2697"/>
      <c r="F106" s="2697"/>
      <c r="G106" s="2697"/>
      <c r="H106" s="494" t="s">
        <v>801</v>
      </c>
      <c r="I106" s="504">
        <v>3.0000000000000001E-5</v>
      </c>
      <c r="J106" s="495"/>
      <c r="K106" s="528">
        <v>2.13E-4</v>
      </c>
      <c r="L106" s="505">
        <v>60258.2</v>
      </c>
      <c r="M106" s="506">
        <v>1.19</v>
      </c>
      <c r="N106" s="502">
        <v>71707.259999999995</v>
      </c>
      <c r="O106" s="495"/>
      <c r="P106" s="498">
        <v>15.27</v>
      </c>
      <c r="Q106" s="503"/>
      <c r="R106" s="503"/>
      <c r="S106" s="454"/>
      <c r="T106" s="454"/>
      <c r="U106" s="454"/>
      <c r="V106" s="454"/>
      <c r="W106" s="454"/>
      <c r="X106" s="454"/>
      <c r="Y106" s="454"/>
      <c r="Z106" s="454"/>
      <c r="AA106" s="454"/>
      <c r="AB106" s="456"/>
      <c r="AC106" s="456"/>
      <c r="AD106" s="456"/>
      <c r="AE106" s="456"/>
      <c r="AF106" s="456"/>
      <c r="AG106" s="456"/>
      <c r="AH106" s="456"/>
      <c r="AI106" s="456"/>
      <c r="AJ106" s="456"/>
      <c r="AK106" s="456"/>
      <c r="AL106" s="456"/>
      <c r="AM106" s="456"/>
      <c r="AN106" s="481"/>
      <c r="AO106" s="481"/>
      <c r="AP106" s="481"/>
      <c r="AQ106" s="491"/>
      <c r="AR106" s="456"/>
      <c r="AS106" s="456" t="s">
        <v>851</v>
      </c>
      <c r="AT106" s="456"/>
      <c r="AU106" s="522"/>
      <c r="AV106" s="481"/>
      <c r="AW106" s="456"/>
      <c r="AX106" s="481"/>
      <c r="AY106" s="491"/>
      <c r="AZ106" s="456"/>
      <c r="BA106" s="456"/>
      <c r="BB106" s="456"/>
      <c r="BC106" s="456"/>
      <c r="BD106" s="456"/>
      <c r="BE106" s="456"/>
      <c r="BF106" s="456"/>
      <c r="BG106" s="456"/>
      <c r="BH106" s="456"/>
      <c r="BI106" s="456"/>
      <c r="BJ106" s="456"/>
      <c r="BK106" s="456"/>
      <c r="BL106" s="456"/>
      <c r="BM106" s="456"/>
      <c r="BN106" s="456"/>
      <c r="BO106" s="456"/>
    </row>
    <row r="107" spans="1:67" s="469" customFormat="1" ht="23.25" x14ac:dyDescent="0.25">
      <c r="A107" s="499"/>
      <c r="B107" s="493" t="s">
        <v>852</v>
      </c>
      <c r="C107" s="2697" t="s">
        <v>853</v>
      </c>
      <c r="D107" s="2697"/>
      <c r="E107" s="2697"/>
      <c r="F107" s="2697"/>
      <c r="G107" s="2697"/>
      <c r="H107" s="494" t="s">
        <v>801</v>
      </c>
      <c r="I107" s="504">
        <v>1.9400000000000001E-3</v>
      </c>
      <c r="J107" s="495"/>
      <c r="K107" s="528">
        <v>1.3774E-2</v>
      </c>
      <c r="L107" s="505">
        <v>136760</v>
      </c>
      <c r="M107" s="506">
        <v>1.05</v>
      </c>
      <c r="N107" s="502">
        <v>143598</v>
      </c>
      <c r="O107" s="495"/>
      <c r="P107" s="498">
        <v>1977.92</v>
      </c>
      <c r="Q107" s="503"/>
      <c r="R107" s="503"/>
      <c r="S107" s="454"/>
      <c r="T107" s="454"/>
      <c r="U107" s="454"/>
      <c r="V107" s="454"/>
      <c r="W107" s="454"/>
      <c r="X107" s="454"/>
      <c r="Y107" s="454"/>
      <c r="Z107" s="454"/>
      <c r="AA107" s="454"/>
      <c r="AB107" s="456"/>
      <c r="AC107" s="456"/>
      <c r="AD107" s="456"/>
      <c r="AE107" s="456"/>
      <c r="AF107" s="456"/>
      <c r="AG107" s="456"/>
      <c r="AH107" s="456"/>
      <c r="AI107" s="456"/>
      <c r="AJ107" s="456"/>
      <c r="AK107" s="456"/>
      <c r="AL107" s="456"/>
      <c r="AM107" s="456"/>
      <c r="AN107" s="481"/>
      <c r="AO107" s="481"/>
      <c r="AP107" s="481"/>
      <c r="AQ107" s="491"/>
      <c r="AR107" s="456"/>
      <c r="AS107" s="456" t="s">
        <v>853</v>
      </c>
      <c r="AT107" s="456"/>
      <c r="AU107" s="522"/>
      <c r="AV107" s="481"/>
      <c r="AW107" s="456"/>
      <c r="AX107" s="481"/>
      <c r="AY107" s="491"/>
      <c r="AZ107" s="456"/>
      <c r="BA107" s="456"/>
      <c r="BB107" s="456"/>
      <c r="BC107" s="456"/>
      <c r="BD107" s="456"/>
      <c r="BE107" s="456"/>
      <c r="BF107" s="456"/>
      <c r="BG107" s="456"/>
      <c r="BH107" s="456"/>
      <c r="BI107" s="456"/>
      <c r="BJ107" s="456"/>
      <c r="BK107" s="456"/>
      <c r="BL107" s="456"/>
      <c r="BM107" s="456"/>
      <c r="BN107" s="456"/>
      <c r="BO107" s="456"/>
    </row>
    <row r="108" spans="1:67" s="469" customFormat="1" ht="34.5" x14ac:dyDescent="0.25">
      <c r="A108" s="499"/>
      <c r="B108" s="493" t="s">
        <v>854</v>
      </c>
      <c r="C108" s="2697" t="s">
        <v>855</v>
      </c>
      <c r="D108" s="2697"/>
      <c r="E108" s="2697"/>
      <c r="F108" s="2697"/>
      <c r="G108" s="2697"/>
      <c r="H108" s="494" t="s">
        <v>832</v>
      </c>
      <c r="I108" s="504">
        <v>1.0300000000000001E-3</v>
      </c>
      <c r="J108" s="495"/>
      <c r="K108" s="528">
        <v>7.3130000000000001E-3</v>
      </c>
      <c r="L108" s="505">
        <v>16496.03</v>
      </c>
      <c r="M108" s="506">
        <v>0.86</v>
      </c>
      <c r="N108" s="502">
        <v>14186.59</v>
      </c>
      <c r="O108" s="495"/>
      <c r="P108" s="498">
        <v>103.75</v>
      </c>
      <c r="Q108" s="503"/>
      <c r="R108" s="503"/>
      <c r="S108" s="454"/>
      <c r="T108" s="454"/>
      <c r="U108" s="454"/>
      <c r="V108" s="454"/>
      <c r="W108" s="454"/>
      <c r="X108" s="454"/>
      <c r="Y108" s="454"/>
      <c r="Z108" s="454"/>
      <c r="AA108" s="454"/>
      <c r="AB108" s="456"/>
      <c r="AC108" s="456"/>
      <c r="AD108" s="456"/>
      <c r="AE108" s="456"/>
      <c r="AF108" s="456"/>
      <c r="AG108" s="456"/>
      <c r="AH108" s="456"/>
      <c r="AI108" s="456"/>
      <c r="AJ108" s="456"/>
      <c r="AK108" s="456"/>
      <c r="AL108" s="456"/>
      <c r="AM108" s="456"/>
      <c r="AN108" s="481"/>
      <c r="AO108" s="481"/>
      <c r="AP108" s="481"/>
      <c r="AQ108" s="491"/>
      <c r="AR108" s="456"/>
      <c r="AS108" s="456" t="s">
        <v>855</v>
      </c>
      <c r="AT108" s="456"/>
      <c r="AU108" s="522"/>
      <c r="AV108" s="481"/>
      <c r="AW108" s="456"/>
      <c r="AX108" s="481"/>
      <c r="AY108" s="491"/>
      <c r="AZ108" s="456"/>
      <c r="BA108" s="456"/>
      <c r="BB108" s="456"/>
      <c r="BC108" s="456"/>
      <c r="BD108" s="456"/>
      <c r="BE108" s="456"/>
      <c r="BF108" s="456"/>
      <c r="BG108" s="456"/>
      <c r="BH108" s="456"/>
      <c r="BI108" s="456"/>
      <c r="BJ108" s="456"/>
      <c r="BK108" s="456"/>
      <c r="BL108" s="456"/>
      <c r="BM108" s="456"/>
      <c r="BN108" s="456"/>
      <c r="BO108" s="456"/>
    </row>
    <row r="109" spans="1:67" s="469" customFormat="1" ht="15" x14ac:dyDescent="0.25">
      <c r="A109" s="499"/>
      <c r="B109" s="493" t="s">
        <v>856</v>
      </c>
      <c r="C109" s="2697" t="s">
        <v>857</v>
      </c>
      <c r="D109" s="2697"/>
      <c r="E109" s="2697"/>
      <c r="F109" s="2697"/>
      <c r="G109" s="2697"/>
      <c r="H109" s="494" t="s">
        <v>801</v>
      </c>
      <c r="I109" s="504">
        <v>3.1E-4</v>
      </c>
      <c r="J109" s="495"/>
      <c r="K109" s="528">
        <v>2.2009999999999998E-3</v>
      </c>
      <c r="L109" s="505">
        <v>51280.15</v>
      </c>
      <c r="M109" s="506">
        <v>1.71</v>
      </c>
      <c r="N109" s="502">
        <v>87689.06</v>
      </c>
      <c r="O109" s="495"/>
      <c r="P109" s="498">
        <v>193</v>
      </c>
      <c r="Q109" s="503"/>
      <c r="R109" s="503"/>
      <c r="S109" s="454"/>
      <c r="T109" s="454"/>
      <c r="U109" s="454"/>
      <c r="V109" s="454"/>
      <c r="W109" s="454"/>
      <c r="X109" s="454"/>
      <c r="Y109" s="454"/>
      <c r="Z109" s="454"/>
      <c r="AA109" s="454"/>
      <c r="AB109" s="456"/>
      <c r="AC109" s="456"/>
      <c r="AD109" s="456"/>
      <c r="AE109" s="456"/>
      <c r="AF109" s="456"/>
      <c r="AG109" s="456"/>
      <c r="AH109" s="456"/>
      <c r="AI109" s="456"/>
      <c r="AJ109" s="456"/>
      <c r="AK109" s="456"/>
      <c r="AL109" s="456"/>
      <c r="AM109" s="456"/>
      <c r="AN109" s="481"/>
      <c r="AO109" s="481"/>
      <c r="AP109" s="481"/>
      <c r="AQ109" s="491"/>
      <c r="AR109" s="456"/>
      <c r="AS109" s="456" t="s">
        <v>857</v>
      </c>
      <c r="AT109" s="456"/>
      <c r="AU109" s="522"/>
      <c r="AV109" s="481"/>
      <c r="AW109" s="456"/>
      <c r="AX109" s="481"/>
      <c r="AY109" s="491"/>
      <c r="AZ109" s="456"/>
      <c r="BA109" s="456"/>
      <c r="BB109" s="456"/>
      <c r="BC109" s="456"/>
      <c r="BD109" s="456"/>
      <c r="BE109" s="456"/>
      <c r="BF109" s="456"/>
      <c r="BG109" s="456"/>
      <c r="BH109" s="456"/>
      <c r="BI109" s="456"/>
      <c r="BJ109" s="456"/>
      <c r="BK109" s="456"/>
      <c r="BL109" s="456"/>
      <c r="BM109" s="456"/>
      <c r="BN109" s="456"/>
      <c r="BO109" s="456"/>
    </row>
    <row r="110" spans="1:67" s="469" customFormat="1" ht="15" x14ac:dyDescent="0.25">
      <c r="A110" s="499"/>
      <c r="B110" s="493" t="s">
        <v>858</v>
      </c>
      <c r="C110" s="2697" t="s">
        <v>859</v>
      </c>
      <c r="D110" s="2697"/>
      <c r="E110" s="2697"/>
      <c r="F110" s="2697"/>
      <c r="G110" s="2697"/>
      <c r="H110" s="494" t="s">
        <v>801</v>
      </c>
      <c r="I110" s="496">
        <v>5.9999999999999995E-4</v>
      </c>
      <c r="J110" s="495"/>
      <c r="K110" s="504">
        <v>4.2599999999999999E-3</v>
      </c>
      <c r="L110" s="505">
        <v>98526.45</v>
      </c>
      <c r="M110" s="506">
        <v>1.1599999999999999</v>
      </c>
      <c r="N110" s="502">
        <v>114290.68</v>
      </c>
      <c r="O110" s="495"/>
      <c r="P110" s="498">
        <v>486.88</v>
      </c>
      <c r="Q110" s="503"/>
      <c r="R110" s="503"/>
      <c r="S110" s="454"/>
      <c r="T110" s="454"/>
      <c r="U110" s="454"/>
      <c r="V110" s="454"/>
      <c r="W110" s="454"/>
      <c r="X110" s="454"/>
      <c r="Y110" s="454"/>
      <c r="Z110" s="454"/>
      <c r="AA110" s="454"/>
      <c r="AB110" s="456"/>
      <c r="AC110" s="456"/>
      <c r="AD110" s="456"/>
      <c r="AE110" s="456"/>
      <c r="AF110" s="456"/>
      <c r="AG110" s="456"/>
      <c r="AH110" s="456"/>
      <c r="AI110" s="456"/>
      <c r="AJ110" s="456"/>
      <c r="AK110" s="456"/>
      <c r="AL110" s="456"/>
      <c r="AM110" s="456"/>
      <c r="AN110" s="481"/>
      <c r="AO110" s="481"/>
      <c r="AP110" s="481"/>
      <c r="AQ110" s="491"/>
      <c r="AR110" s="456"/>
      <c r="AS110" s="456" t="s">
        <v>859</v>
      </c>
      <c r="AT110" s="456"/>
      <c r="AU110" s="522"/>
      <c r="AV110" s="481"/>
      <c r="AW110" s="456"/>
      <c r="AX110" s="481"/>
      <c r="AY110" s="491"/>
      <c r="AZ110" s="456"/>
      <c r="BA110" s="456"/>
      <c r="BB110" s="456"/>
      <c r="BC110" s="456"/>
      <c r="BD110" s="456"/>
      <c r="BE110" s="456"/>
      <c r="BF110" s="456"/>
      <c r="BG110" s="456"/>
      <c r="BH110" s="456"/>
      <c r="BI110" s="456"/>
      <c r="BJ110" s="456"/>
      <c r="BK110" s="456"/>
      <c r="BL110" s="456"/>
      <c r="BM110" s="456"/>
      <c r="BN110" s="456"/>
      <c r="BO110" s="456"/>
    </row>
    <row r="111" spans="1:67" s="469" customFormat="1" ht="15" x14ac:dyDescent="0.25">
      <c r="A111" s="515" t="s">
        <v>860</v>
      </c>
      <c r="B111" s="516" t="s">
        <v>861</v>
      </c>
      <c r="C111" s="2751" t="s">
        <v>862</v>
      </c>
      <c r="D111" s="2751"/>
      <c r="E111" s="2751"/>
      <c r="F111" s="2751"/>
      <c r="G111" s="2751"/>
      <c r="H111" s="517" t="s">
        <v>835</v>
      </c>
      <c r="I111" s="518">
        <v>0</v>
      </c>
      <c r="J111" s="520"/>
      <c r="K111" s="518">
        <v>0</v>
      </c>
      <c r="L111" s="519"/>
      <c r="M111" s="520"/>
      <c r="N111" s="519"/>
      <c r="O111" s="520"/>
      <c r="P111" s="521"/>
      <c r="Q111" s="454"/>
      <c r="R111" s="454"/>
      <c r="S111" s="454"/>
      <c r="T111" s="454"/>
      <c r="U111" s="454"/>
      <c r="V111" s="454"/>
      <c r="W111" s="454"/>
      <c r="X111" s="454"/>
      <c r="Y111" s="454"/>
      <c r="Z111" s="454"/>
      <c r="AA111" s="454"/>
      <c r="AB111" s="456"/>
      <c r="AC111" s="456"/>
      <c r="AD111" s="456"/>
      <c r="AE111" s="456"/>
      <c r="AF111" s="456"/>
      <c r="AG111" s="456"/>
      <c r="AH111" s="456"/>
      <c r="AI111" s="456"/>
      <c r="AJ111" s="456"/>
      <c r="AK111" s="456"/>
      <c r="AL111" s="456"/>
      <c r="AM111" s="456"/>
      <c r="AN111" s="481"/>
      <c r="AO111" s="481"/>
      <c r="AP111" s="481"/>
      <c r="AQ111" s="491"/>
      <c r="AR111" s="456"/>
      <c r="AS111" s="456"/>
      <c r="AT111" s="456"/>
      <c r="AU111" s="522" t="s">
        <v>862</v>
      </c>
      <c r="AV111" s="481"/>
      <c r="AW111" s="456"/>
      <c r="AX111" s="481"/>
      <c r="AY111" s="491"/>
      <c r="AZ111" s="456"/>
      <c r="BA111" s="456"/>
      <c r="BB111" s="456"/>
      <c r="BC111" s="456"/>
      <c r="BD111" s="456"/>
      <c r="BE111" s="456"/>
      <c r="BF111" s="456"/>
      <c r="BG111" s="456"/>
      <c r="BH111" s="456"/>
      <c r="BI111" s="456"/>
      <c r="BJ111" s="456"/>
      <c r="BK111" s="456"/>
      <c r="BL111" s="456"/>
      <c r="BM111" s="456"/>
      <c r="BN111" s="456"/>
      <c r="BO111" s="456"/>
    </row>
    <row r="112" spans="1:67" s="469" customFormat="1" ht="15" x14ac:dyDescent="0.25">
      <c r="A112" s="515" t="s">
        <v>863</v>
      </c>
      <c r="B112" s="516" t="s">
        <v>864</v>
      </c>
      <c r="C112" s="2751" t="s">
        <v>865</v>
      </c>
      <c r="D112" s="2751"/>
      <c r="E112" s="2751"/>
      <c r="F112" s="2751"/>
      <c r="G112" s="2751"/>
      <c r="H112" s="517" t="s">
        <v>801</v>
      </c>
      <c r="I112" s="518">
        <v>1</v>
      </c>
      <c r="J112" s="520"/>
      <c r="K112" s="529">
        <v>7.1</v>
      </c>
      <c r="L112" s="519"/>
      <c r="M112" s="520"/>
      <c r="N112" s="519"/>
      <c r="O112" s="520"/>
      <c r="P112" s="521"/>
      <c r="Q112" s="454"/>
      <c r="R112" s="454"/>
      <c r="S112" s="454"/>
      <c r="T112" s="454"/>
      <c r="U112" s="454"/>
      <c r="V112" s="454"/>
      <c r="W112" s="454"/>
      <c r="X112" s="454"/>
      <c r="Y112" s="454"/>
      <c r="Z112" s="454"/>
      <c r="AA112" s="454"/>
      <c r="AB112" s="456"/>
      <c r="AC112" s="456"/>
      <c r="AD112" s="456"/>
      <c r="AE112" s="456"/>
      <c r="AF112" s="456"/>
      <c r="AG112" s="456"/>
      <c r="AH112" s="456"/>
      <c r="AI112" s="456"/>
      <c r="AJ112" s="456"/>
      <c r="AK112" s="456"/>
      <c r="AL112" s="456"/>
      <c r="AM112" s="456"/>
      <c r="AN112" s="481"/>
      <c r="AO112" s="481"/>
      <c r="AP112" s="481"/>
      <c r="AQ112" s="491"/>
      <c r="AR112" s="456"/>
      <c r="AS112" s="456"/>
      <c r="AT112" s="456"/>
      <c r="AU112" s="522" t="s">
        <v>865</v>
      </c>
      <c r="AV112" s="481"/>
      <c r="AW112" s="456"/>
      <c r="AX112" s="481"/>
      <c r="AY112" s="491"/>
      <c r="AZ112" s="456"/>
      <c r="BA112" s="456"/>
      <c r="BB112" s="456"/>
      <c r="BC112" s="456"/>
      <c r="BD112" s="456"/>
      <c r="BE112" s="456"/>
      <c r="BF112" s="456"/>
      <c r="BG112" s="456"/>
      <c r="BH112" s="456"/>
      <c r="BI112" s="456"/>
      <c r="BJ112" s="456"/>
      <c r="BK112" s="456"/>
      <c r="BL112" s="456"/>
      <c r="BM112" s="456"/>
      <c r="BN112" s="456"/>
      <c r="BO112" s="456"/>
    </row>
    <row r="113" spans="1:67" s="469" customFormat="1" ht="15" x14ac:dyDescent="0.25">
      <c r="A113" s="523"/>
      <c r="B113" s="490"/>
      <c r="C113" s="2722" t="s">
        <v>866</v>
      </c>
      <c r="D113" s="2722"/>
      <c r="E113" s="2722"/>
      <c r="F113" s="2722"/>
      <c r="G113" s="2722"/>
      <c r="H113" s="483"/>
      <c r="I113" s="484"/>
      <c r="J113" s="484"/>
      <c r="K113" s="484"/>
      <c r="L113" s="487"/>
      <c r="M113" s="484"/>
      <c r="N113" s="524"/>
      <c r="O113" s="484"/>
      <c r="P113" s="525">
        <v>206637.61</v>
      </c>
      <c r="Q113" s="503"/>
      <c r="R113" s="503"/>
      <c r="S113" s="454"/>
      <c r="T113" s="454"/>
      <c r="U113" s="454"/>
      <c r="V113" s="454"/>
      <c r="W113" s="454"/>
      <c r="X113" s="454"/>
      <c r="Y113" s="454"/>
      <c r="Z113" s="454"/>
      <c r="AA113" s="454"/>
      <c r="AB113" s="456"/>
      <c r="AC113" s="456"/>
      <c r="AD113" s="456"/>
      <c r="AE113" s="456"/>
      <c r="AF113" s="456"/>
      <c r="AG113" s="456"/>
      <c r="AH113" s="456"/>
      <c r="AI113" s="456"/>
      <c r="AJ113" s="456"/>
      <c r="AK113" s="456"/>
      <c r="AL113" s="456"/>
      <c r="AM113" s="456"/>
      <c r="AN113" s="481"/>
      <c r="AO113" s="481"/>
      <c r="AP113" s="481"/>
      <c r="AQ113" s="491"/>
      <c r="AR113" s="456"/>
      <c r="AS113" s="456"/>
      <c r="AT113" s="456"/>
      <c r="AU113" s="522"/>
      <c r="AV113" s="481" t="s">
        <v>866</v>
      </c>
      <c r="AW113" s="456"/>
      <c r="AX113" s="481"/>
      <c r="AY113" s="491"/>
      <c r="AZ113" s="456"/>
      <c r="BA113" s="456"/>
      <c r="BB113" s="456"/>
      <c r="BC113" s="456"/>
      <c r="BD113" s="456"/>
      <c r="BE113" s="456"/>
      <c r="BF113" s="456"/>
      <c r="BG113" s="456"/>
      <c r="BH113" s="456"/>
      <c r="BI113" s="456"/>
      <c r="BJ113" s="456"/>
      <c r="BK113" s="456"/>
      <c r="BL113" s="456"/>
      <c r="BM113" s="456"/>
      <c r="BN113" s="456"/>
      <c r="BO113" s="456"/>
    </row>
    <row r="114" spans="1:67" s="469" customFormat="1" ht="15" x14ac:dyDescent="0.25">
      <c r="A114" s="507"/>
      <c r="B114" s="493"/>
      <c r="C114" s="2697" t="s">
        <v>867</v>
      </c>
      <c r="D114" s="2697"/>
      <c r="E114" s="2697"/>
      <c r="F114" s="2697"/>
      <c r="G114" s="2697"/>
      <c r="H114" s="494"/>
      <c r="I114" s="495"/>
      <c r="J114" s="495"/>
      <c r="K114" s="495"/>
      <c r="L114" s="497"/>
      <c r="M114" s="495"/>
      <c r="N114" s="497"/>
      <c r="O114" s="495"/>
      <c r="P114" s="498">
        <v>121716.46</v>
      </c>
      <c r="Q114" s="454"/>
      <c r="R114" s="454"/>
      <c r="S114" s="454"/>
      <c r="T114" s="454"/>
      <c r="U114" s="454"/>
      <c r="V114" s="454"/>
      <c r="W114" s="454"/>
      <c r="X114" s="454"/>
      <c r="Y114" s="454"/>
      <c r="Z114" s="454"/>
      <c r="AA114" s="454"/>
      <c r="AB114" s="456"/>
      <c r="AC114" s="456"/>
      <c r="AD114" s="456"/>
      <c r="AE114" s="456"/>
      <c r="AF114" s="456"/>
      <c r="AG114" s="456"/>
      <c r="AH114" s="456"/>
      <c r="AI114" s="456"/>
      <c r="AJ114" s="456"/>
      <c r="AK114" s="456"/>
      <c r="AL114" s="456"/>
      <c r="AM114" s="456"/>
      <c r="AN114" s="481"/>
      <c r="AO114" s="481"/>
      <c r="AP114" s="481"/>
      <c r="AQ114" s="491"/>
      <c r="AR114" s="456"/>
      <c r="AS114" s="456"/>
      <c r="AT114" s="456"/>
      <c r="AU114" s="522"/>
      <c r="AV114" s="481"/>
      <c r="AW114" s="456" t="s">
        <v>867</v>
      </c>
      <c r="AX114" s="481"/>
      <c r="AY114" s="491"/>
      <c r="AZ114" s="456"/>
      <c r="BA114" s="456"/>
      <c r="BB114" s="456"/>
      <c r="BC114" s="456"/>
      <c r="BD114" s="456"/>
      <c r="BE114" s="456"/>
      <c r="BF114" s="456"/>
      <c r="BG114" s="456"/>
      <c r="BH114" s="456"/>
      <c r="BI114" s="456"/>
      <c r="BJ114" s="456"/>
      <c r="BK114" s="456"/>
      <c r="BL114" s="456"/>
      <c r="BM114" s="456"/>
      <c r="BN114" s="456"/>
      <c r="BO114" s="456"/>
    </row>
    <row r="115" spans="1:67" s="469" customFormat="1" ht="15" x14ac:dyDescent="0.25">
      <c r="A115" s="507"/>
      <c r="B115" s="493" t="s">
        <v>868</v>
      </c>
      <c r="C115" s="2697" t="s">
        <v>869</v>
      </c>
      <c r="D115" s="2697"/>
      <c r="E115" s="2697"/>
      <c r="F115" s="2697"/>
      <c r="G115" s="2697"/>
      <c r="H115" s="494" t="s">
        <v>636</v>
      </c>
      <c r="I115" s="513">
        <v>93</v>
      </c>
      <c r="J115" s="495"/>
      <c r="K115" s="513">
        <v>93</v>
      </c>
      <c r="L115" s="497"/>
      <c r="M115" s="495"/>
      <c r="N115" s="497"/>
      <c r="O115" s="495"/>
      <c r="P115" s="498">
        <v>113196.31</v>
      </c>
      <c r="Q115" s="454"/>
      <c r="R115" s="454"/>
      <c r="S115" s="454"/>
      <c r="T115" s="454"/>
      <c r="U115" s="454"/>
      <c r="V115" s="454"/>
      <c r="W115" s="454"/>
      <c r="X115" s="454"/>
      <c r="Y115" s="454"/>
      <c r="Z115" s="454"/>
      <c r="AA115" s="454"/>
      <c r="AB115" s="456"/>
      <c r="AC115" s="456"/>
      <c r="AD115" s="456"/>
      <c r="AE115" s="456"/>
      <c r="AF115" s="456"/>
      <c r="AG115" s="456"/>
      <c r="AH115" s="456"/>
      <c r="AI115" s="456"/>
      <c r="AJ115" s="456"/>
      <c r="AK115" s="456"/>
      <c r="AL115" s="456"/>
      <c r="AM115" s="456"/>
      <c r="AN115" s="481"/>
      <c r="AO115" s="481"/>
      <c r="AP115" s="481"/>
      <c r="AQ115" s="491"/>
      <c r="AR115" s="456"/>
      <c r="AS115" s="456"/>
      <c r="AT115" s="456"/>
      <c r="AU115" s="522"/>
      <c r="AV115" s="481"/>
      <c r="AW115" s="456" t="s">
        <v>869</v>
      </c>
      <c r="AX115" s="481"/>
      <c r="AY115" s="491"/>
      <c r="AZ115" s="456"/>
      <c r="BA115" s="456"/>
      <c r="BB115" s="456"/>
      <c r="BC115" s="456"/>
      <c r="BD115" s="456"/>
      <c r="BE115" s="456"/>
      <c r="BF115" s="456"/>
      <c r="BG115" s="456"/>
      <c r="BH115" s="456"/>
      <c r="BI115" s="456"/>
      <c r="BJ115" s="456"/>
      <c r="BK115" s="456"/>
      <c r="BL115" s="456"/>
      <c r="BM115" s="456"/>
      <c r="BN115" s="456"/>
      <c r="BO115" s="456"/>
    </row>
    <row r="116" spans="1:67" s="469" customFormat="1" ht="22.5" x14ac:dyDescent="0.25">
      <c r="A116" s="507"/>
      <c r="B116" s="493" t="s">
        <v>870</v>
      </c>
      <c r="C116" s="2697" t="s">
        <v>871</v>
      </c>
      <c r="D116" s="2697"/>
      <c r="E116" s="2697"/>
      <c r="F116" s="2697"/>
      <c r="G116" s="2697"/>
      <c r="H116" s="494" t="s">
        <v>636</v>
      </c>
      <c r="I116" s="513">
        <v>62</v>
      </c>
      <c r="J116" s="509">
        <v>0.85</v>
      </c>
      <c r="K116" s="500">
        <v>52.7</v>
      </c>
      <c r="L116" s="497"/>
      <c r="M116" s="495"/>
      <c r="N116" s="497"/>
      <c r="O116" s="495"/>
      <c r="P116" s="498">
        <v>64144.57</v>
      </c>
      <c r="Q116" s="454"/>
      <c r="R116" s="454"/>
      <c r="S116" s="454"/>
      <c r="T116" s="454"/>
      <c r="U116" s="454"/>
      <c r="V116" s="454"/>
      <c r="W116" s="454"/>
      <c r="X116" s="454"/>
      <c r="Y116" s="454"/>
      <c r="Z116" s="454"/>
      <c r="AA116" s="454"/>
      <c r="AB116" s="456"/>
      <c r="AC116" s="456"/>
      <c r="AD116" s="456"/>
      <c r="AE116" s="456"/>
      <c r="AF116" s="456"/>
      <c r="AG116" s="456"/>
      <c r="AH116" s="456"/>
      <c r="AI116" s="456"/>
      <c r="AJ116" s="456"/>
      <c r="AK116" s="456"/>
      <c r="AL116" s="456"/>
      <c r="AM116" s="456"/>
      <c r="AN116" s="481"/>
      <c r="AO116" s="481"/>
      <c r="AP116" s="481"/>
      <c r="AQ116" s="491"/>
      <c r="AR116" s="456"/>
      <c r="AS116" s="456"/>
      <c r="AT116" s="456"/>
      <c r="AU116" s="522"/>
      <c r="AV116" s="481"/>
      <c r="AW116" s="456" t="s">
        <v>871</v>
      </c>
      <c r="AX116" s="481"/>
      <c r="AY116" s="491"/>
      <c r="AZ116" s="456"/>
      <c r="BA116" s="456"/>
      <c r="BB116" s="456"/>
      <c r="BC116" s="456"/>
      <c r="BD116" s="456"/>
      <c r="BE116" s="456"/>
      <c r="BF116" s="456"/>
      <c r="BG116" s="456"/>
      <c r="BH116" s="456"/>
      <c r="BI116" s="456"/>
      <c r="BJ116" s="456"/>
      <c r="BK116" s="456"/>
      <c r="BL116" s="456"/>
      <c r="BM116" s="456"/>
      <c r="BN116" s="456"/>
      <c r="BO116" s="456"/>
    </row>
    <row r="117" spans="1:67" s="469" customFormat="1" ht="15" x14ac:dyDescent="0.25">
      <c r="A117" s="526"/>
      <c r="B117" s="567"/>
      <c r="C117" s="2722" t="s">
        <v>872</v>
      </c>
      <c r="D117" s="2722"/>
      <c r="E117" s="2722"/>
      <c r="F117" s="2722"/>
      <c r="G117" s="2722"/>
      <c r="H117" s="483"/>
      <c r="I117" s="484"/>
      <c r="J117" s="484"/>
      <c r="K117" s="484"/>
      <c r="L117" s="487"/>
      <c r="M117" s="484"/>
      <c r="N117" s="524">
        <v>54081.48</v>
      </c>
      <c r="O117" s="484"/>
      <c r="P117" s="525">
        <v>383978.49</v>
      </c>
      <c r="Q117" s="454"/>
      <c r="R117" s="454"/>
      <c r="S117" s="454"/>
      <c r="T117" s="454"/>
      <c r="U117" s="454"/>
      <c r="V117" s="454"/>
      <c r="W117" s="454"/>
      <c r="X117" s="454"/>
      <c r="Y117" s="454"/>
      <c r="Z117" s="454"/>
      <c r="AA117" s="454"/>
      <c r="AB117" s="456"/>
      <c r="AC117" s="456"/>
      <c r="AD117" s="456"/>
      <c r="AE117" s="456"/>
      <c r="AF117" s="456"/>
      <c r="AG117" s="456"/>
      <c r="AH117" s="456"/>
      <c r="AI117" s="456"/>
      <c r="AJ117" s="456"/>
      <c r="AK117" s="456"/>
      <c r="AL117" s="456"/>
      <c r="AM117" s="456"/>
      <c r="AN117" s="481"/>
      <c r="AO117" s="481"/>
      <c r="AP117" s="481"/>
      <c r="AQ117" s="491"/>
      <c r="AR117" s="456"/>
      <c r="AS117" s="456"/>
      <c r="AT117" s="456"/>
      <c r="AU117" s="522"/>
      <c r="AV117" s="481"/>
      <c r="AW117" s="456"/>
      <c r="AX117" s="481" t="s">
        <v>872</v>
      </c>
      <c r="AY117" s="491"/>
      <c r="AZ117" s="456"/>
      <c r="BA117" s="456"/>
      <c r="BB117" s="456"/>
      <c r="BC117" s="456"/>
      <c r="BD117" s="456"/>
      <c r="BE117" s="456"/>
      <c r="BF117" s="456"/>
      <c r="BG117" s="456"/>
      <c r="BH117" s="456"/>
      <c r="BI117" s="456"/>
      <c r="BJ117" s="456"/>
      <c r="BK117" s="456"/>
      <c r="BL117" s="456"/>
      <c r="BM117" s="456"/>
      <c r="BN117" s="456"/>
      <c r="BO117" s="456"/>
    </row>
    <row r="118" spans="1:67" s="469" customFormat="1" ht="23.25" x14ac:dyDescent="0.25">
      <c r="A118" s="482" t="s">
        <v>232</v>
      </c>
      <c r="B118" s="568" t="s">
        <v>881</v>
      </c>
      <c r="C118" s="2746" t="s">
        <v>846</v>
      </c>
      <c r="D118" s="2746"/>
      <c r="E118" s="2746"/>
      <c r="F118" s="2746"/>
      <c r="G118" s="2746"/>
      <c r="H118" s="483" t="s">
        <v>801</v>
      </c>
      <c r="I118" s="484">
        <v>7.1</v>
      </c>
      <c r="J118" s="485">
        <v>1</v>
      </c>
      <c r="K118" s="486">
        <v>7.1</v>
      </c>
      <c r="L118" s="487"/>
      <c r="M118" s="484"/>
      <c r="N118" s="487"/>
      <c r="O118" s="484"/>
      <c r="P118" s="525">
        <v>867076.28</v>
      </c>
      <c r="Q118" s="454"/>
      <c r="R118" s="454"/>
      <c r="S118" s="454"/>
      <c r="T118" s="454"/>
      <c r="U118" s="454"/>
      <c r="V118" s="454"/>
      <c r="W118" s="454"/>
      <c r="X118" s="454"/>
      <c r="Y118" s="454"/>
      <c r="Z118" s="454"/>
      <c r="AA118" s="454"/>
      <c r="AB118" s="456"/>
      <c r="AC118" s="456"/>
      <c r="AD118" s="456"/>
      <c r="AE118" s="456"/>
      <c r="AF118" s="456"/>
      <c r="AG118" s="456"/>
      <c r="AH118" s="456"/>
      <c r="AI118" s="456"/>
      <c r="AJ118" s="456"/>
      <c r="AK118" s="456"/>
      <c r="AL118" s="456"/>
      <c r="AM118" s="456"/>
      <c r="AN118" s="481"/>
      <c r="AO118" s="481"/>
      <c r="AP118" s="481" t="s">
        <v>846</v>
      </c>
      <c r="AQ118" s="491"/>
      <c r="AR118" s="456"/>
      <c r="AS118" s="456"/>
      <c r="AT118" s="456"/>
      <c r="AU118" s="522"/>
      <c r="AV118" s="481"/>
      <c r="AW118" s="456"/>
      <c r="AX118" s="481"/>
      <c r="AY118" s="491"/>
      <c r="AZ118" s="456"/>
      <c r="BA118" s="456"/>
      <c r="BB118" s="456"/>
      <c r="BC118" s="456"/>
      <c r="BD118" s="456"/>
      <c r="BE118" s="456"/>
      <c r="BF118" s="456"/>
      <c r="BG118" s="456"/>
      <c r="BH118" s="456"/>
      <c r="BI118" s="456"/>
      <c r="BJ118" s="456"/>
      <c r="BK118" s="456"/>
      <c r="BL118" s="456"/>
      <c r="BM118" s="456"/>
      <c r="BN118" s="456"/>
      <c r="BO118" s="456"/>
    </row>
    <row r="119" spans="1:67" s="469" customFormat="1" ht="15" x14ac:dyDescent="0.25">
      <c r="A119" s="526"/>
      <c r="B119" s="567"/>
      <c r="C119" s="2669" t="s">
        <v>882</v>
      </c>
      <c r="D119" s="2669"/>
      <c r="E119" s="2669"/>
      <c r="F119" s="2669"/>
      <c r="G119" s="2669"/>
      <c r="H119" s="2669"/>
      <c r="I119" s="2669"/>
      <c r="J119" s="2669"/>
      <c r="K119" s="2669"/>
      <c r="L119" s="2669"/>
      <c r="M119" s="2669"/>
      <c r="N119" s="2669"/>
      <c r="O119" s="2669"/>
      <c r="P119" s="2730"/>
      <c r="Q119" s="454"/>
      <c r="R119" s="454"/>
      <c r="S119" s="454"/>
      <c r="T119" s="454"/>
      <c r="U119" s="454"/>
      <c r="V119" s="454"/>
      <c r="W119" s="454"/>
      <c r="X119" s="454"/>
      <c r="Y119" s="454"/>
      <c r="Z119" s="454"/>
      <c r="AA119" s="454"/>
      <c r="AB119" s="456"/>
      <c r="AC119" s="456"/>
      <c r="AD119" s="456"/>
      <c r="AE119" s="456"/>
      <c r="AF119" s="456"/>
      <c r="AG119" s="456"/>
      <c r="AH119" s="456"/>
      <c r="AI119" s="456"/>
      <c r="AJ119" s="456"/>
      <c r="AK119" s="456"/>
      <c r="AL119" s="456"/>
      <c r="AM119" s="456"/>
      <c r="AN119" s="481"/>
      <c r="AO119" s="481"/>
      <c r="AP119" s="481"/>
      <c r="AQ119" s="491"/>
      <c r="AR119" s="456"/>
      <c r="AS119" s="456"/>
      <c r="AT119" s="456"/>
      <c r="AU119" s="522"/>
      <c r="AV119" s="481"/>
      <c r="AW119" s="456"/>
      <c r="AX119" s="481"/>
      <c r="AY119" s="491" t="s">
        <v>882</v>
      </c>
      <c r="AZ119" s="456"/>
      <c r="BA119" s="456"/>
      <c r="BB119" s="456"/>
      <c r="BC119" s="456"/>
      <c r="BD119" s="456"/>
      <c r="BE119" s="456"/>
      <c r="BF119" s="456"/>
      <c r="BG119" s="456"/>
      <c r="BH119" s="456"/>
      <c r="BI119" s="456"/>
      <c r="BJ119" s="456"/>
      <c r="BK119" s="456"/>
      <c r="BL119" s="456"/>
      <c r="BM119" s="456"/>
      <c r="BN119" s="456"/>
      <c r="BO119" s="456"/>
    </row>
    <row r="120" spans="1:67" s="469" customFormat="1" ht="23.25" x14ac:dyDescent="0.25">
      <c r="A120" s="507" t="s">
        <v>232</v>
      </c>
      <c r="B120" s="493" t="s">
        <v>881</v>
      </c>
      <c r="C120" s="2697" t="s">
        <v>883</v>
      </c>
      <c r="D120" s="2697"/>
      <c r="E120" s="2697"/>
      <c r="F120" s="2697"/>
      <c r="G120" s="2697"/>
      <c r="H120" s="494" t="s">
        <v>801</v>
      </c>
      <c r="I120" s="500">
        <v>7.1</v>
      </c>
      <c r="J120" s="495"/>
      <c r="K120" s="500">
        <v>7.1</v>
      </c>
      <c r="L120" s="502">
        <v>105278.81</v>
      </c>
      <c r="M120" s="509">
        <v>1.1599999999999999</v>
      </c>
      <c r="N120" s="502">
        <v>122123.42</v>
      </c>
      <c r="O120" s="495"/>
      <c r="P120" s="498">
        <v>867076.28</v>
      </c>
      <c r="Q120" s="454"/>
      <c r="R120" s="454"/>
      <c r="S120" s="454"/>
      <c r="T120" s="454"/>
      <c r="U120" s="454"/>
      <c r="V120" s="454"/>
      <c r="W120" s="454"/>
      <c r="X120" s="454"/>
      <c r="Y120" s="454"/>
      <c r="Z120" s="454"/>
      <c r="AA120" s="454"/>
      <c r="AB120" s="456"/>
      <c r="AC120" s="456"/>
      <c r="AD120" s="456"/>
      <c r="AE120" s="456"/>
      <c r="AF120" s="456"/>
      <c r="AG120" s="456"/>
      <c r="AH120" s="456"/>
      <c r="AI120" s="456"/>
      <c r="AJ120" s="456"/>
      <c r="AK120" s="456"/>
      <c r="AL120" s="456"/>
      <c r="AM120" s="456"/>
      <c r="AN120" s="481"/>
      <c r="AO120" s="481"/>
      <c r="AP120" s="481"/>
      <c r="AQ120" s="491"/>
      <c r="AR120" s="456"/>
      <c r="AS120" s="456"/>
      <c r="AT120" s="456"/>
      <c r="AU120" s="522"/>
      <c r="AV120" s="481"/>
      <c r="AW120" s="456"/>
      <c r="AX120" s="481"/>
      <c r="AY120" s="491"/>
      <c r="AZ120" s="456" t="s">
        <v>883</v>
      </c>
      <c r="BA120" s="456"/>
      <c r="BB120" s="456"/>
      <c r="BC120" s="456"/>
      <c r="BD120" s="456"/>
      <c r="BE120" s="456"/>
      <c r="BF120" s="456"/>
      <c r="BG120" s="456"/>
      <c r="BH120" s="456"/>
      <c r="BI120" s="456"/>
      <c r="BJ120" s="456"/>
      <c r="BK120" s="456"/>
      <c r="BL120" s="456"/>
      <c r="BM120" s="456"/>
      <c r="BN120" s="456"/>
      <c r="BO120" s="456"/>
    </row>
    <row r="121" spans="1:67" s="469" customFormat="1" ht="57" x14ac:dyDescent="0.25">
      <c r="A121" s="507" t="s">
        <v>237</v>
      </c>
      <c r="B121" s="493" t="s">
        <v>884</v>
      </c>
      <c r="C121" s="2697" t="s">
        <v>885</v>
      </c>
      <c r="D121" s="2697"/>
      <c r="E121" s="2697"/>
      <c r="F121" s="2697"/>
      <c r="G121" s="2697"/>
      <c r="H121" s="494" t="s">
        <v>801</v>
      </c>
      <c r="I121" s="495"/>
      <c r="J121" s="495"/>
      <c r="K121" s="500">
        <v>7.1</v>
      </c>
      <c r="L121" s="497"/>
      <c r="M121" s="495"/>
      <c r="N121" s="508">
        <v>-336.27</v>
      </c>
      <c r="O121" s="495"/>
      <c r="P121" s="498">
        <v>-2387.52</v>
      </c>
      <c r="Q121" s="454"/>
      <c r="R121" s="454"/>
      <c r="S121" s="454"/>
      <c r="T121" s="454"/>
      <c r="U121" s="454"/>
      <c r="V121" s="454"/>
      <c r="W121" s="454"/>
      <c r="X121" s="454"/>
      <c r="Y121" s="454"/>
      <c r="Z121" s="454"/>
      <c r="AA121" s="454"/>
      <c r="AB121" s="456"/>
      <c r="AC121" s="456"/>
      <c r="AD121" s="456"/>
      <c r="AE121" s="456"/>
      <c r="AF121" s="456"/>
      <c r="AG121" s="456"/>
      <c r="AH121" s="456"/>
      <c r="AI121" s="456"/>
      <c r="AJ121" s="456"/>
      <c r="AK121" s="456"/>
      <c r="AL121" s="456"/>
      <c r="AM121" s="456"/>
      <c r="AN121" s="481"/>
      <c r="AO121" s="481"/>
      <c r="AP121" s="481"/>
      <c r="AQ121" s="491"/>
      <c r="AR121" s="456"/>
      <c r="AS121" s="456"/>
      <c r="AT121" s="456"/>
      <c r="AU121" s="522"/>
      <c r="AV121" s="481"/>
      <c r="AW121" s="456"/>
      <c r="AX121" s="481"/>
      <c r="AY121" s="491"/>
      <c r="AZ121" s="456"/>
      <c r="BA121" s="456" t="s">
        <v>885</v>
      </c>
      <c r="BB121" s="456"/>
      <c r="BC121" s="456"/>
      <c r="BD121" s="456"/>
      <c r="BE121" s="456"/>
      <c r="BF121" s="456"/>
      <c r="BG121" s="456"/>
      <c r="BH121" s="456"/>
      <c r="BI121" s="456"/>
      <c r="BJ121" s="456"/>
      <c r="BK121" s="456"/>
      <c r="BL121" s="456"/>
      <c r="BM121" s="456"/>
      <c r="BN121" s="456"/>
      <c r="BO121" s="456"/>
    </row>
    <row r="122" spans="1:67" s="469" customFormat="1" ht="57" x14ac:dyDescent="0.25">
      <c r="A122" s="507" t="s">
        <v>511</v>
      </c>
      <c r="B122" s="493" t="s">
        <v>886</v>
      </c>
      <c r="C122" s="2697" t="s">
        <v>887</v>
      </c>
      <c r="D122" s="2697"/>
      <c r="E122" s="2697"/>
      <c r="F122" s="2697"/>
      <c r="G122" s="2697"/>
      <c r="H122" s="494" t="s">
        <v>801</v>
      </c>
      <c r="I122" s="495"/>
      <c r="J122" s="495"/>
      <c r="K122" s="500">
        <v>7.1</v>
      </c>
      <c r="L122" s="497"/>
      <c r="M122" s="495"/>
      <c r="N122" s="508">
        <v>657.2</v>
      </c>
      <c r="O122" s="495"/>
      <c r="P122" s="498">
        <v>4666.12</v>
      </c>
      <c r="Q122" s="454"/>
      <c r="R122" s="454"/>
      <c r="S122" s="454"/>
      <c r="T122" s="454"/>
      <c r="U122" s="454"/>
      <c r="V122" s="454"/>
      <c r="W122" s="454"/>
      <c r="X122" s="454"/>
      <c r="Y122" s="454"/>
      <c r="Z122" s="454"/>
      <c r="AA122" s="454"/>
      <c r="AB122" s="456"/>
      <c r="AC122" s="456"/>
      <c r="AD122" s="456"/>
      <c r="AE122" s="456"/>
      <c r="AF122" s="456"/>
      <c r="AG122" s="456"/>
      <c r="AH122" s="456"/>
      <c r="AI122" s="456"/>
      <c r="AJ122" s="456"/>
      <c r="AK122" s="456"/>
      <c r="AL122" s="456"/>
      <c r="AM122" s="456"/>
      <c r="AN122" s="481"/>
      <c r="AO122" s="481"/>
      <c r="AP122" s="481"/>
      <c r="AQ122" s="491"/>
      <c r="AR122" s="456"/>
      <c r="AS122" s="456"/>
      <c r="AT122" s="456"/>
      <c r="AU122" s="522"/>
      <c r="AV122" s="481"/>
      <c r="AW122" s="456"/>
      <c r="AX122" s="481"/>
      <c r="AY122" s="491"/>
      <c r="AZ122" s="456"/>
      <c r="BA122" s="456" t="s">
        <v>887</v>
      </c>
      <c r="BB122" s="456"/>
      <c r="BC122" s="456"/>
      <c r="BD122" s="456"/>
      <c r="BE122" s="456"/>
      <c r="BF122" s="456"/>
      <c r="BG122" s="456"/>
      <c r="BH122" s="456"/>
      <c r="BI122" s="456"/>
      <c r="BJ122" s="456"/>
      <c r="BK122" s="456"/>
      <c r="BL122" s="456"/>
      <c r="BM122" s="456"/>
      <c r="BN122" s="456"/>
      <c r="BO122" s="456"/>
    </row>
    <row r="123" spans="1:67" s="469" customFormat="1" ht="15" x14ac:dyDescent="0.25">
      <c r="A123" s="526"/>
      <c r="B123" s="567"/>
      <c r="C123" s="2722" t="s">
        <v>872</v>
      </c>
      <c r="D123" s="2722"/>
      <c r="E123" s="2722"/>
      <c r="F123" s="2722"/>
      <c r="G123" s="2722"/>
      <c r="H123" s="483"/>
      <c r="I123" s="484"/>
      <c r="J123" s="484"/>
      <c r="K123" s="484"/>
      <c r="L123" s="487"/>
      <c r="M123" s="484"/>
      <c r="N123" s="487"/>
      <c r="O123" s="484"/>
      <c r="P123" s="525">
        <v>869354.88</v>
      </c>
      <c r="Q123" s="454"/>
      <c r="R123" s="454"/>
      <c r="S123" s="454"/>
      <c r="T123" s="454"/>
      <c r="U123" s="454"/>
      <c r="V123" s="454"/>
      <c r="W123" s="454"/>
      <c r="X123" s="454"/>
      <c r="Y123" s="454"/>
      <c r="Z123" s="454"/>
      <c r="AA123" s="454"/>
      <c r="AB123" s="456"/>
      <c r="AC123" s="456"/>
      <c r="AD123" s="456"/>
      <c r="AE123" s="456"/>
      <c r="AF123" s="456"/>
      <c r="AG123" s="456"/>
      <c r="AH123" s="456"/>
      <c r="AI123" s="456"/>
      <c r="AJ123" s="456"/>
      <c r="AK123" s="456"/>
      <c r="AL123" s="456"/>
      <c r="AM123" s="456"/>
      <c r="AN123" s="481"/>
      <c r="AO123" s="481"/>
      <c r="AP123" s="481"/>
      <c r="AQ123" s="491"/>
      <c r="AR123" s="456"/>
      <c r="AS123" s="456"/>
      <c r="AT123" s="456"/>
      <c r="AU123" s="522"/>
      <c r="AV123" s="481"/>
      <c r="AW123" s="456"/>
      <c r="AX123" s="481" t="s">
        <v>872</v>
      </c>
      <c r="AY123" s="491"/>
      <c r="AZ123" s="456"/>
      <c r="BA123" s="456"/>
      <c r="BB123" s="456"/>
      <c r="BC123" s="456"/>
      <c r="BD123" s="456"/>
      <c r="BE123" s="456"/>
      <c r="BF123" s="456"/>
      <c r="BG123" s="456"/>
      <c r="BH123" s="456"/>
      <c r="BI123" s="456"/>
      <c r="BJ123" s="456"/>
      <c r="BK123" s="456"/>
      <c r="BL123" s="456"/>
      <c r="BM123" s="456"/>
      <c r="BN123" s="456"/>
      <c r="BO123" s="456"/>
    </row>
    <row r="124" spans="1:67" s="469" customFormat="1" ht="15" x14ac:dyDescent="0.25">
      <c r="A124" s="2716" t="s">
        <v>4061</v>
      </c>
      <c r="B124" s="2717"/>
      <c r="C124" s="2717"/>
      <c r="D124" s="2717"/>
      <c r="E124" s="2717"/>
      <c r="F124" s="2717"/>
      <c r="G124" s="2717"/>
      <c r="H124" s="2717"/>
      <c r="I124" s="2717"/>
      <c r="J124" s="2717"/>
      <c r="K124" s="2717"/>
      <c r="L124" s="2717"/>
      <c r="M124" s="2717"/>
      <c r="N124" s="2717"/>
      <c r="O124" s="2717"/>
      <c r="P124" s="2718"/>
      <c r="Q124" s="454"/>
      <c r="R124" s="454"/>
      <c r="S124" s="454"/>
      <c r="T124" s="454"/>
      <c r="U124" s="454"/>
      <c r="V124" s="454"/>
      <c r="W124" s="454"/>
      <c r="X124" s="454"/>
      <c r="Y124" s="454"/>
      <c r="Z124" s="454"/>
      <c r="AA124" s="454"/>
      <c r="AB124" s="456"/>
      <c r="AC124" s="456"/>
      <c r="AD124" s="456"/>
      <c r="AE124" s="456"/>
      <c r="AF124" s="456"/>
      <c r="AG124" s="456"/>
      <c r="AH124" s="456"/>
      <c r="AI124" s="456"/>
      <c r="AJ124" s="456"/>
      <c r="AK124" s="456"/>
      <c r="AL124" s="456"/>
      <c r="AM124" s="456"/>
      <c r="AN124" s="481"/>
      <c r="AO124" s="481" t="s">
        <v>4061</v>
      </c>
      <c r="AP124" s="481"/>
      <c r="AQ124" s="491"/>
      <c r="AR124" s="456"/>
      <c r="AS124" s="456"/>
      <c r="AT124" s="456"/>
      <c r="AU124" s="522"/>
      <c r="AV124" s="481"/>
      <c r="AW124" s="456"/>
      <c r="AX124" s="481"/>
      <c r="AY124" s="491"/>
      <c r="AZ124" s="456"/>
      <c r="BA124" s="456"/>
      <c r="BB124" s="456"/>
      <c r="BC124" s="456"/>
      <c r="BD124" s="456"/>
      <c r="BE124" s="456"/>
      <c r="BF124" s="456"/>
      <c r="BG124" s="456"/>
      <c r="BH124" s="456"/>
      <c r="BI124" s="456"/>
      <c r="BJ124" s="456"/>
      <c r="BK124" s="456"/>
      <c r="BL124" s="456"/>
      <c r="BM124" s="456"/>
      <c r="BN124" s="456"/>
      <c r="BO124" s="456"/>
    </row>
    <row r="125" spans="1:67" s="469" customFormat="1" ht="23.25" x14ac:dyDescent="0.25">
      <c r="A125" s="482" t="s">
        <v>233</v>
      </c>
      <c r="B125" s="568" t="s">
        <v>799</v>
      </c>
      <c r="C125" s="2746" t="s">
        <v>800</v>
      </c>
      <c r="D125" s="2746"/>
      <c r="E125" s="2746"/>
      <c r="F125" s="2746"/>
      <c r="G125" s="2746"/>
      <c r="H125" s="483" t="s">
        <v>801</v>
      </c>
      <c r="I125" s="484">
        <v>1.1000000000000001</v>
      </c>
      <c r="J125" s="485">
        <v>1</v>
      </c>
      <c r="K125" s="486">
        <v>1.1000000000000001</v>
      </c>
      <c r="L125" s="487"/>
      <c r="M125" s="484"/>
      <c r="N125" s="487"/>
      <c r="O125" s="484"/>
      <c r="P125" s="488"/>
      <c r="Q125" s="454"/>
      <c r="R125" s="454"/>
      <c r="S125" s="454"/>
      <c r="T125" s="454"/>
      <c r="U125" s="454"/>
      <c r="V125" s="454"/>
      <c r="W125" s="454"/>
      <c r="X125" s="454"/>
      <c r="Y125" s="454"/>
      <c r="Z125" s="454"/>
      <c r="AA125" s="454"/>
      <c r="AB125" s="456"/>
      <c r="AC125" s="456"/>
      <c r="AD125" s="456"/>
      <c r="AE125" s="456"/>
      <c r="AF125" s="456"/>
      <c r="AG125" s="456"/>
      <c r="AH125" s="456"/>
      <c r="AI125" s="456"/>
      <c r="AJ125" s="456"/>
      <c r="AK125" s="456"/>
      <c r="AL125" s="456"/>
      <c r="AM125" s="456"/>
      <c r="AN125" s="481"/>
      <c r="AO125" s="481"/>
      <c r="AP125" s="481" t="s">
        <v>800</v>
      </c>
      <c r="AQ125" s="491"/>
      <c r="AR125" s="456"/>
      <c r="AS125" s="456"/>
      <c r="AT125" s="456"/>
      <c r="AU125" s="522"/>
      <c r="AV125" s="481"/>
      <c r="AW125" s="456"/>
      <c r="AX125" s="481"/>
      <c r="AY125" s="491"/>
      <c r="AZ125" s="456"/>
      <c r="BA125" s="456"/>
      <c r="BB125" s="456"/>
      <c r="BC125" s="456"/>
      <c r="BD125" s="456"/>
      <c r="BE125" s="456"/>
      <c r="BF125" s="456"/>
      <c r="BG125" s="456"/>
      <c r="BH125" s="456"/>
      <c r="BI125" s="456"/>
      <c r="BJ125" s="456"/>
      <c r="BK125" s="456"/>
      <c r="BL125" s="456"/>
      <c r="BM125" s="456"/>
      <c r="BN125" s="456"/>
      <c r="BO125" s="456"/>
    </row>
    <row r="126" spans="1:67" s="469" customFormat="1" ht="22.5" x14ac:dyDescent="0.25">
      <c r="A126" s="489"/>
      <c r="B126" s="490" t="s">
        <v>802</v>
      </c>
      <c r="C126" s="2709" t="s">
        <v>803</v>
      </c>
      <c r="D126" s="2709"/>
      <c r="E126" s="2709"/>
      <c r="F126" s="2709"/>
      <c r="G126" s="2709"/>
      <c r="H126" s="2709"/>
      <c r="I126" s="2709"/>
      <c r="J126" s="2709"/>
      <c r="K126" s="2709"/>
      <c r="L126" s="2709"/>
      <c r="M126" s="2709"/>
      <c r="N126" s="2709"/>
      <c r="O126" s="2709"/>
      <c r="P126" s="2710"/>
      <c r="Q126" s="454"/>
      <c r="R126" s="454"/>
      <c r="S126" s="454"/>
      <c r="T126" s="454"/>
      <c r="U126" s="454"/>
      <c r="V126" s="454"/>
      <c r="W126" s="454"/>
      <c r="X126" s="454"/>
      <c r="Y126" s="454"/>
      <c r="Z126" s="454"/>
      <c r="AA126" s="454"/>
      <c r="AB126" s="456"/>
      <c r="AC126" s="456"/>
      <c r="AD126" s="456"/>
      <c r="AE126" s="456"/>
      <c r="AF126" s="456"/>
      <c r="AG126" s="456"/>
      <c r="AH126" s="456"/>
      <c r="AI126" s="456"/>
      <c r="AJ126" s="456"/>
      <c r="AK126" s="456"/>
      <c r="AL126" s="456"/>
      <c r="AM126" s="456"/>
      <c r="AN126" s="481"/>
      <c r="AO126" s="481"/>
      <c r="AP126" s="481"/>
      <c r="AQ126" s="491" t="s">
        <v>803</v>
      </c>
      <c r="AR126" s="456"/>
      <c r="AS126" s="456"/>
      <c r="AT126" s="456"/>
      <c r="AU126" s="522"/>
      <c r="AV126" s="481"/>
      <c r="AW126" s="456"/>
      <c r="AX126" s="481"/>
      <c r="AY126" s="491"/>
      <c r="AZ126" s="456"/>
      <c r="BA126" s="456"/>
      <c r="BB126" s="456"/>
      <c r="BC126" s="456"/>
      <c r="BD126" s="456"/>
      <c r="BE126" s="456"/>
      <c r="BF126" s="456"/>
      <c r="BG126" s="456"/>
      <c r="BH126" s="456"/>
      <c r="BI126" s="456"/>
      <c r="BJ126" s="456"/>
      <c r="BK126" s="456"/>
      <c r="BL126" s="456"/>
      <c r="BM126" s="456"/>
      <c r="BN126" s="456"/>
      <c r="BO126" s="456"/>
    </row>
    <row r="127" spans="1:67" s="469" customFormat="1" ht="33.75" x14ac:dyDescent="0.25">
      <c r="A127" s="489"/>
      <c r="B127" s="490" t="s">
        <v>804</v>
      </c>
      <c r="C127" s="2709" t="s">
        <v>805</v>
      </c>
      <c r="D127" s="2709"/>
      <c r="E127" s="2709"/>
      <c r="F127" s="2709"/>
      <c r="G127" s="2709"/>
      <c r="H127" s="2709"/>
      <c r="I127" s="2709"/>
      <c r="J127" s="2709"/>
      <c r="K127" s="2709"/>
      <c r="L127" s="2709"/>
      <c r="M127" s="2709"/>
      <c r="N127" s="2709"/>
      <c r="O127" s="2709"/>
      <c r="P127" s="2710"/>
      <c r="Q127" s="454"/>
      <c r="R127" s="454"/>
      <c r="S127" s="454"/>
      <c r="T127" s="454"/>
      <c r="U127" s="454"/>
      <c r="V127" s="454"/>
      <c r="W127" s="454"/>
      <c r="X127" s="454"/>
      <c r="Y127" s="454"/>
      <c r="Z127" s="454"/>
      <c r="AA127" s="454"/>
      <c r="AB127" s="456"/>
      <c r="AC127" s="456"/>
      <c r="AD127" s="456"/>
      <c r="AE127" s="456"/>
      <c r="AF127" s="456"/>
      <c r="AG127" s="456"/>
      <c r="AH127" s="456"/>
      <c r="AI127" s="456"/>
      <c r="AJ127" s="456"/>
      <c r="AK127" s="456"/>
      <c r="AL127" s="456"/>
      <c r="AM127" s="456"/>
      <c r="AN127" s="481"/>
      <c r="AO127" s="481"/>
      <c r="AP127" s="481"/>
      <c r="AQ127" s="491" t="s">
        <v>805</v>
      </c>
      <c r="AR127" s="456"/>
      <c r="AS127" s="456"/>
      <c r="AT127" s="456"/>
      <c r="AU127" s="522"/>
      <c r="AV127" s="481"/>
      <c r="AW127" s="456"/>
      <c r="AX127" s="481"/>
      <c r="AY127" s="491"/>
      <c r="AZ127" s="456"/>
      <c r="BA127" s="456"/>
      <c r="BB127" s="456"/>
      <c r="BC127" s="456"/>
      <c r="BD127" s="456"/>
      <c r="BE127" s="456"/>
      <c r="BF127" s="456"/>
      <c r="BG127" s="456"/>
      <c r="BH127" s="456"/>
      <c r="BI127" s="456"/>
      <c r="BJ127" s="456"/>
      <c r="BK127" s="456"/>
      <c r="BL127" s="456"/>
      <c r="BM127" s="456"/>
      <c r="BN127" s="456"/>
      <c r="BO127" s="456"/>
    </row>
    <row r="128" spans="1:67" s="469" customFormat="1" ht="15" x14ac:dyDescent="0.25">
      <c r="A128" s="492"/>
      <c r="B128" s="493" t="s">
        <v>190</v>
      </c>
      <c r="C128" s="2697" t="s">
        <v>806</v>
      </c>
      <c r="D128" s="2697"/>
      <c r="E128" s="2697"/>
      <c r="F128" s="2697"/>
      <c r="G128" s="2697"/>
      <c r="H128" s="494" t="s">
        <v>807</v>
      </c>
      <c r="I128" s="495"/>
      <c r="J128" s="495"/>
      <c r="K128" s="504">
        <v>37.318049999999999</v>
      </c>
      <c r="L128" s="497"/>
      <c r="M128" s="495"/>
      <c r="N128" s="497"/>
      <c r="O128" s="495"/>
      <c r="P128" s="498">
        <v>9677.32</v>
      </c>
      <c r="Q128" s="454"/>
      <c r="R128" s="454"/>
      <c r="S128" s="454"/>
      <c r="T128" s="454"/>
      <c r="U128" s="454"/>
      <c r="V128" s="454"/>
      <c r="W128" s="454"/>
      <c r="X128" s="454"/>
      <c r="Y128" s="454"/>
      <c r="Z128" s="454"/>
      <c r="AA128" s="454"/>
      <c r="AB128" s="456"/>
      <c r="AC128" s="456"/>
      <c r="AD128" s="456"/>
      <c r="AE128" s="456"/>
      <c r="AF128" s="456"/>
      <c r="AG128" s="456"/>
      <c r="AH128" s="456"/>
      <c r="AI128" s="456"/>
      <c r="AJ128" s="456"/>
      <c r="AK128" s="456"/>
      <c r="AL128" s="456"/>
      <c r="AM128" s="456"/>
      <c r="AN128" s="481"/>
      <c r="AO128" s="481"/>
      <c r="AP128" s="481"/>
      <c r="AQ128" s="491"/>
      <c r="AR128" s="456" t="s">
        <v>806</v>
      </c>
      <c r="AS128" s="456"/>
      <c r="AT128" s="456"/>
      <c r="AU128" s="522"/>
      <c r="AV128" s="481"/>
      <c r="AW128" s="456"/>
      <c r="AX128" s="481"/>
      <c r="AY128" s="491"/>
      <c r="AZ128" s="456"/>
      <c r="BA128" s="456"/>
      <c r="BB128" s="456"/>
      <c r="BC128" s="456"/>
      <c r="BD128" s="456"/>
      <c r="BE128" s="456"/>
      <c r="BF128" s="456"/>
      <c r="BG128" s="456"/>
      <c r="BH128" s="456"/>
      <c r="BI128" s="456"/>
      <c r="BJ128" s="456"/>
      <c r="BK128" s="456"/>
      <c r="BL128" s="456"/>
      <c r="BM128" s="456"/>
      <c r="BN128" s="456"/>
      <c r="BO128" s="456"/>
    </row>
    <row r="129" spans="1:67" s="469" customFormat="1" ht="22.5" x14ac:dyDescent="0.25">
      <c r="A129" s="499"/>
      <c r="B129" s="493" t="s">
        <v>808</v>
      </c>
      <c r="C129" s="2697" t="s">
        <v>809</v>
      </c>
      <c r="D129" s="2697"/>
      <c r="E129" s="2697"/>
      <c r="F129" s="2697"/>
      <c r="G129" s="2697"/>
      <c r="H129" s="494" t="s">
        <v>807</v>
      </c>
      <c r="I129" s="500">
        <v>35.9</v>
      </c>
      <c r="J129" s="495" t="s">
        <v>810</v>
      </c>
      <c r="K129" s="504">
        <v>37.318049999999999</v>
      </c>
      <c r="L129" s="501"/>
      <c r="M129" s="564"/>
      <c r="N129" s="502">
        <v>259.32</v>
      </c>
      <c r="O129" s="495"/>
      <c r="P129" s="498">
        <v>9677.32</v>
      </c>
      <c r="Q129" s="503"/>
      <c r="R129" s="503"/>
      <c r="S129" s="454"/>
      <c r="T129" s="454"/>
      <c r="U129" s="454"/>
      <c r="V129" s="454"/>
      <c r="W129" s="454"/>
      <c r="X129" s="454"/>
      <c r="Y129" s="454"/>
      <c r="Z129" s="454"/>
      <c r="AA129" s="454"/>
      <c r="AB129" s="456"/>
      <c r="AC129" s="456"/>
      <c r="AD129" s="456"/>
      <c r="AE129" s="456"/>
      <c r="AF129" s="456"/>
      <c r="AG129" s="456"/>
      <c r="AH129" s="456"/>
      <c r="AI129" s="456"/>
      <c r="AJ129" s="456"/>
      <c r="AK129" s="456"/>
      <c r="AL129" s="456"/>
      <c r="AM129" s="456"/>
      <c r="AN129" s="481"/>
      <c r="AO129" s="481"/>
      <c r="AP129" s="481"/>
      <c r="AQ129" s="491"/>
      <c r="AR129" s="456"/>
      <c r="AS129" s="456" t="s">
        <v>809</v>
      </c>
      <c r="AT129" s="456"/>
      <c r="AU129" s="522"/>
      <c r="AV129" s="481"/>
      <c r="AW129" s="456"/>
      <c r="AX129" s="481"/>
      <c r="AY129" s="491"/>
      <c r="AZ129" s="456"/>
      <c r="BA129" s="456"/>
      <c r="BB129" s="456"/>
      <c r="BC129" s="456"/>
      <c r="BD129" s="456"/>
      <c r="BE129" s="456"/>
      <c r="BF129" s="456"/>
      <c r="BG129" s="456"/>
      <c r="BH129" s="456"/>
      <c r="BI129" s="456"/>
      <c r="BJ129" s="456"/>
      <c r="BK129" s="456"/>
      <c r="BL129" s="456"/>
      <c r="BM129" s="456"/>
      <c r="BN129" s="456"/>
      <c r="BO129" s="456"/>
    </row>
    <row r="130" spans="1:67" s="469" customFormat="1" ht="15" x14ac:dyDescent="0.25">
      <c r="A130" s="492"/>
      <c r="B130" s="493" t="s">
        <v>639</v>
      </c>
      <c r="C130" s="2697" t="s">
        <v>697</v>
      </c>
      <c r="D130" s="2697"/>
      <c r="E130" s="2697"/>
      <c r="F130" s="2697"/>
      <c r="G130" s="2697"/>
      <c r="H130" s="494"/>
      <c r="I130" s="495"/>
      <c r="J130" s="495"/>
      <c r="K130" s="495"/>
      <c r="L130" s="497"/>
      <c r="M130" s="495"/>
      <c r="N130" s="497"/>
      <c r="O130" s="495"/>
      <c r="P130" s="498">
        <v>6529.71</v>
      </c>
      <c r="Q130" s="454"/>
      <c r="R130" s="454"/>
      <c r="S130" s="454"/>
      <c r="T130" s="454"/>
      <c r="U130" s="454"/>
      <c r="V130" s="454"/>
      <c r="W130" s="454"/>
      <c r="X130" s="454"/>
      <c r="Y130" s="454"/>
      <c r="Z130" s="454"/>
      <c r="AA130" s="454"/>
      <c r="AB130" s="456"/>
      <c r="AC130" s="456"/>
      <c r="AD130" s="456"/>
      <c r="AE130" s="456"/>
      <c r="AF130" s="456"/>
      <c r="AG130" s="456"/>
      <c r="AH130" s="456"/>
      <c r="AI130" s="456"/>
      <c r="AJ130" s="456"/>
      <c r="AK130" s="456"/>
      <c r="AL130" s="456"/>
      <c r="AM130" s="456"/>
      <c r="AN130" s="481"/>
      <c r="AO130" s="481"/>
      <c r="AP130" s="481"/>
      <c r="AQ130" s="491"/>
      <c r="AR130" s="456" t="s">
        <v>697</v>
      </c>
      <c r="AS130" s="456"/>
      <c r="AT130" s="456"/>
      <c r="AU130" s="522"/>
      <c r="AV130" s="481"/>
      <c r="AW130" s="456"/>
      <c r="AX130" s="481"/>
      <c r="AY130" s="491"/>
      <c r="AZ130" s="456"/>
      <c r="BA130" s="456"/>
      <c r="BB130" s="456"/>
      <c r="BC130" s="456"/>
      <c r="BD130" s="456"/>
      <c r="BE130" s="456"/>
      <c r="BF130" s="456"/>
      <c r="BG130" s="456"/>
      <c r="BH130" s="456"/>
      <c r="BI130" s="456"/>
      <c r="BJ130" s="456"/>
      <c r="BK130" s="456"/>
      <c r="BL130" s="456"/>
      <c r="BM130" s="456"/>
      <c r="BN130" s="456"/>
      <c r="BO130" s="456"/>
    </row>
    <row r="131" spans="1:67" s="469" customFormat="1" ht="15" x14ac:dyDescent="0.25">
      <c r="A131" s="492"/>
      <c r="B131" s="493"/>
      <c r="C131" s="2697" t="s">
        <v>811</v>
      </c>
      <c r="D131" s="2697"/>
      <c r="E131" s="2697"/>
      <c r="F131" s="2697"/>
      <c r="G131" s="2697"/>
      <c r="H131" s="494" t="s">
        <v>807</v>
      </c>
      <c r="I131" s="495"/>
      <c r="J131" s="495"/>
      <c r="K131" s="504">
        <v>4.5945900000000002</v>
      </c>
      <c r="L131" s="497"/>
      <c r="M131" s="495"/>
      <c r="N131" s="497"/>
      <c r="O131" s="495"/>
      <c r="P131" s="498">
        <v>1657.06</v>
      </c>
      <c r="Q131" s="454"/>
      <c r="R131" s="454"/>
      <c r="S131" s="454"/>
      <c r="T131" s="454"/>
      <c r="U131" s="454"/>
      <c r="V131" s="454"/>
      <c r="W131" s="454"/>
      <c r="X131" s="454"/>
      <c r="Y131" s="454"/>
      <c r="Z131" s="454"/>
      <c r="AA131" s="454"/>
      <c r="AB131" s="456"/>
      <c r="AC131" s="456"/>
      <c r="AD131" s="456"/>
      <c r="AE131" s="456"/>
      <c r="AF131" s="456"/>
      <c r="AG131" s="456"/>
      <c r="AH131" s="456"/>
      <c r="AI131" s="456"/>
      <c r="AJ131" s="456"/>
      <c r="AK131" s="456"/>
      <c r="AL131" s="456"/>
      <c r="AM131" s="456"/>
      <c r="AN131" s="481"/>
      <c r="AO131" s="481"/>
      <c r="AP131" s="481"/>
      <c r="AQ131" s="491"/>
      <c r="AR131" s="456" t="s">
        <v>811</v>
      </c>
      <c r="AS131" s="456"/>
      <c r="AT131" s="456"/>
      <c r="AU131" s="522"/>
      <c r="AV131" s="481"/>
      <c r="AW131" s="456"/>
      <c r="AX131" s="481"/>
      <c r="AY131" s="491"/>
      <c r="AZ131" s="456"/>
      <c r="BA131" s="456"/>
      <c r="BB131" s="456"/>
      <c r="BC131" s="456"/>
      <c r="BD131" s="456"/>
      <c r="BE131" s="456"/>
      <c r="BF131" s="456"/>
      <c r="BG131" s="456"/>
      <c r="BH131" s="456"/>
      <c r="BI131" s="456"/>
      <c r="BJ131" s="456"/>
      <c r="BK131" s="456"/>
      <c r="BL131" s="456"/>
      <c r="BM131" s="456"/>
      <c r="BN131" s="456"/>
      <c r="BO131" s="456"/>
    </row>
    <row r="132" spans="1:67" s="469" customFormat="1" ht="22.5" x14ac:dyDescent="0.25">
      <c r="A132" s="499"/>
      <c r="B132" s="493" t="s">
        <v>812</v>
      </c>
      <c r="C132" s="2697" t="s">
        <v>813</v>
      </c>
      <c r="D132" s="2697"/>
      <c r="E132" s="2697"/>
      <c r="F132" s="2697"/>
      <c r="G132" s="2697"/>
      <c r="H132" s="494" t="s">
        <v>814</v>
      </c>
      <c r="I132" s="500">
        <v>0.1</v>
      </c>
      <c r="J132" s="495" t="s">
        <v>810</v>
      </c>
      <c r="K132" s="504">
        <v>0.10395</v>
      </c>
      <c r="L132" s="505">
        <v>1803.79</v>
      </c>
      <c r="M132" s="506">
        <v>1.1399999999999999</v>
      </c>
      <c r="N132" s="502">
        <v>2056.3200000000002</v>
      </c>
      <c r="O132" s="495"/>
      <c r="P132" s="498">
        <v>213.75</v>
      </c>
      <c r="Q132" s="503"/>
      <c r="R132" s="503"/>
      <c r="S132" s="454"/>
      <c r="T132" s="454"/>
      <c r="U132" s="454"/>
      <c r="V132" s="454"/>
      <c r="W132" s="454"/>
      <c r="X132" s="454"/>
      <c r="Y132" s="454"/>
      <c r="Z132" s="454"/>
      <c r="AA132" s="454"/>
      <c r="AB132" s="456"/>
      <c r="AC132" s="456"/>
      <c r="AD132" s="456"/>
      <c r="AE132" s="456"/>
      <c r="AF132" s="456"/>
      <c r="AG132" s="456"/>
      <c r="AH132" s="456"/>
      <c r="AI132" s="456"/>
      <c r="AJ132" s="456"/>
      <c r="AK132" s="456"/>
      <c r="AL132" s="456"/>
      <c r="AM132" s="456"/>
      <c r="AN132" s="481"/>
      <c r="AO132" s="481"/>
      <c r="AP132" s="481"/>
      <c r="AQ132" s="491"/>
      <c r="AR132" s="456"/>
      <c r="AS132" s="456" t="s">
        <v>813</v>
      </c>
      <c r="AT132" s="456"/>
      <c r="AU132" s="522"/>
      <c r="AV132" s="481"/>
      <c r="AW132" s="456"/>
      <c r="AX132" s="481"/>
      <c r="AY132" s="491"/>
      <c r="AZ132" s="456"/>
      <c r="BA132" s="456"/>
      <c r="BB132" s="456"/>
      <c r="BC132" s="456"/>
      <c r="BD132" s="456"/>
      <c r="BE132" s="456"/>
      <c r="BF132" s="456"/>
      <c r="BG132" s="456"/>
      <c r="BH132" s="456"/>
      <c r="BI132" s="456"/>
      <c r="BJ132" s="456"/>
      <c r="BK132" s="456"/>
      <c r="BL132" s="456"/>
      <c r="BM132" s="456"/>
      <c r="BN132" s="456"/>
      <c r="BO132" s="456"/>
    </row>
    <row r="133" spans="1:67" s="469" customFormat="1" ht="22.5" x14ac:dyDescent="0.25">
      <c r="A133" s="507"/>
      <c r="B133" s="493" t="s">
        <v>815</v>
      </c>
      <c r="C133" s="2697" t="s">
        <v>816</v>
      </c>
      <c r="D133" s="2697"/>
      <c r="E133" s="2697"/>
      <c r="F133" s="2697"/>
      <c r="G133" s="2697"/>
      <c r="H133" s="494" t="s">
        <v>807</v>
      </c>
      <c r="I133" s="500">
        <v>0.1</v>
      </c>
      <c r="J133" s="495" t="s">
        <v>810</v>
      </c>
      <c r="K133" s="504">
        <v>0.10395</v>
      </c>
      <c r="L133" s="497"/>
      <c r="M133" s="495"/>
      <c r="N133" s="508">
        <v>364.66</v>
      </c>
      <c r="O133" s="495"/>
      <c r="P133" s="512">
        <v>37.909999999999997</v>
      </c>
      <c r="Q133" s="454"/>
      <c r="R133" s="454"/>
      <c r="S133" s="454"/>
      <c r="T133" s="454"/>
      <c r="U133" s="454"/>
      <c r="V133" s="454"/>
      <c r="W133" s="454"/>
      <c r="X133" s="454"/>
      <c r="Y133" s="454"/>
      <c r="Z133" s="454"/>
      <c r="AA133" s="454"/>
      <c r="AB133" s="456"/>
      <c r="AC133" s="456"/>
      <c r="AD133" s="456"/>
      <c r="AE133" s="456"/>
      <c r="AF133" s="456"/>
      <c r="AG133" s="456"/>
      <c r="AH133" s="456"/>
      <c r="AI133" s="456"/>
      <c r="AJ133" s="456"/>
      <c r="AK133" s="456"/>
      <c r="AL133" s="456"/>
      <c r="AM133" s="456"/>
      <c r="AN133" s="481"/>
      <c r="AO133" s="481"/>
      <c r="AP133" s="481"/>
      <c r="AQ133" s="491"/>
      <c r="AR133" s="456"/>
      <c r="AS133" s="456"/>
      <c r="AT133" s="456" t="s">
        <v>816</v>
      </c>
      <c r="AU133" s="522"/>
      <c r="AV133" s="481"/>
      <c r="AW133" s="456"/>
      <c r="AX133" s="481"/>
      <c r="AY133" s="491"/>
      <c r="AZ133" s="456"/>
      <c r="BA133" s="456"/>
      <c r="BB133" s="456"/>
      <c r="BC133" s="456"/>
      <c r="BD133" s="456"/>
      <c r="BE133" s="456"/>
      <c r="BF133" s="456"/>
      <c r="BG133" s="456"/>
      <c r="BH133" s="456"/>
      <c r="BI133" s="456"/>
      <c r="BJ133" s="456"/>
      <c r="BK133" s="456"/>
      <c r="BL133" s="456"/>
      <c r="BM133" s="456"/>
      <c r="BN133" s="456"/>
      <c r="BO133" s="456"/>
    </row>
    <row r="134" spans="1:67" s="469" customFormat="1" ht="22.5" x14ac:dyDescent="0.25">
      <c r="A134" s="499"/>
      <c r="B134" s="493" t="s">
        <v>817</v>
      </c>
      <c r="C134" s="2697" t="s">
        <v>818</v>
      </c>
      <c r="D134" s="2697"/>
      <c r="E134" s="2697"/>
      <c r="F134" s="2697"/>
      <c r="G134" s="2697"/>
      <c r="H134" s="494" t="s">
        <v>814</v>
      </c>
      <c r="I134" s="509">
        <v>4.13</v>
      </c>
      <c r="J134" s="495" t="s">
        <v>810</v>
      </c>
      <c r="K134" s="528">
        <v>4.2931350000000004</v>
      </c>
      <c r="L134" s="501"/>
      <c r="M134" s="564"/>
      <c r="N134" s="502">
        <v>1374.22</v>
      </c>
      <c r="O134" s="495"/>
      <c r="P134" s="498">
        <v>5899.71</v>
      </c>
      <c r="Q134" s="503"/>
      <c r="R134" s="503"/>
      <c r="S134" s="454"/>
      <c r="T134" s="454"/>
      <c r="U134" s="454"/>
      <c r="V134" s="454"/>
      <c r="W134" s="454"/>
      <c r="X134" s="454"/>
      <c r="Y134" s="454"/>
      <c r="Z134" s="454"/>
      <c r="AA134" s="454"/>
      <c r="AB134" s="456"/>
      <c r="AC134" s="456"/>
      <c r="AD134" s="456"/>
      <c r="AE134" s="456"/>
      <c r="AF134" s="456"/>
      <c r="AG134" s="456"/>
      <c r="AH134" s="456"/>
      <c r="AI134" s="456"/>
      <c r="AJ134" s="456"/>
      <c r="AK134" s="456"/>
      <c r="AL134" s="456"/>
      <c r="AM134" s="456"/>
      <c r="AN134" s="481"/>
      <c r="AO134" s="481"/>
      <c r="AP134" s="481"/>
      <c r="AQ134" s="491"/>
      <c r="AR134" s="456"/>
      <c r="AS134" s="456" t="s">
        <v>818</v>
      </c>
      <c r="AT134" s="456"/>
      <c r="AU134" s="522"/>
      <c r="AV134" s="481"/>
      <c r="AW134" s="456"/>
      <c r="AX134" s="481"/>
      <c r="AY134" s="491"/>
      <c r="AZ134" s="456"/>
      <c r="BA134" s="456"/>
      <c r="BB134" s="456"/>
      <c r="BC134" s="456"/>
      <c r="BD134" s="456"/>
      <c r="BE134" s="456"/>
      <c r="BF134" s="456"/>
      <c r="BG134" s="456"/>
      <c r="BH134" s="456"/>
      <c r="BI134" s="456"/>
      <c r="BJ134" s="456"/>
      <c r="BK134" s="456"/>
      <c r="BL134" s="456"/>
      <c r="BM134" s="456"/>
      <c r="BN134" s="456"/>
      <c r="BO134" s="456"/>
    </row>
    <row r="135" spans="1:67" s="469" customFormat="1" ht="22.5" x14ac:dyDescent="0.25">
      <c r="A135" s="507"/>
      <c r="B135" s="493" t="s">
        <v>815</v>
      </c>
      <c r="C135" s="2697" t="s">
        <v>816</v>
      </c>
      <c r="D135" s="2697"/>
      <c r="E135" s="2697"/>
      <c r="F135" s="2697"/>
      <c r="G135" s="2697"/>
      <c r="H135" s="494" t="s">
        <v>807</v>
      </c>
      <c r="I135" s="509">
        <v>4.13</v>
      </c>
      <c r="J135" s="495" t="s">
        <v>810</v>
      </c>
      <c r="K135" s="528">
        <v>4.2931350000000004</v>
      </c>
      <c r="L135" s="497"/>
      <c r="M135" s="495"/>
      <c r="N135" s="508">
        <v>364.66</v>
      </c>
      <c r="O135" s="495"/>
      <c r="P135" s="498">
        <v>1565.53</v>
      </c>
      <c r="Q135" s="454"/>
      <c r="R135" s="454"/>
      <c r="S135" s="454"/>
      <c r="T135" s="454"/>
      <c r="U135" s="454"/>
      <c r="V135" s="454"/>
      <c r="W135" s="454"/>
      <c r="X135" s="454"/>
      <c r="Y135" s="454"/>
      <c r="Z135" s="454"/>
      <c r="AA135" s="454"/>
      <c r="AB135" s="456"/>
      <c r="AC135" s="456"/>
      <c r="AD135" s="456"/>
      <c r="AE135" s="456"/>
      <c r="AF135" s="456"/>
      <c r="AG135" s="456"/>
      <c r="AH135" s="456"/>
      <c r="AI135" s="456"/>
      <c r="AJ135" s="456"/>
      <c r="AK135" s="456"/>
      <c r="AL135" s="456"/>
      <c r="AM135" s="456"/>
      <c r="AN135" s="481"/>
      <c r="AO135" s="481"/>
      <c r="AP135" s="481"/>
      <c r="AQ135" s="491"/>
      <c r="AR135" s="456"/>
      <c r="AS135" s="456"/>
      <c r="AT135" s="456" t="s">
        <v>816</v>
      </c>
      <c r="AU135" s="522"/>
      <c r="AV135" s="481"/>
      <c r="AW135" s="456"/>
      <c r="AX135" s="481"/>
      <c r="AY135" s="491"/>
      <c r="AZ135" s="456"/>
      <c r="BA135" s="456"/>
      <c r="BB135" s="456"/>
      <c r="BC135" s="456"/>
      <c r="BD135" s="456"/>
      <c r="BE135" s="456"/>
      <c r="BF135" s="456"/>
      <c r="BG135" s="456"/>
      <c r="BH135" s="456"/>
      <c r="BI135" s="456"/>
      <c r="BJ135" s="456"/>
      <c r="BK135" s="456"/>
      <c r="BL135" s="456"/>
      <c r="BM135" s="456"/>
      <c r="BN135" s="456"/>
      <c r="BO135" s="456"/>
    </row>
    <row r="136" spans="1:67" s="469" customFormat="1" ht="22.5" x14ac:dyDescent="0.25">
      <c r="A136" s="499"/>
      <c r="B136" s="493" t="s">
        <v>819</v>
      </c>
      <c r="C136" s="2697" t="s">
        <v>820</v>
      </c>
      <c r="D136" s="2697"/>
      <c r="E136" s="2697"/>
      <c r="F136" s="2697"/>
      <c r="G136" s="2697"/>
      <c r="H136" s="494" t="s">
        <v>814</v>
      </c>
      <c r="I136" s="509">
        <v>3.17</v>
      </c>
      <c r="J136" s="495" t="s">
        <v>810</v>
      </c>
      <c r="K136" s="528">
        <v>3.2952149999999998</v>
      </c>
      <c r="L136" s="510">
        <v>1.75</v>
      </c>
      <c r="M136" s="506">
        <v>1.26</v>
      </c>
      <c r="N136" s="502">
        <v>2.21</v>
      </c>
      <c r="O136" s="495"/>
      <c r="P136" s="498">
        <v>7.28</v>
      </c>
      <c r="Q136" s="503"/>
      <c r="R136" s="503"/>
      <c r="S136" s="454"/>
      <c r="T136" s="454"/>
      <c r="U136" s="454"/>
      <c r="V136" s="454"/>
      <c r="W136" s="454"/>
      <c r="X136" s="454"/>
      <c r="Y136" s="454"/>
      <c r="Z136" s="454"/>
      <c r="AA136" s="454"/>
      <c r="AB136" s="456"/>
      <c r="AC136" s="456"/>
      <c r="AD136" s="456"/>
      <c r="AE136" s="456"/>
      <c r="AF136" s="456"/>
      <c r="AG136" s="456"/>
      <c r="AH136" s="456"/>
      <c r="AI136" s="456"/>
      <c r="AJ136" s="456"/>
      <c r="AK136" s="456"/>
      <c r="AL136" s="456"/>
      <c r="AM136" s="456"/>
      <c r="AN136" s="481"/>
      <c r="AO136" s="481"/>
      <c r="AP136" s="481"/>
      <c r="AQ136" s="491"/>
      <c r="AR136" s="456"/>
      <c r="AS136" s="456" t="s">
        <v>820</v>
      </c>
      <c r="AT136" s="456"/>
      <c r="AU136" s="522"/>
      <c r="AV136" s="481"/>
      <c r="AW136" s="456"/>
      <c r="AX136" s="481"/>
      <c r="AY136" s="491"/>
      <c r="AZ136" s="456"/>
      <c r="BA136" s="456"/>
      <c r="BB136" s="456"/>
      <c r="BC136" s="456"/>
      <c r="BD136" s="456"/>
      <c r="BE136" s="456"/>
      <c r="BF136" s="456"/>
      <c r="BG136" s="456"/>
      <c r="BH136" s="456"/>
      <c r="BI136" s="456"/>
      <c r="BJ136" s="456"/>
      <c r="BK136" s="456"/>
      <c r="BL136" s="456"/>
      <c r="BM136" s="456"/>
      <c r="BN136" s="456"/>
      <c r="BO136" s="456"/>
    </row>
    <row r="137" spans="1:67" s="469" customFormat="1" ht="22.5" x14ac:dyDescent="0.25">
      <c r="A137" s="499"/>
      <c r="B137" s="493" t="s">
        <v>821</v>
      </c>
      <c r="C137" s="2697" t="s">
        <v>822</v>
      </c>
      <c r="D137" s="2697"/>
      <c r="E137" s="2697"/>
      <c r="F137" s="2697"/>
      <c r="G137" s="2697"/>
      <c r="H137" s="494" t="s">
        <v>814</v>
      </c>
      <c r="I137" s="509">
        <v>0.19</v>
      </c>
      <c r="J137" s="495" t="s">
        <v>810</v>
      </c>
      <c r="K137" s="528">
        <v>0.19750499999999999</v>
      </c>
      <c r="L137" s="501"/>
      <c r="M137" s="564"/>
      <c r="N137" s="502">
        <v>535.19000000000005</v>
      </c>
      <c r="O137" s="495"/>
      <c r="P137" s="498">
        <v>105.7</v>
      </c>
      <c r="Q137" s="503"/>
      <c r="R137" s="503"/>
      <c r="S137" s="454"/>
      <c r="T137" s="454"/>
      <c r="U137" s="454"/>
      <c r="V137" s="454"/>
      <c r="W137" s="454"/>
      <c r="X137" s="454"/>
      <c r="Y137" s="454"/>
      <c r="Z137" s="454"/>
      <c r="AA137" s="454"/>
      <c r="AB137" s="456"/>
      <c r="AC137" s="456"/>
      <c r="AD137" s="456"/>
      <c r="AE137" s="456"/>
      <c r="AF137" s="456"/>
      <c r="AG137" s="456"/>
      <c r="AH137" s="456"/>
      <c r="AI137" s="456"/>
      <c r="AJ137" s="456"/>
      <c r="AK137" s="456"/>
      <c r="AL137" s="456"/>
      <c r="AM137" s="456"/>
      <c r="AN137" s="481"/>
      <c r="AO137" s="481"/>
      <c r="AP137" s="481"/>
      <c r="AQ137" s="491"/>
      <c r="AR137" s="456"/>
      <c r="AS137" s="456" t="s">
        <v>822</v>
      </c>
      <c r="AT137" s="456"/>
      <c r="AU137" s="522"/>
      <c r="AV137" s="481"/>
      <c r="AW137" s="456"/>
      <c r="AX137" s="481"/>
      <c r="AY137" s="491"/>
      <c r="AZ137" s="456"/>
      <c r="BA137" s="456"/>
      <c r="BB137" s="456"/>
      <c r="BC137" s="456"/>
      <c r="BD137" s="456"/>
      <c r="BE137" s="456"/>
      <c r="BF137" s="456"/>
      <c r="BG137" s="456"/>
      <c r="BH137" s="456"/>
      <c r="BI137" s="456"/>
      <c r="BJ137" s="456"/>
      <c r="BK137" s="456"/>
      <c r="BL137" s="456"/>
      <c r="BM137" s="456"/>
      <c r="BN137" s="456"/>
      <c r="BO137" s="456"/>
    </row>
    <row r="138" spans="1:67" s="469" customFormat="1" ht="22.5" x14ac:dyDescent="0.25">
      <c r="A138" s="507"/>
      <c r="B138" s="493" t="s">
        <v>823</v>
      </c>
      <c r="C138" s="2697" t="s">
        <v>824</v>
      </c>
      <c r="D138" s="2697"/>
      <c r="E138" s="2697"/>
      <c r="F138" s="2697"/>
      <c r="G138" s="2697"/>
      <c r="H138" s="494" t="s">
        <v>807</v>
      </c>
      <c r="I138" s="509">
        <v>0.19</v>
      </c>
      <c r="J138" s="495" t="s">
        <v>810</v>
      </c>
      <c r="K138" s="528">
        <v>0.19750499999999999</v>
      </c>
      <c r="L138" s="497"/>
      <c r="M138" s="495"/>
      <c r="N138" s="508">
        <v>271.47000000000003</v>
      </c>
      <c r="O138" s="495"/>
      <c r="P138" s="512">
        <v>53.62</v>
      </c>
      <c r="Q138" s="454"/>
      <c r="R138" s="454"/>
      <c r="S138" s="454"/>
      <c r="T138" s="454"/>
      <c r="U138" s="454"/>
      <c r="V138" s="454"/>
      <c r="W138" s="454"/>
      <c r="X138" s="454"/>
      <c r="Y138" s="454"/>
      <c r="Z138" s="454"/>
      <c r="AA138" s="454"/>
      <c r="AB138" s="456"/>
      <c r="AC138" s="456"/>
      <c r="AD138" s="456"/>
      <c r="AE138" s="456"/>
      <c r="AF138" s="456"/>
      <c r="AG138" s="456"/>
      <c r="AH138" s="456"/>
      <c r="AI138" s="456"/>
      <c r="AJ138" s="456"/>
      <c r="AK138" s="456"/>
      <c r="AL138" s="456"/>
      <c r="AM138" s="456"/>
      <c r="AN138" s="481"/>
      <c r="AO138" s="481"/>
      <c r="AP138" s="481"/>
      <c r="AQ138" s="491"/>
      <c r="AR138" s="456"/>
      <c r="AS138" s="456"/>
      <c r="AT138" s="456" t="s">
        <v>824</v>
      </c>
      <c r="AU138" s="522"/>
      <c r="AV138" s="481"/>
      <c r="AW138" s="456"/>
      <c r="AX138" s="481"/>
      <c r="AY138" s="491"/>
      <c r="AZ138" s="456"/>
      <c r="BA138" s="456"/>
      <c r="BB138" s="456"/>
      <c r="BC138" s="456"/>
      <c r="BD138" s="456"/>
      <c r="BE138" s="456"/>
      <c r="BF138" s="456"/>
      <c r="BG138" s="456"/>
      <c r="BH138" s="456"/>
      <c r="BI138" s="456"/>
      <c r="BJ138" s="456"/>
      <c r="BK138" s="456"/>
      <c r="BL138" s="456"/>
      <c r="BM138" s="456"/>
      <c r="BN138" s="456"/>
      <c r="BO138" s="456"/>
    </row>
    <row r="139" spans="1:67" s="469" customFormat="1" ht="22.5" x14ac:dyDescent="0.25">
      <c r="A139" s="499"/>
      <c r="B139" s="493" t="s">
        <v>825</v>
      </c>
      <c r="C139" s="2697" t="s">
        <v>826</v>
      </c>
      <c r="D139" s="2697"/>
      <c r="E139" s="2697"/>
      <c r="F139" s="2697"/>
      <c r="G139" s="2697"/>
      <c r="H139" s="494" t="s">
        <v>814</v>
      </c>
      <c r="I139" s="509">
        <v>1.63</v>
      </c>
      <c r="J139" s="495" t="s">
        <v>810</v>
      </c>
      <c r="K139" s="528">
        <v>1.694385</v>
      </c>
      <c r="L139" s="510">
        <v>4.3499999999999996</v>
      </c>
      <c r="M139" s="506">
        <v>1.19</v>
      </c>
      <c r="N139" s="502">
        <v>5.18</v>
      </c>
      <c r="O139" s="495"/>
      <c r="P139" s="498">
        <v>8.7799999999999994</v>
      </c>
      <c r="Q139" s="503"/>
      <c r="R139" s="503"/>
      <c r="S139" s="454"/>
      <c r="T139" s="454"/>
      <c r="U139" s="454"/>
      <c r="V139" s="454"/>
      <c r="W139" s="454"/>
      <c r="X139" s="454"/>
      <c r="Y139" s="454"/>
      <c r="Z139" s="454"/>
      <c r="AA139" s="454"/>
      <c r="AB139" s="456"/>
      <c r="AC139" s="456"/>
      <c r="AD139" s="456"/>
      <c r="AE139" s="456"/>
      <c r="AF139" s="456"/>
      <c r="AG139" s="456"/>
      <c r="AH139" s="456"/>
      <c r="AI139" s="456"/>
      <c r="AJ139" s="456"/>
      <c r="AK139" s="456"/>
      <c r="AL139" s="456"/>
      <c r="AM139" s="456"/>
      <c r="AN139" s="481"/>
      <c r="AO139" s="481"/>
      <c r="AP139" s="481"/>
      <c r="AQ139" s="491"/>
      <c r="AR139" s="456"/>
      <c r="AS139" s="456" t="s">
        <v>826</v>
      </c>
      <c r="AT139" s="456"/>
      <c r="AU139" s="522"/>
      <c r="AV139" s="481"/>
      <c r="AW139" s="456"/>
      <c r="AX139" s="481"/>
      <c r="AY139" s="491"/>
      <c r="AZ139" s="456"/>
      <c r="BA139" s="456"/>
      <c r="BB139" s="456"/>
      <c r="BC139" s="456"/>
      <c r="BD139" s="456"/>
      <c r="BE139" s="456"/>
      <c r="BF139" s="456"/>
      <c r="BG139" s="456"/>
      <c r="BH139" s="456"/>
      <c r="BI139" s="456"/>
      <c r="BJ139" s="456"/>
      <c r="BK139" s="456"/>
      <c r="BL139" s="456"/>
      <c r="BM139" s="456"/>
      <c r="BN139" s="456"/>
      <c r="BO139" s="456"/>
    </row>
    <row r="140" spans="1:67" s="469" customFormat="1" ht="23.25" x14ac:dyDescent="0.25">
      <c r="A140" s="499"/>
      <c r="B140" s="493" t="s">
        <v>827</v>
      </c>
      <c r="C140" s="2697" t="s">
        <v>828</v>
      </c>
      <c r="D140" s="2697"/>
      <c r="E140" s="2697"/>
      <c r="F140" s="2697"/>
      <c r="G140" s="2697"/>
      <c r="H140" s="494" t="s">
        <v>814</v>
      </c>
      <c r="I140" s="509">
        <v>6.16</v>
      </c>
      <c r="J140" s="495" t="s">
        <v>810</v>
      </c>
      <c r="K140" s="504">
        <v>6.4033199999999999</v>
      </c>
      <c r="L140" s="510">
        <v>51.1</v>
      </c>
      <c r="M140" s="511">
        <v>0.9</v>
      </c>
      <c r="N140" s="502">
        <v>45.99</v>
      </c>
      <c r="O140" s="495"/>
      <c r="P140" s="498">
        <v>294.49</v>
      </c>
      <c r="Q140" s="503"/>
      <c r="R140" s="503"/>
      <c r="S140" s="454"/>
      <c r="T140" s="454"/>
      <c r="U140" s="454"/>
      <c r="V140" s="454"/>
      <c r="W140" s="454"/>
      <c r="X140" s="454"/>
      <c r="Y140" s="454"/>
      <c r="Z140" s="454"/>
      <c r="AA140" s="454"/>
      <c r="AB140" s="456"/>
      <c r="AC140" s="456"/>
      <c r="AD140" s="456"/>
      <c r="AE140" s="456"/>
      <c r="AF140" s="456"/>
      <c r="AG140" s="456"/>
      <c r="AH140" s="456"/>
      <c r="AI140" s="456"/>
      <c r="AJ140" s="456"/>
      <c r="AK140" s="456"/>
      <c r="AL140" s="456"/>
      <c r="AM140" s="456"/>
      <c r="AN140" s="481"/>
      <c r="AO140" s="481"/>
      <c r="AP140" s="481"/>
      <c r="AQ140" s="491"/>
      <c r="AR140" s="456"/>
      <c r="AS140" s="456" t="s">
        <v>828</v>
      </c>
      <c r="AT140" s="456"/>
      <c r="AU140" s="522"/>
      <c r="AV140" s="481"/>
      <c r="AW140" s="456"/>
      <c r="AX140" s="481"/>
      <c r="AY140" s="491"/>
      <c r="AZ140" s="456"/>
      <c r="BA140" s="456"/>
      <c r="BB140" s="456"/>
      <c r="BC140" s="456"/>
      <c r="BD140" s="456"/>
      <c r="BE140" s="456"/>
      <c r="BF140" s="456"/>
      <c r="BG140" s="456"/>
      <c r="BH140" s="456"/>
      <c r="BI140" s="456"/>
      <c r="BJ140" s="456"/>
      <c r="BK140" s="456"/>
      <c r="BL140" s="456"/>
      <c r="BM140" s="456"/>
      <c r="BN140" s="456"/>
      <c r="BO140" s="456"/>
    </row>
    <row r="141" spans="1:67" s="469" customFormat="1" ht="15" x14ac:dyDescent="0.25">
      <c r="A141" s="492"/>
      <c r="B141" s="493" t="s">
        <v>232</v>
      </c>
      <c r="C141" s="2697" t="s">
        <v>829</v>
      </c>
      <c r="D141" s="2697"/>
      <c r="E141" s="2697"/>
      <c r="F141" s="2697"/>
      <c r="G141" s="2697"/>
      <c r="H141" s="494"/>
      <c r="I141" s="495"/>
      <c r="J141" s="495"/>
      <c r="K141" s="495"/>
      <c r="L141" s="497"/>
      <c r="M141" s="495"/>
      <c r="N141" s="497"/>
      <c r="O141" s="495"/>
      <c r="P141" s="512">
        <v>0</v>
      </c>
      <c r="Q141" s="454"/>
      <c r="R141" s="454"/>
      <c r="S141" s="454"/>
      <c r="T141" s="454"/>
      <c r="U141" s="454"/>
      <c r="V141" s="454"/>
      <c r="W141" s="454"/>
      <c r="X141" s="454"/>
      <c r="Y141" s="454"/>
      <c r="Z141" s="454"/>
      <c r="AA141" s="454"/>
      <c r="AB141" s="456"/>
      <c r="AC141" s="456"/>
      <c r="AD141" s="456"/>
      <c r="AE141" s="456"/>
      <c r="AF141" s="456"/>
      <c r="AG141" s="456"/>
      <c r="AH141" s="456"/>
      <c r="AI141" s="456"/>
      <c r="AJ141" s="456"/>
      <c r="AK141" s="456"/>
      <c r="AL141" s="456"/>
      <c r="AM141" s="456"/>
      <c r="AN141" s="481"/>
      <c r="AO141" s="481"/>
      <c r="AP141" s="481"/>
      <c r="AQ141" s="491"/>
      <c r="AR141" s="456" t="s">
        <v>829</v>
      </c>
      <c r="AS141" s="456"/>
      <c r="AT141" s="456"/>
      <c r="AU141" s="522"/>
      <c r="AV141" s="481"/>
      <c r="AW141" s="456"/>
      <c r="AX141" s="481"/>
      <c r="AY141" s="491"/>
      <c r="AZ141" s="456"/>
      <c r="BA141" s="456"/>
      <c r="BB141" s="456"/>
      <c r="BC141" s="456"/>
      <c r="BD141" s="456"/>
      <c r="BE141" s="456"/>
      <c r="BF141" s="456"/>
      <c r="BG141" s="456"/>
      <c r="BH141" s="456"/>
      <c r="BI141" s="456"/>
      <c r="BJ141" s="456"/>
      <c r="BK141" s="456"/>
      <c r="BL141" s="456"/>
      <c r="BM141" s="456"/>
      <c r="BN141" s="456"/>
      <c r="BO141" s="456"/>
    </row>
    <row r="142" spans="1:67" s="469" customFormat="1" ht="15" x14ac:dyDescent="0.25">
      <c r="A142" s="499"/>
      <c r="B142" s="493" t="s">
        <v>830</v>
      </c>
      <c r="C142" s="2697" t="s">
        <v>831</v>
      </c>
      <c r="D142" s="2697"/>
      <c r="E142" s="2697"/>
      <c r="F142" s="2697"/>
      <c r="G142" s="2697"/>
      <c r="H142" s="494" t="s">
        <v>832</v>
      </c>
      <c r="I142" s="509">
        <v>1.37</v>
      </c>
      <c r="J142" s="513">
        <v>0</v>
      </c>
      <c r="K142" s="513">
        <v>0</v>
      </c>
      <c r="L142" s="501"/>
      <c r="M142" s="564"/>
      <c r="N142" s="502">
        <v>114.64</v>
      </c>
      <c r="O142" s="495"/>
      <c r="P142" s="498">
        <v>0</v>
      </c>
      <c r="Q142" s="503"/>
      <c r="R142" s="503"/>
      <c r="S142" s="454"/>
      <c r="T142" s="454"/>
      <c r="U142" s="454"/>
      <c r="V142" s="454"/>
      <c r="W142" s="454"/>
      <c r="X142" s="454"/>
      <c r="Y142" s="454"/>
      <c r="Z142" s="454"/>
      <c r="AA142" s="454"/>
      <c r="AB142" s="456"/>
      <c r="AC142" s="456"/>
      <c r="AD142" s="456"/>
      <c r="AE142" s="456"/>
      <c r="AF142" s="456"/>
      <c r="AG142" s="456"/>
      <c r="AH142" s="456"/>
      <c r="AI142" s="456"/>
      <c r="AJ142" s="456"/>
      <c r="AK142" s="456"/>
      <c r="AL142" s="456"/>
      <c r="AM142" s="456"/>
      <c r="AN142" s="481"/>
      <c r="AO142" s="481"/>
      <c r="AP142" s="481"/>
      <c r="AQ142" s="491"/>
      <c r="AR142" s="456"/>
      <c r="AS142" s="456" t="s">
        <v>831</v>
      </c>
      <c r="AT142" s="456"/>
      <c r="AU142" s="522"/>
      <c r="AV142" s="481"/>
      <c r="AW142" s="456"/>
      <c r="AX142" s="481"/>
      <c r="AY142" s="491"/>
      <c r="AZ142" s="456"/>
      <c r="BA142" s="456"/>
      <c r="BB142" s="456"/>
      <c r="BC142" s="456"/>
      <c r="BD142" s="456"/>
      <c r="BE142" s="456"/>
      <c r="BF142" s="456"/>
      <c r="BG142" s="456"/>
      <c r="BH142" s="456"/>
      <c r="BI142" s="456"/>
      <c r="BJ142" s="456"/>
      <c r="BK142" s="456"/>
      <c r="BL142" s="456"/>
      <c r="BM142" s="456"/>
      <c r="BN142" s="456"/>
      <c r="BO142" s="456"/>
    </row>
    <row r="143" spans="1:67" s="469" customFormat="1" ht="15" x14ac:dyDescent="0.25">
      <c r="A143" s="499"/>
      <c r="B143" s="493" t="s">
        <v>833</v>
      </c>
      <c r="C143" s="2697" t="s">
        <v>834</v>
      </c>
      <c r="D143" s="2697"/>
      <c r="E143" s="2697"/>
      <c r="F143" s="2697"/>
      <c r="G143" s="2697"/>
      <c r="H143" s="494" t="s">
        <v>835</v>
      </c>
      <c r="I143" s="509">
        <v>0.41</v>
      </c>
      <c r="J143" s="513">
        <v>0</v>
      </c>
      <c r="K143" s="513">
        <v>0</v>
      </c>
      <c r="L143" s="510">
        <v>41.38</v>
      </c>
      <c r="M143" s="511">
        <v>1.2</v>
      </c>
      <c r="N143" s="502">
        <v>49.66</v>
      </c>
      <c r="O143" s="495"/>
      <c r="P143" s="498">
        <v>0</v>
      </c>
      <c r="Q143" s="503"/>
      <c r="R143" s="503"/>
      <c r="S143" s="454"/>
      <c r="T143" s="454"/>
      <c r="U143" s="454"/>
      <c r="V143" s="454"/>
      <c r="W143" s="454"/>
      <c r="X143" s="454"/>
      <c r="Y143" s="454"/>
      <c r="Z143" s="454"/>
      <c r="AA143" s="454"/>
      <c r="AB143" s="456"/>
      <c r="AC143" s="456"/>
      <c r="AD143" s="456"/>
      <c r="AE143" s="456"/>
      <c r="AF143" s="456"/>
      <c r="AG143" s="456"/>
      <c r="AH143" s="456"/>
      <c r="AI143" s="456"/>
      <c r="AJ143" s="456"/>
      <c r="AK143" s="456"/>
      <c r="AL143" s="456"/>
      <c r="AM143" s="456"/>
      <c r="AN143" s="481"/>
      <c r="AO143" s="481"/>
      <c r="AP143" s="481"/>
      <c r="AQ143" s="491"/>
      <c r="AR143" s="456"/>
      <c r="AS143" s="456" t="s">
        <v>834</v>
      </c>
      <c r="AT143" s="456"/>
      <c r="AU143" s="522"/>
      <c r="AV143" s="481"/>
      <c r="AW143" s="456"/>
      <c r="AX143" s="481"/>
      <c r="AY143" s="491"/>
      <c r="AZ143" s="456"/>
      <c r="BA143" s="456"/>
      <c r="BB143" s="456"/>
      <c r="BC143" s="456"/>
      <c r="BD143" s="456"/>
      <c r="BE143" s="456"/>
      <c r="BF143" s="456"/>
      <c r="BG143" s="456"/>
      <c r="BH143" s="456"/>
      <c r="BI143" s="456"/>
      <c r="BJ143" s="456"/>
      <c r="BK143" s="456"/>
      <c r="BL143" s="456"/>
      <c r="BM143" s="456"/>
      <c r="BN143" s="456"/>
      <c r="BO143" s="456"/>
    </row>
    <row r="144" spans="1:67" s="469" customFormat="1" ht="15" x14ac:dyDescent="0.25">
      <c r="A144" s="499"/>
      <c r="B144" s="493" t="s">
        <v>836</v>
      </c>
      <c r="C144" s="2697" t="s">
        <v>837</v>
      </c>
      <c r="D144" s="2697"/>
      <c r="E144" s="2697"/>
      <c r="F144" s="2697"/>
      <c r="G144" s="2697"/>
      <c r="H144" s="494" t="s">
        <v>838</v>
      </c>
      <c r="I144" s="514">
        <v>3.2189999999999999</v>
      </c>
      <c r="J144" s="513">
        <v>0</v>
      </c>
      <c r="K144" s="513">
        <v>0</v>
      </c>
      <c r="L144" s="501"/>
      <c r="M144" s="564"/>
      <c r="N144" s="502">
        <v>6.17</v>
      </c>
      <c r="O144" s="495"/>
      <c r="P144" s="498">
        <v>0</v>
      </c>
      <c r="Q144" s="503"/>
      <c r="R144" s="503"/>
      <c r="S144" s="454"/>
      <c r="T144" s="454"/>
      <c r="U144" s="454"/>
      <c r="V144" s="454"/>
      <c r="W144" s="454"/>
      <c r="X144" s="454"/>
      <c r="Y144" s="454"/>
      <c r="Z144" s="454"/>
      <c r="AA144" s="454"/>
      <c r="AB144" s="456"/>
      <c r="AC144" s="456"/>
      <c r="AD144" s="456"/>
      <c r="AE144" s="456"/>
      <c r="AF144" s="456"/>
      <c r="AG144" s="456"/>
      <c r="AH144" s="456"/>
      <c r="AI144" s="456"/>
      <c r="AJ144" s="456"/>
      <c r="AK144" s="456"/>
      <c r="AL144" s="456"/>
      <c r="AM144" s="456"/>
      <c r="AN144" s="481"/>
      <c r="AO144" s="481"/>
      <c r="AP144" s="481"/>
      <c r="AQ144" s="491"/>
      <c r="AR144" s="456"/>
      <c r="AS144" s="456" t="s">
        <v>837</v>
      </c>
      <c r="AT144" s="456"/>
      <c r="AU144" s="522"/>
      <c r="AV144" s="481"/>
      <c r="AW144" s="456"/>
      <c r="AX144" s="481"/>
      <c r="AY144" s="491"/>
      <c r="AZ144" s="456"/>
      <c r="BA144" s="456"/>
      <c r="BB144" s="456"/>
      <c r="BC144" s="456"/>
      <c r="BD144" s="456"/>
      <c r="BE144" s="456"/>
      <c r="BF144" s="456"/>
      <c r="BG144" s="456"/>
      <c r="BH144" s="456"/>
      <c r="BI144" s="456"/>
      <c r="BJ144" s="456"/>
      <c r="BK144" s="456"/>
      <c r="BL144" s="456"/>
      <c r="BM144" s="456"/>
      <c r="BN144" s="456"/>
      <c r="BO144" s="456"/>
    </row>
    <row r="145" spans="1:67" s="469" customFormat="1" ht="23.25" x14ac:dyDescent="0.25">
      <c r="A145" s="499"/>
      <c r="B145" s="493" t="s">
        <v>839</v>
      </c>
      <c r="C145" s="2697" t="s">
        <v>840</v>
      </c>
      <c r="D145" s="2697"/>
      <c r="E145" s="2697"/>
      <c r="F145" s="2697"/>
      <c r="G145" s="2697"/>
      <c r="H145" s="494" t="s">
        <v>835</v>
      </c>
      <c r="I145" s="513">
        <v>4</v>
      </c>
      <c r="J145" s="513">
        <v>0</v>
      </c>
      <c r="K145" s="513">
        <v>0</v>
      </c>
      <c r="L145" s="510">
        <v>142.68</v>
      </c>
      <c r="M145" s="506">
        <v>1.05</v>
      </c>
      <c r="N145" s="502">
        <v>149.81</v>
      </c>
      <c r="O145" s="495"/>
      <c r="P145" s="498">
        <v>0</v>
      </c>
      <c r="Q145" s="503"/>
      <c r="R145" s="503"/>
      <c r="S145" s="454"/>
      <c r="T145" s="454"/>
      <c r="U145" s="454"/>
      <c r="V145" s="454"/>
      <c r="W145" s="454"/>
      <c r="X145" s="454"/>
      <c r="Y145" s="454"/>
      <c r="Z145" s="454"/>
      <c r="AA145" s="454"/>
      <c r="AB145" s="456"/>
      <c r="AC145" s="456"/>
      <c r="AD145" s="456"/>
      <c r="AE145" s="456"/>
      <c r="AF145" s="456"/>
      <c r="AG145" s="456"/>
      <c r="AH145" s="456"/>
      <c r="AI145" s="456"/>
      <c r="AJ145" s="456"/>
      <c r="AK145" s="456"/>
      <c r="AL145" s="456"/>
      <c r="AM145" s="456"/>
      <c r="AN145" s="481"/>
      <c r="AO145" s="481"/>
      <c r="AP145" s="481"/>
      <c r="AQ145" s="491"/>
      <c r="AR145" s="456"/>
      <c r="AS145" s="456" t="s">
        <v>840</v>
      </c>
      <c r="AT145" s="456"/>
      <c r="AU145" s="522"/>
      <c r="AV145" s="481"/>
      <c r="AW145" s="456"/>
      <c r="AX145" s="481"/>
      <c r="AY145" s="491"/>
      <c r="AZ145" s="456"/>
      <c r="BA145" s="456"/>
      <c r="BB145" s="456"/>
      <c r="BC145" s="456"/>
      <c r="BD145" s="456"/>
      <c r="BE145" s="456"/>
      <c r="BF145" s="456"/>
      <c r="BG145" s="456"/>
      <c r="BH145" s="456"/>
      <c r="BI145" s="456"/>
      <c r="BJ145" s="456"/>
      <c r="BK145" s="456"/>
      <c r="BL145" s="456"/>
      <c r="BM145" s="456"/>
      <c r="BN145" s="456"/>
      <c r="BO145" s="456"/>
    </row>
    <row r="146" spans="1:67" s="469" customFormat="1" ht="15" x14ac:dyDescent="0.25">
      <c r="A146" s="499"/>
      <c r="B146" s="493" t="s">
        <v>841</v>
      </c>
      <c r="C146" s="2697" t="s">
        <v>842</v>
      </c>
      <c r="D146" s="2697"/>
      <c r="E146" s="2697"/>
      <c r="F146" s="2697"/>
      <c r="G146" s="2697"/>
      <c r="H146" s="494" t="s">
        <v>801</v>
      </c>
      <c r="I146" s="504">
        <v>1.0000000000000001E-5</v>
      </c>
      <c r="J146" s="513">
        <v>0</v>
      </c>
      <c r="K146" s="513">
        <v>0</v>
      </c>
      <c r="L146" s="505">
        <v>70296.2</v>
      </c>
      <c r="M146" s="506">
        <v>1.17</v>
      </c>
      <c r="N146" s="502">
        <v>82246.55</v>
      </c>
      <c r="O146" s="495"/>
      <c r="P146" s="498">
        <v>0</v>
      </c>
      <c r="Q146" s="503"/>
      <c r="R146" s="503"/>
      <c r="S146" s="454"/>
      <c r="T146" s="454"/>
      <c r="U146" s="454"/>
      <c r="V146" s="454"/>
      <c r="W146" s="454"/>
      <c r="X146" s="454"/>
      <c r="Y146" s="454"/>
      <c r="Z146" s="454"/>
      <c r="AA146" s="454"/>
      <c r="AB146" s="456"/>
      <c r="AC146" s="456"/>
      <c r="AD146" s="456"/>
      <c r="AE146" s="456"/>
      <c r="AF146" s="456"/>
      <c r="AG146" s="456"/>
      <c r="AH146" s="456"/>
      <c r="AI146" s="456"/>
      <c r="AJ146" s="456"/>
      <c r="AK146" s="456"/>
      <c r="AL146" s="456"/>
      <c r="AM146" s="456"/>
      <c r="AN146" s="481"/>
      <c r="AO146" s="481"/>
      <c r="AP146" s="481"/>
      <c r="AQ146" s="491"/>
      <c r="AR146" s="456"/>
      <c r="AS146" s="456" t="s">
        <v>842</v>
      </c>
      <c r="AT146" s="456"/>
      <c r="AU146" s="522"/>
      <c r="AV146" s="481"/>
      <c r="AW146" s="456"/>
      <c r="AX146" s="481"/>
      <c r="AY146" s="491"/>
      <c r="AZ146" s="456"/>
      <c r="BA146" s="456"/>
      <c r="BB146" s="456"/>
      <c r="BC146" s="456"/>
      <c r="BD146" s="456"/>
      <c r="BE146" s="456"/>
      <c r="BF146" s="456"/>
      <c r="BG146" s="456"/>
      <c r="BH146" s="456"/>
      <c r="BI146" s="456"/>
      <c r="BJ146" s="456"/>
      <c r="BK146" s="456"/>
      <c r="BL146" s="456"/>
      <c r="BM146" s="456"/>
      <c r="BN146" s="456"/>
      <c r="BO146" s="456"/>
    </row>
    <row r="147" spans="1:67" s="469" customFormat="1" ht="15" x14ac:dyDescent="0.25">
      <c r="A147" s="499"/>
      <c r="B147" s="493" t="s">
        <v>843</v>
      </c>
      <c r="C147" s="2697" t="s">
        <v>844</v>
      </c>
      <c r="D147" s="2697"/>
      <c r="E147" s="2697"/>
      <c r="F147" s="2697"/>
      <c r="G147" s="2697"/>
      <c r="H147" s="494" t="s">
        <v>801</v>
      </c>
      <c r="I147" s="496">
        <v>1E-4</v>
      </c>
      <c r="J147" s="513">
        <v>0</v>
      </c>
      <c r="K147" s="513">
        <v>0</v>
      </c>
      <c r="L147" s="505">
        <v>231787.35</v>
      </c>
      <c r="M147" s="511">
        <v>1.9</v>
      </c>
      <c r="N147" s="502">
        <v>440395.97</v>
      </c>
      <c r="O147" s="495"/>
      <c r="P147" s="498">
        <v>0</v>
      </c>
      <c r="Q147" s="503"/>
      <c r="R147" s="503"/>
      <c r="S147" s="454"/>
      <c r="T147" s="454"/>
      <c r="U147" s="454"/>
      <c r="V147" s="454"/>
      <c r="W147" s="454"/>
      <c r="X147" s="454"/>
      <c r="Y147" s="454"/>
      <c r="Z147" s="454"/>
      <c r="AA147" s="454"/>
      <c r="AB147" s="456"/>
      <c r="AC147" s="456"/>
      <c r="AD147" s="456"/>
      <c r="AE147" s="456"/>
      <c r="AF147" s="456"/>
      <c r="AG147" s="456"/>
      <c r="AH147" s="456"/>
      <c r="AI147" s="456"/>
      <c r="AJ147" s="456"/>
      <c r="AK147" s="456"/>
      <c r="AL147" s="456"/>
      <c r="AM147" s="456"/>
      <c r="AN147" s="481"/>
      <c r="AO147" s="481"/>
      <c r="AP147" s="481"/>
      <c r="AQ147" s="491"/>
      <c r="AR147" s="456"/>
      <c r="AS147" s="456" t="s">
        <v>844</v>
      </c>
      <c r="AT147" s="456"/>
      <c r="AU147" s="522"/>
      <c r="AV147" s="481"/>
      <c r="AW147" s="456"/>
      <c r="AX147" s="481"/>
      <c r="AY147" s="491"/>
      <c r="AZ147" s="456"/>
      <c r="BA147" s="456"/>
      <c r="BB147" s="456"/>
      <c r="BC147" s="456"/>
      <c r="BD147" s="456"/>
      <c r="BE147" s="456"/>
      <c r="BF147" s="456"/>
      <c r="BG147" s="456"/>
      <c r="BH147" s="456"/>
      <c r="BI147" s="456"/>
      <c r="BJ147" s="456"/>
      <c r="BK147" s="456"/>
      <c r="BL147" s="456"/>
      <c r="BM147" s="456"/>
      <c r="BN147" s="456"/>
      <c r="BO147" s="456"/>
    </row>
    <row r="148" spans="1:67" s="469" customFormat="1" ht="23.25" x14ac:dyDescent="0.25">
      <c r="A148" s="499"/>
      <c r="B148" s="493" t="s">
        <v>845</v>
      </c>
      <c r="C148" s="2697" t="s">
        <v>846</v>
      </c>
      <c r="D148" s="2697"/>
      <c r="E148" s="2697"/>
      <c r="F148" s="2697"/>
      <c r="G148" s="2697"/>
      <c r="H148" s="494" t="s">
        <v>801</v>
      </c>
      <c r="I148" s="514">
        <v>1E-3</v>
      </c>
      <c r="J148" s="513">
        <v>0</v>
      </c>
      <c r="K148" s="513">
        <v>0</v>
      </c>
      <c r="L148" s="505">
        <v>105278.81</v>
      </c>
      <c r="M148" s="506">
        <v>1.1599999999999999</v>
      </c>
      <c r="N148" s="502">
        <v>122123.42</v>
      </c>
      <c r="O148" s="495"/>
      <c r="P148" s="498">
        <v>0</v>
      </c>
      <c r="Q148" s="503"/>
      <c r="R148" s="503"/>
      <c r="S148" s="454"/>
      <c r="T148" s="454"/>
      <c r="U148" s="454"/>
      <c r="V148" s="454"/>
      <c r="W148" s="454"/>
      <c r="X148" s="454"/>
      <c r="Y148" s="454"/>
      <c r="Z148" s="454"/>
      <c r="AA148" s="454"/>
      <c r="AB148" s="456"/>
      <c r="AC148" s="456"/>
      <c r="AD148" s="456"/>
      <c r="AE148" s="456"/>
      <c r="AF148" s="456"/>
      <c r="AG148" s="456"/>
      <c r="AH148" s="456"/>
      <c r="AI148" s="456"/>
      <c r="AJ148" s="456"/>
      <c r="AK148" s="456"/>
      <c r="AL148" s="456"/>
      <c r="AM148" s="456"/>
      <c r="AN148" s="481"/>
      <c r="AO148" s="481"/>
      <c r="AP148" s="481"/>
      <c r="AQ148" s="491"/>
      <c r="AR148" s="456"/>
      <c r="AS148" s="456" t="s">
        <v>846</v>
      </c>
      <c r="AT148" s="456"/>
      <c r="AU148" s="522"/>
      <c r="AV148" s="481"/>
      <c r="AW148" s="456"/>
      <c r="AX148" s="481"/>
      <c r="AY148" s="491"/>
      <c r="AZ148" s="456"/>
      <c r="BA148" s="456"/>
      <c r="BB148" s="456"/>
      <c r="BC148" s="456"/>
      <c r="BD148" s="456"/>
      <c r="BE148" s="456"/>
      <c r="BF148" s="456"/>
      <c r="BG148" s="456"/>
      <c r="BH148" s="456"/>
      <c r="BI148" s="456"/>
      <c r="BJ148" s="456"/>
      <c r="BK148" s="456"/>
      <c r="BL148" s="456"/>
      <c r="BM148" s="456"/>
      <c r="BN148" s="456"/>
      <c r="BO148" s="456"/>
    </row>
    <row r="149" spans="1:67" s="469" customFormat="1" ht="34.5" x14ac:dyDescent="0.25">
      <c r="A149" s="499"/>
      <c r="B149" s="493" t="s">
        <v>847</v>
      </c>
      <c r="C149" s="2697" t="s">
        <v>848</v>
      </c>
      <c r="D149" s="2697"/>
      <c r="E149" s="2697"/>
      <c r="F149" s="2697"/>
      <c r="G149" s="2697"/>
      <c r="H149" s="494" t="s">
        <v>849</v>
      </c>
      <c r="I149" s="496">
        <v>1.8700000000000001E-2</v>
      </c>
      <c r="J149" s="513">
        <v>0</v>
      </c>
      <c r="K149" s="513">
        <v>0</v>
      </c>
      <c r="L149" s="510">
        <v>307.83999999999997</v>
      </c>
      <c r="M149" s="506">
        <v>1.03</v>
      </c>
      <c r="N149" s="502">
        <v>317.08</v>
      </c>
      <c r="O149" s="495"/>
      <c r="P149" s="498">
        <v>0</v>
      </c>
      <c r="Q149" s="503"/>
      <c r="R149" s="503"/>
      <c r="S149" s="454"/>
      <c r="T149" s="454"/>
      <c r="U149" s="454"/>
      <c r="V149" s="454"/>
      <c r="W149" s="454"/>
      <c r="X149" s="454"/>
      <c r="Y149" s="454"/>
      <c r="Z149" s="454"/>
      <c r="AA149" s="454"/>
      <c r="AB149" s="456"/>
      <c r="AC149" s="456"/>
      <c r="AD149" s="456"/>
      <c r="AE149" s="456"/>
      <c r="AF149" s="456"/>
      <c r="AG149" s="456"/>
      <c r="AH149" s="456"/>
      <c r="AI149" s="456"/>
      <c r="AJ149" s="456"/>
      <c r="AK149" s="456"/>
      <c r="AL149" s="456"/>
      <c r="AM149" s="456"/>
      <c r="AN149" s="481"/>
      <c r="AO149" s="481"/>
      <c r="AP149" s="481"/>
      <c r="AQ149" s="491"/>
      <c r="AR149" s="456"/>
      <c r="AS149" s="456" t="s">
        <v>848</v>
      </c>
      <c r="AT149" s="456"/>
      <c r="AU149" s="522"/>
      <c r="AV149" s="481"/>
      <c r="AW149" s="456"/>
      <c r="AX149" s="481"/>
      <c r="AY149" s="491"/>
      <c r="AZ149" s="456"/>
      <c r="BA149" s="456"/>
      <c r="BB149" s="456"/>
      <c r="BC149" s="456"/>
      <c r="BD149" s="456"/>
      <c r="BE149" s="456"/>
      <c r="BF149" s="456"/>
      <c r="BG149" s="456"/>
      <c r="BH149" s="456"/>
      <c r="BI149" s="456"/>
      <c r="BJ149" s="456"/>
      <c r="BK149" s="456"/>
      <c r="BL149" s="456"/>
      <c r="BM149" s="456"/>
      <c r="BN149" s="456"/>
      <c r="BO149" s="456"/>
    </row>
    <row r="150" spans="1:67" s="469" customFormat="1" ht="15" x14ac:dyDescent="0.25">
      <c r="A150" s="499"/>
      <c r="B150" s="493" t="s">
        <v>850</v>
      </c>
      <c r="C150" s="2697" t="s">
        <v>851</v>
      </c>
      <c r="D150" s="2697"/>
      <c r="E150" s="2697"/>
      <c r="F150" s="2697"/>
      <c r="G150" s="2697"/>
      <c r="H150" s="494" t="s">
        <v>801</v>
      </c>
      <c r="I150" s="504">
        <v>3.0000000000000001E-5</v>
      </c>
      <c r="J150" s="513">
        <v>0</v>
      </c>
      <c r="K150" s="513">
        <v>0</v>
      </c>
      <c r="L150" s="505">
        <v>60258.2</v>
      </c>
      <c r="M150" s="506">
        <v>1.19</v>
      </c>
      <c r="N150" s="502">
        <v>71707.259999999995</v>
      </c>
      <c r="O150" s="495"/>
      <c r="P150" s="498">
        <v>0</v>
      </c>
      <c r="Q150" s="503"/>
      <c r="R150" s="503"/>
      <c r="S150" s="454"/>
      <c r="T150" s="454"/>
      <c r="U150" s="454"/>
      <c r="V150" s="454"/>
      <c r="W150" s="454"/>
      <c r="X150" s="454"/>
      <c r="Y150" s="454"/>
      <c r="Z150" s="454"/>
      <c r="AA150" s="454"/>
      <c r="AB150" s="456"/>
      <c r="AC150" s="456"/>
      <c r="AD150" s="456"/>
      <c r="AE150" s="456"/>
      <c r="AF150" s="456"/>
      <c r="AG150" s="456"/>
      <c r="AH150" s="456"/>
      <c r="AI150" s="456"/>
      <c r="AJ150" s="456"/>
      <c r="AK150" s="456"/>
      <c r="AL150" s="456"/>
      <c r="AM150" s="456"/>
      <c r="AN150" s="481"/>
      <c r="AO150" s="481"/>
      <c r="AP150" s="481"/>
      <c r="AQ150" s="491"/>
      <c r="AR150" s="456"/>
      <c r="AS150" s="456" t="s">
        <v>851</v>
      </c>
      <c r="AT150" s="456"/>
      <c r="AU150" s="522"/>
      <c r="AV150" s="481"/>
      <c r="AW150" s="456"/>
      <c r="AX150" s="481"/>
      <c r="AY150" s="491"/>
      <c r="AZ150" s="456"/>
      <c r="BA150" s="456"/>
      <c r="BB150" s="456"/>
      <c r="BC150" s="456"/>
      <c r="BD150" s="456"/>
      <c r="BE150" s="456"/>
      <c r="BF150" s="456"/>
      <c r="BG150" s="456"/>
      <c r="BH150" s="456"/>
      <c r="BI150" s="456"/>
      <c r="BJ150" s="456"/>
      <c r="BK150" s="456"/>
      <c r="BL150" s="456"/>
      <c r="BM150" s="456"/>
      <c r="BN150" s="456"/>
      <c r="BO150" s="456"/>
    </row>
    <row r="151" spans="1:67" s="469" customFormat="1" ht="23.25" x14ac:dyDescent="0.25">
      <c r="A151" s="499"/>
      <c r="B151" s="493" t="s">
        <v>852</v>
      </c>
      <c r="C151" s="2697" t="s">
        <v>853</v>
      </c>
      <c r="D151" s="2697"/>
      <c r="E151" s="2697"/>
      <c r="F151" s="2697"/>
      <c r="G151" s="2697"/>
      <c r="H151" s="494" t="s">
        <v>801</v>
      </c>
      <c r="I151" s="504">
        <v>1.9400000000000001E-3</v>
      </c>
      <c r="J151" s="513">
        <v>0</v>
      </c>
      <c r="K151" s="513">
        <v>0</v>
      </c>
      <c r="L151" s="505">
        <v>136760</v>
      </c>
      <c r="M151" s="506">
        <v>1.05</v>
      </c>
      <c r="N151" s="502">
        <v>143598</v>
      </c>
      <c r="O151" s="495"/>
      <c r="P151" s="498">
        <v>0</v>
      </c>
      <c r="Q151" s="503"/>
      <c r="R151" s="503"/>
      <c r="S151" s="454"/>
      <c r="T151" s="454"/>
      <c r="U151" s="454"/>
      <c r="V151" s="454"/>
      <c r="W151" s="454"/>
      <c r="X151" s="454"/>
      <c r="Y151" s="454"/>
      <c r="Z151" s="454"/>
      <c r="AA151" s="454"/>
      <c r="AB151" s="456"/>
      <c r="AC151" s="456"/>
      <c r="AD151" s="456"/>
      <c r="AE151" s="456"/>
      <c r="AF151" s="456"/>
      <c r="AG151" s="456"/>
      <c r="AH151" s="456"/>
      <c r="AI151" s="456"/>
      <c r="AJ151" s="456"/>
      <c r="AK151" s="456"/>
      <c r="AL151" s="456"/>
      <c r="AM151" s="456"/>
      <c r="AN151" s="481"/>
      <c r="AO151" s="481"/>
      <c r="AP151" s="481"/>
      <c r="AQ151" s="491"/>
      <c r="AR151" s="456"/>
      <c r="AS151" s="456" t="s">
        <v>853</v>
      </c>
      <c r="AT151" s="456"/>
      <c r="AU151" s="522"/>
      <c r="AV151" s="481"/>
      <c r="AW151" s="456"/>
      <c r="AX151" s="481"/>
      <c r="AY151" s="491"/>
      <c r="AZ151" s="456"/>
      <c r="BA151" s="456"/>
      <c r="BB151" s="456"/>
      <c r="BC151" s="456"/>
      <c r="BD151" s="456"/>
      <c r="BE151" s="456"/>
      <c r="BF151" s="456"/>
      <c r="BG151" s="456"/>
      <c r="BH151" s="456"/>
      <c r="BI151" s="456"/>
      <c r="BJ151" s="456"/>
      <c r="BK151" s="456"/>
      <c r="BL151" s="456"/>
      <c r="BM151" s="456"/>
      <c r="BN151" s="456"/>
      <c r="BO151" s="456"/>
    </row>
    <row r="152" spans="1:67" s="469" customFormat="1" ht="34.5" x14ac:dyDescent="0.25">
      <c r="A152" s="499"/>
      <c r="B152" s="493" t="s">
        <v>854</v>
      </c>
      <c r="C152" s="2697" t="s">
        <v>855</v>
      </c>
      <c r="D152" s="2697"/>
      <c r="E152" s="2697"/>
      <c r="F152" s="2697"/>
      <c r="G152" s="2697"/>
      <c r="H152" s="494" t="s">
        <v>832</v>
      </c>
      <c r="I152" s="504">
        <v>1.0300000000000001E-3</v>
      </c>
      <c r="J152" s="513">
        <v>0</v>
      </c>
      <c r="K152" s="513">
        <v>0</v>
      </c>
      <c r="L152" s="505">
        <v>16496.03</v>
      </c>
      <c r="M152" s="506">
        <v>0.86</v>
      </c>
      <c r="N152" s="502">
        <v>14186.59</v>
      </c>
      <c r="O152" s="495"/>
      <c r="P152" s="498">
        <v>0</v>
      </c>
      <c r="Q152" s="503"/>
      <c r="R152" s="503"/>
      <c r="S152" s="454"/>
      <c r="T152" s="454"/>
      <c r="U152" s="454"/>
      <c r="V152" s="454"/>
      <c r="W152" s="454"/>
      <c r="X152" s="454"/>
      <c r="Y152" s="454"/>
      <c r="Z152" s="454"/>
      <c r="AA152" s="454"/>
      <c r="AB152" s="456"/>
      <c r="AC152" s="456"/>
      <c r="AD152" s="456"/>
      <c r="AE152" s="456"/>
      <c r="AF152" s="456"/>
      <c r="AG152" s="456"/>
      <c r="AH152" s="456"/>
      <c r="AI152" s="456"/>
      <c r="AJ152" s="456"/>
      <c r="AK152" s="456"/>
      <c r="AL152" s="456"/>
      <c r="AM152" s="456"/>
      <c r="AN152" s="481"/>
      <c r="AO152" s="481"/>
      <c r="AP152" s="481"/>
      <c r="AQ152" s="491"/>
      <c r="AR152" s="456"/>
      <c r="AS152" s="456" t="s">
        <v>855</v>
      </c>
      <c r="AT152" s="456"/>
      <c r="AU152" s="522"/>
      <c r="AV152" s="481"/>
      <c r="AW152" s="456"/>
      <c r="AX152" s="481"/>
      <c r="AY152" s="491"/>
      <c r="AZ152" s="456"/>
      <c r="BA152" s="456"/>
      <c r="BB152" s="456"/>
      <c r="BC152" s="456"/>
      <c r="BD152" s="456"/>
      <c r="BE152" s="456"/>
      <c r="BF152" s="456"/>
      <c r="BG152" s="456"/>
      <c r="BH152" s="456"/>
      <c r="BI152" s="456"/>
      <c r="BJ152" s="456"/>
      <c r="BK152" s="456"/>
      <c r="BL152" s="456"/>
      <c r="BM152" s="456"/>
      <c r="BN152" s="456"/>
      <c r="BO152" s="456"/>
    </row>
    <row r="153" spans="1:67" s="469" customFormat="1" ht="15" x14ac:dyDescent="0.25">
      <c r="A153" s="499"/>
      <c r="B153" s="493" t="s">
        <v>856</v>
      </c>
      <c r="C153" s="2697" t="s">
        <v>857</v>
      </c>
      <c r="D153" s="2697"/>
      <c r="E153" s="2697"/>
      <c r="F153" s="2697"/>
      <c r="G153" s="2697"/>
      <c r="H153" s="494" t="s">
        <v>801</v>
      </c>
      <c r="I153" s="504">
        <v>3.1E-4</v>
      </c>
      <c r="J153" s="513">
        <v>0</v>
      </c>
      <c r="K153" s="513">
        <v>0</v>
      </c>
      <c r="L153" s="505">
        <v>51280.15</v>
      </c>
      <c r="M153" s="506">
        <v>1.71</v>
      </c>
      <c r="N153" s="502">
        <v>87689.06</v>
      </c>
      <c r="O153" s="495"/>
      <c r="P153" s="498">
        <v>0</v>
      </c>
      <c r="Q153" s="503"/>
      <c r="R153" s="503"/>
      <c r="S153" s="454"/>
      <c r="T153" s="454"/>
      <c r="U153" s="454"/>
      <c r="V153" s="454"/>
      <c r="W153" s="454"/>
      <c r="X153" s="454"/>
      <c r="Y153" s="454"/>
      <c r="Z153" s="454"/>
      <c r="AA153" s="454"/>
      <c r="AB153" s="456"/>
      <c r="AC153" s="456"/>
      <c r="AD153" s="456"/>
      <c r="AE153" s="456"/>
      <c r="AF153" s="456"/>
      <c r="AG153" s="456"/>
      <c r="AH153" s="456"/>
      <c r="AI153" s="456"/>
      <c r="AJ153" s="456"/>
      <c r="AK153" s="456"/>
      <c r="AL153" s="456"/>
      <c r="AM153" s="456"/>
      <c r="AN153" s="481"/>
      <c r="AO153" s="481"/>
      <c r="AP153" s="481"/>
      <c r="AQ153" s="491"/>
      <c r="AR153" s="456"/>
      <c r="AS153" s="456" t="s">
        <v>857</v>
      </c>
      <c r="AT153" s="456"/>
      <c r="AU153" s="522"/>
      <c r="AV153" s="481"/>
      <c r="AW153" s="456"/>
      <c r="AX153" s="481"/>
      <c r="AY153" s="491"/>
      <c r="AZ153" s="456"/>
      <c r="BA153" s="456"/>
      <c r="BB153" s="456"/>
      <c r="BC153" s="456"/>
      <c r="BD153" s="456"/>
      <c r="BE153" s="456"/>
      <c r="BF153" s="456"/>
      <c r="BG153" s="456"/>
      <c r="BH153" s="456"/>
      <c r="BI153" s="456"/>
      <c r="BJ153" s="456"/>
      <c r="BK153" s="456"/>
      <c r="BL153" s="456"/>
      <c r="BM153" s="456"/>
      <c r="BN153" s="456"/>
      <c r="BO153" s="456"/>
    </row>
    <row r="154" spans="1:67" s="469" customFormat="1" ht="15" x14ac:dyDescent="0.25">
      <c r="A154" s="499"/>
      <c r="B154" s="493" t="s">
        <v>858</v>
      </c>
      <c r="C154" s="2697" t="s">
        <v>859</v>
      </c>
      <c r="D154" s="2697"/>
      <c r="E154" s="2697"/>
      <c r="F154" s="2697"/>
      <c r="G154" s="2697"/>
      <c r="H154" s="494" t="s">
        <v>801</v>
      </c>
      <c r="I154" s="496">
        <v>5.9999999999999995E-4</v>
      </c>
      <c r="J154" s="513">
        <v>0</v>
      </c>
      <c r="K154" s="513">
        <v>0</v>
      </c>
      <c r="L154" s="505">
        <v>98526.45</v>
      </c>
      <c r="M154" s="506">
        <v>1.1599999999999999</v>
      </c>
      <c r="N154" s="502">
        <v>114290.68</v>
      </c>
      <c r="O154" s="495"/>
      <c r="P154" s="498">
        <v>0</v>
      </c>
      <c r="Q154" s="503"/>
      <c r="R154" s="503"/>
      <c r="S154" s="454"/>
      <c r="T154" s="454"/>
      <c r="U154" s="454"/>
      <c r="V154" s="454"/>
      <c r="W154" s="454"/>
      <c r="X154" s="454"/>
      <c r="Y154" s="454"/>
      <c r="Z154" s="454"/>
      <c r="AA154" s="454"/>
      <c r="AB154" s="456"/>
      <c r="AC154" s="456"/>
      <c r="AD154" s="456"/>
      <c r="AE154" s="456"/>
      <c r="AF154" s="456"/>
      <c r="AG154" s="456"/>
      <c r="AH154" s="456"/>
      <c r="AI154" s="456"/>
      <c r="AJ154" s="456"/>
      <c r="AK154" s="456"/>
      <c r="AL154" s="456"/>
      <c r="AM154" s="456"/>
      <c r="AN154" s="481"/>
      <c r="AO154" s="481"/>
      <c r="AP154" s="481"/>
      <c r="AQ154" s="491"/>
      <c r="AR154" s="456"/>
      <c r="AS154" s="456" t="s">
        <v>859</v>
      </c>
      <c r="AT154" s="456"/>
      <c r="AU154" s="522"/>
      <c r="AV154" s="481"/>
      <c r="AW154" s="456"/>
      <c r="AX154" s="481"/>
      <c r="AY154" s="491"/>
      <c r="AZ154" s="456"/>
      <c r="BA154" s="456"/>
      <c r="BB154" s="456"/>
      <c r="BC154" s="456"/>
      <c r="BD154" s="456"/>
      <c r="BE154" s="456"/>
      <c r="BF154" s="456"/>
      <c r="BG154" s="456"/>
      <c r="BH154" s="456"/>
      <c r="BI154" s="456"/>
      <c r="BJ154" s="456"/>
      <c r="BK154" s="456"/>
      <c r="BL154" s="456"/>
      <c r="BM154" s="456"/>
      <c r="BN154" s="456"/>
      <c r="BO154" s="456"/>
    </row>
    <row r="155" spans="1:67" s="469" customFormat="1" ht="15" x14ac:dyDescent="0.25">
      <c r="A155" s="515" t="s">
        <v>860</v>
      </c>
      <c r="B155" s="516" t="s">
        <v>861</v>
      </c>
      <c r="C155" s="2751" t="s">
        <v>862</v>
      </c>
      <c r="D155" s="2751"/>
      <c r="E155" s="2751"/>
      <c r="F155" s="2751"/>
      <c r="G155" s="2751"/>
      <c r="H155" s="517" t="s">
        <v>835</v>
      </c>
      <c r="I155" s="518">
        <v>0</v>
      </c>
      <c r="J155" s="518">
        <v>0</v>
      </c>
      <c r="K155" s="518">
        <v>0</v>
      </c>
      <c r="L155" s="519"/>
      <c r="M155" s="520"/>
      <c r="N155" s="519"/>
      <c r="O155" s="520"/>
      <c r="P155" s="521"/>
      <c r="Q155" s="454"/>
      <c r="R155" s="454"/>
      <c r="S155" s="454"/>
      <c r="T155" s="454"/>
      <c r="U155" s="454"/>
      <c r="V155" s="454"/>
      <c r="W155" s="454"/>
      <c r="X155" s="454"/>
      <c r="Y155" s="454"/>
      <c r="Z155" s="454"/>
      <c r="AA155" s="454"/>
      <c r="AB155" s="456"/>
      <c r="AC155" s="456"/>
      <c r="AD155" s="456"/>
      <c r="AE155" s="456"/>
      <c r="AF155" s="456"/>
      <c r="AG155" s="456"/>
      <c r="AH155" s="456"/>
      <c r="AI155" s="456"/>
      <c r="AJ155" s="456"/>
      <c r="AK155" s="456"/>
      <c r="AL155" s="456"/>
      <c r="AM155" s="456"/>
      <c r="AN155" s="481"/>
      <c r="AO155" s="481"/>
      <c r="AP155" s="481"/>
      <c r="AQ155" s="491"/>
      <c r="AR155" s="456"/>
      <c r="AS155" s="456"/>
      <c r="AT155" s="456"/>
      <c r="AU155" s="522" t="s">
        <v>862</v>
      </c>
      <c r="AV155" s="481"/>
      <c r="AW155" s="456"/>
      <c r="AX155" s="481"/>
      <c r="AY155" s="491"/>
      <c r="AZ155" s="456"/>
      <c r="BA155" s="456"/>
      <c r="BB155" s="456"/>
      <c r="BC155" s="456"/>
      <c r="BD155" s="456"/>
      <c r="BE155" s="456"/>
      <c r="BF155" s="456"/>
      <c r="BG155" s="456"/>
      <c r="BH155" s="456"/>
      <c r="BI155" s="456"/>
      <c r="BJ155" s="456"/>
      <c r="BK155" s="456"/>
      <c r="BL155" s="456"/>
      <c r="BM155" s="456"/>
      <c r="BN155" s="456"/>
      <c r="BO155" s="456"/>
    </row>
    <row r="156" spans="1:67" s="469" customFormat="1" ht="15" x14ac:dyDescent="0.25">
      <c r="A156" s="515" t="s">
        <v>863</v>
      </c>
      <c r="B156" s="516" t="s">
        <v>864</v>
      </c>
      <c r="C156" s="2751" t="s">
        <v>865</v>
      </c>
      <c r="D156" s="2751"/>
      <c r="E156" s="2751"/>
      <c r="F156" s="2751"/>
      <c r="G156" s="2751"/>
      <c r="H156" s="517" t="s">
        <v>801</v>
      </c>
      <c r="I156" s="518">
        <v>1</v>
      </c>
      <c r="J156" s="518">
        <v>0</v>
      </c>
      <c r="K156" s="518">
        <v>0</v>
      </c>
      <c r="L156" s="519"/>
      <c r="M156" s="520"/>
      <c r="N156" s="519"/>
      <c r="O156" s="520"/>
      <c r="P156" s="521"/>
      <c r="Q156" s="454"/>
      <c r="R156" s="454"/>
      <c r="S156" s="454"/>
      <c r="T156" s="454"/>
      <c r="U156" s="454"/>
      <c r="V156" s="454"/>
      <c r="W156" s="454"/>
      <c r="X156" s="454"/>
      <c r="Y156" s="454"/>
      <c r="Z156" s="454"/>
      <c r="AA156" s="454"/>
      <c r="AB156" s="456"/>
      <c r="AC156" s="456"/>
      <c r="AD156" s="456"/>
      <c r="AE156" s="456"/>
      <c r="AF156" s="456"/>
      <c r="AG156" s="456"/>
      <c r="AH156" s="456"/>
      <c r="AI156" s="456"/>
      <c r="AJ156" s="456"/>
      <c r="AK156" s="456"/>
      <c r="AL156" s="456"/>
      <c r="AM156" s="456"/>
      <c r="AN156" s="481"/>
      <c r="AO156" s="481"/>
      <c r="AP156" s="481"/>
      <c r="AQ156" s="491"/>
      <c r="AR156" s="456"/>
      <c r="AS156" s="456"/>
      <c r="AT156" s="456"/>
      <c r="AU156" s="522" t="s">
        <v>865</v>
      </c>
      <c r="AV156" s="481"/>
      <c r="AW156" s="456"/>
      <c r="AX156" s="481"/>
      <c r="AY156" s="491"/>
      <c r="AZ156" s="456"/>
      <c r="BA156" s="456"/>
      <c r="BB156" s="456"/>
      <c r="BC156" s="456"/>
      <c r="BD156" s="456"/>
      <c r="BE156" s="456"/>
      <c r="BF156" s="456"/>
      <c r="BG156" s="456"/>
      <c r="BH156" s="456"/>
      <c r="BI156" s="456"/>
      <c r="BJ156" s="456"/>
      <c r="BK156" s="456"/>
      <c r="BL156" s="456"/>
      <c r="BM156" s="456"/>
      <c r="BN156" s="456"/>
      <c r="BO156" s="456"/>
    </row>
    <row r="157" spans="1:67" s="469" customFormat="1" ht="15" x14ac:dyDescent="0.25">
      <c r="A157" s="523"/>
      <c r="B157" s="490"/>
      <c r="C157" s="2722" t="s">
        <v>866</v>
      </c>
      <c r="D157" s="2722"/>
      <c r="E157" s="2722"/>
      <c r="F157" s="2722"/>
      <c r="G157" s="2722"/>
      <c r="H157" s="483"/>
      <c r="I157" s="484"/>
      <c r="J157" s="484"/>
      <c r="K157" s="484"/>
      <c r="L157" s="487"/>
      <c r="M157" s="484"/>
      <c r="N157" s="524"/>
      <c r="O157" s="484"/>
      <c r="P157" s="525">
        <v>17864.09</v>
      </c>
      <c r="Q157" s="503"/>
      <c r="R157" s="503"/>
      <c r="S157" s="454"/>
      <c r="T157" s="454"/>
      <c r="U157" s="454"/>
      <c r="V157" s="454"/>
      <c r="W157" s="454"/>
      <c r="X157" s="454"/>
      <c r="Y157" s="454"/>
      <c r="Z157" s="454"/>
      <c r="AA157" s="454"/>
      <c r="AB157" s="456"/>
      <c r="AC157" s="456"/>
      <c r="AD157" s="456"/>
      <c r="AE157" s="456"/>
      <c r="AF157" s="456"/>
      <c r="AG157" s="456"/>
      <c r="AH157" s="456"/>
      <c r="AI157" s="456"/>
      <c r="AJ157" s="456"/>
      <c r="AK157" s="456"/>
      <c r="AL157" s="456"/>
      <c r="AM157" s="456"/>
      <c r="AN157" s="481"/>
      <c r="AO157" s="481"/>
      <c r="AP157" s="481"/>
      <c r="AQ157" s="491"/>
      <c r="AR157" s="456"/>
      <c r="AS157" s="456"/>
      <c r="AT157" s="456"/>
      <c r="AU157" s="522"/>
      <c r="AV157" s="481" t="s">
        <v>866</v>
      </c>
      <c r="AW157" s="456"/>
      <c r="AX157" s="481"/>
      <c r="AY157" s="491"/>
      <c r="AZ157" s="456"/>
      <c r="BA157" s="456"/>
      <c r="BB157" s="456"/>
      <c r="BC157" s="456"/>
      <c r="BD157" s="456"/>
      <c r="BE157" s="456"/>
      <c r="BF157" s="456"/>
      <c r="BG157" s="456"/>
      <c r="BH157" s="456"/>
      <c r="BI157" s="456"/>
      <c r="BJ157" s="456"/>
      <c r="BK157" s="456"/>
      <c r="BL157" s="456"/>
      <c r="BM157" s="456"/>
      <c r="BN157" s="456"/>
      <c r="BO157" s="456"/>
    </row>
    <row r="158" spans="1:67" s="469" customFormat="1" ht="15" x14ac:dyDescent="0.25">
      <c r="A158" s="507"/>
      <c r="B158" s="493"/>
      <c r="C158" s="2697" t="s">
        <v>867</v>
      </c>
      <c r="D158" s="2697"/>
      <c r="E158" s="2697"/>
      <c r="F158" s="2697"/>
      <c r="G158" s="2697"/>
      <c r="H158" s="494"/>
      <c r="I158" s="495"/>
      <c r="J158" s="495"/>
      <c r="K158" s="495"/>
      <c r="L158" s="497"/>
      <c r="M158" s="495"/>
      <c r="N158" s="497"/>
      <c r="O158" s="495"/>
      <c r="P158" s="498">
        <v>11334.38</v>
      </c>
      <c r="Q158" s="454"/>
      <c r="R158" s="454"/>
      <c r="S158" s="454"/>
      <c r="T158" s="454"/>
      <c r="U158" s="454"/>
      <c r="V158" s="454"/>
      <c r="W158" s="454"/>
      <c r="X158" s="454"/>
      <c r="Y158" s="454"/>
      <c r="Z158" s="454"/>
      <c r="AA158" s="454"/>
      <c r="AB158" s="456"/>
      <c r="AC158" s="456"/>
      <c r="AD158" s="456"/>
      <c r="AE158" s="456"/>
      <c r="AF158" s="456"/>
      <c r="AG158" s="456"/>
      <c r="AH158" s="456"/>
      <c r="AI158" s="456"/>
      <c r="AJ158" s="456"/>
      <c r="AK158" s="456"/>
      <c r="AL158" s="456"/>
      <c r="AM158" s="456"/>
      <c r="AN158" s="481"/>
      <c r="AO158" s="481"/>
      <c r="AP158" s="481"/>
      <c r="AQ158" s="491"/>
      <c r="AR158" s="456"/>
      <c r="AS158" s="456"/>
      <c r="AT158" s="456"/>
      <c r="AU158" s="522"/>
      <c r="AV158" s="481"/>
      <c r="AW158" s="456" t="s">
        <v>867</v>
      </c>
      <c r="AX158" s="481"/>
      <c r="AY158" s="491"/>
      <c r="AZ158" s="456"/>
      <c r="BA158" s="456"/>
      <c r="BB158" s="456"/>
      <c r="BC158" s="456"/>
      <c r="BD158" s="456"/>
      <c r="BE158" s="456"/>
      <c r="BF158" s="456"/>
      <c r="BG158" s="456"/>
      <c r="BH158" s="456"/>
      <c r="BI158" s="456"/>
      <c r="BJ158" s="456"/>
      <c r="BK158" s="456"/>
      <c r="BL158" s="456"/>
      <c r="BM158" s="456"/>
      <c r="BN158" s="456"/>
      <c r="BO158" s="456"/>
    </row>
    <row r="159" spans="1:67" s="469" customFormat="1" ht="15" x14ac:dyDescent="0.25">
      <c r="A159" s="507"/>
      <c r="B159" s="493" t="s">
        <v>868</v>
      </c>
      <c r="C159" s="2697" t="s">
        <v>869</v>
      </c>
      <c r="D159" s="2697"/>
      <c r="E159" s="2697"/>
      <c r="F159" s="2697"/>
      <c r="G159" s="2697"/>
      <c r="H159" s="494" t="s">
        <v>636</v>
      </c>
      <c r="I159" s="513">
        <v>93</v>
      </c>
      <c r="J159" s="495"/>
      <c r="K159" s="513">
        <v>93</v>
      </c>
      <c r="L159" s="497"/>
      <c r="M159" s="495"/>
      <c r="N159" s="497"/>
      <c r="O159" s="495"/>
      <c r="P159" s="498">
        <v>10540.97</v>
      </c>
      <c r="Q159" s="454"/>
      <c r="R159" s="454"/>
      <c r="S159" s="454"/>
      <c r="T159" s="454"/>
      <c r="U159" s="454"/>
      <c r="V159" s="454"/>
      <c r="W159" s="454"/>
      <c r="X159" s="454"/>
      <c r="Y159" s="454"/>
      <c r="Z159" s="454"/>
      <c r="AA159" s="454"/>
      <c r="AB159" s="456"/>
      <c r="AC159" s="456"/>
      <c r="AD159" s="456"/>
      <c r="AE159" s="456"/>
      <c r="AF159" s="456"/>
      <c r="AG159" s="456"/>
      <c r="AH159" s="456"/>
      <c r="AI159" s="456"/>
      <c r="AJ159" s="456"/>
      <c r="AK159" s="456"/>
      <c r="AL159" s="456"/>
      <c r="AM159" s="456"/>
      <c r="AN159" s="481"/>
      <c r="AO159" s="481"/>
      <c r="AP159" s="481"/>
      <c r="AQ159" s="491"/>
      <c r="AR159" s="456"/>
      <c r="AS159" s="456"/>
      <c r="AT159" s="456"/>
      <c r="AU159" s="522"/>
      <c r="AV159" s="481"/>
      <c r="AW159" s="456" t="s">
        <v>869</v>
      </c>
      <c r="AX159" s="481"/>
      <c r="AY159" s="491"/>
      <c r="AZ159" s="456"/>
      <c r="BA159" s="456"/>
      <c r="BB159" s="456"/>
      <c r="BC159" s="456"/>
      <c r="BD159" s="456"/>
      <c r="BE159" s="456"/>
      <c r="BF159" s="456"/>
      <c r="BG159" s="456"/>
      <c r="BH159" s="456"/>
      <c r="BI159" s="456"/>
      <c r="BJ159" s="456"/>
      <c r="BK159" s="456"/>
      <c r="BL159" s="456"/>
      <c r="BM159" s="456"/>
      <c r="BN159" s="456"/>
      <c r="BO159" s="456"/>
    </row>
    <row r="160" spans="1:67" s="469" customFormat="1" ht="22.5" x14ac:dyDescent="0.25">
      <c r="A160" s="507"/>
      <c r="B160" s="493" t="s">
        <v>870</v>
      </c>
      <c r="C160" s="2697" t="s">
        <v>871</v>
      </c>
      <c r="D160" s="2697"/>
      <c r="E160" s="2697"/>
      <c r="F160" s="2697"/>
      <c r="G160" s="2697"/>
      <c r="H160" s="494" t="s">
        <v>636</v>
      </c>
      <c r="I160" s="513">
        <v>62</v>
      </c>
      <c r="J160" s="509">
        <v>0.85</v>
      </c>
      <c r="K160" s="500">
        <v>52.7</v>
      </c>
      <c r="L160" s="497"/>
      <c r="M160" s="495"/>
      <c r="N160" s="497"/>
      <c r="O160" s="495"/>
      <c r="P160" s="498">
        <v>5973.22</v>
      </c>
      <c r="Q160" s="454"/>
      <c r="R160" s="454"/>
      <c r="S160" s="454"/>
      <c r="T160" s="454"/>
      <c r="U160" s="454"/>
      <c r="V160" s="454"/>
      <c r="W160" s="454"/>
      <c r="X160" s="454"/>
      <c r="Y160" s="454"/>
      <c r="Z160" s="454"/>
      <c r="AA160" s="454"/>
      <c r="AB160" s="456"/>
      <c r="AC160" s="456"/>
      <c r="AD160" s="456"/>
      <c r="AE160" s="456"/>
      <c r="AF160" s="456"/>
      <c r="AG160" s="456"/>
      <c r="AH160" s="456"/>
      <c r="AI160" s="456"/>
      <c r="AJ160" s="456"/>
      <c r="AK160" s="456"/>
      <c r="AL160" s="456"/>
      <c r="AM160" s="456"/>
      <c r="AN160" s="481"/>
      <c r="AO160" s="481"/>
      <c r="AP160" s="481"/>
      <c r="AQ160" s="491"/>
      <c r="AR160" s="456"/>
      <c r="AS160" s="456"/>
      <c r="AT160" s="456"/>
      <c r="AU160" s="522"/>
      <c r="AV160" s="481"/>
      <c r="AW160" s="456" t="s">
        <v>871</v>
      </c>
      <c r="AX160" s="481"/>
      <c r="AY160" s="491"/>
      <c r="AZ160" s="456"/>
      <c r="BA160" s="456"/>
      <c r="BB160" s="456"/>
      <c r="BC160" s="456"/>
      <c r="BD160" s="456"/>
      <c r="BE160" s="456"/>
      <c r="BF160" s="456"/>
      <c r="BG160" s="456"/>
      <c r="BH160" s="456"/>
      <c r="BI160" s="456"/>
      <c r="BJ160" s="456"/>
      <c r="BK160" s="456"/>
      <c r="BL160" s="456"/>
      <c r="BM160" s="456"/>
      <c r="BN160" s="456"/>
      <c r="BO160" s="456"/>
    </row>
    <row r="161" spans="1:67" s="469" customFormat="1" ht="15" x14ac:dyDescent="0.25">
      <c r="A161" s="526"/>
      <c r="B161" s="567"/>
      <c r="C161" s="2722" t="s">
        <v>872</v>
      </c>
      <c r="D161" s="2722"/>
      <c r="E161" s="2722"/>
      <c r="F161" s="2722"/>
      <c r="G161" s="2722"/>
      <c r="H161" s="483"/>
      <c r="I161" s="484"/>
      <c r="J161" s="484"/>
      <c r="K161" s="484"/>
      <c r="L161" s="487"/>
      <c r="M161" s="484"/>
      <c r="N161" s="524">
        <v>31252.98</v>
      </c>
      <c r="O161" s="484"/>
      <c r="P161" s="525">
        <v>34378.28</v>
      </c>
      <c r="Q161" s="454"/>
      <c r="R161" s="454"/>
      <c r="S161" s="454"/>
      <c r="T161" s="454"/>
      <c r="U161" s="454"/>
      <c r="V161" s="454"/>
      <c r="W161" s="454"/>
      <c r="X161" s="454"/>
      <c r="Y161" s="454"/>
      <c r="Z161" s="454"/>
      <c r="AA161" s="454"/>
      <c r="AB161" s="456"/>
      <c r="AC161" s="456"/>
      <c r="AD161" s="456"/>
      <c r="AE161" s="456"/>
      <c r="AF161" s="456"/>
      <c r="AG161" s="456"/>
      <c r="AH161" s="456"/>
      <c r="AI161" s="456"/>
      <c r="AJ161" s="456"/>
      <c r="AK161" s="456"/>
      <c r="AL161" s="456"/>
      <c r="AM161" s="456"/>
      <c r="AN161" s="481"/>
      <c r="AO161" s="481"/>
      <c r="AP161" s="481"/>
      <c r="AQ161" s="491"/>
      <c r="AR161" s="456"/>
      <c r="AS161" s="456"/>
      <c r="AT161" s="456"/>
      <c r="AU161" s="522"/>
      <c r="AV161" s="481"/>
      <c r="AW161" s="456"/>
      <c r="AX161" s="481" t="s">
        <v>872</v>
      </c>
      <c r="AY161" s="491"/>
      <c r="AZ161" s="456"/>
      <c r="BA161" s="456"/>
      <c r="BB161" s="456"/>
      <c r="BC161" s="456"/>
      <c r="BD161" s="456"/>
      <c r="BE161" s="456"/>
      <c r="BF161" s="456"/>
      <c r="BG161" s="456"/>
      <c r="BH161" s="456"/>
      <c r="BI161" s="456"/>
      <c r="BJ161" s="456"/>
      <c r="BK161" s="456"/>
      <c r="BL161" s="456"/>
      <c r="BM161" s="456"/>
      <c r="BN161" s="456"/>
      <c r="BO161" s="456"/>
    </row>
    <row r="162" spans="1:67" s="469" customFormat="1" ht="68.25" x14ac:dyDescent="0.25">
      <c r="A162" s="482" t="s">
        <v>238</v>
      </c>
      <c r="B162" s="568" t="s">
        <v>873</v>
      </c>
      <c r="C162" s="2746" t="s">
        <v>874</v>
      </c>
      <c r="D162" s="2746"/>
      <c r="E162" s="2746"/>
      <c r="F162" s="2746"/>
      <c r="G162" s="2746"/>
      <c r="H162" s="483" t="s">
        <v>801</v>
      </c>
      <c r="I162" s="484">
        <v>1.1000000000000001</v>
      </c>
      <c r="J162" s="485">
        <v>1</v>
      </c>
      <c r="K162" s="486">
        <v>1.1000000000000001</v>
      </c>
      <c r="L162" s="487"/>
      <c r="M162" s="484"/>
      <c r="N162" s="527">
        <v>653.6</v>
      </c>
      <c r="O162" s="484"/>
      <c r="P162" s="734">
        <v>718.96</v>
      </c>
      <c r="Q162" s="454"/>
      <c r="R162" s="454"/>
      <c r="S162" s="454"/>
      <c r="T162" s="454"/>
      <c r="U162" s="454"/>
      <c r="V162" s="454"/>
      <c r="W162" s="454"/>
      <c r="X162" s="454"/>
      <c r="Y162" s="454"/>
      <c r="Z162" s="454"/>
      <c r="AA162" s="454"/>
      <c r="AB162" s="456"/>
      <c r="AC162" s="456"/>
      <c r="AD162" s="456"/>
      <c r="AE162" s="456"/>
      <c r="AF162" s="456"/>
      <c r="AG162" s="456"/>
      <c r="AH162" s="456"/>
      <c r="AI162" s="456"/>
      <c r="AJ162" s="456"/>
      <c r="AK162" s="456"/>
      <c r="AL162" s="456"/>
      <c r="AM162" s="456"/>
      <c r="AN162" s="481"/>
      <c r="AO162" s="481"/>
      <c r="AP162" s="481" t="s">
        <v>874</v>
      </c>
      <c r="AQ162" s="491"/>
      <c r="AR162" s="456"/>
      <c r="AS162" s="456"/>
      <c r="AT162" s="456"/>
      <c r="AU162" s="522"/>
      <c r="AV162" s="481"/>
      <c r="AW162" s="456"/>
      <c r="AX162" s="481"/>
      <c r="AY162" s="491"/>
      <c r="AZ162" s="456"/>
      <c r="BA162" s="456"/>
      <c r="BB162" s="456"/>
      <c r="BC162" s="456"/>
      <c r="BD162" s="456"/>
      <c r="BE162" s="456"/>
      <c r="BF162" s="456"/>
      <c r="BG162" s="456"/>
      <c r="BH162" s="456"/>
      <c r="BI162" s="456"/>
      <c r="BJ162" s="456"/>
      <c r="BK162" s="456"/>
      <c r="BL162" s="456"/>
      <c r="BM162" s="456"/>
      <c r="BN162" s="456"/>
      <c r="BO162" s="456"/>
    </row>
    <row r="163" spans="1:67" s="469" customFormat="1" ht="15" x14ac:dyDescent="0.25">
      <c r="A163" s="526"/>
      <c r="B163" s="567"/>
      <c r="C163" s="2669" t="s">
        <v>875</v>
      </c>
      <c r="D163" s="2669"/>
      <c r="E163" s="2669"/>
      <c r="F163" s="2669"/>
      <c r="G163" s="2669"/>
      <c r="H163" s="2669"/>
      <c r="I163" s="2669"/>
      <c r="J163" s="2669"/>
      <c r="K163" s="2669"/>
      <c r="L163" s="2669"/>
      <c r="M163" s="2669"/>
      <c r="N163" s="2669"/>
      <c r="O163" s="2669"/>
      <c r="P163" s="2730"/>
      <c r="Q163" s="454"/>
      <c r="R163" s="454"/>
      <c r="S163" s="454"/>
      <c r="T163" s="454"/>
      <c r="U163" s="454"/>
      <c r="V163" s="454"/>
      <c r="W163" s="454"/>
      <c r="X163" s="454"/>
      <c r="Y163" s="454"/>
      <c r="Z163" s="454"/>
      <c r="AA163" s="454"/>
      <c r="AB163" s="456"/>
      <c r="AC163" s="456"/>
      <c r="AD163" s="456"/>
      <c r="AE163" s="456"/>
      <c r="AF163" s="456"/>
      <c r="AG163" s="456"/>
      <c r="AH163" s="456"/>
      <c r="AI163" s="456"/>
      <c r="AJ163" s="456"/>
      <c r="AK163" s="456"/>
      <c r="AL163" s="456"/>
      <c r="AM163" s="456"/>
      <c r="AN163" s="481"/>
      <c r="AO163" s="481"/>
      <c r="AP163" s="481"/>
      <c r="AQ163" s="491"/>
      <c r="AR163" s="456"/>
      <c r="AS163" s="456"/>
      <c r="AT163" s="456"/>
      <c r="AU163" s="522"/>
      <c r="AV163" s="481"/>
      <c r="AW163" s="456"/>
      <c r="AX163" s="481"/>
      <c r="AY163" s="491" t="s">
        <v>875</v>
      </c>
      <c r="AZ163" s="456"/>
      <c r="BA163" s="456"/>
      <c r="BB163" s="456"/>
      <c r="BC163" s="456"/>
      <c r="BD163" s="456"/>
      <c r="BE163" s="456"/>
      <c r="BF163" s="456"/>
      <c r="BG163" s="456"/>
      <c r="BH163" s="456"/>
      <c r="BI163" s="456"/>
      <c r="BJ163" s="456"/>
      <c r="BK163" s="456"/>
      <c r="BL163" s="456"/>
      <c r="BM163" s="456"/>
      <c r="BN163" s="456"/>
      <c r="BO163" s="456"/>
    </row>
    <row r="164" spans="1:67" s="469" customFormat="1" ht="15" x14ac:dyDescent="0.25">
      <c r="A164" s="526"/>
      <c r="B164" s="567"/>
      <c r="C164" s="2722" t="s">
        <v>872</v>
      </c>
      <c r="D164" s="2722"/>
      <c r="E164" s="2722"/>
      <c r="F164" s="2722"/>
      <c r="G164" s="2722"/>
      <c r="H164" s="483"/>
      <c r="I164" s="484"/>
      <c r="J164" s="484"/>
      <c r="K164" s="484"/>
      <c r="L164" s="487"/>
      <c r="M164" s="484"/>
      <c r="N164" s="487"/>
      <c r="O164" s="484"/>
      <c r="P164" s="734">
        <v>718.96</v>
      </c>
      <c r="Q164" s="454"/>
      <c r="R164" s="454"/>
      <c r="S164" s="454"/>
      <c r="T164" s="454"/>
      <c r="U164" s="454"/>
      <c r="V164" s="454"/>
      <c r="W164" s="454"/>
      <c r="X164" s="454"/>
      <c r="Y164" s="454"/>
      <c r="Z164" s="454"/>
      <c r="AA164" s="454"/>
      <c r="AB164" s="456"/>
      <c r="AC164" s="456"/>
      <c r="AD164" s="456"/>
      <c r="AE164" s="456"/>
      <c r="AF164" s="456"/>
      <c r="AG164" s="456"/>
      <c r="AH164" s="456"/>
      <c r="AI164" s="456"/>
      <c r="AJ164" s="456"/>
      <c r="AK164" s="456"/>
      <c r="AL164" s="456"/>
      <c r="AM164" s="456"/>
      <c r="AN164" s="481"/>
      <c r="AO164" s="481"/>
      <c r="AP164" s="481"/>
      <c r="AQ164" s="491"/>
      <c r="AR164" s="456"/>
      <c r="AS164" s="456"/>
      <c r="AT164" s="456"/>
      <c r="AU164" s="522"/>
      <c r="AV164" s="481"/>
      <c r="AW164" s="456"/>
      <c r="AX164" s="481" t="s">
        <v>872</v>
      </c>
      <c r="AY164" s="491"/>
      <c r="AZ164" s="456"/>
      <c r="BA164" s="456"/>
      <c r="BB164" s="456"/>
      <c r="BC164" s="456"/>
      <c r="BD164" s="456"/>
      <c r="BE164" s="456"/>
      <c r="BF164" s="456"/>
      <c r="BG164" s="456"/>
      <c r="BH164" s="456"/>
      <c r="BI164" s="456"/>
      <c r="BJ164" s="456"/>
      <c r="BK164" s="456"/>
      <c r="BL164" s="456"/>
      <c r="BM164" s="456"/>
      <c r="BN164" s="456"/>
      <c r="BO164" s="456"/>
    </row>
    <row r="165" spans="1:67" s="469" customFormat="1" ht="23.25" x14ac:dyDescent="0.25">
      <c r="A165" s="482" t="s">
        <v>641</v>
      </c>
      <c r="B165" s="568" t="s">
        <v>799</v>
      </c>
      <c r="C165" s="2746" t="s">
        <v>876</v>
      </c>
      <c r="D165" s="2746"/>
      <c r="E165" s="2746"/>
      <c r="F165" s="2746"/>
      <c r="G165" s="2746"/>
      <c r="H165" s="483" t="s">
        <v>801</v>
      </c>
      <c r="I165" s="484">
        <v>1.1000000000000001</v>
      </c>
      <c r="J165" s="485">
        <v>1</v>
      </c>
      <c r="K165" s="486">
        <v>1.1000000000000001</v>
      </c>
      <c r="L165" s="487"/>
      <c r="M165" s="484"/>
      <c r="N165" s="487"/>
      <c r="O165" s="484"/>
      <c r="P165" s="488"/>
      <c r="Q165" s="454"/>
      <c r="R165" s="454"/>
      <c r="S165" s="454"/>
      <c r="T165" s="454"/>
      <c r="U165" s="454"/>
      <c r="V165" s="454"/>
      <c r="W165" s="454"/>
      <c r="X165" s="454"/>
      <c r="Y165" s="454"/>
      <c r="Z165" s="454"/>
      <c r="AA165" s="454"/>
      <c r="AB165" s="456"/>
      <c r="AC165" s="456"/>
      <c r="AD165" s="456"/>
      <c r="AE165" s="456"/>
      <c r="AF165" s="456"/>
      <c r="AG165" s="456"/>
      <c r="AH165" s="456"/>
      <c r="AI165" s="456"/>
      <c r="AJ165" s="456"/>
      <c r="AK165" s="456"/>
      <c r="AL165" s="456"/>
      <c r="AM165" s="456"/>
      <c r="AN165" s="481"/>
      <c r="AO165" s="481"/>
      <c r="AP165" s="481" t="s">
        <v>876</v>
      </c>
      <c r="AQ165" s="491"/>
      <c r="AR165" s="456"/>
      <c r="AS165" s="456"/>
      <c r="AT165" s="456"/>
      <c r="AU165" s="522"/>
      <c r="AV165" s="481"/>
      <c r="AW165" s="456"/>
      <c r="AX165" s="481"/>
      <c r="AY165" s="491"/>
      <c r="AZ165" s="456"/>
      <c r="BA165" s="456"/>
      <c r="BB165" s="456"/>
      <c r="BC165" s="456"/>
      <c r="BD165" s="456"/>
      <c r="BE165" s="456"/>
      <c r="BF165" s="456"/>
      <c r="BG165" s="456"/>
      <c r="BH165" s="456"/>
      <c r="BI165" s="456"/>
      <c r="BJ165" s="456"/>
      <c r="BK165" s="456"/>
      <c r="BL165" s="456"/>
      <c r="BM165" s="456"/>
      <c r="BN165" s="456"/>
      <c r="BO165" s="456"/>
    </row>
    <row r="166" spans="1:67" s="469" customFormat="1" ht="23.25" x14ac:dyDescent="0.25">
      <c r="A166" s="489"/>
      <c r="B166" s="490" t="s">
        <v>877</v>
      </c>
      <c r="C166" s="2709" t="s">
        <v>878</v>
      </c>
      <c r="D166" s="2709"/>
      <c r="E166" s="2709"/>
      <c r="F166" s="2709"/>
      <c r="G166" s="2709"/>
      <c r="H166" s="2709"/>
      <c r="I166" s="2709"/>
      <c r="J166" s="2709"/>
      <c r="K166" s="2709"/>
      <c r="L166" s="2709"/>
      <c r="M166" s="2709"/>
      <c r="N166" s="2709"/>
      <c r="O166" s="2709"/>
      <c r="P166" s="2710"/>
      <c r="Q166" s="454"/>
      <c r="R166" s="454"/>
      <c r="S166" s="454"/>
      <c r="T166" s="454"/>
      <c r="U166" s="454"/>
      <c r="V166" s="454"/>
      <c r="W166" s="454"/>
      <c r="X166" s="454"/>
      <c r="Y166" s="454"/>
      <c r="Z166" s="454"/>
      <c r="AA166" s="454"/>
      <c r="AB166" s="456"/>
      <c r="AC166" s="456"/>
      <c r="AD166" s="456"/>
      <c r="AE166" s="456"/>
      <c r="AF166" s="456"/>
      <c r="AG166" s="456"/>
      <c r="AH166" s="456"/>
      <c r="AI166" s="456"/>
      <c r="AJ166" s="456"/>
      <c r="AK166" s="456"/>
      <c r="AL166" s="456"/>
      <c r="AM166" s="456"/>
      <c r="AN166" s="481"/>
      <c r="AO166" s="481"/>
      <c r="AP166" s="481"/>
      <c r="AQ166" s="491" t="s">
        <v>878</v>
      </c>
      <c r="AR166" s="456"/>
      <c r="AS166" s="456"/>
      <c r="AT166" s="456"/>
      <c r="AU166" s="522"/>
      <c r="AV166" s="481"/>
      <c r="AW166" s="456"/>
      <c r="AX166" s="481"/>
      <c r="AY166" s="491"/>
      <c r="AZ166" s="456"/>
      <c r="BA166" s="456"/>
      <c r="BB166" s="456"/>
      <c r="BC166" s="456"/>
      <c r="BD166" s="456"/>
      <c r="BE166" s="456"/>
      <c r="BF166" s="456"/>
      <c r="BG166" s="456"/>
      <c r="BH166" s="456"/>
      <c r="BI166" s="456"/>
      <c r="BJ166" s="456"/>
      <c r="BK166" s="456"/>
      <c r="BL166" s="456"/>
      <c r="BM166" s="456"/>
      <c r="BN166" s="456"/>
      <c r="BO166" s="456"/>
    </row>
    <row r="167" spans="1:67" s="469" customFormat="1" ht="33.75" x14ac:dyDescent="0.25">
      <c r="A167" s="489"/>
      <c r="B167" s="490" t="s">
        <v>804</v>
      </c>
      <c r="C167" s="2709" t="s">
        <v>805</v>
      </c>
      <c r="D167" s="2709"/>
      <c r="E167" s="2709"/>
      <c r="F167" s="2709"/>
      <c r="G167" s="2709"/>
      <c r="H167" s="2709"/>
      <c r="I167" s="2709"/>
      <c r="J167" s="2709"/>
      <c r="K167" s="2709"/>
      <c r="L167" s="2709"/>
      <c r="M167" s="2709"/>
      <c r="N167" s="2709"/>
      <c r="O167" s="2709"/>
      <c r="P167" s="2710"/>
      <c r="Q167" s="454"/>
      <c r="R167" s="454"/>
      <c r="S167" s="454"/>
      <c r="T167" s="454"/>
      <c r="U167" s="454"/>
      <c r="V167" s="454"/>
      <c r="W167" s="454"/>
      <c r="X167" s="454"/>
      <c r="Y167" s="454"/>
      <c r="Z167" s="454"/>
      <c r="AA167" s="454"/>
      <c r="AB167" s="456"/>
      <c r="AC167" s="456"/>
      <c r="AD167" s="456"/>
      <c r="AE167" s="456"/>
      <c r="AF167" s="456"/>
      <c r="AG167" s="456"/>
      <c r="AH167" s="456"/>
      <c r="AI167" s="456"/>
      <c r="AJ167" s="456"/>
      <c r="AK167" s="456"/>
      <c r="AL167" s="456"/>
      <c r="AM167" s="456"/>
      <c r="AN167" s="481"/>
      <c r="AO167" s="481"/>
      <c r="AP167" s="481"/>
      <c r="AQ167" s="491" t="s">
        <v>805</v>
      </c>
      <c r="AR167" s="456"/>
      <c r="AS167" s="456"/>
      <c r="AT167" s="456"/>
      <c r="AU167" s="522"/>
      <c r="AV167" s="481"/>
      <c r="AW167" s="456"/>
      <c r="AX167" s="481"/>
      <c r="AY167" s="491"/>
      <c r="AZ167" s="456"/>
      <c r="BA167" s="456"/>
      <c r="BB167" s="456"/>
      <c r="BC167" s="456"/>
      <c r="BD167" s="456"/>
      <c r="BE167" s="456"/>
      <c r="BF167" s="456"/>
      <c r="BG167" s="456"/>
      <c r="BH167" s="456"/>
      <c r="BI167" s="456"/>
      <c r="BJ167" s="456"/>
      <c r="BK167" s="456"/>
      <c r="BL167" s="456"/>
      <c r="BM167" s="456"/>
      <c r="BN167" s="456"/>
      <c r="BO167" s="456"/>
    </row>
    <row r="168" spans="1:67" s="469" customFormat="1" ht="15" x14ac:dyDescent="0.25">
      <c r="A168" s="492"/>
      <c r="B168" s="493" t="s">
        <v>190</v>
      </c>
      <c r="C168" s="2697" t="s">
        <v>806</v>
      </c>
      <c r="D168" s="2697"/>
      <c r="E168" s="2697"/>
      <c r="F168" s="2697"/>
      <c r="G168" s="2697"/>
      <c r="H168" s="494" t="s">
        <v>807</v>
      </c>
      <c r="I168" s="495"/>
      <c r="J168" s="495"/>
      <c r="K168" s="528">
        <v>61.308225</v>
      </c>
      <c r="L168" s="497"/>
      <c r="M168" s="495"/>
      <c r="N168" s="497"/>
      <c r="O168" s="495"/>
      <c r="P168" s="498">
        <v>15898.45</v>
      </c>
      <c r="Q168" s="454"/>
      <c r="R168" s="454"/>
      <c r="S168" s="454"/>
      <c r="T168" s="454"/>
      <c r="U168" s="454"/>
      <c r="V168" s="454"/>
      <c r="W168" s="454"/>
      <c r="X168" s="454"/>
      <c r="Y168" s="454"/>
      <c r="Z168" s="454"/>
      <c r="AA168" s="454"/>
      <c r="AB168" s="456"/>
      <c r="AC168" s="456"/>
      <c r="AD168" s="456"/>
      <c r="AE168" s="456"/>
      <c r="AF168" s="456"/>
      <c r="AG168" s="456"/>
      <c r="AH168" s="456"/>
      <c r="AI168" s="456"/>
      <c r="AJ168" s="456"/>
      <c r="AK168" s="456"/>
      <c r="AL168" s="456"/>
      <c r="AM168" s="456"/>
      <c r="AN168" s="481"/>
      <c r="AO168" s="481"/>
      <c r="AP168" s="481"/>
      <c r="AQ168" s="491"/>
      <c r="AR168" s="456" t="s">
        <v>806</v>
      </c>
      <c r="AS168" s="456"/>
      <c r="AT168" s="456"/>
      <c r="AU168" s="522"/>
      <c r="AV168" s="481"/>
      <c r="AW168" s="456"/>
      <c r="AX168" s="481"/>
      <c r="AY168" s="491"/>
      <c r="AZ168" s="456"/>
      <c r="BA168" s="456"/>
      <c r="BB168" s="456"/>
      <c r="BC168" s="456"/>
      <c r="BD168" s="456"/>
      <c r="BE168" s="456"/>
      <c r="BF168" s="456"/>
      <c r="BG168" s="456"/>
      <c r="BH168" s="456"/>
      <c r="BI168" s="456"/>
      <c r="BJ168" s="456"/>
      <c r="BK168" s="456"/>
      <c r="BL168" s="456"/>
      <c r="BM168" s="456"/>
      <c r="BN168" s="456"/>
      <c r="BO168" s="456"/>
    </row>
    <row r="169" spans="1:67" s="469" customFormat="1" ht="22.5" x14ac:dyDescent="0.25">
      <c r="A169" s="499"/>
      <c r="B169" s="493" t="s">
        <v>808</v>
      </c>
      <c r="C169" s="2697" t="s">
        <v>809</v>
      </c>
      <c r="D169" s="2697"/>
      <c r="E169" s="2697"/>
      <c r="F169" s="2697"/>
      <c r="G169" s="2697"/>
      <c r="H169" s="494" t="s">
        <v>807</v>
      </c>
      <c r="I169" s="500">
        <v>35.9</v>
      </c>
      <c r="J169" s="495" t="s">
        <v>879</v>
      </c>
      <c r="K169" s="528">
        <v>61.308225</v>
      </c>
      <c r="L169" s="501"/>
      <c r="M169" s="564"/>
      <c r="N169" s="502">
        <v>259.32</v>
      </c>
      <c r="O169" s="495"/>
      <c r="P169" s="498">
        <v>15898.45</v>
      </c>
      <c r="Q169" s="503"/>
      <c r="R169" s="503"/>
      <c r="S169" s="454"/>
      <c r="T169" s="454"/>
      <c r="U169" s="454"/>
      <c r="V169" s="454"/>
      <c r="W169" s="454"/>
      <c r="X169" s="454"/>
      <c r="Y169" s="454"/>
      <c r="Z169" s="454"/>
      <c r="AA169" s="454"/>
      <c r="AB169" s="456"/>
      <c r="AC169" s="456"/>
      <c r="AD169" s="456"/>
      <c r="AE169" s="456"/>
      <c r="AF169" s="456"/>
      <c r="AG169" s="456"/>
      <c r="AH169" s="456"/>
      <c r="AI169" s="456"/>
      <c r="AJ169" s="456"/>
      <c r="AK169" s="456"/>
      <c r="AL169" s="456"/>
      <c r="AM169" s="456"/>
      <c r="AN169" s="481"/>
      <c r="AO169" s="481"/>
      <c r="AP169" s="481"/>
      <c r="AQ169" s="491"/>
      <c r="AR169" s="456"/>
      <c r="AS169" s="456" t="s">
        <v>809</v>
      </c>
      <c r="AT169" s="456"/>
      <c r="AU169" s="522"/>
      <c r="AV169" s="481"/>
      <c r="AW169" s="456"/>
      <c r="AX169" s="481"/>
      <c r="AY169" s="491"/>
      <c r="AZ169" s="456"/>
      <c r="BA169" s="456"/>
      <c r="BB169" s="456"/>
      <c r="BC169" s="456"/>
      <c r="BD169" s="456"/>
      <c r="BE169" s="456"/>
      <c r="BF169" s="456"/>
      <c r="BG169" s="456"/>
      <c r="BH169" s="456"/>
      <c r="BI169" s="456"/>
      <c r="BJ169" s="456"/>
      <c r="BK169" s="456"/>
      <c r="BL169" s="456"/>
      <c r="BM169" s="456"/>
      <c r="BN169" s="456"/>
      <c r="BO169" s="456"/>
    </row>
    <row r="170" spans="1:67" s="469" customFormat="1" ht="15" x14ac:dyDescent="0.25">
      <c r="A170" s="492"/>
      <c r="B170" s="493" t="s">
        <v>639</v>
      </c>
      <c r="C170" s="2697" t="s">
        <v>697</v>
      </c>
      <c r="D170" s="2697"/>
      <c r="E170" s="2697"/>
      <c r="F170" s="2697"/>
      <c r="G170" s="2697"/>
      <c r="H170" s="494"/>
      <c r="I170" s="495"/>
      <c r="J170" s="495"/>
      <c r="K170" s="495"/>
      <c r="L170" s="497"/>
      <c r="M170" s="495"/>
      <c r="N170" s="497"/>
      <c r="O170" s="495"/>
      <c r="P170" s="498">
        <v>11660.19</v>
      </c>
      <c r="Q170" s="454"/>
      <c r="R170" s="454"/>
      <c r="S170" s="454"/>
      <c r="T170" s="454"/>
      <c r="U170" s="454"/>
      <c r="V170" s="454"/>
      <c r="W170" s="454"/>
      <c r="X170" s="454"/>
      <c r="Y170" s="454"/>
      <c r="Z170" s="454"/>
      <c r="AA170" s="454"/>
      <c r="AB170" s="456"/>
      <c r="AC170" s="456"/>
      <c r="AD170" s="456"/>
      <c r="AE170" s="456"/>
      <c r="AF170" s="456"/>
      <c r="AG170" s="456"/>
      <c r="AH170" s="456"/>
      <c r="AI170" s="456"/>
      <c r="AJ170" s="456"/>
      <c r="AK170" s="456"/>
      <c r="AL170" s="456"/>
      <c r="AM170" s="456"/>
      <c r="AN170" s="481"/>
      <c r="AO170" s="481"/>
      <c r="AP170" s="481"/>
      <c r="AQ170" s="491"/>
      <c r="AR170" s="456" t="s">
        <v>697</v>
      </c>
      <c r="AS170" s="456"/>
      <c r="AT170" s="456"/>
      <c r="AU170" s="522"/>
      <c r="AV170" s="481"/>
      <c r="AW170" s="456"/>
      <c r="AX170" s="481"/>
      <c r="AY170" s="491"/>
      <c r="AZ170" s="456"/>
      <c r="BA170" s="456"/>
      <c r="BB170" s="456"/>
      <c r="BC170" s="456"/>
      <c r="BD170" s="456"/>
      <c r="BE170" s="456"/>
      <c r="BF170" s="456"/>
      <c r="BG170" s="456"/>
      <c r="BH170" s="456"/>
      <c r="BI170" s="456"/>
      <c r="BJ170" s="456"/>
      <c r="BK170" s="456"/>
      <c r="BL170" s="456"/>
      <c r="BM170" s="456"/>
      <c r="BN170" s="456"/>
      <c r="BO170" s="456"/>
    </row>
    <row r="171" spans="1:67" s="469" customFormat="1" ht="15" x14ac:dyDescent="0.25">
      <c r="A171" s="492"/>
      <c r="B171" s="493"/>
      <c r="C171" s="2697" t="s">
        <v>811</v>
      </c>
      <c r="D171" s="2697"/>
      <c r="E171" s="2697"/>
      <c r="F171" s="2697"/>
      <c r="G171" s="2697"/>
      <c r="H171" s="494" t="s">
        <v>807</v>
      </c>
      <c r="I171" s="495"/>
      <c r="J171" s="495"/>
      <c r="K171" s="528">
        <v>8.2046250000000001</v>
      </c>
      <c r="L171" s="497"/>
      <c r="M171" s="495"/>
      <c r="N171" s="497"/>
      <c r="O171" s="495"/>
      <c r="P171" s="498">
        <v>2959.03</v>
      </c>
      <c r="Q171" s="454"/>
      <c r="R171" s="454"/>
      <c r="S171" s="454"/>
      <c r="T171" s="454"/>
      <c r="U171" s="454"/>
      <c r="V171" s="454"/>
      <c r="W171" s="454"/>
      <c r="X171" s="454"/>
      <c r="Y171" s="454"/>
      <c r="Z171" s="454"/>
      <c r="AA171" s="454"/>
      <c r="AB171" s="456"/>
      <c r="AC171" s="456"/>
      <c r="AD171" s="456"/>
      <c r="AE171" s="456"/>
      <c r="AF171" s="456"/>
      <c r="AG171" s="456"/>
      <c r="AH171" s="456"/>
      <c r="AI171" s="456"/>
      <c r="AJ171" s="456"/>
      <c r="AK171" s="456"/>
      <c r="AL171" s="456"/>
      <c r="AM171" s="456"/>
      <c r="AN171" s="481"/>
      <c r="AO171" s="481"/>
      <c r="AP171" s="481"/>
      <c r="AQ171" s="491"/>
      <c r="AR171" s="456" t="s">
        <v>811</v>
      </c>
      <c r="AS171" s="456"/>
      <c r="AT171" s="456"/>
      <c r="AU171" s="522"/>
      <c r="AV171" s="481"/>
      <c r="AW171" s="456"/>
      <c r="AX171" s="481"/>
      <c r="AY171" s="491"/>
      <c r="AZ171" s="456"/>
      <c r="BA171" s="456"/>
      <c r="BB171" s="456"/>
      <c r="BC171" s="456"/>
      <c r="BD171" s="456"/>
      <c r="BE171" s="456"/>
      <c r="BF171" s="456"/>
      <c r="BG171" s="456"/>
      <c r="BH171" s="456"/>
      <c r="BI171" s="456"/>
      <c r="BJ171" s="456"/>
      <c r="BK171" s="456"/>
      <c r="BL171" s="456"/>
      <c r="BM171" s="456"/>
      <c r="BN171" s="456"/>
      <c r="BO171" s="456"/>
    </row>
    <row r="172" spans="1:67" s="469" customFormat="1" ht="22.5" x14ac:dyDescent="0.25">
      <c r="A172" s="499"/>
      <c r="B172" s="493" t="s">
        <v>812</v>
      </c>
      <c r="C172" s="2697" t="s">
        <v>813</v>
      </c>
      <c r="D172" s="2697"/>
      <c r="E172" s="2697"/>
      <c r="F172" s="2697"/>
      <c r="G172" s="2697"/>
      <c r="H172" s="494" t="s">
        <v>814</v>
      </c>
      <c r="I172" s="500">
        <v>0.1</v>
      </c>
      <c r="J172" s="495" t="s">
        <v>880</v>
      </c>
      <c r="K172" s="528">
        <v>0.18562500000000001</v>
      </c>
      <c r="L172" s="505">
        <v>1803.79</v>
      </c>
      <c r="M172" s="506">
        <v>1.1399999999999999</v>
      </c>
      <c r="N172" s="502">
        <v>2056.3200000000002</v>
      </c>
      <c r="O172" s="495"/>
      <c r="P172" s="498">
        <v>381.7</v>
      </c>
      <c r="Q172" s="503"/>
      <c r="R172" s="503"/>
      <c r="S172" s="454"/>
      <c r="T172" s="454"/>
      <c r="U172" s="454"/>
      <c r="V172" s="454"/>
      <c r="W172" s="454"/>
      <c r="X172" s="454"/>
      <c r="Y172" s="454"/>
      <c r="Z172" s="454"/>
      <c r="AA172" s="454"/>
      <c r="AB172" s="456"/>
      <c r="AC172" s="456"/>
      <c r="AD172" s="456"/>
      <c r="AE172" s="456"/>
      <c r="AF172" s="456"/>
      <c r="AG172" s="456"/>
      <c r="AH172" s="456"/>
      <c r="AI172" s="456"/>
      <c r="AJ172" s="456"/>
      <c r="AK172" s="456"/>
      <c r="AL172" s="456"/>
      <c r="AM172" s="456"/>
      <c r="AN172" s="481"/>
      <c r="AO172" s="481"/>
      <c r="AP172" s="481"/>
      <c r="AQ172" s="491"/>
      <c r="AR172" s="456"/>
      <c r="AS172" s="456" t="s">
        <v>813</v>
      </c>
      <c r="AT172" s="456"/>
      <c r="AU172" s="522"/>
      <c r="AV172" s="481"/>
      <c r="AW172" s="456"/>
      <c r="AX172" s="481"/>
      <c r="AY172" s="491"/>
      <c r="AZ172" s="456"/>
      <c r="BA172" s="456"/>
      <c r="BB172" s="456"/>
      <c r="BC172" s="456"/>
      <c r="BD172" s="456"/>
      <c r="BE172" s="456"/>
      <c r="BF172" s="456"/>
      <c r="BG172" s="456"/>
      <c r="BH172" s="456"/>
      <c r="BI172" s="456"/>
      <c r="BJ172" s="456"/>
      <c r="BK172" s="456"/>
      <c r="BL172" s="456"/>
      <c r="BM172" s="456"/>
      <c r="BN172" s="456"/>
      <c r="BO172" s="456"/>
    </row>
    <row r="173" spans="1:67" s="469" customFormat="1" ht="22.5" x14ac:dyDescent="0.25">
      <c r="A173" s="507"/>
      <c r="B173" s="493" t="s">
        <v>815</v>
      </c>
      <c r="C173" s="2697" t="s">
        <v>816</v>
      </c>
      <c r="D173" s="2697"/>
      <c r="E173" s="2697"/>
      <c r="F173" s="2697"/>
      <c r="G173" s="2697"/>
      <c r="H173" s="494" t="s">
        <v>807</v>
      </c>
      <c r="I173" s="500">
        <v>0.1</v>
      </c>
      <c r="J173" s="495" t="s">
        <v>880</v>
      </c>
      <c r="K173" s="528">
        <v>0.18562500000000001</v>
      </c>
      <c r="L173" s="497"/>
      <c r="M173" s="495"/>
      <c r="N173" s="508">
        <v>364.66</v>
      </c>
      <c r="O173" s="495"/>
      <c r="P173" s="512">
        <v>67.69</v>
      </c>
      <c r="Q173" s="454"/>
      <c r="R173" s="454"/>
      <c r="S173" s="454"/>
      <c r="T173" s="454"/>
      <c r="U173" s="454"/>
      <c r="V173" s="454"/>
      <c r="W173" s="454"/>
      <c r="X173" s="454"/>
      <c r="Y173" s="454"/>
      <c r="Z173" s="454"/>
      <c r="AA173" s="454"/>
      <c r="AB173" s="456"/>
      <c r="AC173" s="456"/>
      <c r="AD173" s="456"/>
      <c r="AE173" s="456"/>
      <c r="AF173" s="456"/>
      <c r="AG173" s="456"/>
      <c r="AH173" s="456"/>
      <c r="AI173" s="456"/>
      <c r="AJ173" s="456"/>
      <c r="AK173" s="456"/>
      <c r="AL173" s="456"/>
      <c r="AM173" s="456"/>
      <c r="AN173" s="481"/>
      <c r="AO173" s="481"/>
      <c r="AP173" s="481"/>
      <c r="AQ173" s="491"/>
      <c r="AR173" s="456"/>
      <c r="AS173" s="456"/>
      <c r="AT173" s="456" t="s">
        <v>816</v>
      </c>
      <c r="AU173" s="522"/>
      <c r="AV173" s="481"/>
      <c r="AW173" s="456"/>
      <c r="AX173" s="481"/>
      <c r="AY173" s="491"/>
      <c r="AZ173" s="456"/>
      <c r="BA173" s="456"/>
      <c r="BB173" s="456"/>
      <c r="BC173" s="456"/>
      <c r="BD173" s="456"/>
      <c r="BE173" s="456"/>
      <c r="BF173" s="456"/>
      <c r="BG173" s="456"/>
      <c r="BH173" s="456"/>
      <c r="BI173" s="456"/>
      <c r="BJ173" s="456"/>
      <c r="BK173" s="456"/>
      <c r="BL173" s="456"/>
      <c r="BM173" s="456"/>
      <c r="BN173" s="456"/>
      <c r="BO173" s="456"/>
    </row>
    <row r="174" spans="1:67" s="469" customFormat="1" ht="22.5" x14ac:dyDescent="0.25">
      <c r="A174" s="499"/>
      <c r="B174" s="493" t="s">
        <v>817</v>
      </c>
      <c r="C174" s="2697" t="s">
        <v>818</v>
      </c>
      <c r="D174" s="2697"/>
      <c r="E174" s="2697"/>
      <c r="F174" s="2697"/>
      <c r="G174" s="2697"/>
      <c r="H174" s="494" t="s">
        <v>814</v>
      </c>
      <c r="I174" s="509">
        <v>4.13</v>
      </c>
      <c r="J174" s="495" t="s">
        <v>880</v>
      </c>
      <c r="K174" s="543">
        <v>7.6663125000000001</v>
      </c>
      <c r="L174" s="501"/>
      <c r="M174" s="564"/>
      <c r="N174" s="502">
        <v>1374.22</v>
      </c>
      <c r="O174" s="495"/>
      <c r="P174" s="498">
        <v>10535.2</v>
      </c>
      <c r="Q174" s="503"/>
      <c r="R174" s="503"/>
      <c r="S174" s="454"/>
      <c r="T174" s="454"/>
      <c r="U174" s="454"/>
      <c r="V174" s="454"/>
      <c r="W174" s="454"/>
      <c r="X174" s="454"/>
      <c r="Y174" s="454"/>
      <c r="Z174" s="454"/>
      <c r="AA174" s="454"/>
      <c r="AB174" s="456"/>
      <c r="AC174" s="456"/>
      <c r="AD174" s="456"/>
      <c r="AE174" s="456"/>
      <c r="AF174" s="456"/>
      <c r="AG174" s="456"/>
      <c r="AH174" s="456"/>
      <c r="AI174" s="456"/>
      <c r="AJ174" s="456"/>
      <c r="AK174" s="456"/>
      <c r="AL174" s="456"/>
      <c r="AM174" s="456"/>
      <c r="AN174" s="481"/>
      <c r="AO174" s="481"/>
      <c r="AP174" s="481"/>
      <c r="AQ174" s="491"/>
      <c r="AR174" s="456"/>
      <c r="AS174" s="456" t="s">
        <v>818</v>
      </c>
      <c r="AT174" s="456"/>
      <c r="AU174" s="522"/>
      <c r="AV174" s="481"/>
      <c r="AW174" s="456"/>
      <c r="AX174" s="481"/>
      <c r="AY174" s="491"/>
      <c r="AZ174" s="456"/>
      <c r="BA174" s="456"/>
      <c r="BB174" s="456"/>
      <c r="BC174" s="456"/>
      <c r="BD174" s="456"/>
      <c r="BE174" s="456"/>
      <c r="BF174" s="456"/>
      <c r="BG174" s="456"/>
      <c r="BH174" s="456"/>
      <c r="BI174" s="456"/>
      <c r="BJ174" s="456"/>
      <c r="BK174" s="456"/>
      <c r="BL174" s="456"/>
      <c r="BM174" s="456"/>
      <c r="BN174" s="456"/>
      <c r="BO174" s="456"/>
    </row>
    <row r="175" spans="1:67" s="469" customFormat="1" ht="22.5" x14ac:dyDescent="0.25">
      <c r="A175" s="507"/>
      <c r="B175" s="493" t="s">
        <v>815</v>
      </c>
      <c r="C175" s="2697" t="s">
        <v>816</v>
      </c>
      <c r="D175" s="2697"/>
      <c r="E175" s="2697"/>
      <c r="F175" s="2697"/>
      <c r="G175" s="2697"/>
      <c r="H175" s="494" t="s">
        <v>807</v>
      </c>
      <c r="I175" s="509">
        <v>4.13</v>
      </c>
      <c r="J175" s="495" t="s">
        <v>880</v>
      </c>
      <c r="K175" s="543">
        <v>7.6663125000000001</v>
      </c>
      <c r="L175" s="497"/>
      <c r="M175" s="495"/>
      <c r="N175" s="508">
        <v>364.66</v>
      </c>
      <c r="O175" s="495"/>
      <c r="P175" s="498">
        <v>2795.6</v>
      </c>
      <c r="Q175" s="454"/>
      <c r="R175" s="454"/>
      <c r="S175" s="454"/>
      <c r="T175" s="454"/>
      <c r="U175" s="454"/>
      <c r="V175" s="454"/>
      <c r="W175" s="454"/>
      <c r="X175" s="454"/>
      <c r="Y175" s="454"/>
      <c r="Z175" s="454"/>
      <c r="AA175" s="454"/>
      <c r="AB175" s="456"/>
      <c r="AC175" s="456"/>
      <c r="AD175" s="456"/>
      <c r="AE175" s="456"/>
      <c r="AF175" s="456"/>
      <c r="AG175" s="456"/>
      <c r="AH175" s="456"/>
      <c r="AI175" s="456"/>
      <c r="AJ175" s="456"/>
      <c r="AK175" s="456"/>
      <c r="AL175" s="456"/>
      <c r="AM175" s="456"/>
      <c r="AN175" s="481"/>
      <c r="AO175" s="481"/>
      <c r="AP175" s="481"/>
      <c r="AQ175" s="491"/>
      <c r="AR175" s="456"/>
      <c r="AS175" s="456"/>
      <c r="AT175" s="456" t="s">
        <v>816</v>
      </c>
      <c r="AU175" s="522"/>
      <c r="AV175" s="481"/>
      <c r="AW175" s="456"/>
      <c r="AX175" s="481"/>
      <c r="AY175" s="491"/>
      <c r="AZ175" s="456"/>
      <c r="BA175" s="456"/>
      <c r="BB175" s="456"/>
      <c r="BC175" s="456"/>
      <c r="BD175" s="456"/>
      <c r="BE175" s="456"/>
      <c r="BF175" s="456"/>
      <c r="BG175" s="456"/>
      <c r="BH175" s="456"/>
      <c r="BI175" s="456"/>
      <c r="BJ175" s="456"/>
      <c r="BK175" s="456"/>
      <c r="BL175" s="456"/>
      <c r="BM175" s="456"/>
      <c r="BN175" s="456"/>
      <c r="BO175" s="456"/>
    </row>
    <row r="176" spans="1:67" s="469" customFormat="1" ht="22.5" x14ac:dyDescent="0.25">
      <c r="A176" s="499"/>
      <c r="B176" s="493" t="s">
        <v>819</v>
      </c>
      <c r="C176" s="2697" t="s">
        <v>820</v>
      </c>
      <c r="D176" s="2697"/>
      <c r="E176" s="2697"/>
      <c r="F176" s="2697"/>
      <c r="G176" s="2697"/>
      <c r="H176" s="494" t="s">
        <v>814</v>
      </c>
      <c r="I176" s="509">
        <v>3.17</v>
      </c>
      <c r="J176" s="495" t="s">
        <v>880</v>
      </c>
      <c r="K176" s="543">
        <v>5.8843125000000001</v>
      </c>
      <c r="L176" s="510">
        <v>1.75</v>
      </c>
      <c r="M176" s="506">
        <v>1.26</v>
      </c>
      <c r="N176" s="502">
        <v>2.21</v>
      </c>
      <c r="O176" s="495"/>
      <c r="P176" s="498">
        <v>13</v>
      </c>
      <c r="Q176" s="503"/>
      <c r="R176" s="503"/>
      <c r="S176" s="454"/>
      <c r="T176" s="454"/>
      <c r="U176" s="454"/>
      <c r="V176" s="454"/>
      <c r="W176" s="454"/>
      <c r="X176" s="454"/>
      <c r="Y176" s="454"/>
      <c r="Z176" s="454"/>
      <c r="AA176" s="454"/>
      <c r="AB176" s="456"/>
      <c r="AC176" s="456"/>
      <c r="AD176" s="456"/>
      <c r="AE176" s="456"/>
      <c r="AF176" s="456"/>
      <c r="AG176" s="456"/>
      <c r="AH176" s="456"/>
      <c r="AI176" s="456"/>
      <c r="AJ176" s="456"/>
      <c r="AK176" s="456"/>
      <c r="AL176" s="456"/>
      <c r="AM176" s="456"/>
      <c r="AN176" s="481"/>
      <c r="AO176" s="481"/>
      <c r="AP176" s="481"/>
      <c r="AQ176" s="491"/>
      <c r="AR176" s="456"/>
      <c r="AS176" s="456" t="s">
        <v>820</v>
      </c>
      <c r="AT176" s="456"/>
      <c r="AU176" s="522"/>
      <c r="AV176" s="481"/>
      <c r="AW176" s="456"/>
      <c r="AX176" s="481"/>
      <c r="AY176" s="491"/>
      <c r="AZ176" s="456"/>
      <c r="BA176" s="456"/>
      <c r="BB176" s="456"/>
      <c r="BC176" s="456"/>
      <c r="BD176" s="456"/>
      <c r="BE176" s="456"/>
      <c r="BF176" s="456"/>
      <c r="BG176" s="456"/>
      <c r="BH176" s="456"/>
      <c r="BI176" s="456"/>
      <c r="BJ176" s="456"/>
      <c r="BK176" s="456"/>
      <c r="BL176" s="456"/>
      <c r="BM176" s="456"/>
      <c r="BN176" s="456"/>
      <c r="BO176" s="456"/>
    </row>
    <row r="177" spans="1:67" s="469" customFormat="1" ht="22.5" x14ac:dyDescent="0.25">
      <c r="A177" s="499"/>
      <c r="B177" s="493" t="s">
        <v>821</v>
      </c>
      <c r="C177" s="2697" t="s">
        <v>822</v>
      </c>
      <c r="D177" s="2697"/>
      <c r="E177" s="2697"/>
      <c r="F177" s="2697"/>
      <c r="G177" s="2697"/>
      <c r="H177" s="494" t="s">
        <v>814</v>
      </c>
      <c r="I177" s="509">
        <v>0.19</v>
      </c>
      <c r="J177" s="495" t="s">
        <v>880</v>
      </c>
      <c r="K177" s="543">
        <v>0.35268749999999999</v>
      </c>
      <c r="L177" s="501"/>
      <c r="M177" s="564"/>
      <c r="N177" s="502">
        <v>535.19000000000005</v>
      </c>
      <c r="O177" s="495"/>
      <c r="P177" s="498">
        <v>188.75</v>
      </c>
      <c r="Q177" s="503"/>
      <c r="R177" s="503"/>
      <c r="S177" s="454"/>
      <c r="T177" s="454"/>
      <c r="U177" s="454"/>
      <c r="V177" s="454"/>
      <c r="W177" s="454"/>
      <c r="X177" s="454"/>
      <c r="Y177" s="454"/>
      <c r="Z177" s="454"/>
      <c r="AA177" s="454"/>
      <c r="AB177" s="456"/>
      <c r="AC177" s="456"/>
      <c r="AD177" s="456"/>
      <c r="AE177" s="456"/>
      <c r="AF177" s="456"/>
      <c r="AG177" s="456"/>
      <c r="AH177" s="456"/>
      <c r="AI177" s="456"/>
      <c r="AJ177" s="456"/>
      <c r="AK177" s="456"/>
      <c r="AL177" s="456"/>
      <c r="AM177" s="456"/>
      <c r="AN177" s="481"/>
      <c r="AO177" s="481"/>
      <c r="AP177" s="481"/>
      <c r="AQ177" s="491"/>
      <c r="AR177" s="456"/>
      <c r="AS177" s="456" t="s">
        <v>822</v>
      </c>
      <c r="AT177" s="456"/>
      <c r="AU177" s="522"/>
      <c r="AV177" s="481"/>
      <c r="AW177" s="456"/>
      <c r="AX177" s="481"/>
      <c r="AY177" s="491"/>
      <c r="AZ177" s="456"/>
      <c r="BA177" s="456"/>
      <c r="BB177" s="456"/>
      <c r="BC177" s="456"/>
      <c r="BD177" s="456"/>
      <c r="BE177" s="456"/>
      <c r="BF177" s="456"/>
      <c r="BG177" s="456"/>
      <c r="BH177" s="456"/>
      <c r="BI177" s="456"/>
      <c r="BJ177" s="456"/>
      <c r="BK177" s="456"/>
      <c r="BL177" s="456"/>
      <c r="BM177" s="456"/>
      <c r="BN177" s="456"/>
      <c r="BO177" s="456"/>
    </row>
    <row r="178" spans="1:67" s="469" customFormat="1" ht="22.5" x14ac:dyDescent="0.25">
      <c r="A178" s="507"/>
      <c r="B178" s="493" t="s">
        <v>823</v>
      </c>
      <c r="C178" s="2697" t="s">
        <v>824</v>
      </c>
      <c r="D178" s="2697"/>
      <c r="E178" s="2697"/>
      <c r="F178" s="2697"/>
      <c r="G178" s="2697"/>
      <c r="H178" s="494" t="s">
        <v>807</v>
      </c>
      <c r="I178" s="509">
        <v>0.19</v>
      </c>
      <c r="J178" s="495" t="s">
        <v>880</v>
      </c>
      <c r="K178" s="543">
        <v>0.35268749999999999</v>
      </c>
      <c r="L178" s="497"/>
      <c r="M178" s="495"/>
      <c r="N178" s="508">
        <v>271.47000000000003</v>
      </c>
      <c r="O178" s="495"/>
      <c r="P178" s="512">
        <v>95.74</v>
      </c>
      <c r="Q178" s="454"/>
      <c r="R178" s="454"/>
      <c r="S178" s="454"/>
      <c r="T178" s="454"/>
      <c r="U178" s="454"/>
      <c r="V178" s="454"/>
      <c r="W178" s="454"/>
      <c r="X178" s="454"/>
      <c r="Y178" s="454"/>
      <c r="Z178" s="454"/>
      <c r="AA178" s="454"/>
      <c r="AB178" s="456"/>
      <c r="AC178" s="456"/>
      <c r="AD178" s="456"/>
      <c r="AE178" s="456"/>
      <c r="AF178" s="456"/>
      <c r="AG178" s="456"/>
      <c r="AH178" s="456"/>
      <c r="AI178" s="456"/>
      <c r="AJ178" s="456"/>
      <c r="AK178" s="456"/>
      <c r="AL178" s="456"/>
      <c r="AM178" s="456"/>
      <c r="AN178" s="481"/>
      <c r="AO178" s="481"/>
      <c r="AP178" s="481"/>
      <c r="AQ178" s="491"/>
      <c r="AR178" s="456"/>
      <c r="AS178" s="456"/>
      <c r="AT178" s="456" t="s">
        <v>824</v>
      </c>
      <c r="AU178" s="522"/>
      <c r="AV178" s="481"/>
      <c r="AW178" s="456"/>
      <c r="AX178" s="481"/>
      <c r="AY178" s="491"/>
      <c r="AZ178" s="456"/>
      <c r="BA178" s="456"/>
      <c r="BB178" s="456"/>
      <c r="BC178" s="456"/>
      <c r="BD178" s="456"/>
      <c r="BE178" s="456"/>
      <c r="BF178" s="456"/>
      <c r="BG178" s="456"/>
      <c r="BH178" s="456"/>
      <c r="BI178" s="456"/>
      <c r="BJ178" s="456"/>
      <c r="BK178" s="456"/>
      <c r="BL178" s="456"/>
      <c r="BM178" s="456"/>
      <c r="BN178" s="456"/>
      <c r="BO178" s="456"/>
    </row>
    <row r="179" spans="1:67" s="469" customFormat="1" ht="22.5" x14ac:dyDescent="0.25">
      <c r="A179" s="499"/>
      <c r="B179" s="493" t="s">
        <v>825</v>
      </c>
      <c r="C179" s="2697" t="s">
        <v>826</v>
      </c>
      <c r="D179" s="2697"/>
      <c r="E179" s="2697"/>
      <c r="F179" s="2697"/>
      <c r="G179" s="2697"/>
      <c r="H179" s="494" t="s">
        <v>814</v>
      </c>
      <c r="I179" s="509">
        <v>1.63</v>
      </c>
      <c r="J179" s="495" t="s">
        <v>880</v>
      </c>
      <c r="K179" s="543">
        <v>3.0256875000000001</v>
      </c>
      <c r="L179" s="510">
        <v>4.3499999999999996</v>
      </c>
      <c r="M179" s="506">
        <v>1.19</v>
      </c>
      <c r="N179" s="502">
        <v>5.18</v>
      </c>
      <c r="O179" s="495"/>
      <c r="P179" s="498">
        <v>15.67</v>
      </c>
      <c r="Q179" s="503"/>
      <c r="R179" s="503"/>
      <c r="S179" s="454"/>
      <c r="T179" s="454"/>
      <c r="U179" s="454"/>
      <c r="V179" s="454"/>
      <c r="W179" s="454"/>
      <c r="X179" s="454"/>
      <c r="Y179" s="454"/>
      <c r="Z179" s="454"/>
      <c r="AA179" s="454"/>
      <c r="AB179" s="456"/>
      <c r="AC179" s="456"/>
      <c r="AD179" s="456"/>
      <c r="AE179" s="456"/>
      <c r="AF179" s="456"/>
      <c r="AG179" s="456"/>
      <c r="AH179" s="456"/>
      <c r="AI179" s="456"/>
      <c r="AJ179" s="456"/>
      <c r="AK179" s="456"/>
      <c r="AL179" s="456"/>
      <c r="AM179" s="456"/>
      <c r="AN179" s="481"/>
      <c r="AO179" s="481"/>
      <c r="AP179" s="481"/>
      <c r="AQ179" s="491"/>
      <c r="AR179" s="456"/>
      <c r="AS179" s="456" t="s">
        <v>826</v>
      </c>
      <c r="AT179" s="456"/>
      <c r="AU179" s="522"/>
      <c r="AV179" s="481"/>
      <c r="AW179" s="456"/>
      <c r="AX179" s="481"/>
      <c r="AY179" s="491"/>
      <c r="AZ179" s="456"/>
      <c r="BA179" s="456"/>
      <c r="BB179" s="456"/>
      <c r="BC179" s="456"/>
      <c r="BD179" s="456"/>
      <c r="BE179" s="456"/>
      <c r="BF179" s="456"/>
      <c r="BG179" s="456"/>
      <c r="BH179" s="456"/>
      <c r="BI179" s="456"/>
      <c r="BJ179" s="456"/>
      <c r="BK179" s="456"/>
      <c r="BL179" s="456"/>
      <c r="BM179" s="456"/>
      <c r="BN179" s="456"/>
      <c r="BO179" s="456"/>
    </row>
    <row r="180" spans="1:67" s="469" customFormat="1" ht="23.25" x14ac:dyDescent="0.25">
      <c r="A180" s="499"/>
      <c r="B180" s="493" t="s">
        <v>827</v>
      </c>
      <c r="C180" s="2697" t="s">
        <v>828</v>
      </c>
      <c r="D180" s="2697"/>
      <c r="E180" s="2697"/>
      <c r="F180" s="2697"/>
      <c r="G180" s="2697"/>
      <c r="H180" s="494" t="s">
        <v>814</v>
      </c>
      <c r="I180" s="509">
        <v>6.16</v>
      </c>
      <c r="J180" s="495" t="s">
        <v>880</v>
      </c>
      <c r="K180" s="496">
        <v>11.4345</v>
      </c>
      <c r="L180" s="510">
        <v>51.1</v>
      </c>
      <c r="M180" s="511">
        <v>0.9</v>
      </c>
      <c r="N180" s="502">
        <v>45.99</v>
      </c>
      <c r="O180" s="495"/>
      <c r="P180" s="498">
        <v>525.87</v>
      </c>
      <c r="Q180" s="503"/>
      <c r="R180" s="503"/>
      <c r="S180" s="454"/>
      <c r="T180" s="454"/>
      <c r="U180" s="454"/>
      <c r="V180" s="454"/>
      <c r="W180" s="454"/>
      <c r="X180" s="454"/>
      <c r="Y180" s="454"/>
      <c r="Z180" s="454"/>
      <c r="AA180" s="454"/>
      <c r="AB180" s="456"/>
      <c r="AC180" s="456"/>
      <c r="AD180" s="456"/>
      <c r="AE180" s="456"/>
      <c r="AF180" s="456"/>
      <c r="AG180" s="456"/>
      <c r="AH180" s="456"/>
      <c r="AI180" s="456"/>
      <c r="AJ180" s="456"/>
      <c r="AK180" s="456"/>
      <c r="AL180" s="456"/>
      <c r="AM180" s="456"/>
      <c r="AN180" s="481"/>
      <c r="AO180" s="481"/>
      <c r="AP180" s="481"/>
      <c r="AQ180" s="491"/>
      <c r="AR180" s="456"/>
      <c r="AS180" s="456" t="s">
        <v>828</v>
      </c>
      <c r="AT180" s="456"/>
      <c r="AU180" s="522"/>
      <c r="AV180" s="481"/>
      <c r="AW180" s="456"/>
      <c r="AX180" s="481"/>
      <c r="AY180" s="491"/>
      <c r="AZ180" s="456"/>
      <c r="BA180" s="456"/>
      <c r="BB180" s="456"/>
      <c r="BC180" s="456"/>
      <c r="BD180" s="456"/>
      <c r="BE180" s="456"/>
      <c r="BF180" s="456"/>
      <c r="BG180" s="456"/>
      <c r="BH180" s="456"/>
      <c r="BI180" s="456"/>
      <c r="BJ180" s="456"/>
      <c r="BK180" s="456"/>
      <c r="BL180" s="456"/>
      <c r="BM180" s="456"/>
      <c r="BN180" s="456"/>
      <c r="BO180" s="456"/>
    </row>
    <row r="181" spans="1:67" s="469" customFormat="1" ht="15" x14ac:dyDescent="0.25">
      <c r="A181" s="492"/>
      <c r="B181" s="493" t="s">
        <v>232</v>
      </c>
      <c r="C181" s="2697" t="s">
        <v>829</v>
      </c>
      <c r="D181" s="2697"/>
      <c r="E181" s="2697"/>
      <c r="F181" s="2697"/>
      <c r="G181" s="2697"/>
      <c r="H181" s="494"/>
      <c r="I181" s="495"/>
      <c r="J181" s="495"/>
      <c r="K181" s="495"/>
      <c r="L181" s="497"/>
      <c r="M181" s="495"/>
      <c r="N181" s="497"/>
      <c r="O181" s="495"/>
      <c r="P181" s="498">
        <v>1496.58</v>
      </c>
      <c r="Q181" s="454"/>
      <c r="R181" s="454"/>
      <c r="S181" s="454"/>
      <c r="T181" s="454"/>
      <c r="U181" s="454"/>
      <c r="V181" s="454"/>
      <c r="W181" s="454"/>
      <c r="X181" s="454"/>
      <c r="Y181" s="454"/>
      <c r="Z181" s="454"/>
      <c r="AA181" s="454"/>
      <c r="AB181" s="456"/>
      <c r="AC181" s="456"/>
      <c r="AD181" s="456"/>
      <c r="AE181" s="456"/>
      <c r="AF181" s="456"/>
      <c r="AG181" s="456"/>
      <c r="AH181" s="456"/>
      <c r="AI181" s="456"/>
      <c r="AJ181" s="456"/>
      <c r="AK181" s="456"/>
      <c r="AL181" s="456"/>
      <c r="AM181" s="456"/>
      <c r="AN181" s="481"/>
      <c r="AO181" s="481"/>
      <c r="AP181" s="481"/>
      <c r="AQ181" s="491"/>
      <c r="AR181" s="456" t="s">
        <v>829</v>
      </c>
      <c r="AS181" s="456"/>
      <c r="AT181" s="456"/>
      <c r="AU181" s="522"/>
      <c r="AV181" s="481"/>
      <c r="AW181" s="456"/>
      <c r="AX181" s="481"/>
      <c r="AY181" s="491"/>
      <c r="AZ181" s="456"/>
      <c r="BA181" s="456"/>
      <c r="BB181" s="456"/>
      <c r="BC181" s="456"/>
      <c r="BD181" s="456"/>
      <c r="BE181" s="456"/>
      <c r="BF181" s="456"/>
      <c r="BG181" s="456"/>
      <c r="BH181" s="456"/>
      <c r="BI181" s="456"/>
      <c r="BJ181" s="456"/>
      <c r="BK181" s="456"/>
      <c r="BL181" s="456"/>
      <c r="BM181" s="456"/>
      <c r="BN181" s="456"/>
      <c r="BO181" s="456"/>
    </row>
    <row r="182" spans="1:67" s="469" customFormat="1" ht="15" x14ac:dyDescent="0.25">
      <c r="A182" s="499"/>
      <c r="B182" s="493" t="s">
        <v>830</v>
      </c>
      <c r="C182" s="2697" t="s">
        <v>831</v>
      </c>
      <c r="D182" s="2697"/>
      <c r="E182" s="2697"/>
      <c r="F182" s="2697"/>
      <c r="G182" s="2697"/>
      <c r="H182" s="494" t="s">
        <v>832</v>
      </c>
      <c r="I182" s="509">
        <v>1.37</v>
      </c>
      <c r="J182" s="495"/>
      <c r="K182" s="514">
        <v>1.5069999999999999</v>
      </c>
      <c r="L182" s="501"/>
      <c r="M182" s="564"/>
      <c r="N182" s="502">
        <v>114.64</v>
      </c>
      <c r="O182" s="495"/>
      <c r="P182" s="498">
        <v>172.76</v>
      </c>
      <c r="Q182" s="503"/>
      <c r="R182" s="503"/>
      <c r="S182" s="454"/>
      <c r="T182" s="454"/>
      <c r="U182" s="454"/>
      <c r="V182" s="454"/>
      <c r="W182" s="454"/>
      <c r="X182" s="454"/>
      <c r="Y182" s="454"/>
      <c r="Z182" s="454"/>
      <c r="AA182" s="454"/>
      <c r="AB182" s="456"/>
      <c r="AC182" s="456"/>
      <c r="AD182" s="456"/>
      <c r="AE182" s="456"/>
      <c r="AF182" s="456"/>
      <c r="AG182" s="456"/>
      <c r="AH182" s="456"/>
      <c r="AI182" s="456"/>
      <c r="AJ182" s="456"/>
      <c r="AK182" s="456"/>
      <c r="AL182" s="456"/>
      <c r="AM182" s="456"/>
      <c r="AN182" s="481"/>
      <c r="AO182" s="481"/>
      <c r="AP182" s="481"/>
      <c r="AQ182" s="491"/>
      <c r="AR182" s="456"/>
      <c r="AS182" s="456" t="s">
        <v>831</v>
      </c>
      <c r="AT182" s="456"/>
      <c r="AU182" s="522"/>
      <c r="AV182" s="481"/>
      <c r="AW182" s="456"/>
      <c r="AX182" s="481"/>
      <c r="AY182" s="491"/>
      <c r="AZ182" s="456"/>
      <c r="BA182" s="456"/>
      <c r="BB182" s="456"/>
      <c r="BC182" s="456"/>
      <c r="BD182" s="456"/>
      <c r="BE182" s="456"/>
      <c r="BF182" s="456"/>
      <c r="BG182" s="456"/>
      <c r="BH182" s="456"/>
      <c r="BI182" s="456"/>
      <c r="BJ182" s="456"/>
      <c r="BK182" s="456"/>
      <c r="BL182" s="456"/>
      <c r="BM182" s="456"/>
      <c r="BN182" s="456"/>
      <c r="BO182" s="456"/>
    </row>
    <row r="183" spans="1:67" s="469" customFormat="1" ht="15" x14ac:dyDescent="0.25">
      <c r="A183" s="499"/>
      <c r="B183" s="493" t="s">
        <v>833</v>
      </c>
      <c r="C183" s="2697" t="s">
        <v>834</v>
      </c>
      <c r="D183" s="2697"/>
      <c r="E183" s="2697"/>
      <c r="F183" s="2697"/>
      <c r="G183" s="2697"/>
      <c r="H183" s="494" t="s">
        <v>835</v>
      </c>
      <c r="I183" s="509">
        <v>0.41</v>
      </c>
      <c r="J183" s="495"/>
      <c r="K183" s="514">
        <v>0.45100000000000001</v>
      </c>
      <c r="L183" s="510">
        <v>41.38</v>
      </c>
      <c r="M183" s="511">
        <v>1.2</v>
      </c>
      <c r="N183" s="502">
        <v>49.66</v>
      </c>
      <c r="O183" s="495"/>
      <c r="P183" s="498">
        <v>22.4</v>
      </c>
      <c r="Q183" s="503"/>
      <c r="R183" s="503"/>
      <c r="S183" s="454"/>
      <c r="T183" s="454"/>
      <c r="U183" s="454"/>
      <c r="V183" s="454"/>
      <c r="W183" s="454"/>
      <c r="X183" s="454"/>
      <c r="Y183" s="454"/>
      <c r="Z183" s="454"/>
      <c r="AA183" s="454"/>
      <c r="AB183" s="456"/>
      <c r="AC183" s="456"/>
      <c r="AD183" s="456"/>
      <c r="AE183" s="456"/>
      <c r="AF183" s="456"/>
      <c r="AG183" s="456"/>
      <c r="AH183" s="456"/>
      <c r="AI183" s="456"/>
      <c r="AJ183" s="456"/>
      <c r="AK183" s="456"/>
      <c r="AL183" s="456"/>
      <c r="AM183" s="456"/>
      <c r="AN183" s="481"/>
      <c r="AO183" s="481"/>
      <c r="AP183" s="481"/>
      <c r="AQ183" s="491"/>
      <c r="AR183" s="456"/>
      <c r="AS183" s="456" t="s">
        <v>834</v>
      </c>
      <c r="AT183" s="456"/>
      <c r="AU183" s="522"/>
      <c r="AV183" s="481"/>
      <c r="AW183" s="456"/>
      <c r="AX183" s="481"/>
      <c r="AY183" s="491"/>
      <c r="AZ183" s="456"/>
      <c r="BA183" s="456"/>
      <c r="BB183" s="456"/>
      <c r="BC183" s="456"/>
      <c r="BD183" s="456"/>
      <c r="BE183" s="456"/>
      <c r="BF183" s="456"/>
      <c r="BG183" s="456"/>
      <c r="BH183" s="456"/>
      <c r="BI183" s="456"/>
      <c r="BJ183" s="456"/>
      <c r="BK183" s="456"/>
      <c r="BL183" s="456"/>
      <c r="BM183" s="456"/>
      <c r="BN183" s="456"/>
      <c r="BO183" s="456"/>
    </row>
    <row r="184" spans="1:67" s="469" customFormat="1" ht="15" x14ac:dyDescent="0.25">
      <c r="A184" s="499"/>
      <c r="B184" s="493" t="s">
        <v>836</v>
      </c>
      <c r="C184" s="2697" t="s">
        <v>837</v>
      </c>
      <c r="D184" s="2697"/>
      <c r="E184" s="2697"/>
      <c r="F184" s="2697"/>
      <c r="G184" s="2697"/>
      <c r="H184" s="494" t="s">
        <v>838</v>
      </c>
      <c r="I184" s="514">
        <v>3.2189999999999999</v>
      </c>
      <c r="J184" s="495"/>
      <c r="K184" s="496">
        <v>3.5409000000000002</v>
      </c>
      <c r="L184" s="501"/>
      <c r="M184" s="564"/>
      <c r="N184" s="502">
        <v>6.17</v>
      </c>
      <c r="O184" s="495"/>
      <c r="P184" s="498">
        <v>21.85</v>
      </c>
      <c r="Q184" s="503"/>
      <c r="R184" s="503"/>
      <c r="S184" s="454"/>
      <c r="T184" s="454"/>
      <c r="U184" s="454"/>
      <c r="V184" s="454"/>
      <c r="W184" s="454"/>
      <c r="X184" s="454"/>
      <c r="Y184" s="454"/>
      <c r="Z184" s="454"/>
      <c r="AA184" s="454"/>
      <c r="AB184" s="456"/>
      <c r="AC184" s="456"/>
      <c r="AD184" s="456"/>
      <c r="AE184" s="456"/>
      <c r="AF184" s="456"/>
      <c r="AG184" s="456"/>
      <c r="AH184" s="456"/>
      <c r="AI184" s="456"/>
      <c r="AJ184" s="456"/>
      <c r="AK184" s="456"/>
      <c r="AL184" s="456"/>
      <c r="AM184" s="456"/>
      <c r="AN184" s="481"/>
      <c r="AO184" s="481"/>
      <c r="AP184" s="481"/>
      <c r="AQ184" s="491"/>
      <c r="AR184" s="456"/>
      <c r="AS184" s="456" t="s">
        <v>837</v>
      </c>
      <c r="AT184" s="456"/>
      <c r="AU184" s="522"/>
      <c r="AV184" s="481"/>
      <c r="AW184" s="456"/>
      <c r="AX184" s="481"/>
      <c r="AY184" s="491"/>
      <c r="AZ184" s="456"/>
      <c r="BA184" s="456"/>
      <c r="BB184" s="456"/>
      <c r="BC184" s="456"/>
      <c r="BD184" s="456"/>
      <c r="BE184" s="456"/>
      <c r="BF184" s="456"/>
      <c r="BG184" s="456"/>
      <c r="BH184" s="456"/>
      <c r="BI184" s="456"/>
      <c r="BJ184" s="456"/>
      <c r="BK184" s="456"/>
      <c r="BL184" s="456"/>
      <c r="BM184" s="456"/>
      <c r="BN184" s="456"/>
      <c r="BO184" s="456"/>
    </row>
    <row r="185" spans="1:67" s="469" customFormat="1" ht="23.25" x14ac:dyDescent="0.25">
      <c r="A185" s="499"/>
      <c r="B185" s="493" t="s">
        <v>839</v>
      </c>
      <c r="C185" s="2697" t="s">
        <v>840</v>
      </c>
      <c r="D185" s="2697"/>
      <c r="E185" s="2697"/>
      <c r="F185" s="2697"/>
      <c r="G185" s="2697"/>
      <c r="H185" s="494" t="s">
        <v>835</v>
      </c>
      <c r="I185" s="513">
        <v>4</v>
      </c>
      <c r="J185" s="495"/>
      <c r="K185" s="500">
        <v>4.4000000000000004</v>
      </c>
      <c r="L185" s="510">
        <v>142.68</v>
      </c>
      <c r="M185" s="506">
        <v>1.05</v>
      </c>
      <c r="N185" s="502">
        <v>149.81</v>
      </c>
      <c r="O185" s="495"/>
      <c r="P185" s="498">
        <v>659.16</v>
      </c>
      <c r="Q185" s="503"/>
      <c r="R185" s="503"/>
      <c r="S185" s="454"/>
      <c r="T185" s="454"/>
      <c r="U185" s="454"/>
      <c r="V185" s="454"/>
      <c r="W185" s="454"/>
      <c r="X185" s="454"/>
      <c r="Y185" s="454"/>
      <c r="Z185" s="454"/>
      <c r="AA185" s="454"/>
      <c r="AB185" s="456"/>
      <c r="AC185" s="456"/>
      <c r="AD185" s="456"/>
      <c r="AE185" s="456"/>
      <c r="AF185" s="456"/>
      <c r="AG185" s="456"/>
      <c r="AH185" s="456"/>
      <c r="AI185" s="456"/>
      <c r="AJ185" s="456"/>
      <c r="AK185" s="456"/>
      <c r="AL185" s="456"/>
      <c r="AM185" s="456"/>
      <c r="AN185" s="481"/>
      <c r="AO185" s="481"/>
      <c r="AP185" s="481"/>
      <c r="AQ185" s="491"/>
      <c r="AR185" s="456"/>
      <c r="AS185" s="456" t="s">
        <v>840</v>
      </c>
      <c r="AT185" s="456"/>
      <c r="AU185" s="522"/>
      <c r="AV185" s="481"/>
      <c r="AW185" s="456"/>
      <c r="AX185" s="481"/>
      <c r="AY185" s="491"/>
      <c r="AZ185" s="456"/>
      <c r="BA185" s="456"/>
      <c r="BB185" s="456"/>
      <c r="BC185" s="456"/>
      <c r="BD185" s="456"/>
      <c r="BE185" s="456"/>
      <c r="BF185" s="456"/>
      <c r="BG185" s="456"/>
      <c r="BH185" s="456"/>
      <c r="BI185" s="456"/>
      <c r="BJ185" s="456"/>
      <c r="BK185" s="456"/>
      <c r="BL185" s="456"/>
      <c r="BM185" s="456"/>
      <c r="BN185" s="456"/>
      <c r="BO185" s="456"/>
    </row>
    <row r="186" spans="1:67" s="469" customFormat="1" ht="15" x14ac:dyDescent="0.25">
      <c r="A186" s="499"/>
      <c r="B186" s="493" t="s">
        <v>841</v>
      </c>
      <c r="C186" s="2697" t="s">
        <v>842</v>
      </c>
      <c r="D186" s="2697"/>
      <c r="E186" s="2697"/>
      <c r="F186" s="2697"/>
      <c r="G186" s="2697"/>
      <c r="H186" s="494" t="s">
        <v>801</v>
      </c>
      <c r="I186" s="504">
        <v>1.0000000000000001E-5</v>
      </c>
      <c r="J186" s="495"/>
      <c r="K186" s="528">
        <v>1.1E-5</v>
      </c>
      <c r="L186" s="505">
        <v>70296.2</v>
      </c>
      <c r="M186" s="506">
        <v>1.17</v>
      </c>
      <c r="N186" s="502">
        <v>82246.55</v>
      </c>
      <c r="O186" s="495"/>
      <c r="P186" s="498">
        <v>0.9</v>
      </c>
      <c r="Q186" s="503"/>
      <c r="R186" s="503"/>
      <c r="S186" s="454"/>
      <c r="T186" s="454"/>
      <c r="U186" s="454"/>
      <c r="V186" s="454"/>
      <c r="W186" s="454"/>
      <c r="X186" s="454"/>
      <c r="Y186" s="454"/>
      <c r="Z186" s="454"/>
      <c r="AA186" s="454"/>
      <c r="AB186" s="456"/>
      <c r="AC186" s="456"/>
      <c r="AD186" s="456"/>
      <c r="AE186" s="456"/>
      <c r="AF186" s="456"/>
      <c r="AG186" s="456"/>
      <c r="AH186" s="456"/>
      <c r="AI186" s="456"/>
      <c r="AJ186" s="456"/>
      <c r="AK186" s="456"/>
      <c r="AL186" s="456"/>
      <c r="AM186" s="456"/>
      <c r="AN186" s="481"/>
      <c r="AO186" s="481"/>
      <c r="AP186" s="481"/>
      <c r="AQ186" s="491"/>
      <c r="AR186" s="456"/>
      <c r="AS186" s="456" t="s">
        <v>842</v>
      </c>
      <c r="AT186" s="456"/>
      <c r="AU186" s="522"/>
      <c r="AV186" s="481"/>
      <c r="AW186" s="456"/>
      <c r="AX186" s="481"/>
      <c r="AY186" s="491"/>
      <c r="AZ186" s="456"/>
      <c r="BA186" s="456"/>
      <c r="BB186" s="456"/>
      <c r="BC186" s="456"/>
      <c r="BD186" s="456"/>
      <c r="BE186" s="456"/>
      <c r="BF186" s="456"/>
      <c r="BG186" s="456"/>
      <c r="BH186" s="456"/>
      <c r="BI186" s="456"/>
      <c r="BJ186" s="456"/>
      <c r="BK186" s="456"/>
      <c r="BL186" s="456"/>
      <c r="BM186" s="456"/>
      <c r="BN186" s="456"/>
      <c r="BO186" s="456"/>
    </row>
    <row r="187" spans="1:67" s="469" customFormat="1" ht="15" x14ac:dyDescent="0.25">
      <c r="A187" s="499"/>
      <c r="B187" s="493" t="s">
        <v>843</v>
      </c>
      <c r="C187" s="2697" t="s">
        <v>844</v>
      </c>
      <c r="D187" s="2697"/>
      <c r="E187" s="2697"/>
      <c r="F187" s="2697"/>
      <c r="G187" s="2697"/>
      <c r="H187" s="494" t="s">
        <v>801</v>
      </c>
      <c r="I187" s="496">
        <v>1E-4</v>
      </c>
      <c r="J187" s="495"/>
      <c r="K187" s="504">
        <v>1.1E-4</v>
      </c>
      <c r="L187" s="505">
        <v>231787.35</v>
      </c>
      <c r="M187" s="511">
        <v>1.9</v>
      </c>
      <c r="N187" s="502">
        <v>440395.97</v>
      </c>
      <c r="O187" s="495"/>
      <c r="P187" s="498">
        <v>48.44</v>
      </c>
      <c r="Q187" s="503"/>
      <c r="R187" s="503"/>
      <c r="S187" s="454"/>
      <c r="T187" s="454"/>
      <c r="U187" s="454"/>
      <c r="V187" s="454"/>
      <c r="W187" s="454"/>
      <c r="X187" s="454"/>
      <c r="Y187" s="454"/>
      <c r="Z187" s="454"/>
      <c r="AA187" s="454"/>
      <c r="AB187" s="456"/>
      <c r="AC187" s="456"/>
      <c r="AD187" s="456"/>
      <c r="AE187" s="456"/>
      <c r="AF187" s="456"/>
      <c r="AG187" s="456"/>
      <c r="AH187" s="456"/>
      <c r="AI187" s="456"/>
      <c r="AJ187" s="456"/>
      <c r="AK187" s="456"/>
      <c r="AL187" s="456"/>
      <c r="AM187" s="456"/>
      <c r="AN187" s="481"/>
      <c r="AO187" s="481"/>
      <c r="AP187" s="481"/>
      <c r="AQ187" s="491"/>
      <c r="AR187" s="456"/>
      <c r="AS187" s="456" t="s">
        <v>844</v>
      </c>
      <c r="AT187" s="456"/>
      <c r="AU187" s="522"/>
      <c r="AV187" s="481"/>
      <c r="AW187" s="456"/>
      <c r="AX187" s="481"/>
      <c r="AY187" s="491"/>
      <c r="AZ187" s="456"/>
      <c r="BA187" s="456"/>
      <c r="BB187" s="456"/>
      <c r="BC187" s="456"/>
      <c r="BD187" s="456"/>
      <c r="BE187" s="456"/>
      <c r="BF187" s="456"/>
      <c r="BG187" s="456"/>
      <c r="BH187" s="456"/>
      <c r="BI187" s="456"/>
      <c r="BJ187" s="456"/>
      <c r="BK187" s="456"/>
      <c r="BL187" s="456"/>
      <c r="BM187" s="456"/>
      <c r="BN187" s="456"/>
      <c r="BO187" s="456"/>
    </row>
    <row r="188" spans="1:67" s="469" customFormat="1" ht="23.25" x14ac:dyDescent="0.25">
      <c r="A188" s="499"/>
      <c r="B188" s="493" t="s">
        <v>845</v>
      </c>
      <c r="C188" s="2697" t="s">
        <v>846</v>
      </c>
      <c r="D188" s="2697"/>
      <c r="E188" s="2697"/>
      <c r="F188" s="2697"/>
      <c r="G188" s="2697"/>
      <c r="H188" s="494" t="s">
        <v>801</v>
      </c>
      <c r="I188" s="514">
        <v>1E-3</v>
      </c>
      <c r="J188" s="495"/>
      <c r="K188" s="496">
        <v>1.1000000000000001E-3</v>
      </c>
      <c r="L188" s="505">
        <v>105278.81</v>
      </c>
      <c r="M188" s="506">
        <v>1.1599999999999999</v>
      </c>
      <c r="N188" s="502">
        <v>122123.42</v>
      </c>
      <c r="O188" s="495"/>
      <c r="P188" s="498">
        <v>134.34</v>
      </c>
      <c r="Q188" s="503"/>
      <c r="R188" s="503"/>
      <c r="S188" s="454"/>
      <c r="T188" s="454"/>
      <c r="U188" s="454"/>
      <c r="V188" s="454"/>
      <c r="W188" s="454"/>
      <c r="X188" s="454"/>
      <c r="Y188" s="454"/>
      <c r="Z188" s="454"/>
      <c r="AA188" s="454"/>
      <c r="AB188" s="456"/>
      <c r="AC188" s="456"/>
      <c r="AD188" s="456"/>
      <c r="AE188" s="456"/>
      <c r="AF188" s="456"/>
      <c r="AG188" s="456"/>
      <c r="AH188" s="456"/>
      <c r="AI188" s="456"/>
      <c r="AJ188" s="456"/>
      <c r="AK188" s="456"/>
      <c r="AL188" s="456"/>
      <c r="AM188" s="456"/>
      <c r="AN188" s="481"/>
      <c r="AO188" s="481"/>
      <c r="AP188" s="481"/>
      <c r="AQ188" s="491"/>
      <c r="AR188" s="456"/>
      <c r="AS188" s="456" t="s">
        <v>846</v>
      </c>
      <c r="AT188" s="456"/>
      <c r="AU188" s="522"/>
      <c r="AV188" s="481"/>
      <c r="AW188" s="456"/>
      <c r="AX188" s="481"/>
      <c r="AY188" s="491"/>
      <c r="AZ188" s="456"/>
      <c r="BA188" s="456"/>
      <c r="BB188" s="456"/>
      <c r="BC188" s="456"/>
      <c r="BD188" s="456"/>
      <c r="BE188" s="456"/>
      <c r="BF188" s="456"/>
      <c r="BG188" s="456"/>
      <c r="BH188" s="456"/>
      <c r="BI188" s="456"/>
      <c r="BJ188" s="456"/>
      <c r="BK188" s="456"/>
      <c r="BL188" s="456"/>
      <c r="BM188" s="456"/>
      <c r="BN188" s="456"/>
      <c r="BO188" s="456"/>
    </row>
    <row r="189" spans="1:67" s="469" customFormat="1" ht="34.5" x14ac:dyDescent="0.25">
      <c r="A189" s="499"/>
      <c r="B189" s="493" t="s">
        <v>847</v>
      </c>
      <c r="C189" s="2697" t="s">
        <v>848</v>
      </c>
      <c r="D189" s="2697"/>
      <c r="E189" s="2697"/>
      <c r="F189" s="2697"/>
      <c r="G189" s="2697"/>
      <c r="H189" s="494" t="s">
        <v>849</v>
      </c>
      <c r="I189" s="496">
        <v>1.8700000000000001E-2</v>
      </c>
      <c r="J189" s="495"/>
      <c r="K189" s="504">
        <v>2.0570000000000001E-2</v>
      </c>
      <c r="L189" s="510">
        <v>307.83999999999997</v>
      </c>
      <c r="M189" s="506">
        <v>1.03</v>
      </c>
      <c r="N189" s="502">
        <v>317.08</v>
      </c>
      <c r="O189" s="495"/>
      <c r="P189" s="498">
        <v>6.52</v>
      </c>
      <c r="Q189" s="503"/>
      <c r="R189" s="503"/>
      <c r="S189" s="454"/>
      <c r="T189" s="454"/>
      <c r="U189" s="454"/>
      <c r="V189" s="454"/>
      <c r="W189" s="454"/>
      <c r="X189" s="454"/>
      <c r="Y189" s="454"/>
      <c r="Z189" s="454"/>
      <c r="AA189" s="454"/>
      <c r="AB189" s="456"/>
      <c r="AC189" s="456"/>
      <c r="AD189" s="456"/>
      <c r="AE189" s="456"/>
      <c r="AF189" s="456"/>
      <c r="AG189" s="456"/>
      <c r="AH189" s="456"/>
      <c r="AI189" s="456"/>
      <c r="AJ189" s="456"/>
      <c r="AK189" s="456"/>
      <c r="AL189" s="456"/>
      <c r="AM189" s="456"/>
      <c r="AN189" s="481"/>
      <c r="AO189" s="481"/>
      <c r="AP189" s="481"/>
      <c r="AQ189" s="491"/>
      <c r="AR189" s="456"/>
      <c r="AS189" s="456" t="s">
        <v>848</v>
      </c>
      <c r="AT189" s="456"/>
      <c r="AU189" s="522"/>
      <c r="AV189" s="481"/>
      <c r="AW189" s="456"/>
      <c r="AX189" s="481"/>
      <c r="AY189" s="491"/>
      <c r="AZ189" s="456"/>
      <c r="BA189" s="456"/>
      <c r="BB189" s="456"/>
      <c r="BC189" s="456"/>
      <c r="BD189" s="456"/>
      <c r="BE189" s="456"/>
      <c r="BF189" s="456"/>
      <c r="BG189" s="456"/>
      <c r="BH189" s="456"/>
      <c r="BI189" s="456"/>
      <c r="BJ189" s="456"/>
      <c r="BK189" s="456"/>
      <c r="BL189" s="456"/>
      <c r="BM189" s="456"/>
      <c r="BN189" s="456"/>
      <c r="BO189" s="456"/>
    </row>
    <row r="190" spans="1:67" s="469" customFormat="1" ht="15" x14ac:dyDescent="0.25">
      <c r="A190" s="499"/>
      <c r="B190" s="493" t="s">
        <v>850</v>
      </c>
      <c r="C190" s="2697" t="s">
        <v>851</v>
      </c>
      <c r="D190" s="2697"/>
      <c r="E190" s="2697"/>
      <c r="F190" s="2697"/>
      <c r="G190" s="2697"/>
      <c r="H190" s="494" t="s">
        <v>801</v>
      </c>
      <c r="I190" s="504">
        <v>3.0000000000000001E-5</v>
      </c>
      <c r="J190" s="495"/>
      <c r="K190" s="528">
        <v>3.3000000000000003E-5</v>
      </c>
      <c r="L190" s="505">
        <v>60258.2</v>
      </c>
      <c r="M190" s="506">
        <v>1.19</v>
      </c>
      <c r="N190" s="502">
        <v>71707.259999999995</v>
      </c>
      <c r="O190" s="495"/>
      <c r="P190" s="498">
        <v>2.37</v>
      </c>
      <c r="Q190" s="503"/>
      <c r="R190" s="503"/>
      <c r="S190" s="454"/>
      <c r="T190" s="454"/>
      <c r="U190" s="454"/>
      <c r="V190" s="454"/>
      <c r="W190" s="454"/>
      <c r="X190" s="454"/>
      <c r="Y190" s="454"/>
      <c r="Z190" s="454"/>
      <c r="AA190" s="454"/>
      <c r="AB190" s="456"/>
      <c r="AC190" s="456"/>
      <c r="AD190" s="456"/>
      <c r="AE190" s="456"/>
      <c r="AF190" s="456"/>
      <c r="AG190" s="456"/>
      <c r="AH190" s="456"/>
      <c r="AI190" s="456"/>
      <c r="AJ190" s="456"/>
      <c r="AK190" s="456"/>
      <c r="AL190" s="456"/>
      <c r="AM190" s="456"/>
      <c r="AN190" s="481"/>
      <c r="AO190" s="481"/>
      <c r="AP190" s="481"/>
      <c r="AQ190" s="491"/>
      <c r="AR190" s="456"/>
      <c r="AS190" s="456" t="s">
        <v>851</v>
      </c>
      <c r="AT190" s="456"/>
      <c r="AU190" s="522"/>
      <c r="AV190" s="481"/>
      <c r="AW190" s="456"/>
      <c r="AX190" s="481"/>
      <c r="AY190" s="491"/>
      <c r="AZ190" s="456"/>
      <c r="BA190" s="456"/>
      <c r="BB190" s="456"/>
      <c r="BC190" s="456"/>
      <c r="BD190" s="456"/>
      <c r="BE190" s="456"/>
      <c r="BF190" s="456"/>
      <c r="BG190" s="456"/>
      <c r="BH190" s="456"/>
      <c r="BI190" s="456"/>
      <c r="BJ190" s="456"/>
      <c r="BK190" s="456"/>
      <c r="BL190" s="456"/>
      <c r="BM190" s="456"/>
      <c r="BN190" s="456"/>
      <c r="BO190" s="456"/>
    </row>
    <row r="191" spans="1:67" s="469" customFormat="1" ht="23.25" x14ac:dyDescent="0.25">
      <c r="A191" s="499"/>
      <c r="B191" s="493" t="s">
        <v>852</v>
      </c>
      <c r="C191" s="2697" t="s">
        <v>853</v>
      </c>
      <c r="D191" s="2697"/>
      <c r="E191" s="2697"/>
      <c r="F191" s="2697"/>
      <c r="G191" s="2697"/>
      <c r="H191" s="494" t="s">
        <v>801</v>
      </c>
      <c r="I191" s="504">
        <v>1.9400000000000001E-3</v>
      </c>
      <c r="J191" s="495"/>
      <c r="K191" s="528">
        <v>2.134E-3</v>
      </c>
      <c r="L191" s="505">
        <v>136760</v>
      </c>
      <c r="M191" s="506">
        <v>1.05</v>
      </c>
      <c r="N191" s="502">
        <v>143598</v>
      </c>
      <c r="O191" s="495"/>
      <c r="P191" s="498">
        <v>306.44</v>
      </c>
      <c r="Q191" s="503"/>
      <c r="R191" s="503"/>
      <c r="S191" s="454"/>
      <c r="T191" s="454"/>
      <c r="U191" s="454"/>
      <c r="V191" s="454"/>
      <c r="W191" s="454"/>
      <c r="X191" s="454"/>
      <c r="Y191" s="454"/>
      <c r="Z191" s="454"/>
      <c r="AA191" s="454"/>
      <c r="AB191" s="456"/>
      <c r="AC191" s="456"/>
      <c r="AD191" s="456"/>
      <c r="AE191" s="456"/>
      <c r="AF191" s="456"/>
      <c r="AG191" s="456"/>
      <c r="AH191" s="456"/>
      <c r="AI191" s="456"/>
      <c r="AJ191" s="456"/>
      <c r="AK191" s="456"/>
      <c r="AL191" s="456"/>
      <c r="AM191" s="456"/>
      <c r="AN191" s="481"/>
      <c r="AO191" s="481"/>
      <c r="AP191" s="481"/>
      <c r="AQ191" s="491"/>
      <c r="AR191" s="456"/>
      <c r="AS191" s="456" t="s">
        <v>853</v>
      </c>
      <c r="AT191" s="456"/>
      <c r="AU191" s="522"/>
      <c r="AV191" s="481"/>
      <c r="AW191" s="456"/>
      <c r="AX191" s="481"/>
      <c r="AY191" s="491"/>
      <c r="AZ191" s="456"/>
      <c r="BA191" s="456"/>
      <c r="BB191" s="456"/>
      <c r="BC191" s="456"/>
      <c r="BD191" s="456"/>
      <c r="BE191" s="456"/>
      <c r="BF191" s="456"/>
      <c r="BG191" s="456"/>
      <c r="BH191" s="456"/>
      <c r="BI191" s="456"/>
      <c r="BJ191" s="456"/>
      <c r="BK191" s="456"/>
      <c r="BL191" s="456"/>
      <c r="BM191" s="456"/>
      <c r="BN191" s="456"/>
      <c r="BO191" s="456"/>
    </row>
    <row r="192" spans="1:67" s="469" customFormat="1" ht="34.5" x14ac:dyDescent="0.25">
      <c r="A192" s="499"/>
      <c r="B192" s="493" t="s">
        <v>854</v>
      </c>
      <c r="C192" s="2697" t="s">
        <v>855</v>
      </c>
      <c r="D192" s="2697"/>
      <c r="E192" s="2697"/>
      <c r="F192" s="2697"/>
      <c r="G192" s="2697"/>
      <c r="H192" s="494" t="s">
        <v>832</v>
      </c>
      <c r="I192" s="504">
        <v>1.0300000000000001E-3</v>
      </c>
      <c r="J192" s="495"/>
      <c r="K192" s="528">
        <v>1.1329999999999999E-3</v>
      </c>
      <c r="L192" s="505">
        <v>16496.03</v>
      </c>
      <c r="M192" s="506">
        <v>0.86</v>
      </c>
      <c r="N192" s="502">
        <v>14186.59</v>
      </c>
      <c r="O192" s="495"/>
      <c r="P192" s="498">
        <v>16.07</v>
      </c>
      <c r="Q192" s="503"/>
      <c r="R192" s="503"/>
      <c r="S192" s="454"/>
      <c r="T192" s="454"/>
      <c r="U192" s="454"/>
      <c r="V192" s="454"/>
      <c r="W192" s="454"/>
      <c r="X192" s="454"/>
      <c r="Y192" s="454"/>
      <c r="Z192" s="454"/>
      <c r="AA192" s="454"/>
      <c r="AB192" s="456"/>
      <c r="AC192" s="456"/>
      <c r="AD192" s="456"/>
      <c r="AE192" s="456"/>
      <c r="AF192" s="456"/>
      <c r="AG192" s="456"/>
      <c r="AH192" s="456"/>
      <c r="AI192" s="456"/>
      <c r="AJ192" s="456"/>
      <c r="AK192" s="456"/>
      <c r="AL192" s="456"/>
      <c r="AM192" s="456"/>
      <c r="AN192" s="481"/>
      <c r="AO192" s="481"/>
      <c r="AP192" s="481"/>
      <c r="AQ192" s="491"/>
      <c r="AR192" s="456"/>
      <c r="AS192" s="456" t="s">
        <v>855</v>
      </c>
      <c r="AT192" s="456"/>
      <c r="AU192" s="522"/>
      <c r="AV192" s="481"/>
      <c r="AW192" s="456"/>
      <c r="AX192" s="481"/>
      <c r="AY192" s="491"/>
      <c r="AZ192" s="456"/>
      <c r="BA192" s="456"/>
      <c r="BB192" s="456"/>
      <c r="BC192" s="456"/>
      <c r="BD192" s="456"/>
      <c r="BE192" s="456"/>
      <c r="BF192" s="456"/>
      <c r="BG192" s="456"/>
      <c r="BH192" s="456"/>
      <c r="BI192" s="456"/>
      <c r="BJ192" s="456"/>
      <c r="BK192" s="456"/>
      <c r="BL192" s="456"/>
      <c r="BM192" s="456"/>
      <c r="BN192" s="456"/>
      <c r="BO192" s="456"/>
    </row>
    <row r="193" spans="1:67" s="469" customFormat="1" ht="15" x14ac:dyDescent="0.25">
      <c r="A193" s="499"/>
      <c r="B193" s="493" t="s">
        <v>856</v>
      </c>
      <c r="C193" s="2697" t="s">
        <v>857</v>
      </c>
      <c r="D193" s="2697"/>
      <c r="E193" s="2697"/>
      <c r="F193" s="2697"/>
      <c r="G193" s="2697"/>
      <c r="H193" s="494" t="s">
        <v>801</v>
      </c>
      <c r="I193" s="504">
        <v>3.1E-4</v>
      </c>
      <c r="J193" s="495"/>
      <c r="K193" s="528">
        <v>3.4099999999999999E-4</v>
      </c>
      <c r="L193" s="505">
        <v>51280.15</v>
      </c>
      <c r="M193" s="506">
        <v>1.71</v>
      </c>
      <c r="N193" s="502">
        <v>87689.06</v>
      </c>
      <c r="O193" s="495"/>
      <c r="P193" s="498">
        <v>29.9</v>
      </c>
      <c r="Q193" s="503"/>
      <c r="R193" s="503"/>
      <c r="S193" s="454"/>
      <c r="T193" s="454"/>
      <c r="U193" s="454"/>
      <c r="V193" s="454"/>
      <c r="W193" s="454"/>
      <c r="X193" s="454"/>
      <c r="Y193" s="454"/>
      <c r="Z193" s="454"/>
      <c r="AA193" s="454"/>
      <c r="AB193" s="456"/>
      <c r="AC193" s="456"/>
      <c r="AD193" s="456"/>
      <c r="AE193" s="456"/>
      <c r="AF193" s="456"/>
      <c r="AG193" s="456"/>
      <c r="AH193" s="456"/>
      <c r="AI193" s="456"/>
      <c r="AJ193" s="456"/>
      <c r="AK193" s="456"/>
      <c r="AL193" s="456"/>
      <c r="AM193" s="456"/>
      <c r="AN193" s="481"/>
      <c r="AO193" s="481"/>
      <c r="AP193" s="481"/>
      <c r="AQ193" s="491"/>
      <c r="AR193" s="456"/>
      <c r="AS193" s="456" t="s">
        <v>857</v>
      </c>
      <c r="AT193" s="456"/>
      <c r="AU193" s="522"/>
      <c r="AV193" s="481"/>
      <c r="AW193" s="456"/>
      <c r="AX193" s="481"/>
      <c r="AY193" s="491"/>
      <c r="AZ193" s="456"/>
      <c r="BA193" s="456"/>
      <c r="BB193" s="456"/>
      <c r="BC193" s="456"/>
      <c r="BD193" s="456"/>
      <c r="BE193" s="456"/>
      <c r="BF193" s="456"/>
      <c r="BG193" s="456"/>
      <c r="BH193" s="456"/>
      <c r="BI193" s="456"/>
      <c r="BJ193" s="456"/>
      <c r="BK193" s="456"/>
      <c r="BL193" s="456"/>
      <c r="BM193" s="456"/>
      <c r="BN193" s="456"/>
      <c r="BO193" s="456"/>
    </row>
    <row r="194" spans="1:67" s="469" customFormat="1" ht="15" x14ac:dyDescent="0.25">
      <c r="A194" s="499"/>
      <c r="B194" s="493" t="s">
        <v>858</v>
      </c>
      <c r="C194" s="2697" t="s">
        <v>859</v>
      </c>
      <c r="D194" s="2697"/>
      <c r="E194" s="2697"/>
      <c r="F194" s="2697"/>
      <c r="G194" s="2697"/>
      <c r="H194" s="494" t="s">
        <v>801</v>
      </c>
      <c r="I194" s="496">
        <v>5.9999999999999995E-4</v>
      </c>
      <c r="J194" s="495"/>
      <c r="K194" s="504">
        <v>6.6E-4</v>
      </c>
      <c r="L194" s="505">
        <v>98526.45</v>
      </c>
      <c r="M194" s="506">
        <v>1.1599999999999999</v>
      </c>
      <c r="N194" s="502">
        <v>114290.68</v>
      </c>
      <c r="O194" s="495"/>
      <c r="P194" s="498">
        <v>75.430000000000007</v>
      </c>
      <c r="Q194" s="503"/>
      <c r="R194" s="503"/>
      <c r="S194" s="454"/>
      <c r="T194" s="454"/>
      <c r="U194" s="454"/>
      <c r="V194" s="454"/>
      <c r="W194" s="454"/>
      <c r="X194" s="454"/>
      <c r="Y194" s="454"/>
      <c r="Z194" s="454"/>
      <c r="AA194" s="454"/>
      <c r="AB194" s="456"/>
      <c r="AC194" s="456"/>
      <c r="AD194" s="456"/>
      <c r="AE194" s="456"/>
      <c r="AF194" s="456"/>
      <c r="AG194" s="456"/>
      <c r="AH194" s="456"/>
      <c r="AI194" s="456"/>
      <c r="AJ194" s="456"/>
      <c r="AK194" s="456"/>
      <c r="AL194" s="456"/>
      <c r="AM194" s="456"/>
      <c r="AN194" s="481"/>
      <c r="AO194" s="481"/>
      <c r="AP194" s="481"/>
      <c r="AQ194" s="491"/>
      <c r="AR194" s="456"/>
      <c r="AS194" s="456" t="s">
        <v>859</v>
      </c>
      <c r="AT194" s="456"/>
      <c r="AU194" s="522"/>
      <c r="AV194" s="481"/>
      <c r="AW194" s="456"/>
      <c r="AX194" s="481"/>
      <c r="AY194" s="491"/>
      <c r="AZ194" s="456"/>
      <c r="BA194" s="456"/>
      <c r="BB194" s="456"/>
      <c r="BC194" s="456"/>
      <c r="BD194" s="456"/>
      <c r="BE194" s="456"/>
      <c r="BF194" s="456"/>
      <c r="BG194" s="456"/>
      <c r="BH194" s="456"/>
      <c r="BI194" s="456"/>
      <c r="BJ194" s="456"/>
      <c r="BK194" s="456"/>
      <c r="BL194" s="456"/>
      <c r="BM194" s="456"/>
      <c r="BN194" s="456"/>
      <c r="BO194" s="456"/>
    </row>
    <row r="195" spans="1:67" s="469" customFormat="1" ht="15" x14ac:dyDescent="0.25">
      <c r="A195" s="515" t="s">
        <v>860</v>
      </c>
      <c r="B195" s="516" t="s">
        <v>861</v>
      </c>
      <c r="C195" s="2751" t="s">
        <v>862</v>
      </c>
      <c r="D195" s="2751"/>
      <c r="E195" s="2751"/>
      <c r="F195" s="2751"/>
      <c r="G195" s="2751"/>
      <c r="H195" s="517" t="s">
        <v>835</v>
      </c>
      <c r="I195" s="518">
        <v>0</v>
      </c>
      <c r="J195" s="520"/>
      <c r="K195" s="518">
        <v>0</v>
      </c>
      <c r="L195" s="519"/>
      <c r="M195" s="520"/>
      <c r="N195" s="519"/>
      <c r="O195" s="520"/>
      <c r="P195" s="521"/>
      <c r="Q195" s="454"/>
      <c r="R195" s="454"/>
      <c r="S195" s="454"/>
      <c r="T195" s="454"/>
      <c r="U195" s="454"/>
      <c r="V195" s="454"/>
      <c r="W195" s="454"/>
      <c r="X195" s="454"/>
      <c r="Y195" s="454"/>
      <c r="Z195" s="454"/>
      <c r="AA195" s="454"/>
      <c r="AB195" s="456"/>
      <c r="AC195" s="456"/>
      <c r="AD195" s="456"/>
      <c r="AE195" s="456"/>
      <c r="AF195" s="456"/>
      <c r="AG195" s="456"/>
      <c r="AH195" s="456"/>
      <c r="AI195" s="456"/>
      <c r="AJ195" s="456"/>
      <c r="AK195" s="456"/>
      <c r="AL195" s="456"/>
      <c r="AM195" s="456"/>
      <c r="AN195" s="481"/>
      <c r="AO195" s="481"/>
      <c r="AP195" s="481"/>
      <c r="AQ195" s="491"/>
      <c r="AR195" s="456"/>
      <c r="AS195" s="456"/>
      <c r="AT195" s="456"/>
      <c r="AU195" s="522" t="s">
        <v>862</v>
      </c>
      <c r="AV195" s="481"/>
      <c r="AW195" s="456"/>
      <c r="AX195" s="481"/>
      <c r="AY195" s="491"/>
      <c r="AZ195" s="456"/>
      <c r="BA195" s="456"/>
      <c r="BB195" s="456"/>
      <c r="BC195" s="456"/>
      <c r="BD195" s="456"/>
      <c r="BE195" s="456"/>
      <c r="BF195" s="456"/>
      <c r="BG195" s="456"/>
      <c r="BH195" s="456"/>
      <c r="BI195" s="456"/>
      <c r="BJ195" s="456"/>
      <c r="BK195" s="456"/>
      <c r="BL195" s="456"/>
      <c r="BM195" s="456"/>
      <c r="BN195" s="456"/>
      <c r="BO195" s="456"/>
    </row>
    <row r="196" spans="1:67" s="469" customFormat="1" ht="15" x14ac:dyDescent="0.25">
      <c r="A196" s="515" t="s">
        <v>863</v>
      </c>
      <c r="B196" s="516" t="s">
        <v>864</v>
      </c>
      <c r="C196" s="2751" t="s">
        <v>865</v>
      </c>
      <c r="D196" s="2751"/>
      <c r="E196" s="2751"/>
      <c r="F196" s="2751"/>
      <c r="G196" s="2751"/>
      <c r="H196" s="517" t="s">
        <v>801</v>
      </c>
      <c r="I196" s="518">
        <v>1</v>
      </c>
      <c r="J196" s="520"/>
      <c r="K196" s="529">
        <v>1.1000000000000001</v>
      </c>
      <c r="L196" s="519"/>
      <c r="M196" s="520"/>
      <c r="N196" s="519"/>
      <c r="O196" s="520"/>
      <c r="P196" s="521"/>
      <c r="Q196" s="454"/>
      <c r="R196" s="454"/>
      <c r="S196" s="454"/>
      <c r="T196" s="454"/>
      <c r="U196" s="454"/>
      <c r="V196" s="454"/>
      <c r="W196" s="454"/>
      <c r="X196" s="454"/>
      <c r="Y196" s="454"/>
      <c r="Z196" s="454"/>
      <c r="AA196" s="454"/>
      <c r="AB196" s="456"/>
      <c r="AC196" s="456"/>
      <c r="AD196" s="456"/>
      <c r="AE196" s="456"/>
      <c r="AF196" s="456"/>
      <c r="AG196" s="456"/>
      <c r="AH196" s="456"/>
      <c r="AI196" s="456"/>
      <c r="AJ196" s="456"/>
      <c r="AK196" s="456"/>
      <c r="AL196" s="456"/>
      <c r="AM196" s="456"/>
      <c r="AN196" s="481"/>
      <c r="AO196" s="481"/>
      <c r="AP196" s="481"/>
      <c r="AQ196" s="491"/>
      <c r="AR196" s="456"/>
      <c r="AS196" s="456"/>
      <c r="AT196" s="456"/>
      <c r="AU196" s="522" t="s">
        <v>865</v>
      </c>
      <c r="AV196" s="481"/>
      <c r="AW196" s="456"/>
      <c r="AX196" s="481"/>
      <c r="AY196" s="491"/>
      <c r="AZ196" s="456"/>
      <c r="BA196" s="456"/>
      <c r="BB196" s="456"/>
      <c r="BC196" s="456"/>
      <c r="BD196" s="456"/>
      <c r="BE196" s="456"/>
      <c r="BF196" s="456"/>
      <c r="BG196" s="456"/>
      <c r="BH196" s="456"/>
      <c r="BI196" s="456"/>
      <c r="BJ196" s="456"/>
      <c r="BK196" s="456"/>
      <c r="BL196" s="456"/>
      <c r="BM196" s="456"/>
      <c r="BN196" s="456"/>
      <c r="BO196" s="456"/>
    </row>
    <row r="197" spans="1:67" s="469" customFormat="1" ht="15" x14ac:dyDescent="0.25">
      <c r="A197" s="523"/>
      <c r="B197" s="490"/>
      <c r="C197" s="2722" t="s">
        <v>866</v>
      </c>
      <c r="D197" s="2722"/>
      <c r="E197" s="2722"/>
      <c r="F197" s="2722"/>
      <c r="G197" s="2722"/>
      <c r="H197" s="483"/>
      <c r="I197" s="484"/>
      <c r="J197" s="484"/>
      <c r="K197" s="484"/>
      <c r="L197" s="487"/>
      <c r="M197" s="484"/>
      <c r="N197" s="524"/>
      <c r="O197" s="484"/>
      <c r="P197" s="525">
        <v>32014.25</v>
      </c>
      <c r="Q197" s="503"/>
      <c r="R197" s="503"/>
      <c r="S197" s="454"/>
      <c r="T197" s="454"/>
      <c r="U197" s="454"/>
      <c r="V197" s="454"/>
      <c r="W197" s="454"/>
      <c r="X197" s="454"/>
      <c r="Y197" s="454"/>
      <c r="Z197" s="454"/>
      <c r="AA197" s="454"/>
      <c r="AB197" s="456"/>
      <c r="AC197" s="456"/>
      <c r="AD197" s="456"/>
      <c r="AE197" s="456"/>
      <c r="AF197" s="456"/>
      <c r="AG197" s="456"/>
      <c r="AH197" s="456"/>
      <c r="AI197" s="456"/>
      <c r="AJ197" s="456"/>
      <c r="AK197" s="456"/>
      <c r="AL197" s="456"/>
      <c r="AM197" s="456"/>
      <c r="AN197" s="481"/>
      <c r="AO197" s="481"/>
      <c r="AP197" s="481"/>
      <c r="AQ197" s="491"/>
      <c r="AR197" s="456"/>
      <c r="AS197" s="456"/>
      <c r="AT197" s="456"/>
      <c r="AU197" s="522"/>
      <c r="AV197" s="481" t="s">
        <v>866</v>
      </c>
      <c r="AW197" s="456"/>
      <c r="AX197" s="481"/>
      <c r="AY197" s="491"/>
      <c r="AZ197" s="456"/>
      <c r="BA197" s="456"/>
      <c r="BB197" s="456"/>
      <c r="BC197" s="456"/>
      <c r="BD197" s="456"/>
      <c r="BE197" s="456"/>
      <c r="BF197" s="456"/>
      <c r="BG197" s="456"/>
      <c r="BH197" s="456"/>
      <c r="BI197" s="456"/>
      <c r="BJ197" s="456"/>
      <c r="BK197" s="456"/>
      <c r="BL197" s="456"/>
      <c r="BM197" s="456"/>
      <c r="BN197" s="456"/>
      <c r="BO197" s="456"/>
    </row>
    <row r="198" spans="1:67" s="469" customFormat="1" ht="15" x14ac:dyDescent="0.25">
      <c r="A198" s="507"/>
      <c r="B198" s="493"/>
      <c r="C198" s="2697" t="s">
        <v>867</v>
      </c>
      <c r="D198" s="2697"/>
      <c r="E198" s="2697"/>
      <c r="F198" s="2697"/>
      <c r="G198" s="2697"/>
      <c r="H198" s="494"/>
      <c r="I198" s="495"/>
      <c r="J198" s="495"/>
      <c r="K198" s="495"/>
      <c r="L198" s="497"/>
      <c r="M198" s="495"/>
      <c r="N198" s="497"/>
      <c r="O198" s="495"/>
      <c r="P198" s="498">
        <v>18857.48</v>
      </c>
      <c r="Q198" s="454"/>
      <c r="R198" s="454"/>
      <c r="S198" s="454"/>
      <c r="T198" s="454"/>
      <c r="U198" s="454"/>
      <c r="V198" s="454"/>
      <c r="W198" s="454"/>
      <c r="X198" s="454"/>
      <c r="Y198" s="454"/>
      <c r="Z198" s="454"/>
      <c r="AA198" s="454"/>
      <c r="AB198" s="456"/>
      <c r="AC198" s="456"/>
      <c r="AD198" s="456"/>
      <c r="AE198" s="456"/>
      <c r="AF198" s="456"/>
      <c r="AG198" s="456"/>
      <c r="AH198" s="456"/>
      <c r="AI198" s="456"/>
      <c r="AJ198" s="456"/>
      <c r="AK198" s="456"/>
      <c r="AL198" s="456"/>
      <c r="AM198" s="456"/>
      <c r="AN198" s="481"/>
      <c r="AO198" s="481"/>
      <c r="AP198" s="481"/>
      <c r="AQ198" s="491"/>
      <c r="AR198" s="456"/>
      <c r="AS198" s="456"/>
      <c r="AT198" s="456"/>
      <c r="AU198" s="522"/>
      <c r="AV198" s="481"/>
      <c r="AW198" s="456" t="s">
        <v>867</v>
      </c>
      <c r="AX198" s="481"/>
      <c r="AY198" s="491"/>
      <c r="AZ198" s="456"/>
      <c r="BA198" s="456"/>
      <c r="BB198" s="456"/>
      <c r="BC198" s="456"/>
      <c r="BD198" s="456"/>
      <c r="BE198" s="456"/>
      <c r="BF198" s="456"/>
      <c r="BG198" s="456"/>
      <c r="BH198" s="456"/>
      <c r="BI198" s="456"/>
      <c r="BJ198" s="456"/>
      <c r="BK198" s="456"/>
      <c r="BL198" s="456"/>
      <c r="BM198" s="456"/>
      <c r="BN198" s="456"/>
      <c r="BO198" s="456"/>
    </row>
    <row r="199" spans="1:67" s="469" customFormat="1" ht="15" x14ac:dyDescent="0.25">
      <c r="A199" s="507"/>
      <c r="B199" s="493" t="s">
        <v>868</v>
      </c>
      <c r="C199" s="2697" t="s">
        <v>869</v>
      </c>
      <c r="D199" s="2697"/>
      <c r="E199" s="2697"/>
      <c r="F199" s="2697"/>
      <c r="G199" s="2697"/>
      <c r="H199" s="494" t="s">
        <v>636</v>
      </c>
      <c r="I199" s="513">
        <v>93</v>
      </c>
      <c r="J199" s="495"/>
      <c r="K199" s="513">
        <v>93</v>
      </c>
      <c r="L199" s="497"/>
      <c r="M199" s="495"/>
      <c r="N199" s="497"/>
      <c r="O199" s="495"/>
      <c r="P199" s="498">
        <v>17537.46</v>
      </c>
      <c r="Q199" s="454"/>
      <c r="R199" s="454"/>
      <c r="S199" s="454"/>
      <c r="T199" s="454"/>
      <c r="U199" s="454"/>
      <c r="V199" s="454"/>
      <c r="W199" s="454"/>
      <c r="X199" s="454"/>
      <c r="Y199" s="454"/>
      <c r="Z199" s="454"/>
      <c r="AA199" s="454"/>
      <c r="AB199" s="456"/>
      <c r="AC199" s="456"/>
      <c r="AD199" s="456"/>
      <c r="AE199" s="456"/>
      <c r="AF199" s="456"/>
      <c r="AG199" s="456"/>
      <c r="AH199" s="456"/>
      <c r="AI199" s="456"/>
      <c r="AJ199" s="456"/>
      <c r="AK199" s="456"/>
      <c r="AL199" s="456"/>
      <c r="AM199" s="456"/>
      <c r="AN199" s="481"/>
      <c r="AO199" s="481"/>
      <c r="AP199" s="481"/>
      <c r="AQ199" s="491"/>
      <c r="AR199" s="456"/>
      <c r="AS199" s="456"/>
      <c r="AT199" s="456"/>
      <c r="AU199" s="522"/>
      <c r="AV199" s="481"/>
      <c r="AW199" s="456" t="s">
        <v>869</v>
      </c>
      <c r="AX199" s="481"/>
      <c r="AY199" s="491"/>
      <c r="AZ199" s="456"/>
      <c r="BA199" s="456"/>
      <c r="BB199" s="456"/>
      <c r="BC199" s="456"/>
      <c r="BD199" s="456"/>
      <c r="BE199" s="456"/>
      <c r="BF199" s="456"/>
      <c r="BG199" s="456"/>
      <c r="BH199" s="456"/>
      <c r="BI199" s="456"/>
      <c r="BJ199" s="456"/>
      <c r="BK199" s="456"/>
      <c r="BL199" s="456"/>
      <c r="BM199" s="456"/>
      <c r="BN199" s="456"/>
      <c r="BO199" s="456"/>
    </row>
    <row r="200" spans="1:67" s="469" customFormat="1" ht="22.5" x14ac:dyDescent="0.25">
      <c r="A200" s="507"/>
      <c r="B200" s="493" t="s">
        <v>870</v>
      </c>
      <c r="C200" s="2697" t="s">
        <v>871</v>
      </c>
      <c r="D200" s="2697"/>
      <c r="E200" s="2697"/>
      <c r="F200" s="2697"/>
      <c r="G200" s="2697"/>
      <c r="H200" s="494" t="s">
        <v>636</v>
      </c>
      <c r="I200" s="513">
        <v>62</v>
      </c>
      <c r="J200" s="509">
        <v>0.85</v>
      </c>
      <c r="K200" s="500">
        <v>52.7</v>
      </c>
      <c r="L200" s="497"/>
      <c r="M200" s="495"/>
      <c r="N200" s="497"/>
      <c r="O200" s="495"/>
      <c r="P200" s="498">
        <v>9937.89</v>
      </c>
      <c r="Q200" s="454"/>
      <c r="R200" s="454"/>
      <c r="S200" s="454"/>
      <c r="T200" s="454"/>
      <c r="U200" s="454"/>
      <c r="V200" s="454"/>
      <c r="W200" s="454"/>
      <c r="X200" s="454"/>
      <c r="Y200" s="454"/>
      <c r="Z200" s="454"/>
      <c r="AA200" s="454"/>
      <c r="AB200" s="456"/>
      <c r="AC200" s="456"/>
      <c r="AD200" s="456"/>
      <c r="AE200" s="456"/>
      <c r="AF200" s="456"/>
      <c r="AG200" s="456"/>
      <c r="AH200" s="456"/>
      <c r="AI200" s="456"/>
      <c r="AJ200" s="456"/>
      <c r="AK200" s="456"/>
      <c r="AL200" s="456"/>
      <c r="AM200" s="456"/>
      <c r="AN200" s="481"/>
      <c r="AO200" s="481"/>
      <c r="AP200" s="481"/>
      <c r="AQ200" s="491"/>
      <c r="AR200" s="456"/>
      <c r="AS200" s="456"/>
      <c r="AT200" s="456"/>
      <c r="AU200" s="522"/>
      <c r="AV200" s="481"/>
      <c r="AW200" s="456" t="s">
        <v>871</v>
      </c>
      <c r="AX200" s="481"/>
      <c r="AY200" s="491"/>
      <c r="AZ200" s="456"/>
      <c r="BA200" s="456"/>
      <c r="BB200" s="456"/>
      <c r="BC200" s="456"/>
      <c r="BD200" s="456"/>
      <c r="BE200" s="456"/>
      <c r="BF200" s="456"/>
      <c r="BG200" s="456"/>
      <c r="BH200" s="456"/>
      <c r="BI200" s="456"/>
      <c r="BJ200" s="456"/>
      <c r="BK200" s="456"/>
      <c r="BL200" s="456"/>
      <c r="BM200" s="456"/>
      <c r="BN200" s="456"/>
      <c r="BO200" s="456"/>
    </row>
    <row r="201" spans="1:67" s="469" customFormat="1" ht="15" x14ac:dyDescent="0.25">
      <c r="A201" s="526"/>
      <c r="B201" s="567"/>
      <c r="C201" s="2722" t="s">
        <v>872</v>
      </c>
      <c r="D201" s="2722"/>
      <c r="E201" s="2722"/>
      <c r="F201" s="2722"/>
      <c r="G201" s="2722"/>
      <c r="H201" s="483"/>
      <c r="I201" s="484"/>
      <c r="J201" s="484"/>
      <c r="K201" s="484"/>
      <c r="L201" s="487"/>
      <c r="M201" s="484"/>
      <c r="N201" s="524">
        <v>54081.45</v>
      </c>
      <c r="O201" s="484"/>
      <c r="P201" s="525">
        <v>59489.599999999999</v>
      </c>
      <c r="Q201" s="454"/>
      <c r="R201" s="454"/>
      <c r="S201" s="454"/>
      <c r="T201" s="454"/>
      <c r="U201" s="454"/>
      <c r="V201" s="454"/>
      <c r="W201" s="454"/>
      <c r="X201" s="454"/>
      <c r="Y201" s="454"/>
      <c r="Z201" s="454"/>
      <c r="AA201" s="454"/>
      <c r="AB201" s="456"/>
      <c r="AC201" s="456"/>
      <c r="AD201" s="456"/>
      <c r="AE201" s="456"/>
      <c r="AF201" s="456"/>
      <c r="AG201" s="456"/>
      <c r="AH201" s="456"/>
      <c r="AI201" s="456"/>
      <c r="AJ201" s="456"/>
      <c r="AK201" s="456"/>
      <c r="AL201" s="456"/>
      <c r="AM201" s="456"/>
      <c r="AN201" s="481"/>
      <c r="AO201" s="481"/>
      <c r="AP201" s="481"/>
      <c r="AQ201" s="491"/>
      <c r="AR201" s="456"/>
      <c r="AS201" s="456"/>
      <c r="AT201" s="456"/>
      <c r="AU201" s="522"/>
      <c r="AV201" s="481"/>
      <c r="AW201" s="456"/>
      <c r="AX201" s="481" t="s">
        <v>872</v>
      </c>
      <c r="AY201" s="491"/>
      <c r="AZ201" s="456"/>
      <c r="BA201" s="456"/>
      <c r="BB201" s="456"/>
      <c r="BC201" s="456"/>
      <c r="BD201" s="456"/>
      <c r="BE201" s="456"/>
      <c r="BF201" s="456"/>
      <c r="BG201" s="456"/>
      <c r="BH201" s="456"/>
      <c r="BI201" s="456"/>
      <c r="BJ201" s="456"/>
      <c r="BK201" s="456"/>
      <c r="BL201" s="456"/>
      <c r="BM201" s="456"/>
      <c r="BN201" s="456"/>
      <c r="BO201" s="456"/>
    </row>
    <row r="202" spans="1:67" s="469" customFormat="1" ht="23.25" x14ac:dyDescent="0.25">
      <c r="A202" s="482" t="s">
        <v>650</v>
      </c>
      <c r="B202" s="568" t="s">
        <v>881</v>
      </c>
      <c r="C202" s="2746" t="s">
        <v>846</v>
      </c>
      <c r="D202" s="2746"/>
      <c r="E202" s="2746"/>
      <c r="F202" s="2746"/>
      <c r="G202" s="2746"/>
      <c r="H202" s="483" t="s">
        <v>801</v>
      </c>
      <c r="I202" s="484">
        <v>1.1000000000000001</v>
      </c>
      <c r="J202" s="485">
        <v>1</v>
      </c>
      <c r="K202" s="486">
        <v>1.1000000000000001</v>
      </c>
      <c r="L202" s="487"/>
      <c r="M202" s="484"/>
      <c r="N202" s="487"/>
      <c r="O202" s="484"/>
      <c r="P202" s="525">
        <v>134335.76</v>
      </c>
      <c r="Q202" s="454"/>
      <c r="R202" s="454"/>
      <c r="S202" s="454"/>
      <c r="T202" s="454"/>
      <c r="U202" s="454"/>
      <c r="V202" s="454"/>
      <c r="W202" s="454"/>
      <c r="X202" s="454"/>
      <c r="Y202" s="454"/>
      <c r="Z202" s="454"/>
      <c r="AA202" s="454"/>
      <c r="AB202" s="456"/>
      <c r="AC202" s="456"/>
      <c r="AD202" s="456"/>
      <c r="AE202" s="456"/>
      <c r="AF202" s="456"/>
      <c r="AG202" s="456"/>
      <c r="AH202" s="456"/>
      <c r="AI202" s="456"/>
      <c r="AJ202" s="456"/>
      <c r="AK202" s="456"/>
      <c r="AL202" s="456"/>
      <c r="AM202" s="456"/>
      <c r="AN202" s="481"/>
      <c r="AO202" s="481"/>
      <c r="AP202" s="481" t="s">
        <v>846</v>
      </c>
      <c r="AQ202" s="491"/>
      <c r="AR202" s="456"/>
      <c r="AS202" s="456"/>
      <c r="AT202" s="456"/>
      <c r="AU202" s="522"/>
      <c r="AV202" s="481"/>
      <c r="AW202" s="456"/>
      <c r="AX202" s="481"/>
      <c r="AY202" s="491"/>
      <c r="AZ202" s="456"/>
      <c r="BA202" s="456"/>
      <c r="BB202" s="456"/>
      <c r="BC202" s="456"/>
      <c r="BD202" s="456"/>
      <c r="BE202" s="456"/>
      <c r="BF202" s="456"/>
      <c r="BG202" s="456"/>
      <c r="BH202" s="456"/>
      <c r="BI202" s="456"/>
      <c r="BJ202" s="456"/>
      <c r="BK202" s="456"/>
      <c r="BL202" s="456"/>
      <c r="BM202" s="456"/>
      <c r="BN202" s="456"/>
      <c r="BO202" s="456"/>
    </row>
    <row r="203" spans="1:67" s="469" customFormat="1" ht="15" x14ac:dyDescent="0.25">
      <c r="A203" s="526"/>
      <c r="B203" s="567"/>
      <c r="C203" s="2669" t="s">
        <v>882</v>
      </c>
      <c r="D203" s="2669"/>
      <c r="E203" s="2669"/>
      <c r="F203" s="2669"/>
      <c r="G203" s="2669"/>
      <c r="H203" s="2669"/>
      <c r="I203" s="2669"/>
      <c r="J203" s="2669"/>
      <c r="K203" s="2669"/>
      <c r="L203" s="2669"/>
      <c r="M203" s="2669"/>
      <c r="N203" s="2669"/>
      <c r="O203" s="2669"/>
      <c r="P203" s="2730"/>
      <c r="Q203" s="454"/>
      <c r="R203" s="454"/>
      <c r="S203" s="454"/>
      <c r="T203" s="454"/>
      <c r="U203" s="454"/>
      <c r="V203" s="454"/>
      <c r="W203" s="454"/>
      <c r="X203" s="454"/>
      <c r="Y203" s="454"/>
      <c r="Z203" s="454"/>
      <c r="AA203" s="454"/>
      <c r="AB203" s="456"/>
      <c r="AC203" s="456"/>
      <c r="AD203" s="456"/>
      <c r="AE203" s="456"/>
      <c r="AF203" s="456"/>
      <c r="AG203" s="456"/>
      <c r="AH203" s="456"/>
      <c r="AI203" s="456"/>
      <c r="AJ203" s="456"/>
      <c r="AK203" s="456"/>
      <c r="AL203" s="456"/>
      <c r="AM203" s="456"/>
      <c r="AN203" s="481"/>
      <c r="AO203" s="481"/>
      <c r="AP203" s="481"/>
      <c r="AQ203" s="491"/>
      <c r="AR203" s="456"/>
      <c r="AS203" s="456"/>
      <c r="AT203" s="456"/>
      <c r="AU203" s="522"/>
      <c r="AV203" s="481"/>
      <c r="AW203" s="456"/>
      <c r="AX203" s="481"/>
      <c r="AY203" s="491" t="s">
        <v>882</v>
      </c>
      <c r="AZ203" s="456"/>
      <c r="BA203" s="456"/>
      <c r="BB203" s="456"/>
      <c r="BC203" s="456"/>
      <c r="BD203" s="456"/>
      <c r="BE203" s="456"/>
      <c r="BF203" s="456"/>
      <c r="BG203" s="456"/>
      <c r="BH203" s="456"/>
      <c r="BI203" s="456"/>
      <c r="BJ203" s="456"/>
      <c r="BK203" s="456"/>
      <c r="BL203" s="456"/>
      <c r="BM203" s="456"/>
      <c r="BN203" s="456"/>
      <c r="BO203" s="456"/>
    </row>
    <row r="204" spans="1:67" s="469" customFormat="1" ht="23.25" x14ac:dyDescent="0.25">
      <c r="A204" s="507" t="s">
        <v>650</v>
      </c>
      <c r="B204" s="493" t="s">
        <v>881</v>
      </c>
      <c r="C204" s="2697" t="s">
        <v>883</v>
      </c>
      <c r="D204" s="2697"/>
      <c r="E204" s="2697"/>
      <c r="F204" s="2697"/>
      <c r="G204" s="2697"/>
      <c r="H204" s="494" t="s">
        <v>801</v>
      </c>
      <c r="I204" s="500">
        <v>1.1000000000000001</v>
      </c>
      <c r="J204" s="495"/>
      <c r="K204" s="500">
        <v>1.1000000000000001</v>
      </c>
      <c r="L204" s="502">
        <v>105278.81</v>
      </c>
      <c r="M204" s="509">
        <v>1.1599999999999999</v>
      </c>
      <c r="N204" s="502">
        <v>122123.42</v>
      </c>
      <c r="O204" s="495"/>
      <c r="P204" s="498">
        <v>134335.76</v>
      </c>
      <c r="Q204" s="454"/>
      <c r="R204" s="454"/>
      <c r="S204" s="454"/>
      <c r="T204" s="454"/>
      <c r="U204" s="454"/>
      <c r="V204" s="454"/>
      <c r="W204" s="454"/>
      <c r="X204" s="454"/>
      <c r="Y204" s="454"/>
      <c r="Z204" s="454"/>
      <c r="AA204" s="454"/>
      <c r="AB204" s="456"/>
      <c r="AC204" s="456"/>
      <c r="AD204" s="456"/>
      <c r="AE204" s="456"/>
      <c r="AF204" s="456"/>
      <c r="AG204" s="456"/>
      <c r="AH204" s="456"/>
      <c r="AI204" s="456"/>
      <c r="AJ204" s="456"/>
      <c r="AK204" s="456"/>
      <c r="AL204" s="456"/>
      <c r="AM204" s="456"/>
      <c r="AN204" s="481"/>
      <c r="AO204" s="481"/>
      <c r="AP204" s="481"/>
      <c r="AQ204" s="491"/>
      <c r="AR204" s="456"/>
      <c r="AS204" s="456"/>
      <c r="AT204" s="456"/>
      <c r="AU204" s="522"/>
      <c r="AV204" s="481"/>
      <c r="AW204" s="456"/>
      <c r="AX204" s="481"/>
      <c r="AY204" s="491"/>
      <c r="AZ204" s="456" t="s">
        <v>883</v>
      </c>
      <c r="BA204" s="456"/>
      <c r="BB204" s="456"/>
      <c r="BC204" s="456"/>
      <c r="BD204" s="456"/>
      <c r="BE204" s="456"/>
      <c r="BF204" s="456"/>
      <c r="BG204" s="456"/>
      <c r="BH204" s="456"/>
      <c r="BI204" s="456"/>
      <c r="BJ204" s="456"/>
      <c r="BK204" s="456"/>
      <c r="BL204" s="456"/>
      <c r="BM204" s="456"/>
      <c r="BN204" s="456"/>
      <c r="BO204" s="456"/>
    </row>
    <row r="205" spans="1:67" s="469" customFormat="1" ht="57" x14ac:dyDescent="0.25">
      <c r="A205" s="507" t="s">
        <v>888</v>
      </c>
      <c r="B205" s="493" t="s">
        <v>884</v>
      </c>
      <c r="C205" s="2697" t="s">
        <v>885</v>
      </c>
      <c r="D205" s="2697"/>
      <c r="E205" s="2697"/>
      <c r="F205" s="2697"/>
      <c r="G205" s="2697"/>
      <c r="H205" s="494" t="s">
        <v>801</v>
      </c>
      <c r="I205" s="495"/>
      <c r="J205" s="495"/>
      <c r="K205" s="500">
        <v>1.1000000000000001</v>
      </c>
      <c r="L205" s="497"/>
      <c r="M205" s="495"/>
      <c r="N205" s="508">
        <v>-336.27</v>
      </c>
      <c r="O205" s="495"/>
      <c r="P205" s="512">
        <v>-369.9</v>
      </c>
      <c r="Q205" s="454"/>
      <c r="R205" s="454"/>
      <c r="S205" s="454"/>
      <c r="T205" s="454"/>
      <c r="U205" s="454"/>
      <c r="V205" s="454"/>
      <c r="W205" s="454"/>
      <c r="X205" s="454"/>
      <c r="Y205" s="454"/>
      <c r="Z205" s="454"/>
      <c r="AA205" s="454"/>
      <c r="AB205" s="456"/>
      <c r="AC205" s="456"/>
      <c r="AD205" s="456"/>
      <c r="AE205" s="456"/>
      <c r="AF205" s="456"/>
      <c r="AG205" s="456"/>
      <c r="AH205" s="456"/>
      <c r="AI205" s="456"/>
      <c r="AJ205" s="456"/>
      <c r="AK205" s="456"/>
      <c r="AL205" s="456"/>
      <c r="AM205" s="456"/>
      <c r="AN205" s="481"/>
      <c r="AO205" s="481"/>
      <c r="AP205" s="481"/>
      <c r="AQ205" s="491"/>
      <c r="AR205" s="456"/>
      <c r="AS205" s="456"/>
      <c r="AT205" s="456"/>
      <c r="AU205" s="522"/>
      <c r="AV205" s="481"/>
      <c r="AW205" s="456"/>
      <c r="AX205" s="481"/>
      <c r="AY205" s="491"/>
      <c r="AZ205" s="456"/>
      <c r="BA205" s="456" t="s">
        <v>885</v>
      </c>
      <c r="BB205" s="456"/>
      <c r="BC205" s="456"/>
      <c r="BD205" s="456"/>
      <c r="BE205" s="456"/>
      <c r="BF205" s="456"/>
      <c r="BG205" s="456"/>
      <c r="BH205" s="456"/>
      <c r="BI205" s="456"/>
      <c r="BJ205" s="456"/>
      <c r="BK205" s="456"/>
      <c r="BL205" s="456"/>
      <c r="BM205" s="456"/>
      <c r="BN205" s="456"/>
      <c r="BO205" s="456"/>
    </row>
    <row r="206" spans="1:67" s="469" customFormat="1" ht="57" x14ac:dyDescent="0.25">
      <c r="A206" s="507" t="s">
        <v>889</v>
      </c>
      <c r="B206" s="493" t="s">
        <v>886</v>
      </c>
      <c r="C206" s="2697" t="s">
        <v>887</v>
      </c>
      <c r="D206" s="2697"/>
      <c r="E206" s="2697"/>
      <c r="F206" s="2697"/>
      <c r="G206" s="2697"/>
      <c r="H206" s="494" t="s">
        <v>801</v>
      </c>
      <c r="I206" s="495"/>
      <c r="J206" s="495"/>
      <c r="K206" s="500">
        <v>1.1000000000000001</v>
      </c>
      <c r="L206" s="497"/>
      <c r="M206" s="495"/>
      <c r="N206" s="508">
        <v>657.2</v>
      </c>
      <c r="O206" s="495"/>
      <c r="P206" s="512">
        <v>722.92</v>
      </c>
      <c r="Q206" s="454"/>
      <c r="R206" s="454"/>
      <c r="S206" s="454"/>
      <c r="T206" s="454"/>
      <c r="U206" s="454"/>
      <c r="V206" s="454"/>
      <c r="W206" s="454"/>
      <c r="X206" s="454"/>
      <c r="Y206" s="454"/>
      <c r="Z206" s="454"/>
      <c r="AA206" s="454"/>
      <c r="AB206" s="456"/>
      <c r="AC206" s="456"/>
      <c r="AD206" s="456"/>
      <c r="AE206" s="456"/>
      <c r="AF206" s="456"/>
      <c r="AG206" s="456"/>
      <c r="AH206" s="456"/>
      <c r="AI206" s="456"/>
      <c r="AJ206" s="456"/>
      <c r="AK206" s="456"/>
      <c r="AL206" s="456"/>
      <c r="AM206" s="456"/>
      <c r="AN206" s="481"/>
      <c r="AO206" s="481"/>
      <c r="AP206" s="481"/>
      <c r="AQ206" s="491"/>
      <c r="AR206" s="456"/>
      <c r="AS206" s="456"/>
      <c r="AT206" s="456"/>
      <c r="AU206" s="522"/>
      <c r="AV206" s="481"/>
      <c r="AW206" s="456"/>
      <c r="AX206" s="481"/>
      <c r="AY206" s="491"/>
      <c r="AZ206" s="456"/>
      <c r="BA206" s="456" t="s">
        <v>887</v>
      </c>
      <c r="BB206" s="456"/>
      <c r="BC206" s="456"/>
      <c r="BD206" s="456"/>
      <c r="BE206" s="456"/>
      <c r="BF206" s="456"/>
      <c r="BG206" s="456"/>
      <c r="BH206" s="456"/>
      <c r="BI206" s="456"/>
      <c r="BJ206" s="456"/>
      <c r="BK206" s="456"/>
      <c r="BL206" s="456"/>
      <c r="BM206" s="456"/>
      <c r="BN206" s="456"/>
      <c r="BO206" s="456"/>
    </row>
    <row r="207" spans="1:67" s="469" customFormat="1" ht="15" x14ac:dyDescent="0.25">
      <c r="A207" s="526"/>
      <c r="B207" s="567"/>
      <c r="C207" s="2722" t="s">
        <v>872</v>
      </c>
      <c r="D207" s="2722"/>
      <c r="E207" s="2722"/>
      <c r="F207" s="2722"/>
      <c r="G207" s="2722"/>
      <c r="H207" s="483"/>
      <c r="I207" s="484"/>
      <c r="J207" s="484"/>
      <c r="K207" s="484"/>
      <c r="L207" s="487"/>
      <c r="M207" s="484"/>
      <c r="N207" s="487"/>
      <c r="O207" s="484"/>
      <c r="P207" s="525">
        <v>134688.78</v>
      </c>
      <c r="Q207" s="454"/>
      <c r="R207" s="454"/>
      <c r="S207" s="454"/>
      <c r="T207" s="454"/>
      <c r="U207" s="454"/>
      <c r="V207" s="454"/>
      <c r="W207" s="454"/>
      <c r="X207" s="454"/>
      <c r="Y207" s="454"/>
      <c r="Z207" s="454"/>
      <c r="AA207" s="454"/>
      <c r="AB207" s="456"/>
      <c r="AC207" s="456"/>
      <c r="AD207" s="456"/>
      <c r="AE207" s="456"/>
      <c r="AF207" s="456"/>
      <c r="AG207" s="456"/>
      <c r="AH207" s="456"/>
      <c r="AI207" s="456"/>
      <c r="AJ207" s="456"/>
      <c r="AK207" s="456"/>
      <c r="AL207" s="456"/>
      <c r="AM207" s="456"/>
      <c r="AN207" s="481"/>
      <c r="AO207" s="481"/>
      <c r="AP207" s="481"/>
      <c r="AQ207" s="491"/>
      <c r="AR207" s="456"/>
      <c r="AS207" s="456"/>
      <c r="AT207" s="456"/>
      <c r="AU207" s="522"/>
      <c r="AV207" s="481"/>
      <c r="AW207" s="456"/>
      <c r="AX207" s="481" t="s">
        <v>872</v>
      </c>
      <c r="AY207" s="491"/>
      <c r="AZ207" s="456"/>
      <c r="BA207" s="456"/>
      <c r="BB207" s="456"/>
      <c r="BC207" s="456"/>
      <c r="BD207" s="456"/>
      <c r="BE207" s="456"/>
      <c r="BF207" s="456"/>
      <c r="BG207" s="456"/>
      <c r="BH207" s="456"/>
      <c r="BI207" s="456"/>
      <c r="BJ207" s="456"/>
      <c r="BK207" s="456"/>
      <c r="BL207" s="456"/>
      <c r="BM207" s="456"/>
      <c r="BN207" s="456"/>
      <c r="BO207" s="456"/>
    </row>
    <row r="208" spans="1:67" s="469" customFormat="1" ht="15" x14ac:dyDescent="0.25">
      <c r="A208" s="530"/>
      <c r="B208" s="531"/>
      <c r="C208" s="531"/>
      <c r="D208" s="531"/>
      <c r="E208" s="531"/>
      <c r="F208" s="532"/>
      <c r="G208" s="532"/>
      <c r="H208" s="532"/>
      <c r="I208" s="532"/>
      <c r="J208" s="533"/>
      <c r="K208" s="532"/>
      <c r="L208" s="532"/>
      <c r="M208" s="532"/>
      <c r="N208" s="533"/>
      <c r="O208" s="564"/>
      <c r="P208" s="533"/>
      <c r="Q208" s="454"/>
      <c r="R208" s="454"/>
      <c r="S208" s="454"/>
      <c r="T208" s="454"/>
      <c r="U208" s="454"/>
      <c r="V208" s="454"/>
      <c r="W208" s="454"/>
      <c r="X208" s="454"/>
      <c r="Y208" s="454"/>
      <c r="Z208" s="454"/>
      <c r="AA208" s="454"/>
      <c r="AB208" s="456"/>
      <c r="AC208" s="456"/>
      <c r="AD208" s="456"/>
      <c r="AE208" s="456"/>
      <c r="AF208" s="456"/>
      <c r="AG208" s="456"/>
      <c r="AH208" s="456"/>
      <c r="AI208" s="456"/>
      <c r="AJ208" s="456"/>
      <c r="AK208" s="456"/>
      <c r="AL208" s="456"/>
      <c r="AM208" s="456"/>
      <c r="AN208" s="481"/>
      <c r="AO208" s="481"/>
      <c r="AP208" s="481"/>
      <c r="AQ208" s="491"/>
      <c r="AR208" s="456"/>
      <c r="AS208" s="456"/>
      <c r="AT208" s="456"/>
      <c r="AU208" s="522"/>
      <c r="AV208" s="481"/>
      <c r="AW208" s="456"/>
      <c r="AX208" s="481"/>
      <c r="AY208" s="491"/>
      <c r="AZ208" s="456"/>
      <c r="BA208" s="456"/>
      <c r="BB208" s="456"/>
      <c r="BC208" s="456"/>
      <c r="BD208" s="456"/>
      <c r="BE208" s="456"/>
      <c r="BF208" s="456"/>
      <c r="BG208" s="456"/>
      <c r="BH208" s="456"/>
      <c r="BI208" s="456"/>
      <c r="BJ208" s="456"/>
      <c r="BK208" s="456"/>
      <c r="BL208" s="456"/>
      <c r="BM208" s="456"/>
      <c r="BN208" s="456"/>
      <c r="BO208" s="456"/>
    </row>
    <row r="209" spans="1:67" s="469" customFormat="1" ht="15" x14ac:dyDescent="0.25">
      <c r="A209" s="523"/>
      <c r="B209" s="534"/>
      <c r="C209" s="2729" t="s">
        <v>4062</v>
      </c>
      <c r="D209" s="2729"/>
      <c r="E209" s="2729"/>
      <c r="F209" s="2729"/>
      <c r="G209" s="2729"/>
      <c r="H209" s="2729"/>
      <c r="I209" s="2729"/>
      <c r="J209" s="2729"/>
      <c r="K209" s="2729"/>
      <c r="L209" s="2729"/>
      <c r="M209" s="2729"/>
      <c r="N209" s="2729"/>
      <c r="O209" s="2729"/>
      <c r="P209" s="535"/>
      <c r="Q209" s="454"/>
      <c r="R209" s="454"/>
      <c r="S209" s="454"/>
      <c r="T209" s="454"/>
      <c r="U209" s="454"/>
      <c r="V209" s="454"/>
      <c r="W209" s="454"/>
      <c r="X209" s="454"/>
      <c r="Y209" s="454"/>
      <c r="Z209" s="454"/>
      <c r="AA209" s="454"/>
      <c r="AB209" s="456"/>
      <c r="AC209" s="456"/>
      <c r="AD209" s="456"/>
      <c r="AE209" s="456"/>
      <c r="AF209" s="456"/>
      <c r="AG209" s="456"/>
      <c r="AH209" s="456"/>
      <c r="AI209" s="456"/>
      <c r="AJ209" s="456"/>
      <c r="AK209" s="456"/>
      <c r="AL209" s="456"/>
      <c r="AM209" s="456"/>
      <c r="AN209" s="481"/>
      <c r="AO209" s="481"/>
      <c r="AP209" s="481"/>
      <c r="AQ209" s="491"/>
      <c r="AR209" s="456"/>
      <c r="AS209" s="456"/>
      <c r="AT209" s="456"/>
      <c r="AU209" s="522"/>
      <c r="AV209" s="481"/>
      <c r="AW209" s="456"/>
      <c r="AX209" s="481"/>
      <c r="AY209" s="491"/>
      <c r="AZ209" s="456"/>
      <c r="BA209" s="456"/>
      <c r="BB209" s="481" t="s">
        <v>4062</v>
      </c>
      <c r="BC209" s="456"/>
      <c r="BD209" s="456"/>
      <c r="BE209" s="456"/>
      <c r="BF209" s="456"/>
      <c r="BG209" s="456"/>
      <c r="BH209" s="456"/>
      <c r="BI209" s="456"/>
      <c r="BJ209" s="456"/>
      <c r="BK209" s="456"/>
      <c r="BL209" s="456"/>
      <c r="BM209" s="456"/>
      <c r="BN209" s="456"/>
      <c r="BO209" s="456"/>
    </row>
    <row r="210" spans="1:67" s="469" customFormat="1" ht="15" x14ac:dyDescent="0.25">
      <c r="A210" s="523"/>
      <c r="B210" s="490"/>
      <c r="C210" s="2669" t="s">
        <v>890</v>
      </c>
      <c r="D210" s="2669"/>
      <c r="E210" s="2669"/>
      <c r="F210" s="2669"/>
      <c r="G210" s="2669"/>
      <c r="H210" s="2669"/>
      <c r="I210" s="2669"/>
      <c r="J210" s="2669"/>
      <c r="K210" s="2669"/>
      <c r="L210" s="2669"/>
      <c r="M210" s="2669"/>
      <c r="N210" s="2669"/>
      <c r="O210" s="2669"/>
      <c r="P210" s="536">
        <v>1381223.71</v>
      </c>
      <c r="Q210" s="459"/>
      <c r="R210" s="459"/>
      <c r="S210" s="454"/>
      <c r="T210" s="454"/>
      <c r="U210" s="454"/>
      <c r="V210" s="454"/>
      <c r="W210" s="454"/>
      <c r="X210" s="454"/>
      <c r="Y210" s="454"/>
      <c r="Z210" s="454"/>
      <c r="AA210" s="454"/>
      <c r="AB210" s="456"/>
      <c r="AC210" s="456"/>
      <c r="AD210" s="456"/>
      <c r="AE210" s="456"/>
      <c r="AF210" s="456"/>
      <c r="AG210" s="456"/>
      <c r="AH210" s="456"/>
      <c r="AI210" s="456"/>
      <c r="AJ210" s="456"/>
      <c r="AK210" s="456"/>
      <c r="AL210" s="456"/>
      <c r="AM210" s="456"/>
      <c r="AN210" s="481"/>
      <c r="AO210" s="481"/>
      <c r="AP210" s="481"/>
      <c r="AQ210" s="491"/>
      <c r="AR210" s="456"/>
      <c r="AS210" s="456"/>
      <c r="AT210" s="456"/>
      <c r="AU210" s="522"/>
      <c r="AV210" s="481"/>
      <c r="AW210" s="456"/>
      <c r="AX210" s="481"/>
      <c r="AY210" s="491"/>
      <c r="AZ210" s="456"/>
      <c r="BA210" s="456"/>
      <c r="BB210" s="481"/>
      <c r="BC210" s="491" t="s">
        <v>890</v>
      </c>
      <c r="BD210" s="456"/>
      <c r="BE210" s="456"/>
      <c r="BF210" s="456"/>
      <c r="BG210" s="456"/>
      <c r="BH210" s="456"/>
      <c r="BI210" s="456"/>
      <c r="BJ210" s="456"/>
      <c r="BK210" s="456"/>
      <c r="BL210" s="456"/>
      <c r="BM210" s="456"/>
      <c r="BN210" s="456"/>
      <c r="BO210" s="456"/>
    </row>
    <row r="211" spans="1:67" s="469" customFormat="1" ht="15" x14ac:dyDescent="0.25">
      <c r="A211" s="523"/>
      <c r="B211" s="490"/>
      <c r="C211" s="2669" t="s">
        <v>891</v>
      </c>
      <c r="D211" s="2669"/>
      <c r="E211" s="2669"/>
      <c r="F211" s="2669"/>
      <c r="G211" s="2669"/>
      <c r="H211" s="2669"/>
      <c r="I211" s="2669"/>
      <c r="J211" s="2669"/>
      <c r="K211" s="2669"/>
      <c r="L211" s="2669"/>
      <c r="M211" s="2669"/>
      <c r="N211" s="2669"/>
      <c r="O211" s="2669"/>
      <c r="P211" s="537"/>
      <c r="Q211" s="459"/>
      <c r="R211" s="459"/>
      <c r="S211" s="454"/>
      <c r="T211" s="454"/>
      <c r="U211" s="454"/>
      <c r="V211" s="454"/>
      <c r="W211" s="454"/>
      <c r="X211" s="454"/>
      <c r="Y211" s="454"/>
      <c r="Z211" s="454"/>
      <c r="AA211" s="454"/>
      <c r="AB211" s="456"/>
      <c r="AC211" s="456"/>
      <c r="AD211" s="456"/>
      <c r="AE211" s="456"/>
      <c r="AF211" s="456"/>
      <c r="AG211" s="456"/>
      <c r="AH211" s="456"/>
      <c r="AI211" s="456"/>
      <c r="AJ211" s="456"/>
      <c r="AK211" s="456"/>
      <c r="AL211" s="456"/>
      <c r="AM211" s="456"/>
      <c r="AN211" s="481"/>
      <c r="AO211" s="481"/>
      <c r="AP211" s="481"/>
      <c r="AQ211" s="491"/>
      <c r="AR211" s="456"/>
      <c r="AS211" s="456"/>
      <c r="AT211" s="456"/>
      <c r="AU211" s="522"/>
      <c r="AV211" s="481"/>
      <c r="AW211" s="456"/>
      <c r="AX211" s="481"/>
      <c r="AY211" s="491"/>
      <c r="AZ211" s="456"/>
      <c r="BA211" s="456"/>
      <c r="BB211" s="481"/>
      <c r="BC211" s="491" t="s">
        <v>891</v>
      </c>
      <c r="BD211" s="456"/>
      <c r="BE211" s="456"/>
      <c r="BF211" s="456"/>
      <c r="BG211" s="456"/>
      <c r="BH211" s="456"/>
      <c r="BI211" s="456"/>
      <c r="BJ211" s="456"/>
      <c r="BK211" s="456"/>
      <c r="BL211" s="456"/>
      <c r="BM211" s="456"/>
      <c r="BN211" s="456"/>
      <c r="BO211" s="456"/>
    </row>
    <row r="212" spans="1:67" s="469" customFormat="1" ht="15" x14ac:dyDescent="0.25">
      <c r="A212" s="523"/>
      <c r="B212" s="490"/>
      <c r="C212" s="2669" t="s">
        <v>892</v>
      </c>
      <c r="D212" s="2669"/>
      <c r="E212" s="2669"/>
      <c r="F212" s="2669"/>
      <c r="G212" s="2669"/>
      <c r="H212" s="2669"/>
      <c r="I212" s="2669"/>
      <c r="J212" s="2669"/>
      <c r="K212" s="2669"/>
      <c r="L212" s="2669"/>
      <c r="M212" s="2669"/>
      <c r="N212" s="2669"/>
      <c r="O212" s="2669"/>
      <c r="P212" s="536">
        <v>190655.71</v>
      </c>
      <c r="Q212" s="459"/>
      <c r="R212" s="459"/>
      <c r="S212" s="454"/>
      <c r="T212" s="454"/>
      <c r="U212" s="454"/>
      <c r="V212" s="454"/>
      <c r="W212" s="454"/>
      <c r="X212" s="454"/>
      <c r="Y212" s="454"/>
      <c r="Z212" s="454"/>
      <c r="AA212" s="454"/>
      <c r="AB212" s="456"/>
      <c r="AC212" s="456"/>
      <c r="AD212" s="456"/>
      <c r="AE212" s="456"/>
      <c r="AF212" s="456"/>
      <c r="AG212" s="456"/>
      <c r="AH212" s="456"/>
      <c r="AI212" s="456"/>
      <c r="AJ212" s="456"/>
      <c r="AK212" s="456"/>
      <c r="AL212" s="456"/>
      <c r="AM212" s="456"/>
      <c r="AN212" s="481"/>
      <c r="AO212" s="481"/>
      <c r="AP212" s="481"/>
      <c r="AQ212" s="491"/>
      <c r="AR212" s="456"/>
      <c r="AS212" s="456"/>
      <c r="AT212" s="456"/>
      <c r="AU212" s="522"/>
      <c r="AV212" s="481"/>
      <c r="AW212" s="456"/>
      <c r="AX212" s="481"/>
      <c r="AY212" s="491"/>
      <c r="AZ212" s="456"/>
      <c r="BA212" s="456"/>
      <c r="BB212" s="481"/>
      <c r="BC212" s="491" t="s">
        <v>892</v>
      </c>
      <c r="BD212" s="456"/>
      <c r="BE212" s="456"/>
      <c r="BF212" s="456"/>
      <c r="BG212" s="456"/>
      <c r="BH212" s="456"/>
      <c r="BI212" s="456"/>
      <c r="BJ212" s="456"/>
      <c r="BK212" s="456"/>
      <c r="BL212" s="456"/>
      <c r="BM212" s="456"/>
      <c r="BN212" s="456"/>
      <c r="BO212" s="456"/>
    </row>
    <row r="213" spans="1:67" s="469" customFormat="1" ht="15" x14ac:dyDescent="0.25">
      <c r="A213" s="523"/>
      <c r="B213" s="490"/>
      <c r="C213" s="2669" t="s">
        <v>893</v>
      </c>
      <c r="D213" s="2669"/>
      <c r="E213" s="2669"/>
      <c r="F213" s="2669"/>
      <c r="G213" s="2669"/>
      <c r="H213" s="2669"/>
      <c r="I213" s="2669"/>
      <c r="J213" s="2669"/>
      <c r="K213" s="2669"/>
      <c r="L213" s="2669"/>
      <c r="M213" s="2669"/>
      <c r="N213" s="2669"/>
      <c r="O213" s="2669"/>
      <c r="P213" s="536">
        <v>135597.60999999999</v>
      </c>
      <c r="Q213" s="459"/>
      <c r="R213" s="459"/>
      <c r="S213" s="454"/>
      <c r="T213" s="454"/>
      <c r="U213" s="454"/>
      <c r="V213" s="454"/>
      <c r="W213" s="454"/>
      <c r="X213" s="454"/>
      <c r="Y213" s="454"/>
      <c r="Z213" s="454"/>
      <c r="AA213" s="454"/>
      <c r="AB213" s="456"/>
      <c r="AC213" s="456"/>
      <c r="AD213" s="456"/>
      <c r="AE213" s="456"/>
      <c r="AF213" s="456"/>
      <c r="AG213" s="456"/>
      <c r="AH213" s="456"/>
      <c r="AI213" s="456"/>
      <c r="AJ213" s="456"/>
      <c r="AK213" s="456"/>
      <c r="AL213" s="456"/>
      <c r="AM213" s="456"/>
      <c r="AN213" s="481"/>
      <c r="AO213" s="481"/>
      <c r="AP213" s="481"/>
      <c r="AQ213" s="491"/>
      <c r="AR213" s="456"/>
      <c r="AS213" s="456"/>
      <c r="AT213" s="456"/>
      <c r="AU213" s="522"/>
      <c r="AV213" s="481"/>
      <c r="AW213" s="456"/>
      <c r="AX213" s="481"/>
      <c r="AY213" s="491"/>
      <c r="AZ213" s="456"/>
      <c r="BA213" s="456"/>
      <c r="BB213" s="481"/>
      <c r="BC213" s="491" t="s">
        <v>893</v>
      </c>
      <c r="BD213" s="456"/>
      <c r="BE213" s="456"/>
      <c r="BF213" s="456"/>
      <c r="BG213" s="456"/>
      <c r="BH213" s="456"/>
      <c r="BI213" s="456"/>
      <c r="BJ213" s="456"/>
      <c r="BK213" s="456"/>
      <c r="BL213" s="456"/>
      <c r="BM213" s="456"/>
      <c r="BN213" s="456"/>
      <c r="BO213" s="456"/>
    </row>
    <row r="214" spans="1:67" s="469" customFormat="1" ht="15" x14ac:dyDescent="0.25">
      <c r="A214" s="523"/>
      <c r="B214" s="490"/>
      <c r="C214" s="2669" t="s">
        <v>894</v>
      </c>
      <c r="D214" s="2669"/>
      <c r="E214" s="2669"/>
      <c r="F214" s="2669"/>
      <c r="G214" s="2669"/>
      <c r="H214" s="2669"/>
      <c r="I214" s="2669"/>
      <c r="J214" s="2669"/>
      <c r="K214" s="2669"/>
      <c r="L214" s="2669"/>
      <c r="M214" s="2669"/>
      <c r="N214" s="2669"/>
      <c r="O214" s="2669"/>
      <c r="P214" s="536">
        <v>34410.839999999997</v>
      </c>
      <c r="Q214" s="459"/>
      <c r="R214" s="459"/>
      <c r="S214" s="454"/>
      <c r="T214" s="454"/>
      <c r="U214" s="454"/>
      <c r="V214" s="454"/>
      <c r="W214" s="454"/>
      <c r="X214" s="454"/>
      <c r="Y214" s="454"/>
      <c r="Z214" s="454"/>
      <c r="AA214" s="454"/>
      <c r="AB214" s="456"/>
      <c r="AC214" s="456"/>
      <c r="AD214" s="456"/>
      <c r="AE214" s="456"/>
      <c r="AF214" s="456"/>
      <c r="AG214" s="456"/>
      <c r="AH214" s="456"/>
      <c r="AI214" s="456"/>
      <c r="AJ214" s="456"/>
      <c r="AK214" s="456"/>
      <c r="AL214" s="456"/>
      <c r="AM214" s="456"/>
      <c r="AN214" s="481"/>
      <c r="AO214" s="481"/>
      <c r="AP214" s="481"/>
      <c r="AQ214" s="491"/>
      <c r="AR214" s="456"/>
      <c r="AS214" s="456"/>
      <c r="AT214" s="456"/>
      <c r="AU214" s="522"/>
      <c r="AV214" s="481"/>
      <c r="AW214" s="456"/>
      <c r="AX214" s="481"/>
      <c r="AY214" s="491"/>
      <c r="AZ214" s="456"/>
      <c r="BA214" s="456"/>
      <c r="BB214" s="481"/>
      <c r="BC214" s="491" t="s">
        <v>894</v>
      </c>
      <c r="BD214" s="456"/>
      <c r="BE214" s="456"/>
      <c r="BF214" s="456"/>
      <c r="BG214" s="456"/>
      <c r="BH214" s="456"/>
      <c r="BI214" s="456"/>
      <c r="BJ214" s="456"/>
      <c r="BK214" s="456"/>
      <c r="BL214" s="456"/>
      <c r="BM214" s="456"/>
      <c r="BN214" s="456"/>
      <c r="BO214" s="456"/>
    </row>
    <row r="215" spans="1:67" s="469" customFormat="1" ht="15" x14ac:dyDescent="0.25">
      <c r="A215" s="523"/>
      <c r="B215" s="490"/>
      <c r="C215" s="2669" t="s">
        <v>895</v>
      </c>
      <c r="D215" s="2669"/>
      <c r="E215" s="2669"/>
      <c r="F215" s="2669"/>
      <c r="G215" s="2669"/>
      <c r="H215" s="2669"/>
      <c r="I215" s="2669"/>
      <c r="J215" s="2669"/>
      <c r="K215" s="2669"/>
      <c r="L215" s="2669"/>
      <c r="M215" s="2669"/>
      <c r="N215" s="2669"/>
      <c r="O215" s="2669"/>
      <c r="P215" s="536">
        <v>1015200.03</v>
      </c>
      <c r="Q215" s="459"/>
      <c r="R215" s="459"/>
      <c r="S215" s="454"/>
      <c r="T215" s="454"/>
      <c r="U215" s="454"/>
      <c r="V215" s="454"/>
      <c r="W215" s="454"/>
      <c r="X215" s="454"/>
      <c r="Y215" s="454"/>
      <c r="Z215" s="454"/>
      <c r="AA215" s="454"/>
      <c r="AB215" s="456"/>
      <c r="AC215" s="456"/>
      <c r="AD215" s="456"/>
      <c r="AE215" s="456"/>
      <c r="AF215" s="456"/>
      <c r="AG215" s="456"/>
      <c r="AH215" s="456"/>
      <c r="AI215" s="456"/>
      <c r="AJ215" s="456"/>
      <c r="AK215" s="456"/>
      <c r="AL215" s="456"/>
      <c r="AM215" s="456"/>
      <c r="AN215" s="481"/>
      <c r="AO215" s="481"/>
      <c r="AP215" s="481"/>
      <c r="AQ215" s="491"/>
      <c r="AR215" s="456"/>
      <c r="AS215" s="456"/>
      <c r="AT215" s="456"/>
      <c r="AU215" s="522"/>
      <c r="AV215" s="481"/>
      <c r="AW215" s="456"/>
      <c r="AX215" s="481"/>
      <c r="AY215" s="491"/>
      <c r="AZ215" s="456"/>
      <c r="BA215" s="456"/>
      <c r="BB215" s="481"/>
      <c r="BC215" s="491" t="s">
        <v>895</v>
      </c>
      <c r="BD215" s="456"/>
      <c r="BE215" s="456"/>
      <c r="BF215" s="456"/>
      <c r="BG215" s="456"/>
      <c r="BH215" s="456"/>
      <c r="BI215" s="456"/>
      <c r="BJ215" s="456"/>
      <c r="BK215" s="456"/>
      <c r="BL215" s="456"/>
      <c r="BM215" s="456"/>
      <c r="BN215" s="456"/>
      <c r="BO215" s="456"/>
    </row>
    <row r="216" spans="1:67" s="469" customFormat="1" ht="15" x14ac:dyDescent="0.25">
      <c r="A216" s="523"/>
      <c r="B216" s="490"/>
      <c r="C216" s="2669" t="s">
        <v>896</v>
      </c>
      <c r="D216" s="2669"/>
      <c r="E216" s="2669"/>
      <c r="F216" s="2669"/>
      <c r="G216" s="2669"/>
      <c r="H216" s="2669"/>
      <c r="I216" s="2669"/>
      <c r="J216" s="2669"/>
      <c r="K216" s="2669"/>
      <c r="L216" s="2669"/>
      <c r="M216" s="2669"/>
      <c r="N216" s="2669"/>
      <c r="O216" s="2669"/>
      <c r="P216" s="536">
        <v>5359.52</v>
      </c>
      <c r="Q216" s="459"/>
      <c r="R216" s="459"/>
      <c r="S216" s="454"/>
      <c r="T216" s="454"/>
      <c r="U216" s="454"/>
      <c r="V216" s="454"/>
      <c r="W216" s="454"/>
      <c r="X216" s="454"/>
      <c r="Y216" s="454"/>
      <c r="Z216" s="454"/>
      <c r="AA216" s="454"/>
      <c r="AB216" s="456"/>
      <c r="AC216" s="456"/>
      <c r="AD216" s="456"/>
      <c r="AE216" s="456"/>
      <c r="AF216" s="456"/>
      <c r="AG216" s="456"/>
      <c r="AH216" s="456"/>
      <c r="AI216" s="456"/>
      <c r="AJ216" s="456"/>
      <c r="AK216" s="456"/>
      <c r="AL216" s="456"/>
      <c r="AM216" s="456"/>
      <c r="AN216" s="481"/>
      <c r="AO216" s="481"/>
      <c r="AP216" s="481"/>
      <c r="AQ216" s="491"/>
      <c r="AR216" s="456"/>
      <c r="AS216" s="456"/>
      <c r="AT216" s="456"/>
      <c r="AU216" s="522"/>
      <c r="AV216" s="481"/>
      <c r="AW216" s="456"/>
      <c r="AX216" s="481"/>
      <c r="AY216" s="491"/>
      <c r="AZ216" s="456"/>
      <c r="BA216" s="456"/>
      <c r="BB216" s="481"/>
      <c r="BC216" s="491" t="s">
        <v>896</v>
      </c>
      <c r="BD216" s="456"/>
      <c r="BE216" s="456"/>
      <c r="BF216" s="456"/>
      <c r="BG216" s="456"/>
      <c r="BH216" s="456"/>
      <c r="BI216" s="456"/>
      <c r="BJ216" s="456"/>
      <c r="BK216" s="456"/>
      <c r="BL216" s="456"/>
      <c r="BM216" s="456"/>
      <c r="BN216" s="456"/>
      <c r="BO216" s="456"/>
    </row>
    <row r="217" spans="1:67" s="469" customFormat="1" ht="15" x14ac:dyDescent="0.25">
      <c r="A217" s="523"/>
      <c r="B217" s="490"/>
      <c r="C217" s="2669" t="s">
        <v>897</v>
      </c>
      <c r="D217" s="2669"/>
      <c r="E217" s="2669"/>
      <c r="F217" s="2669"/>
      <c r="G217" s="2669"/>
      <c r="H217" s="2669"/>
      <c r="I217" s="2669"/>
      <c r="J217" s="2669"/>
      <c r="K217" s="2669"/>
      <c r="L217" s="2669"/>
      <c r="M217" s="2669"/>
      <c r="N217" s="2669"/>
      <c r="O217" s="2669"/>
      <c r="P217" s="536">
        <v>1709145.67</v>
      </c>
      <c r="Q217" s="459"/>
      <c r="R217" s="459"/>
      <c r="S217" s="454"/>
      <c r="T217" s="454"/>
      <c r="U217" s="454"/>
      <c r="V217" s="454"/>
      <c r="W217" s="454"/>
      <c r="X217" s="454"/>
      <c r="Y217" s="454"/>
      <c r="Z217" s="454"/>
      <c r="AA217" s="454"/>
      <c r="AB217" s="456"/>
      <c r="AC217" s="456"/>
      <c r="AD217" s="456"/>
      <c r="AE217" s="456"/>
      <c r="AF217" s="456"/>
      <c r="AG217" s="456"/>
      <c r="AH217" s="456"/>
      <c r="AI217" s="456"/>
      <c r="AJ217" s="456"/>
      <c r="AK217" s="456"/>
      <c r="AL217" s="456"/>
      <c r="AM217" s="456"/>
      <c r="AN217" s="481"/>
      <c r="AO217" s="481"/>
      <c r="AP217" s="481"/>
      <c r="AQ217" s="491"/>
      <c r="AR217" s="456"/>
      <c r="AS217" s="456"/>
      <c r="AT217" s="456"/>
      <c r="AU217" s="522"/>
      <c r="AV217" s="481"/>
      <c r="AW217" s="456"/>
      <c r="AX217" s="481"/>
      <c r="AY217" s="491"/>
      <c r="AZ217" s="456"/>
      <c r="BA217" s="456"/>
      <c r="BB217" s="481"/>
      <c r="BC217" s="491" t="s">
        <v>897</v>
      </c>
      <c r="BD217" s="456"/>
      <c r="BE217" s="456"/>
      <c r="BF217" s="456"/>
      <c r="BG217" s="456"/>
      <c r="BH217" s="456"/>
      <c r="BI217" s="456"/>
      <c r="BJ217" s="456"/>
      <c r="BK217" s="456"/>
      <c r="BL217" s="456"/>
      <c r="BM217" s="456"/>
      <c r="BN217" s="456"/>
      <c r="BO217" s="456"/>
    </row>
    <row r="218" spans="1:67" s="469" customFormat="1" ht="15" x14ac:dyDescent="0.25">
      <c r="A218" s="523"/>
      <c r="B218" s="490"/>
      <c r="C218" s="2669" t="s">
        <v>898</v>
      </c>
      <c r="D218" s="2669"/>
      <c r="E218" s="2669"/>
      <c r="F218" s="2669"/>
      <c r="G218" s="2669"/>
      <c r="H218" s="2669"/>
      <c r="I218" s="2669"/>
      <c r="J218" s="2669"/>
      <c r="K218" s="2669"/>
      <c r="L218" s="2669"/>
      <c r="M218" s="2669"/>
      <c r="N218" s="2669"/>
      <c r="O218" s="2669"/>
      <c r="P218" s="536">
        <v>1703786.15</v>
      </c>
      <c r="Q218" s="459"/>
      <c r="R218" s="459"/>
      <c r="S218" s="454"/>
      <c r="T218" s="454"/>
      <c r="U218" s="454"/>
      <c r="V218" s="454"/>
      <c r="W218" s="454"/>
      <c r="X218" s="454"/>
      <c r="Y218" s="454"/>
      <c r="Z218" s="454"/>
      <c r="AA218" s="454"/>
      <c r="AB218" s="456"/>
      <c r="AC218" s="456"/>
      <c r="AD218" s="456"/>
      <c r="AE218" s="456"/>
      <c r="AF218" s="456"/>
      <c r="AG218" s="456"/>
      <c r="AH218" s="456"/>
      <c r="AI218" s="456"/>
      <c r="AJ218" s="456"/>
      <c r="AK218" s="456"/>
      <c r="AL218" s="456"/>
      <c r="AM218" s="456"/>
      <c r="AN218" s="481"/>
      <c r="AO218" s="481"/>
      <c r="AP218" s="481"/>
      <c r="AQ218" s="491"/>
      <c r="AR218" s="456"/>
      <c r="AS218" s="456"/>
      <c r="AT218" s="456"/>
      <c r="AU218" s="522"/>
      <c r="AV218" s="481"/>
      <c r="AW218" s="456"/>
      <c r="AX218" s="481"/>
      <c r="AY218" s="491"/>
      <c r="AZ218" s="456"/>
      <c r="BA218" s="456"/>
      <c r="BB218" s="481"/>
      <c r="BC218" s="491" t="s">
        <v>898</v>
      </c>
      <c r="BD218" s="456"/>
      <c r="BE218" s="456"/>
      <c r="BF218" s="456"/>
      <c r="BG218" s="456"/>
      <c r="BH218" s="456"/>
      <c r="BI218" s="456"/>
      <c r="BJ218" s="456"/>
      <c r="BK218" s="456"/>
      <c r="BL218" s="456"/>
      <c r="BM218" s="456"/>
      <c r="BN218" s="456"/>
      <c r="BO218" s="456"/>
    </row>
    <row r="219" spans="1:67" s="469" customFormat="1" ht="15" x14ac:dyDescent="0.25">
      <c r="A219" s="523"/>
      <c r="B219" s="490"/>
      <c r="C219" s="2669" t="s">
        <v>899</v>
      </c>
      <c r="D219" s="2669"/>
      <c r="E219" s="2669"/>
      <c r="F219" s="2669"/>
      <c r="G219" s="2669"/>
      <c r="H219" s="2669"/>
      <c r="I219" s="2669"/>
      <c r="J219" s="2669"/>
      <c r="K219" s="2669"/>
      <c r="L219" s="2669"/>
      <c r="M219" s="2669"/>
      <c r="N219" s="2669"/>
      <c r="O219" s="2669"/>
      <c r="P219" s="537"/>
      <c r="Q219" s="459"/>
      <c r="R219" s="459"/>
      <c r="S219" s="454"/>
      <c r="T219" s="454"/>
      <c r="U219" s="454"/>
      <c r="V219" s="454"/>
      <c r="W219" s="454"/>
      <c r="X219" s="454"/>
      <c r="Y219" s="454"/>
      <c r="Z219" s="454"/>
      <c r="AA219" s="454"/>
      <c r="AB219" s="456"/>
      <c r="AC219" s="456"/>
      <c r="AD219" s="456"/>
      <c r="AE219" s="456"/>
      <c r="AF219" s="456"/>
      <c r="AG219" s="456"/>
      <c r="AH219" s="456"/>
      <c r="AI219" s="456"/>
      <c r="AJ219" s="456"/>
      <c r="AK219" s="456"/>
      <c r="AL219" s="456"/>
      <c r="AM219" s="456"/>
      <c r="AN219" s="481"/>
      <c r="AO219" s="481"/>
      <c r="AP219" s="481"/>
      <c r="AQ219" s="491"/>
      <c r="AR219" s="456"/>
      <c r="AS219" s="456"/>
      <c r="AT219" s="456"/>
      <c r="AU219" s="522"/>
      <c r="AV219" s="481"/>
      <c r="AW219" s="456"/>
      <c r="AX219" s="481"/>
      <c r="AY219" s="491"/>
      <c r="AZ219" s="456"/>
      <c r="BA219" s="456"/>
      <c r="BB219" s="481"/>
      <c r="BC219" s="491" t="s">
        <v>899</v>
      </c>
      <c r="BD219" s="456"/>
      <c r="BE219" s="456"/>
      <c r="BF219" s="456"/>
      <c r="BG219" s="456"/>
      <c r="BH219" s="456"/>
      <c r="BI219" s="456"/>
      <c r="BJ219" s="456"/>
      <c r="BK219" s="456"/>
      <c r="BL219" s="456"/>
      <c r="BM219" s="456"/>
      <c r="BN219" s="456"/>
      <c r="BO219" s="456"/>
    </row>
    <row r="220" spans="1:67" s="469" customFormat="1" ht="15" x14ac:dyDescent="0.25">
      <c r="A220" s="523"/>
      <c r="B220" s="490"/>
      <c r="C220" s="2669" t="s">
        <v>900</v>
      </c>
      <c r="D220" s="2669"/>
      <c r="E220" s="2669"/>
      <c r="F220" s="2669"/>
      <c r="G220" s="2669"/>
      <c r="H220" s="2669"/>
      <c r="I220" s="2669"/>
      <c r="J220" s="2669"/>
      <c r="K220" s="2669"/>
      <c r="L220" s="2669"/>
      <c r="M220" s="2669"/>
      <c r="N220" s="2669"/>
      <c r="O220" s="2669"/>
      <c r="P220" s="536">
        <v>190655.71</v>
      </c>
      <c r="Q220" s="459"/>
      <c r="R220" s="459"/>
      <c r="S220" s="454"/>
      <c r="T220" s="454"/>
      <c r="U220" s="454"/>
      <c r="V220" s="454"/>
      <c r="W220" s="454"/>
      <c r="X220" s="454"/>
      <c r="Y220" s="454"/>
      <c r="Z220" s="454"/>
      <c r="AA220" s="454"/>
      <c r="AB220" s="456"/>
      <c r="AC220" s="456"/>
      <c r="AD220" s="456"/>
      <c r="AE220" s="456"/>
      <c r="AF220" s="456"/>
      <c r="AG220" s="456"/>
      <c r="AH220" s="456"/>
      <c r="AI220" s="456"/>
      <c r="AJ220" s="456"/>
      <c r="AK220" s="456"/>
      <c r="AL220" s="456"/>
      <c r="AM220" s="456"/>
      <c r="AN220" s="481"/>
      <c r="AO220" s="481"/>
      <c r="AP220" s="481"/>
      <c r="AQ220" s="491"/>
      <c r="AR220" s="456"/>
      <c r="AS220" s="456"/>
      <c r="AT220" s="456"/>
      <c r="AU220" s="522"/>
      <c r="AV220" s="481"/>
      <c r="AW220" s="456"/>
      <c r="AX220" s="481"/>
      <c r="AY220" s="491"/>
      <c r="AZ220" s="456"/>
      <c r="BA220" s="456"/>
      <c r="BB220" s="481"/>
      <c r="BC220" s="491" t="s">
        <v>900</v>
      </c>
      <c r="BD220" s="456"/>
      <c r="BE220" s="456"/>
      <c r="BF220" s="456"/>
      <c r="BG220" s="456"/>
      <c r="BH220" s="456"/>
      <c r="BI220" s="456"/>
      <c r="BJ220" s="456"/>
      <c r="BK220" s="456"/>
      <c r="BL220" s="456"/>
      <c r="BM220" s="456"/>
      <c r="BN220" s="456"/>
      <c r="BO220" s="456"/>
    </row>
    <row r="221" spans="1:67" s="469" customFormat="1" ht="15" x14ac:dyDescent="0.25">
      <c r="A221" s="523"/>
      <c r="B221" s="490"/>
      <c r="C221" s="2669" t="s">
        <v>901</v>
      </c>
      <c r="D221" s="2669"/>
      <c r="E221" s="2669"/>
      <c r="F221" s="2669"/>
      <c r="G221" s="2669"/>
      <c r="H221" s="2669"/>
      <c r="I221" s="2669"/>
      <c r="J221" s="2669"/>
      <c r="K221" s="2669"/>
      <c r="L221" s="2669"/>
      <c r="M221" s="2669"/>
      <c r="N221" s="2669"/>
      <c r="O221" s="2669"/>
      <c r="P221" s="536">
        <v>135597.60999999999</v>
      </c>
      <c r="Q221" s="459"/>
      <c r="R221" s="459"/>
      <c r="S221" s="454"/>
      <c r="T221" s="454"/>
      <c r="U221" s="454"/>
      <c r="V221" s="454"/>
      <c r="W221" s="454"/>
      <c r="X221" s="454"/>
      <c r="Y221" s="454"/>
      <c r="Z221" s="454"/>
      <c r="AA221" s="454"/>
      <c r="AB221" s="456"/>
      <c r="AC221" s="456"/>
      <c r="AD221" s="456"/>
      <c r="AE221" s="456"/>
      <c r="AF221" s="456"/>
      <c r="AG221" s="456"/>
      <c r="AH221" s="456"/>
      <c r="AI221" s="456"/>
      <c r="AJ221" s="456"/>
      <c r="AK221" s="456"/>
      <c r="AL221" s="456"/>
      <c r="AM221" s="456"/>
      <c r="AN221" s="481"/>
      <c r="AO221" s="481"/>
      <c r="AP221" s="481"/>
      <c r="AQ221" s="491"/>
      <c r="AR221" s="456"/>
      <c r="AS221" s="456"/>
      <c r="AT221" s="456"/>
      <c r="AU221" s="522"/>
      <c r="AV221" s="481"/>
      <c r="AW221" s="456"/>
      <c r="AX221" s="481"/>
      <c r="AY221" s="491"/>
      <c r="AZ221" s="456"/>
      <c r="BA221" s="456"/>
      <c r="BB221" s="481"/>
      <c r="BC221" s="491" t="s">
        <v>901</v>
      </c>
      <c r="BD221" s="456"/>
      <c r="BE221" s="456"/>
      <c r="BF221" s="456"/>
      <c r="BG221" s="456"/>
      <c r="BH221" s="456"/>
      <c r="BI221" s="456"/>
      <c r="BJ221" s="456"/>
      <c r="BK221" s="456"/>
      <c r="BL221" s="456"/>
      <c r="BM221" s="456"/>
      <c r="BN221" s="456"/>
      <c r="BO221" s="456"/>
    </row>
    <row r="222" spans="1:67" s="469" customFormat="1" ht="15" x14ac:dyDescent="0.25">
      <c r="A222" s="523"/>
      <c r="B222" s="490"/>
      <c r="C222" s="2669" t="s">
        <v>902</v>
      </c>
      <c r="D222" s="2669"/>
      <c r="E222" s="2669"/>
      <c r="F222" s="2669"/>
      <c r="G222" s="2669"/>
      <c r="H222" s="2669"/>
      <c r="I222" s="2669"/>
      <c r="J222" s="2669"/>
      <c r="K222" s="2669"/>
      <c r="L222" s="2669"/>
      <c r="M222" s="2669"/>
      <c r="N222" s="2669"/>
      <c r="O222" s="2669"/>
      <c r="P222" s="536">
        <v>34410.839999999997</v>
      </c>
      <c r="Q222" s="459"/>
      <c r="R222" s="459"/>
      <c r="S222" s="454"/>
      <c r="T222" s="454"/>
      <c r="U222" s="454"/>
      <c r="V222" s="454"/>
      <c r="W222" s="454"/>
      <c r="X222" s="454"/>
      <c r="Y222" s="454"/>
      <c r="Z222" s="454"/>
      <c r="AA222" s="454"/>
      <c r="AB222" s="456"/>
      <c r="AC222" s="456"/>
      <c r="AD222" s="456"/>
      <c r="AE222" s="456"/>
      <c r="AF222" s="456"/>
      <c r="AG222" s="456"/>
      <c r="AH222" s="456"/>
      <c r="AI222" s="456"/>
      <c r="AJ222" s="456"/>
      <c r="AK222" s="456"/>
      <c r="AL222" s="456"/>
      <c r="AM222" s="456"/>
      <c r="AN222" s="481"/>
      <c r="AO222" s="481"/>
      <c r="AP222" s="481"/>
      <c r="AQ222" s="491"/>
      <c r="AR222" s="456"/>
      <c r="AS222" s="456"/>
      <c r="AT222" s="456"/>
      <c r="AU222" s="522"/>
      <c r="AV222" s="481"/>
      <c r="AW222" s="456"/>
      <c r="AX222" s="481"/>
      <c r="AY222" s="491"/>
      <c r="AZ222" s="456"/>
      <c r="BA222" s="456"/>
      <c r="BB222" s="481"/>
      <c r="BC222" s="491" t="s">
        <v>902</v>
      </c>
      <c r="BD222" s="456"/>
      <c r="BE222" s="456"/>
      <c r="BF222" s="456"/>
      <c r="BG222" s="456"/>
      <c r="BH222" s="456"/>
      <c r="BI222" s="456"/>
      <c r="BJ222" s="456"/>
      <c r="BK222" s="456"/>
      <c r="BL222" s="456"/>
      <c r="BM222" s="456"/>
      <c r="BN222" s="456"/>
      <c r="BO222" s="456"/>
    </row>
    <row r="223" spans="1:67" s="469" customFormat="1" ht="15" x14ac:dyDescent="0.25">
      <c r="A223" s="523"/>
      <c r="B223" s="490"/>
      <c r="C223" s="2669" t="s">
        <v>903</v>
      </c>
      <c r="D223" s="2669"/>
      <c r="E223" s="2669"/>
      <c r="F223" s="2669"/>
      <c r="G223" s="2669"/>
      <c r="H223" s="2669"/>
      <c r="I223" s="2669"/>
      <c r="J223" s="2669"/>
      <c r="K223" s="2669"/>
      <c r="L223" s="2669"/>
      <c r="M223" s="2669"/>
      <c r="N223" s="2669"/>
      <c r="O223" s="2669"/>
      <c r="P223" s="536">
        <v>1015200.03</v>
      </c>
      <c r="Q223" s="459"/>
      <c r="R223" s="459"/>
      <c r="S223" s="454"/>
      <c r="T223" s="454"/>
      <c r="U223" s="454"/>
      <c r="V223" s="454"/>
      <c r="W223" s="454"/>
      <c r="X223" s="454"/>
      <c r="Y223" s="454"/>
      <c r="Z223" s="454"/>
      <c r="AA223" s="454"/>
      <c r="AB223" s="456"/>
      <c r="AC223" s="456"/>
      <c r="AD223" s="456"/>
      <c r="AE223" s="456"/>
      <c r="AF223" s="456"/>
      <c r="AG223" s="456"/>
      <c r="AH223" s="456"/>
      <c r="AI223" s="456"/>
      <c r="AJ223" s="456"/>
      <c r="AK223" s="456"/>
      <c r="AL223" s="456"/>
      <c r="AM223" s="456"/>
      <c r="AN223" s="481"/>
      <c r="AO223" s="481"/>
      <c r="AP223" s="481"/>
      <c r="AQ223" s="491"/>
      <c r="AR223" s="456"/>
      <c r="AS223" s="456"/>
      <c r="AT223" s="456"/>
      <c r="AU223" s="522"/>
      <c r="AV223" s="481"/>
      <c r="AW223" s="456"/>
      <c r="AX223" s="481"/>
      <c r="AY223" s="491"/>
      <c r="AZ223" s="456"/>
      <c r="BA223" s="456"/>
      <c r="BB223" s="481"/>
      <c r="BC223" s="491" t="s">
        <v>903</v>
      </c>
      <c r="BD223" s="456"/>
      <c r="BE223" s="456"/>
      <c r="BF223" s="456"/>
      <c r="BG223" s="456"/>
      <c r="BH223" s="456"/>
      <c r="BI223" s="456"/>
      <c r="BJ223" s="456"/>
      <c r="BK223" s="456"/>
      <c r="BL223" s="456"/>
      <c r="BM223" s="456"/>
      <c r="BN223" s="456"/>
      <c r="BO223" s="456"/>
    </row>
    <row r="224" spans="1:67" s="469" customFormat="1" ht="15" x14ac:dyDescent="0.25">
      <c r="A224" s="523"/>
      <c r="B224" s="490"/>
      <c r="C224" s="2669" t="s">
        <v>904</v>
      </c>
      <c r="D224" s="2669"/>
      <c r="E224" s="2669"/>
      <c r="F224" s="2669"/>
      <c r="G224" s="2669"/>
      <c r="H224" s="2669"/>
      <c r="I224" s="2669"/>
      <c r="J224" s="2669"/>
      <c r="K224" s="2669"/>
      <c r="L224" s="2669"/>
      <c r="M224" s="2669"/>
      <c r="N224" s="2669"/>
      <c r="O224" s="2669"/>
      <c r="P224" s="536">
        <v>209311.89</v>
      </c>
      <c r="Q224" s="459"/>
      <c r="R224" s="459"/>
      <c r="S224" s="454"/>
      <c r="T224" s="454"/>
      <c r="U224" s="454"/>
      <c r="V224" s="454"/>
      <c r="W224" s="454"/>
      <c r="X224" s="454"/>
      <c r="Y224" s="454"/>
      <c r="Z224" s="454"/>
      <c r="AA224" s="454"/>
      <c r="AB224" s="456"/>
      <c r="AC224" s="456"/>
      <c r="AD224" s="456"/>
      <c r="AE224" s="456"/>
      <c r="AF224" s="456"/>
      <c r="AG224" s="456"/>
      <c r="AH224" s="456"/>
      <c r="AI224" s="456"/>
      <c r="AJ224" s="456"/>
      <c r="AK224" s="456"/>
      <c r="AL224" s="456"/>
      <c r="AM224" s="456"/>
      <c r="AN224" s="481"/>
      <c r="AO224" s="481"/>
      <c r="AP224" s="481"/>
      <c r="AQ224" s="491"/>
      <c r="AR224" s="456"/>
      <c r="AS224" s="456"/>
      <c r="AT224" s="456"/>
      <c r="AU224" s="522"/>
      <c r="AV224" s="481"/>
      <c r="AW224" s="456"/>
      <c r="AX224" s="481"/>
      <c r="AY224" s="491"/>
      <c r="AZ224" s="456"/>
      <c r="BA224" s="456"/>
      <c r="BB224" s="481"/>
      <c r="BC224" s="491" t="s">
        <v>904</v>
      </c>
      <c r="BD224" s="456"/>
      <c r="BE224" s="456"/>
      <c r="BF224" s="456"/>
      <c r="BG224" s="456"/>
      <c r="BH224" s="456"/>
      <c r="BI224" s="456"/>
      <c r="BJ224" s="456"/>
      <c r="BK224" s="456"/>
      <c r="BL224" s="456"/>
      <c r="BM224" s="456"/>
      <c r="BN224" s="456"/>
      <c r="BO224" s="456"/>
    </row>
    <row r="225" spans="1:67" s="469" customFormat="1" ht="15" x14ac:dyDescent="0.25">
      <c r="A225" s="523"/>
      <c r="B225" s="490"/>
      <c r="C225" s="2669" t="s">
        <v>905</v>
      </c>
      <c r="D225" s="2669"/>
      <c r="E225" s="2669"/>
      <c r="F225" s="2669"/>
      <c r="G225" s="2669"/>
      <c r="H225" s="2669"/>
      <c r="I225" s="2669"/>
      <c r="J225" s="2669"/>
      <c r="K225" s="2669"/>
      <c r="L225" s="2669"/>
      <c r="M225" s="2669"/>
      <c r="N225" s="2669"/>
      <c r="O225" s="2669"/>
      <c r="P225" s="536">
        <v>118610.07</v>
      </c>
      <c r="Q225" s="459"/>
      <c r="R225" s="459"/>
      <c r="S225" s="454"/>
      <c r="T225" s="454"/>
      <c r="U225" s="454"/>
      <c r="V225" s="454"/>
      <c r="W225" s="454"/>
      <c r="X225" s="454"/>
      <c r="Y225" s="454"/>
      <c r="Z225" s="454"/>
      <c r="AA225" s="454"/>
      <c r="AB225" s="456"/>
      <c r="AC225" s="456"/>
      <c r="AD225" s="456"/>
      <c r="AE225" s="456"/>
      <c r="AF225" s="456"/>
      <c r="AG225" s="456"/>
      <c r="AH225" s="456"/>
      <c r="AI225" s="456"/>
      <c r="AJ225" s="456"/>
      <c r="AK225" s="456"/>
      <c r="AL225" s="456"/>
      <c r="AM225" s="456"/>
      <c r="AN225" s="481"/>
      <c r="AO225" s="481"/>
      <c r="AP225" s="481"/>
      <c r="AQ225" s="491"/>
      <c r="AR225" s="456"/>
      <c r="AS225" s="456"/>
      <c r="AT225" s="456"/>
      <c r="AU225" s="522"/>
      <c r="AV225" s="481"/>
      <c r="AW225" s="456"/>
      <c r="AX225" s="481"/>
      <c r="AY225" s="491"/>
      <c r="AZ225" s="456"/>
      <c r="BA225" s="456"/>
      <c r="BB225" s="481"/>
      <c r="BC225" s="491" t="s">
        <v>905</v>
      </c>
      <c r="BD225" s="456"/>
      <c r="BE225" s="456"/>
      <c r="BF225" s="456"/>
      <c r="BG225" s="456"/>
      <c r="BH225" s="456"/>
      <c r="BI225" s="456"/>
      <c r="BJ225" s="456"/>
      <c r="BK225" s="456"/>
      <c r="BL225" s="456"/>
      <c r="BM225" s="456"/>
      <c r="BN225" s="456"/>
      <c r="BO225" s="456"/>
    </row>
    <row r="226" spans="1:67" s="469" customFormat="1" ht="15" x14ac:dyDescent="0.25">
      <c r="A226" s="523"/>
      <c r="B226" s="490"/>
      <c r="C226" s="2669" t="s">
        <v>906</v>
      </c>
      <c r="D226" s="2669"/>
      <c r="E226" s="2669"/>
      <c r="F226" s="2669"/>
      <c r="G226" s="2669"/>
      <c r="H226" s="2669"/>
      <c r="I226" s="2669"/>
      <c r="J226" s="2669"/>
      <c r="K226" s="2669"/>
      <c r="L226" s="2669"/>
      <c r="M226" s="2669"/>
      <c r="N226" s="2669"/>
      <c r="O226" s="2669"/>
      <c r="P226" s="536">
        <v>5359.52</v>
      </c>
      <c r="Q226" s="459"/>
      <c r="R226" s="459"/>
      <c r="S226" s="454"/>
      <c r="T226" s="454"/>
      <c r="U226" s="454"/>
      <c r="V226" s="454"/>
      <c r="W226" s="454"/>
      <c r="X226" s="454"/>
      <c r="Y226" s="454"/>
      <c r="Z226" s="454"/>
      <c r="AA226" s="454"/>
      <c r="AB226" s="456"/>
      <c r="AC226" s="456"/>
      <c r="AD226" s="456"/>
      <c r="AE226" s="456"/>
      <c r="AF226" s="456"/>
      <c r="AG226" s="456"/>
      <c r="AH226" s="456"/>
      <c r="AI226" s="456"/>
      <c r="AJ226" s="456"/>
      <c r="AK226" s="456"/>
      <c r="AL226" s="456"/>
      <c r="AM226" s="456"/>
      <c r="AN226" s="481"/>
      <c r="AO226" s="481"/>
      <c r="AP226" s="481"/>
      <c r="AQ226" s="491"/>
      <c r="AR226" s="456"/>
      <c r="AS226" s="456"/>
      <c r="AT226" s="456"/>
      <c r="AU226" s="522"/>
      <c r="AV226" s="481"/>
      <c r="AW226" s="456"/>
      <c r="AX226" s="481"/>
      <c r="AY226" s="491"/>
      <c r="AZ226" s="456"/>
      <c r="BA226" s="456"/>
      <c r="BB226" s="481"/>
      <c r="BC226" s="491" t="s">
        <v>906</v>
      </c>
      <c r="BD226" s="456"/>
      <c r="BE226" s="456"/>
      <c r="BF226" s="456"/>
      <c r="BG226" s="456"/>
      <c r="BH226" s="456"/>
      <c r="BI226" s="456"/>
      <c r="BJ226" s="456"/>
      <c r="BK226" s="456"/>
      <c r="BL226" s="456"/>
      <c r="BM226" s="456"/>
      <c r="BN226" s="456"/>
      <c r="BO226" s="456"/>
    </row>
    <row r="227" spans="1:67" s="469" customFormat="1" ht="15" x14ac:dyDescent="0.25">
      <c r="A227" s="523"/>
      <c r="B227" s="490"/>
      <c r="C227" s="2669" t="s">
        <v>907</v>
      </c>
      <c r="D227" s="2669"/>
      <c r="E227" s="2669"/>
      <c r="F227" s="2669"/>
      <c r="G227" s="2669"/>
      <c r="H227" s="2669"/>
      <c r="I227" s="2669"/>
      <c r="J227" s="2669"/>
      <c r="K227" s="2669"/>
      <c r="L227" s="2669"/>
      <c r="M227" s="2669"/>
      <c r="N227" s="2669"/>
      <c r="O227" s="2669"/>
      <c r="P227" s="536">
        <v>225066.55</v>
      </c>
      <c r="Q227" s="459"/>
      <c r="R227" s="459"/>
      <c r="S227" s="454"/>
      <c r="T227" s="454"/>
      <c r="U227" s="454"/>
      <c r="V227" s="454"/>
      <c r="W227" s="454"/>
      <c r="X227" s="454"/>
      <c r="Y227" s="454"/>
      <c r="Z227" s="454"/>
      <c r="AA227" s="454"/>
      <c r="AB227" s="456"/>
      <c r="AC227" s="456"/>
      <c r="AD227" s="456"/>
      <c r="AE227" s="456"/>
      <c r="AF227" s="456"/>
      <c r="AG227" s="456"/>
      <c r="AH227" s="456"/>
      <c r="AI227" s="456"/>
      <c r="AJ227" s="456"/>
      <c r="AK227" s="456"/>
      <c r="AL227" s="456"/>
      <c r="AM227" s="456"/>
      <c r="AN227" s="481"/>
      <c r="AO227" s="481"/>
      <c r="AP227" s="481"/>
      <c r="AQ227" s="491"/>
      <c r="AR227" s="456"/>
      <c r="AS227" s="456"/>
      <c r="AT227" s="456"/>
      <c r="AU227" s="522"/>
      <c r="AV227" s="481"/>
      <c r="AW227" s="456"/>
      <c r="AX227" s="481"/>
      <c r="AY227" s="491"/>
      <c r="AZ227" s="456"/>
      <c r="BA227" s="456"/>
      <c r="BB227" s="481"/>
      <c r="BC227" s="491" t="s">
        <v>907</v>
      </c>
      <c r="BD227" s="456"/>
      <c r="BE227" s="456"/>
      <c r="BF227" s="456"/>
      <c r="BG227" s="456"/>
      <c r="BH227" s="456"/>
      <c r="BI227" s="456"/>
      <c r="BJ227" s="456"/>
      <c r="BK227" s="456"/>
      <c r="BL227" s="456"/>
      <c r="BM227" s="456"/>
      <c r="BN227" s="456"/>
      <c r="BO227" s="456"/>
    </row>
    <row r="228" spans="1:67" s="469" customFormat="1" ht="15" x14ac:dyDescent="0.25">
      <c r="A228" s="523"/>
      <c r="B228" s="490"/>
      <c r="C228" s="2669" t="s">
        <v>908</v>
      </c>
      <c r="D228" s="2669"/>
      <c r="E228" s="2669"/>
      <c r="F228" s="2669"/>
      <c r="G228" s="2669"/>
      <c r="H228" s="2669"/>
      <c r="I228" s="2669"/>
      <c r="J228" s="2669"/>
      <c r="K228" s="2669"/>
      <c r="L228" s="2669"/>
      <c r="M228" s="2669"/>
      <c r="N228" s="2669"/>
      <c r="O228" s="2669"/>
      <c r="P228" s="536">
        <v>209311.89</v>
      </c>
      <c r="Q228" s="459"/>
      <c r="R228" s="459"/>
      <c r="S228" s="454"/>
      <c r="T228" s="454"/>
      <c r="U228" s="454"/>
      <c r="V228" s="454"/>
      <c r="W228" s="454"/>
      <c r="X228" s="454"/>
      <c r="Y228" s="454"/>
      <c r="Z228" s="454"/>
      <c r="AA228" s="454"/>
      <c r="AB228" s="456"/>
      <c r="AC228" s="456"/>
      <c r="AD228" s="456"/>
      <c r="AE228" s="456"/>
      <c r="AF228" s="456"/>
      <c r="AG228" s="456"/>
      <c r="AH228" s="456"/>
      <c r="AI228" s="456"/>
      <c r="AJ228" s="456"/>
      <c r="AK228" s="456"/>
      <c r="AL228" s="456"/>
      <c r="AM228" s="456"/>
      <c r="AN228" s="481"/>
      <c r="AO228" s="481"/>
      <c r="AP228" s="481"/>
      <c r="AQ228" s="491"/>
      <c r="AR228" s="456"/>
      <c r="AS228" s="456"/>
      <c r="AT228" s="456"/>
      <c r="AU228" s="522"/>
      <c r="AV228" s="481"/>
      <c r="AW228" s="456"/>
      <c r="AX228" s="481"/>
      <c r="AY228" s="491"/>
      <c r="AZ228" s="456"/>
      <c r="BA228" s="456"/>
      <c r="BB228" s="481"/>
      <c r="BC228" s="491" t="s">
        <v>908</v>
      </c>
      <c r="BD228" s="456"/>
      <c r="BE228" s="456"/>
      <c r="BF228" s="456"/>
      <c r="BG228" s="456"/>
      <c r="BH228" s="456"/>
      <c r="BI228" s="456"/>
      <c r="BJ228" s="456"/>
      <c r="BK228" s="456"/>
      <c r="BL228" s="456"/>
      <c r="BM228" s="456"/>
      <c r="BN228" s="456"/>
      <c r="BO228" s="456"/>
    </row>
    <row r="229" spans="1:67" s="469" customFormat="1" ht="15" x14ac:dyDescent="0.25">
      <c r="A229" s="523"/>
      <c r="B229" s="490"/>
      <c r="C229" s="2669" t="s">
        <v>909</v>
      </c>
      <c r="D229" s="2669"/>
      <c r="E229" s="2669"/>
      <c r="F229" s="2669"/>
      <c r="G229" s="2669"/>
      <c r="H229" s="2669"/>
      <c r="I229" s="2669"/>
      <c r="J229" s="2669"/>
      <c r="K229" s="2669"/>
      <c r="L229" s="2669"/>
      <c r="M229" s="2669"/>
      <c r="N229" s="2669"/>
      <c r="O229" s="2669"/>
      <c r="P229" s="536">
        <v>118610.07</v>
      </c>
      <c r="Q229" s="459"/>
      <c r="R229" s="459"/>
      <c r="S229" s="454"/>
      <c r="T229" s="454"/>
      <c r="U229" s="454"/>
      <c r="V229" s="454"/>
      <c r="W229" s="454"/>
      <c r="X229" s="454"/>
      <c r="Y229" s="454"/>
      <c r="Z229" s="454"/>
      <c r="AA229" s="454"/>
      <c r="AB229" s="456"/>
      <c r="AC229" s="456"/>
      <c r="AD229" s="456"/>
      <c r="AE229" s="456"/>
      <c r="AF229" s="456"/>
      <c r="AG229" s="456"/>
      <c r="AH229" s="456"/>
      <c r="AI229" s="456"/>
      <c r="AJ229" s="456"/>
      <c r="AK229" s="456"/>
      <c r="AL229" s="456"/>
      <c r="AM229" s="456"/>
      <c r="AN229" s="481"/>
      <c r="AO229" s="481"/>
      <c r="AP229" s="481"/>
      <c r="AQ229" s="491"/>
      <c r="AR229" s="456"/>
      <c r="AS229" s="456"/>
      <c r="AT229" s="456"/>
      <c r="AU229" s="522"/>
      <c r="AV229" s="481"/>
      <c r="AW229" s="456"/>
      <c r="AX229" s="481"/>
      <c r="AY229" s="491"/>
      <c r="AZ229" s="456"/>
      <c r="BA229" s="456"/>
      <c r="BB229" s="481"/>
      <c r="BC229" s="491" t="s">
        <v>909</v>
      </c>
      <c r="BD229" s="456"/>
      <c r="BE229" s="456"/>
      <c r="BF229" s="456"/>
      <c r="BG229" s="456"/>
      <c r="BH229" s="456"/>
      <c r="BI229" s="456"/>
      <c r="BJ229" s="456"/>
      <c r="BK229" s="456"/>
      <c r="BL229" s="456"/>
      <c r="BM229" s="456"/>
      <c r="BN229" s="456"/>
      <c r="BO229" s="456"/>
    </row>
    <row r="230" spans="1:67" s="469" customFormat="1" ht="15" x14ac:dyDescent="0.25">
      <c r="A230" s="523"/>
      <c r="B230" s="534"/>
      <c r="C230" s="2729" t="s">
        <v>4063</v>
      </c>
      <c r="D230" s="2729"/>
      <c r="E230" s="2729"/>
      <c r="F230" s="2729"/>
      <c r="G230" s="2729"/>
      <c r="H230" s="2729"/>
      <c r="I230" s="2729"/>
      <c r="J230" s="2729"/>
      <c r="K230" s="2729"/>
      <c r="L230" s="2729"/>
      <c r="M230" s="2729"/>
      <c r="N230" s="2729"/>
      <c r="O230" s="2729"/>
      <c r="P230" s="538">
        <v>1709145.67</v>
      </c>
      <c r="Q230" s="459"/>
      <c r="R230" s="459"/>
      <c r="S230" s="454"/>
      <c r="T230" s="454"/>
      <c r="U230" s="454"/>
      <c r="V230" s="454"/>
      <c r="W230" s="454"/>
      <c r="X230" s="454"/>
      <c r="Y230" s="454"/>
      <c r="Z230" s="454"/>
      <c r="AA230" s="454"/>
      <c r="AB230" s="456"/>
      <c r="AC230" s="456"/>
      <c r="AD230" s="456"/>
      <c r="AE230" s="456"/>
      <c r="AF230" s="456"/>
      <c r="AG230" s="456"/>
      <c r="AH230" s="456"/>
      <c r="AI230" s="456"/>
      <c r="AJ230" s="456"/>
      <c r="AK230" s="456"/>
      <c r="AL230" s="456"/>
      <c r="AM230" s="456"/>
      <c r="AN230" s="481"/>
      <c r="AO230" s="481"/>
      <c r="AP230" s="481"/>
      <c r="AQ230" s="491"/>
      <c r="AR230" s="456"/>
      <c r="AS230" s="456"/>
      <c r="AT230" s="456"/>
      <c r="AU230" s="522"/>
      <c r="AV230" s="481"/>
      <c r="AW230" s="456"/>
      <c r="AX230" s="481"/>
      <c r="AY230" s="491"/>
      <c r="AZ230" s="456"/>
      <c r="BA230" s="456"/>
      <c r="BB230" s="481"/>
      <c r="BC230" s="491"/>
      <c r="BD230" s="481" t="s">
        <v>4063</v>
      </c>
      <c r="BE230" s="456"/>
      <c r="BF230" s="456"/>
      <c r="BG230" s="456"/>
      <c r="BH230" s="456"/>
      <c r="BI230" s="456"/>
      <c r="BJ230" s="456"/>
      <c r="BK230" s="456"/>
      <c r="BL230" s="456"/>
      <c r="BM230" s="456"/>
      <c r="BN230" s="456"/>
      <c r="BO230" s="456"/>
    </row>
    <row r="231" spans="1:67" s="469" customFormat="1" ht="15" x14ac:dyDescent="0.25">
      <c r="A231" s="523"/>
      <c r="B231" s="534"/>
      <c r="C231" s="2729" t="s">
        <v>910</v>
      </c>
      <c r="D231" s="2729"/>
      <c r="E231" s="2729"/>
      <c r="F231" s="2729"/>
      <c r="G231" s="2729"/>
      <c r="H231" s="2729"/>
      <c r="I231" s="2729"/>
      <c r="J231" s="2729"/>
      <c r="K231" s="2729"/>
      <c r="L231" s="2729"/>
      <c r="M231" s="2729"/>
      <c r="N231" s="2729"/>
      <c r="O231" s="2729"/>
      <c r="P231" s="539"/>
      <c r="Q231" s="459"/>
      <c r="R231" s="459"/>
      <c r="S231" s="454"/>
      <c r="T231" s="454"/>
      <c r="U231" s="454"/>
      <c r="V231" s="454"/>
      <c r="W231" s="454"/>
      <c r="X231" s="454"/>
      <c r="Y231" s="454"/>
      <c r="Z231" s="454"/>
      <c r="AA231" s="454"/>
      <c r="AB231" s="456"/>
      <c r="AC231" s="456"/>
      <c r="AD231" s="456"/>
      <c r="AE231" s="456"/>
      <c r="AF231" s="456"/>
      <c r="AG231" s="456"/>
      <c r="AH231" s="456"/>
      <c r="AI231" s="456"/>
      <c r="AJ231" s="456"/>
      <c r="AK231" s="456"/>
      <c r="AL231" s="456"/>
      <c r="AM231" s="456"/>
      <c r="AN231" s="481"/>
      <c r="AO231" s="481"/>
      <c r="AP231" s="481"/>
      <c r="AQ231" s="491"/>
      <c r="AR231" s="456"/>
      <c r="AS231" s="456"/>
      <c r="AT231" s="456"/>
      <c r="AU231" s="522"/>
      <c r="AV231" s="481"/>
      <c r="AW231" s="456"/>
      <c r="AX231" s="481"/>
      <c r="AY231" s="491"/>
      <c r="AZ231" s="456"/>
      <c r="BA231" s="456"/>
      <c r="BB231" s="481"/>
      <c r="BC231" s="491"/>
      <c r="BD231" s="481"/>
      <c r="BE231" s="481" t="s">
        <v>910</v>
      </c>
      <c r="BF231" s="456"/>
      <c r="BG231" s="456"/>
      <c r="BH231" s="456"/>
      <c r="BI231" s="456"/>
      <c r="BJ231" s="456"/>
      <c r="BK231" s="456"/>
      <c r="BL231" s="456"/>
      <c r="BM231" s="456"/>
      <c r="BN231" s="456"/>
      <c r="BO231" s="456"/>
    </row>
    <row r="232" spans="1:67" s="469" customFormat="1" ht="15" x14ac:dyDescent="0.25">
      <c r="A232" s="523"/>
      <c r="B232" s="534"/>
      <c r="C232" s="2668" t="s">
        <v>911</v>
      </c>
      <c r="D232" s="2668"/>
      <c r="E232" s="2668"/>
      <c r="F232" s="2668"/>
      <c r="G232" s="2668"/>
      <c r="H232" s="2668"/>
      <c r="I232" s="2668"/>
      <c r="J232" s="2668"/>
      <c r="K232" s="540">
        <v>735.21405000000004</v>
      </c>
      <c r="L232" s="2668"/>
      <c r="M232" s="2668"/>
      <c r="N232" s="2668"/>
      <c r="O232" s="2668"/>
      <c r="P232" s="537"/>
      <c r="Q232" s="459"/>
      <c r="R232" s="459"/>
      <c r="S232" s="454"/>
      <c r="T232" s="454"/>
      <c r="U232" s="454"/>
      <c r="V232" s="454"/>
      <c r="W232" s="454"/>
      <c r="X232" s="454"/>
      <c r="Y232" s="454"/>
      <c r="Z232" s="454"/>
      <c r="AA232" s="454"/>
      <c r="AB232" s="456"/>
      <c r="AC232" s="456"/>
      <c r="AD232" s="456"/>
      <c r="AE232" s="456"/>
      <c r="AF232" s="456"/>
      <c r="AG232" s="456"/>
      <c r="AH232" s="456"/>
      <c r="AI232" s="456"/>
      <c r="AJ232" s="456"/>
      <c r="AK232" s="456"/>
      <c r="AL232" s="456"/>
      <c r="AM232" s="456"/>
      <c r="AN232" s="481"/>
      <c r="AO232" s="481"/>
      <c r="AP232" s="481"/>
      <c r="AQ232" s="491"/>
      <c r="AR232" s="456"/>
      <c r="AS232" s="456"/>
      <c r="AT232" s="456"/>
      <c r="AU232" s="522"/>
      <c r="AV232" s="481"/>
      <c r="AW232" s="456"/>
      <c r="AX232" s="481"/>
      <c r="AY232" s="491"/>
      <c r="AZ232" s="456"/>
      <c r="BA232" s="456"/>
      <c r="BB232" s="481"/>
      <c r="BC232" s="491"/>
      <c r="BD232" s="481"/>
      <c r="BE232" s="481"/>
      <c r="BF232" s="491" t="s">
        <v>911</v>
      </c>
      <c r="BG232" s="456"/>
      <c r="BH232" s="456"/>
      <c r="BI232" s="456"/>
      <c r="BJ232" s="456"/>
      <c r="BK232" s="456"/>
      <c r="BL232" s="456"/>
      <c r="BM232" s="456"/>
      <c r="BN232" s="456"/>
      <c r="BO232" s="456"/>
    </row>
    <row r="233" spans="1:67" s="469" customFormat="1" ht="15" x14ac:dyDescent="0.25">
      <c r="A233" s="523"/>
      <c r="B233" s="534"/>
      <c r="C233" s="2668" t="s">
        <v>912</v>
      </c>
      <c r="D233" s="2668"/>
      <c r="E233" s="2668"/>
      <c r="F233" s="2668"/>
      <c r="G233" s="2668"/>
      <c r="H233" s="2668"/>
      <c r="I233" s="2668"/>
      <c r="J233" s="2668"/>
      <c r="K233" s="540">
        <v>95.412329999999997</v>
      </c>
      <c r="L233" s="2668"/>
      <c r="M233" s="2668"/>
      <c r="N233" s="2668"/>
      <c r="O233" s="2668"/>
      <c r="P233" s="537"/>
      <c r="Q233" s="459"/>
      <c r="R233" s="459"/>
      <c r="S233" s="454"/>
      <c r="T233" s="454"/>
      <c r="U233" s="454"/>
      <c r="V233" s="454"/>
      <c r="W233" s="454"/>
      <c r="X233" s="454"/>
      <c r="Y233" s="454"/>
      <c r="Z233" s="454"/>
      <c r="AA233" s="454"/>
      <c r="AB233" s="456"/>
      <c r="AC233" s="456"/>
      <c r="AD233" s="456"/>
      <c r="AE233" s="456"/>
      <c r="AF233" s="456"/>
      <c r="AG233" s="456"/>
      <c r="AH233" s="456"/>
      <c r="AI233" s="456"/>
      <c r="AJ233" s="456"/>
      <c r="AK233" s="456"/>
      <c r="AL233" s="456"/>
      <c r="AM233" s="456"/>
      <c r="AN233" s="481"/>
      <c r="AO233" s="481"/>
      <c r="AP233" s="481"/>
      <c r="AQ233" s="491"/>
      <c r="AR233" s="456"/>
      <c r="AS233" s="456"/>
      <c r="AT233" s="456"/>
      <c r="AU233" s="522"/>
      <c r="AV233" s="481"/>
      <c r="AW233" s="456"/>
      <c r="AX233" s="481"/>
      <c r="AY233" s="491"/>
      <c r="AZ233" s="456"/>
      <c r="BA233" s="456"/>
      <c r="BB233" s="481"/>
      <c r="BC233" s="491"/>
      <c r="BD233" s="481"/>
      <c r="BE233" s="481"/>
      <c r="BF233" s="491" t="s">
        <v>912</v>
      </c>
      <c r="BG233" s="456"/>
      <c r="BH233" s="456"/>
      <c r="BI233" s="456"/>
      <c r="BJ233" s="456"/>
      <c r="BK233" s="456"/>
      <c r="BL233" s="456"/>
      <c r="BM233" s="456"/>
      <c r="BN233" s="456"/>
      <c r="BO233" s="456"/>
    </row>
    <row r="234" spans="1:67" s="469" customFormat="1" ht="15" x14ac:dyDescent="0.25">
      <c r="A234" s="2716" t="s">
        <v>4064</v>
      </c>
      <c r="B234" s="2717"/>
      <c r="C234" s="2717"/>
      <c r="D234" s="2717"/>
      <c r="E234" s="2717"/>
      <c r="F234" s="2717"/>
      <c r="G234" s="2717"/>
      <c r="H234" s="2717"/>
      <c r="I234" s="2717"/>
      <c r="J234" s="2717"/>
      <c r="K234" s="2717"/>
      <c r="L234" s="2717"/>
      <c r="M234" s="2717"/>
      <c r="N234" s="2717"/>
      <c r="O234" s="2717"/>
      <c r="P234" s="2718"/>
      <c r="Q234" s="454"/>
      <c r="R234" s="454"/>
      <c r="S234" s="454"/>
      <c r="T234" s="454"/>
      <c r="U234" s="454"/>
      <c r="V234" s="454"/>
      <c r="W234" s="454"/>
      <c r="X234" s="454"/>
      <c r="Y234" s="454"/>
      <c r="Z234" s="454"/>
      <c r="AA234" s="454"/>
      <c r="AB234" s="456"/>
      <c r="AC234" s="456"/>
      <c r="AD234" s="456"/>
      <c r="AE234" s="456"/>
      <c r="AF234" s="456"/>
      <c r="AG234" s="456"/>
      <c r="AH234" s="456"/>
      <c r="AI234" s="456"/>
      <c r="AJ234" s="456"/>
      <c r="AK234" s="456"/>
      <c r="AL234" s="456"/>
      <c r="AM234" s="456"/>
      <c r="AN234" s="481" t="s">
        <v>4064</v>
      </c>
      <c r="AO234" s="481"/>
      <c r="AP234" s="481"/>
      <c r="AQ234" s="491"/>
      <c r="AR234" s="456"/>
      <c r="AS234" s="456"/>
      <c r="AT234" s="456"/>
      <c r="AU234" s="522"/>
      <c r="AV234" s="481"/>
      <c r="AW234" s="456"/>
      <c r="AX234" s="481"/>
      <c r="AY234" s="491"/>
      <c r="AZ234" s="456"/>
      <c r="BA234" s="456"/>
      <c r="BB234" s="481"/>
      <c r="BC234" s="491"/>
      <c r="BD234" s="481"/>
      <c r="BE234" s="481"/>
      <c r="BF234" s="491"/>
      <c r="BG234" s="456"/>
      <c r="BH234" s="456"/>
      <c r="BI234" s="456"/>
      <c r="BJ234" s="456"/>
      <c r="BK234" s="456"/>
      <c r="BL234" s="456"/>
      <c r="BM234" s="456"/>
      <c r="BN234" s="456"/>
      <c r="BO234" s="456"/>
    </row>
    <row r="235" spans="1:67" s="469" customFormat="1" ht="23.25" x14ac:dyDescent="0.25">
      <c r="A235" s="482" t="s">
        <v>651</v>
      </c>
      <c r="B235" s="568" t="s">
        <v>799</v>
      </c>
      <c r="C235" s="2746" t="s">
        <v>800</v>
      </c>
      <c r="D235" s="2746"/>
      <c r="E235" s="2746"/>
      <c r="F235" s="2746"/>
      <c r="G235" s="2746"/>
      <c r="H235" s="483" t="s">
        <v>801</v>
      </c>
      <c r="I235" s="484">
        <v>18.100000000000001</v>
      </c>
      <c r="J235" s="485">
        <v>1</v>
      </c>
      <c r="K235" s="486">
        <v>18.100000000000001</v>
      </c>
      <c r="L235" s="487"/>
      <c r="M235" s="484"/>
      <c r="N235" s="487"/>
      <c r="O235" s="484"/>
      <c r="P235" s="488"/>
      <c r="Q235" s="454"/>
      <c r="R235" s="454"/>
      <c r="S235" s="454"/>
      <c r="T235" s="454"/>
      <c r="U235" s="454"/>
      <c r="V235" s="454"/>
      <c r="W235" s="454"/>
      <c r="X235" s="454"/>
      <c r="Y235" s="454"/>
      <c r="Z235" s="454"/>
      <c r="AA235" s="454"/>
      <c r="AB235" s="456"/>
      <c r="AC235" s="456"/>
      <c r="AD235" s="456"/>
      <c r="AE235" s="456"/>
      <c r="AF235" s="456"/>
      <c r="AG235" s="456"/>
      <c r="AH235" s="456"/>
      <c r="AI235" s="456"/>
      <c r="AJ235" s="456"/>
      <c r="AK235" s="456"/>
      <c r="AL235" s="456"/>
      <c r="AM235" s="456"/>
      <c r="AN235" s="481"/>
      <c r="AO235" s="481"/>
      <c r="AP235" s="481" t="s">
        <v>800</v>
      </c>
      <c r="AQ235" s="491"/>
      <c r="AR235" s="456"/>
      <c r="AS235" s="456"/>
      <c r="AT235" s="456"/>
      <c r="AU235" s="522"/>
      <c r="AV235" s="481"/>
      <c r="AW235" s="456"/>
      <c r="AX235" s="481"/>
      <c r="AY235" s="491"/>
      <c r="AZ235" s="456"/>
      <c r="BA235" s="456"/>
      <c r="BB235" s="481"/>
      <c r="BC235" s="491"/>
      <c r="BD235" s="481"/>
      <c r="BE235" s="481"/>
      <c r="BF235" s="491"/>
      <c r="BG235" s="456"/>
      <c r="BH235" s="456"/>
      <c r="BI235" s="456"/>
      <c r="BJ235" s="456"/>
      <c r="BK235" s="456"/>
      <c r="BL235" s="456"/>
      <c r="BM235" s="456"/>
      <c r="BN235" s="456"/>
      <c r="BO235" s="456"/>
    </row>
    <row r="236" spans="1:67" s="469" customFormat="1" ht="22.5" x14ac:dyDescent="0.25">
      <c r="A236" s="489"/>
      <c r="B236" s="490" t="s">
        <v>802</v>
      </c>
      <c r="C236" s="2709" t="s">
        <v>803</v>
      </c>
      <c r="D236" s="2709"/>
      <c r="E236" s="2709"/>
      <c r="F236" s="2709"/>
      <c r="G236" s="2709"/>
      <c r="H236" s="2709"/>
      <c r="I236" s="2709"/>
      <c r="J236" s="2709"/>
      <c r="K236" s="2709"/>
      <c r="L236" s="2709"/>
      <c r="M236" s="2709"/>
      <c r="N236" s="2709"/>
      <c r="O236" s="2709"/>
      <c r="P236" s="2710"/>
      <c r="Q236" s="454"/>
      <c r="R236" s="454"/>
      <c r="S236" s="454"/>
      <c r="T236" s="454"/>
      <c r="U236" s="454"/>
      <c r="V236" s="454"/>
      <c r="W236" s="454"/>
      <c r="X236" s="454"/>
      <c r="Y236" s="454"/>
      <c r="Z236" s="454"/>
      <c r="AA236" s="454"/>
      <c r="AB236" s="456"/>
      <c r="AC236" s="456"/>
      <c r="AD236" s="456"/>
      <c r="AE236" s="456"/>
      <c r="AF236" s="456"/>
      <c r="AG236" s="456"/>
      <c r="AH236" s="456"/>
      <c r="AI236" s="456"/>
      <c r="AJ236" s="456"/>
      <c r="AK236" s="456"/>
      <c r="AL236" s="456"/>
      <c r="AM236" s="456"/>
      <c r="AN236" s="481"/>
      <c r="AO236" s="481"/>
      <c r="AP236" s="481"/>
      <c r="AQ236" s="491" t="s">
        <v>803</v>
      </c>
      <c r="AR236" s="456"/>
      <c r="AS236" s="456"/>
      <c r="AT236" s="456"/>
      <c r="AU236" s="522"/>
      <c r="AV236" s="481"/>
      <c r="AW236" s="456"/>
      <c r="AX236" s="481"/>
      <c r="AY236" s="491"/>
      <c r="AZ236" s="456"/>
      <c r="BA236" s="456"/>
      <c r="BB236" s="481"/>
      <c r="BC236" s="491"/>
      <c r="BD236" s="481"/>
      <c r="BE236" s="481"/>
      <c r="BF236" s="491"/>
      <c r="BG236" s="456"/>
      <c r="BH236" s="456"/>
      <c r="BI236" s="456"/>
      <c r="BJ236" s="456"/>
      <c r="BK236" s="456"/>
      <c r="BL236" s="456"/>
      <c r="BM236" s="456"/>
      <c r="BN236" s="456"/>
      <c r="BO236" s="456"/>
    </row>
    <row r="237" spans="1:67" s="469" customFormat="1" ht="33.75" x14ac:dyDescent="0.25">
      <c r="A237" s="489"/>
      <c r="B237" s="490" t="s">
        <v>804</v>
      </c>
      <c r="C237" s="2709" t="s">
        <v>805</v>
      </c>
      <c r="D237" s="2709"/>
      <c r="E237" s="2709"/>
      <c r="F237" s="2709"/>
      <c r="G237" s="2709"/>
      <c r="H237" s="2709"/>
      <c r="I237" s="2709"/>
      <c r="J237" s="2709"/>
      <c r="K237" s="2709"/>
      <c r="L237" s="2709"/>
      <c r="M237" s="2709"/>
      <c r="N237" s="2709"/>
      <c r="O237" s="2709"/>
      <c r="P237" s="2710"/>
      <c r="Q237" s="454"/>
      <c r="R237" s="454"/>
      <c r="S237" s="454"/>
      <c r="T237" s="454"/>
      <c r="U237" s="454"/>
      <c r="V237" s="454"/>
      <c r="W237" s="454"/>
      <c r="X237" s="454"/>
      <c r="Y237" s="454"/>
      <c r="Z237" s="454"/>
      <c r="AA237" s="454"/>
      <c r="AB237" s="456"/>
      <c r="AC237" s="456"/>
      <c r="AD237" s="456"/>
      <c r="AE237" s="456"/>
      <c r="AF237" s="456"/>
      <c r="AG237" s="456"/>
      <c r="AH237" s="456"/>
      <c r="AI237" s="456"/>
      <c r="AJ237" s="456"/>
      <c r="AK237" s="456"/>
      <c r="AL237" s="456"/>
      <c r="AM237" s="456"/>
      <c r="AN237" s="481"/>
      <c r="AO237" s="481"/>
      <c r="AP237" s="481"/>
      <c r="AQ237" s="491" t="s">
        <v>805</v>
      </c>
      <c r="AR237" s="456"/>
      <c r="AS237" s="456"/>
      <c r="AT237" s="456"/>
      <c r="AU237" s="522"/>
      <c r="AV237" s="481"/>
      <c r="AW237" s="456"/>
      <c r="AX237" s="481"/>
      <c r="AY237" s="491"/>
      <c r="AZ237" s="456"/>
      <c r="BA237" s="456"/>
      <c r="BB237" s="481"/>
      <c r="BC237" s="491"/>
      <c r="BD237" s="481"/>
      <c r="BE237" s="481"/>
      <c r="BF237" s="491"/>
      <c r="BG237" s="456"/>
      <c r="BH237" s="456"/>
      <c r="BI237" s="456"/>
      <c r="BJ237" s="456"/>
      <c r="BK237" s="456"/>
      <c r="BL237" s="456"/>
      <c r="BM237" s="456"/>
      <c r="BN237" s="456"/>
      <c r="BO237" s="456"/>
    </row>
    <row r="238" spans="1:67" s="469" customFormat="1" ht="15" x14ac:dyDescent="0.25">
      <c r="A238" s="492"/>
      <c r="B238" s="493" t="s">
        <v>190</v>
      </c>
      <c r="C238" s="2697" t="s">
        <v>806</v>
      </c>
      <c r="D238" s="2697"/>
      <c r="E238" s="2697"/>
      <c r="F238" s="2697"/>
      <c r="G238" s="2697"/>
      <c r="H238" s="494" t="s">
        <v>807</v>
      </c>
      <c r="I238" s="495"/>
      <c r="J238" s="495"/>
      <c r="K238" s="504">
        <v>614.05155000000002</v>
      </c>
      <c r="L238" s="497"/>
      <c r="M238" s="495"/>
      <c r="N238" s="497"/>
      <c r="O238" s="495"/>
      <c r="P238" s="498">
        <v>159235.85</v>
      </c>
      <c r="Q238" s="454"/>
      <c r="R238" s="454"/>
      <c r="S238" s="454"/>
      <c r="T238" s="454"/>
      <c r="U238" s="454"/>
      <c r="V238" s="454"/>
      <c r="W238" s="454"/>
      <c r="X238" s="454"/>
      <c r="Y238" s="454"/>
      <c r="Z238" s="454"/>
      <c r="AA238" s="454"/>
      <c r="AB238" s="456"/>
      <c r="AC238" s="456"/>
      <c r="AD238" s="456"/>
      <c r="AE238" s="456"/>
      <c r="AF238" s="456"/>
      <c r="AG238" s="456"/>
      <c r="AH238" s="456"/>
      <c r="AI238" s="456"/>
      <c r="AJ238" s="456"/>
      <c r="AK238" s="456"/>
      <c r="AL238" s="456"/>
      <c r="AM238" s="456"/>
      <c r="AN238" s="481"/>
      <c r="AO238" s="481"/>
      <c r="AP238" s="481"/>
      <c r="AQ238" s="491"/>
      <c r="AR238" s="456" t="s">
        <v>806</v>
      </c>
      <c r="AS238" s="456"/>
      <c r="AT238" s="456"/>
      <c r="AU238" s="522"/>
      <c r="AV238" s="481"/>
      <c r="AW238" s="456"/>
      <c r="AX238" s="481"/>
      <c r="AY238" s="491"/>
      <c r="AZ238" s="456"/>
      <c r="BA238" s="456"/>
      <c r="BB238" s="481"/>
      <c r="BC238" s="491"/>
      <c r="BD238" s="481"/>
      <c r="BE238" s="481"/>
      <c r="BF238" s="491"/>
      <c r="BG238" s="456"/>
      <c r="BH238" s="456"/>
      <c r="BI238" s="456"/>
      <c r="BJ238" s="456"/>
      <c r="BK238" s="456"/>
      <c r="BL238" s="456"/>
      <c r="BM238" s="456"/>
      <c r="BN238" s="456"/>
      <c r="BO238" s="456"/>
    </row>
    <row r="239" spans="1:67" s="469" customFormat="1" ht="22.5" x14ac:dyDescent="0.25">
      <c r="A239" s="499"/>
      <c r="B239" s="493" t="s">
        <v>808</v>
      </c>
      <c r="C239" s="2697" t="s">
        <v>809</v>
      </c>
      <c r="D239" s="2697"/>
      <c r="E239" s="2697"/>
      <c r="F239" s="2697"/>
      <c r="G239" s="2697"/>
      <c r="H239" s="494" t="s">
        <v>807</v>
      </c>
      <c r="I239" s="500">
        <v>35.9</v>
      </c>
      <c r="J239" s="495" t="s">
        <v>810</v>
      </c>
      <c r="K239" s="504">
        <v>614.05155000000002</v>
      </c>
      <c r="L239" s="501"/>
      <c r="M239" s="564"/>
      <c r="N239" s="502">
        <v>259.32</v>
      </c>
      <c r="O239" s="495"/>
      <c r="P239" s="498">
        <v>159235.85</v>
      </c>
      <c r="Q239" s="503"/>
      <c r="R239" s="503"/>
      <c r="S239" s="454"/>
      <c r="T239" s="454"/>
      <c r="U239" s="454"/>
      <c r="V239" s="454"/>
      <c r="W239" s="454"/>
      <c r="X239" s="454"/>
      <c r="Y239" s="454"/>
      <c r="Z239" s="454"/>
      <c r="AA239" s="454"/>
      <c r="AB239" s="456"/>
      <c r="AC239" s="456"/>
      <c r="AD239" s="456"/>
      <c r="AE239" s="456"/>
      <c r="AF239" s="456"/>
      <c r="AG239" s="456"/>
      <c r="AH239" s="456"/>
      <c r="AI239" s="456"/>
      <c r="AJ239" s="456"/>
      <c r="AK239" s="456"/>
      <c r="AL239" s="456"/>
      <c r="AM239" s="456"/>
      <c r="AN239" s="481"/>
      <c r="AO239" s="481"/>
      <c r="AP239" s="481"/>
      <c r="AQ239" s="491"/>
      <c r="AR239" s="456"/>
      <c r="AS239" s="456" t="s">
        <v>809</v>
      </c>
      <c r="AT239" s="456"/>
      <c r="AU239" s="522"/>
      <c r="AV239" s="481"/>
      <c r="AW239" s="456"/>
      <c r="AX239" s="481"/>
      <c r="AY239" s="491"/>
      <c r="AZ239" s="456"/>
      <c r="BA239" s="456"/>
      <c r="BB239" s="481"/>
      <c r="BC239" s="491"/>
      <c r="BD239" s="481"/>
      <c r="BE239" s="481"/>
      <c r="BF239" s="491"/>
      <c r="BG239" s="456"/>
      <c r="BH239" s="456"/>
      <c r="BI239" s="456"/>
      <c r="BJ239" s="456"/>
      <c r="BK239" s="456"/>
      <c r="BL239" s="456"/>
      <c r="BM239" s="456"/>
      <c r="BN239" s="456"/>
      <c r="BO239" s="456"/>
    </row>
    <row r="240" spans="1:67" s="469" customFormat="1" ht="15" x14ac:dyDescent="0.25">
      <c r="A240" s="492"/>
      <c r="B240" s="493" t="s">
        <v>639</v>
      </c>
      <c r="C240" s="2697" t="s">
        <v>697</v>
      </c>
      <c r="D240" s="2697"/>
      <c r="E240" s="2697"/>
      <c r="F240" s="2697"/>
      <c r="G240" s="2697"/>
      <c r="H240" s="494"/>
      <c r="I240" s="495"/>
      <c r="J240" s="495"/>
      <c r="K240" s="495"/>
      <c r="L240" s="497"/>
      <c r="M240" s="495"/>
      <c r="N240" s="497"/>
      <c r="O240" s="495"/>
      <c r="P240" s="498">
        <v>107443.53</v>
      </c>
      <c r="Q240" s="454"/>
      <c r="R240" s="454"/>
      <c r="S240" s="454"/>
      <c r="T240" s="454"/>
      <c r="U240" s="454"/>
      <c r="V240" s="454"/>
      <c r="W240" s="454"/>
      <c r="X240" s="454"/>
      <c r="Y240" s="454"/>
      <c r="Z240" s="454"/>
      <c r="AA240" s="454"/>
      <c r="AB240" s="456"/>
      <c r="AC240" s="456"/>
      <c r="AD240" s="456"/>
      <c r="AE240" s="456"/>
      <c r="AF240" s="456"/>
      <c r="AG240" s="456"/>
      <c r="AH240" s="456"/>
      <c r="AI240" s="456"/>
      <c r="AJ240" s="456"/>
      <c r="AK240" s="456"/>
      <c r="AL240" s="456"/>
      <c r="AM240" s="456"/>
      <c r="AN240" s="481"/>
      <c r="AO240" s="481"/>
      <c r="AP240" s="481"/>
      <c r="AQ240" s="491"/>
      <c r="AR240" s="456" t="s">
        <v>697</v>
      </c>
      <c r="AS240" s="456"/>
      <c r="AT240" s="456"/>
      <c r="AU240" s="522"/>
      <c r="AV240" s="481"/>
      <c r="AW240" s="456"/>
      <c r="AX240" s="481"/>
      <c r="AY240" s="491"/>
      <c r="AZ240" s="456"/>
      <c r="BA240" s="456"/>
      <c r="BB240" s="481"/>
      <c r="BC240" s="491"/>
      <c r="BD240" s="481"/>
      <c r="BE240" s="481"/>
      <c r="BF240" s="491"/>
      <c r="BG240" s="456"/>
      <c r="BH240" s="456"/>
      <c r="BI240" s="456"/>
      <c r="BJ240" s="456"/>
      <c r="BK240" s="456"/>
      <c r="BL240" s="456"/>
      <c r="BM240" s="456"/>
      <c r="BN240" s="456"/>
      <c r="BO240" s="456"/>
    </row>
    <row r="241" spans="1:67" s="469" customFormat="1" ht="15" x14ac:dyDescent="0.25">
      <c r="A241" s="492"/>
      <c r="B241" s="493"/>
      <c r="C241" s="2697" t="s">
        <v>811</v>
      </c>
      <c r="D241" s="2697"/>
      <c r="E241" s="2697"/>
      <c r="F241" s="2697"/>
      <c r="G241" s="2697"/>
      <c r="H241" s="494" t="s">
        <v>807</v>
      </c>
      <c r="I241" s="495"/>
      <c r="J241" s="495"/>
      <c r="K241" s="504">
        <v>75.601889999999997</v>
      </c>
      <c r="L241" s="497"/>
      <c r="M241" s="495"/>
      <c r="N241" s="497"/>
      <c r="O241" s="495"/>
      <c r="P241" s="498">
        <v>27266.13</v>
      </c>
      <c r="Q241" s="454"/>
      <c r="R241" s="454"/>
      <c r="S241" s="454"/>
      <c r="T241" s="454"/>
      <c r="U241" s="454"/>
      <c r="V241" s="454"/>
      <c r="W241" s="454"/>
      <c r="X241" s="454"/>
      <c r="Y241" s="454"/>
      <c r="Z241" s="454"/>
      <c r="AA241" s="454"/>
      <c r="AB241" s="456"/>
      <c r="AC241" s="456"/>
      <c r="AD241" s="456"/>
      <c r="AE241" s="456"/>
      <c r="AF241" s="456"/>
      <c r="AG241" s="456"/>
      <c r="AH241" s="456"/>
      <c r="AI241" s="456"/>
      <c r="AJ241" s="456"/>
      <c r="AK241" s="456"/>
      <c r="AL241" s="456"/>
      <c r="AM241" s="456"/>
      <c r="AN241" s="481"/>
      <c r="AO241" s="481"/>
      <c r="AP241" s="481"/>
      <c r="AQ241" s="491"/>
      <c r="AR241" s="456" t="s">
        <v>811</v>
      </c>
      <c r="AS241" s="456"/>
      <c r="AT241" s="456"/>
      <c r="AU241" s="522"/>
      <c r="AV241" s="481"/>
      <c r="AW241" s="456"/>
      <c r="AX241" s="481"/>
      <c r="AY241" s="491"/>
      <c r="AZ241" s="456"/>
      <c r="BA241" s="456"/>
      <c r="BB241" s="481"/>
      <c r="BC241" s="491"/>
      <c r="BD241" s="481"/>
      <c r="BE241" s="481"/>
      <c r="BF241" s="491"/>
      <c r="BG241" s="456"/>
      <c r="BH241" s="456"/>
      <c r="BI241" s="456"/>
      <c r="BJ241" s="456"/>
      <c r="BK241" s="456"/>
      <c r="BL241" s="456"/>
      <c r="BM241" s="456"/>
      <c r="BN241" s="456"/>
      <c r="BO241" s="456"/>
    </row>
    <row r="242" spans="1:67" s="469" customFormat="1" ht="22.5" x14ac:dyDescent="0.25">
      <c r="A242" s="499"/>
      <c r="B242" s="493" t="s">
        <v>812</v>
      </c>
      <c r="C242" s="2697" t="s">
        <v>813</v>
      </c>
      <c r="D242" s="2697"/>
      <c r="E242" s="2697"/>
      <c r="F242" s="2697"/>
      <c r="G242" s="2697"/>
      <c r="H242" s="494" t="s">
        <v>814</v>
      </c>
      <c r="I242" s="500">
        <v>0.1</v>
      </c>
      <c r="J242" s="495" t="s">
        <v>810</v>
      </c>
      <c r="K242" s="504">
        <v>1.71045</v>
      </c>
      <c r="L242" s="505">
        <v>1803.79</v>
      </c>
      <c r="M242" s="506">
        <v>1.1399999999999999</v>
      </c>
      <c r="N242" s="502">
        <v>2056.3200000000002</v>
      </c>
      <c r="O242" s="495"/>
      <c r="P242" s="498">
        <v>3517.23</v>
      </c>
      <c r="Q242" s="503"/>
      <c r="R242" s="503"/>
      <c r="S242" s="454"/>
      <c r="T242" s="454"/>
      <c r="U242" s="454"/>
      <c r="V242" s="454"/>
      <c r="W242" s="454"/>
      <c r="X242" s="454"/>
      <c r="Y242" s="454"/>
      <c r="Z242" s="454"/>
      <c r="AA242" s="454"/>
      <c r="AB242" s="456"/>
      <c r="AC242" s="456"/>
      <c r="AD242" s="456"/>
      <c r="AE242" s="456"/>
      <c r="AF242" s="456"/>
      <c r="AG242" s="456"/>
      <c r="AH242" s="456"/>
      <c r="AI242" s="456"/>
      <c r="AJ242" s="456"/>
      <c r="AK242" s="456"/>
      <c r="AL242" s="456"/>
      <c r="AM242" s="456"/>
      <c r="AN242" s="481"/>
      <c r="AO242" s="481"/>
      <c r="AP242" s="481"/>
      <c r="AQ242" s="491"/>
      <c r="AR242" s="456"/>
      <c r="AS242" s="456" t="s">
        <v>813</v>
      </c>
      <c r="AT242" s="456"/>
      <c r="AU242" s="522"/>
      <c r="AV242" s="481"/>
      <c r="AW242" s="456"/>
      <c r="AX242" s="481"/>
      <c r="AY242" s="491"/>
      <c r="AZ242" s="456"/>
      <c r="BA242" s="456"/>
      <c r="BB242" s="481"/>
      <c r="BC242" s="491"/>
      <c r="BD242" s="481"/>
      <c r="BE242" s="481"/>
      <c r="BF242" s="491"/>
      <c r="BG242" s="456"/>
      <c r="BH242" s="456"/>
      <c r="BI242" s="456"/>
      <c r="BJ242" s="456"/>
      <c r="BK242" s="456"/>
      <c r="BL242" s="456"/>
      <c r="BM242" s="456"/>
      <c r="BN242" s="456"/>
      <c r="BO242" s="456"/>
    </row>
    <row r="243" spans="1:67" s="469" customFormat="1" ht="22.5" x14ac:dyDescent="0.25">
      <c r="A243" s="507"/>
      <c r="B243" s="493" t="s">
        <v>815</v>
      </c>
      <c r="C243" s="2697" t="s">
        <v>816</v>
      </c>
      <c r="D243" s="2697"/>
      <c r="E243" s="2697"/>
      <c r="F243" s="2697"/>
      <c r="G243" s="2697"/>
      <c r="H243" s="494" t="s">
        <v>807</v>
      </c>
      <c r="I243" s="500">
        <v>0.1</v>
      </c>
      <c r="J243" s="495" t="s">
        <v>810</v>
      </c>
      <c r="K243" s="504">
        <v>1.71045</v>
      </c>
      <c r="L243" s="497"/>
      <c r="M243" s="495"/>
      <c r="N243" s="508">
        <v>364.66</v>
      </c>
      <c r="O243" s="495"/>
      <c r="P243" s="512">
        <v>623.73</v>
      </c>
      <c r="Q243" s="454"/>
      <c r="R243" s="454"/>
      <c r="S243" s="454"/>
      <c r="T243" s="454"/>
      <c r="U243" s="454"/>
      <c r="V243" s="454"/>
      <c r="W243" s="454"/>
      <c r="X243" s="454"/>
      <c r="Y243" s="454"/>
      <c r="Z243" s="454"/>
      <c r="AA243" s="454"/>
      <c r="AB243" s="456"/>
      <c r="AC243" s="456"/>
      <c r="AD243" s="456"/>
      <c r="AE243" s="456"/>
      <c r="AF243" s="456"/>
      <c r="AG243" s="456"/>
      <c r="AH243" s="456"/>
      <c r="AI243" s="456"/>
      <c r="AJ243" s="456"/>
      <c r="AK243" s="456"/>
      <c r="AL243" s="456"/>
      <c r="AM243" s="456"/>
      <c r="AN243" s="481"/>
      <c r="AO243" s="481"/>
      <c r="AP243" s="481"/>
      <c r="AQ243" s="491"/>
      <c r="AR243" s="456"/>
      <c r="AS243" s="456"/>
      <c r="AT243" s="456" t="s">
        <v>816</v>
      </c>
      <c r="AU243" s="522"/>
      <c r="AV243" s="481"/>
      <c r="AW243" s="456"/>
      <c r="AX243" s="481"/>
      <c r="AY243" s="491"/>
      <c r="AZ243" s="456"/>
      <c r="BA243" s="456"/>
      <c r="BB243" s="481"/>
      <c r="BC243" s="491"/>
      <c r="BD243" s="481"/>
      <c r="BE243" s="481"/>
      <c r="BF243" s="491"/>
      <c r="BG243" s="456"/>
      <c r="BH243" s="456"/>
      <c r="BI243" s="456"/>
      <c r="BJ243" s="456"/>
      <c r="BK243" s="456"/>
      <c r="BL243" s="456"/>
      <c r="BM243" s="456"/>
      <c r="BN243" s="456"/>
      <c r="BO243" s="456"/>
    </row>
    <row r="244" spans="1:67" s="469" customFormat="1" ht="22.5" x14ac:dyDescent="0.25">
      <c r="A244" s="499"/>
      <c r="B244" s="493" t="s">
        <v>817</v>
      </c>
      <c r="C244" s="2697" t="s">
        <v>818</v>
      </c>
      <c r="D244" s="2697"/>
      <c r="E244" s="2697"/>
      <c r="F244" s="2697"/>
      <c r="G244" s="2697"/>
      <c r="H244" s="494" t="s">
        <v>814</v>
      </c>
      <c r="I244" s="509">
        <v>4.13</v>
      </c>
      <c r="J244" s="495" t="s">
        <v>810</v>
      </c>
      <c r="K244" s="528">
        <v>70.641585000000006</v>
      </c>
      <c r="L244" s="501"/>
      <c r="M244" s="564"/>
      <c r="N244" s="502">
        <v>1374.22</v>
      </c>
      <c r="O244" s="495"/>
      <c r="P244" s="498">
        <v>97077.08</v>
      </c>
      <c r="Q244" s="503"/>
      <c r="R244" s="503"/>
      <c r="S244" s="454"/>
      <c r="T244" s="454"/>
      <c r="U244" s="454"/>
      <c r="V244" s="454"/>
      <c r="W244" s="454"/>
      <c r="X244" s="454"/>
      <c r="Y244" s="454"/>
      <c r="Z244" s="454"/>
      <c r="AA244" s="454"/>
      <c r="AB244" s="456"/>
      <c r="AC244" s="456"/>
      <c r="AD244" s="456"/>
      <c r="AE244" s="456"/>
      <c r="AF244" s="456"/>
      <c r="AG244" s="456"/>
      <c r="AH244" s="456"/>
      <c r="AI244" s="456"/>
      <c r="AJ244" s="456"/>
      <c r="AK244" s="456"/>
      <c r="AL244" s="456"/>
      <c r="AM244" s="456"/>
      <c r="AN244" s="481"/>
      <c r="AO244" s="481"/>
      <c r="AP244" s="481"/>
      <c r="AQ244" s="491"/>
      <c r="AR244" s="456"/>
      <c r="AS244" s="456" t="s">
        <v>818</v>
      </c>
      <c r="AT244" s="456"/>
      <c r="AU244" s="522"/>
      <c r="AV244" s="481"/>
      <c r="AW244" s="456"/>
      <c r="AX244" s="481"/>
      <c r="AY244" s="491"/>
      <c r="AZ244" s="456"/>
      <c r="BA244" s="456"/>
      <c r="BB244" s="481"/>
      <c r="BC244" s="491"/>
      <c r="BD244" s="481"/>
      <c r="BE244" s="481"/>
      <c r="BF244" s="491"/>
      <c r="BG244" s="456"/>
      <c r="BH244" s="456"/>
      <c r="BI244" s="456"/>
      <c r="BJ244" s="456"/>
      <c r="BK244" s="456"/>
      <c r="BL244" s="456"/>
      <c r="BM244" s="456"/>
      <c r="BN244" s="456"/>
      <c r="BO244" s="456"/>
    </row>
    <row r="245" spans="1:67" s="469" customFormat="1" ht="22.5" x14ac:dyDescent="0.25">
      <c r="A245" s="507"/>
      <c r="B245" s="493" t="s">
        <v>815</v>
      </c>
      <c r="C245" s="2697" t="s">
        <v>816</v>
      </c>
      <c r="D245" s="2697"/>
      <c r="E245" s="2697"/>
      <c r="F245" s="2697"/>
      <c r="G245" s="2697"/>
      <c r="H245" s="494" t="s">
        <v>807</v>
      </c>
      <c r="I245" s="509">
        <v>4.13</v>
      </c>
      <c r="J245" s="495" t="s">
        <v>810</v>
      </c>
      <c r="K245" s="528">
        <v>70.641585000000006</v>
      </c>
      <c r="L245" s="497"/>
      <c r="M245" s="495"/>
      <c r="N245" s="508">
        <v>364.66</v>
      </c>
      <c r="O245" s="495"/>
      <c r="P245" s="498">
        <v>25760.16</v>
      </c>
      <c r="Q245" s="454"/>
      <c r="R245" s="454"/>
      <c r="S245" s="454"/>
      <c r="T245" s="454"/>
      <c r="U245" s="454"/>
      <c r="V245" s="454"/>
      <c r="W245" s="454"/>
      <c r="X245" s="454"/>
      <c r="Y245" s="454"/>
      <c r="Z245" s="454"/>
      <c r="AA245" s="454"/>
      <c r="AB245" s="456"/>
      <c r="AC245" s="456"/>
      <c r="AD245" s="456"/>
      <c r="AE245" s="456"/>
      <c r="AF245" s="456"/>
      <c r="AG245" s="456"/>
      <c r="AH245" s="456"/>
      <c r="AI245" s="456"/>
      <c r="AJ245" s="456"/>
      <c r="AK245" s="456"/>
      <c r="AL245" s="456"/>
      <c r="AM245" s="456"/>
      <c r="AN245" s="481"/>
      <c r="AO245" s="481"/>
      <c r="AP245" s="481"/>
      <c r="AQ245" s="491"/>
      <c r="AR245" s="456"/>
      <c r="AS245" s="456"/>
      <c r="AT245" s="456" t="s">
        <v>816</v>
      </c>
      <c r="AU245" s="522"/>
      <c r="AV245" s="481"/>
      <c r="AW245" s="456"/>
      <c r="AX245" s="481"/>
      <c r="AY245" s="491"/>
      <c r="AZ245" s="456"/>
      <c r="BA245" s="456"/>
      <c r="BB245" s="481"/>
      <c r="BC245" s="491"/>
      <c r="BD245" s="481"/>
      <c r="BE245" s="481"/>
      <c r="BF245" s="491"/>
      <c r="BG245" s="456"/>
      <c r="BH245" s="456"/>
      <c r="BI245" s="456"/>
      <c r="BJ245" s="456"/>
      <c r="BK245" s="456"/>
      <c r="BL245" s="456"/>
      <c r="BM245" s="456"/>
      <c r="BN245" s="456"/>
      <c r="BO245" s="456"/>
    </row>
    <row r="246" spans="1:67" s="469" customFormat="1" ht="22.5" x14ac:dyDescent="0.25">
      <c r="A246" s="499"/>
      <c r="B246" s="493" t="s">
        <v>819</v>
      </c>
      <c r="C246" s="2697" t="s">
        <v>820</v>
      </c>
      <c r="D246" s="2697"/>
      <c r="E246" s="2697"/>
      <c r="F246" s="2697"/>
      <c r="G246" s="2697"/>
      <c r="H246" s="494" t="s">
        <v>814</v>
      </c>
      <c r="I246" s="509">
        <v>3.17</v>
      </c>
      <c r="J246" s="495" t="s">
        <v>810</v>
      </c>
      <c r="K246" s="528">
        <v>54.221265000000002</v>
      </c>
      <c r="L246" s="510">
        <v>1.75</v>
      </c>
      <c r="M246" s="506">
        <v>1.26</v>
      </c>
      <c r="N246" s="502">
        <v>2.21</v>
      </c>
      <c r="O246" s="495"/>
      <c r="P246" s="498">
        <v>119.83</v>
      </c>
      <c r="Q246" s="503"/>
      <c r="R246" s="503"/>
      <c r="S246" s="454"/>
      <c r="T246" s="454"/>
      <c r="U246" s="454"/>
      <c r="V246" s="454"/>
      <c r="W246" s="454"/>
      <c r="X246" s="454"/>
      <c r="Y246" s="454"/>
      <c r="Z246" s="454"/>
      <c r="AA246" s="454"/>
      <c r="AB246" s="456"/>
      <c r="AC246" s="456"/>
      <c r="AD246" s="456"/>
      <c r="AE246" s="456"/>
      <c r="AF246" s="456"/>
      <c r="AG246" s="456"/>
      <c r="AH246" s="456"/>
      <c r="AI246" s="456"/>
      <c r="AJ246" s="456"/>
      <c r="AK246" s="456"/>
      <c r="AL246" s="456"/>
      <c r="AM246" s="456"/>
      <c r="AN246" s="481"/>
      <c r="AO246" s="481"/>
      <c r="AP246" s="481"/>
      <c r="AQ246" s="491"/>
      <c r="AR246" s="456"/>
      <c r="AS246" s="456" t="s">
        <v>820</v>
      </c>
      <c r="AT246" s="456"/>
      <c r="AU246" s="522"/>
      <c r="AV246" s="481"/>
      <c r="AW246" s="456"/>
      <c r="AX246" s="481"/>
      <c r="AY246" s="491"/>
      <c r="AZ246" s="456"/>
      <c r="BA246" s="456"/>
      <c r="BB246" s="481"/>
      <c r="BC246" s="491"/>
      <c r="BD246" s="481"/>
      <c r="BE246" s="481"/>
      <c r="BF246" s="491"/>
      <c r="BG246" s="456"/>
      <c r="BH246" s="456"/>
      <c r="BI246" s="456"/>
      <c r="BJ246" s="456"/>
      <c r="BK246" s="456"/>
      <c r="BL246" s="456"/>
      <c r="BM246" s="456"/>
      <c r="BN246" s="456"/>
      <c r="BO246" s="456"/>
    </row>
    <row r="247" spans="1:67" s="469" customFormat="1" ht="22.5" x14ac:dyDescent="0.25">
      <c r="A247" s="499"/>
      <c r="B247" s="493" t="s">
        <v>821</v>
      </c>
      <c r="C247" s="2697" t="s">
        <v>822</v>
      </c>
      <c r="D247" s="2697"/>
      <c r="E247" s="2697"/>
      <c r="F247" s="2697"/>
      <c r="G247" s="2697"/>
      <c r="H247" s="494" t="s">
        <v>814</v>
      </c>
      <c r="I247" s="509">
        <v>0.19</v>
      </c>
      <c r="J247" s="495" t="s">
        <v>810</v>
      </c>
      <c r="K247" s="528">
        <v>3.2498550000000002</v>
      </c>
      <c r="L247" s="501"/>
      <c r="M247" s="564"/>
      <c r="N247" s="502">
        <v>535.19000000000005</v>
      </c>
      <c r="O247" s="495"/>
      <c r="P247" s="498">
        <v>1739.29</v>
      </c>
      <c r="Q247" s="503"/>
      <c r="R247" s="503"/>
      <c r="S247" s="454"/>
      <c r="T247" s="454"/>
      <c r="U247" s="454"/>
      <c r="V247" s="454"/>
      <c r="W247" s="454"/>
      <c r="X247" s="454"/>
      <c r="Y247" s="454"/>
      <c r="Z247" s="454"/>
      <c r="AA247" s="454"/>
      <c r="AB247" s="456"/>
      <c r="AC247" s="456"/>
      <c r="AD247" s="456"/>
      <c r="AE247" s="456"/>
      <c r="AF247" s="456"/>
      <c r="AG247" s="456"/>
      <c r="AH247" s="456"/>
      <c r="AI247" s="456"/>
      <c r="AJ247" s="456"/>
      <c r="AK247" s="456"/>
      <c r="AL247" s="456"/>
      <c r="AM247" s="456"/>
      <c r="AN247" s="481"/>
      <c r="AO247" s="481"/>
      <c r="AP247" s="481"/>
      <c r="AQ247" s="491"/>
      <c r="AR247" s="456"/>
      <c r="AS247" s="456" t="s">
        <v>822</v>
      </c>
      <c r="AT247" s="456"/>
      <c r="AU247" s="522"/>
      <c r="AV247" s="481"/>
      <c r="AW247" s="456"/>
      <c r="AX247" s="481"/>
      <c r="AY247" s="491"/>
      <c r="AZ247" s="456"/>
      <c r="BA247" s="456"/>
      <c r="BB247" s="481"/>
      <c r="BC247" s="491"/>
      <c r="BD247" s="481"/>
      <c r="BE247" s="481"/>
      <c r="BF247" s="491"/>
      <c r="BG247" s="456"/>
      <c r="BH247" s="456"/>
      <c r="BI247" s="456"/>
      <c r="BJ247" s="456"/>
      <c r="BK247" s="456"/>
      <c r="BL247" s="456"/>
      <c r="BM247" s="456"/>
      <c r="BN247" s="456"/>
      <c r="BO247" s="456"/>
    </row>
    <row r="248" spans="1:67" s="469" customFormat="1" ht="22.5" x14ac:dyDescent="0.25">
      <c r="A248" s="507"/>
      <c r="B248" s="493" t="s">
        <v>823</v>
      </c>
      <c r="C248" s="2697" t="s">
        <v>824</v>
      </c>
      <c r="D248" s="2697"/>
      <c r="E248" s="2697"/>
      <c r="F248" s="2697"/>
      <c r="G248" s="2697"/>
      <c r="H248" s="494" t="s">
        <v>807</v>
      </c>
      <c r="I248" s="509">
        <v>0.19</v>
      </c>
      <c r="J248" s="495" t="s">
        <v>810</v>
      </c>
      <c r="K248" s="528">
        <v>3.2498550000000002</v>
      </c>
      <c r="L248" s="497"/>
      <c r="M248" s="495"/>
      <c r="N248" s="508">
        <v>271.47000000000003</v>
      </c>
      <c r="O248" s="495"/>
      <c r="P248" s="512">
        <v>882.24</v>
      </c>
      <c r="Q248" s="454"/>
      <c r="R248" s="454"/>
      <c r="S248" s="454"/>
      <c r="T248" s="454"/>
      <c r="U248" s="454"/>
      <c r="V248" s="454"/>
      <c r="W248" s="454"/>
      <c r="X248" s="454"/>
      <c r="Y248" s="454"/>
      <c r="Z248" s="454"/>
      <c r="AA248" s="454"/>
      <c r="AB248" s="456"/>
      <c r="AC248" s="456"/>
      <c r="AD248" s="456"/>
      <c r="AE248" s="456"/>
      <c r="AF248" s="456"/>
      <c r="AG248" s="456"/>
      <c r="AH248" s="456"/>
      <c r="AI248" s="456"/>
      <c r="AJ248" s="456"/>
      <c r="AK248" s="456"/>
      <c r="AL248" s="456"/>
      <c r="AM248" s="456"/>
      <c r="AN248" s="481"/>
      <c r="AO248" s="481"/>
      <c r="AP248" s="481"/>
      <c r="AQ248" s="491"/>
      <c r="AR248" s="456"/>
      <c r="AS248" s="456"/>
      <c r="AT248" s="456" t="s">
        <v>824</v>
      </c>
      <c r="AU248" s="522"/>
      <c r="AV248" s="481"/>
      <c r="AW248" s="456"/>
      <c r="AX248" s="481"/>
      <c r="AY248" s="491"/>
      <c r="AZ248" s="456"/>
      <c r="BA248" s="456"/>
      <c r="BB248" s="481"/>
      <c r="BC248" s="491"/>
      <c r="BD248" s="481"/>
      <c r="BE248" s="481"/>
      <c r="BF248" s="491"/>
      <c r="BG248" s="456"/>
      <c r="BH248" s="456"/>
      <c r="BI248" s="456"/>
      <c r="BJ248" s="456"/>
      <c r="BK248" s="456"/>
      <c r="BL248" s="456"/>
      <c r="BM248" s="456"/>
      <c r="BN248" s="456"/>
      <c r="BO248" s="456"/>
    </row>
    <row r="249" spans="1:67" s="469" customFormat="1" ht="22.5" x14ac:dyDescent="0.25">
      <c r="A249" s="499"/>
      <c r="B249" s="493" t="s">
        <v>825</v>
      </c>
      <c r="C249" s="2697" t="s">
        <v>826</v>
      </c>
      <c r="D249" s="2697"/>
      <c r="E249" s="2697"/>
      <c r="F249" s="2697"/>
      <c r="G249" s="2697"/>
      <c r="H249" s="494" t="s">
        <v>814</v>
      </c>
      <c r="I249" s="509">
        <v>1.63</v>
      </c>
      <c r="J249" s="495" t="s">
        <v>810</v>
      </c>
      <c r="K249" s="528">
        <v>27.880334999999999</v>
      </c>
      <c r="L249" s="510">
        <v>4.3499999999999996</v>
      </c>
      <c r="M249" s="506">
        <v>1.19</v>
      </c>
      <c r="N249" s="502">
        <v>5.18</v>
      </c>
      <c r="O249" s="495"/>
      <c r="P249" s="498">
        <v>144.41999999999999</v>
      </c>
      <c r="Q249" s="503"/>
      <c r="R249" s="503"/>
      <c r="S249" s="454"/>
      <c r="T249" s="454"/>
      <c r="U249" s="454"/>
      <c r="V249" s="454"/>
      <c r="W249" s="454"/>
      <c r="X249" s="454"/>
      <c r="Y249" s="454"/>
      <c r="Z249" s="454"/>
      <c r="AA249" s="454"/>
      <c r="AB249" s="456"/>
      <c r="AC249" s="456"/>
      <c r="AD249" s="456"/>
      <c r="AE249" s="456"/>
      <c r="AF249" s="456"/>
      <c r="AG249" s="456"/>
      <c r="AH249" s="456"/>
      <c r="AI249" s="456"/>
      <c r="AJ249" s="456"/>
      <c r="AK249" s="456"/>
      <c r="AL249" s="456"/>
      <c r="AM249" s="456"/>
      <c r="AN249" s="481"/>
      <c r="AO249" s="481"/>
      <c r="AP249" s="481"/>
      <c r="AQ249" s="491"/>
      <c r="AR249" s="456"/>
      <c r="AS249" s="456" t="s">
        <v>826</v>
      </c>
      <c r="AT249" s="456"/>
      <c r="AU249" s="522"/>
      <c r="AV249" s="481"/>
      <c r="AW249" s="456"/>
      <c r="AX249" s="481"/>
      <c r="AY249" s="491"/>
      <c r="AZ249" s="456"/>
      <c r="BA249" s="456"/>
      <c r="BB249" s="481"/>
      <c r="BC249" s="491"/>
      <c r="BD249" s="481"/>
      <c r="BE249" s="481"/>
      <c r="BF249" s="491"/>
      <c r="BG249" s="456"/>
      <c r="BH249" s="456"/>
      <c r="BI249" s="456"/>
      <c r="BJ249" s="456"/>
      <c r="BK249" s="456"/>
      <c r="BL249" s="456"/>
      <c r="BM249" s="456"/>
      <c r="BN249" s="456"/>
      <c r="BO249" s="456"/>
    </row>
    <row r="250" spans="1:67" s="469" customFormat="1" ht="23.25" x14ac:dyDescent="0.25">
      <c r="A250" s="499"/>
      <c r="B250" s="493" t="s">
        <v>827</v>
      </c>
      <c r="C250" s="2697" t="s">
        <v>828</v>
      </c>
      <c r="D250" s="2697"/>
      <c r="E250" s="2697"/>
      <c r="F250" s="2697"/>
      <c r="G250" s="2697"/>
      <c r="H250" s="494" t="s">
        <v>814</v>
      </c>
      <c r="I250" s="509">
        <v>6.16</v>
      </c>
      <c r="J250" s="495" t="s">
        <v>810</v>
      </c>
      <c r="K250" s="504">
        <v>105.36372</v>
      </c>
      <c r="L250" s="510">
        <v>51.1</v>
      </c>
      <c r="M250" s="511">
        <v>0.9</v>
      </c>
      <c r="N250" s="502">
        <v>45.99</v>
      </c>
      <c r="O250" s="495"/>
      <c r="P250" s="498">
        <v>4845.68</v>
      </c>
      <c r="Q250" s="503"/>
      <c r="R250" s="503"/>
      <c r="S250" s="454"/>
      <c r="T250" s="454"/>
      <c r="U250" s="454"/>
      <c r="V250" s="454"/>
      <c r="W250" s="454"/>
      <c r="X250" s="454"/>
      <c r="Y250" s="454"/>
      <c r="Z250" s="454"/>
      <c r="AA250" s="454"/>
      <c r="AB250" s="456"/>
      <c r="AC250" s="456"/>
      <c r="AD250" s="456"/>
      <c r="AE250" s="456"/>
      <c r="AF250" s="456"/>
      <c r="AG250" s="456"/>
      <c r="AH250" s="456"/>
      <c r="AI250" s="456"/>
      <c r="AJ250" s="456"/>
      <c r="AK250" s="456"/>
      <c r="AL250" s="456"/>
      <c r="AM250" s="456"/>
      <c r="AN250" s="481"/>
      <c r="AO250" s="481"/>
      <c r="AP250" s="481"/>
      <c r="AQ250" s="491"/>
      <c r="AR250" s="456"/>
      <c r="AS250" s="456" t="s">
        <v>828</v>
      </c>
      <c r="AT250" s="456"/>
      <c r="AU250" s="522"/>
      <c r="AV250" s="481"/>
      <c r="AW250" s="456"/>
      <c r="AX250" s="481"/>
      <c r="AY250" s="491"/>
      <c r="AZ250" s="456"/>
      <c r="BA250" s="456"/>
      <c r="BB250" s="481"/>
      <c r="BC250" s="491"/>
      <c r="BD250" s="481"/>
      <c r="BE250" s="481"/>
      <c r="BF250" s="491"/>
      <c r="BG250" s="456"/>
      <c r="BH250" s="456"/>
      <c r="BI250" s="456"/>
      <c r="BJ250" s="456"/>
      <c r="BK250" s="456"/>
      <c r="BL250" s="456"/>
      <c r="BM250" s="456"/>
      <c r="BN250" s="456"/>
      <c r="BO250" s="456"/>
    </row>
    <row r="251" spans="1:67" s="469" customFormat="1" ht="15" x14ac:dyDescent="0.25">
      <c r="A251" s="492"/>
      <c r="B251" s="493" t="s">
        <v>232</v>
      </c>
      <c r="C251" s="2697" t="s">
        <v>829</v>
      </c>
      <c r="D251" s="2697"/>
      <c r="E251" s="2697"/>
      <c r="F251" s="2697"/>
      <c r="G251" s="2697"/>
      <c r="H251" s="494"/>
      <c r="I251" s="495"/>
      <c r="J251" s="495"/>
      <c r="K251" s="495"/>
      <c r="L251" s="497"/>
      <c r="M251" s="495"/>
      <c r="N251" s="497"/>
      <c r="O251" s="495"/>
      <c r="P251" s="512">
        <v>0</v>
      </c>
      <c r="Q251" s="454"/>
      <c r="R251" s="454"/>
      <c r="S251" s="454"/>
      <c r="T251" s="454"/>
      <c r="U251" s="454"/>
      <c r="V251" s="454"/>
      <c r="W251" s="454"/>
      <c r="X251" s="454"/>
      <c r="Y251" s="454"/>
      <c r="Z251" s="454"/>
      <c r="AA251" s="454"/>
      <c r="AB251" s="456"/>
      <c r="AC251" s="456"/>
      <c r="AD251" s="456"/>
      <c r="AE251" s="456"/>
      <c r="AF251" s="456"/>
      <c r="AG251" s="456"/>
      <c r="AH251" s="456"/>
      <c r="AI251" s="456"/>
      <c r="AJ251" s="456"/>
      <c r="AK251" s="456"/>
      <c r="AL251" s="456"/>
      <c r="AM251" s="456"/>
      <c r="AN251" s="481"/>
      <c r="AO251" s="481"/>
      <c r="AP251" s="481"/>
      <c r="AQ251" s="491"/>
      <c r="AR251" s="456" t="s">
        <v>829</v>
      </c>
      <c r="AS251" s="456"/>
      <c r="AT251" s="456"/>
      <c r="AU251" s="522"/>
      <c r="AV251" s="481"/>
      <c r="AW251" s="456"/>
      <c r="AX251" s="481"/>
      <c r="AY251" s="491"/>
      <c r="AZ251" s="456"/>
      <c r="BA251" s="456"/>
      <c r="BB251" s="481"/>
      <c r="BC251" s="491"/>
      <c r="BD251" s="481"/>
      <c r="BE251" s="481"/>
      <c r="BF251" s="491"/>
      <c r="BG251" s="456"/>
      <c r="BH251" s="456"/>
      <c r="BI251" s="456"/>
      <c r="BJ251" s="456"/>
      <c r="BK251" s="456"/>
      <c r="BL251" s="456"/>
      <c r="BM251" s="456"/>
      <c r="BN251" s="456"/>
      <c r="BO251" s="456"/>
    </row>
    <row r="252" spans="1:67" s="469" customFormat="1" ht="15" x14ac:dyDescent="0.25">
      <c r="A252" s="499"/>
      <c r="B252" s="493" t="s">
        <v>830</v>
      </c>
      <c r="C252" s="2697" t="s">
        <v>831</v>
      </c>
      <c r="D252" s="2697"/>
      <c r="E252" s="2697"/>
      <c r="F252" s="2697"/>
      <c r="G252" s="2697"/>
      <c r="H252" s="494" t="s">
        <v>832</v>
      </c>
      <c r="I252" s="509">
        <v>1.37</v>
      </c>
      <c r="J252" s="513">
        <v>0</v>
      </c>
      <c r="K252" s="513">
        <v>0</v>
      </c>
      <c r="L252" s="501"/>
      <c r="M252" s="564"/>
      <c r="N252" s="502">
        <v>114.64</v>
      </c>
      <c r="O252" s="495"/>
      <c r="P252" s="498">
        <v>0</v>
      </c>
      <c r="Q252" s="503"/>
      <c r="R252" s="503"/>
      <c r="S252" s="454"/>
      <c r="T252" s="454"/>
      <c r="U252" s="454"/>
      <c r="V252" s="454"/>
      <c r="W252" s="454"/>
      <c r="X252" s="454"/>
      <c r="Y252" s="454"/>
      <c r="Z252" s="454"/>
      <c r="AA252" s="454"/>
      <c r="AB252" s="456"/>
      <c r="AC252" s="456"/>
      <c r="AD252" s="456"/>
      <c r="AE252" s="456"/>
      <c r="AF252" s="456"/>
      <c r="AG252" s="456"/>
      <c r="AH252" s="456"/>
      <c r="AI252" s="456"/>
      <c r="AJ252" s="456"/>
      <c r="AK252" s="456"/>
      <c r="AL252" s="456"/>
      <c r="AM252" s="456"/>
      <c r="AN252" s="481"/>
      <c r="AO252" s="481"/>
      <c r="AP252" s="481"/>
      <c r="AQ252" s="491"/>
      <c r="AR252" s="456"/>
      <c r="AS252" s="456" t="s">
        <v>831</v>
      </c>
      <c r="AT252" s="456"/>
      <c r="AU252" s="522"/>
      <c r="AV252" s="481"/>
      <c r="AW252" s="456"/>
      <c r="AX252" s="481"/>
      <c r="AY252" s="491"/>
      <c r="AZ252" s="456"/>
      <c r="BA252" s="456"/>
      <c r="BB252" s="481"/>
      <c r="BC252" s="491"/>
      <c r="BD252" s="481"/>
      <c r="BE252" s="481"/>
      <c r="BF252" s="491"/>
      <c r="BG252" s="456"/>
      <c r="BH252" s="456"/>
      <c r="BI252" s="456"/>
      <c r="BJ252" s="456"/>
      <c r="BK252" s="456"/>
      <c r="BL252" s="456"/>
      <c r="BM252" s="456"/>
      <c r="BN252" s="456"/>
      <c r="BO252" s="456"/>
    </row>
    <row r="253" spans="1:67" s="469" customFormat="1" ht="15" x14ac:dyDescent="0.25">
      <c r="A253" s="499"/>
      <c r="B253" s="493" t="s">
        <v>833</v>
      </c>
      <c r="C253" s="2697" t="s">
        <v>834</v>
      </c>
      <c r="D253" s="2697"/>
      <c r="E253" s="2697"/>
      <c r="F253" s="2697"/>
      <c r="G253" s="2697"/>
      <c r="H253" s="494" t="s">
        <v>835</v>
      </c>
      <c r="I253" s="509">
        <v>0.41</v>
      </c>
      <c r="J253" s="513">
        <v>0</v>
      </c>
      <c r="K253" s="513">
        <v>0</v>
      </c>
      <c r="L253" s="510">
        <v>41.38</v>
      </c>
      <c r="M253" s="511">
        <v>1.2</v>
      </c>
      <c r="N253" s="502">
        <v>49.66</v>
      </c>
      <c r="O253" s="495"/>
      <c r="P253" s="498">
        <v>0</v>
      </c>
      <c r="Q253" s="503"/>
      <c r="R253" s="503"/>
      <c r="S253" s="454"/>
      <c r="T253" s="454"/>
      <c r="U253" s="454"/>
      <c r="V253" s="454"/>
      <c r="W253" s="454"/>
      <c r="X253" s="454"/>
      <c r="Y253" s="454"/>
      <c r="Z253" s="454"/>
      <c r="AA253" s="454"/>
      <c r="AB253" s="456"/>
      <c r="AC253" s="456"/>
      <c r="AD253" s="456"/>
      <c r="AE253" s="456"/>
      <c r="AF253" s="456"/>
      <c r="AG253" s="456"/>
      <c r="AH253" s="456"/>
      <c r="AI253" s="456"/>
      <c r="AJ253" s="456"/>
      <c r="AK253" s="456"/>
      <c r="AL253" s="456"/>
      <c r="AM253" s="456"/>
      <c r="AN253" s="481"/>
      <c r="AO253" s="481"/>
      <c r="AP253" s="481"/>
      <c r="AQ253" s="491"/>
      <c r="AR253" s="456"/>
      <c r="AS253" s="456" t="s">
        <v>834</v>
      </c>
      <c r="AT253" s="456"/>
      <c r="AU253" s="522"/>
      <c r="AV253" s="481"/>
      <c r="AW253" s="456"/>
      <c r="AX253" s="481"/>
      <c r="AY253" s="491"/>
      <c r="AZ253" s="456"/>
      <c r="BA253" s="456"/>
      <c r="BB253" s="481"/>
      <c r="BC253" s="491"/>
      <c r="BD253" s="481"/>
      <c r="BE253" s="481"/>
      <c r="BF253" s="491"/>
      <c r="BG253" s="456"/>
      <c r="BH253" s="456"/>
      <c r="BI253" s="456"/>
      <c r="BJ253" s="456"/>
      <c r="BK253" s="456"/>
      <c r="BL253" s="456"/>
      <c r="BM253" s="456"/>
      <c r="BN253" s="456"/>
      <c r="BO253" s="456"/>
    </row>
    <row r="254" spans="1:67" s="469" customFormat="1" ht="15" x14ac:dyDescent="0.25">
      <c r="A254" s="499"/>
      <c r="B254" s="493" t="s">
        <v>836</v>
      </c>
      <c r="C254" s="2697" t="s">
        <v>837</v>
      </c>
      <c r="D254" s="2697"/>
      <c r="E254" s="2697"/>
      <c r="F254" s="2697"/>
      <c r="G254" s="2697"/>
      <c r="H254" s="494" t="s">
        <v>838</v>
      </c>
      <c r="I254" s="514">
        <v>3.2189999999999999</v>
      </c>
      <c r="J254" s="513">
        <v>0</v>
      </c>
      <c r="K254" s="513">
        <v>0</v>
      </c>
      <c r="L254" s="501"/>
      <c r="M254" s="564"/>
      <c r="N254" s="502">
        <v>6.17</v>
      </c>
      <c r="O254" s="495"/>
      <c r="P254" s="498">
        <v>0</v>
      </c>
      <c r="Q254" s="503"/>
      <c r="R254" s="503"/>
      <c r="S254" s="454"/>
      <c r="T254" s="454"/>
      <c r="U254" s="454"/>
      <c r="V254" s="454"/>
      <c r="W254" s="454"/>
      <c r="X254" s="454"/>
      <c r="Y254" s="454"/>
      <c r="Z254" s="454"/>
      <c r="AA254" s="454"/>
      <c r="AB254" s="456"/>
      <c r="AC254" s="456"/>
      <c r="AD254" s="456"/>
      <c r="AE254" s="456"/>
      <c r="AF254" s="456"/>
      <c r="AG254" s="456"/>
      <c r="AH254" s="456"/>
      <c r="AI254" s="456"/>
      <c r="AJ254" s="456"/>
      <c r="AK254" s="456"/>
      <c r="AL254" s="456"/>
      <c r="AM254" s="456"/>
      <c r="AN254" s="481"/>
      <c r="AO254" s="481"/>
      <c r="AP254" s="481"/>
      <c r="AQ254" s="491"/>
      <c r="AR254" s="456"/>
      <c r="AS254" s="456" t="s">
        <v>837</v>
      </c>
      <c r="AT254" s="456"/>
      <c r="AU254" s="522"/>
      <c r="AV254" s="481"/>
      <c r="AW254" s="456"/>
      <c r="AX254" s="481"/>
      <c r="AY254" s="491"/>
      <c r="AZ254" s="456"/>
      <c r="BA254" s="456"/>
      <c r="BB254" s="481"/>
      <c r="BC254" s="491"/>
      <c r="BD254" s="481"/>
      <c r="BE254" s="481"/>
      <c r="BF254" s="491"/>
      <c r="BG254" s="456"/>
      <c r="BH254" s="456"/>
      <c r="BI254" s="456"/>
      <c r="BJ254" s="456"/>
      <c r="BK254" s="456"/>
      <c r="BL254" s="456"/>
      <c r="BM254" s="456"/>
      <c r="BN254" s="456"/>
      <c r="BO254" s="456"/>
    </row>
    <row r="255" spans="1:67" s="469" customFormat="1" ht="23.25" x14ac:dyDescent="0.25">
      <c r="A255" s="499"/>
      <c r="B255" s="493" t="s">
        <v>839</v>
      </c>
      <c r="C255" s="2697" t="s">
        <v>840</v>
      </c>
      <c r="D255" s="2697"/>
      <c r="E255" s="2697"/>
      <c r="F255" s="2697"/>
      <c r="G255" s="2697"/>
      <c r="H255" s="494" t="s">
        <v>835</v>
      </c>
      <c r="I255" s="513">
        <v>4</v>
      </c>
      <c r="J255" s="513">
        <v>0</v>
      </c>
      <c r="K255" s="513">
        <v>0</v>
      </c>
      <c r="L255" s="510">
        <v>142.68</v>
      </c>
      <c r="M255" s="506">
        <v>1.05</v>
      </c>
      <c r="N255" s="502">
        <v>149.81</v>
      </c>
      <c r="O255" s="495"/>
      <c r="P255" s="498">
        <v>0</v>
      </c>
      <c r="Q255" s="503"/>
      <c r="R255" s="503"/>
      <c r="S255" s="454"/>
      <c r="T255" s="454"/>
      <c r="U255" s="454"/>
      <c r="V255" s="454"/>
      <c r="W255" s="454"/>
      <c r="X255" s="454"/>
      <c r="Y255" s="454"/>
      <c r="Z255" s="454"/>
      <c r="AA255" s="454"/>
      <c r="AB255" s="456"/>
      <c r="AC255" s="456"/>
      <c r="AD255" s="456"/>
      <c r="AE255" s="456"/>
      <c r="AF255" s="456"/>
      <c r="AG255" s="456"/>
      <c r="AH255" s="456"/>
      <c r="AI255" s="456"/>
      <c r="AJ255" s="456"/>
      <c r="AK255" s="456"/>
      <c r="AL255" s="456"/>
      <c r="AM255" s="456"/>
      <c r="AN255" s="481"/>
      <c r="AO255" s="481"/>
      <c r="AP255" s="481"/>
      <c r="AQ255" s="491"/>
      <c r="AR255" s="456"/>
      <c r="AS255" s="456" t="s">
        <v>840</v>
      </c>
      <c r="AT255" s="456"/>
      <c r="AU255" s="522"/>
      <c r="AV255" s="481"/>
      <c r="AW255" s="456"/>
      <c r="AX255" s="481"/>
      <c r="AY255" s="491"/>
      <c r="AZ255" s="456"/>
      <c r="BA255" s="456"/>
      <c r="BB255" s="481"/>
      <c r="BC255" s="491"/>
      <c r="BD255" s="481"/>
      <c r="BE255" s="481"/>
      <c r="BF255" s="491"/>
      <c r="BG255" s="456"/>
      <c r="BH255" s="456"/>
      <c r="BI255" s="456"/>
      <c r="BJ255" s="456"/>
      <c r="BK255" s="456"/>
      <c r="BL255" s="456"/>
      <c r="BM255" s="456"/>
      <c r="BN255" s="456"/>
      <c r="BO255" s="456"/>
    </row>
    <row r="256" spans="1:67" s="469" customFormat="1" ht="15" x14ac:dyDescent="0.25">
      <c r="A256" s="499"/>
      <c r="B256" s="493" t="s">
        <v>841</v>
      </c>
      <c r="C256" s="2697" t="s">
        <v>842</v>
      </c>
      <c r="D256" s="2697"/>
      <c r="E256" s="2697"/>
      <c r="F256" s="2697"/>
      <c r="G256" s="2697"/>
      <c r="H256" s="494" t="s">
        <v>801</v>
      </c>
      <c r="I256" s="504">
        <v>1.0000000000000001E-5</v>
      </c>
      <c r="J256" s="513">
        <v>0</v>
      </c>
      <c r="K256" s="513">
        <v>0</v>
      </c>
      <c r="L256" s="505">
        <v>70296.2</v>
      </c>
      <c r="M256" s="506">
        <v>1.17</v>
      </c>
      <c r="N256" s="502">
        <v>82246.55</v>
      </c>
      <c r="O256" s="495"/>
      <c r="P256" s="498">
        <v>0</v>
      </c>
      <c r="Q256" s="503"/>
      <c r="R256" s="503"/>
      <c r="S256" s="454"/>
      <c r="T256" s="454"/>
      <c r="U256" s="454"/>
      <c r="V256" s="454"/>
      <c r="W256" s="454"/>
      <c r="X256" s="454"/>
      <c r="Y256" s="454"/>
      <c r="Z256" s="454"/>
      <c r="AA256" s="454"/>
      <c r="AB256" s="456"/>
      <c r="AC256" s="456"/>
      <c r="AD256" s="456"/>
      <c r="AE256" s="456"/>
      <c r="AF256" s="456"/>
      <c r="AG256" s="456"/>
      <c r="AH256" s="456"/>
      <c r="AI256" s="456"/>
      <c r="AJ256" s="456"/>
      <c r="AK256" s="456"/>
      <c r="AL256" s="456"/>
      <c r="AM256" s="456"/>
      <c r="AN256" s="481"/>
      <c r="AO256" s="481"/>
      <c r="AP256" s="481"/>
      <c r="AQ256" s="491"/>
      <c r="AR256" s="456"/>
      <c r="AS256" s="456" t="s">
        <v>842</v>
      </c>
      <c r="AT256" s="456"/>
      <c r="AU256" s="522"/>
      <c r="AV256" s="481"/>
      <c r="AW256" s="456"/>
      <c r="AX256" s="481"/>
      <c r="AY256" s="491"/>
      <c r="AZ256" s="456"/>
      <c r="BA256" s="456"/>
      <c r="BB256" s="481"/>
      <c r="BC256" s="491"/>
      <c r="BD256" s="481"/>
      <c r="BE256" s="481"/>
      <c r="BF256" s="491"/>
      <c r="BG256" s="456"/>
      <c r="BH256" s="456"/>
      <c r="BI256" s="456"/>
      <c r="BJ256" s="456"/>
      <c r="BK256" s="456"/>
      <c r="BL256" s="456"/>
      <c r="BM256" s="456"/>
      <c r="BN256" s="456"/>
      <c r="BO256" s="456"/>
    </row>
    <row r="257" spans="1:67" s="469" customFormat="1" ht="15" x14ac:dyDescent="0.25">
      <c r="A257" s="499"/>
      <c r="B257" s="493" t="s">
        <v>843</v>
      </c>
      <c r="C257" s="2697" t="s">
        <v>844</v>
      </c>
      <c r="D257" s="2697"/>
      <c r="E257" s="2697"/>
      <c r="F257" s="2697"/>
      <c r="G257" s="2697"/>
      <c r="H257" s="494" t="s">
        <v>801</v>
      </c>
      <c r="I257" s="496">
        <v>1E-4</v>
      </c>
      <c r="J257" s="513">
        <v>0</v>
      </c>
      <c r="K257" s="513">
        <v>0</v>
      </c>
      <c r="L257" s="505">
        <v>231787.35</v>
      </c>
      <c r="M257" s="511">
        <v>1.9</v>
      </c>
      <c r="N257" s="502">
        <v>440395.97</v>
      </c>
      <c r="O257" s="495"/>
      <c r="P257" s="498">
        <v>0</v>
      </c>
      <c r="Q257" s="503"/>
      <c r="R257" s="503"/>
      <c r="S257" s="454"/>
      <c r="T257" s="454"/>
      <c r="U257" s="454"/>
      <c r="V257" s="454"/>
      <c r="W257" s="454"/>
      <c r="X257" s="454"/>
      <c r="Y257" s="454"/>
      <c r="Z257" s="454"/>
      <c r="AA257" s="454"/>
      <c r="AB257" s="456"/>
      <c r="AC257" s="456"/>
      <c r="AD257" s="456"/>
      <c r="AE257" s="456"/>
      <c r="AF257" s="456"/>
      <c r="AG257" s="456"/>
      <c r="AH257" s="456"/>
      <c r="AI257" s="456"/>
      <c r="AJ257" s="456"/>
      <c r="AK257" s="456"/>
      <c r="AL257" s="456"/>
      <c r="AM257" s="456"/>
      <c r="AN257" s="481"/>
      <c r="AO257" s="481"/>
      <c r="AP257" s="481"/>
      <c r="AQ257" s="491"/>
      <c r="AR257" s="456"/>
      <c r="AS257" s="456" t="s">
        <v>844</v>
      </c>
      <c r="AT257" s="456"/>
      <c r="AU257" s="522"/>
      <c r="AV257" s="481"/>
      <c r="AW257" s="456"/>
      <c r="AX257" s="481"/>
      <c r="AY257" s="491"/>
      <c r="AZ257" s="456"/>
      <c r="BA257" s="456"/>
      <c r="BB257" s="481"/>
      <c r="BC257" s="491"/>
      <c r="BD257" s="481"/>
      <c r="BE257" s="481"/>
      <c r="BF257" s="491"/>
      <c r="BG257" s="456"/>
      <c r="BH257" s="456"/>
      <c r="BI257" s="456"/>
      <c r="BJ257" s="456"/>
      <c r="BK257" s="456"/>
      <c r="BL257" s="456"/>
      <c r="BM257" s="456"/>
      <c r="BN257" s="456"/>
      <c r="BO257" s="456"/>
    </row>
    <row r="258" spans="1:67" s="469" customFormat="1" ht="23.25" x14ac:dyDescent="0.25">
      <c r="A258" s="499"/>
      <c r="B258" s="493" t="s">
        <v>845</v>
      </c>
      <c r="C258" s="2697" t="s">
        <v>846</v>
      </c>
      <c r="D258" s="2697"/>
      <c r="E258" s="2697"/>
      <c r="F258" s="2697"/>
      <c r="G258" s="2697"/>
      <c r="H258" s="494" t="s">
        <v>801</v>
      </c>
      <c r="I258" s="514">
        <v>1E-3</v>
      </c>
      <c r="J258" s="513">
        <v>0</v>
      </c>
      <c r="K258" s="513">
        <v>0</v>
      </c>
      <c r="L258" s="505">
        <v>105278.81</v>
      </c>
      <c r="M258" s="506">
        <v>1.1599999999999999</v>
      </c>
      <c r="N258" s="502">
        <v>122123.42</v>
      </c>
      <c r="O258" s="495"/>
      <c r="P258" s="498">
        <v>0</v>
      </c>
      <c r="Q258" s="503"/>
      <c r="R258" s="503"/>
      <c r="S258" s="454"/>
      <c r="T258" s="454"/>
      <c r="U258" s="454"/>
      <c r="V258" s="454"/>
      <c r="W258" s="454"/>
      <c r="X258" s="454"/>
      <c r="Y258" s="454"/>
      <c r="Z258" s="454"/>
      <c r="AA258" s="454"/>
      <c r="AB258" s="456"/>
      <c r="AC258" s="456"/>
      <c r="AD258" s="456"/>
      <c r="AE258" s="456"/>
      <c r="AF258" s="456"/>
      <c r="AG258" s="456"/>
      <c r="AH258" s="456"/>
      <c r="AI258" s="456"/>
      <c r="AJ258" s="456"/>
      <c r="AK258" s="456"/>
      <c r="AL258" s="456"/>
      <c r="AM258" s="456"/>
      <c r="AN258" s="481"/>
      <c r="AO258" s="481"/>
      <c r="AP258" s="481"/>
      <c r="AQ258" s="491"/>
      <c r="AR258" s="456"/>
      <c r="AS258" s="456" t="s">
        <v>846</v>
      </c>
      <c r="AT258" s="456"/>
      <c r="AU258" s="522"/>
      <c r="AV258" s="481"/>
      <c r="AW258" s="456"/>
      <c r="AX258" s="481"/>
      <c r="AY258" s="491"/>
      <c r="AZ258" s="456"/>
      <c r="BA258" s="456"/>
      <c r="BB258" s="481"/>
      <c r="BC258" s="491"/>
      <c r="BD258" s="481"/>
      <c r="BE258" s="481"/>
      <c r="BF258" s="491"/>
      <c r="BG258" s="456"/>
      <c r="BH258" s="456"/>
      <c r="BI258" s="456"/>
      <c r="BJ258" s="456"/>
      <c r="BK258" s="456"/>
      <c r="BL258" s="456"/>
      <c r="BM258" s="456"/>
      <c r="BN258" s="456"/>
      <c r="BO258" s="456"/>
    </row>
    <row r="259" spans="1:67" s="469" customFormat="1" ht="34.5" x14ac:dyDescent="0.25">
      <c r="A259" s="499"/>
      <c r="B259" s="493" t="s">
        <v>847</v>
      </c>
      <c r="C259" s="2697" t="s">
        <v>848</v>
      </c>
      <c r="D259" s="2697"/>
      <c r="E259" s="2697"/>
      <c r="F259" s="2697"/>
      <c r="G259" s="2697"/>
      <c r="H259" s="494" t="s">
        <v>849</v>
      </c>
      <c r="I259" s="496">
        <v>1.8700000000000001E-2</v>
      </c>
      <c r="J259" s="513">
        <v>0</v>
      </c>
      <c r="K259" s="513">
        <v>0</v>
      </c>
      <c r="L259" s="510">
        <v>307.83999999999997</v>
      </c>
      <c r="M259" s="506">
        <v>1.03</v>
      </c>
      <c r="N259" s="502">
        <v>317.08</v>
      </c>
      <c r="O259" s="495"/>
      <c r="P259" s="498">
        <v>0</v>
      </c>
      <c r="Q259" s="503"/>
      <c r="R259" s="503"/>
      <c r="S259" s="454"/>
      <c r="T259" s="454"/>
      <c r="U259" s="454"/>
      <c r="V259" s="454"/>
      <c r="W259" s="454"/>
      <c r="X259" s="454"/>
      <c r="Y259" s="454"/>
      <c r="Z259" s="454"/>
      <c r="AA259" s="454"/>
      <c r="AB259" s="456"/>
      <c r="AC259" s="456"/>
      <c r="AD259" s="456"/>
      <c r="AE259" s="456"/>
      <c r="AF259" s="456"/>
      <c r="AG259" s="456"/>
      <c r="AH259" s="456"/>
      <c r="AI259" s="456"/>
      <c r="AJ259" s="456"/>
      <c r="AK259" s="456"/>
      <c r="AL259" s="456"/>
      <c r="AM259" s="456"/>
      <c r="AN259" s="481"/>
      <c r="AO259" s="481"/>
      <c r="AP259" s="481"/>
      <c r="AQ259" s="491"/>
      <c r="AR259" s="456"/>
      <c r="AS259" s="456" t="s">
        <v>848</v>
      </c>
      <c r="AT259" s="456"/>
      <c r="AU259" s="522"/>
      <c r="AV259" s="481"/>
      <c r="AW259" s="456"/>
      <c r="AX259" s="481"/>
      <c r="AY259" s="491"/>
      <c r="AZ259" s="456"/>
      <c r="BA259" s="456"/>
      <c r="BB259" s="481"/>
      <c r="BC259" s="491"/>
      <c r="BD259" s="481"/>
      <c r="BE259" s="481"/>
      <c r="BF259" s="491"/>
      <c r="BG259" s="456"/>
      <c r="BH259" s="456"/>
      <c r="BI259" s="456"/>
      <c r="BJ259" s="456"/>
      <c r="BK259" s="456"/>
      <c r="BL259" s="456"/>
      <c r="BM259" s="456"/>
      <c r="BN259" s="456"/>
      <c r="BO259" s="456"/>
    </row>
    <row r="260" spans="1:67" s="469" customFormat="1" ht="15" x14ac:dyDescent="0.25">
      <c r="A260" s="499"/>
      <c r="B260" s="493" t="s">
        <v>850</v>
      </c>
      <c r="C260" s="2697" t="s">
        <v>851</v>
      </c>
      <c r="D260" s="2697"/>
      <c r="E260" s="2697"/>
      <c r="F260" s="2697"/>
      <c r="G260" s="2697"/>
      <c r="H260" s="494" t="s">
        <v>801</v>
      </c>
      <c r="I260" s="504">
        <v>3.0000000000000001E-5</v>
      </c>
      <c r="J260" s="513">
        <v>0</v>
      </c>
      <c r="K260" s="513">
        <v>0</v>
      </c>
      <c r="L260" s="505">
        <v>60258.2</v>
      </c>
      <c r="M260" s="506">
        <v>1.19</v>
      </c>
      <c r="N260" s="502">
        <v>71707.259999999995</v>
      </c>
      <c r="O260" s="495"/>
      <c r="P260" s="498">
        <v>0</v>
      </c>
      <c r="Q260" s="503"/>
      <c r="R260" s="503"/>
      <c r="S260" s="454"/>
      <c r="T260" s="454"/>
      <c r="U260" s="454"/>
      <c r="V260" s="454"/>
      <c r="W260" s="454"/>
      <c r="X260" s="454"/>
      <c r="Y260" s="454"/>
      <c r="Z260" s="454"/>
      <c r="AA260" s="454"/>
      <c r="AB260" s="456"/>
      <c r="AC260" s="456"/>
      <c r="AD260" s="456"/>
      <c r="AE260" s="456"/>
      <c r="AF260" s="456"/>
      <c r="AG260" s="456"/>
      <c r="AH260" s="456"/>
      <c r="AI260" s="456"/>
      <c r="AJ260" s="456"/>
      <c r="AK260" s="456"/>
      <c r="AL260" s="456"/>
      <c r="AM260" s="456"/>
      <c r="AN260" s="481"/>
      <c r="AO260" s="481"/>
      <c r="AP260" s="481"/>
      <c r="AQ260" s="491"/>
      <c r="AR260" s="456"/>
      <c r="AS260" s="456" t="s">
        <v>851</v>
      </c>
      <c r="AT260" s="456"/>
      <c r="AU260" s="522"/>
      <c r="AV260" s="481"/>
      <c r="AW260" s="456"/>
      <c r="AX260" s="481"/>
      <c r="AY260" s="491"/>
      <c r="AZ260" s="456"/>
      <c r="BA260" s="456"/>
      <c r="BB260" s="481"/>
      <c r="BC260" s="491"/>
      <c r="BD260" s="481"/>
      <c r="BE260" s="481"/>
      <c r="BF260" s="491"/>
      <c r="BG260" s="456"/>
      <c r="BH260" s="456"/>
      <c r="BI260" s="456"/>
      <c r="BJ260" s="456"/>
      <c r="BK260" s="456"/>
      <c r="BL260" s="456"/>
      <c r="BM260" s="456"/>
      <c r="BN260" s="456"/>
      <c r="BO260" s="456"/>
    </row>
    <row r="261" spans="1:67" s="469" customFormat="1" ht="23.25" x14ac:dyDescent="0.25">
      <c r="A261" s="499"/>
      <c r="B261" s="493" t="s">
        <v>852</v>
      </c>
      <c r="C261" s="2697" t="s">
        <v>853</v>
      </c>
      <c r="D261" s="2697"/>
      <c r="E261" s="2697"/>
      <c r="F261" s="2697"/>
      <c r="G261" s="2697"/>
      <c r="H261" s="494" t="s">
        <v>801</v>
      </c>
      <c r="I261" s="504">
        <v>1.9400000000000001E-3</v>
      </c>
      <c r="J261" s="513">
        <v>0</v>
      </c>
      <c r="K261" s="513">
        <v>0</v>
      </c>
      <c r="L261" s="505">
        <v>136760</v>
      </c>
      <c r="M261" s="506">
        <v>1.05</v>
      </c>
      <c r="N261" s="502">
        <v>143598</v>
      </c>
      <c r="O261" s="495"/>
      <c r="P261" s="498">
        <v>0</v>
      </c>
      <c r="Q261" s="503"/>
      <c r="R261" s="503"/>
      <c r="S261" s="454"/>
      <c r="T261" s="454"/>
      <c r="U261" s="454"/>
      <c r="V261" s="454"/>
      <c r="W261" s="454"/>
      <c r="X261" s="454"/>
      <c r="Y261" s="454"/>
      <c r="Z261" s="454"/>
      <c r="AA261" s="454"/>
      <c r="AB261" s="456"/>
      <c r="AC261" s="456"/>
      <c r="AD261" s="456"/>
      <c r="AE261" s="456"/>
      <c r="AF261" s="456"/>
      <c r="AG261" s="456"/>
      <c r="AH261" s="456"/>
      <c r="AI261" s="456"/>
      <c r="AJ261" s="456"/>
      <c r="AK261" s="456"/>
      <c r="AL261" s="456"/>
      <c r="AM261" s="456"/>
      <c r="AN261" s="481"/>
      <c r="AO261" s="481"/>
      <c r="AP261" s="481"/>
      <c r="AQ261" s="491"/>
      <c r="AR261" s="456"/>
      <c r="AS261" s="456" t="s">
        <v>853</v>
      </c>
      <c r="AT261" s="456"/>
      <c r="AU261" s="522"/>
      <c r="AV261" s="481"/>
      <c r="AW261" s="456"/>
      <c r="AX261" s="481"/>
      <c r="AY261" s="491"/>
      <c r="AZ261" s="456"/>
      <c r="BA261" s="456"/>
      <c r="BB261" s="481"/>
      <c r="BC261" s="491"/>
      <c r="BD261" s="481"/>
      <c r="BE261" s="481"/>
      <c r="BF261" s="491"/>
      <c r="BG261" s="456"/>
      <c r="BH261" s="456"/>
      <c r="BI261" s="456"/>
      <c r="BJ261" s="456"/>
      <c r="BK261" s="456"/>
      <c r="BL261" s="456"/>
      <c r="BM261" s="456"/>
      <c r="BN261" s="456"/>
      <c r="BO261" s="456"/>
    </row>
    <row r="262" spans="1:67" s="469" customFormat="1" ht="34.5" x14ac:dyDescent="0.25">
      <c r="A262" s="499"/>
      <c r="B262" s="493" t="s">
        <v>854</v>
      </c>
      <c r="C262" s="2697" t="s">
        <v>855</v>
      </c>
      <c r="D262" s="2697"/>
      <c r="E262" s="2697"/>
      <c r="F262" s="2697"/>
      <c r="G262" s="2697"/>
      <c r="H262" s="494" t="s">
        <v>832</v>
      </c>
      <c r="I262" s="504">
        <v>1.0300000000000001E-3</v>
      </c>
      <c r="J262" s="513">
        <v>0</v>
      </c>
      <c r="K262" s="513">
        <v>0</v>
      </c>
      <c r="L262" s="505">
        <v>16496.03</v>
      </c>
      <c r="M262" s="506">
        <v>0.86</v>
      </c>
      <c r="N262" s="502">
        <v>14186.59</v>
      </c>
      <c r="O262" s="495"/>
      <c r="P262" s="498">
        <v>0</v>
      </c>
      <c r="Q262" s="503"/>
      <c r="R262" s="503"/>
      <c r="S262" s="454"/>
      <c r="T262" s="454"/>
      <c r="U262" s="454"/>
      <c r="V262" s="454"/>
      <c r="W262" s="454"/>
      <c r="X262" s="454"/>
      <c r="Y262" s="454"/>
      <c r="Z262" s="454"/>
      <c r="AA262" s="454"/>
      <c r="AB262" s="456"/>
      <c r="AC262" s="456"/>
      <c r="AD262" s="456"/>
      <c r="AE262" s="456"/>
      <c r="AF262" s="456"/>
      <c r="AG262" s="456"/>
      <c r="AH262" s="456"/>
      <c r="AI262" s="456"/>
      <c r="AJ262" s="456"/>
      <c r="AK262" s="456"/>
      <c r="AL262" s="456"/>
      <c r="AM262" s="456"/>
      <c r="AN262" s="481"/>
      <c r="AO262" s="481"/>
      <c r="AP262" s="481"/>
      <c r="AQ262" s="491"/>
      <c r="AR262" s="456"/>
      <c r="AS262" s="456" t="s">
        <v>855</v>
      </c>
      <c r="AT262" s="456"/>
      <c r="AU262" s="522"/>
      <c r="AV262" s="481"/>
      <c r="AW262" s="456"/>
      <c r="AX262" s="481"/>
      <c r="AY262" s="491"/>
      <c r="AZ262" s="456"/>
      <c r="BA262" s="456"/>
      <c r="BB262" s="481"/>
      <c r="BC262" s="491"/>
      <c r="BD262" s="481"/>
      <c r="BE262" s="481"/>
      <c r="BF262" s="491"/>
      <c r="BG262" s="456"/>
      <c r="BH262" s="456"/>
      <c r="BI262" s="456"/>
      <c r="BJ262" s="456"/>
      <c r="BK262" s="456"/>
      <c r="BL262" s="456"/>
      <c r="BM262" s="456"/>
      <c r="BN262" s="456"/>
      <c r="BO262" s="456"/>
    </row>
    <row r="263" spans="1:67" s="469" customFormat="1" ht="15" x14ac:dyDescent="0.25">
      <c r="A263" s="499"/>
      <c r="B263" s="493" t="s">
        <v>856</v>
      </c>
      <c r="C263" s="2697" t="s">
        <v>857</v>
      </c>
      <c r="D263" s="2697"/>
      <c r="E263" s="2697"/>
      <c r="F263" s="2697"/>
      <c r="G263" s="2697"/>
      <c r="H263" s="494" t="s">
        <v>801</v>
      </c>
      <c r="I263" s="504">
        <v>3.1E-4</v>
      </c>
      <c r="J263" s="513">
        <v>0</v>
      </c>
      <c r="K263" s="513">
        <v>0</v>
      </c>
      <c r="L263" s="505">
        <v>51280.15</v>
      </c>
      <c r="M263" s="506">
        <v>1.71</v>
      </c>
      <c r="N263" s="502">
        <v>87689.06</v>
      </c>
      <c r="O263" s="495"/>
      <c r="P263" s="498">
        <v>0</v>
      </c>
      <c r="Q263" s="503"/>
      <c r="R263" s="503"/>
      <c r="S263" s="454"/>
      <c r="T263" s="454"/>
      <c r="U263" s="454"/>
      <c r="V263" s="454"/>
      <c r="W263" s="454"/>
      <c r="X263" s="454"/>
      <c r="Y263" s="454"/>
      <c r="Z263" s="454"/>
      <c r="AA263" s="454"/>
      <c r="AB263" s="456"/>
      <c r="AC263" s="456"/>
      <c r="AD263" s="456"/>
      <c r="AE263" s="456"/>
      <c r="AF263" s="456"/>
      <c r="AG263" s="456"/>
      <c r="AH263" s="456"/>
      <c r="AI263" s="456"/>
      <c r="AJ263" s="456"/>
      <c r="AK263" s="456"/>
      <c r="AL263" s="456"/>
      <c r="AM263" s="456"/>
      <c r="AN263" s="481"/>
      <c r="AO263" s="481"/>
      <c r="AP263" s="481"/>
      <c r="AQ263" s="491"/>
      <c r="AR263" s="456"/>
      <c r="AS263" s="456" t="s">
        <v>857</v>
      </c>
      <c r="AT263" s="456"/>
      <c r="AU263" s="522"/>
      <c r="AV263" s="481"/>
      <c r="AW263" s="456"/>
      <c r="AX263" s="481"/>
      <c r="AY263" s="491"/>
      <c r="AZ263" s="456"/>
      <c r="BA263" s="456"/>
      <c r="BB263" s="481"/>
      <c r="BC263" s="491"/>
      <c r="BD263" s="481"/>
      <c r="BE263" s="481"/>
      <c r="BF263" s="491"/>
      <c r="BG263" s="456"/>
      <c r="BH263" s="456"/>
      <c r="BI263" s="456"/>
      <c r="BJ263" s="456"/>
      <c r="BK263" s="456"/>
      <c r="BL263" s="456"/>
      <c r="BM263" s="456"/>
      <c r="BN263" s="456"/>
      <c r="BO263" s="456"/>
    </row>
    <row r="264" spans="1:67" s="469" customFormat="1" ht="15" x14ac:dyDescent="0.25">
      <c r="A264" s="499"/>
      <c r="B264" s="493" t="s">
        <v>858</v>
      </c>
      <c r="C264" s="2697" t="s">
        <v>859</v>
      </c>
      <c r="D264" s="2697"/>
      <c r="E264" s="2697"/>
      <c r="F264" s="2697"/>
      <c r="G264" s="2697"/>
      <c r="H264" s="494" t="s">
        <v>801</v>
      </c>
      <c r="I264" s="496">
        <v>5.9999999999999995E-4</v>
      </c>
      <c r="J264" s="513">
        <v>0</v>
      </c>
      <c r="K264" s="513">
        <v>0</v>
      </c>
      <c r="L264" s="505">
        <v>98526.45</v>
      </c>
      <c r="M264" s="506">
        <v>1.1599999999999999</v>
      </c>
      <c r="N264" s="502">
        <v>114290.68</v>
      </c>
      <c r="O264" s="495"/>
      <c r="P264" s="498">
        <v>0</v>
      </c>
      <c r="Q264" s="503"/>
      <c r="R264" s="503"/>
      <c r="S264" s="454"/>
      <c r="T264" s="454"/>
      <c r="U264" s="454"/>
      <c r="V264" s="454"/>
      <c r="W264" s="454"/>
      <c r="X264" s="454"/>
      <c r="Y264" s="454"/>
      <c r="Z264" s="454"/>
      <c r="AA264" s="454"/>
      <c r="AB264" s="456"/>
      <c r="AC264" s="456"/>
      <c r="AD264" s="456"/>
      <c r="AE264" s="456"/>
      <c r="AF264" s="456"/>
      <c r="AG264" s="456"/>
      <c r="AH264" s="456"/>
      <c r="AI264" s="456"/>
      <c r="AJ264" s="456"/>
      <c r="AK264" s="456"/>
      <c r="AL264" s="456"/>
      <c r="AM264" s="456"/>
      <c r="AN264" s="481"/>
      <c r="AO264" s="481"/>
      <c r="AP264" s="481"/>
      <c r="AQ264" s="491"/>
      <c r="AR264" s="456"/>
      <c r="AS264" s="456" t="s">
        <v>859</v>
      </c>
      <c r="AT264" s="456"/>
      <c r="AU264" s="522"/>
      <c r="AV264" s="481"/>
      <c r="AW264" s="456"/>
      <c r="AX264" s="481"/>
      <c r="AY264" s="491"/>
      <c r="AZ264" s="456"/>
      <c r="BA264" s="456"/>
      <c r="BB264" s="481"/>
      <c r="BC264" s="491"/>
      <c r="BD264" s="481"/>
      <c r="BE264" s="481"/>
      <c r="BF264" s="491"/>
      <c r="BG264" s="456"/>
      <c r="BH264" s="456"/>
      <c r="BI264" s="456"/>
      <c r="BJ264" s="456"/>
      <c r="BK264" s="456"/>
      <c r="BL264" s="456"/>
      <c r="BM264" s="456"/>
      <c r="BN264" s="456"/>
      <c r="BO264" s="456"/>
    </row>
    <row r="265" spans="1:67" s="469" customFormat="1" ht="15" x14ac:dyDescent="0.25">
      <c r="A265" s="515" t="s">
        <v>860</v>
      </c>
      <c r="B265" s="516" t="s">
        <v>861</v>
      </c>
      <c r="C265" s="2751" t="s">
        <v>862</v>
      </c>
      <c r="D265" s="2751"/>
      <c r="E265" s="2751"/>
      <c r="F265" s="2751"/>
      <c r="G265" s="2751"/>
      <c r="H265" s="517" t="s">
        <v>835</v>
      </c>
      <c r="I265" s="518">
        <v>0</v>
      </c>
      <c r="J265" s="518">
        <v>0</v>
      </c>
      <c r="K265" s="518">
        <v>0</v>
      </c>
      <c r="L265" s="519"/>
      <c r="M265" s="520"/>
      <c r="N265" s="519"/>
      <c r="O265" s="520"/>
      <c r="P265" s="521"/>
      <c r="Q265" s="454"/>
      <c r="R265" s="454"/>
      <c r="S265" s="454"/>
      <c r="T265" s="454"/>
      <c r="U265" s="454"/>
      <c r="V265" s="454"/>
      <c r="W265" s="454"/>
      <c r="X265" s="454"/>
      <c r="Y265" s="454"/>
      <c r="Z265" s="454"/>
      <c r="AA265" s="454"/>
      <c r="AB265" s="456"/>
      <c r="AC265" s="456"/>
      <c r="AD265" s="456"/>
      <c r="AE265" s="456"/>
      <c r="AF265" s="456"/>
      <c r="AG265" s="456"/>
      <c r="AH265" s="456"/>
      <c r="AI265" s="456"/>
      <c r="AJ265" s="456"/>
      <c r="AK265" s="456"/>
      <c r="AL265" s="456"/>
      <c r="AM265" s="456"/>
      <c r="AN265" s="481"/>
      <c r="AO265" s="481"/>
      <c r="AP265" s="481"/>
      <c r="AQ265" s="491"/>
      <c r="AR265" s="456"/>
      <c r="AS265" s="456"/>
      <c r="AT265" s="456"/>
      <c r="AU265" s="522" t="s">
        <v>862</v>
      </c>
      <c r="AV265" s="481"/>
      <c r="AW265" s="456"/>
      <c r="AX265" s="481"/>
      <c r="AY265" s="491"/>
      <c r="AZ265" s="456"/>
      <c r="BA265" s="456"/>
      <c r="BB265" s="481"/>
      <c r="BC265" s="491"/>
      <c r="BD265" s="481"/>
      <c r="BE265" s="481"/>
      <c r="BF265" s="491"/>
      <c r="BG265" s="456"/>
      <c r="BH265" s="456"/>
      <c r="BI265" s="456"/>
      <c r="BJ265" s="456"/>
      <c r="BK265" s="456"/>
      <c r="BL265" s="456"/>
      <c r="BM265" s="456"/>
      <c r="BN265" s="456"/>
      <c r="BO265" s="456"/>
    </row>
    <row r="266" spans="1:67" s="469" customFormat="1" ht="15" x14ac:dyDescent="0.25">
      <c r="A266" s="515" t="s">
        <v>863</v>
      </c>
      <c r="B266" s="516" t="s">
        <v>864</v>
      </c>
      <c r="C266" s="2751" t="s">
        <v>865</v>
      </c>
      <c r="D266" s="2751"/>
      <c r="E266" s="2751"/>
      <c r="F266" s="2751"/>
      <c r="G266" s="2751"/>
      <c r="H266" s="517" t="s">
        <v>801</v>
      </c>
      <c r="I266" s="518">
        <v>1</v>
      </c>
      <c r="J266" s="518">
        <v>0</v>
      </c>
      <c r="K266" s="518">
        <v>0</v>
      </c>
      <c r="L266" s="519"/>
      <c r="M266" s="520"/>
      <c r="N266" s="519"/>
      <c r="O266" s="520"/>
      <c r="P266" s="521"/>
      <c r="Q266" s="454"/>
      <c r="R266" s="454"/>
      <c r="S266" s="454"/>
      <c r="T266" s="454"/>
      <c r="U266" s="454"/>
      <c r="V266" s="454"/>
      <c r="W266" s="454"/>
      <c r="X266" s="454"/>
      <c r="Y266" s="454"/>
      <c r="Z266" s="454"/>
      <c r="AA266" s="454"/>
      <c r="AB266" s="456"/>
      <c r="AC266" s="456"/>
      <c r="AD266" s="456"/>
      <c r="AE266" s="456"/>
      <c r="AF266" s="456"/>
      <c r="AG266" s="456"/>
      <c r="AH266" s="456"/>
      <c r="AI266" s="456"/>
      <c r="AJ266" s="456"/>
      <c r="AK266" s="456"/>
      <c r="AL266" s="456"/>
      <c r="AM266" s="456"/>
      <c r="AN266" s="481"/>
      <c r="AO266" s="481"/>
      <c r="AP266" s="481"/>
      <c r="AQ266" s="491"/>
      <c r="AR266" s="456"/>
      <c r="AS266" s="456"/>
      <c r="AT266" s="456"/>
      <c r="AU266" s="522" t="s">
        <v>865</v>
      </c>
      <c r="AV266" s="481"/>
      <c r="AW266" s="456"/>
      <c r="AX266" s="481"/>
      <c r="AY266" s="491"/>
      <c r="AZ266" s="456"/>
      <c r="BA266" s="456"/>
      <c r="BB266" s="481"/>
      <c r="BC266" s="491"/>
      <c r="BD266" s="481"/>
      <c r="BE266" s="481"/>
      <c r="BF266" s="491"/>
      <c r="BG266" s="456"/>
      <c r="BH266" s="456"/>
      <c r="BI266" s="456"/>
      <c r="BJ266" s="456"/>
      <c r="BK266" s="456"/>
      <c r="BL266" s="456"/>
      <c r="BM266" s="456"/>
      <c r="BN266" s="456"/>
      <c r="BO266" s="456"/>
    </row>
    <row r="267" spans="1:67" s="469" customFormat="1" ht="15" x14ac:dyDescent="0.25">
      <c r="A267" s="523"/>
      <c r="B267" s="490"/>
      <c r="C267" s="2722" t="s">
        <v>866</v>
      </c>
      <c r="D267" s="2722"/>
      <c r="E267" s="2722"/>
      <c r="F267" s="2722"/>
      <c r="G267" s="2722"/>
      <c r="H267" s="483"/>
      <c r="I267" s="484"/>
      <c r="J267" s="484"/>
      <c r="K267" s="484"/>
      <c r="L267" s="487"/>
      <c r="M267" s="484"/>
      <c r="N267" s="524"/>
      <c r="O267" s="484"/>
      <c r="P267" s="525">
        <v>293945.51</v>
      </c>
      <c r="Q267" s="503"/>
      <c r="R267" s="503"/>
      <c r="S267" s="454"/>
      <c r="T267" s="454"/>
      <c r="U267" s="454"/>
      <c r="V267" s="454"/>
      <c r="W267" s="454"/>
      <c r="X267" s="454"/>
      <c r="Y267" s="454"/>
      <c r="Z267" s="454"/>
      <c r="AA267" s="454"/>
      <c r="AB267" s="456"/>
      <c r="AC267" s="456"/>
      <c r="AD267" s="456"/>
      <c r="AE267" s="456"/>
      <c r="AF267" s="456"/>
      <c r="AG267" s="456"/>
      <c r="AH267" s="456"/>
      <c r="AI267" s="456"/>
      <c r="AJ267" s="456"/>
      <c r="AK267" s="456"/>
      <c r="AL267" s="456"/>
      <c r="AM267" s="456"/>
      <c r="AN267" s="481"/>
      <c r="AO267" s="481"/>
      <c r="AP267" s="481"/>
      <c r="AQ267" s="491"/>
      <c r="AR267" s="456"/>
      <c r="AS267" s="456"/>
      <c r="AT267" s="456"/>
      <c r="AU267" s="522"/>
      <c r="AV267" s="481" t="s">
        <v>866</v>
      </c>
      <c r="AW267" s="456"/>
      <c r="AX267" s="481"/>
      <c r="AY267" s="491"/>
      <c r="AZ267" s="456"/>
      <c r="BA267" s="456"/>
      <c r="BB267" s="481"/>
      <c r="BC267" s="491"/>
      <c r="BD267" s="481"/>
      <c r="BE267" s="481"/>
      <c r="BF267" s="491"/>
      <c r="BG267" s="456"/>
      <c r="BH267" s="456"/>
      <c r="BI267" s="456"/>
      <c r="BJ267" s="456"/>
      <c r="BK267" s="456"/>
      <c r="BL267" s="456"/>
      <c r="BM267" s="456"/>
      <c r="BN267" s="456"/>
      <c r="BO267" s="456"/>
    </row>
    <row r="268" spans="1:67" s="469" customFormat="1" ht="15" x14ac:dyDescent="0.25">
      <c r="A268" s="507"/>
      <c r="B268" s="493"/>
      <c r="C268" s="2697" t="s">
        <v>867</v>
      </c>
      <c r="D268" s="2697"/>
      <c r="E268" s="2697"/>
      <c r="F268" s="2697"/>
      <c r="G268" s="2697"/>
      <c r="H268" s="494"/>
      <c r="I268" s="495"/>
      <c r="J268" s="495"/>
      <c r="K268" s="495"/>
      <c r="L268" s="497"/>
      <c r="M268" s="495"/>
      <c r="N268" s="497"/>
      <c r="O268" s="495"/>
      <c r="P268" s="498">
        <v>186501.98</v>
      </c>
      <c r="Q268" s="454"/>
      <c r="R268" s="454"/>
      <c r="S268" s="454"/>
      <c r="T268" s="454"/>
      <c r="U268" s="454"/>
      <c r="V268" s="454"/>
      <c r="W268" s="454"/>
      <c r="X268" s="454"/>
      <c r="Y268" s="454"/>
      <c r="Z268" s="454"/>
      <c r="AA268" s="454"/>
      <c r="AB268" s="456"/>
      <c r="AC268" s="456"/>
      <c r="AD268" s="456"/>
      <c r="AE268" s="456"/>
      <c r="AF268" s="456"/>
      <c r="AG268" s="456"/>
      <c r="AH268" s="456"/>
      <c r="AI268" s="456"/>
      <c r="AJ268" s="456"/>
      <c r="AK268" s="456"/>
      <c r="AL268" s="456"/>
      <c r="AM268" s="456"/>
      <c r="AN268" s="481"/>
      <c r="AO268" s="481"/>
      <c r="AP268" s="481"/>
      <c r="AQ268" s="491"/>
      <c r="AR268" s="456"/>
      <c r="AS268" s="456"/>
      <c r="AT268" s="456"/>
      <c r="AU268" s="522"/>
      <c r="AV268" s="481"/>
      <c r="AW268" s="456" t="s">
        <v>867</v>
      </c>
      <c r="AX268" s="481"/>
      <c r="AY268" s="491"/>
      <c r="AZ268" s="456"/>
      <c r="BA268" s="456"/>
      <c r="BB268" s="481"/>
      <c r="BC268" s="491"/>
      <c r="BD268" s="481"/>
      <c r="BE268" s="481"/>
      <c r="BF268" s="491"/>
      <c r="BG268" s="456"/>
      <c r="BH268" s="456"/>
      <c r="BI268" s="456"/>
      <c r="BJ268" s="456"/>
      <c r="BK268" s="456"/>
      <c r="BL268" s="456"/>
      <c r="BM268" s="456"/>
      <c r="BN268" s="456"/>
      <c r="BO268" s="456"/>
    </row>
    <row r="269" spans="1:67" s="469" customFormat="1" ht="15" x14ac:dyDescent="0.25">
      <c r="A269" s="507"/>
      <c r="B269" s="493" t="s">
        <v>868</v>
      </c>
      <c r="C269" s="2697" t="s">
        <v>869</v>
      </c>
      <c r="D269" s="2697"/>
      <c r="E269" s="2697"/>
      <c r="F269" s="2697"/>
      <c r="G269" s="2697"/>
      <c r="H269" s="494" t="s">
        <v>636</v>
      </c>
      <c r="I269" s="513">
        <v>93</v>
      </c>
      <c r="J269" s="495"/>
      <c r="K269" s="513">
        <v>93</v>
      </c>
      <c r="L269" s="497"/>
      <c r="M269" s="495"/>
      <c r="N269" s="497"/>
      <c r="O269" s="495"/>
      <c r="P269" s="498">
        <v>173446.84</v>
      </c>
      <c r="Q269" s="454"/>
      <c r="R269" s="454"/>
      <c r="S269" s="454"/>
      <c r="T269" s="454"/>
      <c r="U269" s="454"/>
      <c r="V269" s="454"/>
      <c r="W269" s="454"/>
      <c r="X269" s="454"/>
      <c r="Y269" s="454"/>
      <c r="Z269" s="454"/>
      <c r="AA269" s="454"/>
      <c r="AB269" s="456"/>
      <c r="AC269" s="456"/>
      <c r="AD269" s="456"/>
      <c r="AE269" s="456"/>
      <c r="AF269" s="456"/>
      <c r="AG269" s="456"/>
      <c r="AH269" s="456"/>
      <c r="AI269" s="456"/>
      <c r="AJ269" s="456"/>
      <c r="AK269" s="456"/>
      <c r="AL269" s="456"/>
      <c r="AM269" s="456"/>
      <c r="AN269" s="481"/>
      <c r="AO269" s="481"/>
      <c r="AP269" s="481"/>
      <c r="AQ269" s="491"/>
      <c r="AR269" s="456"/>
      <c r="AS269" s="456"/>
      <c r="AT269" s="456"/>
      <c r="AU269" s="522"/>
      <c r="AV269" s="481"/>
      <c r="AW269" s="456" t="s">
        <v>869</v>
      </c>
      <c r="AX269" s="481"/>
      <c r="AY269" s="491"/>
      <c r="AZ269" s="456"/>
      <c r="BA269" s="456"/>
      <c r="BB269" s="481"/>
      <c r="BC269" s="491"/>
      <c r="BD269" s="481"/>
      <c r="BE269" s="481"/>
      <c r="BF269" s="491"/>
      <c r="BG269" s="456"/>
      <c r="BH269" s="456"/>
      <c r="BI269" s="456"/>
      <c r="BJ269" s="456"/>
      <c r="BK269" s="456"/>
      <c r="BL269" s="456"/>
      <c r="BM269" s="456"/>
      <c r="BN269" s="456"/>
      <c r="BO269" s="456"/>
    </row>
    <row r="270" spans="1:67" s="469" customFormat="1" ht="22.5" x14ac:dyDescent="0.25">
      <c r="A270" s="507"/>
      <c r="B270" s="493" t="s">
        <v>870</v>
      </c>
      <c r="C270" s="2697" t="s">
        <v>871</v>
      </c>
      <c r="D270" s="2697"/>
      <c r="E270" s="2697"/>
      <c r="F270" s="2697"/>
      <c r="G270" s="2697"/>
      <c r="H270" s="494" t="s">
        <v>636</v>
      </c>
      <c r="I270" s="513">
        <v>62</v>
      </c>
      <c r="J270" s="509">
        <v>0.85</v>
      </c>
      <c r="K270" s="500">
        <v>52.7</v>
      </c>
      <c r="L270" s="497"/>
      <c r="M270" s="495"/>
      <c r="N270" s="497"/>
      <c r="O270" s="495"/>
      <c r="P270" s="498">
        <v>98286.54</v>
      </c>
      <c r="Q270" s="454"/>
      <c r="R270" s="454"/>
      <c r="S270" s="454"/>
      <c r="T270" s="454"/>
      <c r="U270" s="454"/>
      <c r="V270" s="454"/>
      <c r="W270" s="454"/>
      <c r="X270" s="454"/>
      <c r="Y270" s="454"/>
      <c r="Z270" s="454"/>
      <c r="AA270" s="454"/>
      <c r="AB270" s="456"/>
      <c r="AC270" s="456"/>
      <c r="AD270" s="456"/>
      <c r="AE270" s="456"/>
      <c r="AF270" s="456"/>
      <c r="AG270" s="456"/>
      <c r="AH270" s="456"/>
      <c r="AI270" s="456"/>
      <c r="AJ270" s="456"/>
      <c r="AK270" s="456"/>
      <c r="AL270" s="456"/>
      <c r="AM270" s="456"/>
      <c r="AN270" s="481"/>
      <c r="AO270" s="481"/>
      <c r="AP270" s="481"/>
      <c r="AQ270" s="491"/>
      <c r="AR270" s="456"/>
      <c r="AS270" s="456"/>
      <c r="AT270" s="456"/>
      <c r="AU270" s="522"/>
      <c r="AV270" s="481"/>
      <c r="AW270" s="456" t="s">
        <v>871</v>
      </c>
      <c r="AX270" s="481"/>
      <c r="AY270" s="491"/>
      <c r="AZ270" s="456"/>
      <c r="BA270" s="456"/>
      <c r="BB270" s="481"/>
      <c r="BC270" s="491"/>
      <c r="BD270" s="481"/>
      <c r="BE270" s="481"/>
      <c r="BF270" s="491"/>
      <c r="BG270" s="456"/>
      <c r="BH270" s="456"/>
      <c r="BI270" s="456"/>
      <c r="BJ270" s="456"/>
      <c r="BK270" s="456"/>
      <c r="BL270" s="456"/>
      <c r="BM270" s="456"/>
      <c r="BN270" s="456"/>
      <c r="BO270" s="456"/>
    </row>
    <row r="271" spans="1:67" s="469" customFormat="1" ht="15" x14ac:dyDescent="0.25">
      <c r="A271" s="526"/>
      <c r="B271" s="567"/>
      <c r="C271" s="2722" t="s">
        <v>872</v>
      </c>
      <c r="D271" s="2722"/>
      <c r="E271" s="2722"/>
      <c r="F271" s="2722"/>
      <c r="G271" s="2722"/>
      <c r="H271" s="483"/>
      <c r="I271" s="484"/>
      <c r="J271" s="484"/>
      <c r="K271" s="484"/>
      <c r="L271" s="487"/>
      <c r="M271" s="484"/>
      <c r="N271" s="524">
        <v>31252.98</v>
      </c>
      <c r="O271" s="484"/>
      <c r="P271" s="525">
        <v>565678.89</v>
      </c>
      <c r="Q271" s="454"/>
      <c r="R271" s="454"/>
      <c r="S271" s="454"/>
      <c r="T271" s="454"/>
      <c r="U271" s="454"/>
      <c r="V271" s="454"/>
      <c r="W271" s="454"/>
      <c r="X271" s="454"/>
      <c r="Y271" s="454"/>
      <c r="Z271" s="454"/>
      <c r="AA271" s="454"/>
      <c r="AB271" s="456"/>
      <c r="AC271" s="456"/>
      <c r="AD271" s="456"/>
      <c r="AE271" s="456"/>
      <c r="AF271" s="456"/>
      <c r="AG271" s="456"/>
      <c r="AH271" s="456"/>
      <c r="AI271" s="456"/>
      <c r="AJ271" s="456"/>
      <c r="AK271" s="456"/>
      <c r="AL271" s="456"/>
      <c r="AM271" s="456"/>
      <c r="AN271" s="481"/>
      <c r="AO271" s="481"/>
      <c r="AP271" s="481"/>
      <c r="AQ271" s="491"/>
      <c r="AR271" s="456"/>
      <c r="AS271" s="456"/>
      <c r="AT271" s="456"/>
      <c r="AU271" s="522"/>
      <c r="AV271" s="481"/>
      <c r="AW271" s="456"/>
      <c r="AX271" s="481" t="s">
        <v>872</v>
      </c>
      <c r="AY271" s="491"/>
      <c r="AZ271" s="456"/>
      <c r="BA271" s="456"/>
      <c r="BB271" s="481"/>
      <c r="BC271" s="491"/>
      <c r="BD271" s="481"/>
      <c r="BE271" s="481"/>
      <c r="BF271" s="491"/>
      <c r="BG271" s="456"/>
      <c r="BH271" s="456"/>
      <c r="BI271" s="456"/>
      <c r="BJ271" s="456"/>
      <c r="BK271" s="456"/>
      <c r="BL271" s="456"/>
      <c r="BM271" s="456"/>
      <c r="BN271" s="456"/>
      <c r="BO271" s="456"/>
    </row>
    <row r="272" spans="1:67" s="469" customFormat="1" ht="68.25" x14ac:dyDescent="0.25">
      <c r="A272" s="482" t="s">
        <v>652</v>
      </c>
      <c r="B272" s="568" t="s">
        <v>873</v>
      </c>
      <c r="C272" s="2746" t="s">
        <v>874</v>
      </c>
      <c r="D272" s="2746"/>
      <c r="E272" s="2746"/>
      <c r="F272" s="2746"/>
      <c r="G272" s="2746"/>
      <c r="H272" s="483" t="s">
        <v>801</v>
      </c>
      <c r="I272" s="484">
        <v>18.100000000000001</v>
      </c>
      <c r="J272" s="485">
        <v>1</v>
      </c>
      <c r="K272" s="486">
        <v>18.100000000000001</v>
      </c>
      <c r="L272" s="487"/>
      <c r="M272" s="484"/>
      <c r="N272" s="527">
        <v>653.6</v>
      </c>
      <c r="O272" s="484"/>
      <c r="P272" s="525">
        <v>11830.16</v>
      </c>
      <c r="Q272" s="454"/>
      <c r="R272" s="454"/>
      <c r="S272" s="454"/>
      <c r="T272" s="454"/>
      <c r="U272" s="454"/>
      <c r="V272" s="454"/>
      <c r="W272" s="454"/>
      <c r="X272" s="454"/>
      <c r="Y272" s="454"/>
      <c r="Z272" s="454"/>
      <c r="AA272" s="454"/>
      <c r="AB272" s="456"/>
      <c r="AC272" s="456"/>
      <c r="AD272" s="456"/>
      <c r="AE272" s="456"/>
      <c r="AF272" s="456"/>
      <c r="AG272" s="456"/>
      <c r="AH272" s="456"/>
      <c r="AI272" s="456"/>
      <c r="AJ272" s="456"/>
      <c r="AK272" s="456"/>
      <c r="AL272" s="456"/>
      <c r="AM272" s="456"/>
      <c r="AN272" s="481"/>
      <c r="AO272" s="481"/>
      <c r="AP272" s="481" t="s">
        <v>874</v>
      </c>
      <c r="AQ272" s="491"/>
      <c r="AR272" s="456"/>
      <c r="AS272" s="456"/>
      <c r="AT272" s="456"/>
      <c r="AU272" s="522"/>
      <c r="AV272" s="481"/>
      <c r="AW272" s="456"/>
      <c r="AX272" s="481"/>
      <c r="AY272" s="491"/>
      <c r="AZ272" s="456"/>
      <c r="BA272" s="456"/>
      <c r="BB272" s="481"/>
      <c r="BC272" s="491"/>
      <c r="BD272" s="481"/>
      <c r="BE272" s="481"/>
      <c r="BF272" s="491"/>
      <c r="BG272" s="456"/>
      <c r="BH272" s="456"/>
      <c r="BI272" s="456"/>
      <c r="BJ272" s="456"/>
      <c r="BK272" s="456"/>
      <c r="BL272" s="456"/>
      <c r="BM272" s="456"/>
      <c r="BN272" s="456"/>
      <c r="BO272" s="456"/>
    </row>
    <row r="273" spans="1:67" s="469" customFormat="1" ht="15" x14ac:dyDescent="0.25">
      <c r="A273" s="526"/>
      <c r="B273" s="567"/>
      <c r="C273" s="2669" t="s">
        <v>875</v>
      </c>
      <c r="D273" s="2669"/>
      <c r="E273" s="2669"/>
      <c r="F273" s="2669"/>
      <c r="G273" s="2669"/>
      <c r="H273" s="2669"/>
      <c r="I273" s="2669"/>
      <c r="J273" s="2669"/>
      <c r="K273" s="2669"/>
      <c r="L273" s="2669"/>
      <c r="M273" s="2669"/>
      <c r="N273" s="2669"/>
      <c r="O273" s="2669"/>
      <c r="P273" s="2730"/>
      <c r="Q273" s="454"/>
      <c r="R273" s="454"/>
      <c r="S273" s="454"/>
      <c r="T273" s="454"/>
      <c r="U273" s="454"/>
      <c r="V273" s="454"/>
      <c r="W273" s="454"/>
      <c r="X273" s="454"/>
      <c r="Y273" s="454"/>
      <c r="Z273" s="454"/>
      <c r="AA273" s="454"/>
      <c r="AB273" s="456"/>
      <c r="AC273" s="456"/>
      <c r="AD273" s="456"/>
      <c r="AE273" s="456"/>
      <c r="AF273" s="456"/>
      <c r="AG273" s="456"/>
      <c r="AH273" s="456"/>
      <c r="AI273" s="456"/>
      <c r="AJ273" s="456"/>
      <c r="AK273" s="456"/>
      <c r="AL273" s="456"/>
      <c r="AM273" s="456"/>
      <c r="AN273" s="481"/>
      <c r="AO273" s="481"/>
      <c r="AP273" s="481"/>
      <c r="AQ273" s="491"/>
      <c r="AR273" s="456"/>
      <c r="AS273" s="456"/>
      <c r="AT273" s="456"/>
      <c r="AU273" s="522"/>
      <c r="AV273" s="481"/>
      <c r="AW273" s="456"/>
      <c r="AX273" s="481"/>
      <c r="AY273" s="491" t="s">
        <v>875</v>
      </c>
      <c r="AZ273" s="456"/>
      <c r="BA273" s="456"/>
      <c r="BB273" s="481"/>
      <c r="BC273" s="491"/>
      <c r="BD273" s="481"/>
      <c r="BE273" s="481"/>
      <c r="BF273" s="491"/>
      <c r="BG273" s="456"/>
      <c r="BH273" s="456"/>
      <c r="BI273" s="456"/>
      <c r="BJ273" s="456"/>
      <c r="BK273" s="456"/>
      <c r="BL273" s="456"/>
      <c r="BM273" s="456"/>
      <c r="BN273" s="456"/>
      <c r="BO273" s="456"/>
    </row>
    <row r="274" spans="1:67" s="469" customFormat="1" ht="15" x14ac:dyDescent="0.25">
      <c r="A274" s="526"/>
      <c r="B274" s="567"/>
      <c r="C274" s="2722" t="s">
        <v>872</v>
      </c>
      <c r="D274" s="2722"/>
      <c r="E274" s="2722"/>
      <c r="F274" s="2722"/>
      <c r="G274" s="2722"/>
      <c r="H274" s="483"/>
      <c r="I274" s="484"/>
      <c r="J274" s="484"/>
      <c r="K274" s="484"/>
      <c r="L274" s="487"/>
      <c r="M274" s="484"/>
      <c r="N274" s="487"/>
      <c r="O274" s="484"/>
      <c r="P274" s="525">
        <v>11830.16</v>
      </c>
      <c r="Q274" s="454"/>
      <c r="R274" s="454"/>
      <c r="S274" s="454"/>
      <c r="T274" s="454"/>
      <c r="U274" s="454"/>
      <c r="V274" s="454"/>
      <c r="W274" s="454"/>
      <c r="X274" s="454"/>
      <c r="Y274" s="454"/>
      <c r="Z274" s="454"/>
      <c r="AA274" s="454"/>
      <c r="AB274" s="456"/>
      <c r="AC274" s="456"/>
      <c r="AD274" s="456"/>
      <c r="AE274" s="456"/>
      <c r="AF274" s="456"/>
      <c r="AG274" s="456"/>
      <c r="AH274" s="456"/>
      <c r="AI274" s="456"/>
      <c r="AJ274" s="456"/>
      <c r="AK274" s="456"/>
      <c r="AL274" s="456"/>
      <c r="AM274" s="456"/>
      <c r="AN274" s="481"/>
      <c r="AO274" s="481"/>
      <c r="AP274" s="481"/>
      <c r="AQ274" s="491"/>
      <c r="AR274" s="456"/>
      <c r="AS274" s="456"/>
      <c r="AT274" s="456"/>
      <c r="AU274" s="522"/>
      <c r="AV274" s="481"/>
      <c r="AW274" s="456"/>
      <c r="AX274" s="481" t="s">
        <v>872</v>
      </c>
      <c r="AY274" s="491"/>
      <c r="AZ274" s="456"/>
      <c r="BA274" s="456"/>
      <c r="BB274" s="481"/>
      <c r="BC274" s="491"/>
      <c r="BD274" s="481"/>
      <c r="BE274" s="481"/>
      <c r="BF274" s="491"/>
      <c r="BG274" s="456"/>
      <c r="BH274" s="456"/>
      <c r="BI274" s="456"/>
      <c r="BJ274" s="456"/>
      <c r="BK274" s="456"/>
      <c r="BL274" s="456"/>
      <c r="BM274" s="456"/>
      <c r="BN274" s="456"/>
      <c r="BO274" s="456"/>
    </row>
    <row r="275" spans="1:67" s="469" customFormat="1" ht="23.25" x14ac:dyDescent="0.25">
      <c r="A275" s="482" t="s">
        <v>653</v>
      </c>
      <c r="B275" s="568" t="s">
        <v>799</v>
      </c>
      <c r="C275" s="2746" t="s">
        <v>876</v>
      </c>
      <c r="D275" s="2746"/>
      <c r="E275" s="2746"/>
      <c r="F275" s="2746"/>
      <c r="G275" s="2746"/>
      <c r="H275" s="483" t="s">
        <v>801</v>
      </c>
      <c r="I275" s="484">
        <v>18.100000000000001</v>
      </c>
      <c r="J275" s="485">
        <v>1</v>
      </c>
      <c r="K275" s="486">
        <v>18.100000000000001</v>
      </c>
      <c r="L275" s="487"/>
      <c r="M275" s="484"/>
      <c r="N275" s="487"/>
      <c r="O275" s="484"/>
      <c r="P275" s="488"/>
      <c r="Q275" s="454"/>
      <c r="R275" s="454"/>
      <c r="S275" s="454"/>
      <c r="T275" s="454"/>
      <c r="U275" s="454"/>
      <c r="V275" s="454"/>
      <c r="W275" s="454"/>
      <c r="X275" s="454"/>
      <c r="Y275" s="454"/>
      <c r="Z275" s="454"/>
      <c r="AA275" s="454"/>
      <c r="AB275" s="456"/>
      <c r="AC275" s="456"/>
      <c r="AD275" s="456"/>
      <c r="AE275" s="456"/>
      <c r="AF275" s="456"/>
      <c r="AG275" s="456"/>
      <c r="AH275" s="456"/>
      <c r="AI275" s="456"/>
      <c r="AJ275" s="456"/>
      <c r="AK275" s="456"/>
      <c r="AL275" s="456"/>
      <c r="AM275" s="456"/>
      <c r="AN275" s="481"/>
      <c r="AO275" s="481"/>
      <c r="AP275" s="481" t="s">
        <v>876</v>
      </c>
      <c r="AQ275" s="491"/>
      <c r="AR275" s="456"/>
      <c r="AS275" s="456"/>
      <c r="AT275" s="456"/>
      <c r="AU275" s="522"/>
      <c r="AV275" s="481"/>
      <c r="AW275" s="456"/>
      <c r="AX275" s="481"/>
      <c r="AY275" s="491"/>
      <c r="AZ275" s="456"/>
      <c r="BA275" s="456"/>
      <c r="BB275" s="481"/>
      <c r="BC275" s="491"/>
      <c r="BD275" s="481"/>
      <c r="BE275" s="481"/>
      <c r="BF275" s="491"/>
      <c r="BG275" s="456"/>
      <c r="BH275" s="456"/>
      <c r="BI275" s="456"/>
      <c r="BJ275" s="456"/>
      <c r="BK275" s="456"/>
      <c r="BL275" s="456"/>
      <c r="BM275" s="456"/>
      <c r="BN275" s="456"/>
      <c r="BO275" s="456"/>
    </row>
    <row r="276" spans="1:67" s="469" customFormat="1" ht="23.25" x14ac:dyDescent="0.25">
      <c r="A276" s="489"/>
      <c r="B276" s="490" t="s">
        <v>877</v>
      </c>
      <c r="C276" s="2709" t="s">
        <v>878</v>
      </c>
      <c r="D276" s="2709"/>
      <c r="E276" s="2709"/>
      <c r="F276" s="2709"/>
      <c r="G276" s="2709"/>
      <c r="H276" s="2709"/>
      <c r="I276" s="2709"/>
      <c r="J276" s="2709"/>
      <c r="K276" s="2709"/>
      <c r="L276" s="2709"/>
      <c r="M276" s="2709"/>
      <c r="N276" s="2709"/>
      <c r="O276" s="2709"/>
      <c r="P276" s="2710"/>
      <c r="Q276" s="454"/>
      <c r="R276" s="454"/>
      <c r="S276" s="454"/>
      <c r="T276" s="454"/>
      <c r="U276" s="454"/>
      <c r="V276" s="454"/>
      <c r="W276" s="454"/>
      <c r="X276" s="454"/>
      <c r="Y276" s="454"/>
      <c r="Z276" s="454"/>
      <c r="AA276" s="454"/>
      <c r="AB276" s="456"/>
      <c r="AC276" s="456"/>
      <c r="AD276" s="456"/>
      <c r="AE276" s="456"/>
      <c r="AF276" s="456"/>
      <c r="AG276" s="456"/>
      <c r="AH276" s="456"/>
      <c r="AI276" s="456"/>
      <c r="AJ276" s="456"/>
      <c r="AK276" s="456"/>
      <c r="AL276" s="456"/>
      <c r="AM276" s="456"/>
      <c r="AN276" s="481"/>
      <c r="AO276" s="481"/>
      <c r="AP276" s="481"/>
      <c r="AQ276" s="491" t="s">
        <v>878</v>
      </c>
      <c r="AR276" s="456"/>
      <c r="AS276" s="456"/>
      <c r="AT276" s="456"/>
      <c r="AU276" s="522"/>
      <c r="AV276" s="481"/>
      <c r="AW276" s="456"/>
      <c r="AX276" s="481"/>
      <c r="AY276" s="491"/>
      <c r="AZ276" s="456"/>
      <c r="BA276" s="456"/>
      <c r="BB276" s="481"/>
      <c r="BC276" s="491"/>
      <c r="BD276" s="481"/>
      <c r="BE276" s="481"/>
      <c r="BF276" s="491"/>
      <c r="BG276" s="456"/>
      <c r="BH276" s="456"/>
      <c r="BI276" s="456"/>
      <c r="BJ276" s="456"/>
      <c r="BK276" s="456"/>
      <c r="BL276" s="456"/>
      <c r="BM276" s="456"/>
      <c r="BN276" s="456"/>
      <c r="BO276" s="456"/>
    </row>
    <row r="277" spans="1:67" s="469" customFormat="1" ht="33.75" x14ac:dyDescent="0.25">
      <c r="A277" s="489"/>
      <c r="B277" s="490" t="s">
        <v>804</v>
      </c>
      <c r="C277" s="2709" t="s">
        <v>805</v>
      </c>
      <c r="D277" s="2709"/>
      <c r="E277" s="2709"/>
      <c r="F277" s="2709"/>
      <c r="G277" s="2709"/>
      <c r="H277" s="2709"/>
      <c r="I277" s="2709"/>
      <c r="J277" s="2709"/>
      <c r="K277" s="2709"/>
      <c r="L277" s="2709"/>
      <c r="M277" s="2709"/>
      <c r="N277" s="2709"/>
      <c r="O277" s="2709"/>
      <c r="P277" s="2710"/>
      <c r="Q277" s="454"/>
      <c r="R277" s="454"/>
      <c r="S277" s="454"/>
      <c r="T277" s="454"/>
      <c r="U277" s="454"/>
      <c r="V277" s="454"/>
      <c r="W277" s="454"/>
      <c r="X277" s="454"/>
      <c r="Y277" s="454"/>
      <c r="Z277" s="454"/>
      <c r="AA277" s="454"/>
      <c r="AB277" s="456"/>
      <c r="AC277" s="456"/>
      <c r="AD277" s="456"/>
      <c r="AE277" s="456"/>
      <c r="AF277" s="456"/>
      <c r="AG277" s="456"/>
      <c r="AH277" s="456"/>
      <c r="AI277" s="456"/>
      <c r="AJ277" s="456"/>
      <c r="AK277" s="456"/>
      <c r="AL277" s="456"/>
      <c r="AM277" s="456"/>
      <c r="AN277" s="481"/>
      <c r="AO277" s="481"/>
      <c r="AP277" s="481"/>
      <c r="AQ277" s="491" t="s">
        <v>805</v>
      </c>
      <c r="AR277" s="456"/>
      <c r="AS277" s="456"/>
      <c r="AT277" s="456"/>
      <c r="AU277" s="522"/>
      <c r="AV277" s="481"/>
      <c r="AW277" s="456"/>
      <c r="AX277" s="481"/>
      <c r="AY277" s="491"/>
      <c r="AZ277" s="456"/>
      <c r="BA277" s="456"/>
      <c r="BB277" s="481"/>
      <c r="BC277" s="491"/>
      <c r="BD277" s="481"/>
      <c r="BE277" s="481"/>
      <c r="BF277" s="491"/>
      <c r="BG277" s="456"/>
      <c r="BH277" s="456"/>
      <c r="BI277" s="456"/>
      <c r="BJ277" s="456"/>
      <c r="BK277" s="456"/>
      <c r="BL277" s="456"/>
      <c r="BM277" s="456"/>
      <c r="BN277" s="456"/>
      <c r="BO277" s="456"/>
    </row>
    <row r="278" spans="1:67" s="469" customFormat="1" ht="15" x14ac:dyDescent="0.25">
      <c r="A278" s="492"/>
      <c r="B278" s="493" t="s">
        <v>190</v>
      </c>
      <c r="C278" s="2697" t="s">
        <v>806</v>
      </c>
      <c r="D278" s="2697"/>
      <c r="E278" s="2697"/>
      <c r="F278" s="2697"/>
      <c r="G278" s="2697"/>
      <c r="H278" s="494" t="s">
        <v>807</v>
      </c>
      <c r="I278" s="495"/>
      <c r="J278" s="495"/>
      <c r="K278" s="528">
        <v>1008.798975</v>
      </c>
      <c r="L278" s="497"/>
      <c r="M278" s="495"/>
      <c r="N278" s="497"/>
      <c r="O278" s="495"/>
      <c r="P278" s="498">
        <v>261601.75</v>
      </c>
      <c r="Q278" s="454"/>
      <c r="R278" s="454"/>
      <c r="S278" s="454"/>
      <c r="T278" s="454"/>
      <c r="U278" s="454"/>
      <c r="V278" s="454"/>
      <c r="W278" s="454"/>
      <c r="X278" s="454"/>
      <c r="Y278" s="454"/>
      <c r="Z278" s="454"/>
      <c r="AA278" s="454"/>
      <c r="AB278" s="456"/>
      <c r="AC278" s="456"/>
      <c r="AD278" s="456"/>
      <c r="AE278" s="456"/>
      <c r="AF278" s="456"/>
      <c r="AG278" s="456"/>
      <c r="AH278" s="456"/>
      <c r="AI278" s="456"/>
      <c r="AJ278" s="456"/>
      <c r="AK278" s="456"/>
      <c r="AL278" s="456"/>
      <c r="AM278" s="456"/>
      <c r="AN278" s="481"/>
      <c r="AO278" s="481"/>
      <c r="AP278" s="481"/>
      <c r="AQ278" s="491"/>
      <c r="AR278" s="456" t="s">
        <v>806</v>
      </c>
      <c r="AS278" s="456"/>
      <c r="AT278" s="456"/>
      <c r="AU278" s="522"/>
      <c r="AV278" s="481"/>
      <c r="AW278" s="456"/>
      <c r="AX278" s="481"/>
      <c r="AY278" s="491"/>
      <c r="AZ278" s="456"/>
      <c r="BA278" s="456"/>
      <c r="BB278" s="481"/>
      <c r="BC278" s="491"/>
      <c r="BD278" s="481"/>
      <c r="BE278" s="481"/>
      <c r="BF278" s="491"/>
      <c r="BG278" s="456"/>
      <c r="BH278" s="456"/>
      <c r="BI278" s="456"/>
      <c r="BJ278" s="456"/>
      <c r="BK278" s="456"/>
      <c r="BL278" s="456"/>
      <c r="BM278" s="456"/>
      <c r="BN278" s="456"/>
      <c r="BO278" s="456"/>
    </row>
    <row r="279" spans="1:67" s="469" customFormat="1" ht="22.5" x14ac:dyDescent="0.25">
      <c r="A279" s="499"/>
      <c r="B279" s="493" t="s">
        <v>808</v>
      </c>
      <c r="C279" s="2697" t="s">
        <v>809</v>
      </c>
      <c r="D279" s="2697"/>
      <c r="E279" s="2697"/>
      <c r="F279" s="2697"/>
      <c r="G279" s="2697"/>
      <c r="H279" s="494" t="s">
        <v>807</v>
      </c>
      <c r="I279" s="500">
        <v>35.9</v>
      </c>
      <c r="J279" s="495" t="s">
        <v>879</v>
      </c>
      <c r="K279" s="528">
        <v>1008.798975</v>
      </c>
      <c r="L279" s="501"/>
      <c r="M279" s="564"/>
      <c r="N279" s="502">
        <v>259.32</v>
      </c>
      <c r="O279" s="495"/>
      <c r="P279" s="498">
        <v>261601.75</v>
      </c>
      <c r="Q279" s="503"/>
      <c r="R279" s="503"/>
      <c r="S279" s="454"/>
      <c r="T279" s="454"/>
      <c r="U279" s="454"/>
      <c r="V279" s="454"/>
      <c r="W279" s="454"/>
      <c r="X279" s="454"/>
      <c r="Y279" s="454"/>
      <c r="Z279" s="454"/>
      <c r="AA279" s="454"/>
      <c r="AB279" s="456"/>
      <c r="AC279" s="456"/>
      <c r="AD279" s="456"/>
      <c r="AE279" s="456"/>
      <c r="AF279" s="456"/>
      <c r="AG279" s="456"/>
      <c r="AH279" s="456"/>
      <c r="AI279" s="456"/>
      <c r="AJ279" s="456"/>
      <c r="AK279" s="456"/>
      <c r="AL279" s="456"/>
      <c r="AM279" s="456"/>
      <c r="AN279" s="481"/>
      <c r="AO279" s="481"/>
      <c r="AP279" s="481"/>
      <c r="AQ279" s="491"/>
      <c r="AR279" s="456"/>
      <c r="AS279" s="456" t="s">
        <v>809</v>
      </c>
      <c r="AT279" s="456"/>
      <c r="AU279" s="522"/>
      <c r="AV279" s="481"/>
      <c r="AW279" s="456"/>
      <c r="AX279" s="481"/>
      <c r="AY279" s="491"/>
      <c r="AZ279" s="456"/>
      <c r="BA279" s="456"/>
      <c r="BB279" s="481"/>
      <c r="BC279" s="491"/>
      <c r="BD279" s="481"/>
      <c r="BE279" s="481"/>
      <c r="BF279" s="491"/>
      <c r="BG279" s="456"/>
      <c r="BH279" s="456"/>
      <c r="BI279" s="456"/>
      <c r="BJ279" s="456"/>
      <c r="BK279" s="456"/>
      <c r="BL279" s="456"/>
      <c r="BM279" s="456"/>
      <c r="BN279" s="456"/>
      <c r="BO279" s="456"/>
    </row>
    <row r="280" spans="1:67" s="469" customFormat="1" ht="15" x14ac:dyDescent="0.25">
      <c r="A280" s="492"/>
      <c r="B280" s="493" t="s">
        <v>639</v>
      </c>
      <c r="C280" s="2697" t="s">
        <v>697</v>
      </c>
      <c r="D280" s="2697"/>
      <c r="E280" s="2697"/>
      <c r="F280" s="2697"/>
      <c r="G280" s="2697"/>
      <c r="H280" s="494"/>
      <c r="I280" s="495"/>
      <c r="J280" s="495"/>
      <c r="K280" s="495"/>
      <c r="L280" s="497"/>
      <c r="M280" s="495"/>
      <c r="N280" s="497"/>
      <c r="O280" s="495"/>
      <c r="P280" s="498">
        <v>191863.44</v>
      </c>
      <c r="Q280" s="454"/>
      <c r="R280" s="454"/>
      <c r="S280" s="454"/>
      <c r="T280" s="454"/>
      <c r="U280" s="454"/>
      <c r="V280" s="454"/>
      <c r="W280" s="454"/>
      <c r="X280" s="454"/>
      <c r="Y280" s="454"/>
      <c r="Z280" s="454"/>
      <c r="AA280" s="454"/>
      <c r="AB280" s="456"/>
      <c r="AC280" s="456"/>
      <c r="AD280" s="456"/>
      <c r="AE280" s="456"/>
      <c r="AF280" s="456"/>
      <c r="AG280" s="456"/>
      <c r="AH280" s="456"/>
      <c r="AI280" s="456"/>
      <c r="AJ280" s="456"/>
      <c r="AK280" s="456"/>
      <c r="AL280" s="456"/>
      <c r="AM280" s="456"/>
      <c r="AN280" s="481"/>
      <c r="AO280" s="481"/>
      <c r="AP280" s="481"/>
      <c r="AQ280" s="491"/>
      <c r="AR280" s="456" t="s">
        <v>697</v>
      </c>
      <c r="AS280" s="456"/>
      <c r="AT280" s="456"/>
      <c r="AU280" s="522"/>
      <c r="AV280" s="481"/>
      <c r="AW280" s="456"/>
      <c r="AX280" s="481"/>
      <c r="AY280" s="491"/>
      <c r="AZ280" s="456"/>
      <c r="BA280" s="456"/>
      <c r="BB280" s="481"/>
      <c r="BC280" s="491"/>
      <c r="BD280" s="481"/>
      <c r="BE280" s="481"/>
      <c r="BF280" s="491"/>
      <c r="BG280" s="456"/>
      <c r="BH280" s="456"/>
      <c r="BI280" s="456"/>
      <c r="BJ280" s="456"/>
      <c r="BK280" s="456"/>
      <c r="BL280" s="456"/>
      <c r="BM280" s="456"/>
      <c r="BN280" s="456"/>
      <c r="BO280" s="456"/>
    </row>
    <row r="281" spans="1:67" s="469" customFormat="1" ht="15" x14ac:dyDescent="0.25">
      <c r="A281" s="492"/>
      <c r="B281" s="493"/>
      <c r="C281" s="2697" t="s">
        <v>811</v>
      </c>
      <c r="D281" s="2697"/>
      <c r="E281" s="2697"/>
      <c r="F281" s="2697"/>
      <c r="G281" s="2697"/>
      <c r="H281" s="494" t="s">
        <v>807</v>
      </c>
      <c r="I281" s="495"/>
      <c r="J281" s="495"/>
      <c r="K281" s="528">
        <v>135.00337500000001</v>
      </c>
      <c r="L281" s="497"/>
      <c r="M281" s="495"/>
      <c r="N281" s="497"/>
      <c r="O281" s="495"/>
      <c r="P281" s="498">
        <v>48689.53</v>
      </c>
      <c r="Q281" s="454"/>
      <c r="R281" s="454"/>
      <c r="S281" s="454"/>
      <c r="T281" s="454"/>
      <c r="U281" s="454"/>
      <c r="V281" s="454"/>
      <c r="W281" s="454"/>
      <c r="X281" s="454"/>
      <c r="Y281" s="454"/>
      <c r="Z281" s="454"/>
      <c r="AA281" s="454"/>
      <c r="AB281" s="456"/>
      <c r="AC281" s="456"/>
      <c r="AD281" s="456"/>
      <c r="AE281" s="456"/>
      <c r="AF281" s="456"/>
      <c r="AG281" s="456"/>
      <c r="AH281" s="456"/>
      <c r="AI281" s="456"/>
      <c r="AJ281" s="456"/>
      <c r="AK281" s="456"/>
      <c r="AL281" s="456"/>
      <c r="AM281" s="456"/>
      <c r="AN281" s="481"/>
      <c r="AO281" s="481"/>
      <c r="AP281" s="481"/>
      <c r="AQ281" s="491"/>
      <c r="AR281" s="456" t="s">
        <v>811</v>
      </c>
      <c r="AS281" s="456"/>
      <c r="AT281" s="456"/>
      <c r="AU281" s="522"/>
      <c r="AV281" s="481"/>
      <c r="AW281" s="456"/>
      <c r="AX281" s="481"/>
      <c r="AY281" s="491"/>
      <c r="AZ281" s="456"/>
      <c r="BA281" s="456"/>
      <c r="BB281" s="481"/>
      <c r="BC281" s="491"/>
      <c r="BD281" s="481"/>
      <c r="BE281" s="481"/>
      <c r="BF281" s="491"/>
      <c r="BG281" s="456"/>
      <c r="BH281" s="456"/>
      <c r="BI281" s="456"/>
      <c r="BJ281" s="456"/>
      <c r="BK281" s="456"/>
      <c r="BL281" s="456"/>
      <c r="BM281" s="456"/>
      <c r="BN281" s="456"/>
      <c r="BO281" s="456"/>
    </row>
    <row r="282" spans="1:67" s="469" customFormat="1" ht="22.5" x14ac:dyDescent="0.25">
      <c r="A282" s="499"/>
      <c r="B282" s="493" t="s">
        <v>812</v>
      </c>
      <c r="C282" s="2697" t="s">
        <v>813</v>
      </c>
      <c r="D282" s="2697"/>
      <c r="E282" s="2697"/>
      <c r="F282" s="2697"/>
      <c r="G282" s="2697"/>
      <c r="H282" s="494" t="s">
        <v>814</v>
      </c>
      <c r="I282" s="500">
        <v>0.1</v>
      </c>
      <c r="J282" s="495" t="s">
        <v>880</v>
      </c>
      <c r="K282" s="528">
        <v>3.0543749999999998</v>
      </c>
      <c r="L282" s="505">
        <v>1803.79</v>
      </c>
      <c r="M282" s="506">
        <v>1.1399999999999999</v>
      </c>
      <c r="N282" s="502">
        <v>2056.3200000000002</v>
      </c>
      <c r="O282" s="495"/>
      <c r="P282" s="498">
        <v>6280.77</v>
      </c>
      <c r="Q282" s="503"/>
      <c r="R282" s="503"/>
      <c r="S282" s="454"/>
      <c r="T282" s="454"/>
      <c r="U282" s="454"/>
      <c r="V282" s="454"/>
      <c r="W282" s="454"/>
      <c r="X282" s="454"/>
      <c r="Y282" s="454"/>
      <c r="Z282" s="454"/>
      <c r="AA282" s="454"/>
      <c r="AB282" s="456"/>
      <c r="AC282" s="456"/>
      <c r="AD282" s="456"/>
      <c r="AE282" s="456"/>
      <c r="AF282" s="456"/>
      <c r="AG282" s="456"/>
      <c r="AH282" s="456"/>
      <c r="AI282" s="456"/>
      <c r="AJ282" s="456"/>
      <c r="AK282" s="456"/>
      <c r="AL282" s="456"/>
      <c r="AM282" s="456"/>
      <c r="AN282" s="481"/>
      <c r="AO282" s="481"/>
      <c r="AP282" s="481"/>
      <c r="AQ282" s="491"/>
      <c r="AR282" s="456"/>
      <c r="AS282" s="456" t="s">
        <v>813</v>
      </c>
      <c r="AT282" s="456"/>
      <c r="AU282" s="522"/>
      <c r="AV282" s="481"/>
      <c r="AW282" s="456"/>
      <c r="AX282" s="481"/>
      <c r="AY282" s="491"/>
      <c r="AZ282" s="456"/>
      <c r="BA282" s="456"/>
      <c r="BB282" s="481"/>
      <c r="BC282" s="491"/>
      <c r="BD282" s="481"/>
      <c r="BE282" s="481"/>
      <c r="BF282" s="491"/>
      <c r="BG282" s="456"/>
      <c r="BH282" s="456"/>
      <c r="BI282" s="456"/>
      <c r="BJ282" s="456"/>
      <c r="BK282" s="456"/>
      <c r="BL282" s="456"/>
      <c r="BM282" s="456"/>
      <c r="BN282" s="456"/>
      <c r="BO282" s="456"/>
    </row>
    <row r="283" spans="1:67" s="469" customFormat="1" ht="22.5" x14ac:dyDescent="0.25">
      <c r="A283" s="507"/>
      <c r="B283" s="493" t="s">
        <v>815</v>
      </c>
      <c r="C283" s="2697" t="s">
        <v>816</v>
      </c>
      <c r="D283" s="2697"/>
      <c r="E283" s="2697"/>
      <c r="F283" s="2697"/>
      <c r="G283" s="2697"/>
      <c r="H283" s="494" t="s">
        <v>807</v>
      </c>
      <c r="I283" s="500">
        <v>0.1</v>
      </c>
      <c r="J283" s="495" t="s">
        <v>880</v>
      </c>
      <c r="K283" s="528">
        <v>3.0543749999999998</v>
      </c>
      <c r="L283" s="497"/>
      <c r="M283" s="495"/>
      <c r="N283" s="508">
        <v>364.66</v>
      </c>
      <c r="O283" s="495"/>
      <c r="P283" s="498">
        <v>1113.81</v>
      </c>
      <c r="Q283" s="454"/>
      <c r="R283" s="454"/>
      <c r="S283" s="454"/>
      <c r="T283" s="454"/>
      <c r="U283" s="454"/>
      <c r="V283" s="454"/>
      <c r="W283" s="454"/>
      <c r="X283" s="454"/>
      <c r="Y283" s="454"/>
      <c r="Z283" s="454"/>
      <c r="AA283" s="454"/>
      <c r="AB283" s="456"/>
      <c r="AC283" s="456"/>
      <c r="AD283" s="456"/>
      <c r="AE283" s="456"/>
      <c r="AF283" s="456"/>
      <c r="AG283" s="456"/>
      <c r="AH283" s="456"/>
      <c r="AI283" s="456"/>
      <c r="AJ283" s="456"/>
      <c r="AK283" s="456"/>
      <c r="AL283" s="456"/>
      <c r="AM283" s="456"/>
      <c r="AN283" s="481"/>
      <c r="AO283" s="481"/>
      <c r="AP283" s="481"/>
      <c r="AQ283" s="491"/>
      <c r="AR283" s="456"/>
      <c r="AS283" s="456"/>
      <c r="AT283" s="456" t="s">
        <v>816</v>
      </c>
      <c r="AU283" s="522"/>
      <c r="AV283" s="481"/>
      <c r="AW283" s="456"/>
      <c r="AX283" s="481"/>
      <c r="AY283" s="491"/>
      <c r="AZ283" s="456"/>
      <c r="BA283" s="456"/>
      <c r="BB283" s="481"/>
      <c r="BC283" s="491"/>
      <c r="BD283" s="481"/>
      <c r="BE283" s="481"/>
      <c r="BF283" s="491"/>
      <c r="BG283" s="456"/>
      <c r="BH283" s="456"/>
      <c r="BI283" s="456"/>
      <c r="BJ283" s="456"/>
      <c r="BK283" s="456"/>
      <c r="BL283" s="456"/>
      <c r="BM283" s="456"/>
      <c r="BN283" s="456"/>
      <c r="BO283" s="456"/>
    </row>
    <row r="284" spans="1:67" s="469" customFormat="1" ht="22.5" x14ac:dyDescent="0.25">
      <c r="A284" s="499"/>
      <c r="B284" s="493" t="s">
        <v>817</v>
      </c>
      <c r="C284" s="2697" t="s">
        <v>818</v>
      </c>
      <c r="D284" s="2697"/>
      <c r="E284" s="2697"/>
      <c r="F284" s="2697"/>
      <c r="G284" s="2697"/>
      <c r="H284" s="494" t="s">
        <v>814</v>
      </c>
      <c r="I284" s="509">
        <v>4.13</v>
      </c>
      <c r="J284" s="495" t="s">
        <v>880</v>
      </c>
      <c r="K284" s="543">
        <v>126.14568749999999</v>
      </c>
      <c r="L284" s="501"/>
      <c r="M284" s="564"/>
      <c r="N284" s="502">
        <v>1374.22</v>
      </c>
      <c r="O284" s="495"/>
      <c r="P284" s="498">
        <v>173351.93</v>
      </c>
      <c r="Q284" s="503"/>
      <c r="R284" s="503"/>
      <c r="S284" s="454"/>
      <c r="T284" s="454"/>
      <c r="U284" s="454"/>
      <c r="V284" s="454"/>
      <c r="W284" s="454"/>
      <c r="X284" s="454"/>
      <c r="Y284" s="454"/>
      <c r="Z284" s="454"/>
      <c r="AA284" s="454"/>
      <c r="AB284" s="456"/>
      <c r="AC284" s="456"/>
      <c r="AD284" s="456"/>
      <c r="AE284" s="456"/>
      <c r="AF284" s="456"/>
      <c r="AG284" s="456"/>
      <c r="AH284" s="456"/>
      <c r="AI284" s="456"/>
      <c r="AJ284" s="456"/>
      <c r="AK284" s="456"/>
      <c r="AL284" s="456"/>
      <c r="AM284" s="456"/>
      <c r="AN284" s="481"/>
      <c r="AO284" s="481"/>
      <c r="AP284" s="481"/>
      <c r="AQ284" s="491"/>
      <c r="AR284" s="456"/>
      <c r="AS284" s="456" t="s">
        <v>818</v>
      </c>
      <c r="AT284" s="456"/>
      <c r="AU284" s="522"/>
      <c r="AV284" s="481"/>
      <c r="AW284" s="456"/>
      <c r="AX284" s="481"/>
      <c r="AY284" s="491"/>
      <c r="AZ284" s="456"/>
      <c r="BA284" s="456"/>
      <c r="BB284" s="481"/>
      <c r="BC284" s="491"/>
      <c r="BD284" s="481"/>
      <c r="BE284" s="481"/>
      <c r="BF284" s="491"/>
      <c r="BG284" s="456"/>
      <c r="BH284" s="456"/>
      <c r="BI284" s="456"/>
      <c r="BJ284" s="456"/>
      <c r="BK284" s="456"/>
      <c r="BL284" s="456"/>
      <c r="BM284" s="456"/>
      <c r="BN284" s="456"/>
      <c r="BO284" s="456"/>
    </row>
    <row r="285" spans="1:67" s="469" customFormat="1" ht="22.5" x14ac:dyDescent="0.25">
      <c r="A285" s="507"/>
      <c r="B285" s="493" t="s">
        <v>815</v>
      </c>
      <c r="C285" s="2697" t="s">
        <v>816</v>
      </c>
      <c r="D285" s="2697"/>
      <c r="E285" s="2697"/>
      <c r="F285" s="2697"/>
      <c r="G285" s="2697"/>
      <c r="H285" s="494" t="s">
        <v>807</v>
      </c>
      <c r="I285" s="509">
        <v>4.13</v>
      </c>
      <c r="J285" s="495" t="s">
        <v>880</v>
      </c>
      <c r="K285" s="543">
        <v>126.14568749999999</v>
      </c>
      <c r="L285" s="497"/>
      <c r="M285" s="495"/>
      <c r="N285" s="508">
        <v>364.66</v>
      </c>
      <c r="O285" s="495"/>
      <c r="P285" s="498">
        <v>46000.29</v>
      </c>
      <c r="Q285" s="454"/>
      <c r="R285" s="454"/>
      <c r="S285" s="454"/>
      <c r="T285" s="454"/>
      <c r="U285" s="454"/>
      <c r="V285" s="454"/>
      <c r="W285" s="454"/>
      <c r="X285" s="454"/>
      <c r="Y285" s="454"/>
      <c r="Z285" s="454"/>
      <c r="AA285" s="454"/>
      <c r="AB285" s="456"/>
      <c r="AC285" s="456"/>
      <c r="AD285" s="456"/>
      <c r="AE285" s="456"/>
      <c r="AF285" s="456"/>
      <c r="AG285" s="456"/>
      <c r="AH285" s="456"/>
      <c r="AI285" s="456"/>
      <c r="AJ285" s="456"/>
      <c r="AK285" s="456"/>
      <c r="AL285" s="456"/>
      <c r="AM285" s="456"/>
      <c r="AN285" s="481"/>
      <c r="AO285" s="481"/>
      <c r="AP285" s="481"/>
      <c r="AQ285" s="491"/>
      <c r="AR285" s="456"/>
      <c r="AS285" s="456"/>
      <c r="AT285" s="456" t="s">
        <v>816</v>
      </c>
      <c r="AU285" s="522"/>
      <c r="AV285" s="481"/>
      <c r="AW285" s="456"/>
      <c r="AX285" s="481"/>
      <c r="AY285" s="491"/>
      <c r="AZ285" s="456"/>
      <c r="BA285" s="456"/>
      <c r="BB285" s="481"/>
      <c r="BC285" s="491"/>
      <c r="BD285" s="481"/>
      <c r="BE285" s="481"/>
      <c r="BF285" s="491"/>
      <c r="BG285" s="456"/>
      <c r="BH285" s="456"/>
      <c r="BI285" s="456"/>
      <c r="BJ285" s="456"/>
      <c r="BK285" s="456"/>
      <c r="BL285" s="456"/>
      <c r="BM285" s="456"/>
      <c r="BN285" s="456"/>
      <c r="BO285" s="456"/>
    </row>
    <row r="286" spans="1:67" s="469" customFormat="1" ht="22.5" x14ac:dyDescent="0.25">
      <c r="A286" s="499"/>
      <c r="B286" s="493" t="s">
        <v>819</v>
      </c>
      <c r="C286" s="2697" t="s">
        <v>820</v>
      </c>
      <c r="D286" s="2697"/>
      <c r="E286" s="2697"/>
      <c r="F286" s="2697"/>
      <c r="G286" s="2697"/>
      <c r="H286" s="494" t="s">
        <v>814</v>
      </c>
      <c r="I286" s="509">
        <v>3.17</v>
      </c>
      <c r="J286" s="495" t="s">
        <v>880</v>
      </c>
      <c r="K286" s="543">
        <v>96.823687500000005</v>
      </c>
      <c r="L286" s="510">
        <v>1.75</v>
      </c>
      <c r="M286" s="506">
        <v>1.26</v>
      </c>
      <c r="N286" s="502">
        <v>2.21</v>
      </c>
      <c r="O286" s="495"/>
      <c r="P286" s="498">
        <v>213.98</v>
      </c>
      <c r="Q286" s="503"/>
      <c r="R286" s="503"/>
      <c r="S286" s="454"/>
      <c r="T286" s="454"/>
      <c r="U286" s="454"/>
      <c r="V286" s="454"/>
      <c r="W286" s="454"/>
      <c r="X286" s="454"/>
      <c r="Y286" s="454"/>
      <c r="Z286" s="454"/>
      <c r="AA286" s="454"/>
      <c r="AB286" s="456"/>
      <c r="AC286" s="456"/>
      <c r="AD286" s="456"/>
      <c r="AE286" s="456"/>
      <c r="AF286" s="456"/>
      <c r="AG286" s="456"/>
      <c r="AH286" s="456"/>
      <c r="AI286" s="456"/>
      <c r="AJ286" s="456"/>
      <c r="AK286" s="456"/>
      <c r="AL286" s="456"/>
      <c r="AM286" s="456"/>
      <c r="AN286" s="481"/>
      <c r="AO286" s="481"/>
      <c r="AP286" s="481"/>
      <c r="AQ286" s="491"/>
      <c r="AR286" s="456"/>
      <c r="AS286" s="456" t="s">
        <v>820</v>
      </c>
      <c r="AT286" s="456"/>
      <c r="AU286" s="522"/>
      <c r="AV286" s="481"/>
      <c r="AW286" s="456"/>
      <c r="AX286" s="481"/>
      <c r="AY286" s="491"/>
      <c r="AZ286" s="456"/>
      <c r="BA286" s="456"/>
      <c r="BB286" s="481"/>
      <c r="BC286" s="491"/>
      <c r="BD286" s="481"/>
      <c r="BE286" s="481"/>
      <c r="BF286" s="491"/>
      <c r="BG286" s="456"/>
      <c r="BH286" s="456"/>
      <c r="BI286" s="456"/>
      <c r="BJ286" s="456"/>
      <c r="BK286" s="456"/>
      <c r="BL286" s="456"/>
      <c r="BM286" s="456"/>
      <c r="BN286" s="456"/>
      <c r="BO286" s="456"/>
    </row>
    <row r="287" spans="1:67" s="469" customFormat="1" ht="22.5" x14ac:dyDescent="0.25">
      <c r="A287" s="499"/>
      <c r="B287" s="493" t="s">
        <v>821</v>
      </c>
      <c r="C287" s="2697" t="s">
        <v>822</v>
      </c>
      <c r="D287" s="2697"/>
      <c r="E287" s="2697"/>
      <c r="F287" s="2697"/>
      <c r="G287" s="2697"/>
      <c r="H287" s="494" t="s">
        <v>814</v>
      </c>
      <c r="I287" s="509">
        <v>0.19</v>
      </c>
      <c r="J287" s="495" t="s">
        <v>880</v>
      </c>
      <c r="K287" s="543">
        <v>5.8033124999999997</v>
      </c>
      <c r="L287" s="501"/>
      <c r="M287" s="564"/>
      <c r="N287" s="502">
        <v>535.19000000000005</v>
      </c>
      <c r="O287" s="495"/>
      <c r="P287" s="498">
        <v>3105.87</v>
      </c>
      <c r="Q287" s="503"/>
      <c r="R287" s="503"/>
      <c r="S287" s="454"/>
      <c r="T287" s="454"/>
      <c r="U287" s="454"/>
      <c r="V287" s="454"/>
      <c r="W287" s="454"/>
      <c r="X287" s="454"/>
      <c r="Y287" s="454"/>
      <c r="Z287" s="454"/>
      <c r="AA287" s="454"/>
      <c r="AB287" s="456"/>
      <c r="AC287" s="456"/>
      <c r="AD287" s="456"/>
      <c r="AE287" s="456"/>
      <c r="AF287" s="456"/>
      <c r="AG287" s="456"/>
      <c r="AH287" s="456"/>
      <c r="AI287" s="456"/>
      <c r="AJ287" s="456"/>
      <c r="AK287" s="456"/>
      <c r="AL287" s="456"/>
      <c r="AM287" s="456"/>
      <c r="AN287" s="481"/>
      <c r="AO287" s="481"/>
      <c r="AP287" s="481"/>
      <c r="AQ287" s="491"/>
      <c r="AR287" s="456"/>
      <c r="AS287" s="456" t="s">
        <v>822</v>
      </c>
      <c r="AT287" s="456"/>
      <c r="AU287" s="522"/>
      <c r="AV287" s="481"/>
      <c r="AW287" s="456"/>
      <c r="AX287" s="481"/>
      <c r="AY287" s="491"/>
      <c r="AZ287" s="456"/>
      <c r="BA287" s="456"/>
      <c r="BB287" s="481"/>
      <c r="BC287" s="491"/>
      <c r="BD287" s="481"/>
      <c r="BE287" s="481"/>
      <c r="BF287" s="491"/>
      <c r="BG287" s="456"/>
      <c r="BH287" s="456"/>
      <c r="BI287" s="456"/>
      <c r="BJ287" s="456"/>
      <c r="BK287" s="456"/>
      <c r="BL287" s="456"/>
      <c r="BM287" s="456"/>
      <c r="BN287" s="456"/>
      <c r="BO287" s="456"/>
    </row>
    <row r="288" spans="1:67" s="469" customFormat="1" ht="22.5" x14ac:dyDescent="0.25">
      <c r="A288" s="507"/>
      <c r="B288" s="493" t="s">
        <v>823</v>
      </c>
      <c r="C288" s="2697" t="s">
        <v>824</v>
      </c>
      <c r="D288" s="2697"/>
      <c r="E288" s="2697"/>
      <c r="F288" s="2697"/>
      <c r="G288" s="2697"/>
      <c r="H288" s="494" t="s">
        <v>807</v>
      </c>
      <c r="I288" s="509">
        <v>0.19</v>
      </c>
      <c r="J288" s="495" t="s">
        <v>880</v>
      </c>
      <c r="K288" s="543">
        <v>5.8033124999999997</v>
      </c>
      <c r="L288" s="497"/>
      <c r="M288" s="495"/>
      <c r="N288" s="508">
        <v>271.47000000000003</v>
      </c>
      <c r="O288" s="495"/>
      <c r="P288" s="498">
        <v>1575.43</v>
      </c>
      <c r="Q288" s="454"/>
      <c r="R288" s="454"/>
      <c r="S288" s="454"/>
      <c r="T288" s="454"/>
      <c r="U288" s="454"/>
      <c r="V288" s="454"/>
      <c r="W288" s="454"/>
      <c r="X288" s="454"/>
      <c r="Y288" s="454"/>
      <c r="Z288" s="454"/>
      <c r="AA288" s="454"/>
      <c r="AB288" s="456"/>
      <c r="AC288" s="456"/>
      <c r="AD288" s="456"/>
      <c r="AE288" s="456"/>
      <c r="AF288" s="456"/>
      <c r="AG288" s="456"/>
      <c r="AH288" s="456"/>
      <c r="AI288" s="456"/>
      <c r="AJ288" s="456"/>
      <c r="AK288" s="456"/>
      <c r="AL288" s="456"/>
      <c r="AM288" s="456"/>
      <c r="AN288" s="481"/>
      <c r="AO288" s="481"/>
      <c r="AP288" s="481"/>
      <c r="AQ288" s="491"/>
      <c r="AR288" s="456"/>
      <c r="AS288" s="456"/>
      <c r="AT288" s="456" t="s">
        <v>824</v>
      </c>
      <c r="AU288" s="522"/>
      <c r="AV288" s="481"/>
      <c r="AW288" s="456"/>
      <c r="AX288" s="481"/>
      <c r="AY288" s="491"/>
      <c r="AZ288" s="456"/>
      <c r="BA288" s="456"/>
      <c r="BB288" s="481"/>
      <c r="BC288" s="491"/>
      <c r="BD288" s="481"/>
      <c r="BE288" s="481"/>
      <c r="BF288" s="491"/>
      <c r="BG288" s="456"/>
      <c r="BH288" s="456"/>
      <c r="BI288" s="456"/>
      <c r="BJ288" s="456"/>
      <c r="BK288" s="456"/>
      <c r="BL288" s="456"/>
      <c r="BM288" s="456"/>
      <c r="BN288" s="456"/>
      <c r="BO288" s="456"/>
    </row>
    <row r="289" spans="1:67" s="469" customFormat="1" ht="22.5" x14ac:dyDescent="0.25">
      <c r="A289" s="499"/>
      <c r="B289" s="493" t="s">
        <v>825</v>
      </c>
      <c r="C289" s="2697" t="s">
        <v>826</v>
      </c>
      <c r="D289" s="2697"/>
      <c r="E289" s="2697"/>
      <c r="F289" s="2697"/>
      <c r="G289" s="2697"/>
      <c r="H289" s="494" t="s">
        <v>814</v>
      </c>
      <c r="I289" s="509">
        <v>1.63</v>
      </c>
      <c r="J289" s="495" t="s">
        <v>880</v>
      </c>
      <c r="K289" s="543">
        <v>49.786312500000001</v>
      </c>
      <c r="L289" s="510">
        <v>4.3499999999999996</v>
      </c>
      <c r="M289" s="506">
        <v>1.19</v>
      </c>
      <c r="N289" s="502">
        <v>5.18</v>
      </c>
      <c r="O289" s="495"/>
      <c r="P289" s="498">
        <v>257.89</v>
      </c>
      <c r="Q289" s="503"/>
      <c r="R289" s="503"/>
      <c r="S289" s="454"/>
      <c r="T289" s="454"/>
      <c r="U289" s="454"/>
      <c r="V289" s="454"/>
      <c r="W289" s="454"/>
      <c r="X289" s="454"/>
      <c r="Y289" s="454"/>
      <c r="Z289" s="454"/>
      <c r="AA289" s="454"/>
      <c r="AB289" s="456"/>
      <c r="AC289" s="456"/>
      <c r="AD289" s="456"/>
      <c r="AE289" s="456"/>
      <c r="AF289" s="456"/>
      <c r="AG289" s="456"/>
      <c r="AH289" s="456"/>
      <c r="AI289" s="456"/>
      <c r="AJ289" s="456"/>
      <c r="AK289" s="456"/>
      <c r="AL289" s="456"/>
      <c r="AM289" s="456"/>
      <c r="AN289" s="481"/>
      <c r="AO289" s="481"/>
      <c r="AP289" s="481"/>
      <c r="AQ289" s="491"/>
      <c r="AR289" s="456"/>
      <c r="AS289" s="456" t="s">
        <v>826</v>
      </c>
      <c r="AT289" s="456"/>
      <c r="AU289" s="522"/>
      <c r="AV289" s="481"/>
      <c r="AW289" s="456"/>
      <c r="AX289" s="481"/>
      <c r="AY289" s="491"/>
      <c r="AZ289" s="456"/>
      <c r="BA289" s="456"/>
      <c r="BB289" s="481"/>
      <c r="BC289" s="491"/>
      <c r="BD289" s="481"/>
      <c r="BE289" s="481"/>
      <c r="BF289" s="491"/>
      <c r="BG289" s="456"/>
      <c r="BH289" s="456"/>
      <c r="BI289" s="456"/>
      <c r="BJ289" s="456"/>
      <c r="BK289" s="456"/>
      <c r="BL289" s="456"/>
      <c r="BM289" s="456"/>
      <c r="BN289" s="456"/>
      <c r="BO289" s="456"/>
    </row>
    <row r="290" spans="1:67" s="469" customFormat="1" ht="23.25" x14ac:dyDescent="0.25">
      <c r="A290" s="499"/>
      <c r="B290" s="493" t="s">
        <v>827</v>
      </c>
      <c r="C290" s="2697" t="s">
        <v>828</v>
      </c>
      <c r="D290" s="2697"/>
      <c r="E290" s="2697"/>
      <c r="F290" s="2697"/>
      <c r="G290" s="2697"/>
      <c r="H290" s="494" t="s">
        <v>814</v>
      </c>
      <c r="I290" s="509">
        <v>6.16</v>
      </c>
      <c r="J290" s="495" t="s">
        <v>880</v>
      </c>
      <c r="K290" s="496">
        <v>188.14949999999999</v>
      </c>
      <c r="L290" s="510">
        <v>51.1</v>
      </c>
      <c r="M290" s="511">
        <v>0.9</v>
      </c>
      <c r="N290" s="502">
        <v>45.99</v>
      </c>
      <c r="O290" s="495"/>
      <c r="P290" s="498">
        <v>8653</v>
      </c>
      <c r="Q290" s="503"/>
      <c r="R290" s="503"/>
      <c r="S290" s="454"/>
      <c r="T290" s="454"/>
      <c r="U290" s="454"/>
      <c r="V290" s="454"/>
      <c r="W290" s="454"/>
      <c r="X290" s="454"/>
      <c r="Y290" s="454"/>
      <c r="Z290" s="454"/>
      <c r="AA290" s="454"/>
      <c r="AB290" s="456"/>
      <c r="AC290" s="456"/>
      <c r="AD290" s="456"/>
      <c r="AE290" s="456"/>
      <c r="AF290" s="456"/>
      <c r="AG290" s="456"/>
      <c r="AH290" s="456"/>
      <c r="AI290" s="456"/>
      <c r="AJ290" s="456"/>
      <c r="AK290" s="456"/>
      <c r="AL290" s="456"/>
      <c r="AM290" s="456"/>
      <c r="AN290" s="481"/>
      <c r="AO290" s="481"/>
      <c r="AP290" s="481"/>
      <c r="AQ290" s="491"/>
      <c r="AR290" s="456"/>
      <c r="AS290" s="456" t="s">
        <v>828</v>
      </c>
      <c r="AT290" s="456"/>
      <c r="AU290" s="522"/>
      <c r="AV290" s="481"/>
      <c r="AW290" s="456"/>
      <c r="AX290" s="481"/>
      <c r="AY290" s="491"/>
      <c r="AZ290" s="456"/>
      <c r="BA290" s="456"/>
      <c r="BB290" s="481"/>
      <c r="BC290" s="491"/>
      <c r="BD290" s="481"/>
      <c r="BE290" s="481"/>
      <c r="BF290" s="491"/>
      <c r="BG290" s="456"/>
      <c r="BH290" s="456"/>
      <c r="BI290" s="456"/>
      <c r="BJ290" s="456"/>
      <c r="BK290" s="456"/>
      <c r="BL290" s="456"/>
      <c r="BM290" s="456"/>
      <c r="BN290" s="456"/>
      <c r="BO290" s="456"/>
    </row>
    <row r="291" spans="1:67" s="469" customFormat="1" ht="15" x14ac:dyDescent="0.25">
      <c r="A291" s="492"/>
      <c r="B291" s="493" t="s">
        <v>232</v>
      </c>
      <c r="C291" s="2697" t="s">
        <v>829</v>
      </c>
      <c r="D291" s="2697"/>
      <c r="E291" s="2697"/>
      <c r="F291" s="2697"/>
      <c r="G291" s="2697"/>
      <c r="H291" s="494"/>
      <c r="I291" s="495"/>
      <c r="J291" s="495"/>
      <c r="K291" s="495"/>
      <c r="L291" s="497"/>
      <c r="M291" s="495"/>
      <c r="N291" s="497"/>
      <c r="O291" s="495"/>
      <c r="P291" s="498">
        <v>24625.69</v>
      </c>
      <c r="Q291" s="454"/>
      <c r="R291" s="454"/>
      <c r="S291" s="454"/>
      <c r="T291" s="454"/>
      <c r="U291" s="454"/>
      <c r="V291" s="454"/>
      <c r="W291" s="454"/>
      <c r="X291" s="454"/>
      <c r="Y291" s="454"/>
      <c r="Z291" s="454"/>
      <c r="AA291" s="454"/>
      <c r="AB291" s="456"/>
      <c r="AC291" s="456"/>
      <c r="AD291" s="456"/>
      <c r="AE291" s="456"/>
      <c r="AF291" s="456"/>
      <c r="AG291" s="456"/>
      <c r="AH291" s="456"/>
      <c r="AI291" s="456"/>
      <c r="AJ291" s="456"/>
      <c r="AK291" s="456"/>
      <c r="AL291" s="456"/>
      <c r="AM291" s="456"/>
      <c r="AN291" s="481"/>
      <c r="AO291" s="481"/>
      <c r="AP291" s="481"/>
      <c r="AQ291" s="491"/>
      <c r="AR291" s="456" t="s">
        <v>829</v>
      </c>
      <c r="AS291" s="456"/>
      <c r="AT291" s="456"/>
      <c r="AU291" s="522"/>
      <c r="AV291" s="481"/>
      <c r="AW291" s="456"/>
      <c r="AX291" s="481"/>
      <c r="AY291" s="491"/>
      <c r="AZ291" s="456"/>
      <c r="BA291" s="456"/>
      <c r="BB291" s="481"/>
      <c r="BC291" s="491"/>
      <c r="BD291" s="481"/>
      <c r="BE291" s="481"/>
      <c r="BF291" s="491"/>
      <c r="BG291" s="456"/>
      <c r="BH291" s="456"/>
      <c r="BI291" s="456"/>
      <c r="BJ291" s="456"/>
      <c r="BK291" s="456"/>
      <c r="BL291" s="456"/>
      <c r="BM291" s="456"/>
      <c r="BN291" s="456"/>
      <c r="BO291" s="456"/>
    </row>
    <row r="292" spans="1:67" s="469" customFormat="1" ht="15" x14ac:dyDescent="0.25">
      <c r="A292" s="499"/>
      <c r="B292" s="493" t="s">
        <v>830</v>
      </c>
      <c r="C292" s="2697" t="s">
        <v>831</v>
      </c>
      <c r="D292" s="2697"/>
      <c r="E292" s="2697"/>
      <c r="F292" s="2697"/>
      <c r="G292" s="2697"/>
      <c r="H292" s="494" t="s">
        <v>832</v>
      </c>
      <c r="I292" s="509">
        <v>1.37</v>
      </c>
      <c r="J292" s="495"/>
      <c r="K292" s="514">
        <v>24.797000000000001</v>
      </c>
      <c r="L292" s="501"/>
      <c r="M292" s="564"/>
      <c r="N292" s="502">
        <v>114.64</v>
      </c>
      <c r="O292" s="495"/>
      <c r="P292" s="498">
        <v>2842.73</v>
      </c>
      <c r="Q292" s="503"/>
      <c r="R292" s="503"/>
      <c r="S292" s="454"/>
      <c r="T292" s="454"/>
      <c r="U292" s="454"/>
      <c r="V292" s="454"/>
      <c r="W292" s="454"/>
      <c r="X292" s="454"/>
      <c r="Y292" s="454"/>
      <c r="Z292" s="454"/>
      <c r="AA292" s="454"/>
      <c r="AB292" s="456"/>
      <c r="AC292" s="456"/>
      <c r="AD292" s="456"/>
      <c r="AE292" s="456"/>
      <c r="AF292" s="456"/>
      <c r="AG292" s="456"/>
      <c r="AH292" s="456"/>
      <c r="AI292" s="456"/>
      <c r="AJ292" s="456"/>
      <c r="AK292" s="456"/>
      <c r="AL292" s="456"/>
      <c r="AM292" s="456"/>
      <c r="AN292" s="481"/>
      <c r="AO292" s="481"/>
      <c r="AP292" s="481"/>
      <c r="AQ292" s="491"/>
      <c r="AR292" s="456"/>
      <c r="AS292" s="456" t="s">
        <v>831</v>
      </c>
      <c r="AT292" s="456"/>
      <c r="AU292" s="522"/>
      <c r="AV292" s="481"/>
      <c r="AW292" s="456"/>
      <c r="AX292" s="481"/>
      <c r="AY292" s="491"/>
      <c r="AZ292" s="456"/>
      <c r="BA292" s="456"/>
      <c r="BB292" s="481"/>
      <c r="BC292" s="491"/>
      <c r="BD292" s="481"/>
      <c r="BE292" s="481"/>
      <c r="BF292" s="491"/>
      <c r="BG292" s="456"/>
      <c r="BH292" s="456"/>
      <c r="BI292" s="456"/>
      <c r="BJ292" s="456"/>
      <c r="BK292" s="456"/>
      <c r="BL292" s="456"/>
      <c r="BM292" s="456"/>
      <c r="BN292" s="456"/>
      <c r="BO292" s="456"/>
    </row>
    <row r="293" spans="1:67" s="469" customFormat="1" ht="15" x14ac:dyDescent="0.25">
      <c r="A293" s="499"/>
      <c r="B293" s="493" t="s">
        <v>833</v>
      </c>
      <c r="C293" s="2697" t="s">
        <v>834</v>
      </c>
      <c r="D293" s="2697"/>
      <c r="E293" s="2697"/>
      <c r="F293" s="2697"/>
      <c r="G293" s="2697"/>
      <c r="H293" s="494" t="s">
        <v>835</v>
      </c>
      <c r="I293" s="509">
        <v>0.41</v>
      </c>
      <c r="J293" s="495"/>
      <c r="K293" s="514">
        <v>7.4210000000000003</v>
      </c>
      <c r="L293" s="510">
        <v>41.38</v>
      </c>
      <c r="M293" s="511">
        <v>1.2</v>
      </c>
      <c r="N293" s="502">
        <v>49.66</v>
      </c>
      <c r="O293" s="495"/>
      <c r="P293" s="498">
        <v>368.53</v>
      </c>
      <c r="Q293" s="503"/>
      <c r="R293" s="503"/>
      <c r="S293" s="454"/>
      <c r="T293" s="454"/>
      <c r="U293" s="454"/>
      <c r="V293" s="454"/>
      <c r="W293" s="454"/>
      <c r="X293" s="454"/>
      <c r="Y293" s="454"/>
      <c r="Z293" s="454"/>
      <c r="AA293" s="454"/>
      <c r="AB293" s="456"/>
      <c r="AC293" s="456"/>
      <c r="AD293" s="456"/>
      <c r="AE293" s="456"/>
      <c r="AF293" s="456"/>
      <c r="AG293" s="456"/>
      <c r="AH293" s="456"/>
      <c r="AI293" s="456"/>
      <c r="AJ293" s="456"/>
      <c r="AK293" s="456"/>
      <c r="AL293" s="456"/>
      <c r="AM293" s="456"/>
      <c r="AN293" s="481"/>
      <c r="AO293" s="481"/>
      <c r="AP293" s="481"/>
      <c r="AQ293" s="491"/>
      <c r="AR293" s="456"/>
      <c r="AS293" s="456" t="s">
        <v>834</v>
      </c>
      <c r="AT293" s="456"/>
      <c r="AU293" s="522"/>
      <c r="AV293" s="481"/>
      <c r="AW293" s="456"/>
      <c r="AX293" s="481"/>
      <c r="AY293" s="491"/>
      <c r="AZ293" s="456"/>
      <c r="BA293" s="456"/>
      <c r="BB293" s="481"/>
      <c r="BC293" s="491"/>
      <c r="BD293" s="481"/>
      <c r="BE293" s="481"/>
      <c r="BF293" s="491"/>
      <c r="BG293" s="456"/>
      <c r="BH293" s="456"/>
      <c r="BI293" s="456"/>
      <c r="BJ293" s="456"/>
      <c r="BK293" s="456"/>
      <c r="BL293" s="456"/>
      <c r="BM293" s="456"/>
      <c r="BN293" s="456"/>
      <c r="BO293" s="456"/>
    </row>
    <row r="294" spans="1:67" s="469" customFormat="1" ht="15" x14ac:dyDescent="0.25">
      <c r="A294" s="499"/>
      <c r="B294" s="493" t="s">
        <v>836</v>
      </c>
      <c r="C294" s="2697" t="s">
        <v>837</v>
      </c>
      <c r="D294" s="2697"/>
      <c r="E294" s="2697"/>
      <c r="F294" s="2697"/>
      <c r="G294" s="2697"/>
      <c r="H294" s="494" t="s">
        <v>838</v>
      </c>
      <c r="I294" s="514">
        <v>3.2189999999999999</v>
      </c>
      <c r="J294" s="495"/>
      <c r="K294" s="496">
        <v>58.2639</v>
      </c>
      <c r="L294" s="501"/>
      <c r="M294" s="564"/>
      <c r="N294" s="502">
        <v>6.17</v>
      </c>
      <c r="O294" s="495"/>
      <c r="P294" s="498">
        <v>359.49</v>
      </c>
      <c r="Q294" s="503"/>
      <c r="R294" s="503"/>
      <c r="S294" s="454"/>
      <c r="T294" s="454"/>
      <c r="U294" s="454"/>
      <c r="V294" s="454"/>
      <c r="W294" s="454"/>
      <c r="X294" s="454"/>
      <c r="Y294" s="454"/>
      <c r="Z294" s="454"/>
      <c r="AA294" s="454"/>
      <c r="AB294" s="456"/>
      <c r="AC294" s="456"/>
      <c r="AD294" s="456"/>
      <c r="AE294" s="456"/>
      <c r="AF294" s="456"/>
      <c r="AG294" s="456"/>
      <c r="AH294" s="456"/>
      <c r="AI294" s="456"/>
      <c r="AJ294" s="456"/>
      <c r="AK294" s="456"/>
      <c r="AL294" s="456"/>
      <c r="AM294" s="456"/>
      <c r="AN294" s="481"/>
      <c r="AO294" s="481"/>
      <c r="AP294" s="481"/>
      <c r="AQ294" s="491"/>
      <c r="AR294" s="456"/>
      <c r="AS294" s="456" t="s">
        <v>837</v>
      </c>
      <c r="AT294" s="456"/>
      <c r="AU294" s="522"/>
      <c r="AV294" s="481"/>
      <c r="AW294" s="456"/>
      <c r="AX294" s="481"/>
      <c r="AY294" s="491"/>
      <c r="AZ294" s="456"/>
      <c r="BA294" s="456"/>
      <c r="BB294" s="481"/>
      <c r="BC294" s="491"/>
      <c r="BD294" s="481"/>
      <c r="BE294" s="481"/>
      <c r="BF294" s="491"/>
      <c r="BG294" s="456"/>
      <c r="BH294" s="456"/>
      <c r="BI294" s="456"/>
      <c r="BJ294" s="456"/>
      <c r="BK294" s="456"/>
      <c r="BL294" s="456"/>
      <c r="BM294" s="456"/>
      <c r="BN294" s="456"/>
      <c r="BO294" s="456"/>
    </row>
    <row r="295" spans="1:67" s="469" customFormat="1" ht="23.25" x14ac:dyDescent="0.25">
      <c r="A295" s="499"/>
      <c r="B295" s="493" t="s">
        <v>839</v>
      </c>
      <c r="C295" s="2697" t="s">
        <v>840</v>
      </c>
      <c r="D295" s="2697"/>
      <c r="E295" s="2697"/>
      <c r="F295" s="2697"/>
      <c r="G295" s="2697"/>
      <c r="H295" s="494" t="s">
        <v>835</v>
      </c>
      <c r="I295" s="513">
        <v>4</v>
      </c>
      <c r="J295" s="495"/>
      <c r="K295" s="500">
        <v>72.400000000000006</v>
      </c>
      <c r="L295" s="510">
        <v>142.68</v>
      </c>
      <c r="M295" s="506">
        <v>1.05</v>
      </c>
      <c r="N295" s="502">
        <v>149.81</v>
      </c>
      <c r="O295" s="495"/>
      <c r="P295" s="498">
        <v>10846.24</v>
      </c>
      <c r="Q295" s="503"/>
      <c r="R295" s="503"/>
      <c r="S295" s="454"/>
      <c r="T295" s="454"/>
      <c r="U295" s="454"/>
      <c r="V295" s="454"/>
      <c r="W295" s="454"/>
      <c r="X295" s="454"/>
      <c r="Y295" s="454"/>
      <c r="Z295" s="454"/>
      <c r="AA295" s="454"/>
      <c r="AB295" s="456"/>
      <c r="AC295" s="456"/>
      <c r="AD295" s="456"/>
      <c r="AE295" s="456"/>
      <c r="AF295" s="456"/>
      <c r="AG295" s="456"/>
      <c r="AH295" s="456"/>
      <c r="AI295" s="456"/>
      <c r="AJ295" s="456"/>
      <c r="AK295" s="456"/>
      <c r="AL295" s="456"/>
      <c r="AM295" s="456"/>
      <c r="AN295" s="481"/>
      <c r="AO295" s="481"/>
      <c r="AP295" s="481"/>
      <c r="AQ295" s="491"/>
      <c r="AR295" s="456"/>
      <c r="AS295" s="456" t="s">
        <v>840</v>
      </c>
      <c r="AT295" s="456"/>
      <c r="AU295" s="522"/>
      <c r="AV295" s="481"/>
      <c r="AW295" s="456"/>
      <c r="AX295" s="481"/>
      <c r="AY295" s="491"/>
      <c r="AZ295" s="456"/>
      <c r="BA295" s="456"/>
      <c r="BB295" s="481"/>
      <c r="BC295" s="491"/>
      <c r="BD295" s="481"/>
      <c r="BE295" s="481"/>
      <c r="BF295" s="491"/>
      <c r="BG295" s="456"/>
      <c r="BH295" s="456"/>
      <c r="BI295" s="456"/>
      <c r="BJ295" s="456"/>
      <c r="BK295" s="456"/>
      <c r="BL295" s="456"/>
      <c r="BM295" s="456"/>
      <c r="BN295" s="456"/>
      <c r="BO295" s="456"/>
    </row>
    <row r="296" spans="1:67" s="469" customFormat="1" ht="15" x14ac:dyDescent="0.25">
      <c r="A296" s="499"/>
      <c r="B296" s="493" t="s">
        <v>841</v>
      </c>
      <c r="C296" s="2697" t="s">
        <v>842</v>
      </c>
      <c r="D296" s="2697"/>
      <c r="E296" s="2697"/>
      <c r="F296" s="2697"/>
      <c r="G296" s="2697"/>
      <c r="H296" s="494" t="s">
        <v>801</v>
      </c>
      <c r="I296" s="504">
        <v>1.0000000000000001E-5</v>
      </c>
      <c r="J296" s="495"/>
      <c r="K296" s="528">
        <v>1.8100000000000001E-4</v>
      </c>
      <c r="L296" s="505">
        <v>70296.2</v>
      </c>
      <c r="M296" s="506">
        <v>1.17</v>
      </c>
      <c r="N296" s="502">
        <v>82246.55</v>
      </c>
      <c r="O296" s="495"/>
      <c r="P296" s="498">
        <v>14.89</v>
      </c>
      <c r="Q296" s="503"/>
      <c r="R296" s="503"/>
      <c r="S296" s="454"/>
      <c r="T296" s="454"/>
      <c r="U296" s="454"/>
      <c r="V296" s="454"/>
      <c r="W296" s="454"/>
      <c r="X296" s="454"/>
      <c r="Y296" s="454"/>
      <c r="Z296" s="454"/>
      <c r="AA296" s="454"/>
      <c r="AB296" s="456"/>
      <c r="AC296" s="456"/>
      <c r="AD296" s="456"/>
      <c r="AE296" s="456"/>
      <c r="AF296" s="456"/>
      <c r="AG296" s="456"/>
      <c r="AH296" s="456"/>
      <c r="AI296" s="456"/>
      <c r="AJ296" s="456"/>
      <c r="AK296" s="456"/>
      <c r="AL296" s="456"/>
      <c r="AM296" s="456"/>
      <c r="AN296" s="481"/>
      <c r="AO296" s="481"/>
      <c r="AP296" s="481"/>
      <c r="AQ296" s="491"/>
      <c r="AR296" s="456"/>
      <c r="AS296" s="456" t="s">
        <v>842</v>
      </c>
      <c r="AT296" s="456"/>
      <c r="AU296" s="522"/>
      <c r="AV296" s="481"/>
      <c r="AW296" s="456"/>
      <c r="AX296" s="481"/>
      <c r="AY296" s="491"/>
      <c r="AZ296" s="456"/>
      <c r="BA296" s="456"/>
      <c r="BB296" s="481"/>
      <c r="BC296" s="491"/>
      <c r="BD296" s="481"/>
      <c r="BE296" s="481"/>
      <c r="BF296" s="491"/>
      <c r="BG296" s="456"/>
      <c r="BH296" s="456"/>
      <c r="BI296" s="456"/>
      <c r="BJ296" s="456"/>
      <c r="BK296" s="456"/>
      <c r="BL296" s="456"/>
      <c r="BM296" s="456"/>
      <c r="BN296" s="456"/>
      <c r="BO296" s="456"/>
    </row>
    <row r="297" spans="1:67" s="469" customFormat="1" ht="15" x14ac:dyDescent="0.25">
      <c r="A297" s="499"/>
      <c r="B297" s="493" t="s">
        <v>843</v>
      </c>
      <c r="C297" s="2697" t="s">
        <v>844</v>
      </c>
      <c r="D297" s="2697"/>
      <c r="E297" s="2697"/>
      <c r="F297" s="2697"/>
      <c r="G297" s="2697"/>
      <c r="H297" s="494" t="s">
        <v>801</v>
      </c>
      <c r="I297" s="496">
        <v>1E-4</v>
      </c>
      <c r="J297" s="495"/>
      <c r="K297" s="504">
        <v>1.81E-3</v>
      </c>
      <c r="L297" s="505">
        <v>231787.35</v>
      </c>
      <c r="M297" s="511">
        <v>1.9</v>
      </c>
      <c r="N297" s="502">
        <v>440395.97</v>
      </c>
      <c r="O297" s="495"/>
      <c r="P297" s="498">
        <v>797.12</v>
      </c>
      <c r="Q297" s="503"/>
      <c r="R297" s="503"/>
      <c r="S297" s="454"/>
      <c r="T297" s="454"/>
      <c r="U297" s="454"/>
      <c r="V297" s="454"/>
      <c r="W297" s="454"/>
      <c r="X297" s="454"/>
      <c r="Y297" s="454"/>
      <c r="Z297" s="454"/>
      <c r="AA297" s="454"/>
      <c r="AB297" s="456"/>
      <c r="AC297" s="456"/>
      <c r="AD297" s="456"/>
      <c r="AE297" s="456"/>
      <c r="AF297" s="456"/>
      <c r="AG297" s="456"/>
      <c r="AH297" s="456"/>
      <c r="AI297" s="456"/>
      <c r="AJ297" s="456"/>
      <c r="AK297" s="456"/>
      <c r="AL297" s="456"/>
      <c r="AM297" s="456"/>
      <c r="AN297" s="481"/>
      <c r="AO297" s="481"/>
      <c r="AP297" s="481"/>
      <c r="AQ297" s="491"/>
      <c r="AR297" s="456"/>
      <c r="AS297" s="456" t="s">
        <v>844</v>
      </c>
      <c r="AT297" s="456"/>
      <c r="AU297" s="522"/>
      <c r="AV297" s="481"/>
      <c r="AW297" s="456"/>
      <c r="AX297" s="481"/>
      <c r="AY297" s="491"/>
      <c r="AZ297" s="456"/>
      <c r="BA297" s="456"/>
      <c r="BB297" s="481"/>
      <c r="BC297" s="491"/>
      <c r="BD297" s="481"/>
      <c r="BE297" s="481"/>
      <c r="BF297" s="491"/>
      <c r="BG297" s="456"/>
      <c r="BH297" s="456"/>
      <c r="BI297" s="456"/>
      <c r="BJ297" s="456"/>
      <c r="BK297" s="456"/>
      <c r="BL297" s="456"/>
      <c r="BM297" s="456"/>
      <c r="BN297" s="456"/>
      <c r="BO297" s="456"/>
    </row>
    <row r="298" spans="1:67" s="469" customFormat="1" ht="23.25" x14ac:dyDescent="0.25">
      <c r="A298" s="499"/>
      <c r="B298" s="493" t="s">
        <v>845</v>
      </c>
      <c r="C298" s="2697" t="s">
        <v>846</v>
      </c>
      <c r="D298" s="2697"/>
      <c r="E298" s="2697"/>
      <c r="F298" s="2697"/>
      <c r="G298" s="2697"/>
      <c r="H298" s="494" t="s">
        <v>801</v>
      </c>
      <c r="I298" s="514">
        <v>1E-3</v>
      </c>
      <c r="J298" s="495"/>
      <c r="K298" s="496">
        <v>1.8100000000000002E-2</v>
      </c>
      <c r="L298" s="505">
        <v>105278.81</v>
      </c>
      <c r="M298" s="506">
        <v>1.1599999999999999</v>
      </c>
      <c r="N298" s="502">
        <v>122123.42</v>
      </c>
      <c r="O298" s="495"/>
      <c r="P298" s="498">
        <v>2210.4299999999998</v>
      </c>
      <c r="Q298" s="503"/>
      <c r="R298" s="503"/>
      <c r="S298" s="454"/>
      <c r="T298" s="454"/>
      <c r="U298" s="454"/>
      <c r="V298" s="454"/>
      <c r="W298" s="454"/>
      <c r="X298" s="454"/>
      <c r="Y298" s="454"/>
      <c r="Z298" s="454"/>
      <c r="AA298" s="454"/>
      <c r="AB298" s="456"/>
      <c r="AC298" s="456"/>
      <c r="AD298" s="456"/>
      <c r="AE298" s="456"/>
      <c r="AF298" s="456"/>
      <c r="AG298" s="456"/>
      <c r="AH298" s="456"/>
      <c r="AI298" s="456"/>
      <c r="AJ298" s="456"/>
      <c r="AK298" s="456"/>
      <c r="AL298" s="456"/>
      <c r="AM298" s="456"/>
      <c r="AN298" s="481"/>
      <c r="AO298" s="481"/>
      <c r="AP298" s="481"/>
      <c r="AQ298" s="491"/>
      <c r="AR298" s="456"/>
      <c r="AS298" s="456" t="s">
        <v>846</v>
      </c>
      <c r="AT298" s="456"/>
      <c r="AU298" s="522"/>
      <c r="AV298" s="481"/>
      <c r="AW298" s="456"/>
      <c r="AX298" s="481"/>
      <c r="AY298" s="491"/>
      <c r="AZ298" s="456"/>
      <c r="BA298" s="456"/>
      <c r="BB298" s="481"/>
      <c r="BC298" s="491"/>
      <c r="BD298" s="481"/>
      <c r="BE298" s="481"/>
      <c r="BF298" s="491"/>
      <c r="BG298" s="456"/>
      <c r="BH298" s="456"/>
      <c r="BI298" s="456"/>
      <c r="BJ298" s="456"/>
      <c r="BK298" s="456"/>
      <c r="BL298" s="456"/>
      <c r="BM298" s="456"/>
      <c r="BN298" s="456"/>
      <c r="BO298" s="456"/>
    </row>
    <row r="299" spans="1:67" s="469" customFormat="1" ht="34.5" x14ac:dyDescent="0.25">
      <c r="A299" s="499"/>
      <c r="B299" s="493" t="s">
        <v>847</v>
      </c>
      <c r="C299" s="2697" t="s">
        <v>848</v>
      </c>
      <c r="D299" s="2697"/>
      <c r="E299" s="2697"/>
      <c r="F299" s="2697"/>
      <c r="G299" s="2697"/>
      <c r="H299" s="494" t="s">
        <v>849</v>
      </c>
      <c r="I299" s="496">
        <v>1.8700000000000001E-2</v>
      </c>
      <c r="J299" s="495"/>
      <c r="K299" s="504">
        <v>0.33846999999999999</v>
      </c>
      <c r="L299" s="510">
        <v>307.83999999999997</v>
      </c>
      <c r="M299" s="506">
        <v>1.03</v>
      </c>
      <c r="N299" s="502">
        <v>317.08</v>
      </c>
      <c r="O299" s="495"/>
      <c r="P299" s="498">
        <v>107.32</v>
      </c>
      <c r="Q299" s="503"/>
      <c r="R299" s="503"/>
      <c r="S299" s="454"/>
      <c r="T299" s="454"/>
      <c r="U299" s="454"/>
      <c r="V299" s="454"/>
      <c r="W299" s="454"/>
      <c r="X299" s="454"/>
      <c r="Y299" s="454"/>
      <c r="Z299" s="454"/>
      <c r="AA299" s="454"/>
      <c r="AB299" s="456"/>
      <c r="AC299" s="456"/>
      <c r="AD299" s="456"/>
      <c r="AE299" s="456"/>
      <c r="AF299" s="456"/>
      <c r="AG299" s="456"/>
      <c r="AH299" s="456"/>
      <c r="AI299" s="456"/>
      <c r="AJ299" s="456"/>
      <c r="AK299" s="456"/>
      <c r="AL299" s="456"/>
      <c r="AM299" s="456"/>
      <c r="AN299" s="481"/>
      <c r="AO299" s="481"/>
      <c r="AP299" s="481"/>
      <c r="AQ299" s="491"/>
      <c r="AR299" s="456"/>
      <c r="AS299" s="456" t="s">
        <v>848</v>
      </c>
      <c r="AT299" s="456"/>
      <c r="AU299" s="522"/>
      <c r="AV299" s="481"/>
      <c r="AW299" s="456"/>
      <c r="AX299" s="481"/>
      <c r="AY299" s="491"/>
      <c r="AZ299" s="456"/>
      <c r="BA299" s="456"/>
      <c r="BB299" s="481"/>
      <c r="BC299" s="491"/>
      <c r="BD299" s="481"/>
      <c r="BE299" s="481"/>
      <c r="BF299" s="491"/>
      <c r="BG299" s="456"/>
      <c r="BH299" s="456"/>
      <c r="BI299" s="456"/>
      <c r="BJ299" s="456"/>
      <c r="BK299" s="456"/>
      <c r="BL299" s="456"/>
      <c r="BM299" s="456"/>
      <c r="BN299" s="456"/>
      <c r="BO299" s="456"/>
    </row>
    <row r="300" spans="1:67" s="469" customFormat="1" ht="15" x14ac:dyDescent="0.25">
      <c r="A300" s="499"/>
      <c r="B300" s="493" t="s">
        <v>850</v>
      </c>
      <c r="C300" s="2697" t="s">
        <v>851</v>
      </c>
      <c r="D300" s="2697"/>
      <c r="E300" s="2697"/>
      <c r="F300" s="2697"/>
      <c r="G300" s="2697"/>
      <c r="H300" s="494" t="s">
        <v>801</v>
      </c>
      <c r="I300" s="504">
        <v>3.0000000000000001E-5</v>
      </c>
      <c r="J300" s="495"/>
      <c r="K300" s="528">
        <v>5.4299999999999997E-4</v>
      </c>
      <c r="L300" s="505">
        <v>60258.2</v>
      </c>
      <c r="M300" s="506">
        <v>1.19</v>
      </c>
      <c r="N300" s="502">
        <v>71707.259999999995</v>
      </c>
      <c r="O300" s="495"/>
      <c r="P300" s="498">
        <v>38.94</v>
      </c>
      <c r="Q300" s="503"/>
      <c r="R300" s="503"/>
      <c r="S300" s="454"/>
      <c r="T300" s="454"/>
      <c r="U300" s="454"/>
      <c r="V300" s="454"/>
      <c r="W300" s="454"/>
      <c r="X300" s="454"/>
      <c r="Y300" s="454"/>
      <c r="Z300" s="454"/>
      <c r="AA300" s="454"/>
      <c r="AB300" s="456"/>
      <c r="AC300" s="456"/>
      <c r="AD300" s="456"/>
      <c r="AE300" s="456"/>
      <c r="AF300" s="456"/>
      <c r="AG300" s="456"/>
      <c r="AH300" s="456"/>
      <c r="AI300" s="456"/>
      <c r="AJ300" s="456"/>
      <c r="AK300" s="456"/>
      <c r="AL300" s="456"/>
      <c r="AM300" s="456"/>
      <c r="AN300" s="481"/>
      <c r="AO300" s="481"/>
      <c r="AP300" s="481"/>
      <c r="AQ300" s="491"/>
      <c r="AR300" s="456"/>
      <c r="AS300" s="456" t="s">
        <v>851</v>
      </c>
      <c r="AT300" s="456"/>
      <c r="AU300" s="522"/>
      <c r="AV300" s="481"/>
      <c r="AW300" s="456"/>
      <c r="AX300" s="481"/>
      <c r="AY300" s="491"/>
      <c r="AZ300" s="456"/>
      <c r="BA300" s="456"/>
      <c r="BB300" s="481"/>
      <c r="BC300" s="491"/>
      <c r="BD300" s="481"/>
      <c r="BE300" s="481"/>
      <c r="BF300" s="491"/>
      <c r="BG300" s="456"/>
      <c r="BH300" s="456"/>
      <c r="BI300" s="456"/>
      <c r="BJ300" s="456"/>
      <c r="BK300" s="456"/>
      <c r="BL300" s="456"/>
      <c r="BM300" s="456"/>
      <c r="BN300" s="456"/>
      <c r="BO300" s="456"/>
    </row>
    <row r="301" spans="1:67" s="469" customFormat="1" ht="23.25" x14ac:dyDescent="0.25">
      <c r="A301" s="499"/>
      <c r="B301" s="493" t="s">
        <v>852</v>
      </c>
      <c r="C301" s="2697" t="s">
        <v>853</v>
      </c>
      <c r="D301" s="2697"/>
      <c r="E301" s="2697"/>
      <c r="F301" s="2697"/>
      <c r="G301" s="2697"/>
      <c r="H301" s="494" t="s">
        <v>801</v>
      </c>
      <c r="I301" s="504">
        <v>1.9400000000000001E-3</v>
      </c>
      <c r="J301" s="495"/>
      <c r="K301" s="528">
        <v>3.5113999999999999E-2</v>
      </c>
      <c r="L301" s="505">
        <v>136760</v>
      </c>
      <c r="M301" s="506">
        <v>1.05</v>
      </c>
      <c r="N301" s="502">
        <v>143598</v>
      </c>
      <c r="O301" s="495"/>
      <c r="P301" s="498">
        <v>5042.3</v>
      </c>
      <c r="Q301" s="503"/>
      <c r="R301" s="503"/>
      <c r="S301" s="454"/>
      <c r="T301" s="454"/>
      <c r="U301" s="454"/>
      <c r="V301" s="454"/>
      <c r="W301" s="454"/>
      <c r="X301" s="454"/>
      <c r="Y301" s="454"/>
      <c r="Z301" s="454"/>
      <c r="AA301" s="454"/>
      <c r="AB301" s="456"/>
      <c r="AC301" s="456"/>
      <c r="AD301" s="456"/>
      <c r="AE301" s="456"/>
      <c r="AF301" s="456"/>
      <c r="AG301" s="456"/>
      <c r="AH301" s="456"/>
      <c r="AI301" s="456"/>
      <c r="AJ301" s="456"/>
      <c r="AK301" s="456"/>
      <c r="AL301" s="456"/>
      <c r="AM301" s="456"/>
      <c r="AN301" s="481"/>
      <c r="AO301" s="481"/>
      <c r="AP301" s="481"/>
      <c r="AQ301" s="491"/>
      <c r="AR301" s="456"/>
      <c r="AS301" s="456" t="s">
        <v>853</v>
      </c>
      <c r="AT301" s="456"/>
      <c r="AU301" s="522"/>
      <c r="AV301" s="481"/>
      <c r="AW301" s="456"/>
      <c r="AX301" s="481"/>
      <c r="AY301" s="491"/>
      <c r="AZ301" s="456"/>
      <c r="BA301" s="456"/>
      <c r="BB301" s="481"/>
      <c r="BC301" s="491"/>
      <c r="BD301" s="481"/>
      <c r="BE301" s="481"/>
      <c r="BF301" s="491"/>
      <c r="BG301" s="456"/>
      <c r="BH301" s="456"/>
      <c r="BI301" s="456"/>
      <c r="BJ301" s="456"/>
      <c r="BK301" s="456"/>
      <c r="BL301" s="456"/>
      <c r="BM301" s="456"/>
      <c r="BN301" s="456"/>
      <c r="BO301" s="456"/>
    </row>
    <row r="302" spans="1:67" s="469" customFormat="1" ht="34.5" x14ac:dyDescent="0.25">
      <c r="A302" s="499"/>
      <c r="B302" s="493" t="s">
        <v>854</v>
      </c>
      <c r="C302" s="2697" t="s">
        <v>855</v>
      </c>
      <c r="D302" s="2697"/>
      <c r="E302" s="2697"/>
      <c r="F302" s="2697"/>
      <c r="G302" s="2697"/>
      <c r="H302" s="494" t="s">
        <v>832</v>
      </c>
      <c r="I302" s="504">
        <v>1.0300000000000001E-3</v>
      </c>
      <c r="J302" s="495"/>
      <c r="K302" s="528">
        <v>1.8643E-2</v>
      </c>
      <c r="L302" s="505">
        <v>16496.03</v>
      </c>
      <c r="M302" s="506">
        <v>0.86</v>
      </c>
      <c r="N302" s="502">
        <v>14186.59</v>
      </c>
      <c r="O302" s="495"/>
      <c r="P302" s="498">
        <v>264.48</v>
      </c>
      <c r="Q302" s="503"/>
      <c r="R302" s="503"/>
      <c r="S302" s="454"/>
      <c r="T302" s="454"/>
      <c r="U302" s="454"/>
      <c r="V302" s="454"/>
      <c r="W302" s="454"/>
      <c r="X302" s="454"/>
      <c r="Y302" s="454"/>
      <c r="Z302" s="454"/>
      <c r="AA302" s="454"/>
      <c r="AB302" s="456"/>
      <c r="AC302" s="456"/>
      <c r="AD302" s="456"/>
      <c r="AE302" s="456"/>
      <c r="AF302" s="456"/>
      <c r="AG302" s="456"/>
      <c r="AH302" s="456"/>
      <c r="AI302" s="456"/>
      <c r="AJ302" s="456"/>
      <c r="AK302" s="456"/>
      <c r="AL302" s="456"/>
      <c r="AM302" s="456"/>
      <c r="AN302" s="481"/>
      <c r="AO302" s="481"/>
      <c r="AP302" s="481"/>
      <c r="AQ302" s="491"/>
      <c r="AR302" s="456"/>
      <c r="AS302" s="456" t="s">
        <v>855</v>
      </c>
      <c r="AT302" s="456"/>
      <c r="AU302" s="522"/>
      <c r="AV302" s="481"/>
      <c r="AW302" s="456"/>
      <c r="AX302" s="481"/>
      <c r="AY302" s="491"/>
      <c r="AZ302" s="456"/>
      <c r="BA302" s="456"/>
      <c r="BB302" s="481"/>
      <c r="BC302" s="491"/>
      <c r="BD302" s="481"/>
      <c r="BE302" s="481"/>
      <c r="BF302" s="491"/>
      <c r="BG302" s="456"/>
      <c r="BH302" s="456"/>
      <c r="BI302" s="456"/>
      <c r="BJ302" s="456"/>
      <c r="BK302" s="456"/>
      <c r="BL302" s="456"/>
      <c r="BM302" s="456"/>
      <c r="BN302" s="456"/>
      <c r="BO302" s="456"/>
    </row>
    <row r="303" spans="1:67" s="469" customFormat="1" ht="15" x14ac:dyDescent="0.25">
      <c r="A303" s="499"/>
      <c r="B303" s="493" t="s">
        <v>856</v>
      </c>
      <c r="C303" s="2697" t="s">
        <v>857</v>
      </c>
      <c r="D303" s="2697"/>
      <c r="E303" s="2697"/>
      <c r="F303" s="2697"/>
      <c r="G303" s="2697"/>
      <c r="H303" s="494" t="s">
        <v>801</v>
      </c>
      <c r="I303" s="504">
        <v>3.1E-4</v>
      </c>
      <c r="J303" s="495"/>
      <c r="K303" s="528">
        <v>5.6109999999999997E-3</v>
      </c>
      <c r="L303" s="505">
        <v>51280.15</v>
      </c>
      <c r="M303" s="506">
        <v>1.71</v>
      </c>
      <c r="N303" s="502">
        <v>87689.06</v>
      </c>
      <c r="O303" s="495"/>
      <c r="P303" s="498">
        <v>492.02</v>
      </c>
      <c r="Q303" s="503"/>
      <c r="R303" s="503"/>
      <c r="S303" s="454"/>
      <c r="T303" s="454"/>
      <c r="U303" s="454"/>
      <c r="V303" s="454"/>
      <c r="W303" s="454"/>
      <c r="X303" s="454"/>
      <c r="Y303" s="454"/>
      <c r="Z303" s="454"/>
      <c r="AA303" s="454"/>
      <c r="AB303" s="456"/>
      <c r="AC303" s="456"/>
      <c r="AD303" s="456"/>
      <c r="AE303" s="456"/>
      <c r="AF303" s="456"/>
      <c r="AG303" s="456"/>
      <c r="AH303" s="456"/>
      <c r="AI303" s="456"/>
      <c r="AJ303" s="456"/>
      <c r="AK303" s="456"/>
      <c r="AL303" s="456"/>
      <c r="AM303" s="456"/>
      <c r="AN303" s="481"/>
      <c r="AO303" s="481"/>
      <c r="AP303" s="481"/>
      <c r="AQ303" s="491"/>
      <c r="AR303" s="456"/>
      <c r="AS303" s="456" t="s">
        <v>857</v>
      </c>
      <c r="AT303" s="456"/>
      <c r="AU303" s="522"/>
      <c r="AV303" s="481"/>
      <c r="AW303" s="456"/>
      <c r="AX303" s="481"/>
      <c r="AY303" s="491"/>
      <c r="AZ303" s="456"/>
      <c r="BA303" s="456"/>
      <c r="BB303" s="481"/>
      <c r="BC303" s="491"/>
      <c r="BD303" s="481"/>
      <c r="BE303" s="481"/>
      <c r="BF303" s="491"/>
      <c r="BG303" s="456"/>
      <c r="BH303" s="456"/>
      <c r="BI303" s="456"/>
      <c r="BJ303" s="456"/>
      <c r="BK303" s="456"/>
      <c r="BL303" s="456"/>
      <c r="BM303" s="456"/>
      <c r="BN303" s="456"/>
      <c r="BO303" s="456"/>
    </row>
    <row r="304" spans="1:67" s="469" customFormat="1" ht="15" x14ac:dyDescent="0.25">
      <c r="A304" s="499"/>
      <c r="B304" s="493" t="s">
        <v>858</v>
      </c>
      <c r="C304" s="2697" t="s">
        <v>859</v>
      </c>
      <c r="D304" s="2697"/>
      <c r="E304" s="2697"/>
      <c r="F304" s="2697"/>
      <c r="G304" s="2697"/>
      <c r="H304" s="494" t="s">
        <v>801</v>
      </c>
      <c r="I304" s="496">
        <v>5.9999999999999995E-4</v>
      </c>
      <c r="J304" s="495"/>
      <c r="K304" s="504">
        <v>1.086E-2</v>
      </c>
      <c r="L304" s="505">
        <v>98526.45</v>
      </c>
      <c r="M304" s="506">
        <v>1.1599999999999999</v>
      </c>
      <c r="N304" s="502">
        <v>114290.68</v>
      </c>
      <c r="O304" s="495"/>
      <c r="P304" s="498">
        <v>1241.2</v>
      </c>
      <c r="Q304" s="503"/>
      <c r="R304" s="503"/>
      <c r="S304" s="454"/>
      <c r="T304" s="454"/>
      <c r="U304" s="454"/>
      <c r="V304" s="454"/>
      <c r="W304" s="454"/>
      <c r="X304" s="454"/>
      <c r="Y304" s="454"/>
      <c r="Z304" s="454"/>
      <c r="AA304" s="454"/>
      <c r="AB304" s="456"/>
      <c r="AC304" s="456"/>
      <c r="AD304" s="456"/>
      <c r="AE304" s="456"/>
      <c r="AF304" s="456"/>
      <c r="AG304" s="456"/>
      <c r="AH304" s="456"/>
      <c r="AI304" s="456"/>
      <c r="AJ304" s="456"/>
      <c r="AK304" s="456"/>
      <c r="AL304" s="456"/>
      <c r="AM304" s="456"/>
      <c r="AN304" s="481"/>
      <c r="AO304" s="481"/>
      <c r="AP304" s="481"/>
      <c r="AQ304" s="491"/>
      <c r="AR304" s="456"/>
      <c r="AS304" s="456" t="s">
        <v>859</v>
      </c>
      <c r="AT304" s="456"/>
      <c r="AU304" s="522"/>
      <c r="AV304" s="481"/>
      <c r="AW304" s="456"/>
      <c r="AX304" s="481"/>
      <c r="AY304" s="491"/>
      <c r="AZ304" s="456"/>
      <c r="BA304" s="456"/>
      <c r="BB304" s="481"/>
      <c r="BC304" s="491"/>
      <c r="BD304" s="481"/>
      <c r="BE304" s="481"/>
      <c r="BF304" s="491"/>
      <c r="BG304" s="456"/>
      <c r="BH304" s="456"/>
      <c r="BI304" s="456"/>
      <c r="BJ304" s="456"/>
      <c r="BK304" s="456"/>
      <c r="BL304" s="456"/>
      <c r="BM304" s="456"/>
      <c r="BN304" s="456"/>
      <c r="BO304" s="456"/>
    </row>
    <row r="305" spans="1:67" s="469" customFormat="1" ht="15" x14ac:dyDescent="0.25">
      <c r="A305" s="515" t="s">
        <v>860</v>
      </c>
      <c r="B305" s="516" t="s">
        <v>861</v>
      </c>
      <c r="C305" s="2751" t="s">
        <v>862</v>
      </c>
      <c r="D305" s="2751"/>
      <c r="E305" s="2751"/>
      <c r="F305" s="2751"/>
      <c r="G305" s="2751"/>
      <c r="H305" s="517" t="s">
        <v>835</v>
      </c>
      <c r="I305" s="518">
        <v>0</v>
      </c>
      <c r="J305" s="520"/>
      <c r="K305" s="518">
        <v>0</v>
      </c>
      <c r="L305" s="519"/>
      <c r="M305" s="520"/>
      <c r="N305" s="519"/>
      <c r="O305" s="520"/>
      <c r="P305" s="521"/>
      <c r="Q305" s="454"/>
      <c r="R305" s="454"/>
      <c r="S305" s="454"/>
      <c r="T305" s="454"/>
      <c r="U305" s="454"/>
      <c r="V305" s="454"/>
      <c r="W305" s="454"/>
      <c r="X305" s="454"/>
      <c r="Y305" s="454"/>
      <c r="Z305" s="454"/>
      <c r="AA305" s="454"/>
      <c r="AB305" s="456"/>
      <c r="AC305" s="456"/>
      <c r="AD305" s="456"/>
      <c r="AE305" s="456"/>
      <c r="AF305" s="456"/>
      <c r="AG305" s="456"/>
      <c r="AH305" s="456"/>
      <c r="AI305" s="456"/>
      <c r="AJ305" s="456"/>
      <c r="AK305" s="456"/>
      <c r="AL305" s="456"/>
      <c r="AM305" s="456"/>
      <c r="AN305" s="481"/>
      <c r="AO305" s="481"/>
      <c r="AP305" s="481"/>
      <c r="AQ305" s="491"/>
      <c r="AR305" s="456"/>
      <c r="AS305" s="456"/>
      <c r="AT305" s="456"/>
      <c r="AU305" s="522" t="s">
        <v>862</v>
      </c>
      <c r="AV305" s="481"/>
      <c r="AW305" s="456"/>
      <c r="AX305" s="481"/>
      <c r="AY305" s="491"/>
      <c r="AZ305" s="456"/>
      <c r="BA305" s="456"/>
      <c r="BB305" s="481"/>
      <c r="BC305" s="491"/>
      <c r="BD305" s="481"/>
      <c r="BE305" s="481"/>
      <c r="BF305" s="491"/>
      <c r="BG305" s="456"/>
      <c r="BH305" s="456"/>
      <c r="BI305" s="456"/>
      <c r="BJ305" s="456"/>
      <c r="BK305" s="456"/>
      <c r="BL305" s="456"/>
      <c r="BM305" s="456"/>
      <c r="BN305" s="456"/>
      <c r="BO305" s="456"/>
    </row>
    <row r="306" spans="1:67" s="469" customFormat="1" ht="15" x14ac:dyDescent="0.25">
      <c r="A306" s="515" t="s">
        <v>863</v>
      </c>
      <c r="B306" s="516" t="s">
        <v>864</v>
      </c>
      <c r="C306" s="2751" t="s">
        <v>865</v>
      </c>
      <c r="D306" s="2751"/>
      <c r="E306" s="2751"/>
      <c r="F306" s="2751"/>
      <c r="G306" s="2751"/>
      <c r="H306" s="517" t="s">
        <v>801</v>
      </c>
      <c r="I306" s="518">
        <v>1</v>
      </c>
      <c r="J306" s="520"/>
      <c r="K306" s="529">
        <v>18.100000000000001</v>
      </c>
      <c r="L306" s="519"/>
      <c r="M306" s="520"/>
      <c r="N306" s="519"/>
      <c r="O306" s="520"/>
      <c r="P306" s="521"/>
      <c r="Q306" s="454"/>
      <c r="R306" s="454"/>
      <c r="S306" s="454"/>
      <c r="T306" s="454"/>
      <c r="U306" s="454"/>
      <c r="V306" s="454"/>
      <c r="W306" s="454"/>
      <c r="X306" s="454"/>
      <c r="Y306" s="454"/>
      <c r="Z306" s="454"/>
      <c r="AA306" s="454"/>
      <c r="AB306" s="456"/>
      <c r="AC306" s="456"/>
      <c r="AD306" s="456"/>
      <c r="AE306" s="456"/>
      <c r="AF306" s="456"/>
      <c r="AG306" s="456"/>
      <c r="AH306" s="456"/>
      <c r="AI306" s="456"/>
      <c r="AJ306" s="456"/>
      <c r="AK306" s="456"/>
      <c r="AL306" s="456"/>
      <c r="AM306" s="456"/>
      <c r="AN306" s="481"/>
      <c r="AO306" s="481"/>
      <c r="AP306" s="481"/>
      <c r="AQ306" s="491"/>
      <c r="AR306" s="456"/>
      <c r="AS306" s="456"/>
      <c r="AT306" s="456"/>
      <c r="AU306" s="522" t="s">
        <v>865</v>
      </c>
      <c r="AV306" s="481"/>
      <c r="AW306" s="456"/>
      <c r="AX306" s="481"/>
      <c r="AY306" s="491"/>
      <c r="AZ306" s="456"/>
      <c r="BA306" s="456"/>
      <c r="BB306" s="481"/>
      <c r="BC306" s="491"/>
      <c r="BD306" s="481"/>
      <c r="BE306" s="481"/>
      <c r="BF306" s="491"/>
      <c r="BG306" s="456"/>
      <c r="BH306" s="456"/>
      <c r="BI306" s="456"/>
      <c r="BJ306" s="456"/>
      <c r="BK306" s="456"/>
      <c r="BL306" s="456"/>
      <c r="BM306" s="456"/>
      <c r="BN306" s="456"/>
      <c r="BO306" s="456"/>
    </row>
    <row r="307" spans="1:67" s="469" customFormat="1" ht="15" x14ac:dyDescent="0.25">
      <c r="A307" s="523"/>
      <c r="B307" s="490"/>
      <c r="C307" s="2722" t="s">
        <v>866</v>
      </c>
      <c r="D307" s="2722"/>
      <c r="E307" s="2722"/>
      <c r="F307" s="2722"/>
      <c r="G307" s="2722"/>
      <c r="H307" s="483"/>
      <c r="I307" s="484"/>
      <c r="J307" s="484"/>
      <c r="K307" s="484"/>
      <c r="L307" s="487"/>
      <c r="M307" s="484"/>
      <c r="N307" s="524"/>
      <c r="O307" s="484"/>
      <c r="P307" s="525">
        <v>526780.41</v>
      </c>
      <c r="Q307" s="503"/>
      <c r="R307" s="503"/>
      <c r="S307" s="454"/>
      <c r="T307" s="454"/>
      <c r="U307" s="454"/>
      <c r="V307" s="454"/>
      <c r="W307" s="454"/>
      <c r="X307" s="454"/>
      <c r="Y307" s="454"/>
      <c r="Z307" s="454"/>
      <c r="AA307" s="454"/>
      <c r="AB307" s="456"/>
      <c r="AC307" s="456"/>
      <c r="AD307" s="456"/>
      <c r="AE307" s="456"/>
      <c r="AF307" s="456"/>
      <c r="AG307" s="456"/>
      <c r="AH307" s="456"/>
      <c r="AI307" s="456"/>
      <c r="AJ307" s="456"/>
      <c r="AK307" s="456"/>
      <c r="AL307" s="456"/>
      <c r="AM307" s="456"/>
      <c r="AN307" s="481"/>
      <c r="AO307" s="481"/>
      <c r="AP307" s="481"/>
      <c r="AQ307" s="491"/>
      <c r="AR307" s="456"/>
      <c r="AS307" s="456"/>
      <c r="AT307" s="456"/>
      <c r="AU307" s="522"/>
      <c r="AV307" s="481" t="s">
        <v>866</v>
      </c>
      <c r="AW307" s="456"/>
      <c r="AX307" s="481"/>
      <c r="AY307" s="491"/>
      <c r="AZ307" s="456"/>
      <c r="BA307" s="456"/>
      <c r="BB307" s="481"/>
      <c r="BC307" s="491"/>
      <c r="BD307" s="481"/>
      <c r="BE307" s="481"/>
      <c r="BF307" s="491"/>
      <c r="BG307" s="456"/>
      <c r="BH307" s="456"/>
      <c r="BI307" s="456"/>
      <c r="BJ307" s="456"/>
      <c r="BK307" s="456"/>
      <c r="BL307" s="456"/>
      <c r="BM307" s="456"/>
      <c r="BN307" s="456"/>
      <c r="BO307" s="456"/>
    </row>
    <row r="308" spans="1:67" s="469" customFormat="1" ht="15" x14ac:dyDescent="0.25">
      <c r="A308" s="507"/>
      <c r="B308" s="493"/>
      <c r="C308" s="2697" t="s">
        <v>867</v>
      </c>
      <c r="D308" s="2697"/>
      <c r="E308" s="2697"/>
      <c r="F308" s="2697"/>
      <c r="G308" s="2697"/>
      <c r="H308" s="494"/>
      <c r="I308" s="495"/>
      <c r="J308" s="495"/>
      <c r="K308" s="495"/>
      <c r="L308" s="497"/>
      <c r="M308" s="495"/>
      <c r="N308" s="497"/>
      <c r="O308" s="495"/>
      <c r="P308" s="498">
        <v>310291.28000000003</v>
      </c>
      <c r="Q308" s="454"/>
      <c r="R308" s="454"/>
      <c r="S308" s="454"/>
      <c r="T308" s="454"/>
      <c r="U308" s="454"/>
      <c r="V308" s="454"/>
      <c r="W308" s="454"/>
      <c r="X308" s="454"/>
      <c r="Y308" s="454"/>
      <c r="Z308" s="454"/>
      <c r="AA308" s="454"/>
      <c r="AB308" s="456"/>
      <c r="AC308" s="456"/>
      <c r="AD308" s="456"/>
      <c r="AE308" s="456"/>
      <c r="AF308" s="456"/>
      <c r="AG308" s="456"/>
      <c r="AH308" s="456"/>
      <c r="AI308" s="456"/>
      <c r="AJ308" s="456"/>
      <c r="AK308" s="456"/>
      <c r="AL308" s="456"/>
      <c r="AM308" s="456"/>
      <c r="AN308" s="481"/>
      <c r="AO308" s="481"/>
      <c r="AP308" s="481"/>
      <c r="AQ308" s="491"/>
      <c r="AR308" s="456"/>
      <c r="AS308" s="456"/>
      <c r="AT308" s="456"/>
      <c r="AU308" s="522"/>
      <c r="AV308" s="481"/>
      <c r="AW308" s="456" t="s">
        <v>867</v>
      </c>
      <c r="AX308" s="481"/>
      <c r="AY308" s="491"/>
      <c r="AZ308" s="456"/>
      <c r="BA308" s="456"/>
      <c r="BB308" s="481"/>
      <c r="BC308" s="491"/>
      <c r="BD308" s="481"/>
      <c r="BE308" s="481"/>
      <c r="BF308" s="491"/>
      <c r="BG308" s="456"/>
      <c r="BH308" s="456"/>
      <c r="BI308" s="456"/>
      <c r="BJ308" s="456"/>
      <c r="BK308" s="456"/>
      <c r="BL308" s="456"/>
      <c r="BM308" s="456"/>
      <c r="BN308" s="456"/>
      <c r="BO308" s="456"/>
    </row>
    <row r="309" spans="1:67" s="469" customFormat="1" ht="15" x14ac:dyDescent="0.25">
      <c r="A309" s="507"/>
      <c r="B309" s="493" t="s">
        <v>868</v>
      </c>
      <c r="C309" s="2697" t="s">
        <v>869</v>
      </c>
      <c r="D309" s="2697"/>
      <c r="E309" s="2697"/>
      <c r="F309" s="2697"/>
      <c r="G309" s="2697"/>
      <c r="H309" s="494" t="s">
        <v>636</v>
      </c>
      <c r="I309" s="513">
        <v>93</v>
      </c>
      <c r="J309" s="495"/>
      <c r="K309" s="513">
        <v>93</v>
      </c>
      <c r="L309" s="497"/>
      <c r="M309" s="495"/>
      <c r="N309" s="497"/>
      <c r="O309" s="495"/>
      <c r="P309" s="498">
        <v>288570.89</v>
      </c>
      <c r="Q309" s="454"/>
      <c r="R309" s="454"/>
      <c r="S309" s="454"/>
      <c r="T309" s="454"/>
      <c r="U309" s="454"/>
      <c r="V309" s="454"/>
      <c r="W309" s="454"/>
      <c r="X309" s="454"/>
      <c r="Y309" s="454"/>
      <c r="Z309" s="454"/>
      <c r="AA309" s="454"/>
      <c r="AB309" s="456"/>
      <c r="AC309" s="456"/>
      <c r="AD309" s="456"/>
      <c r="AE309" s="456"/>
      <c r="AF309" s="456"/>
      <c r="AG309" s="456"/>
      <c r="AH309" s="456"/>
      <c r="AI309" s="456"/>
      <c r="AJ309" s="456"/>
      <c r="AK309" s="456"/>
      <c r="AL309" s="456"/>
      <c r="AM309" s="456"/>
      <c r="AN309" s="481"/>
      <c r="AO309" s="481"/>
      <c r="AP309" s="481"/>
      <c r="AQ309" s="491"/>
      <c r="AR309" s="456"/>
      <c r="AS309" s="456"/>
      <c r="AT309" s="456"/>
      <c r="AU309" s="522"/>
      <c r="AV309" s="481"/>
      <c r="AW309" s="456" t="s">
        <v>869</v>
      </c>
      <c r="AX309" s="481"/>
      <c r="AY309" s="491"/>
      <c r="AZ309" s="456"/>
      <c r="BA309" s="456"/>
      <c r="BB309" s="481"/>
      <c r="BC309" s="491"/>
      <c r="BD309" s="481"/>
      <c r="BE309" s="481"/>
      <c r="BF309" s="491"/>
      <c r="BG309" s="456"/>
      <c r="BH309" s="456"/>
      <c r="BI309" s="456"/>
      <c r="BJ309" s="456"/>
      <c r="BK309" s="456"/>
      <c r="BL309" s="456"/>
      <c r="BM309" s="456"/>
      <c r="BN309" s="456"/>
      <c r="BO309" s="456"/>
    </row>
    <row r="310" spans="1:67" s="469" customFormat="1" ht="22.5" x14ac:dyDescent="0.25">
      <c r="A310" s="507"/>
      <c r="B310" s="493" t="s">
        <v>870</v>
      </c>
      <c r="C310" s="2697" t="s">
        <v>871</v>
      </c>
      <c r="D310" s="2697"/>
      <c r="E310" s="2697"/>
      <c r="F310" s="2697"/>
      <c r="G310" s="2697"/>
      <c r="H310" s="494" t="s">
        <v>636</v>
      </c>
      <c r="I310" s="513">
        <v>62</v>
      </c>
      <c r="J310" s="509">
        <v>0.85</v>
      </c>
      <c r="K310" s="500">
        <v>52.7</v>
      </c>
      <c r="L310" s="497"/>
      <c r="M310" s="495"/>
      <c r="N310" s="497"/>
      <c r="O310" s="495"/>
      <c r="P310" s="498">
        <v>163523.5</v>
      </c>
      <c r="Q310" s="454"/>
      <c r="R310" s="454"/>
      <c r="S310" s="454"/>
      <c r="T310" s="454"/>
      <c r="U310" s="454"/>
      <c r="V310" s="454"/>
      <c r="W310" s="454"/>
      <c r="X310" s="454"/>
      <c r="Y310" s="454"/>
      <c r="Z310" s="454"/>
      <c r="AA310" s="454"/>
      <c r="AB310" s="456"/>
      <c r="AC310" s="456"/>
      <c r="AD310" s="456"/>
      <c r="AE310" s="456"/>
      <c r="AF310" s="456"/>
      <c r="AG310" s="456"/>
      <c r="AH310" s="456"/>
      <c r="AI310" s="456"/>
      <c r="AJ310" s="456"/>
      <c r="AK310" s="456"/>
      <c r="AL310" s="456"/>
      <c r="AM310" s="456"/>
      <c r="AN310" s="481"/>
      <c r="AO310" s="481"/>
      <c r="AP310" s="481"/>
      <c r="AQ310" s="491"/>
      <c r="AR310" s="456"/>
      <c r="AS310" s="456"/>
      <c r="AT310" s="456"/>
      <c r="AU310" s="522"/>
      <c r="AV310" s="481"/>
      <c r="AW310" s="456" t="s">
        <v>871</v>
      </c>
      <c r="AX310" s="481"/>
      <c r="AY310" s="491"/>
      <c r="AZ310" s="456"/>
      <c r="BA310" s="456"/>
      <c r="BB310" s="481"/>
      <c r="BC310" s="491"/>
      <c r="BD310" s="481"/>
      <c r="BE310" s="481"/>
      <c r="BF310" s="491"/>
      <c r="BG310" s="456"/>
      <c r="BH310" s="456"/>
      <c r="BI310" s="456"/>
      <c r="BJ310" s="456"/>
      <c r="BK310" s="456"/>
      <c r="BL310" s="456"/>
      <c r="BM310" s="456"/>
      <c r="BN310" s="456"/>
      <c r="BO310" s="456"/>
    </row>
    <row r="311" spans="1:67" s="469" customFormat="1" ht="15" x14ac:dyDescent="0.25">
      <c r="A311" s="526"/>
      <c r="B311" s="567"/>
      <c r="C311" s="2722" t="s">
        <v>872</v>
      </c>
      <c r="D311" s="2722"/>
      <c r="E311" s="2722"/>
      <c r="F311" s="2722"/>
      <c r="G311" s="2722"/>
      <c r="H311" s="483"/>
      <c r="I311" s="484"/>
      <c r="J311" s="484"/>
      <c r="K311" s="484"/>
      <c r="L311" s="487"/>
      <c r="M311" s="484"/>
      <c r="N311" s="524">
        <v>54081.48</v>
      </c>
      <c r="O311" s="484"/>
      <c r="P311" s="525">
        <v>978874.8</v>
      </c>
      <c r="Q311" s="454"/>
      <c r="R311" s="454"/>
      <c r="S311" s="454"/>
      <c r="T311" s="454"/>
      <c r="U311" s="454"/>
      <c r="V311" s="454"/>
      <c r="W311" s="454"/>
      <c r="X311" s="454"/>
      <c r="Y311" s="454"/>
      <c r="Z311" s="454"/>
      <c r="AA311" s="454"/>
      <c r="AB311" s="456"/>
      <c r="AC311" s="456"/>
      <c r="AD311" s="456"/>
      <c r="AE311" s="456"/>
      <c r="AF311" s="456"/>
      <c r="AG311" s="456"/>
      <c r="AH311" s="456"/>
      <c r="AI311" s="456"/>
      <c r="AJ311" s="456"/>
      <c r="AK311" s="456"/>
      <c r="AL311" s="456"/>
      <c r="AM311" s="456"/>
      <c r="AN311" s="481"/>
      <c r="AO311" s="481"/>
      <c r="AP311" s="481"/>
      <c r="AQ311" s="491"/>
      <c r="AR311" s="456"/>
      <c r="AS311" s="456"/>
      <c r="AT311" s="456"/>
      <c r="AU311" s="522"/>
      <c r="AV311" s="481"/>
      <c r="AW311" s="456"/>
      <c r="AX311" s="481" t="s">
        <v>872</v>
      </c>
      <c r="AY311" s="491"/>
      <c r="AZ311" s="456"/>
      <c r="BA311" s="456"/>
      <c r="BB311" s="481"/>
      <c r="BC311" s="491"/>
      <c r="BD311" s="481"/>
      <c r="BE311" s="481"/>
      <c r="BF311" s="491"/>
      <c r="BG311" s="456"/>
      <c r="BH311" s="456"/>
      <c r="BI311" s="456"/>
      <c r="BJ311" s="456"/>
      <c r="BK311" s="456"/>
      <c r="BL311" s="456"/>
      <c r="BM311" s="456"/>
      <c r="BN311" s="456"/>
      <c r="BO311" s="456"/>
    </row>
    <row r="312" spans="1:67" s="469" customFormat="1" ht="23.25" x14ac:dyDescent="0.25">
      <c r="A312" s="482" t="s">
        <v>654</v>
      </c>
      <c r="B312" s="568" t="s">
        <v>881</v>
      </c>
      <c r="C312" s="2746" t="s">
        <v>846</v>
      </c>
      <c r="D312" s="2746"/>
      <c r="E312" s="2746"/>
      <c r="F312" s="2746"/>
      <c r="G312" s="2746"/>
      <c r="H312" s="483" t="s">
        <v>801</v>
      </c>
      <c r="I312" s="484">
        <v>18.100000000000001</v>
      </c>
      <c r="J312" s="485">
        <v>1</v>
      </c>
      <c r="K312" s="486">
        <v>18.100000000000001</v>
      </c>
      <c r="L312" s="487"/>
      <c r="M312" s="484"/>
      <c r="N312" s="487"/>
      <c r="O312" s="484"/>
      <c r="P312" s="525">
        <v>2210433.9</v>
      </c>
      <c r="Q312" s="454"/>
      <c r="R312" s="454"/>
      <c r="S312" s="454"/>
      <c r="T312" s="454"/>
      <c r="U312" s="454"/>
      <c r="V312" s="454"/>
      <c r="W312" s="454"/>
      <c r="X312" s="454"/>
      <c r="Y312" s="454"/>
      <c r="Z312" s="454"/>
      <c r="AA312" s="454"/>
      <c r="AB312" s="456"/>
      <c r="AC312" s="456"/>
      <c r="AD312" s="456"/>
      <c r="AE312" s="456"/>
      <c r="AF312" s="456"/>
      <c r="AG312" s="456"/>
      <c r="AH312" s="456"/>
      <c r="AI312" s="456"/>
      <c r="AJ312" s="456"/>
      <c r="AK312" s="456"/>
      <c r="AL312" s="456"/>
      <c r="AM312" s="456"/>
      <c r="AN312" s="481"/>
      <c r="AO312" s="481"/>
      <c r="AP312" s="481" t="s">
        <v>846</v>
      </c>
      <c r="AQ312" s="491"/>
      <c r="AR312" s="456"/>
      <c r="AS312" s="456"/>
      <c r="AT312" s="456"/>
      <c r="AU312" s="522"/>
      <c r="AV312" s="481"/>
      <c r="AW312" s="456"/>
      <c r="AX312" s="481"/>
      <c r="AY312" s="491"/>
      <c r="AZ312" s="456"/>
      <c r="BA312" s="456"/>
      <c r="BB312" s="481"/>
      <c r="BC312" s="491"/>
      <c r="BD312" s="481"/>
      <c r="BE312" s="481"/>
      <c r="BF312" s="491"/>
      <c r="BG312" s="456"/>
      <c r="BH312" s="456"/>
      <c r="BI312" s="456"/>
      <c r="BJ312" s="456"/>
      <c r="BK312" s="456"/>
      <c r="BL312" s="456"/>
      <c r="BM312" s="456"/>
      <c r="BN312" s="456"/>
      <c r="BO312" s="456"/>
    </row>
    <row r="313" spans="1:67" s="469" customFormat="1" ht="15" x14ac:dyDescent="0.25">
      <c r="A313" s="526"/>
      <c r="B313" s="567"/>
      <c r="C313" s="2669" t="s">
        <v>882</v>
      </c>
      <c r="D313" s="2669"/>
      <c r="E313" s="2669"/>
      <c r="F313" s="2669"/>
      <c r="G313" s="2669"/>
      <c r="H313" s="2669"/>
      <c r="I313" s="2669"/>
      <c r="J313" s="2669"/>
      <c r="K313" s="2669"/>
      <c r="L313" s="2669"/>
      <c r="M313" s="2669"/>
      <c r="N313" s="2669"/>
      <c r="O313" s="2669"/>
      <c r="P313" s="2730"/>
      <c r="Q313" s="454"/>
      <c r="R313" s="454"/>
      <c r="S313" s="454"/>
      <c r="T313" s="454"/>
      <c r="U313" s="454"/>
      <c r="V313" s="454"/>
      <c r="W313" s="454"/>
      <c r="X313" s="454"/>
      <c r="Y313" s="454"/>
      <c r="Z313" s="454"/>
      <c r="AA313" s="454"/>
      <c r="AB313" s="456"/>
      <c r="AC313" s="456"/>
      <c r="AD313" s="456"/>
      <c r="AE313" s="456"/>
      <c r="AF313" s="456"/>
      <c r="AG313" s="456"/>
      <c r="AH313" s="456"/>
      <c r="AI313" s="456"/>
      <c r="AJ313" s="456"/>
      <c r="AK313" s="456"/>
      <c r="AL313" s="456"/>
      <c r="AM313" s="456"/>
      <c r="AN313" s="481"/>
      <c r="AO313" s="481"/>
      <c r="AP313" s="481"/>
      <c r="AQ313" s="491"/>
      <c r="AR313" s="456"/>
      <c r="AS313" s="456"/>
      <c r="AT313" s="456"/>
      <c r="AU313" s="522"/>
      <c r="AV313" s="481"/>
      <c r="AW313" s="456"/>
      <c r="AX313" s="481"/>
      <c r="AY313" s="491" t="s">
        <v>882</v>
      </c>
      <c r="AZ313" s="456"/>
      <c r="BA313" s="456"/>
      <c r="BB313" s="481"/>
      <c r="BC313" s="491"/>
      <c r="BD313" s="481"/>
      <c r="BE313" s="481"/>
      <c r="BF313" s="491"/>
      <c r="BG313" s="456"/>
      <c r="BH313" s="456"/>
      <c r="BI313" s="456"/>
      <c r="BJ313" s="456"/>
      <c r="BK313" s="456"/>
      <c r="BL313" s="456"/>
      <c r="BM313" s="456"/>
      <c r="BN313" s="456"/>
      <c r="BO313" s="456"/>
    </row>
    <row r="314" spans="1:67" s="469" customFormat="1" ht="23.25" x14ac:dyDescent="0.25">
      <c r="A314" s="507" t="s">
        <v>654</v>
      </c>
      <c r="B314" s="493" t="s">
        <v>881</v>
      </c>
      <c r="C314" s="2697" t="s">
        <v>883</v>
      </c>
      <c r="D314" s="2697"/>
      <c r="E314" s="2697"/>
      <c r="F314" s="2697"/>
      <c r="G314" s="2697"/>
      <c r="H314" s="494" t="s">
        <v>801</v>
      </c>
      <c r="I314" s="500">
        <v>18.100000000000001</v>
      </c>
      <c r="J314" s="495"/>
      <c r="K314" s="500">
        <v>18.100000000000001</v>
      </c>
      <c r="L314" s="502">
        <v>105278.81</v>
      </c>
      <c r="M314" s="509">
        <v>1.1599999999999999</v>
      </c>
      <c r="N314" s="502">
        <v>122123.42</v>
      </c>
      <c r="O314" s="495"/>
      <c r="P314" s="498">
        <v>2210433.9</v>
      </c>
      <c r="Q314" s="454"/>
      <c r="R314" s="454"/>
      <c r="S314" s="454"/>
      <c r="T314" s="454"/>
      <c r="U314" s="454"/>
      <c r="V314" s="454"/>
      <c r="W314" s="454"/>
      <c r="X314" s="454"/>
      <c r="Y314" s="454"/>
      <c r="Z314" s="454"/>
      <c r="AA314" s="454"/>
      <c r="AB314" s="456"/>
      <c r="AC314" s="456"/>
      <c r="AD314" s="456"/>
      <c r="AE314" s="456"/>
      <c r="AF314" s="456"/>
      <c r="AG314" s="456"/>
      <c r="AH314" s="456"/>
      <c r="AI314" s="456"/>
      <c r="AJ314" s="456"/>
      <c r="AK314" s="456"/>
      <c r="AL314" s="456"/>
      <c r="AM314" s="456"/>
      <c r="AN314" s="481"/>
      <c r="AO314" s="481"/>
      <c r="AP314" s="481"/>
      <c r="AQ314" s="491"/>
      <c r="AR314" s="456"/>
      <c r="AS314" s="456"/>
      <c r="AT314" s="456"/>
      <c r="AU314" s="522"/>
      <c r="AV314" s="481"/>
      <c r="AW314" s="456"/>
      <c r="AX314" s="481"/>
      <c r="AY314" s="491"/>
      <c r="AZ314" s="456" t="s">
        <v>883</v>
      </c>
      <c r="BA314" s="456"/>
      <c r="BB314" s="481"/>
      <c r="BC314" s="491"/>
      <c r="BD314" s="481"/>
      <c r="BE314" s="481"/>
      <c r="BF314" s="491"/>
      <c r="BG314" s="456"/>
      <c r="BH314" s="456"/>
      <c r="BI314" s="456"/>
      <c r="BJ314" s="456"/>
      <c r="BK314" s="456"/>
      <c r="BL314" s="456"/>
      <c r="BM314" s="456"/>
      <c r="BN314" s="456"/>
      <c r="BO314" s="456"/>
    </row>
    <row r="315" spans="1:67" s="469" customFormat="1" ht="57" x14ac:dyDescent="0.25">
      <c r="A315" s="507" t="s">
        <v>913</v>
      </c>
      <c r="B315" s="493" t="s">
        <v>884</v>
      </c>
      <c r="C315" s="2697" t="s">
        <v>885</v>
      </c>
      <c r="D315" s="2697"/>
      <c r="E315" s="2697"/>
      <c r="F315" s="2697"/>
      <c r="G315" s="2697"/>
      <c r="H315" s="494" t="s">
        <v>801</v>
      </c>
      <c r="I315" s="495"/>
      <c r="J315" s="495"/>
      <c r="K315" s="500">
        <v>18.100000000000001</v>
      </c>
      <c r="L315" s="497"/>
      <c r="M315" s="495"/>
      <c r="N315" s="508">
        <v>-336.27</v>
      </c>
      <c r="O315" s="495"/>
      <c r="P315" s="498">
        <v>-6086.49</v>
      </c>
      <c r="Q315" s="454"/>
      <c r="R315" s="454"/>
      <c r="S315" s="454"/>
      <c r="T315" s="454"/>
      <c r="U315" s="454"/>
      <c r="V315" s="454"/>
      <c r="W315" s="454"/>
      <c r="X315" s="454"/>
      <c r="Y315" s="454"/>
      <c r="Z315" s="454"/>
      <c r="AA315" s="454"/>
      <c r="AB315" s="456"/>
      <c r="AC315" s="456"/>
      <c r="AD315" s="456"/>
      <c r="AE315" s="456"/>
      <c r="AF315" s="456"/>
      <c r="AG315" s="456"/>
      <c r="AH315" s="456"/>
      <c r="AI315" s="456"/>
      <c r="AJ315" s="456"/>
      <c r="AK315" s="456"/>
      <c r="AL315" s="456"/>
      <c r="AM315" s="456"/>
      <c r="AN315" s="481"/>
      <c r="AO315" s="481"/>
      <c r="AP315" s="481"/>
      <c r="AQ315" s="491"/>
      <c r="AR315" s="456"/>
      <c r="AS315" s="456"/>
      <c r="AT315" s="456"/>
      <c r="AU315" s="522"/>
      <c r="AV315" s="481"/>
      <c r="AW315" s="456"/>
      <c r="AX315" s="481"/>
      <c r="AY315" s="491"/>
      <c r="AZ315" s="456"/>
      <c r="BA315" s="456" t="s">
        <v>885</v>
      </c>
      <c r="BB315" s="481"/>
      <c r="BC315" s="491"/>
      <c r="BD315" s="481"/>
      <c r="BE315" s="481"/>
      <c r="BF315" s="491"/>
      <c r="BG315" s="456"/>
      <c r="BH315" s="456"/>
      <c r="BI315" s="456"/>
      <c r="BJ315" s="456"/>
      <c r="BK315" s="456"/>
      <c r="BL315" s="456"/>
      <c r="BM315" s="456"/>
      <c r="BN315" s="456"/>
      <c r="BO315" s="456"/>
    </row>
    <row r="316" spans="1:67" s="469" customFormat="1" ht="57" x14ac:dyDescent="0.25">
      <c r="A316" s="507" t="s">
        <v>914</v>
      </c>
      <c r="B316" s="493" t="s">
        <v>886</v>
      </c>
      <c r="C316" s="2697" t="s">
        <v>887</v>
      </c>
      <c r="D316" s="2697"/>
      <c r="E316" s="2697"/>
      <c r="F316" s="2697"/>
      <c r="G316" s="2697"/>
      <c r="H316" s="494" t="s">
        <v>801</v>
      </c>
      <c r="I316" s="495"/>
      <c r="J316" s="495"/>
      <c r="K316" s="500">
        <v>18.100000000000001</v>
      </c>
      <c r="L316" s="497"/>
      <c r="M316" s="495"/>
      <c r="N316" s="508">
        <v>657.2</v>
      </c>
      <c r="O316" s="495"/>
      <c r="P316" s="498">
        <v>11895.32</v>
      </c>
      <c r="Q316" s="454"/>
      <c r="R316" s="454"/>
      <c r="S316" s="454"/>
      <c r="T316" s="454"/>
      <c r="U316" s="454"/>
      <c r="V316" s="454"/>
      <c r="W316" s="454"/>
      <c r="X316" s="454"/>
      <c r="Y316" s="454"/>
      <c r="Z316" s="454"/>
      <c r="AA316" s="454"/>
      <c r="AB316" s="456"/>
      <c r="AC316" s="456"/>
      <c r="AD316" s="456"/>
      <c r="AE316" s="456"/>
      <c r="AF316" s="456"/>
      <c r="AG316" s="456"/>
      <c r="AH316" s="456"/>
      <c r="AI316" s="456"/>
      <c r="AJ316" s="456"/>
      <c r="AK316" s="456"/>
      <c r="AL316" s="456"/>
      <c r="AM316" s="456"/>
      <c r="AN316" s="481"/>
      <c r="AO316" s="481"/>
      <c r="AP316" s="481"/>
      <c r="AQ316" s="491"/>
      <c r="AR316" s="456"/>
      <c r="AS316" s="456"/>
      <c r="AT316" s="456"/>
      <c r="AU316" s="522"/>
      <c r="AV316" s="481"/>
      <c r="AW316" s="456"/>
      <c r="AX316" s="481"/>
      <c r="AY316" s="491"/>
      <c r="AZ316" s="456"/>
      <c r="BA316" s="456" t="s">
        <v>887</v>
      </c>
      <c r="BB316" s="481"/>
      <c r="BC316" s="491"/>
      <c r="BD316" s="481"/>
      <c r="BE316" s="481"/>
      <c r="BF316" s="491"/>
      <c r="BG316" s="456"/>
      <c r="BH316" s="456"/>
      <c r="BI316" s="456"/>
      <c r="BJ316" s="456"/>
      <c r="BK316" s="456"/>
      <c r="BL316" s="456"/>
      <c r="BM316" s="456"/>
      <c r="BN316" s="456"/>
      <c r="BO316" s="456"/>
    </row>
    <row r="317" spans="1:67" s="469" customFormat="1" ht="15" x14ac:dyDescent="0.25">
      <c r="A317" s="526"/>
      <c r="B317" s="567"/>
      <c r="C317" s="2722" t="s">
        <v>872</v>
      </c>
      <c r="D317" s="2722"/>
      <c r="E317" s="2722"/>
      <c r="F317" s="2722"/>
      <c r="G317" s="2722"/>
      <c r="H317" s="483"/>
      <c r="I317" s="484"/>
      <c r="J317" s="484"/>
      <c r="K317" s="484"/>
      <c r="L317" s="487"/>
      <c r="M317" s="484"/>
      <c r="N317" s="487"/>
      <c r="O317" s="484"/>
      <c r="P317" s="525">
        <v>2216242.73</v>
      </c>
      <c r="Q317" s="454"/>
      <c r="R317" s="454"/>
      <c r="S317" s="454"/>
      <c r="T317" s="454"/>
      <c r="U317" s="454"/>
      <c r="V317" s="454"/>
      <c r="W317" s="454"/>
      <c r="X317" s="454"/>
      <c r="Y317" s="454"/>
      <c r="Z317" s="454"/>
      <c r="AA317" s="454"/>
      <c r="AB317" s="456"/>
      <c r="AC317" s="456"/>
      <c r="AD317" s="456"/>
      <c r="AE317" s="456"/>
      <c r="AF317" s="456"/>
      <c r="AG317" s="456"/>
      <c r="AH317" s="456"/>
      <c r="AI317" s="456"/>
      <c r="AJ317" s="456"/>
      <c r="AK317" s="456"/>
      <c r="AL317" s="456"/>
      <c r="AM317" s="456"/>
      <c r="AN317" s="481"/>
      <c r="AO317" s="481"/>
      <c r="AP317" s="481"/>
      <c r="AQ317" s="491"/>
      <c r="AR317" s="456"/>
      <c r="AS317" s="456"/>
      <c r="AT317" s="456"/>
      <c r="AU317" s="522"/>
      <c r="AV317" s="481"/>
      <c r="AW317" s="456"/>
      <c r="AX317" s="481" t="s">
        <v>872</v>
      </c>
      <c r="AY317" s="491"/>
      <c r="AZ317" s="456"/>
      <c r="BA317" s="456"/>
      <c r="BB317" s="481"/>
      <c r="BC317" s="491"/>
      <c r="BD317" s="481"/>
      <c r="BE317" s="481"/>
      <c r="BF317" s="491"/>
      <c r="BG317" s="456"/>
      <c r="BH317" s="456"/>
      <c r="BI317" s="456"/>
      <c r="BJ317" s="456"/>
      <c r="BK317" s="456"/>
      <c r="BL317" s="456"/>
      <c r="BM317" s="456"/>
      <c r="BN317" s="456"/>
      <c r="BO317" s="456"/>
    </row>
    <row r="318" spans="1:67" s="469" customFormat="1" ht="15" x14ac:dyDescent="0.25">
      <c r="A318" s="530"/>
      <c r="B318" s="531"/>
      <c r="C318" s="531"/>
      <c r="D318" s="531"/>
      <c r="E318" s="531"/>
      <c r="F318" s="532"/>
      <c r="G318" s="532"/>
      <c r="H318" s="532"/>
      <c r="I318" s="532"/>
      <c r="J318" s="533"/>
      <c r="K318" s="532"/>
      <c r="L318" s="532"/>
      <c r="M318" s="532"/>
      <c r="N318" s="533"/>
      <c r="O318" s="564"/>
      <c r="P318" s="533"/>
      <c r="Q318" s="454"/>
      <c r="R318" s="454"/>
      <c r="S318" s="454"/>
      <c r="T318" s="454"/>
      <c r="U318" s="454"/>
      <c r="V318" s="454"/>
      <c r="W318" s="454"/>
      <c r="X318" s="454"/>
      <c r="Y318" s="454"/>
      <c r="Z318" s="454"/>
      <c r="AA318" s="454"/>
      <c r="AB318" s="456"/>
      <c r="AC318" s="456"/>
      <c r="AD318" s="456"/>
      <c r="AE318" s="456"/>
      <c r="AF318" s="456"/>
      <c r="AG318" s="456"/>
      <c r="AH318" s="456"/>
      <c r="AI318" s="456"/>
      <c r="AJ318" s="456"/>
      <c r="AK318" s="456"/>
      <c r="AL318" s="456"/>
      <c r="AM318" s="456"/>
      <c r="AN318" s="481"/>
      <c r="AO318" s="481"/>
      <c r="AP318" s="481"/>
      <c r="AQ318" s="491"/>
      <c r="AR318" s="456"/>
      <c r="AS318" s="456"/>
      <c r="AT318" s="456"/>
      <c r="AU318" s="522"/>
      <c r="AV318" s="481"/>
      <c r="AW318" s="456"/>
      <c r="AX318" s="481"/>
      <c r="AY318" s="491"/>
      <c r="AZ318" s="456"/>
      <c r="BA318" s="456"/>
      <c r="BB318" s="481"/>
      <c r="BC318" s="491"/>
      <c r="BD318" s="481"/>
      <c r="BE318" s="481"/>
      <c r="BF318" s="491"/>
      <c r="BG318" s="456"/>
      <c r="BH318" s="456"/>
      <c r="BI318" s="456"/>
      <c r="BJ318" s="456"/>
      <c r="BK318" s="456"/>
      <c r="BL318" s="456"/>
      <c r="BM318" s="456"/>
      <c r="BN318" s="456"/>
      <c r="BO318" s="456"/>
    </row>
    <row r="319" spans="1:67" s="469" customFormat="1" ht="15" x14ac:dyDescent="0.25">
      <c r="A319" s="523"/>
      <c r="B319" s="534"/>
      <c r="C319" s="2729" t="s">
        <v>4065</v>
      </c>
      <c r="D319" s="2729"/>
      <c r="E319" s="2729"/>
      <c r="F319" s="2729"/>
      <c r="G319" s="2729"/>
      <c r="H319" s="2729"/>
      <c r="I319" s="2729"/>
      <c r="J319" s="2729"/>
      <c r="K319" s="2729"/>
      <c r="L319" s="2729"/>
      <c r="M319" s="2729"/>
      <c r="N319" s="2729"/>
      <c r="O319" s="2729"/>
      <c r="P319" s="535"/>
      <c r="Q319" s="454"/>
      <c r="R319" s="454"/>
      <c r="S319" s="454"/>
      <c r="T319" s="454"/>
      <c r="U319" s="454"/>
      <c r="V319" s="454"/>
      <c r="W319" s="454"/>
      <c r="X319" s="454"/>
      <c r="Y319" s="454"/>
      <c r="Z319" s="454"/>
      <c r="AA319" s="454"/>
      <c r="AB319" s="456"/>
      <c r="AC319" s="456"/>
      <c r="AD319" s="456"/>
      <c r="AE319" s="456"/>
      <c r="AF319" s="456"/>
      <c r="AG319" s="456"/>
      <c r="AH319" s="456"/>
      <c r="AI319" s="456"/>
      <c r="AJ319" s="456"/>
      <c r="AK319" s="456"/>
      <c r="AL319" s="456"/>
      <c r="AM319" s="456"/>
      <c r="AN319" s="481"/>
      <c r="AO319" s="481"/>
      <c r="AP319" s="481"/>
      <c r="AQ319" s="491"/>
      <c r="AR319" s="456"/>
      <c r="AS319" s="456"/>
      <c r="AT319" s="456"/>
      <c r="AU319" s="522"/>
      <c r="AV319" s="481"/>
      <c r="AW319" s="456"/>
      <c r="AX319" s="481"/>
      <c r="AY319" s="491"/>
      <c r="AZ319" s="456"/>
      <c r="BA319" s="456"/>
      <c r="BB319" s="481" t="s">
        <v>4065</v>
      </c>
      <c r="BC319" s="491"/>
      <c r="BD319" s="481"/>
      <c r="BE319" s="481"/>
      <c r="BF319" s="491"/>
      <c r="BG319" s="456"/>
      <c r="BH319" s="456"/>
      <c r="BI319" s="456"/>
      <c r="BJ319" s="456"/>
      <c r="BK319" s="456"/>
      <c r="BL319" s="456"/>
      <c r="BM319" s="456"/>
      <c r="BN319" s="456"/>
      <c r="BO319" s="456"/>
    </row>
    <row r="320" spans="1:67" s="469" customFormat="1" ht="15" x14ac:dyDescent="0.25">
      <c r="A320" s="523"/>
      <c r="B320" s="490"/>
      <c r="C320" s="2669" t="s">
        <v>890</v>
      </c>
      <c r="D320" s="2669"/>
      <c r="E320" s="2669"/>
      <c r="F320" s="2669"/>
      <c r="G320" s="2669"/>
      <c r="H320" s="2669"/>
      <c r="I320" s="2669"/>
      <c r="J320" s="2669"/>
      <c r="K320" s="2669"/>
      <c r="L320" s="2669"/>
      <c r="M320" s="2669"/>
      <c r="N320" s="2669"/>
      <c r="O320" s="2669"/>
      <c r="P320" s="536">
        <v>3048798.81</v>
      </c>
      <c r="Q320" s="459"/>
      <c r="R320" s="459"/>
      <c r="S320" s="454"/>
      <c r="T320" s="454"/>
      <c r="U320" s="454"/>
      <c r="V320" s="454"/>
      <c r="W320" s="454"/>
      <c r="X320" s="454"/>
      <c r="Y320" s="454"/>
      <c r="Z320" s="454"/>
      <c r="AA320" s="454"/>
      <c r="AB320" s="456"/>
      <c r="AC320" s="456"/>
      <c r="AD320" s="456"/>
      <c r="AE320" s="456"/>
      <c r="AF320" s="456"/>
      <c r="AG320" s="456"/>
      <c r="AH320" s="456"/>
      <c r="AI320" s="456"/>
      <c r="AJ320" s="456"/>
      <c r="AK320" s="456"/>
      <c r="AL320" s="456"/>
      <c r="AM320" s="456"/>
      <c r="AN320" s="481"/>
      <c r="AO320" s="481"/>
      <c r="AP320" s="481"/>
      <c r="AQ320" s="491"/>
      <c r="AR320" s="456"/>
      <c r="AS320" s="456"/>
      <c r="AT320" s="456"/>
      <c r="AU320" s="522"/>
      <c r="AV320" s="481"/>
      <c r="AW320" s="456"/>
      <c r="AX320" s="481"/>
      <c r="AY320" s="491"/>
      <c r="AZ320" s="456"/>
      <c r="BA320" s="456"/>
      <c r="BB320" s="481"/>
      <c r="BC320" s="491" t="s">
        <v>890</v>
      </c>
      <c r="BD320" s="481"/>
      <c r="BE320" s="481"/>
      <c r="BF320" s="491"/>
      <c r="BG320" s="456"/>
      <c r="BH320" s="456"/>
      <c r="BI320" s="456"/>
      <c r="BJ320" s="456"/>
      <c r="BK320" s="456"/>
      <c r="BL320" s="456"/>
      <c r="BM320" s="456"/>
      <c r="BN320" s="456"/>
      <c r="BO320" s="456"/>
    </row>
    <row r="321" spans="1:67" s="469" customFormat="1" ht="15" x14ac:dyDescent="0.25">
      <c r="A321" s="523"/>
      <c r="B321" s="490"/>
      <c r="C321" s="2669" t="s">
        <v>891</v>
      </c>
      <c r="D321" s="2669"/>
      <c r="E321" s="2669"/>
      <c r="F321" s="2669"/>
      <c r="G321" s="2669"/>
      <c r="H321" s="2669"/>
      <c r="I321" s="2669"/>
      <c r="J321" s="2669"/>
      <c r="K321" s="2669"/>
      <c r="L321" s="2669"/>
      <c r="M321" s="2669"/>
      <c r="N321" s="2669"/>
      <c r="O321" s="2669"/>
      <c r="P321" s="537"/>
      <c r="Q321" s="459"/>
      <c r="R321" s="459"/>
      <c r="S321" s="454"/>
      <c r="T321" s="454"/>
      <c r="U321" s="454"/>
      <c r="V321" s="454"/>
      <c r="W321" s="454"/>
      <c r="X321" s="454"/>
      <c r="Y321" s="454"/>
      <c r="Z321" s="454"/>
      <c r="AA321" s="454"/>
      <c r="AB321" s="456"/>
      <c r="AC321" s="456"/>
      <c r="AD321" s="456"/>
      <c r="AE321" s="456"/>
      <c r="AF321" s="456"/>
      <c r="AG321" s="456"/>
      <c r="AH321" s="456"/>
      <c r="AI321" s="456"/>
      <c r="AJ321" s="456"/>
      <c r="AK321" s="456"/>
      <c r="AL321" s="456"/>
      <c r="AM321" s="456"/>
      <c r="AN321" s="481"/>
      <c r="AO321" s="481"/>
      <c r="AP321" s="481"/>
      <c r="AQ321" s="491"/>
      <c r="AR321" s="456"/>
      <c r="AS321" s="456"/>
      <c r="AT321" s="456"/>
      <c r="AU321" s="522"/>
      <c r="AV321" s="481"/>
      <c r="AW321" s="456"/>
      <c r="AX321" s="481"/>
      <c r="AY321" s="491"/>
      <c r="AZ321" s="456"/>
      <c r="BA321" s="456"/>
      <c r="BB321" s="481"/>
      <c r="BC321" s="491" t="s">
        <v>891</v>
      </c>
      <c r="BD321" s="481"/>
      <c r="BE321" s="481"/>
      <c r="BF321" s="491"/>
      <c r="BG321" s="456"/>
      <c r="BH321" s="456"/>
      <c r="BI321" s="456"/>
      <c r="BJ321" s="456"/>
      <c r="BK321" s="456"/>
      <c r="BL321" s="456"/>
      <c r="BM321" s="456"/>
      <c r="BN321" s="456"/>
      <c r="BO321" s="456"/>
    </row>
    <row r="322" spans="1:67" s="469" customFormat="1" ht="15" x14ac:dyDescent="0.25">
      <c r="A322" s="523"/>
      <c r="B322" s="490"/>
      <c r="C322" s="2669" t="s">
        <v>892</v>
      </c>
      <c r="D322" s="2669"/>
      <c r="E322" s="2669"/>
      <c r="F322" s="2669"/>
      <c r="G322" s="2669"/>
      <c r="H322" s="2669"/>
      <c r="I322" s="2669"/>
      <c r="J322" s="2669"/>
      <c r="K322" s="2669"/>
      <c r="L322" s="2669"/>
      <c r="M322" s="2669"/>
      <c r="N322" s="2669"/>
      <c r="O322" s="2669"/>
      <c r="P322" s="536">
        <v>420837.6</v>
      </c>
      <c r="Q322" s="459"/>
      <c r="R322" s="459"/>
      <c r="S322" s="454"/>
      <c r="T322" s="454"/>
      <c r="U322" s="454"/>
      <c r="V322" s="454"/>
      <c r="W322" s="454"/>
      <c r="X322" s="454"/>
      <c r="Y322" s="454"/>
      <c r="Z322" s="454"/>
      <c r="AA322" s="454"/>
      <c r="AB322" s="456"/>
      <c r="AC322" s="456"/>
      <c r="AD322" s="456"/>
      <c r="AE322" s="456"/>
      <c r="AF322" s="456"/>
      <c r="AG322" s="456"/>
      <c r="AH322" s="456"/>
      <c r="AI322" s="456"/>
      <c r="AJ322" s="456"/>
      <c r="AK322" s="456"/>
      <c r="AL322" s="456"/>
      <c r="AM322" s="456"/>
      <c r="AN322" s="481"/>
      <c r="AO322" s="481"/>
      <c r="AP322" s="481"/>
      <c r="AQ322" s="491"/>
      <c r="AR322" s="456"/>
      <c r="AS322" s="456"/>
      <c r="AT322" s="456"/>
      <c r="AU322" s="522"/>
      <c r="AV322" s="481"/>
      <c r="AW322" s="456"/>
      <c r="AX322" s="481"/>
      <c r="AY322" s="491"/>
      <c r="AZ322" s="456"/>
      <c r="BA322" s="456"/>
      <c r="BB322" s="481"/>
      <c r="BC322" s="491" t="s">
        <v>892</v>
      </c>
      <c r="BD322" s="481"/>
      <c r="BE322" s="481"/>
      <c r="BF322" s="491"/>
      <c r="BG322" s="456"/>
      <c r="BH322" s="456"/>
      <c r="BI322" s="456"/>
      <c r="BJ322" s="456"/>
      <c r="BK322" s="456"/>
      <c r="BL322" s="456"/>
      <c r="BM322" s="456"/>
      <c r="BN322" s="456"/>
      <c r="BO322" s="456"/>
    </row>
    <row r="323" spans="1:67" s="469" customFormat="1" ht="15" x14ac:dyDescent="0.25">
      <c r="A323" s="523"/>
      <c r="B323" s="490"/>
      <c r="C323" s="2669" t="s">
        <v>893</v>
      </c>
      <c r="D323" s="2669"/>
      <c r="E323" s="2669"/>
      <c r="F323" s="2669"/>
      <c r="G323" s="2669"/>
      <c r="H323" s="2669"/>
      <c r="I323" s="2669"/>
      <c r="J323" s="2669"/>
      <c r="K323" s="2669"/>
      <c r="L323" s="2669"/>
      <c r="M323" s="2669"/>
      <c r="N323" s="2669"/>
      <c r="O323" s="2669"/>
      <c r="P323" s="536">
        <v>299306.96999999997</v>
      </c>
      <c r="Q323" s="459"/>
      <c r="R323" s="459"/>
      <c r="S323" s="454"/>
      <c r="T323" s="454"/>
      <c r="U323" s="454"/>
      <c r="V323" s="454"/>
      <c r="W323" s="454"/>
      <c r="X323" s="454"/>
      <c r="Y323" s="454"/>
      <c r="Z323" s="454"/>
      <c r="AA323" s="454"/>
      <c r="AB323" s="456"/>
      <c r="AC323" s="456"/>
      <c r="AD323" s="456"/>
      <c r="AE323" s="456"/>
      <c r="AF323" s="456"/>
      <c r="AG323" s="456"/>
      <c r="AH323" s="456"/>
      <c r="AI323" s="456"/>
      <c r="AJ323" s="456"/>
      <c r="AK323" s="456"/>
      <c r="AL323" s="456"/>
      <c r="AM323" s="456"/>
      <c r="AN323" s="481"/>
      <c r="AO323" s="481"/>
      <c r="AP323" s="481"/>
      <c r="AQ323" s="491"/>
      <c r="AR323" s="456"/>
      <c r="AS323" s="456"/>
      <c r="AT323" s="456"/>
      <c r="AU323" s="522"/>
      <c r="AV323" s="481"/>
      <c r="AW323" s="456"/>
      <c r="AX323" s="481"/>
      <c r="AY323" s="491"/>
      <c r="AZ323" s="456"/>
      <c r="BA323" s="456"/>
      <c r="BB323" s="481"/>
      <c r="BC323" s="491" t="s">
        <v>893</v>
      </c>
      <c r="BD323" s="481"/>
      <c r="BE323" s="481"/>
      <c r="BF323" s="491"/>
      <c r="BG323" s="456"/>
      <c r="BH323" s="456"/>
      <c r="BI323" s="456"/>
      <c r="BJ323" s="456"/>
      <c r="BK323" s="456"/>
      <c r="BL323" s="456"/>
      <c r="BM323" s="456"/>
      <c r="BN323" s="456"/>
      <c r="BO323" s="456"/>
    </row>
    <row r="324" spans="1:67" s="469" customFormat="1" ht="15" x14ac:dyDescent="0.25">
      <c r="A324" s="523"/>
      <c r="B324" s="490"/>
      <c r="C324" s="2669" t="s">
        <v>894</v>
      </c>
      <c r="D324" s="2669"/>
      <c r="E324" s="2669"/>
      <c r="F324" s="2669"/>
      <c r="G324" s="2669"/>
      <c r="H324" s="2669"/>
      <c r="I324" s="2669"/>
      <c r="J324" s="2669"/>
      <c r="K324" s="2669"/>
      <c r="L324" s="2669"/>
      <c r="M324" s="2669"/>
      <c r="N324" s="2669"/>
      <c r="O324" s="2669"/>
      <c r="P324" s="536">
        <v>75955.66</v>
      </c>
      <c r="Q324" s="459"/>
      <c r="R324" s="459"/>
      <c r="S324" s="454"/>
      <c r="T324" s="454"/>
      <c r="U324" s="454"/>
      <c r="V324" s="454"/>
      <c r="W324" s="454"/>
      <c r="X324" s="454"/>
      <c r="Y324" s="454"/>
      <c r="Z324" s="454"/>
      <c r="AA324" s="454"/>
      <c r="AB324" s="456"/>
      <c r="AC324" s="456"/>
      <c r="AD324" s="456"/>
      <c r="AE324" s="456"/>
      <c r="AF324" s="456"/>
      <c r="AG324" s="456"/>
      <c r="AH324" s="456"/>
      <c r="AI324" s="456"/>
      <c r="AJ324" s="456"/>
      <c r="AK324" s="456"/>
      <c r="AL324" s="456"/>
      <c r="AM324" s="456"/>
      <c r="AN324" s="481"/>
      <c r="AO324" s="481"/>
      <c r="AP324" s="481"/>
      <c r="AQ324" s="491"/>
      <c r="AR324" s="456"/>
      <c r="AS324" s="456"/>
      <c r="AT324" s="456"/>
      <c r="AU324" s="522"/>
      <c r="AV324" s="481"/>
      <c r="AW324" s="456"/>
      <c r="AX324" s="481"/>
      <c r="AY324" s="491"/>
      <c r="AZ324" s="456"/>
      <c r="BA324" s="456"/>
      <c r="BB324" s="481"/>
      <c r="BC324" s="491" t="s">
        <v>894</v>
      </c>
      <c r="BD324" s="481"/>
      <c r="BE324" s="481"/>
      <c r="BF324" s="491"/>
      <c r="BG324" s="456"/>
      <c r="BH324" s="456"/>
      <c r="BI324" s="456"/>
      <c r="BJ324" s="456"/>
      <c r="BK324" s="456"/>
      <c r="BL324" s="456"/>
      <c r="BM324" s="456"/>
      <c r="BN324" s="456"/>
      <c r="BO324" s="456"/>
    </row>
    <row r="325" spans="1:67" s="469" customFormat="1" ht="15" x14ac:dyDescent="0.25">
      <c r="A325" s="523"/>
      <c r="B325" s="490"/>
      <c r="C325" s="2669" t="s">
        <v>895</v>
      </c>
      <c r="D325" s="2669"/>
      <c r="E325" s="2669"/>
      <c r="F325" s="2669"/>
      <c r="G325" s="2669"/>
      <c r="H325" s="2669"/>
      <c r="I325" s="2669"/>
      <c r="J325" s="2669"/>
      <c r="K325" s="2669"/>
      <c r="L325" s="2669"/>
      <c r="M325" s="2669"/>
      <c r="N325" s="2669"/>
      <c r="O325" s="2669"/>
      <c r="P325" s="536">
        <v>2240868.42</v>
      </c>
      <c r="Q325" s="459"/>
      <c r="R325" s="459"/>
      <c r="S325" s="454"/>
      <c r="T325" s="454"/>
      <c r="U325" s="454"/>
      <c r="V325" s="454"/>
      <c r="W325" s="454"/>
      <c r="X325" s="454"/>
      <c r="Y325" s="454"/>
      <c r="Z325" s="454"/>
      <c r="AA325" s="454"/>
      <c r="AB325" s="456"/>
      <c r="AC325" s="456"/>
      <c r="AD325" s="456"/>
      <c r="AE325" s="456"/>
      <c r="AF325" s="456"/>
      <c r="AG325" s="456"/>
      <c r="AH325" s="456"/>
      <c r="AI325" s="456"/>
      <c r="AJ325" s="456"/>
      <c r="AK325" s="456"/>
      <c r="AL325" s="456"/>
      <c r="AM325" s="456"/>
      <c r="AN325" s="481"/>
      <c r="AO325" s="481"/>
      <c r="AP325" s="481"/>
      <c r="AQ325" s="491"/>
      <c r="AR325" s="456"/>
      <c r="AS325" s="456"/>
      <c r="AT325" s="456"/>
      <c r="AU325" s="522"/>
      <c r="AV325" s="481"/>
      <c r="AW325" s="456"/>
      <c r="AX325" s="481"/>
      <c r="AY325" s="491"/>
      <c r="AZ325" s="456"/>
      <c r="BA325" s="456"/>
      <c r="BB325" s="481"/>
      <c r="BC325" s="491" t="s">
        <v>895</v>
      </c>
      <c r="BD325" s="481"/>
      <c r="BE325" s="481"/>
      <c r="BF325" s="491"/>
      <c r="BG325" s="456"/>
      <c r="BH325" s="456"/>
      <c r="BI325" s="456"/>
      <c r="BJ325" s="456"/>
      <c r="BK325" s="456"/>
      <c r="BL325" s="456"/>
      <c r="BM325" s="456"/>
      <c r="BN325" s="456"/>
      <c r="BO325" s="456"/>
    </row>
    <row r="326" spans="1:67" s="469" customFormat="1" ht="15" x14ac:dyDescent="0.25">
      <c r="A326" s="523"/>
      <c r="B326" s="490"/>
      <c r="C326" s="2669" t="s">
        <v>896</v>
      </c>
      <c r="D326" s="2669"/>
      <c r="E326" s="2669"/>
      <c r="F326" s="2669"/>
      <c r="G326" s="2669"/>
      <c r="H326" s="2669"/>
      <c r="I326" s="2669"/>
      <c r="J326" s="2669"/>
      <c r="K326" s="2669"/>
      <c r="L326" s="2669"/>
      <c r="M326" s="2669"/>
      <c r="N326" s="2669"/>
      <c r="O326" s="2669"/>
      <c r="P326" s="536">
        <v>11830.16</v>
      </c>
      <c r="Q326" s="459"/>
      <c r="R326" s="459"/>
      <c r="S326" s="454"/>
      <c r="T326" s="454"/>
      <c r="U326" s="454"/>
      <c r="V326" s="454"/>
      <c r="W326" s="454"/>
      <c r="X326" s="454"/>
      <c r="Y326" s="454"/>
      <c r="Z326" s="454"/>
      <c r="AA326" s="454"/>
      <c r="AB326" s="456"/>
      <c r="AC326" s="456"/>
      <c r="AD326" s="456"/>
      <c r="AE326" s="456"/>
      <c r="AF326" s="456"/>
      <c r="AG326" s="456"/>
      <c r="AH326" s="456"/>
      <c r="AI326" s="456"/>
      <c r="AJ326" s="456"/>
      <c r="AK326" s="456"/>
      <c r="AL326" s="456"/>
      <c r="AM326" s="456"/>
      <c r="AN326" s="481"/>
      <c r="AO326" s="481"/>
      <c r="AP326" s="481"/>
      <c r="AQ326" s="491"/>
      <c r="AR326" s="456"/>
      <c r="AS326" s="456"/>
      <c r="AT326" s="456"/>
      <c r="AU326" s="522"/>
      <c r="AV326" s="481"/>
      <c r="AW326" s="456"/>
      <c r="AX326" s="481"/>
      <c r="AY326" s="491"/>
      <c r="AZ326" s="456"/>
      <c r="BA326" s="456"/>
      <c r="BB326" s="481"/>
      <c r="BC326" s="491" t="s">
        <v>896</v>
      </c>
      <c r="BD326" s="481"/>
      <c r="BE326" s="481"/>
      <c r="BF326" s="491"/>
      <c r="BG326" s="456"/>
      <c r="BH326" s="456"/>
      <c r="BI326" s="456"/>
      <c r="BJ326" s="456"/>
      <c r="BK326" s="456"/>
      <c r="BL326" s="456"/>
      <c r="BM326" s="456"/>
      <c r="BN326" s="456"/>
      <c r="BO326" s="456"/>
    </row>
    <row r="327" spans="1:67" s="469" customFormat="1" ht="15" x14ac:dyDescent="0.25">
      <c r="A327" s="523"/>
      <c r="B327" s="490"/>
      <c r="C327" s="2669" t="s">
        <v>897</v>
      </c>
      <c r="D327" s="2669"/>
      <c r="E327" s="2669"/>
      <c r="F327" s="2669"/>
      <c r="G327" s="2669"/>
      <c r="H327" s="2669"/>
      <c r="I327" s="2669"/>
      <c r="J327" s="2669"/>
      <c r="K327" s="2669"/>
      <c r="L327" s="2669"/>
      <c r="M327" s="2669"/>
      <c r="N327" s="2669"/>
      <c r="O327" s="2669"/>
      <c r="P327" s="536">
        <v>3772626.58</v>
      </c>
      <c r="Q327" s="459"/>
      <c r="R327" s="459"/>
      <c r="S327" s="454"/>
      <c r="T327" s="454"/>
      <c r="U327" s="454"/>
      <c r="V327" s="454"/>
      <c r="W327" s="454"/>
      <c r="X327" s="454"/>
      <c r="Y327" s="454"/>
      <c r="Z327" s="454"/>
      <c r="AA327" s="454"/>
      <c r="AB327" s="456"/>
      <c r="AC327" s="456"/>
      <c r="AD327" s="456"/>
      <c r="AE327" s="456"/>
      <c r="AF327" s="456"/>
      <c r="AG327" s="456"/>
      <c r="AH327" s="456"/>
      <c r="AI327" s="456"/>
      <c r="AJ327" s="456"/>
      <c r="AK327" s="456"/>
      <c r="AL327" s="456"/>
      <c r="AM327" s="456"/>
      <c r="AN327" s="481"/>
      <c r="AO327" s="481"/>
      <c r="AP327" s="481"/>
      <c r="AQ327" s="491"/>
      <c r="AR327" s="456"/>
      <c r="AS327" s="456"/>
      <c r="AT327" s="456"/>
      <c r="AU327" s="522"/>
      <c r="AV327" s="481"/>
      <c r="AW327" s="456"/>
      <c r="AX327" s="481"/>
      <c r="AY327" s="491"/>
      <c r="AZ327" s="456"/>
      <c r="BA327" s="456"/>
      <c r="BB327" s="481"/>
      <c r="BC327" s="491" t="s">
        <v>897</v>
      </c>
      <c r="BD327" s="481"/>
      <c r="BE327" s="481"/>
      <c r="BF327" s="491"/>
      <c r="BG327" s="456"/>
      <c r="BH327" s="456"/>
      <c r="BI327" s="456"/>
      <c r="BJ327" s="456"/>
      <c r="BK327" s="456"/>
      <c r="BL327" s="456"/>
      <c r="BM327" s="456"/>
      <c r="BN327" s="456"/>
      <c r="BO327" s="456"/>
    </row>
    <row r="328" spans="1:67" s="469" customFormat="1" ht="15" x14ac:dyDescent="0.25">
      <c r="A328" s="523"/>
      <c r="B328" s="490"/>
      <c r="C328" s="2669" t="s">
        <v>898</v>
      </c>
      <c r="D328" s="2669"/>
      <c r="E328" s="2669"/>
      <c r="F328" s="2669"/>
      <c r="G328" s="2669"/>
      <c r="H328" s="2669"/>
      <c r="I328" s="2669"/>
      <c r="J328" s="2669"/>
      <c r="K328" s="2669"/>
      <c r="L328" s="2669"/>
      <c r="M328" s="2669"/>
      <c r="N328" s="2669"/>
      <c r="O328" s="2669"/>
      <c r="P328" s="536">
        <v>3760796.42</v>
      </c>
      <c r="Q328" s="459"/>
      <c r="R328" s="459"/>
      <c r="S328" s="454"/>
      <c r="T328" s="454"/>
      <c r="U328" s="454"/>
      <c r="V328" s="454"/>
      <c r="W328" s="454"/>
      <c r="X328" s="454"/>
      <c r="Y328" s="454"/>
      <c r="Z328" s="454"/>
      <c r="AA328" s="454"/>
      <c r="AB328" s="456"/>
      <c r="AC328" s="456"/>
      <c r="AD328" s="456"/>
      <c r="AE328" s="456"/>
      <c r="AF328" s="456"/>
      <c r="AG328" s="456"/>
      <c r="AH328" s="456"/>
      <c r="AI328" s="456"/>
      <c r="AJ328" s="456"/>
      <c r="AK328" s="456"/>
      <c r="AL328" s="456"/>
      <c r="AM328" s="456"/>
      <c r="AN328" s="481"/>
      <c r="AO328" s="481"/>
      <c r="AP328" s="481"/>
      <c r="AQ328" s="491"/>
      <c r="AR328" s="456"/>
      <c r="AS328" s="456"/>
      <c r="AT328" s="456"/>
      <c r="AU328" s="522"/>
      <c r="AV328" s="481"/>
      <c r="AW328" s="456"/>
      <c r="AX328" s="481"/>
      <c r="AY328" s="491"/>
      <c r="AZ328" s="456"/>
      <c r="BA328" s="456"/>
      <c r="BB328" s="481"/>
      <c r="BC328" s="491" t="s">
        <v>898</v>
      </c>
      <c r="BD328" s="481"/>
      <c r="BE328" s="481"/>
      <c r="BF328" s="491"/>
      <c r="BG328" s="456"/>
      <c r="BH328" s="456"/>
      <c r="BI328" s="456"/>
      <c r="BJ328" s="456"/>
      <c r="BK328" s="456"/>
      <c r="BL328" s="456"/>
      <c r="BM328" s="456"/>
      <c r="BN328" s="456"/>
      <c r="BO328" s="456"/>
    </row>
    <row r="329" spans="1:67" s="469" customFormat="1" ht="15" x14ac:dyDescent="0.25">
      <c r="A329" s="523"/>
      <c r="B329" s="490"/>
      <c r="C329" s="2669" t="s">
        <v>899</v>
      </c>
      <c r="D329" s="2669"/>
      <c r="E329" s="2669"/>
      <c r="F329" s="2669"/>
      <c r="G329" s="2669"/>
      <c r="H329" s="2669"/>
      <c r="I329" s="2669"/>
      <c r="J329" s="2669"/>
      <c r="K329" s="2669"/>
      <c r="L329" s="2669"/>
      <c r="M329" s="2669"/>
      <c r="N329" s="2669"/>
      <c r="O329" s="2669"/>
      <c r="P329" s="537"/>
      <c r="Q329" s="459"/>
      <c r="R329" s="459"/>
      <c r="S329" s="454"/>
      <c r="T329" s="454"/>
      <c r="U329" s="454"/>
      <c r="V329" s="454"/>
      <c r="W329" s="454"/>
      <c r="X329" s="454"/>
      <c r="Y329" s="454"/>
      <c r="Z329" s="454"/>
      <c r="AA329" s="454"/>
      <c r="AB329" s="456"/>
      <c r="AC329" s="456"/>
      <c r="AD329" s="456"/>
      <c r="AE329" s="456"/>
      <c r="AF329" s="456"/>
      <c r="AG329" s="456"/>
      <c r="AH329" s="456"/>
      <c r="AI329" s="456"/>
      <c r="AJ329" s="456"/>
      <c r="AK329" s="456"/>
      <c r="AL329" s="456"/>
      <c r="AM329" s="456"/>
      <c r="AN329" s="481"/>
      <c r="AO329" s="481"/>
      <c r="AP329" s="481"/>
      <c r="AQ329" s="491"/>
      <c r="AR329" s="456"/>
      <c r="AS329" s="456"/>
      <c r="AT329" s="456"/>
      <c r="AU329" s="522"/>
      <c r="AV329" s="481"/>
      <c r="AW329" s="456"/>
      <c r="AX329" s="481"/>
      <c r="AY329" s="491"/>
      <c r="AZ329" s="456"/>
      <c r="BA329" s="456"/>
      <c r="BB329" s="481"/>
      <c r="BC329" s="491" t="s">
        <v>899</v>
      </c>
      <c r="BD329" s="481"/>
      <c r="BE329" s="481"/>
      <c r="BF329" s="491"/>
      <c r="BG329" s="456"/>
      <c r="BH329" s="456"/>
      <c r="BI329" s="456"/>
      <c r="BJ329" s="456"/>
      <c r="BK329" s="456"/>
      <c r="BL329" s="456"/>
      <c r="BM329" s="456"/>
      <c r="BN329" s="456"/>
      <c r="BO329" s="456"/>
    </row>
    <row r="330" spans="1:67" s="469" customFormat="1" ht="15" x14ac:dyDescent="0.25">
      <c r="A330" s="523"/>
      <c r="B330" s="490"/>
      <c r="C330" s="2669" t="s">
        <v>900</v>
      </c>
      <c r="D330" s="2669"/>
      <c r="E330" s="2669"/>
      <c r="F330" s="2669"/>
      <c r="G330" s="2669"/>
      <c r="H330" s="2669"/>
      <c r="I330" s="2669"/>
      <c r="J330" s="2669"/>
      <c r="K330" s="2669"/>
      <c r="L330" s="2669"/>
      <c r="M330" s="2669"/>
      <c r="N330" s="2669"/>
      <c r="O330" s="2669"/>
      <c r="P330" s="536">
        <v>420837.6</v>
      </c>
      <c r="Q330" s="459"/>
      <c r="R330" s="459"/>
      <c r="S330" s="454"/>
      <c r="T330" s="454"/>
      <c r="U330" s="454"/>
      <c r="V330" s="454"/>
      <c r="W330" s="454"/>
      <c r="X330" s="454"/>
      <c r="Y330" s="454"/>
      <c r="Z330" s="454"/>
      <c r="AA330" s="454"/>
      <c r="AB330" s="456"/>
      <c r="AC330" s="456"/>
      <c r="AD330" s="456"/>
      <c r="AE330" s="456"/>
      <c r="AF330" s="456"/>
      <c r="AG330" s="456"/>
      <c r="AH330" s="456"/>
      <c r="AI330" s="456"/>
      <c r="AJ330" s="456"/>
      <c r="AK330" s="456"/>
      <c r="AL330" s="456"/>
      <c r="AM330" s="456"/>
      <c r="AN330" s="481"/>
      <c r="AO330" s="481"/>
      <c r="AP330" s="481"/>
      <c r="AQ330" s="491"/>
      <c r="AR330" s="456"/>
      <c r="AS330" s="456"/>
      <c r="AT330" s="456"/>
      <c r="AU330" s="522"/>
      <c r="AV330" s="481"/>
      <c r="AW330" s="456"/>
      <c r="AX330" s="481"/>
      <c r="AY330" s="491"/>
      <c r="AZ330" s="456"/>
      <c r="BA330" s="456"/>
      <c r="BB330" s="481"/>
      <c r="BC330" s="491" t="s">
        <v>900</v>
      </c>
      <c r="BD330" s="481"/>
      <c r="BE330" s="481"/>
      <c r="BF330" s="491"/>
      <c r="BG330" s="456"/>
      <c r="BH330" s="456"/>
      <c r="BI330" s="456"/>
      <c r="BJ330" s="456"/>
      <c r="BK330" s="456"/>
      <c r="BL330" s="456"/>
      <c r="BM330" s="456"/>
      <c r="BN330" s="456"/>
      <c r="BO330" s="456"/>
    </row>
    <row r="331" spans="1:67" s="469" customFormat="1" ht="15" x14ac:dyDescent="0.25">
      <c r="A331" s="523"/>
      <c r="B331" s="490"/>
      <c r="C331" s="2669" t="s">
        <v>901</v>
      </c>
      <c r="D331" s="2669"/>
      <c r="E331" s="2669"/>
      <c r="F331" s="2669"/>
      <c r="G331" s="2669"/>
      <c r="H331" s="2669"/>
      <c r="I331" s="2669"/>
      <c r="J331" s="2669"/>
      <c r="K331" s="2669"/>
      <c r="L331" s="2669"/>
      <c r="M331" s="2669"/>
      <c r="N331" s="2669"/>
      <c r="O331" s="2669"/>
      <c r="P331" s="536">
        <v>299306.96999999997</v>
      </c>
      <c r="Q331" s="459"/>
      <c r="R331" s="459"/>
      <c r="S331" s="454"/>
      <c r="T331" s="454"/>
      <c r="U331" s="454"/>
      <c r="V331" s="454"/>
      <c r="W331" s="454"/>
      <c r="X331" s="454"/>
      <c r="Y331" s="454"/>
      <c r="Z331" s="454"/>
      <c r="AA331" s="454"/>
      <c r="AB331" s="456"/>
      <c r="AC331" s="456"/>
      <c r="AD331" s="456"/>
      <c r="AE331" s="456"/>
      <c r="AF331" s="456"/>
      <c r="AG331" s="456"/>
      <c r="AH331" s="456"/>
      <c r="AI331" s="456"/>
      <c r="AJ331" s="456"/>
      <c r="AK331" s="456"/>
      <c r="AL331" s="456"/>
      <c r="AM331" s="456"/>
      <c r="AN331" s="481"/>
      <c r="AO331" s="481"/>
      <c r="AP331" s="481"/>
      <c r="AQ331" s="491"/>
      <c r="AR331" s="456"/>
      <c r="AS331" s="456"/>
      <c r="AT331" s="456"/>
      <c r="AU331" s="522"/>
      <c r="AV331" s="481"/>
      <c r="AW331" s="456"/>
      <c r="AX331" s="481"/>
      <c r="AY331" s="491"/>
      <c r="AZ331" s="456"/>
      <c r="BA331" s="456"/>
      <c r="BB331" s="481"/>
      <c r="BC331" s="491" t="s">
        <v>901</v>
      </c>
      <c r="BD331" s="481"/>
      <c r="BE331" s="481"/>
      <c r="BF331" s="491"/>
      <c r="BG331" s="456"/>
      <c r="BH331" s="456"/>
      <c r="BI331" s="456"/>
      <c r="BJ331" s="456"/>
      <c r="BK331" s="456"/>
      <c r="BL331" s="456"/>
      <c r="BM331" s="456"/>
      <c r="BN331" s="456"/>
      <c r="BO331" s="456"/>
    </row>
    <row r="332" spans="1:67" s="469" customFormat="1" ht="15" x14ac:dyDescent="0.25">
      <c r="A332" s="523"/>
      <c r="B332" s="490"/>
      <c r="C332" s="2669" t="s">
        <v>902</v>
      </c>
      <c r="D332" s="2669"/>
      <c r="E332" s="2669"/>
      <c r="F332" s="2669"/>
      <c r="G332" s="2669"/>
      <c r="H332" s="2669"/>
      <c r="I332" s="2669"/>
      <c r="J332" s="2669"/>
      <c r="K332" s="2669"/>
      <c r="L332" s="2669"/>
      <c r="M332" s="2669"/>
      <c r="N332" s="2669"/>
      <c r="O332" s="2669"/>
      <c r="P332" s="536">
        <v>75955.66</v>
      </c>
      <c r="Q332" s="459"/>
      <c r="R332" s="459"/>
      <c r="S332" s="454"/>
      <c r="T332" s="454"/>
      <c r="U332" s="454"/>
      <c r="V332" s="454"/>
      <c r="W332" s="454"/>
      <c r="X332" s="454"/>
      <c r="Y332" s="454"/>
      <c r="Z332" s="454"/>
      <c r="AA332" s="454"/>
      <c r="AB332" s="456"/>
      <c r="AC332" s="456"/>
      <c r="AD332" s="456"/>
      <c r="AE332" s="456"/>
      <c r="AF332" s="456"/>
      <c r="AG332" s="456"/>
      <c r="AH332" s="456"/>
      <c r="AI332" s="456"/>
      <c r="AJ332" s="456"/>
      <c r="AK332" s="456"/>
      <c r="AL332" s="456"/>
      <c r="AM332" s="456"/>
      <c r="AN332" s="481"/>
      <c r="AO332" s="481"/>
      <c r="AP332" s="481"/>
      <c r="AQ332" s="491"/>
      <c r="AR332" s="456"/>
      <c r="AS332" s="456"/>
      <c r="AT332" s="456"/>
      <c r="AU332" s="522"/>
      <c r="AV332" s="481"/>
      <c r="AW332" s="456"/>
      <c r="AX332" s="481"/>
      <c r="AY332" s="491"/>
      <c r="AZ332" s="456"/>
      <c r="BA332" s="456"/>
      <c r="BB332" s="481"/>
      <c r="BC332" s="491" t="s">
        <v>902</v>
      </c>
      <c r="BD332" s="481"/>
      <c r="BE332" s="481"/>
      <c r="BF332" s="491"/>
      <c r="BG332" s="456"/>
      <c r="BH332" s="456"/>
      <c r="BI332" s="456"/>
      <c r="BJ332" s="456"/>
      <c r="BK332" s="456"/>
      <c r="BL332" s="456"/>
      <c r="BM332" s="456"/>
      <c r="BN332" s="456"/>
      <c r="BO332" s="456"/>
    </row>
    <row r="333" spans="1:67" s="469" customFormat="1" ht="15" x14ac:dyDescent="0.25">
      <c r="A333" s="523"/>
      <c r="B333" s="490"/>
      <c r="C333" s="2669" t="s">
        <v>903</v>
      </c>
      <c r="D333" s="2669"/>
      <c r="E333" s="2669"/>
      <c r="F333" s="2669"/>
      <c r="G333" s="2669"/>
      <c r="H333" s="2669"/>
      <c r="I333" s="2669"/>
      <c r="J333" s="2669"/>
      <c r="K333" s="2669"/>
      <c r="L333" s="2669"/>
      <c r="M333" s="2669"/>
      <c r="N333" s="2669"/>
      <c r="O333" s="2669"/>
      <c r="P333" s="536">
        <v>2240868.42</v>
      </c>
      <c r="Q333" s="459"/>
      <c r="R333" s="459"/>
      <c r="S333" s="454"/>
      <c r="T333" s="454"/>
      <c r="U333" s="454"/>
      <c r="V333" s="454"/>
      <c r="W333" s="454"/>
      <c r="X333" s="454"/>
      <c r="Y333" s="454"/>
      <c r="Z333" s="454"/>
      <c r="AA333" s="454"/>
      <c r="AB333" s="456"/>
      <c r="AC333" s="456"/>
      <c r="AD333" s="456"/>
      <c r="AE333" s="456"/>
      <c r="AF333" s="456"/>
      <c r="AG333" s="456"/>
      <c r="AH333" s="456"/>
      <c r="AI333" s="456"/>
      <c r="AJ333" s="456"/>
      <c r="AK333" s="456"/>
      <c r="AL333" s="456"/>
      <c r="AM333" s="456"/>
      <c r="AN333" s="481"/>
      <c r="AO333" s="481"/>
      <c r="AP333" s="481"/>
      <c r="AQ333" s="491"/>
      <c r="AR333" s="456"/>
      <c r="AS333" s="456"/>
      <c r="AT333" s="456"/>
      <c r="AU333" s="522"/>
      <c r="AV333" s="481"/>
      <c r="AW333" s="456"/>
      <c r="AX333" s="481"/>
      <c r="AY333" s="491"/>
      <c r="AZ333" s="456"/>
      <c r="BA333" s="456"/>
      <c r="BB333" s="481"/>
      <c r="BC333" s="491" t="s">
        <v>903</v>
      </c>
      <c r="BD333" s="481"/>
      <c r="BE333" s="481"/>
      <c r="BF333" s="491"/>
      <c r="BG333" s="456"/>
      <c r="BH333" s="456"/>
      <c r="BI333" s="456"/>
      <c r="BJ333" s="456"/>
      <c r="BK333" s="456"/>
      <c r="BL333" s="456"/>
      <c r="BM333" s="456"/>
      <c r="BN333" s="456"/>
      <c r="BO333" s="456"/>
    </row>
    <row r="334" spans="1:67" s="469" customFormat="1" ht="15" x14ac:dyDescent="0.25">
      <c r="A334" s="523"/>
      <c r="B334" s="490"/>
      <c r="C334" s="2669" t="s">
        <v>904</v>
      </c>
      <c r="D334" s="2669"/>
      <c r="E334" s="2669"/>
      <c r="F334" s="2669"/>
      <c r="G334" s="2669"/>
      <c r="H334" s="2669"/>
      <c r="I334" s="2669"/>
      <c r="J334" s="2669"/>
      <c r="K334" s="2669"/>
      <c r="L334" s="2669"/>
      <c r="M334" s="2669"/>
      <c r="N334" s="2669"/>
      <c r="O334" s="2669"/>
      <c r="P334" s="536">
        <v>462017.73</v>
      </c>
      <c r="Q334" s="459"/>
      <c r="R334" s="459"/>
      <c r="S334" s="454"/>
      <c r="T334" s="454"/>
      <c r="U334" s="454"/>
      <c r="V334" s="454"/>
      <c r="W334" s="454"/>
      <c r="X334" s="454"/>
      <c r="Y334" s="454"/>
      <c r="Z334" s="454"/>
      <c r="AA334" s="454"/>
      <c r="AB334" s="456"/>
      <c r="AC334" s="456"/>
      <c r="AD334" s="456"/>
      <c r="AE334" s="456"/>
      <c r="AF334" s="456"/>
      <c r="AG334" s="456"/>
      <c r="AH334" s="456"/>
      <c r="AI334" s="456"/>
      <c r="AJ334" s="456"/>
      <c r="AK334" s="456"/>
      <c r="AL334" s="456"/>
      <c r="AM334" s="456"/>
      <c r="AN334" s="481"/>
      <c r="AO334" s="481"/>
      <c r="AP334" s="481"/>
      <c r="AQ334" s="491"/>
      <c r="AR334" s="456"/>
      <c r="AS334" s="456"/>
      <c r="AT334" s="456"/>
      <c r="AU334" s="522"/>
      <c r="AV334" s="481"/>
      <c r="AW334" s="456"/>
      <c r="AX334" s="481"/>
      <c r="AY334" s="491"/>
      <c r="AZ334" s="456"/>
      <c r="BA334" s="456"/>
      <c r="BB334" s="481"/>
      <c r="BC334" s="491" t="s">
        <v>904</v>
      </c>
      <c r="BD334" s="481"/>
      <c r="BE334" s="481"/>
      <c r="BF334" s="491"/>
      <c r="BG334" s="456"/>
      <c r="BH334" s="456"/>
      <c r="BI334" s="456"/>
      <c r="BJ334" s="456"/>
      <c r="BK334" s="456"/>
      <c r="BL334" s="456"/>
      <c r="BM334" s="456"/>
      <c r="BN334" s="456"/>
      <c r="BO334" s="456"/>
    </row>
    <row r="335" spans="1:67" s="469" customFormat="1" ht="15" x14ac:dyDescent="0.25">
      <c r="A335" s="523"/>
      <c r="B335" s="490"/>
      <c r="C335" s="2669" t="s">
        <v>905</v>
      </c>
      <c r="D335" s="2669"/>
      <c r="E335" s="2669"/>
      <c r="F335" s="2669"/>
      <c r="G335" s="2669"/>
      <c r="H335" s="2669"/>
      <c r="I335" s="2669"/>
      <c r="J335" s="2669"/>
      <c r="K335" s="2669"/>
      <c r="L335" s="2669"/>
      <c r="M335" s="2669"/>
      <c r="N335" s="2669"/>
      <c r="O335" s="2669"/>
      <c r="P335" s="536">
        <v>261810.04</v>
      </c>
      <c r="Q335" s="459"/>
      <c r="R335" s="459"/>
      <c r="S335" s="454"/>
      <c r="T335" s="454"/>
      <c r="U335" s="454"/>
      <c r="V335" s="454"/>
      <c r="W335" s="454"/>
      <c r="X335" s="454"/>
      <c r="Y335" s="454"/>
      <c r="Z335" s="454"/>
      <c r="AA335" s="454"/>
      <c r="AB335" s="456"/>
      <c r="AC335" s="456"/>
      <c r="AD335" s="456"/>
      <c r="AE335" s="456"/>
      <c r="AF335" s="456"/>
      <c r="AG335" s="456"/>
      <c r="AH335" s="456"/>
      <c r="AI335" s="456"/>
      <c r="AJ335" s="456"/>
      <c r="AK335" s="456"/>
      <c r="AL335" s="456"/>
      <c r="AM335" s="456"/>
      <c r="AN335" s="481"/>
      <c r="AO335" s="481"/>
      <c r="AP335" s="481"/>
      <c r="AQ335" s="491"/>
      <c r="AR335" s="456"/>
      <c r="AS335" s="456"/>
      <c r="AT335" s="456"/>
      <c r="AU335" s="522"/>
      <c r="AV335" s="481"/>
      <c r="AW335" s="456"/>
      <c r="AX335" s="481"/>
      <c r="AY335" s="491"/>
      <c r="AZ335" s="456"/>
      <c r="BA335" s="456"/>
      <c r="BB335" s="481"/>
      <c r="BC335" s="491" t="s">
        <v>905</v>
      </c>
      <c r="BD335" s="481"/>
      <c r="BE335" s="481"/>
      <c r="BF335" s="491"/>
      <c r="BG335" s="456"/>
      <c r="BH335" s="456"/>
      <c r="BI335" s="456"/>
      <c r="BJ335" s="456"/>
      <c r="BK335" s="456"/>
      <c r="BL335" s="456"/>
      <c r="BM335" s="456"/>
      <c r="BN335" s="456"/>
      <c r="BO335" s="456"/>
    </row>
    <row r="336" spans="1:67" s="469" customFormat="1" ht="15" x14ac:dyDescent="0.25">
      <c r="A336" s="523"/>
      <c r="B336" s="490"/>
      <c r="C336" s="2669" t="s">
        <v>906</v>
      </c>
      <c r="D336" s="2669"/>
      <c r="E336" s="2669"/>
      <c r="F336" s="2669"/>
      <c r="G336" s="2669"/>
      <c r="H336" s="2669"/>
      <c r="I336" s="2669"/>
      <c r="J336" s="2669"/>
      <c r="K336" s="2669"/>
      <c r="L336" s="2669"/>
      <c r="M336" s="2669"/>
      <c r="N336" s="2669"/>
      <c r="O336" s="2669"/>
      <c r="P336" s="536">
        <v>11830.16</v>
      </c>
      <c r="Q336" s="459"/>
      <c r="R336" s="459"/>
      <c r="S336" s="454"/>
      <c r="T336" s="454"/>
      <c r="U336" s="454"/>
      <c r="V336" s="454"/>
      <c r="W336" s="454"/>
      <c r="X336" s="454"/>
      <c r="Y336" s="454"/>
      <c r="Z336" s="454"/>
      <c r="AA336" s="454"/>
      <c r="AB336" s="456"/>
      <c r="AC336" s="456"/>
      <c r="AD336" s="456"/>
      <c r="AE336" s="456"/>
      <c r="AF336" s="456"/>
      <c r="AG336" s="456"/>
      <c r="AH336" s="456"/>
      <c r="AI336" s="456"/>
      <c r="AJ336" s="456"/>
      <c r="AK336" s="456"/>
      <c r="AL336" s="456"/>
      <c r="AM336" s="456"/>
      <c r="AN336" s="481"/>
      <c r="AO336" s="481"/>
      <c r="AP336" s="481"/>
      <c r="AQ336" s="491"/>
      <c r="AR336" s="456"/>
      <c r="AS336" s="456"/>
      <c r="AT336" s="456"/>
      <c r="AU336" s="522"/>
      <c r="AV336" s="481"/>
      <c r="AW336" s="456"/>
      <c r="AX336" s="481"/>
      <c r="AY336" s="491"/>
      <c r="AZ336" s="456"/>
      <c r="BA336" s="456"/>
      <c r="BB336" s="481"/>
      <c r="BC336" s="491" t="s">
        <v>906</v>
      </c>
      <c r="BD336" s="481"/>
      <c r="BE336" s="481"/>
      <c r="BF336" s="491"/>
      <c r="BG336" s="456"/>
      <c r="BH336" s="456"/>
      <c r="BI336" s="456"/>
      <c r="BJ336" s="456"/>
      <c r="BK336" s="456"/>
      <c r="BL336" s="456"/>
      <c r="BM336" s="456"/>
      <c r="BN336" s="456"/>
      <c r="BO336" s="456"/>
    </row>
    <row r="337" spans="1:67" s="469" customFormat="1" ht="15" x14ac:dyDescent="0.25">
      <c r="A337" s="523"/>
      <c r="B337" s="490"/>
      <c r="C337" s="2669" t="s">
        <v>907</v>
      </c>
      <c r="D337" s="2669"/>
      <c r="E337" s="2669"/>
      <c r="F337" s="2669"/>
      <c r="G337" s="2669"/>
      <c r="H337" s="2669"/>
      <c r="I337" s="2669"/>
      <c r="J337" s="2669"/>
      <c r="K337" s="2669"/>
      <c r="L337" s="2669"/>
      <c r="M337" s="2669"/>
      <c r="N337" s="2669"/>
      <c r="O337" s="2669"/>
      <c r="P337" s="536">
        <v>496793.26</v>
      </c>
      <c r="Q337" s="459"/>
      <c r="R337" s="459"/>
      <c r="S337" s="454"/>
      <c r="T337" s="454"/>
      <c r="U337" s="454"/>
      <c r="V337" s="454"/>
      <c r="W337" s="454"/>
      <c r="X337" s="454"/>
      <c r="Y337" s="454"/>
      <c r="Z337" s="454"/>
      <c r="AA337" s="454"/>
      <c r="AB337" s="456"/>
      <c r="AC337" s="456"/>
      <c r="AD337" s="456"/>
      <c r="AE337" s="456"/>
      <c r="AF337" s="456"/>
      <c r="AG337" s="456"/>
      <c r="AH337" s="456"/>
      <c r="AI337" s="456"/>
      <c r="AJ337" s="456"/>
      <c r="AK337" s="456"/>
      <c r="AL337" s="456"/>
      <c r="AM337" s="456"/>
      <c r="AN337" s="481"/>
      <c r="AO337" s="481"/>
      <c r="AP337" s="481"/>
      <c r="AQ337" s="491"/>
      <c r="AR337" s="456"/>
      <c r="AS337" s="456"/>
      <c r="AT337" s="456"/>
      <c r="AU337" s="522"/>
      <c r="AV337" s="481"/>
      <c r="AW337" s="456"/>
      <c r="AX337" s="481"/>
      <c r="AY337" s="491"/>
      <c r="AZ337" s="456"/>
      <c r="BA337" s="456"/>
      <c r="BB337" s="481"/>
      <c r="BC337" s="491" t="s">
        <v>907</v>
      </c>
      <c r="BD337" s="481"/>
      <c r="BE337" s="481"/>
      <c r="BF337" s="491"/>
      <c r="BG337" s="456"/>
      <c r="BH337" s="456"/>
      <c r="BI337" s="456"/>
      <c r="BJ337" s="456"/>
      <c r="BK337" s="456"/>
      <c r="BL337" s="456"/>
      <c r="BM337" s="456"/>
      <c r="BN337" s="456"/>
      <c r="BO337" s="456"/>
    </row>
    <row r="338" spans="1:67" s="469" customFormat="1" ht="15" x14ac:dyDescent="0.25">
      <c r="A338" s="523"/>
      <c r="B338" s="490"/>
      <c r="C338" s="2669" t="s">
        <v>908</v>
      </c>
      <c r="D338" s="2669"/>
      <c r="E338" s="2669"/>
      <c r="F338" s="2669"/>
      <c r="G338" s="2669"/>
      <c r="H338" s="2669"/>
      <c r="I338" s="2669"/>
      <c r="J338" s="2669"/>
      <c r="K338" s="2669"/>
      <c r="L338" s="2669"/>
      <c r="M338" s="2669"/>
      <c r="N338" s="2669"/>
      <c r="O338" s="2669"/>
      <c r="P338" s="536">
        <v>462017.73</v>
      </c>
      <c r="Q338" s="459"/>
      <c r="R338" s="459"/>
      <c r="S338" s="454"/>
      <c r="T338" s="454"/>
      <c r="U338" s="454"/>
      <c r="V338" s="454"/>
      <c r="W338" s="454"/>
      <c r="X338" s="454"/>
      <c r="Y338" s="454"/>
      <c r="Z338" s="454"/>
      <c r="AA338" s="454"/>
      <c r="AB338" s="456"/>
      <c r="AC338" s="456"/>
      <c r="AD338" s="456"/>
      <c r="AE338" s="456"/>
      <c r="AF338" s="456"/>
      <c r="AG338" s="456"/>
      <c r="AH338" s="456"/>
      <c r="AI338" s="456"/>
      <c r="AJ338" s="456"/>
      <c r="AK338" s="456"/>
      <c r="AL338" s="456"/>
      <c r="AM338" s="456"/>
      <c r="AN338" s="481"/>
      <c r="AO338" s="481"/>
      <c r="AP338" s="481"/>
      <c r="AQ338" s="491"/>
      <c r="AR338" s="456"/>
      <c r="AS338" s="456"/>
      <c r="AT338" s="456"/>
      <c r="AU338" s="522"/>
      <c r="AV338" s="481"/>
      <c r="AW338" s="456"/>
      <c r="AX338" s="481"/>
      <c r="AY338" s="491"/>
      <c r="AZ338" s="456"/>
      <c r="BA338" s="456"/>
      <c r="BB338" s="481"/>
      <c r="BC338" s="491" t="s">
        <v>908</v>
      </c>
      <c r="BD338" s="481"/>
      <c r="BE338" s="481"/>
      <c r="BF338" s="491"/>
      <c r="BG338" s="456"/>
      <c r="BH338" s="456"/>
      <c r="BI338" s="456"/>
      <c r="BJ338" s="456"/>
      <c r="BK338" s="456"/>
      <c r="BL338" s="456"/>
      <c r="BM338" s="456"/>
      <c r="BN338" s="456"/>
      <c r="BO338" s="456"/>
    </row>
    <row r="339" spans="1:67" s="469" customFormat="1" ht="15" x14ac:dyDescent="0.25">
      <c r="A339" s="523"/>
      <c r="B339" s="490"/>
      <c r="C339" s="2669" t="s">
        <v>909</v>
      </c>
      <c r="D339" s="2669"/>
      <c r="E339" s="2669"/>
      <c r="F339" s="2669"/>
      <c r="G339" s="2669"/>
      <c r="H339" s="2669"/>
      <c r="I339" s="2669"/>
      <c r="J339" s="2669"/>
      <c r="K339" s="2669"/>
      <c r="L339" s="2669"/>
      <c r="M339" s="2669"/>
      <c r="N339" s="2669"/>
      <c r="O339" s="2669"/>
      <c r="P339" s="536">
        <v>261810.04</v>
      </c>
      <c r="Q339" s="459"/>
      <c r="R339" s="459"/>
      <c r="S339" s="454"/>
      <c r="T339" s="454"/>
      <c r="U339" s="454"/>
      <c r="V339" s="454"/>
      <c r="W339" s="454"/>
      <c r="X339" s="454"/>
      <c r="Y339" s="454"/>
      <c r="Z339" s="454"/>
      <c r="AA339" s="454"/>
      <c r="AB339" s="456"/>
      <c r="AC339" s="456"/>
      <c r="AD339" s="456"/>
      <c r="AE339" s="456"/>
      <c r="AF339" s="456"/>
      <c r="AG339" s="456"/>
      <c r="AH339" s="456"/>
      <c r="AI339" s="456"/>
      <c r="AJ339" s="456"/>
      <c r="AK339" s="456"/>
      <c r="AL339" s="456"/>
      <c r="AM339" s="456"/>
      <c r="AN339" s="481"/>
      <c r="AO339" s="481"/>
      <c r="AP339" s="481"/>
      <c r="AQ339" s="491"/>
      <c r="AR339" s="456"/>
      <c r="AS339" s="456"/>
      <c r="AT339" s="456"/>
      <c r="AU339" s="522"/>
      <c r="AV339" s="481"/>
      <c r="AW339" s="456"/>
      <c r="AX339" s="481"/>
      <c r="AY339" s="491"/>
      <c r="AZ339" s="456"/>
      <c r="BA339" s="456"/>
      <c r="BB339" s="481"/>
      <c r="BC339" s="491" t="s">
        <v>909</v>
      </c>
      <c r="BD339" s="481"/>
      <c r="BE339" s="481"/>
      <c r="BF339" s="491"/>
      <c r="BG339" s="456"/>
      <c r="BH339" s="456"/>
      <c r="BI339" s="456"/>
      <c r="BJ339" s="456"/>
      <c r="BK339" s="456"/>
      <c r="BL339" s="456"/>
      <c r="BM339" s="456"/>
      <c r="BN339" s="456"/>
      <c r="BO339" s="456"/>
    </row>
    <row r="340" spans="1:67" s="469" customFormat="1" ht="15" x14ac:dyDescent="0.25">
      <c r="A340" s="523"/>
      <c r="B340" s="534"/>
      <c r="C340" s="2729" t="s">
        <v>4066</v>
      </c>
      <c r="D340" s="2729"/>
      <c r="E340" s="2729"/>
      <c r="F340" s="2729"/>
      <c r="G340" s="2729"/>
      <c r="H340" s="2729"/>
      <c r="I340" s="2729"/>
      <c r="J340" s="2729"/>
      <c r="K340" s="2729"/>
      <c r="L340" s="2729"/>
      <c r="M340" s="2729"/>
      <c r="N340" s="2729"/>
      <c r="O340" s="2729"/>
      <c r="P340" s="538">
        <v>3772626.58</v>
      </c>
      <c r="Q340" s="459"/>
      <c r="R340" s="459"/>
      <c r="S340" s="454"/>
      <c r="T340" s="454"/>
      <c r="U340" s="454"/>
      <c r="V340" s="454"/>
      <c r="W340" s="454"/>
      <c r="X340" s="454"/>
      <c r="Y340" s="454"/>
      <c r="Z340" s="454"/>
      <c r="AA340" s="454"/>
      <c r="AB340" s="456"/>
      <c r="AC340" s="456"/>
      <c r="AD340" s="456"/>
      <c r="AE340" s="456"/>
      <c r="AF340" s="456"/>
      <c r="AG340" s="456"/>
      <c r="AH340" s="456"/>
      <c r="AI340" s="456"/>
      <c r="AJ340" s="456"/>
      <c r="AK340" s="456"/>
      <c r="AL340" s="456"/>
      <c r="AM340" s="456"/>
      <c r="AN340" s="481"/>
      <c r="AO340" s="481"/>
      <c r="AP340" s="481"/>
      <c r="AQ340" s="491"/>
      <c r="AR340" s="456"/>
      <c r="AS340" s="456"/>
      <c r="AT340" s="456"/>
      <c r="AU340" s="522"/>
      <c r="AV340" s="481"/>
      <c r="AW340" s="456"/>
      <c r="AX340" s="481"/>
      <c r="AY340" s="491"/>
      <c r="AZ340" s="456"/>
      <c r="BA340" s="456"/>
      <c r="BB340" s="481"/>
      <c r="BC340" s="491"/>
      <c r="BD340" s="481" t="s">
        <v>4066</v>
      </c>
      <c r="BE340" s="481"/>
      <c r="BF340" s="491"/>
      <c r="BG340" s="456"/>
      <c r="BH340" s="456"/>
      <c r="BI340" s="456"/>
      <c r="BJ340" s="456"/>
      <c r="BK340" s="456"/>
      <c r="BL340" s="456"/>
      <c r="BM340" s="456"/>
      <c r="BN340" s="456"/>
      <c r="BO340" s="456"/>
    </row>
    <row r="341" spans="1:67" s="469" customFormat="1" ht="15" x14ac:dyDescent="0.25">
      <c r="A341" s="523"/>
      <c r="B341" s="534"/>
      <c r="C341" s="2729" t="s">
        <v>910</v>
      </c>
      <c r="D341" s="2729"/>
      <c r="E341" s="2729"/>
      <c r="F341" s="2729"/>
      <c r="G341" s="2729"/>
      <c r="H341" s="2729"/>
      <c r="I341" s="2729"/>
      <c r="J341" s="2729"/>
      <c r="K341" s="2729"/>
      <c r="L341" s="2729"/>
      <c r="M341" s="2729"/>
      <c r="N341" s="2729"/>
      <c r="O341" s="2729"/>
      <c r="P341" s="539"/>
      <c r="Q341" s="459"/>
      <c r="R341" s="459"/>
      <c r="S341" s="454"/>
      <c r="T341" s="454"/>
      <c r="U341" s="454"/>
      <c r="V341" s="454"/>
      <c r="W341" s="454"/>
      <c r="X341" s="454"/>
      <c r="Y341" s="454"/>
      <c r="Z341" s="454"/>
      <c r="AA341" s="454"/>
      <c r="AB341" s="456"/>
      <c r="AC341" s="456"/>
      <c r="AD341" s="456"/>
      <c r="AE341" s="456"/>
      <c r="AF341" s="456"/>
      <c r="AG341" s="456"/>
      <c r="AH341" s="456"/>
      <c r="AI341" s="456"/>
      <c r="AJ341" s="456"/>
      <c r="AK341" s="456"/>
      <c r="AL341" s="456"/>
      <c r="AM341" s="456"/>
      <c r="AN341" s="481"/>
      <c r="AO341" s="481"/>
      <c r="AP341" s="481"/>
      <c r="AQ341" s="491"/>
      <c r="AR341" s="456"/>
      <c r="AS341" s="456"/>
      <c r="AT341" s="456"/>
      <c r="AU341" s="522"/>
      <c r="AV341" s="481"/>
      <c r="AW341" s="456"/>
      <c r="AX341" s="481"/>
      <c r="AY341" s="491"/>
      <c r="AZ341" s="456"/>
      <c r="BA341" s="456"/>
      <c r="BB341" s="481"/>
      <c r="BC341" s="491"/>
      <c r="BD341" s="481"/>
      <c r="BE341" s="481" t="s">
        <v>910</v>
      </c>
      <c r="BF341" s="491"/>
      <c r="BG341" s="456"/>
      <c r="BH341" s="456"/>
      <c r="BI341" s="456"/>
      <c r="BJ341" s="456"/>
      <c r="BK341" s="456"/>
      <c r="BL341" s="456"/>
      <c r="BM341" s="456"/>
      <c r="BN341" s="456"/>
      <c r="BO341" s="456"/>
    </row>
    <row r="342" spans="1:67" s="469" customFormat="1" ht="15" x14ac:dyDescent="0.25">
      <c r="A342" s="523"/>
      <c r="B342" s="534"/>
      <c r="C342" s="2668" t="s">
        <v>911</v>
      </c>
      <c r="D342" s="2668"/>
      <c r="E342" s="2668"/>
      <c r="F342" s="2668"/>
      <c r="G342" s="2668"/>
      <c r="H342" s="2668"/>
      <c r="I342" s="2668"/>
      <c r="J342" s="2668"/>
      <c r="K342" s="842">
        <v>1622.8505250000001</v>
      </c>
      <c r="L342" s="2668"/>
      <c r="M342" s="2668"/>
      <c r="N342" s="2668"/>
      <c r="O342" s="2668"/>
      <c r="P342" s="537"/>
      <c r="Q342" s="459"/>
      <c r="R342" s="459"/>
      <c r="S342" s="454"/>
      <c r="T342" s="454"/>
      <c r="U342" s="454"/>
      <c r="V342" s="454"/>
      <c r="W342" s="454"/>
      <c r="X342" s="454"/>
      <c r="Y342" s="454"/>
      <c r="Z342" s="454"/>
      <c r="AA342" s="454"/>
      <c r="AB342" s="456"/>
      <c r="AC342" s="456"/>
      <c r="AD342" s="456"/>
      <c r="AE342" s="456"/>
      <c r="AF342" s="456"/>
      <c r="AG342" s="456"/>
      <c r="AH342" s="456"/>
      <c r="AI342" s="456"/>
      <c r="AJ342" s="456"/>
      <c r="AK342" s="456"/>
      <c r="AL342" s="456"/>
      <c r="AM342" s="456"/>
      <c r="AN342" s="481"/>
      <c r="AO342" s="481"/>
      <c r="AP342" s="481"/>
      <c r="AQ342" s="491"/>
      <c r="AR342" s="456"/>
      <c r="AS342" s="456"/>
      <c r="AT342" s="456"/>
      <c r="AU342" s="522"/>
      <c r="AV342" s="481"/>
      <c r="AW342" s="456"/>
      <c r="AX342" s="481"/>
      <c r="AY342" s="491"/>
      <c r="AZ342" s="456"/>
      <c r="BA342" s="456"/>
      <c r="BB342" s="481"/>
      <c r="BC342" s="491"/>
      <c r="BD342" s="481"/>
      <c r="BE342" s="481"/>
      <c r="BF342" s="491" t="s">
        <v>911</v>
      </c>
      <c r="BG342" s="456"/>
      <c r="BH342" s="456"/>
      <c r="BI342" s="456"/>
      <c r="BJ342" s="456"/>
      <c r="BK342" s="456"/>
      <c r="BL342" s="456"/>
      <c r="BM342" s="456"/>
      <c r="BN342" s="456"/>
      <c r="BO342" s="456"/>
    </row>
    <row r="343" spans="1:67" s="469" customFormat="1" ht="15" x14ac:dyDescent="0.25">
      <c r="A343" s="523"/>
      <c r="B343" s="534"/>
      <c r="C343" s="2668" t="s">
        <v>912</v>
      </c>
      <c r="D343" s="2668"/>
      <c r="E343" s="2668"/>
      <c r="F343" s="2668"/>
      <c r="G343" s="2668"/>
      <c r="H343" s="2668"/>
      <c r="I343" s="2668"/>
      <c r="J343" s="2668"/>
      <c r="K343" s="842">
        <v>210.605265</v>
      </c>
      <c r="L343" s="2668"/>
      <c r="M343" s="2668"/>
      <c r="N343" s="2668"/>
      <c r="O343" s="2668"/>
      <c r="P343" s="537"/>
      <c r="Q343" s="459"/>
      <c r="R343" s="459"/>
      <c r="S343" s="454"/>
      <c r="T343" s="454"/>
      <c r="U343" s="454"/>
      <c r="V343" s="454"/>
      <c r="W343" s="454"/>
      <c r="X343" s="454"/>
      <c r="Y343" s="454"/>
      <c r="Z343" s="454"/>
      <c r="AA343" s="454"/>
      <c r="AB343" s="456"/>
      <c r="AC343" s="456"/>
      <c r="AD343" s="456"/>
      <c r="AE343" s="456"/>
      <c r="AF343" s="456"/>
      <c r="AG343" s="456"/>
      <c r="AH343" s="456"/>
      <c r="AI343" s="456"/>
      <c r="AJ343" s="456"/>
      <c r="AK343" s="456"/>
      <c r="AL343" s="456"/>
      <c r="AM343" s="456"/>
      <c r="AN343" s="481"/>
      <c r="AO343" s="481"/>
      <c r="AP343" s="481"/>
      <c r="AQ343" s="491"/>
      <c r="AR343" s="456"/>
      <c r="AS343" s="456"/>
      <c r="AT343" s="456"/>
      <c r="AU343" s="522"/>
      <c r="AV343" s="481"/>
      <c r="AW343" s="456"/>
      <c r="AX343" s="481"/>
      <c r="AY343" s="491"/>
      <c r="AZ343" s="456"/>
      <c r="BA343" s="456"/>
      <c r="BB343" s="481"/>
      <c r="BC343" s="491"/>
      <c r="BD343" s="481"/>
      <c r="BE343" s="481"/>
      <c r="BF343" s="491" t="s">
        <v>912</v>
      </c>
      <c r="BG343" s="456"/>
      <c r="BH343" s="456"/>
      <c r="BI343" s="456"/>
      <c r="BJ343" s="456"/>
      <c r="BK343" s="456"/>
      <c r="BL343" s="456"/>
      <c r="BM343" s="456"/>
      <c r="BN343" s="456"/>
      <c r="BO343" s="456"/>
    </row>
    <row r="344" spans="1:67" s="469" customFormat="1" ht="15" x14ac:dyDescent="0.25">
      <c r="A344" s="523"/>
      <c r="B344" s="534"/>
      <c r="C344" s="2729" t="s">
        <v>921</v>
      </c>
      <c r="D344" s="2729"/>
      <c r="E344" s="2729"/>
      <c r="F344" s="2729"/>
      <c r="G344" s="2729"/>
      <c r="H344" s="2729"/>
      <c r="I344" s="2729"/>
      <c r="J344" s="2729"/>
      <c r="K344" s="2729"/>
      <c r="L344" s="2729"/>
      <c r="M344" s="2729"/>
      <c r="N344" s="2729"/>
      <c r="O344" s="2729"/>
      <c r="P344" s="535"/>
      <c r="Q344" s="459"/>
      <c r="R344" s="459"/>
      <c r="S344" s="454"/>
      <c r="T344" s="454"/>
      <c r="U344" s="454"/>
      <c r="V344" s="454"/>
      <c r="W344" s="454"/>
      <c r="X344" s="454"/>
      <c r="Y344" s="454"/>
      <c r="Z344" s="454"/>
      <c r="AA344" s="454"/>
      <c r="AB344" s="456"/>
      <c r="AC344" s="456"/>
      <c r="AD344" s="456"/>
      <c r="AE344" s="456"/>
      <c r="AF344" s="456"/>
      <c r="AG344" s="456"/>
      <c r="AH344" s="456"/>
      <c r="AI344" s="456"/>
      <c r="AJ344" s="456"/>
      <c r="AK344" s="456"/>
      <c r="AL344" s="456"/>
      <c r="AM344" s="456"/>
      <c r="AN344" s="456"/>
      <c r="AO344" s="456"/>
      <c r="AP344" s="456"/>
      <c r="AQ344" s="456"/>
      <c r="AR344" s="456"/>
      <c r="AS344" s="456"/>
      <c r="AT344" s="456"/>
      <c r="AU344" s="456"/>
      <c r="AV344" s="456"/>
      <c r="AW344" s="456"/>
      <c r="AX344" s="456"/>
      <c r="AY344" s="456"/>
      <c r="AZ344" s="456"/>
      <c r="BA344" s="456"/>
      <c r="BB344" s="456"/>
      <c r="BC344" s="456"/>
      <c r="BD344" s="456"/>
      <c r="BE344" s="456"/>
      <c r="BF344" s="456"/>
      <c r="BG344" s="481" t="s">
        <v>921</v>
      </c>
      <c r="BH344" s="456"/>
      <c r="BI344" s="456"/>
      <c r="BJ344" s="456"/>
      <c r="BK344" s="456"/>
      <c r="BL344" s="456"/>
      <c r="BM344" s="456"/>
      <c r="BN344" s="456"/>
      <c r="BO344" s="456"/>
    </row>
    <row r="345" spans="1:67" s="469" customFormat="1" ht="15" x14ac:dyDescent="0.25">
      <c r="A345" s="523"/>
      <c r="B345" s="490"/>
      <c r="C345" s="2669" t="s">
        <v>922</v>
      </c>
      <c r="D345" s="2669"/>
      <c r="E345" s="2669"/>
      <c r="F345" s="2669"/>
      <c r="G345" s="2669"/>
      <c r="H345" s="2669"/>
      <c r="I345" s="2669"/>
      <c r="J345" s="2669"/>
      <c r="K345" s="2669"/>
      <c r="L345" s="2669"/>
      <c r="M345" s="2669"/>
      <c r="N345" s="2669"/>
      <c r="O345" s="2669"/>
      <c r="P345" s="536">
        <v>4430022.5199999996</v>
      </c>
      <c r="Q345" s="459"/>
      <c r="R345" s="459"/>
      <c r="S345" s="454"/>
      <c r="T345" s="454"/>
      <c r="U345" s="454"/>
      <c r="V345" s="454"/>
      <c r="W345" s="454"/>
      <c r="X345" s="454"/>
      <c r="Y345" s="454"/>
      <c r="Z345" s="454"/>
      <c r="AA345" s="454"/>
      <c r="AB345" s="456"/>
      <c r="AC345" s="456"/>
      <c r="AD345" s="456"/>
      <c r="AE345" s="456"/>
      <c r="AF345" s="456"/>
      <c r="AG345" s="456"/>
      <c r="AH345" s="456"/>
      <c r="AI345" s="456"/>
      <c r="AJ345" s="456"/>
      <c r="AK345" s="456"/>
      <c r="AL345" s="456"/>
      <c r="AM345" s="456"/>
      <c r="AN345" s="456"/>
      <c r="AO345" s="456"/>
      <c r="AP345" s="456"/>
      <c r="AQ345" s="456"/>
      <c r="AR345" s="456"/>
      <c r="AS345" s="456"/>
      <c r="AT345" s="456"/>
      <c r="AU345" s="456"/>
      <c r="AV345" s="456"/>
      <c r="AW345" s="456"/>
      <c r="AX345" s="456"/>
      <c r="AY345" s="456"/>
      <c r="AZ345" s="456"/>
      <c r="BA345" s="456"/>
      <c r="BB345" s="456"/>
      <c r="BC345" s="456"/>
      <c r="BD345" s="456"/>
      <c r="BE345" s="456"/>
      <c r="BF345" s="456"/>
      <c r="BG345" s="481"/>
      <c r="BH345" s="491" t="s">
        <v>922</v>
      </c>
      <c r="BI345" s="456"/>
      <c r="BJ345" s="456"/>
      <c r="BK345" s="456"/>
      <c r="BL345" s="456"/>
      <c r="BM345" s="456"/>
      <c r="BN345" s="456"/>
      <c r="BO345" s="456"/>
    </row>
    <row r="346" spans="1:67" s="469" customFormat="1" ht="15" x14ac:dyDescent="0.25">
      <c r="A346" s="523"/>
      <c r="B346" s="490"/>
      <c r="C346" s="2669" t="s">
        <v>891</v>
      </c>
      <c r="D346" s="2669"/>
      <c r="E346" s="2669"/>
      <c r="F346" s="2669"/>
      <c r="G346" s="2669"/>
      <c r="H346" s="2669"/>
      <c r="I346" s="2669"/>
      <c r="J346" s="2669"/>
      <c r="K346" s="2669"/>
      <c r="L346" s="2669"/>
      <c r="M346" s="2669"/>
      <c r="N346" s="2669"/>
      <c r="O346" s="2669"/>
      <c r="P346" s="537"/>
      <c r="Q346" s="459"/>
      <c r="R346" s="459"/>
      <c r="S346" s="454"/>
      <c r="T346" s="454"/>
      <c r="U346" s="454"/>
      <c r="V346" s="454"/>
      <c r="W346" s="454"/>
      <c r="X346" s="454"/>
      <c r="Y346" s="454"/>
      <c r="Z346" s="454"/>
      <c r="AA346" s="454"/>
      <c r="AB346" s="456"/>
      <c r="AC346" s="456"/>
      <c r="AD346" s="456"/>
      <c r="AE346" s="456"/>
      <c r="AF346" s="456"/>
      <c r="AG346" s="456"/>
      <c r="AH346" s="456"/>
      <c r="AI346" s="456"/>
      <c r="AJ346" s="456"/>
      <c r="AK346" s="456"/>
      <c r="AL346" s="456"/>
      <c r="AM346" s="456"/>
      <c r="AN346" s="456"/>
      <c r="AO346" s="456"/>
      <c r="AP346" s="456"/>
      <c r="AQ346" s="456"/>
      <c r="AR346" s="456"/>
      <c r="AS346" s="456"/>
      <c r="AT346" s="456"/>
      <c r="AU346" s="456"/>
      <c r="AV346" s="456"/>
      <c r="AW346" s="456"/>
      <c r="AX346" s="456"/>
      <c r="AY346" s="456"/>
      <c r="AZ346" s="456"/>
      <c r="BA346" s="456"/>
      <c r="BB346" s="456"/>
      <c r="BC346" s="456"/>
      <c r="BD346" s="456"/>
      <c r="BE346" s="456"/>
      <c r="BF346" s="456"/>
      <c r="BG346" s="481"/>
      <c r="BH346" s="491" t="s">
        <v>891</v>
      </c>
      <c r="BI346" s="456"/>
      <c r="BJ346" s="456"/>
      <c r="BK346" s="456"/>
      <c r="BL346" s="456"/>
      <c r="BM346" s="456"/>
      <c r="BN346" s="456"/>
      <c r="BO346" s="456"/>
    </row>
    <row r="347" spans="1:67" s="469" customFormat="1" ht="15" x14ac:dyDescent="0.25">
      <c r="A347" s="523"/>
      <c r="B347" s="490"/>
      <c r="C347" s="2669" t="s">
        <v>892</v>
      </c>
      <c r="D347" s="2669"/>
      <c r="E347" s="2669"/>
      <c r="F347" s="2669"/>
      <c r="G347" s="2669"/>
      <c r="H347" s="2669"/>
      <c r="I347" s="2669"/>
      <c r="J347" s="2669"/>
      <c r="K347" s="2669"/>
      <c r="L347" s="2669"/>
      <c r="M347" s="2669"/>
      <c r="N347" s="2669"/>
      <c r="O347" s="2669"/>
      <c r="P347" s="536">
        <v>611493.31000000006</v>
      </c>
      <c r="Q347" s="459"/>
      <c r="R347" s="459"/>
      <c r="S347" s="454"/>
      <c r="T347" s="454"/>
      <c r="U347" s="454"/>
      <c r="V347" s="454"/>
      <c r="W347" s="454"/>
      <c r="X347" s="454"/>
      <c r="Y347" s="454"/>
      <c r="Z347" s="454"/>
      <c r="AA347" s="454"/>
      <c r="AB347" s="456"/>
      <c r="AC347" s="456"/>
      <c r="AD347" s="456"/>
      <c r="AE347" s="456"/>
      <c r="AF347" s="456"/>
      <c r="AG347" s="456"/>
      <c r="AH347" s="456"/>
      <c r="AI347" s="456"/>
      <c r="AJ347" s="456"/>
      <c r="AK347" s="456"/>
      <c r="AL347" s="456"/>
      <c r="AM347" s="456"/>
      <c r="AN347" s="456"/>
      <c r="AO347" s="456"/>
      <c r="AP347" s="456"/>
      <c r="AQ347" s="456"/>
      <c r="AR347" s="456"/>
      <c r="AS347" s="456"/>
      <c r="AT347" s="456"/>
      <c r="AU347" s="456"/>
      <c r="AV347" s="456"/>
      <c r="AW347" s="456"/>
      <c r="AX347" s="456"/>
      <c r="AY347" s="456"/>
      <c r="AZ347" s="456"/>
      <c r="BA347" s="456"/>
      <c r="BB347" s="456"/>
      <c r="BC347" s="456"/>
      <c r="BD347" s="456"/>
      <c r="BE347" s="456"/>
      <c r="BF347" s="456"/>
      <c r="BG347" s="481"/>
      <c r="BH347" s="491" t="s">
        <v>892</v>
      </c>
      <c r="BI347" s="456"/>
      <c r="BJ347" s="456"/>
      <c r="BK347" s="456"/>
      <c r="BL347" s="456"/>
      <c r="BM347" s="456"/>
      <c r="BN347" s="456"/>
      <c r="BO347" s="456"/>
    </row>
    <row r="348" spans="1:67" s="469" customFormat="1" ht="15" x14ac:dyDescent="0.25">
      <c r="A348" s="523"/>
      <c r="B348" s="490"/>
      <c r="C348" s="2669" t="s">
        <v>893</v>
      </c>
      <c r="D348" s="2669"/>
      <c r="E348" s="2669"/>
      <c r="F348" s="2669"/>
      <c r="G348" s="2669"/>
      <c r="H348" s="2669"/>
      <c r="I348" s="2669"/>
      <c r="J348" s="2669"/>
      <c r="K348" s="2669"/>
      <c r="L348" s="2669"/>
      <c r="M348" s="2669"/>
      <c r="N348" s="2669"/>
      <c r="O348" s="2669"/>
      <c r="P348" s="536">
        <v>434904.58</v>
      </c>
      <c r="Q348" s="459"/>
      <c r="R348" s="459"/>
      <c r="S348" s="454"/>
      <c r="T348" s="454"/>
      <c r="U348" s="454"/>
      <c r="V348" s="454"/>
      <c r="W348" s="454"/>
      <c r="X348" s="454"/>
      <c r="Y348" s="454"/>
      <c r="Z348" s="454"/>
      <c r="AA348" s="454"/>
      <c r="AB348" s="456"/>
      <c r="AC348" s="456"/>
      <c r="AD348" s="456"/>
      <c r="AE348" s="456"/>
      <c r="AF348" s="456"/>
      <c r="AG348" s="456"/>
      <c r="AH348" s="456"/>
      <c r="AI348" s="456"/>
      <c r="AJ348" s="456"/>
      <c r="AK348" s="456"/>
      <c r="AL348" s="456"/>
      <c r="AM348" s="456"/>
      <c r="AN348" s="456"/>
      <c r="AO348" s="456"/>
      <c r="AP348" s="456"/>
      <c r="AQ348" s="456"/>
      <c r="AR348" s="456"/>
      <c r="AS348" s="456"/>
      <c r="AT348" s="456"/>
      <c r="AU348" s="456"/>
      <c r="AV348" s="456"/>
      <c r="AW348" s="456"/>
      <c r="AX348" s="456"/>
      <c r="AY348" s="456"/>
      <c r="AZ348" s="456"/>
      <c r="BA348" s="456"/>
      <c r="BB348" s="456"/>
      <c r="BC348" s="456"/>
      <c r="BD348" s="456"/>
      <c r="BE348" s="456"/>
      <c r="BF348" s="456"/>
      <c r="BG348" s="481"/>
      <c r="BH348" s="491" t="s">
        <v>893</v>
      </c>
      <c r="BI348" s="456"/>
      <c r="BJ348" s="456"/>
      <c r="BK348" s="456"/>
      <c r="BL348" s="456"/>
      <c r="BM348" s="456"/>
      <c r="BN348" s="456"/>
      <c r="BO348" s="456"/>
    </row>
    <row r="349" spans="1:67" s="469" customFormat="1" ht="15" x14ac:dyDescent="0.25">
      <c r="A349" s="523"/>
      <c r="B349" s="490"/>
      <c r="C349" s="2669" t="s">
        <v>894</v>
      </c>
      <c r="D349" s="2669"/>
      <c r="E349" s="2669"/>
      <c r="F349" s="2669"/>
      <c r="G349" s="2669"/>
      <c r="H349" s="2669"/>
      <c r="I349" s="2669"/>
      <c r="J349" s="2669"/>
      <c r="K349" s="2669"/>
      <c r="L349" s="2669"/>
      <c r="M349" s="2669"/>
      <c r="N349" s="2669"/>
      <c r="O349" s="2669"/>
      <c r="P349" s="536">
        <v>110366.5</v>
      </c>
      <c r="Q349" s="459"/>
      <c r="R349" s="459"/>
      <c r="S349" s="454"/>
      <c r="T349" s="454"/>
      <c r="U349" s="454"/>
      <c r="V349" s="454"/>
      <c r="W349" s="454"/>
      <c r="X349" s="454"/>
      <c r="Y349" s="454"/>
      <c r="Z349" s="454"/>
      <c r="AA349" s="454"/>
      <c r="AB349" s="456"/>
      <c r="AC349" s="456"/>
      <c r="AD349" s="456"/>
      <c r="AE349" s="456"/>
      <c r="AF349" s="456"/>
      <c r="AG349" s="456"/>
      <c r="AH349" s="456"/>
      <c r="AI349" s="456"/>
      <c r="AJ349" s="456"/>
      <c r="AK349" s="456"/>
      <c r="AL349" s="456"/>
      <c r="AM349" s="456"/>
      <c r="AN349" s="456"/>
      <c r="AO349" s="456"/>
      <c r="AP349" s="456"/>
      <c r="AQ349" s="456"/>
      <c r="AR349" s="456"/>
      <c r="AS349" s="456"/>
      <c r="AT349" s="456"/>
      <c r="AU349" s="456"/>
      <c r="AV349" s="456"/>
      <c r="AW349" s="456"/>
      <c r="AX349" s="456"/>
      <c r="AY349" s="456"/>
      <c r="AZ349" s="456"/>
      <c r="BA349" s="456"/>
      <c r="BB349" s="456"/>
      <c r="BC349" s="456"/>
      <c r="BD349" s="456"/>
      <c r="BE349" s="456"/>
      <c r="BF349" s="456"/>
      <c r="BG349" s="481"/>
      <c r="BH349" s="491" t="s">
        <v>894</v>
      </c>
      <c r="BI349" s="456"/>
      <c r="BJ349" s="456"/>
      <c r="BK349" s="456"/>
      <c r="BL349" s="456"/>
      <c r="BM349" s="456"/>
      <c r="BN349" s="456"/>
      <c r="BO349" s="456"/>
    </row>
    <row r="350" spans="1:67" s="469" customFormat="1" ht="15" x14ac:dyDescent="0.25">
      <c r="A350" s="523"/>
      <c r="B350" s="490"/>
      <c r="C350" s="2669" t="s">
        <v>895</v>
      </c>
      <c r="D350" s="2669"/>
      <c r="E350" s="2669"/>
      <c r="F350" s="2669"/>
      <c r="G350" s="2669"/>
      <c r="H350" s="2669"/>
      <c r="I350" s="2669"/>
      <c r="J350" s="2669"/>
      <c r="K350" s="2669"/>
      <c r="L350" s="2669"/>
      <c r="M350" s="2669"/>
      <c r="N350" s="2669"/>
      <c r="O350" s="2669"/>
      <c r="P350" s="536">
        <v>3256068.45</v>
      </c>
      <c r="Q350" s="459"/>
      <c r="R350" s="459"/>
      <c r="S350" s="454"/>
      <c r="T350" s="454"/>
      <c r="U350" s="454"/>
      <c r="V350" s="454"/>
      <c r="W350" s="454"/>
      <c r="X350" s="454"/>
      <c r="Y350" s="454"/>
      <c r="Z350" s="454"/>
      <c r="AA350" s="454"/>
      <c r="AB350" s="456"/>
      <c r="AC350" s="456"/>
      <c r="AD350" s="456"/>
      <c r="AE350" s="456"/>
      <c r="AF350" s="456"/>
      <c r="AG350" s="456"/>
      <c r="AH350" s="456"/>
      <c r="AI350" s="456"/>
      <c r="AJ350" s="456"/>
      <c r="AK350" s="456"/>
      <c r="AL350" s="456"/>
      <c r="AM350" s="456"/>
      <c r="AN350" s="456"/>
      <c r="AO350" s="456"/>
      <c r="AP350" s="456"/>
      <c r="AQ350" s="456"/>
      <c r="AR350" s="456"/>
      <c r="AS350" s="456"/>
      <c r="AT350" s="456"/>
      <c r="AU350" s="456"/>
      <c r="AV350" s="456"/>
      <c r="AW350" s="456"/>
      <c r="AX350" s="456"/>
      <c r="AY350" s="456"/>
      <c r="AZ350" s="456"/>
      <c r="BA350" s="456"/>
      <c r="BB350" s="456"/>
      <c r="BC350" s="456"/>
      <c r="BD350" s="456"/>
      <c r="BE350" s="456"/>
      <c r="BF350" s="456"/>
      <c r="BG350" s="481"/>
      <c r="BH350" s="491" t="s">
        <v>895</v>
      </c>
      <c r="BI350" s="456"/>
      <c r="BJ350" s="456"/>
      <c r="BK350" s="456"/>
      <c r="BL350" s="456"/>
      <c r="BM350" s="456"/>
      <c r="BN350" s="456"/>
      <c r="BO350" s="456"/>
    </row>
    <row r="351" spans="1:67" s="469" customFormat="1" ht="15" x14ac:dyDescent="0.25">
      <c r="A351" s="523"/>
      <c r="B351" s="490"/>
      <c r="C351" s="2669" t="s">
        <v>896</v>
      </c>
      <c r="D351" s="2669"/>
      <c r="E351" s="2669"/>
      <c r="F351" s="2669"/>
      <c r="G351" s="2669"/>
      <c r="H351" s="2669"/>
      <c r="I351" s="2669"/>
      <c r="J351" s="2669"/>
      <c r="K351" s="2669"/>
      <c r="L351" s="2669"/>
      <c r="M351" s="2669"/>
      <c r="N351" s="2669"/>
      <c r="O351" s="2669"/>
      <c r="P351" s="536">
        <v>17189.68</v>
      </c>
      <c r="Q351" s="459"/>
      <c r="R351" s="459"/>
      <c r="S351" s="454"/>
      <c r="T351" s="454"/>
      <c r="U351" s="454"/>
      <c r="V351" s="454"/>
      <c r="W351" s="454"/>
      <c r="X351" s="454"/>
      <c r="Y351" s="454"/>
      <c r="Z351" s="454"/>
      <c r="AA351" s="454"/>
      <c r="AB351" s="456"/>
      <c r="AC351" s="456"/>
      <c r="AD351" s="456"/>
      <c r="AE351" s="456"/>
      <c r="AF351" s="456"/>
      <c r="AG351" s="456"/>
      <c r="AH351" s="456"/>
      <c r="AI351" s="456"/>
      <c r="AJ351" s="456"/>
      <c r="AK351" s="456"/>
      <c r="AL351" s="456"/>
      <c r="AM351" s="456"/>
      <c r="AN351" s="456"/>
      <c r="AO351" s="456"/>
      <c r="AP351" s="456"/>
      <c r="AQ351" s="456"/>
      <c r="AR351" s="456"/>
      <c r="AS351" s="456"/>
      <c r="AT351" s="456"/>
      <c r="AU351" s="456"/>
      <c r="AV351" s="456"/>
      <c r="AW351" s="456"/>
      <c r="AX351" s="456"/>
      <c r="AY351" s="456"/>
      <c r="AZ351" s="456"/>
      <c r="BA351" s="456"/>
      <c r="BB351" s="456"/>
      <c r="BC351" s="456"/>
      <c r="BD351" s="456"/>
      <c r="BE351" s="456"/>
      <c r="BF351" s="456"/>
      <c r="BG351" s="481"/>
      <c r="BH351" s="491" t="s">
        <v>896</v>
      </c>
      <c r="BI351" s="456"/>
      <c r="BJ351" s="456"/>
      <c r="BK351" s="456"/>
      <c r="BL351" s="456"/>
      <c r="BM351" s="456"/>
      <c r="BN351" s="456"/>
      <c r="BO351" s="456"/>
    </row>
    <row r="352" spans="1:67" s="469" customFormat="1" ht="15" x14ac:dyDescent="0.25">
      <c r="A352" s="523"/>
      <c r="B352" s="490"/>
      <c r="C352" s="2669" t="s">
        <v>897</v>
      </c>
      <c r="D352" s="2669"/>
      <c r="E352" s="2669"/>
      <c r="F352" s="2669"/>
      <c r="G352" s="2669"/>
      <c r="H352" s="2669"/>
      <c r="I352" s="2669"/>
      <c r="J352" s="2669"/>
      <c r="K352" s="2669"/>
      <c r="L352" s="2669"/>
      <c r="M352" s="2669"/>
      <c r="N352" s="2669"/>
      <c r="O352" s="2669"/>
      <c r="P352" s="536">
        <v>5481772.25</v>
      </c>
      <c r="Q352" s="459"/>
      <c r="R352" s="459"/>
      <c r="S352" s="454"/>
      <c r="T352" s="454"/>
      <c r="U352" s="454"/>
      <c r="V352" s="454"/>
      <c r="W352" s="454"/>
      <c r="X352" s="454"/>
      <c r="Y352" s="454"/>
      <c r="Z352" s="454"/>
      <c r="AA352" s="454"/>
      <c r="AB352" s="456"/>
      <c r="AC352" s="456"/>
      <c r="AD352" s="456"/>
      <c r="AE352" s="456"/>
      <c r="AF352" s="456"/>
      <c r="AG352" s="456"/>
      <c r="AH352" s="456"/>
      <c r="AI352" s="456"/>
      <c r="AJ352" s="456"/>
      <c r="AK352" s="456"/>
      <c r="AL352" s="456"/>
      <c r="AM352" s="456"/>
      <c r="AN352" s="456"/>
      <c r="AO352" s="456"/>
      <c r="AP352" s="456"/>
      <c r="AQ352" s="456"/>
      <c r="AR352" s="456"/>
      <c r="AS352" s="456"/>
      <c r="AT352" s="456"/>
      <c r="AU352" s="456"/>
      <c r="AV352" s="456"/>
      <c r="AW352" s="456"/>
      <c r="AX352" s="456"/>
      <c r="AY352" s="456"/>
      <c r="AZ352" s="456"/>
      <c r="BA352" s="456"/>
      <c r="BB352" s="456"/>
      <c r="BC352" s="456"/>
      <c r="BD352" s="456"/>
      <c r="BE352" s="456"/>
      <c r="BF352" s="456"/>
      <c r="BG352" s="481"/>
      <c r="BH352" s="491" t="s">
        <v>897</v>
      </c>
      <c r="BI352" s="456"/>
      <c r="BJ352" s="456"/>
      <c r="BK352" s="456"/>
      <c r="BL352" s="456"/>
      <c r="BM352" s="456"/>
      <c r="BN352" s="456"/>
      <c r="BO352" s="456"/>
    </row>
    <row r="353" spans="1:67" s="469" customFormat="1" ht="15" x14ac:dyDescent="0.25">
      <c r="A353" s="523"/>
      <c r="B353" s="490"/>
      <c r="C353" s="2669" t="s">
        <v>898</v>
      </c>
      <c r="D353" s="2669"/>
      <c r="E353" s="2669"/>
      <c r="F353" s="2669"/>
      <c r="G353" s="2669"/>
      <c r="H353" s="2669"/>
      <c r="I353" s="2669"/>
      <c r="J353" s="2669"/>
      <c r="K353" s="2669"/>
      <c r="L353" s="2669"/>
      <c r="M353" s="2669"/>
      <c r="N353" s="2669"/>
      <c r="O353" s="2669"/>
      <c r="P353" s="536">
        <v>5464582.5700000003</v>
      </c>
      <c r="Q353" s="459"/>
      <c r="R353" s="459"/>
      <c r="S353" s="454"/>
      <c r="T353" s="454"/>
      <c r="U353" s="454"/>
      <c r="V353" s="454"/>
      <c r="W353" s="454"/>
      <c r="X353" s="454"/>
      <c r="Y353" s="454"/>
      <c r="Z353" s="454"/>
      <c r="AA353" s="454"/>
      <c r="AB353" s="456"/>
      <c r="AC353" s="456"/>
      <c r="AD353" s="456"/>
      <c r="AE353" s="456"/>
      <c r="AF353" s="456"/>
      <c r="AG353" s="456"/>
      <c r="AH353" s="456"/>
      <c r="AI353" s="456"/>
      <c r="AJ353" s="456"/>
      <c r="AK353" s="456"/>
      <c r="AL353" s="456"/>
      <c r="AM353" s="456"/>
      <c r="AN353" s="456"/>
      <c r="AO353" s="456"/>
      <c r="AP353" s="456"/>
      <c r="AQ353" s="456"/>
      <c r="AR353" s="456"/>
      <c r="AS353" s="456"/>
      <c r="AT353" s="456"/>
      <c r="AU353" s="456"/>
      <c r="AV353" s="456"/>
      <c r="AW353" s="456"/>
      <c r="AX353" s="456"/>
      <c r="AY353" s="456"/>
      <c r="AZ353" s="456"/>
      <c r="BA353" s="456"/>
      <c r="BB353" s="456"/>
      <c r="BC353" s="456"/>
      <c r="BD353" s="456"/>
      <c r="BE353" s="456"/>
      <c r="BF353" s="456"/>
      <c r="BG353" s="481"/>
      <c r="BH353" s="491" t="s">
        <v>898</v>
      </c>
      <c r="BI353" s="456"/>
      <c r="BJ353" s="456"/>
      <c r="BK353" s="456"/>
      <c r="BL353" s="456"/>
      <c r="BM353" s="456"/>
      <c r="BN353" s="456"/>
      <c r="BO353" s="456"/>
    </row>
    <row r="354" spans="1:67" s="469" customFormat="1" ht="15" x14ac:dyDescent="0.25">
      <c r="A354" s="523"/>
      <c r="B354" s="490"/>
      <c r="C354" s="2669" t="s">
        <v>899</v>
      </c>
      <c r="D354" s="2669"/>
      <c r="E354" s="2669"/>
      <c r="F354" s="2669"/>
      <c r="G354" s="2669"/>
      <c r="H354" s="2669"/>
      <c r="I354" s="2669"/>
      <c r="J354" s="2669"/>
      <c r="K354" s="2669"/>
      <c r="L354" s="2669"/>
      <c r="M354" s="2669"/>
      <c r="N354" s="2669"/>
      <c r="O354" s="2669"/>
      <c r="P354" s="537"/>
      <c r="Q354" s="459"/>
      <c r="R354" s="459"/>
      <c r="S354" s="454"/>
      <c r="T354" s="454"/>
      <c r="U354" s="454"/>
      <c r="V354" s="454"/>
      <c r="W354" s="454"/>
      <c r="X354" s="454"/>
      <c r="Y354" s="454"/>
      <c r="Z354" s="454"/>
      <c r="AA354" s="454"/>
      <c r="AB354" s="456"/>
      <c r="AC354" s="456"/>
      <c r="AD354" s="456"/>
      <c r="AE354" s="456"/>
      <c r="AF354" s="456"/>
      <c r="AG354" s="456"/>
      <c r="AH354" s="456"/>
      <c r="AI354" s="456"/>
      <c r="AJ354" s="456"/>
      <c r="AK354" s="456"/>
      <c r="AL354" s="456"/>
      <c r="AM354" s="456"/>
      <c r="AN354" s="456"/>
      <c r="AO354" s="456"/>
      <c r="AP354" s="456"/>
      <c r="AQ354" s="456"/>
      <c r="AR354" s="456"/>
      <c r="AS354" s="456"/>
      <c r="AT354" s="456"/>
      <c r="AU354" s="456"/>
      <c r="AV354" s="456"/>
      <c r="AW354" s="456"/>
      <c r="AX354" s="456"/>
      <c r="AY354" s="456"/>
      <c r="AZ354" s="456"/>
      <c r="BA354" s="456"/>
      <c r="BB354" s="456"/>
      <c r="BC354" s="456"/>
      <c r="BD354" s="456"/>
      <c r="BE354" s="456"/>
      <c r="BF354" s="456"/>
      <c r="BG354" s="481"/>
      <c r="BH354" s="491" t="s">
        <v>899</v>
      </c>
      <c r="BI354" s="456"/>
      <c r="BJ354" s="456"/>
      <c r="BK354" s="456"/>
      <c r="BL354" s="456"/>
      <c r="BM354" s="456"/>
      <c r="BN354" s="456"/>
      <c r="BO354" s="456"/>
    </row>
    <row r="355" spans="1:67" s="469" customFormat="1" ht="15" x14ac:dyDescent="0.25">
      <c r="A355" s="523"/>
      <c r="B355" s="490"/>
      <c r="C355" s="2669" t="s">
        <v>900</v>
      </c>
      <c r="D355" s="2669"/>
      <c r="E355" s="2669"/>
      <c r="F355" s="2669"/>
      <c r="G355" s="2669"/>
      <c r="H355" s="2669"/>
      <c r="I355" s="2669"/>
      <c r="J355" s="2669"/>
      <c r="K355" s="2669"/>
      <c r="L355" s="2669"/>
      <c r="M355" s="2669"/>
      <c r="N355" s="2669"/>
      <c r="O355" s="2669"/>
      <c r="P355" s="536">
        <v>611493.31000000006</v>
      </c>
      <c r="Q355" s="459"/>
      <c r="R355" s="459"/>
      <c r="S355" s="454"/>
      <c r="T355" s="454"/>
      <c r="U355" s="454"/>
      <c r="V355" s="454"/>
      <c r="W355" s="454"/>
      <c r="X355" s="454"/>
      <c r="Y355" s="454"/>
      <c r="Z355" s="454"/>
      <c r="AA355" s="454"/>
      <c r="AB355" s="456"/>
      <c r="AC355" s="456"/>
      <c r="AD355" s="456"/>
      <c r="AE355" s="456"/>
      <c r="AF355" s="456"/>
      <c r="AG355" s="456"/>
      <c r="AH355" s="456"/>
      <c r="AI355" s="456"/>
      <c r="AJ355" s="456"/>
      <c r="AK355" s="456"/>
      <c r="AL355" s="456"/>
      <c r="AM355" s="456"/>
      <c r="AN355" s="456"/>
      <c r="AO355" s="456"/>
      <c r="AP355" s="456"/>
      <c r="AQ355" s="456"/>
      <c r="AR355" s="456"/>
      <c r="AS355" s="456"/>
      <c r="AT355" s="456"/>
      <c r="AU355" s="456"/>
      <c r="AV355" s="456"/>
      <c r="AW355" s="456"/>
      <c r="AX355" s="456"/>
      <c r="AY355" s="456"/>
      <c r="AZ355" s="456"/>
      <c r="BA355" s="456"/>
      <c r="BB355" s="456"/>
      <c r="BC355" s="456"/>
      <c r="BD355" s="456"/>
      <c r="BE355" s="456"/>
      <c r="BF355" s="456"/>
      <c r="BG355" s="481"/>
      <c r="BH355" s="491" t="s">
        <v>900</v>
      </c>
      <c r="BI355" s="456"/>
      <c r="BJ355" s="456"/>
      <c r="BK355" s="456"/>
      <c r="BL355" s="456"/>
      <c r="BM355" s="456"/>
      <c r="BN355" s="456"/>
      <c r="BO355" s="456"/>
    </row>
    <row r="356" spans="1:67" s="469" customFormat="1" ht="15" x14ac:dyDescent="0.25">
      <c r="A356" s="523"/>
      <c r="B356" s="490"/>
      <c r="C356" s="2669" t="s">
        <v>901</v>
      </c>
      <c r="D356" s="2669"/>
      <c r="E356" s="2669"/>
      <c r="F356" s="2669"/>
      <c r="G356" s="2669"/>
      <c r="H356" s="2669"/>
      <c r="I356" s="2669"/>
      <c r="J356" s="2669"/>
      <c r="K356" s="2669"/>
      <c r="L356" s="2669"/>
      <c r="M356" s="2669"/>
      <c r="N356" s="2669"/>
      <c r="O356" s="2669"/>
      <c r="P356" s="536">
        <v>434904.58</v>
      </c>
      <c r="Q356" s="459"/>
      <c r="R356" s="459"/>
      <c r="S356" s="454"/>
      <c r="T356" s="454"/>
      <c r="U356" s="454"/>
      <c r="V356" s="454"/>
      <c r="W356" s="454"/>
      <c r="X356" s="454"/>
      <c r="Y356" s="454"/>
      <c r="Z356" s="454"/>
      <c r="AA356" s="454"/>
      <c r="AB356" s="456"/>
      <c r="AC356" s="456"/>
      <c r="AD356" s="456"/>
      <c r="AE356" s="456"/>
      <c r="AF356" s="456"/>
      <c r="AG356" s="456"/>
      <c r="AH356" s="456"/>
      <c r="AI356" s="456"/>
      <c r="AJ356" s="456"/>
      <c r="AK356" s="456"/>
      <c r="AL356" s="456"/>
      <c r="AM356" s="456"/>
      <c r="AN356" s="456"/>
      <c r="AO356" s="456"/>
      <c r="AP356" s="456"/>
      <c r="AQ356" s="456"/>
      <c r="AR356" s="456"/>
      <c r="AS356" s="456"/>
      <c r="AT356" s="456"/>
      <c r="AU356" s="456"/>
      <c r="AV356" s="456"/>
      <c r="AW356" s="456"/>
      <c r="AX356" s="456"/>
      <c r="AY356" s="456"/>
      <c r="AZ356" s="456"/>
      <c r="BA356" s="456"/>
      <c r="BB356" s="456"/>
      <c r="BC356" s="456"/>
      <c r="BD356" s="456"/>
      <c r="BE356" s="456"/>
      <c r="BF356" s="456"/>
      <c r="BG356" s="481"/>
      <c r="BH356" s="491" t="s">
        <v>901</v>
      </c>
      <c r="BI356" s="456"/>
      <c r="BJ356" s="456"/>
      <c r="BK356" s="456"/>
      <c r="BL356" s="456"/>
      <c r="BM356" s="456"/>
      <c r="BN356" s="456"/>
      <c r="BO356" s="456"/>
    </row>
    <row r="357" spans="1:67" s="469" customFormat="1" ht="15" x14ac:dyDescent="0.25">
      <c r="A357" s="523"/>
      <c r="B357" s="490"/>
      <c r="C357" s="2669" t="s">
        <v>902</v>
      </c>
      <c r="D357" s="2669"/>
      <c r="E357" s="2669"/>
      <c r="F357" s="2669"/>
      <c r="G357" s="2669"/>
      <c r="H357" s="2669"/>
      <c r="I357" s="2669"/>
      <c r="J357" s="2669"/>
      <c r="K357" s="2669"/>
      <c r="L357" s="2669"/>
      <c r="M357" s="2669"/>
      <c r="N357" s="2669"/>
      <c r="O357" s="2669"/>
      <c r="P357" s="536">
        <v>110366.5</v>
      </c>
      <c r="Q357" s="459"/>
      <c r="R357" s="459"/>
      <c r="S357" s="454"/>
      <c r="T357" s="454"/>
      <c r="U357" s="454"/>
      <c r="V357" s="454"/>
      <c r="W357" s="454"/>
      <c r="X357" s="454"/>
      <c r="Y357" s="454"/>
      <c r="Z357" s="454"/>
      <c r="AA357" s="454"/>
      <c r="AB357" s="456"/>
      <c r="AC357" s="456"/>
      <c r="AD357" s="456"/>
      <c r="AE357" s="456"/>
      <c r="AF357" s="456"/>
      <c r="AG357" s="456"/>
      <c r="AH357" s="456"/>
      <c r="AI357" s="456"/>
      <c r="AJ357" s="456"/>
      <c r="AK357" s="456"/>
      <c r="AL357" s="456"/>
      <c r="AM357" s="456"/>
      <c r="AN357" s="456"/>
      <c r="AO357" s="456"/>
      <c r="AP357" s="456"/>
      <c r="AQ357" s="456"/>
      <c r="AR357" s="456"/>
      <c r="AS357" s="456"/>
      <c r="AT357" s="456"/>
      <c r="AU357" s="456"/>
      <c r="AV357" s="456"/>
      <c r="AW357" s="456"/>
      <c r="AX357" s="456"/>
      <c r="AY357" s="456"/>
      <c r="AZ357" s="456"/>
      <c r="BA357" s="456"/>
      <c r="BB357" s="456"/>
      <c r="BC357" s="456"/>
      <c r="BD357" s="456"/>
      <c r="BE357" s="456"/>
      <c r="BF357" s="456"/>
      <c r="BG357" s="481"/>
      <c r="BH357" s="491" t="s">
        <v>902</v>
      </c>
      <c r="BI357" s="456"/>
      <c r="BJ357" s="456"/>
      <c r="BK357" s="456"/>
      <c r="BL357" s="456"/>
      <c r="BM357" s="456"/>
      <c r="BN357" s="456"/>
      <c r="BO357" s="456"/>
    </row>
    <row r="358" spans="1:67" s="469" customFormat="1" ht="15" x14ac:dyDescent="0.25">
      <c r="A358" s="523"/>
      <c r="B358" s="490"/>
      <c r="C358" s="2669" t="s">
        <v>903</v>
      </c>
      <c r="D358" s="2669"/>
      <c r="E358" s="2669"/>
      <c r="F358" s="2669"/>
      <c r="G358" s="2669"/>
      <c r="H358" s="2669"/>
      <c r="I358" s="2669"/>
      <c r="J358" s="2669"/>
      <c r="K358" s="2669"/>
      <c r="L358" s="2669"/>
      <c r="M358" s="2669"/>
      <c r="N358" s="2669"/>
      <c r="O358" s="2669"/>
      <c r="P358" s="536">
        <v>3256068.45</v>
      </c>
      <c r="Q358" s="459"/>
      <c r="R358" s="459"/>
      <c r="S358" s="454"/>
      <c r="T358" s="454"/>
      <c r="U358" s="454"/>
      <c r="V358" s="454"/>
      <c r="W358" s="454"/>
      <c r="X358" s="454"/>
      <c r="Y358" s="454"/>
      <c r="Z358" s="454"/>
      <c r="AA358" s="454"/>
      <c r="AB358" s="456"/>
      <c r="AC358" s="456"/>
      <c r="AD358" s="456"/>
      <c r="AE358" s="456"/>
      <c r="AF358" s="456"/>
      <c r="AG358" s="456"/>
      <c r="AH358" s="456"/>
      <c r="AI358" s="456"/>
      <c r="AJ358" s="456"/>
      <c r="AK358" s="456"/>
      <c r="AL358" s="456"/>
      <c r="AM358" s="456"/>
      <c r="AN358" s="456"/>
      <c r="AO358" s="456"/>
      <c r="AP358" s="456"/>
      <c r="AQ358" s="456"/>
      <c r="AR358" s="456"/>
      <c r="AS358" s="456"/>
      <c r="AT358" s="456"/>
      <c r="AU358" s="456"/>
      <c r="AV358" s="456"/>
      <c r="AW358" s="456"/>
      <c r="AX358" s="456"/>
      <c r="AY358" s="456"/>
      <c r="AZ358" s="456"/>
      <c r="BA358" s="456"/>
      <c r="BB358" s="456"/>
      <c r="BC358" s="456"/>
      <c r="BD358" s="456"/>
      <c r="BE358" s="456"/>
      <c r="BF358" s="456"/>
      <c r="BG358" s="481"/>
      <c r="BH358" s="491" t="s">
        <v>903</v>
      </c>
      <c r="BI358" s="456"/>
      <c r="BJ358" s="456"/>
      <c r="BK358" s="456"/>
      <c r="BL358" s="456"/>
      <c r="BM358" s="456"/>
      <c r="BN358" s="456"/>
      <c r="BO358" s="456"/>
    </row>
    <row r="359" spans="1:67" s="469" customFormat="1" ht="15" x14ac:dyDescent="0.25">
      <c r="A359" s="523"/>
      <c r="B359" s="490"/>
      <c r="C359" s="2669" t="s">
        <v>904</v>
      </c>
      <c r="D359" s="2669"/>
      <c r="E359" s="2669"/>
      <c r="F359" s="2669"/>
      <c r="G359" s="2669"/>
      <c r="H359" s="2669"/>
      <c r="I359" s="2669"/>
      <c r="J359" s="2669"/>
      <c r="K359" s="2669"/>
      <c r="L359" s="2669"/>
      <c r="M359" s="2669"/>
      <c r="N359" s="2669"/>
      <c r="O359" s="2669"/>
      <c r="P359" s="536">
        <v>671329.62</v>
      </c>
      <c r="Q359" s="459"/>
      <c r="R359" s="459"/>
      <c r="S359" s="454"/>
      <c r="T359" s="454"/>
      <c r="U359" s="454"/>
      <c r="V359" s="454"/>
      <c r="W359" s="454"/>
      <c r="X359" s="454"/>
      <c r="Y359" s="454"/>
      <c r="Z359" s="454"/>
      <c r="AA359" s="454"/>
      <c r="AB359" s="456"/>
      <c r="AC359" s="456"/>
      <c r="AD359" s="456"/>
      <c r="AE359" s="456"/>
      <c r="AF359" s="456"/>
      <c r="AG359" s="456"/>
      <c r="AH359" s="456"/>
      <c r="AI359" s="456"/>
      <c r="AJ359" s="456"/>
      <c r="AK359" s="456"/>
      <c r="AL359" s="456"/>
      <c r="AM359" s="456"/>
      <c r="AN359" s="456"/>
      <c r="AO359" s="456"/>
      <c r="AP359" s="456"/>
      <c r="AQ359" s="456"/>
      <c r="AR359" s="456"/>
      <c r="AS359" s="456"/>
      <c r="AT359" s="456"/>
      <c r="AU359" s="456"/>
      <c r="AV359" s="456"/>
      <c r="AW359" s="456"/>
      <c r="AX359" s="456"/>
      <c r="AY359" s="456"/>
      <c r="AZ359" s="456"/>
      <c r="BA359" s="456"/>
      <c r="BB359" s="456"/>
      <c r="BC359" s="456"/>
      <c r="BD359" s="456"/>
      <c r="BE359" s="456"/>
      <c r="BF359" s="456"/>
      <c r="BG359" s="481"/>
      <c r="BH359" s="491" t="s">
        <v>904</v>
      </c>
      <c r="BI359" s="456"/>
      <c r="BJ359" s="456"/>
      <c r="BK359" s="456"/>
      <c r="BL359" s="456"/>
      <c r="BM359" s="456"/>
      <c r="BN359" s="456"/>
      <c r="BO359" s="456"/>
    </row>
    <row r="360" spans="1:67" s="469" customFormat="1" ht="15" x14ac:dyDescent="0.25">
      <c r="A360" s="523"/>
      <c r="B360" s="490"/>
      <c r="C360" s="2669" t="s">
        <v>905</v>
      </c>
      <c r="D360" s="2669"/>
      <c r="E360" s="2669"/>
      <c r="F360" s="2669"/>
      <c r="G360" s="2669"/>
      <c r="H360" s="2669"/>
      <c r="I360" s="2669"/>
      <c r="J360" s="2669"/>
      <c r="K360" s="2669"/>
      <c r="L360" s="2669"/>
      <c r="M360" s="2669"/>
      <c r="N360" s="2669"/>
      <c r="O360" s="2669"/>
      <c r="P360" s="536">
        <v>380420.11</v>
      </c>
      <c r="Q360" s="459"/>
      <c r="R360" s="459"/>
      <c r="S360" s="454"/>
      <c r="T360" s="454"/>
      <c r="U360" s="454"/>
      <c r="V360" s="454"/>
      <c r="W360" s="454"/>
      <c r="X360" s="454"/>
      <c r="Y360" s="454"/>
      <c r="Z360" s="454"/>
      <c r="AA360" s="454"/>
      <c r="AB360" s="456"/>
      <c r="AC360" s="456"/>
      <c r="AD360" s="456"/>
      <c r="AE360" s="456"/>
      <c r="AF360" s="456"/>
      <c r="AG360" s="456"/>
      <c r="AH360" s="456"/>
      <c r="AI360" s="456"/>
      <c r="AJ360" s="456"/>
      <c r="AK360" s="456"/>
      <c r="AL360" s="456"/>
      <c r="AM360" s="456"/>
      <c r="AN360" s="456"/>
      <c r="AO360" s="456"/>
      <c r="AP360" s="456"/>
      <c r="AQ360" s="456"/>
      <c r="AR360" s="456"/>
      <c r="AS360" s="456"/>
      <c r="AT360" s="456"/>
      <c r="AU360" s="456"/>
      <c r="AV360" s="456"/>
      <c r="AW360" s="456"/>
      <c r="AX360" s="456"/>
      <c r="AY360" s="456"/>
      <c r="AZ360" s="456"/>
      <c r="BA360" s="456"/>
      <c r="BB360" s="456"/>
      <c r="BC360" s="456"/>
      <c r="BD360" s="456"/>
      <c r="BE360" s="456"/>
      <c r="BF360" s="456"/>
      <c r="BG360" s="481"/>
      <c r="BH360" s="491" t="s">
        <v>905</v>
      </c>
      <c r="BI360" s="456"/>
      <c r="BJ360" s="456"/>
      <c r="BK360" s="456"/>
      <c r="BL360" s="456"/>
      <c r="BM360" s="456"/>
      <c r="BN360" s="456"/>
      <c r="BO360" s="456"/>
    </row>
    <row r="361" spans="1:67" s="469" customFormat="1" ht="15" x14ac:dyDescent="0.25">
      <c r="A361" s="523"/>
      <c r="B361" s="490"/>
      <c r="C361" s="2669" t="s">
        <v>906</v>
      </c>
      <c r="D361" s="2669"/>
      <c r="E361" s="2669"/>
      <c r="F361" s="2669"/>
      <c r="G361" s="2669"/>
      <c r="H361" s="2669"/>
      <c r="I361" s="2669"/>
      <c r="J361" s="2669"/>
      <c r="K361" s="2669"/>
      <c r="L361" s="2669"/>
      <c r="M361" s="2669"/>
      <c r="N361" s="2669"/>
      <c r="O361" s="2669"/>
      <c r="P361" s="536">
        <v>17189.68</v>
      </c>
      <c r="Q361" s="459"/>
      <c r="R361" s="459"/>
      <c r="S361" s="454"/>
      <c r="T361" s="454"/>
      <c r="U361" s="454"/>
      <c r="V361" s="454"/>
      <c r="W361" s="454"/>
      <c r="X361" s="454"/>
      <c r="Y361" s="454"/>
      <c r="Z361" s="454"/>
      <c r="AA361" s="454"/>
      <c r="AB361" s="456"/>
      <c r="AC361" s="456"/>
      <c r="AD361" s="456"/>
      <c r="AE361" s="456"/>
      <c r="AF361" s="456"/>
      <c r="AG361" s="456"/>
      <c r="AH361" s="456"/>
      <c r="AI361" s="456"/>
      <c r="AJ361" s="456"/>
      <c r="AK361" s="456"/>
      <c r="AL361" s="456"/>
      <c r="AM361" s="456"/>
      <c r="AN361" s="456"/>
      <c r="AO361" s="456"/>
      <c r="AP361" s="456"/>
      <c r="AQ361" s="456"/>
      <c r="AR361" s="456"/>
      <c r="AS361" s="456"/>
      <c r="AT361" s="456"/>
      <c r="AU361" s="456"/>
      <c r="AV361" s="456"/>
      <c r="AW361" s="456"/>
      <c r="AX361" s="456"/>
      <c r="AY361" s="456"/>
      <c r="AZ361" s="456"/>
      <c r="BA361" s="456"/>
      <c r="BB361" s="456"/>
      <c r="BC361" s="456"/>
      <c r="BD361" s="456"/>
      <c r="BE361" s="456"/>
      <c r="BF361" s="456"/>
      <c r="BG361" s="481"/>
      <c r="BH361" s="491" t="s">
        <v>906</v>
      </c>
      <c r="BI361" s="456"/>
      <c r="BJ361" s="456"/>
      <c r="BK361" s="456"/>
      <c r="BL361" s="456"/>
      <c r="BM361" s="456"/>
      <c r="BN361" s="456"/>
      <c r="BO361" s="456"/>
    </row>
    <row r="362" spans="1:67" s="469" customFormat="1" ht="15" x14ac:dyDescent="0.25">
      <c r="A362" s="523"/>
      <c r="B362" s="490"/>
      <c r="C362" s="2669" t="s">
        <v>923</v>
      </c>
      <c r="D362" s="2669"/>
      <c r="E362" s="2669"/>
      <c r="F362" s="2669"/>
      <c r="G362" s="2669"/>
      <c r="H362" s="2669"/>
      <c r="I362" s="2669"/>
      <c r="J362" s="2669"/>
      <c r="K362" s="2669"/>
      <c r="L362" s="2669"/>
      <c r="M362" s="2669"/>
      <c r="N362" s="2669"/>
      <c r="O362" s="2669"/>
      <c r="P362" s="536">
        <v>721859.81</v>
      </c>
      <c r="Q362" s="459"/>
      <c r="R362" s="459"/>
      <c r="S362" s="454"/>
      <c r="T362" s="454"/>
      <c r="U362" s="454"/>
      <c r="V362" s="454"/>
      <c r="W362" s="454"/>
      <c r="X362" s="454"/>
      <c r="Y362" s="454"/>
      <c r="Z362" s="454"/>
      <c r="AA362" s="454"/>
      <c r="AB362" s="456"/>
      <c r="AC362" s="456"/>
      <c r="AD362" s="456"/>
      <c r="AE362" s="456"/>
      <c r="AF362" s="456"/>
      <c r="AG362" s="456"/>
      <c r="AH362" s="456"/>
      <c r="AI362" s="456"/>
      <c r="AJ362" s="456"/>
      <c r="AK362" s="456"/>
      <c r="AL362" s="456"/>
      <c r="AM362" s="456"/>
      <c r="AN362" s="456"/>
      <c r="AO362" s="456"/>
      <c r="AP362" s="456"/>
      <c r="AQ362" s="456"/>
      <c r="AR362" s="456"/>
      <c r="AS362" s="456"/>
      <c r="AT362" s="456"/>
      <c r="AU362" s="456"/>
      <c r="AV362" s="456"/>
      <c r="AW362" s="456"/>
      <c r="AX362" s="456"/>
      <c r="AY362" s="456"/>
      <c r="AZ362" s="456"/>
      <c r="BA362" s="456"/>
      <c r="BB362" s="456"/>
      <c r="BC362" s="456"/>
      <c r="BD362" s="456"/>
      <c r="BE362" s="456"/>
      <c r="BF362" s="456"/>
      <c r="BG362" s="481"/>
      <c r="BH362" s="491" t="s">
        <v>923</v>
      </c>
      <c r="BI362" s="456"/>
      <c r="BJ362" s="456"/>
      <c r="BK362" s="456"/>
      <c r="BL362" s="456"/>
      <c r="BM362" s="456"/>
      <c r="BN362" s="456"/>
      <c r="BO362" s="456"/>
    </row>
    <row r="363" spans="1:67" s="469" customFormat="1" ht="15" x14ac:dyDescent="0.25">
      <c r="A363" s="523"/>
      <c r="B363" s="490"/>
      <c r="C363" s="2669" t="s">
        <v>924</v>
      </c>
      <c r="D363" s="2669"/>
      <c r="E363" s="2669"/>
      <c r="F363" s="2669"/>
      <c r="G363" s="2669"/>
      <c r="H363" s="2669"/>
      <c r="I363" s="2669"/>
      <c r="J363" s="2669"/>
      <c r="K363" s="2669"/>
      <c r="L363" s="2669"/>
      <c r="M363" s="2669"/>
      <c r="N363" s="2669"/>
      <c r="O363" s="2669"/>
      <c r="P363" s="536">
        <v>671329.62</v>
      </c>
      <c r="Q363" s="459"/>
      <c r="R363" s="459"/>
      <c r="S363" s="454"/>
      <c r="T363" s="454"/>
      <c r="U363" s="454"/>
      <c r="V363" s="454"/>
      <c r="W363" s="454"/>
      <c r="X363" s="454"/>
      <c r="Y363" s="454"/>
      <c r="Z363" s="454"/>
      <c r="AA363" s="454"/>
      <c r="AB363" s="456"/>
      <c r="AC363" s="456"/>
      <c r="AD363" s="456"/>
      <c r="AE363" s="456"/>
      <c r="AF363" s="456"/>
      <c r="AG363" s="456"/>
      <c r="AH363" s="456"/>
      <c r="AI363" s="456"/>
      <c r="AJ363" s="456"/>
      <c r="AK363" s="456"/>
      <c r="AL363" s="456"/>
      <c r="AM363" s="456"/>
      <c r="AN363" s="456"/>
      <c r="AO363" s="456"/>
      <c r="AP363" s="456"/>
      <c r="AQ363" s="456"/>
      <c r="AR363" s="456"/>
      <c r="AS363" s="456"/>
      <c r="AT363" s="456"/>
      <c r="AU363" s="456"/>
      <c r="AV363" s="456"/>
      <c r="AW363" s="456"/>
      <c r="AX363" s="456"/>
      <c r="AY363" s="456"/>
      <c r="AZ363" s="456"/>
      <c r="BA363" s="456"/>
      <c r="BB363" s="456"/>
      <c r="BC363" s="456"/>
      <c r="BD363" s="456"/>
      <c r="BE363" s="456"/>
      <c r="BF363" s="456"/>
      <c r="BG363" s="481"/>
      <c r="BH363" s="491" t="s">
        <v>924</v>
      </c>
      <c r="BI363" s="456"/>
      <c r="BJ363" s="456"/>
      <c r="BK363" s="456"/>
      <c r="BL363" s="456"/>
      <c r="BM363" s="456"/>
      <c r="BN363" s="456"/>
      <c r="BO363" s="456"/>
    </row>
    <row r="364" spans="1:67" s="469" customFormat="1" ht="15" x14ac:dyDescent="0.25">
      <c r="A364" s="523"/>
      <c r="B364" s="490"/>
      <c r="C364" s="2669" t="s">
        <v>925</v>
      </c>
      <c r="D364" s="2669"/>
      <c r="E364" s="2669"/>
      <c r="F364" s="2669"/>
      <c r="G364" s="2669"/>
      <c r="H364" s="2669"/>
      <c r="I364" s="2669"/>
      <c r="J364" s="2669"/>
      <c r="K364" s="2669"/>
      <c r="L364" s="2669"/>
      <c r="M364" s="2669"/>
      <c r="N364" s="2669"/>
      <c r="O364" s="2669"/>
      <c r="P364" s="536">
        <v>380420.11</v>
      </c>
      <c r="Q364" s="459"/>
      <c r="R364" s="459"/>
      <c r="S364" s="454"/>
      <c r="T364" s="454"/>
      <c r="U364" s="454"/>
      <c r="V364" s="454"/>
      <c r="W364" s="454"/>
      <c r="X364" s="454"/>
      <c r="Y364" s="454"/>
      <c r="Z364" s="454"/>
      <c r="AA364" s="454"/>
      <c r="AB364" s="456"/>
      <c r="AC364" s="456"/>
      <c r="AD364" s="456"/>
      <c r="AE364" s="456"/>
      <c r="AF364" s="456"/>
      <c r="AG364" s="456"/>
      <c r="AH364" s="456"/>
      <c r="AI364" s="456"/>
      <c r="AJ364" s="456"/>
      <c r="AK364" s="456"/>
      <c r="AL364" s="456"/>
      <c r="AM364" s="456"/>
      <c r="AN364" s="456"/>
      <c r="AO364" s="456"/>
      <c r="AP364" s="456"/>
      <c r="AQ364" s="456"/>
      <c r="AR364" s="456"/>
      <c r="AS364" s="456"/>
      <c r="AT364" s="456"/>
      <c r="AU364" s="456"/>
      <c r="AV364" s="456"/>
      <c r="AW364" s="456"/>
      <c r="AX364" s="456"/>
      <c r="AY364" s="456"/>
      <c r="AZ364" s="456"/>
      <c r="BA364" s="456"/>
      <c r="BB364" s="456"/>
      <c r="BC364" s="456"/>
      <c r="BD364" s="456"/>
      <c r="BE364" s="456"/>
      <c r="BF364" s="456"/>
      <c r="BG364" s="481"/>
      <c r="BH364" s="491" t="s">
        <v>925</v>
      </c>
      <c r="BI364" s="456"/>
      <c r="BJ364" s="456"/>
      <c r="BK364" s="456"/>
      <c r="BL364" s="456"/>
      <c r="BM364" s="456"/>
      <c r="BN364" s="456"/>
      <c r="BO364" s="456"/>
    </row>
    <row r="365" spans="1:67" s="469" customFormat="1" ht="15" x14ac:dyDescent="0.25">
      <c r="A365" s="523"/>
      <c r="B365" s="534"/>
      <c r="C365" s="2729" t="s">
        <v>612</v>
      </c>
      <c r="D365" s="2729"/>
      <c r="E365" s="2729"/>
      <c r="F365" s="2729"/>
      <c r="G365" s="2729"/>
      <c r="H365" s="2729"/>
      <c r="I365" s="2729"/>
      <c r="J365" s="2729"/>
      <c r="K365" s="2729"/>
      <c r="L365" s="2729"/>
      <c r="M365" s="2729"/>
      <c r="N365" s="2729"/>
      <c r="O365" s="2729"/>
      <c r="P365" s="538">
        <v>5481772.25</v>
      </c>
      <c r="Q365" s="459"/>
      <c r="R365" s="459"/>
      <c r="S365" s="454"/>
      <c r="T365" s="454"/>
      <c r="U365" s="454"/>
      <c r="V365" s="454"/>
      <c r="W365" s="454"/>
      <c r="X365" s="454"/>
      <c r="Y365" s="454"/>
      <c r="Z365" s="454"/>
      <c r="AA365" s="454"/>
      <c r="AB365" s="456"/>
      <c r="AC365" s="456"/>
      <c r="AD365" s="456"/>
      <c r="AE365" s="456"/>
      <c r="AF365" s="456"/>
      <c r="AG365" s="456"/>
      <c r="AH365" s="456"/>
      <c r="AI365" s="456"/>
      <c r="AJ365" s="456"/>
      <c r="AK365" s="456"/>
      <c r="AL365" s="456"/>
      <c r="AM365" s="456"/>
      <c r="AN365" s="456"/>
      <c r="AO365" s="456"/>
      <c r="AP365" s="456"/>
      <c r="AQ365" s="456"/>
      <c r="AR365" s="456"/>
      <c r="AS365" s="456"/>
      <c r="AT365" s="456"/>
      <c r="AU365" s="456"/>
      <c r="AV365" s="456"/>
      <c r="AW365" s="456"/>
      <c r="AX365" s="456"/>
      <c r="AY365" s="456"/>
      <c r="AZ365" s="456"/>
      <c r="BA365" s="456"/>
      <c r="BB365" s="456"/>
      <c r="BC365" s="456"/>
      <c r="BD365" s="456"/>
      <c r="BE365" s="456"/>
      <c r="BF365" s="456"/>
      <c r="BG365" s="481"/>
      <c r="BH365" s="491"/>
      <c r="BI365" s="481" t="s">
        <v>612</v>
      </c>
      <c r="BJ365" s="456"/>
      <c r="BK365" s="456"/>
      <c r="BL365" s="456"/>
      <c r="BM365" s="456"/>
      <c r="BN365" s="456"/>
      <c r="BO365" s="456"/>
    </row>
    <row r="366" spans="1:67" s="469" customFormat="1" ht="15" x14ac:dyDescent="0.25">
      <c r="A366" s="523"/>
      <c r="B366" s="534"/>
      <c r="C366" s="2729" t="s">
        <v>910</v>
      </c>
      <c r="D366" s="2729"/>
      <c r="E366" s="2729"/>
      <c r="F366" s="2729"/>
      <c r="G366" s="2729"/>
      <c r="H366" s="2729"/>
      <c r="I366" s="2729"/>
      <c r="J366" s="2729"/>
      <c r="K366" s="2729"/>
      <c r="L366" s="2729"/>
      <c r="M366" s="2729"/>
      <c r="N366" s="2729"/>
      <c r="O366" s="2729"/>
      <c r="P366" s="539"/>
      <c r="Q366" s="459"/>
      <c r="R366" s="459"/>
      <c r="S366" s="454"/>
      <c r="T366" s="454"/>
      <c r="U366" s="454"/>
      <c r="V366" s="454"/>
      <c r="W366" s="454"/>
      <c r="X366" s="454"/>
      <c r="Y366" s="454"/>
      <c r="Z366" s="454"/>
      <c r="AA366" s="454"/>
      <c r="AB366" s="456"/>
      <c r="AC366" s="456"/>
      <c r="AD366" s="456"/>
      <c r="AE366" s="456"/>
      <c r="AF366" s="456"/>
      <c r="AG366" s="456"/>
      <c r="AH366" s="456"/>
      <c r="AI366" s="456"/>
      <c r="AJ366" s="456"/>
      <c r="AK366" s="456"/>
      <c r="AL366" s="456"/>
      <c r="AM366" s="456"/>
      <c r="AN366" s="456"/>
      <c r="AO366" s="456"/>
      <c r="AP366" s="456"/>
      <c r="AQ366" s="456"/>
      <c r="AR366" s="456"/>
      <c r="AS366" s="456"/>
      <c r="AT366" s="456"/>
      <c r="AU366" s="456"/>
      <c r="AV366" s="456"/>
      <c r="AW366" s="456"/>
      <c r="AX366" s="456"/>
      <c r="AY366" s="456"/>
      <c r="AZ366" s="456"/>
      <c r="BA366" s="456"/>
      <c r="BB366" s="456"/>
      <c r="BC366" s="456"/>
      <c r="BD366" s="456"/>
      <c r="BE366" s="456"/>
      <c r="BF366" s="456"/>
      <c r="BG366" s="456"/>
      <c r="BH366" s="456"/>
      <c r="BI366" s="456"/>
      <c r="BJ366" s="481" t="s">
        <v>910</v>
      </c>
      <c r="BK366" s="456"/>
      <c r="BL366" s="456"/>
      <c r="BM366" s="456"/>
      <c r="BN366" s="456"/>
      <c r="BO366" s="456"/>
    </row>
    <row r="367" spans="1:67" s="469" customFormat="1" ht="15" x14ac:dyDescent="0.25">
      <c r="A367" s="523"/>
      <c r="B367" s="534"/>
      <c r="C367" s="2668" t="s">
        <v>911</v>
      </c>
      <c r="D367" s="2668"/>
      <c r="E367" s="2668"/>
      <c r="F367" s="2668"/>
      <c r="G367" s="2668"/>
      <c r="H367" s="2668"/>
      <c r="I367" s="2668"/>
      <c r="J367" s="2668"/>
      <c r="K367" s="842">
        <v>2358.0645749999999</v>
      </c>
      <c r="L367" s="2668"/>
      <c r="M367" s="2668"/>
      <c r="N367" s="2668"/>
      <c r="O367" s="2668"/>
      <c r="P367" s="537"/>
      <c r="Q367" s="459"/>
      <c r="R367" s="459"/>
      <c r="S367" s="454"/>
      <c r="T367" s="454"/>
      <c r="U367" s="454"/>
      <c r="V367" s="454"/>
      <c r="W367" s="454"/>
      <c r="X367" s="454"/>
      <c r="Y367" s="454"/>
      <c r="Z367" s="454"/>
      <c r="AA367" s="454"/>
      <c r="AB367" s="456"/>
      <c r="AC367" s="456"/>
      <c r="AD367" s="456"/>
      <c r="AE367" s="456"/>
      <c r="AF367" s="456"/>
      <c r="AG367" s="456"/>
      <c r="AH367" s="456"/>
      <c r="AI367" s="456"/>
      <c r="AJ367" s="456"/>
      <c r="AK367" s="456"/>
      <c r="AL367" s="456"/>
      <c r="AM367" s="456"/>
      <c r="AN367" s="456"/>
      <c r="AO367" s="456"/>
      <c r="AP367" s="456"/>
      <c r="AQ367" s="456"/>
      <c r="AR367" s="456"/>
      <c r="AS367" s="456"/>
      <c r="AT367" s="456"/>
      <c r="AU367" s="456"/>
      <c r="AV367" s="456"/>
      <c r="AW367" s="456"/>
      <c r="AX367" s="456"/>
      <c r="AY367" s="456"/>
      <c r="AZ367" s="456"/>
      <c r="BA367" s="456"/>
      <c r="BB367" s="456"/>
      <c r="BC367" s="456"/>
      <c r="BD367" s="456"/>
      <c r="BE367" s="456"/>
      <c r="BF367" s="456"/>
      <c r="BG367" s="456"/>
      <c r="BH367" s="456"/>
      <c r="BI367" s="456"/>
      <c r="BJ367" s="481"/>
      <c r="BK367" s="491" t="s">
        <v>911</v>
      </c>
      <c r="BL367" s="456"/>
      <c r="BM367" s="456"/>
      <c r="BN367" s="456"/>
      <c r="BO367" s="456"/>
    </row>
    <row r="368" spans="1:67" s="469" customFormat="1" ht="15" x14ac:dyDescent="0.25">
      <c r="A368" s="523"/>
      <c r="B368" s="534"/>
      <c r="C368" s="2668" t="s">
        <v>912</v>
      </c>
      <c r="D368" s="2668"/>
      <c r="E368" s="2668"/>
      <c r="F368" s="2668"/>
      <c r="G368" s="2668"/>
      <c r="H368" s="2668"/>
      <c r="I368" s="2668"/>
      <c r="J368" s="2668"/>
      <c r="K368" s="842">
        <v>306.01759499999997</v>
      </c>
      <c r="L368" s="2668"/>
      <c r="M368" s="2668"/>
      <c r="N368" s="2668"/>
      <c r="O368" s="2668"/>
      <c r="P368" s="537"/>
      <c r="Q368" s="459"/>
      <c r="R368" s="459"/>
      <c r="S368" s="454"/>
      <c r="T368" s="454"/>
      <c r="U368" s="454"/>
      <c r="V368" s="454"/>
      <c r="W368" s="454"/>
      <c r="X368" s="454"/>
      <c r="Y368" s="454"/>
      <c r="Z368" s="454"/>
      <c r="AA368" s="454"/>
      <c r="AB368" s="456"/>
      <c r="AC368" s="456"/>
      <c r="AD368" s="456"/>
      <c r="AE368" s="456"/>
      <c r="AF368" s="456"/>
      <c r="AG368" s="456"/>
      <c r="AH368" s="456"/>
      <c r="AI368" s="456"/>
      <c r="AJ368" s="456"/>
      <c r="AK368" s="456"/>
      <c r="AL368" s="456"/>
      <c r="AM368" s="456"/>
      <c r="AN368" s="456"/>
      <c r="AO368" s="456"/>
      <c r="AP368" s="456"/>
      <c r="AQ368" s="456"/>
      <c r="AR368" s="456"/>
      <c r="AS368" s="456"/>
      <c r="AT368" s="456"/>
      <c r="AU368" s="456"/>
      <c r="AV368" s="456"/>
      <c r="AW368" s="456"/>
      <c r="AX368" s="456"/>
      <c r="AY368" s="456"/>
      <c r="AZ368" s="456"/>
      <c r="BA368" s="456"/>
      <c r="BB368" s="456"/>
      <c r="BC368" s="456"/>
      <c r="BD368" s="456"/>
      <c r="BE368" s="456"/>
      <c r="BF368" s="456"/>
      <c r="BG368" s="456"/>
      <c r="BH368" s="456"/>
      <c r="BI368" s="456"/>
      <c r="BJ368" s="481"/>
      <c r="BK368" s="491" t="s">
        <v>912</v>
      </c>
      <c r="BL368" s="456"/>
      <c r="BM368" s="456"/>
      <c r="BN368" s="456"/>
      <c r="BO368" s="456"/>
    </row>
    <row r="369" spans="1:67" s="469" customFormat="1" ht="11.25" hidden="1" customHeight="1" x14ac:dyDescent="0.2">
      <c r="A369" s="452"/>
      <c r="B369" s="533"/>
      <c r="C369" s="531"/>
      <c r="D369" s="531"/>
      <c r="E369" s="531"/>
      <c r="F369" s="531"/>
      <c r="G369" s="531"/>
      <c r="H369" s="531"/>
      <c r="I369" s="531"/>
      <c r="J369" s="531"/>
      <c r="K369" s="531"/>
      <c r="L369" s="531"/>
      <c r="M369" s="531"/>
      <c r="N369" s="544"/>
      <c r="O369" s="545"/>
      <c r="P369" s="546"/>
      <c r="Q369" s="459"/>
      <c r="R369" s="459"/>
      <c r="AB369" s="456"/>
      <c r="AC369" s="456"/>
      <c r="AD369" s="456"/>
      <c r="AE369" s="456"/>
      <c r="AF369" s="456"/>
      <c r="AG369" s="456"/>
      <c r="AH369" s="456"/>
      <c r="AI369" s="456"/>
      <c r="AJ369" s="456"/>
      <c r="AK369" s="456"/>
      <c r="AL369" s="456"/>
      <c r="AM369" s="456"/>
      <c r="AN369" s="456"/>
      <c r="AO369" s="456"/>
      <c r="AP369" s="456"/>
      <c r="AQ369" s="456"/>
      <c r="AR369" s="456"/>
      <c r="AS369" s="456"/>
      <c r="AT369" s="456"/>
      <c r="AU369" s="456"/>
      <c r="AV369" s="456"/>
      <c r="AW369" s="456"/>
      <c r="AX369" s="456"/>
      <c r="AY369" s="456"/>
      <c r="AZ369" s="456"/>
      <c r="BA369" s="456"/>
      <c r="BB369" s="456"/>
      <c r="BC369" s="456"/>
      <c r="BD369" s="456"/>
      <c r="BE369" s="456"/>
      <c r="BF369" s="456"/>
      <c r="BG369" s="456"/>
      <c r="BH369" s="456"/>
      <c r="BI369" s="456"/>
      <c r="BJ369" s="456"/>
      <c r="BK369" s="456"/>
      <c r="BL369" s="456"/>
      <c r="BM369" s="456"/>
      <c r="BN369" s="456"/>
      <c r="BO369" s="456"/>
    </row>
    <row r="370" spans="1:67" s="454" customFormat="1" ht="26.25" customHeight="1" x14ac:dyDescent="0.25">
      <c r="A370" s="547"/>
      <c r="B370" s="547"/>
      <c r="C370" s="547"/>
      <c r="D370" s="547"/>
      <c r="E370" s="547"/>
      <c r="F370" s="547"/>
      <c r="G370" s="547"/>
      <c r="H370" s="547"/>
      <c r="I370" s="547"/>
      <c r="J370" s="547"/>
      <c r="K370" s="547"/>
      <c r="L370" s="547"/>
      <c r="M370" s="547"/>
      <c r="N370" s="547"/>
      <c r="O370" s="547"/>
      <c r="P370" s="547"/>
    </row>
    <row r="371" spans="1:67" s="469" customFormat="1" ht="23.25" x14ac:dyDescent="0.25">
      <c r="A371" s="455"/>
      <c r="B371" s="548" t="s">
        <v>926</v>
      </c>
      <c r="C371" s="2752" t="s">
        <v>927</v>
      </c>
      <c r="D371" s="2752"/>
      <c r="E371" s="2752"/>
      <c r="F371" s="2752"/>
      <c r="G371" s="2752"/>
      <c r="H371" s="2752"/>
      <c r="I371" s="2753" t="s">
        <v>928</v>
      </c>
      <c r="J371" s="2753"/>
      <c r="K371" s="2753"/>
      <c r="L371" s="2753"/>
      <c r="M371" s="2753"/>
      <c r="N371" s="2753"/>
      <c r="O371" s="454"/>
      <c r="P371" s="454"/>
      <c r="Q371" s="459"/>
      <c r="R371" s="459"/>
      <c r="S371" s="454"/>
      <c r="T371" s="454"/>
      <c r="U371" s="454"/>
      <c r="V371" s="454"/>
      <c r="W371" s="454"/>
      <c r="X371" s="454"/>
      <c r="Y371" s="454"/>
      <c r="Z371" s="454"/>
      <c r="AA371" s="454"/>
      <c r="AB371" s="456"/>
      <c r="AC371" s="456"/>
      <c r="AD371" s="456"/>
      <c r="AE371" s="456"/>
      <c r="AF371" s="456"/>
      <c r="AG371" s="456"/>
      <c r="AH371" s="456"/>
      <c r="AI371" s="456"/>
      <c r="AJ371" s="456"/>
      <c r="AK371" s="456"/>
      <c r="AL371" s="456"/>
      <c r="AM371" s="456"/>
      <c r="AN371" s="456"/>
      <c r="AO371" s="456"/>
      <c r="AP371" s="456"/>
      <c r="AQ371" s="456"/>
      <c r="AR371" s="456"/>
      <c r="AS371" s="456"/>
      <c r="AT371" s="456"/>
      <c r="AU371" s="456"/>
      <c r="AV371" s="456"/>
      <c r="AW371" s="456"/>
      <c r="AX371" s="456"/>
      <c r="AY371" s="456"/>
      <c r="AZ371" s="456"/>
      <c r="BA371" s="456"/>
      <c r="BB371" s="456"/>
      <c r="BC371" s="456"/>
      <c r="BD371" s="456"/>
      <c r="BE371" s="456"/>
      <c r="BF371" s="456"/>
      <c r="BG371" s="456"/>
      <c r="BH371" s="456"/>
      <c r="BI371" s="456"/>
      <c r="BJ371" s="456"/>
      <c r="BK371" s="456"/>
      <c r="BL371" s="456" t="s">
        <v>927</v>
      </c>
      <c r="BM371" s="456" t="s">
        <v>928</v>
      </c>
      <c r="BN371" s="456"/>
      <c r="BO371" s="456"/>
    </row>
    <row r="372" spans="1:67" s="549" customFormat="1" ht="16.5" customHeight="1" x14ac:dyDescent="0.25">
      <c r="A372" s="461"/>
      <c r="B372" s="548"/>
      <c r="C372" s="2733" t="s">
        <v>929</v>
      </c>
      <c r="D372" s="2733"/>
      <c r="E372" s="2733"/>
      <c r="F372" s="2733"/>
      <c r="G372" s="2733"/>
      <c r="H372" s="2733"/>
      <c r="I372" s="2733"/>
      <c r="J372" s="2733"/>
      <c r="K372" s="2733"/>
      <c r="L372" s="2733"/>
      <c r="M372" s="2733"/>
      <c r="N372" s="2733"/>
      <c r="Q372" s="550"/>
      <c r="R372" s="550"/>
      <c r="AB372" s="551"/>
      <c r="AC372" s="551"/>
      <c r="AD372" s="551"/>
      <c r="AE372" s="551"/>
      <c r="AF372" s="551"/>
      <c r="AG372" s="551"/>
      <c r="AH372" s="551"/>
      <c r="AI372" s="551"/>
      <c r="AJ372" s="551"/>
      <c r="AK372" s="551"/>
      <c r="AL372" s="551"/>
      <c r="AM372" s="551"/>
      <c r="AN372" s="551"/>
      <c r="AO372" s="551"/>
      <c r="AP372" s="551"/>
      <c r="AQ372" s="551"/>
      <c r="AR372" s="551"/>
      <c r="AS372" s="551"/>
      <c r="AT372" s="551"/>
      <c r="AU372" s="551"/>
      <c r="AV372" s="551"/>
      <c r="AW372" s="551"/>
      <c r="AX372" s="551"/>
      <c r="AY372" s="551"/>
      <c r="AZ372" s="551"/>
      <c r="BA372" s="551"/>
      <c r="BB372" s="551"/>
      <c r="BC372" s="551"/>
      <c r="BD372" s="551"/>
      <c r="BE372" s="551"/>
      <c r="BF372" s="551"/>
      <c r="BG372" s="551"/>
      <c r="BH372" s="551"/>
      <c r="BI372" s="551"/>
      <c r="BJ372" s="551"/>
      <c r="BK372" s="551"/>
      <c r="BL372" s="551"/>
      <c r="BM372" s="551"/>
      <c r="BN372" s="551"/>
      <c r="BO372" s="551"/>
    </row>
    <row r="373" spans="1:67" s="469" customFormat="1" ht="23.25" x14ac:dyDescent="0.25">
      <c r="A373" s="455"/>
      <c r="B373" s="548" t="s">
        <v>930</v>
      </c>
      <c r="C373" s="2752" t="s">
        <v>628</v>
      </c>
      <c r="D373" s="2752"/>
      <c r="E373" s="2752"/>
      <c r="F373" s="2752"/>
      <c r="G373" s="2752"/>
      <c r="H373" s="2752"/>
      <c r="I373" s="2753" t="s">
        <v>931</v>
      </c>
      <c r="J373" s="2753"/>
      <c r="K373" s="2753"/>
      <c r="L373" s="2753"/>
      <c r="M373" s="2753"/>
      <c r="N373" s="2753"/>
      <c r="O373" s="454"/>
      <c r="P373" s="454"/>
      <c r="Q373" s="459"/>
      <c r="R373" s="459"/>
      <c r="S373" s="454"/>
      <c r="T373" s="454"/>
      <c r="U373" s="454"/>
      <c r="V373" s="454"/>
      <c r="W373" s="454"/>
      <c r="X373" s="454"/>
      <c r="Y373" s="454"/>
      <c r="Z373" s="454"/>
      <c r="AA373" s="454"/>
      <c r="AB373" s="456"/>
      <c r="AC373" s="456"/>
      <c r="AD373" s="456"/>
      <c r="AE373" s="456"/>
      <c r="AF373" s="456"/>
      <c r="AG373" s="456"/>
      <c r="AH373" s="456"/>
      <c r="AI373" s="456"/>
      <c r="AJ373" s="456"/>
      <c r="AK373" s="456"/>
      <c r="AL373" s="456"/>
      <c r="AM373" s="456"/>
      <c r="AN373" s="456"/>
      <c r="AO373" s="456"/>
      <c r="AP373" s="456"/>
      <c r="AQ373" s="456"/>
      <c r="AR373" s="456"/>
      <c r="AS373" s="456"/>
      <c r="AT373" s="456"/>
      <c r="AU373" s="456"/>
      <c r="AV373" s="456"/>
      <c r="AW373" s="456"/>
      <c r="AX373" s="456"/>
      <c r="AY373" s="456"/>
      <c r="AZ373" s="456"/>
      <c r="BA373" s="456"/>
      <c r="BB373" s="456"/>
      <c r="BC373" s="456"/>
      <c r="BD373" s="456"/>
      <c r="BE373" s="456"/>
      <c r="BF373" s="456"/>
      <c r="BG373" s="456"/>
      <c r="BH373" s="456"/>
      <c r="BI373" s="456"/>
      <c r="BJ373" s="456"/>
      <c r="BK373" s="456"/>
      <c r="BL373" s="456"/>
      <c r="BM373" s="456"/>
      <c r="BN373" s="456" t="s">
        <v>628</v>
      </c>
      <c r="BO373" s="456" t="s">
        <v>931</v>
      </c>
    </row>
    <row r="374" spans="1:67" s="549" customFormat="1" ht="16.5" customHeight="1" x14ac:dyDescent="0.25">
      <c r="A374" s="461"/>
      <c r="C374" s="2733" t="s">
        <v>929</v>
      </c>
      <c r="D374" s="2733"/>
      <c r="E374" s="2733"/>
      <c r="F374" s="2733"/>
      <c r="G374" s="2733"/>
      <c r="H374" s="2733"/>
      <c r="I374" s="2733"/>
      <c r="J374" s="2733"/>
      <c r="K374" s="2733"/>
      <c r="L374" s="2733"/>
      <c r="M374" s="2733"/>
      <c r="N374" s="2733"/>
      <c r="Q374" s="550"/>
      <c r="R374" s="550"/>
      <c r="AB374" s="551"/>
      <c r="AC374" s="551"/>
      <c r="AD374" s="551"/>
      <c r="AE374" s="551"/>
      <c r="AF374" s="551"/>
      <c r="AG374" s="551"/>
      <c r="AH374" s="551"/>
      <c r="AI374" s="551"/>
      <c r="AJ374" s="551"/>
      <c r="AK374" s="551"/>
      <c r="AL374" s="551"/>
      <c r="AM374" s="551"/>
      <c r="AN374" s="551"/>
      <c r="AO374" s="551"/>
      <c r="AP374" s="551"/>
      <c r="AQ374" s="551"/>
      <c r="AR374" s="551"/>
      <c r="AS374" s="551"/>
      <c r="AT374" s="551"/>
      <c r="AU374" s="551"/>
      <c r="AV374" s="551"/>
      <c r="AW374" s="551"/>
      <c r="AX374" s="551"/>
      <c r="AY374" s="551"/>
      <c r="AZ374" s="551"/>
      <c r="BA374" s="551"/>
      <c r="BB374" s="551"/>
      <c r="BC374" s="551"/>
      <c r="BD374" s="551"/>
      <c r="BE374" s="551"/>
      <c r="BF374" s="551"/>
      <c r="BG374" s="551"/>
      <c r="BH374" s="551"/>
      <c r="BI374" s="551"/>
      <c r="BJ374" s="551"/>
      <c r="BK374" s="551"/>
      <c r="BL374" s="551"/>
      <c r="BM374" s="551"/>
      <c r="BN374" s="551"/>
      <c r="BO374" s="551"/>
    </row>
    <row r="375" spans="1:67" s="454" customFormat="1" ht="12" customHeight="1" x14ac:dyDescent="0.25">
      <c r="A375" s="452"/>
      <c r="B375" s="452"/>
      <c r="C375" s="452"/>
      <c r="D375" s="452"/>
      <c r="E375" s="452"/>
      <c r="F375" s="452"/>
      <c r="G375" s="452"/>
      <c r="H375" s="452"/>
      <c r="I375" s="452"/>
      <c r="J375" s="452"/>
      <c r="K375" s="452"/>
      <c r="L375" s="452"/>
      <c r="M375" s="452"/>
      <c r="N375" s="452"/>
      <c r="O375" s="452"/>
      <c r="P375" s="452"/>
    </row>
    <row r="376" spans="1:67" s="454" customFormat="1" ht="26.25" customHeight="1" x14ac:dyDescent="0.25">
      <c r="A376" s="2709" t="s">
        <v>932</v>
      </c>
      <c r="B376" s="2754"/>
      <c r="C376" s="2754"/>
      <c r="D376" s="2754"/>
      <c r="E376" s="2754"/>
      <c r="F376" s="2754"/>
      <c r="G376" s="2754"/>
      <c r="H376" s="2754"/>
      <c r="I376" s="2754"/>
      <c r="J376" s="2754"/>
      <c r="K376" s="2754"/>
      <c r="L376" s="2754"/>
      <c r="M376" s="2754"/>
      <c r="N376" s="2754"/>
      <c r="O376" s="2754"/>
      <c r="P376" s="2754"/>
    </row>
    <row r="377" spans="1:67" s="454" customFormat="1" ht="17.25" customHeight="1" x14ac:dyDescent="0.25">
      <c r="A377" s="2669" t="s">
        <v>933</v>
      </c>
      <c r="B377" s="2669"/>
      <c r="C377" s="2669"/>
      <c r="D377" s="2669"/>
      <c r="E377" s="2669"/>
      <c r="F377" s="2669"/>
      <c r="G377" s="2669"/>
      <c r="H377" s="2669"/>
      <c r="I377" s="2669"/>
      <c r="J377" s="2669"/>
      <c r="K377" s="2669"/>
      <c r="L377" s="2669"/>
      <c r="M377" s="2669"/>
      <c r="N377" s="2669"/>
      <c r="O377" s="2669"/>
      <c r="P377" s="2669"/>
    </row>
    <row r="378" spans="1:67" s="454" customFormat="1" ht="17.25" customHeight="1" x14ac:dyDescent="0.25">
      <c r="A378" s="2669" t="s">
        <v>934</v>
      </c>
      <c r="B378" s="2669"/>
      <c r="C378" s="2669"/>
      <c r="D378" s="2669"/>
      <c r="E378" s="2669"/>
      <c r="F378" s="2669"/>
      <c r="G378" s="2669"/>
      <c r="H378" s="2669"/>
      <c r="I378" s="2669"/>
      <c r="J378" s="2669"/>
      <c r="K378" s="2669"/>
      <c r="L378" s="2669"/>
      <c r="M378" s="2669"/>
      <c r="N378" s="2669"/>
      <c r="O378" s="2669"/>
      <c r="P378" s="2669"/>
    </row>
    <row r="379" spans="1:67" s="454" customFormat="1" ht="13.5" customHeight="1" x14ac:dyDescent="0.25">
      <c r="A379" s="452"/>
      <c r="B379" s="452"/>
      <c r="C379" s="452"/>
      <c r="D379" s="452"/>
      <c r="E379" s="452"/>
      <c r="F379" s="452"/>
      <c r="G379" s="452"/>
      <c r="H379" s="452"/>
      <c r="I379" s="452"/>
      <c r="J379" s="452"/>
      <c r="K379" s="452"/>
      <c r="L379" s="452"/>
      <c r="M379" s="452"/>
      <c r="N379" s="452"/>
      <c r="O379" s="452"/>
      <c r="P379" s="452"/>
    </row>
    <row r="380" spans="1:67" s="454" customFormat="1" ht="15" x14ac:dyDescent="0.25">
      <c r="A380" s="452"/>
    </row>
    <row r="381" spans="1:67" s="454" customFormat="1" ht="15" x14ac:dyDescent="0.25">
      <c r="A381" s="452"/>
    </row>
    <row r="382" spans="1:67" s="454" customFormat="1" ht="15" x14ac:dyDescent="0.25">
      <c r="A382" s="452"/>
    </row>
    <row r="383" spans="1:67" s="454" customFormat="1" ht="15" x14ac:dyDescent="0.25">
      <c r="A383" s="452"/>
    </row>
    <row r="384" spans="1:67" s="454" customFormat="1" ht="15" x14ac:dyDescent="0.25">
      <c r="A384" s="452"/>
    </row>
    <row r="385" spans="1:1" s="454" customFormat="1" ht="15" x14ac:dyDescent="0.25">
      <c r="A385" s="452"/>
    </row>
    <row r="386" spans="1:1" s="454" customFormat="1" ht="15" x14ac:dyDescent="0.25">
      <c r="A386" s="452"/>
    </row>
    <row r="387" spans="1:1" s="454" customFormat="1" ht="15" x14ac:dyDescent="0.25">
      <c r="A387" s="452"/>
    </row>
    <row r="388" spans="1:1" s="454" customFormat="1" ht="15" x14ac:dyDescent="0.25">
      <c r="A388" s="452"/>
    </row>
    <row r="389" spans="1:1" s="454" customFormat="1" ht="15" x14ac:dyDescent="0.25">
      <c r="A389" s="452"/>
    </row>
    <row r="390" spans="1:1" s="454" customFormat="1" ht="15" x14ac:dyDescent="0.25">
      <c r="A390" s="452"/>
    </row>
    <row r="391" spans="1:1" s="454" customFormat="1" ht="15" x14ac:dyDescent="0.25">
      <c r="A391" s="452"/>
    </row>
    <row r="392" spans="1:1" s="454" customFormat="1" ht="15" x14ac:dyDescent="0.25">
      <c r="A392" s="452"/>
    </row>
    <row r="393" spans="1:1" s="454" customFormat="1" ht="15" x14ac:dyDescent="0.25">
      <c r="A393" s="452"/>
    </row>
    <row r="394" spans="1:1" s="454" customFormat="1" ht="15" x14ac:dyDescent="0.25">
      <c r="A394" s="452"/>
    </row>
    <row r="395" spans="1:1" s="454" customFormat="1" ht="15" x14ac:dyDescent="0.25">
      <c r="A395" s="452"/>
    </row>
    <row r="396" spans="1:1" s="454" customFormat="1" ht="15" x14ac:dyDescent="0.25">
      <c r="A396" s="452"/>
    </row>
    <row r="397" spans="1:1" s="454" customFormat="1" ht="15" x14ac:dyDescent="0.25">
      <c r="A397" s="452"/>
    </row>
    <row r="398" spans="1:1" s="454" customFormat="1" ht="15" x14ac:dyDescent="0.25">
      <c r="A398" s="452"/>
    </row>
    <row r="399" spans="1:1" s="454" customFormat="1" ht="15" x14ac:dyDescent="0.25">
      <c r="A399" s="452"/>
    </row>
    <row r="400" spans="1:1" s="454" customFormat="1" ht="15" x14ac:dyDescent="0.25">
      <c r="A400" s="452"/>
    </row>
    <row r="401" spans="1:1" s="454" customFormat="1" ht="15" x14ac:dyDescent="0.25">
      <c r="A401" s="452"/>
    </row>
    <row r="402" spans="1:1" s="454" customFormat="1" ht="15" x14ac:dyDescent="0.25">
      <c r="A402" s="452"/>
    </row>
    <row r="403" spans="1:1" s="454" customFormat="1" ht="15" x14ac:dyDescent="0.25">
      <c r="A403" s="452"/>
    </row>
    <row r="404" spans="1:1" s="454" customFormat="1" ht="15" x14ac:dyDescent="0.25">
      <c r="A404" s="452"/>
    </row>
    <row r="405" spans="1:1" s="454" customFormat="1" ht="15" x14ac:dyDescent="0.25">
      <c r="A405" s="452"/>
    </row>
    <row r="406" spans="1:1" s="454" customFormat="1" ht="15" x14ac:dyDescent="0.25">
      <c r="A406" s="452"/>
    </row>
    <row r="407" spans="1:1" s="454" customFormat="1" ht="15" x14ac:dyDescent="0.25">
      <c r="A407" s="452"/>
    </row>
    <row r="408" spans="1:1" s="454" customFormat="1" ht="15" x14ac:dyDescent="0.25">
      <c r="A408" s="452"/>
    </row>
    <row r="409" spans="1:1" s="454" customFormat="1" ht="15" x14ac:dyDescent="0.25">
      <c r="A409" s="452"/>
    </row>
    <row r="410" spans="1:1" s="454" customFormat="1" ht="15" x14ac:dyDescent="0.25">
      <c r="A410" s="452"/>
    </row>
    <row r="411" spans="1:1" s="454" customFormat="1" ht="15" x14ac:dyDescent="0.25">
      <c r="A411" s="452"/>
    </row>
    <row r="412" spans="1:1" s="454" customFormat="1" ht="15" x14ac:dyDescent="0.25">
      <c r="A412" s="452"/>
    </row>
    <row r="413" spans="1:1" s="454" customFormat="1" ht="15" x14ac:dyDescent="0.25">
      <c r="A413" s="452"/>
    </row>
    <row r="414" spans="1:1" s="454" customFormat="1" ht="15" x14ac:dyDescent="0.25">
      <c r="A414" s="452"/>
    </row>
  </sheetData>
  <mergeCells count="376">
    <mergeCell ref="A378:P378"/>
    <mergeCell ref="C372:N372"/>
    <mergeCell ref="C373:H373"/>
    <mergeCell ref="I373:N373"/>
    <mergeCell ref="C374:N374"/>
    <mergeCell ref="A376:P376"/>
    <mergeCell ref="A377:P377"/>
    <mergeCell ref="C366:O366"/>
    <mergeCell ref="C367:J367"/>
    <mergeCell ref="L367:O367"/>
    <mergeCell ref="C368:J368"/>
    <mergeCell ref="L368:O368"/>
    <mergeCell ref="C371:H371"/>
    <mergeCell ref="I371:N371"/>
    <mergeCell ref="C360:O360"/>
    <mergeCell ref="C361:O361"/>
    <mergeCell ref="C362:O362"/>
    <mergeCell ref="C363:O363"/>
    <mergeCell ref="C364:O364"/>
    <mergeCell ref="C365:O365"/>
    <mergeCell ref="C354:O354"/>
    <mergeCell ref="C355:O355"/>
    <mergeCell ref="C356:O356"/>
    <mergeCell ref="C357:O357"/>
    <mergeCell ref="C358:O358"/>
    <mergeCell ref="C359:O359"/>
    <mergeCell ref="C348:O348"/>
    <mergeCell ref="C349:O349"/>
    <mergeCell ref="C350:O350"/>
    <mergeCell ref="C351:O351"/>
    <mergeCell ref="C352:O352"/>
    <mergeCell ref="C353:O353"/>
    <mergeCell ref="C343:J343"/>
    <mergeCell ref="L343:O343"/>
    <mergeCell ref="C344:O344"/>
    <mergeCell ref="C345:O345"/>
    <mergeCell ref="C346:O346"/>
    <mergeCell ref="C347:O347"/>
    <mergeCell ref="C337:O337"/>
    <mergeCell ref="C338:O338"/>
    <mergeCell ref="C339:O339"/>
    <mergeCell ref="C340:O340"/>
    <mergeCell ref="C341:O341"/>
    <mergeCell ref="C342:J342"/>
    <mergeCell ref="L342:O342"/>
    <mergeCell ref="C331:O331"/>
    <mergeCell ref="C332:O332"/>
    <mergeCell ref="C333:O333"/>
    <mergeCell ref="C334:O334"/>
    <mergeCell ref="C335:O335"/>
    <mergeCell ref="C336:O336"/>
    <mergeCell ref="C325:O325"/>
    <mergeCell ref="C326:O326"/>
    <mergeCell ref="C327:O327"/>
    <mergeCell ref="C328:O328"/>
    <mergeCell ref="C329:O329"/>
    <mergeCell ref="C330:O330"/>
    <mergeCell ref="C319:O319"/>
    <mergeCell ref="C320:O320"/>
    <mergeCell ref="C321:O321"/>
    <mergeCell ref="C322:O322"/>
    <mergeCell ref="C323:O323"/>
    <mergeCell ref="C324:O324"/>
    <mergeCell ref="C312:G312"/>
    <mergeCell ref="C313:P313"/>
    <mergeCell ref="C314:G314"/>
    <mergeCell ref="C315:G315"/>
    <mergeCell ref="C316:G316"/>
    <mergeCell ref="C317:G317"/>
    <mergeCell ref="C306:G306"/>
    <mergeCell ref="C307:G307"/>
    <mergeCell ref="C308:G308"/>
    <mergeCell ref="C309:G309"/>
    <mergeCell ref="C310:G310"/>
    <mergeCell ref="C311:G311"/>
    <mergeCell ref="C300:G300"/>
    <mergeCell ref="C301:G301"/>
    <mergeCell ref="C302:G302"/>
    <mergeCell ref="C303:G303"/>
    <mergeCell ref="C304:G304"/>
    <mergeCell ref="C305:G305"/>
    <mergeCell ref="C294:G294"/>
    <mergeCell ref="C295:G295"/>
    <mergeCell ref="C296:G296"/>
    <mergeCell ref="C297:G297"/>
    <mergeCell ref="C298:G298"/>
    <mergeCell ref="C299:G299"/>
    <mergeCell ref="C288:G288"/>
    <mergeCell ref="C289:G289"/>
    <mergeCell ref="C290:G290"/>
    <mergeCell ref="C291:G291"/>
    <mergeCell ref="C292:G292"/>
    <mergeCell ref="C293:G293"/>
    <mergeCell ref="C282:G282"/>
    <mergeCell ref="C283:G283"/>
    <mergeCell ref="C284:G284"/>
    <mergeCell ref="C285:G285"/>
    <mergeCell ref="C286:G286"/>
    <mergeCell ref="C287:G287"/>
    <mergeCell ref="C276:P276"/>
    <mergeCell ref="C277:P277"/>
    <mergeCell ref="C278:G278"/>
    <mergeCell ref="C279:G279"/>
    <mergeCell ref="C280:G280"/>
    <mergeCell ref="C281:G281"/>
    <mergeCell ref="C270:G270"/>
    <mergeCell ref="C271:G271"/>
    <mergeCell ref="C272:G272"/>
    <mergeCell ref="C273:P273"/>
    <mergeCell ref="C274:G274"/>
    <mergeCell ref="C275:G275"/>
    <mergeCell ref="C264:G264"/>
    <mergeCell ref="C265:G265"/>
    <mergeCell ref="C266:G266"/>
    <mergeCell ref="C267:G267"/>
    <mergeCell ref="C268:G268"/>
    <mergeCell ref="C269:G269"/>
    <mergeCell ref="C258:G258"/>
    <mergeCell ref="C259:G259"/>
    <mergeCell ref="C260:G260"/>
    <mergeCell ref="C261:G261"/>
    <mergeCell ref="C262:G262"/>
    <mergeCell ref="C263:G263"/>
    <mergeCell ref="C252:G252"/>
    <mergeCell ref="C253:G253"/>
    <mergeCell ref="C254:G254"/>
    <mergeCell ref="C255:G255"/>
    <mergeCell ref="C256:G256"/>
    <mergeCell ref="C257:G257"/>
    <mergeCell ref="C246:G246"/>
    <mergeCell ref="C247:G247"/>
    <mergeCell ref="C248:G248"/>
    <mergeCell ref="C249:G249"/>
    <mergeCell ref="C250:G250"/>
    <mergeCell ref="C251:G251"/>
    <mergeCell ref="C240:G240"/>
    <mergeCell ref="C241:G241"/>
    <mergeCell ref="C242:G242"/>
    <mergeCell ref="C243:G243"/>
    <mergeCell ref="C244:G244"/>
    <mergeCell ref="C245:G245"/>
    <mergeCell ref="A234:P234"/>
    <mergeCell ref="C235:G235"/>
    <mergeCell ref="C236:P236"/>
    <mergeCell ref="C237:P237"/>
    <mergeCell ref="C238:G238"/>
    <mergeCell ref="C239:G239"/>
    <mergeCell ref="C229:O229"/>
    <mergeCell ref="C230:O230"/>
    <mergeCell ref="C231:O231"/>
    <mergeCell ref="C232:J232"/>
    <mergeCell ref="L232:O232"/>
    <mergeCell ref="C233:J233"/>
    <mergeCell ref="L233:O233"/>
    <mergeCell ref="C223:O223"/>
    <mergeCell ref="C224:O224"/>
    <mergeCell ref="C225:O225"/>
    <mergeCell ref="C226:O226"/>
    <mergeCell ref="C227:O227"/>
    <mergeCell ref="C228:O228"/>
    <mergeCell ref="C217:O217"/>
    <mergeCell ref="C218:O218"/>
    <mergeCell ref="C219:O219"/>
    <mergeCell ref="C220:O220"/>
    <mergeCell ref="C221:O221"/>
    <mergeCell ref="C222:O222"/>
    <mergeCell ref="C211:O211"/>
    <mergeCell ref="C212:O212"/>
    <mergeCell ref="C213:O213"/>
    <mergeCell ref="C214:O214"/>
    <mergeCell ref="C215:O215"/>
    <mergeCell ref="C216:O216"/>
    <mergeCell ref="C204:G204"/>
    <mergeCell ref="C205:G205"/>
    <mergeCell ref="C206:G206"/>
    <mergeCell ref="C207:G207"/>
    <mergeCell ref="C209:O209"/>
    <mergeCell ref="C210:O210"/>
    <mergeCell ref="C198:G198"/>
    <mergeCell ref="C199:G199"/>
    <mergeCell ref="C200:G200"/>
    <mergeCell ref="C201:G201"/>
    <mergeCell ref="C202:G202"/>
    <mergeCell ref="C203:P203"/>
    <mergeCell ref="C192:G192"/>
    <mergeCell ref="C193:G193"/>
    <mergeCell ref="C194:G194"/>
    <mergeCell ref="C195:G195"/>
    <mergeCell ref="C196:G196"/>
    <mergeCell ref="C197:G197"/>
    <mergeCell ref="C186:G186"/>
    <mergeCell ref="C187:G187"/>
    <mergeCell ref="C188:G188"/>
    <mergeCell ref="C189:G189"/>
    <mergeCell ref="C190:G190"/>
    <mergeCell ref="C191:G191"/>
    <mergeCell ref="C180:G180"/>
    <mergeCell ref="C181:G181"/>
    <mergeCell ref="C182:G182"/>
    <mergeCell ref="C183:G183"/>
    <mergeCell ref="C184:G184"/>
    <mergeCell ref="C185:G185"/>
    <mergeCell ref="C174:G174"/>
    <mergeCell ref="C175:G175"/>
    <mergeCell ref="C176:G176"/>
    <mergeCell ref="C177:G177"/>
    <mergeCell ref="C178:G178"/>
    <mergeCell ref="C179:G179"/>
    <mergeCell ref="C168:G168"/>
    <mergeCell ref="C169:G169"/>
    <mergeCell ref="C170:G170"/>
    <mergeCell ref="C171:G171"/>
    <mergeCell ref="C172:G172"/>
    <mergeCell ref="C173:G173"/>
    <mergeCell ref="C162:G162"/>
    <mergeCell ref="C163:P163"/>
    <mergeCell ref="C164:G164"/>
    <mergeCell ref="C165:G165"/>
    <mergeCell ref="C166:P166"/>
    <mergeCell ref="C167:P167"/>
    <mergeCell ref="C156:G156"/>
    <mergeCell ref="C157:G157"/>
    <mergeCell ref="C158:G158"/>
    <mergeCell ref="C159:G159"/>
    <mergeCell ref="C160:G160"/>
    <mergeCell ref="C161:G161"/>
    <mergeCell ref="C150:G150"/>
    <mergeCell ref="C151:G151"/>
    <mergeCell ref="C152:G152"/>
    <mergeCell ref="C153:G153"/>
    <mergeCell ref="C154:G154"/>
    <mergeCell ref="C155:G155"/>
    <mergeCell ref="C144:G144"/>
    <mergeCell ref="C145:G145"/>
    <mergeCell ref="C146:G146"/>
    <mergeCell ref="C147:G147"/>
    <mergeCell ref="C148:G148"/>
    <mergeCell ref="C149:G149"/>
    <mergeCell ref="C138:G138"/>
    <mergeCell ref="C139:G139"/>
    <mergeCell ref="C140:G140"/>
    <mergeCell ref="C141:G141"/>
    <mergeCell ref="C142:G142"/>
    <mergeCell ref="C143:G143"/>
    <mergeCell ref="C132:G132"/>
    <mergeCell ref="C133:G133"/>
    <mergeCell ref="C134:G134"/>
    <mergeCell ref="C135:G135"/>
    <mergeCell ref="C136:G136"/>
    <mergeCell ref="C137:G137"/>
    <mergeCell ref="C126:P126"/>
    <mergeCell ref="C127:P127"/>
    <mergeCell ref="C128:G128"/>
    <mergeCell ref="C129:G129"/>
    <mergeCell ref="C130:G130"/>
    <mergeCell ref="C131:G131"/>
    <mergeCell ref="C120:G120"/>
    <mergeCell ref="C121:G121"/>
    <mergeCell ref="C122:G122"/>
    <mergeCell ref="C123:G123"/>
    <mergeCell ref="A124:P124"/>
    <mergeCell ref="C125:G125"/>
    <mergeCell ref="C114:G114"/>
    <mergeCell ref="C115:G115"/>
    <mergeCell ref="C116:G116"/>
    <mergeCell ref="C117:G117"/>
    <mergeCell ref="C118:G118"/>
    <mergeCell ref="C119:P119"/>
    <mergeCell ref="C108:G108"/>
    <mergeCell ref="C109:G109"/>
    <mergeCell ref="C110:G110"/>
    <mergeCell ref="C111:G111"/>
    <mergeCell ref="C112:G112"/>
    <mergeCell ref="C113:G113"/>
    <mergeCell ref="C102:G102"/>
    <mergeCell ref="C103:G103"/>
    <mergeCell ref="C104:G104"/>
    <mergeCell ref="C105:G105"/>
    <mergeCell ref="C106:G106"/>
    <mergeCell ref="C107:G107"/>
    <mergeCell ref="C96:G96"/>
    <mergeCell ref="C97:G97"/>
    <mergeCell ref="C98:G98"/>
    <mergeCell ref="C99:G99"/>
    <mergeCell ref="C100:G100"/>
    <mergeCell ref="C101:G101"/>
    <mergeCell ref="C90:G90"/>
    <mergeCell ref="C91:G91"/>
    <mergeCell ref="C92:G92"/>
    <mergeCell ref="C93:G93"/>
    <mergeCell ref="C94:G94"/>
    <mergeCell ref="C95:G95"/>
    <mergeCell ref="C84:G84"/>
    <mergeCell ref="C85:G85"/>
    <mergeCell ref="C86:G86"/>
    <mergeCell ref="C87:G87"/>
    <mergeCell ref="C88:G88"/>
    <mergeCell ref="C89:G89"/>
    <mergeCell ref="C78:G78"/>
    <mergeCell ref="C79:P79"/>
    <mergeCell ref="C80:G80"/>
    <mergeCell ref="C81:G81"/>
    <mergeCell ref="C82:P82"/>
    <mergeCell ref="C83:P83"/>
    <mergeCell ref="C72:G72"/>
    <mergeCell ref="C73:G73"/>
    <mergeCell ref="C74:G74"/>
    <mergeCell ref="C75:G75"/>
    <mergeCell ref="C76:G76"/>
    <mergeCell ref="C77:G77"/>
    <mergeCell ref="C66:G66"/>
    <mergeCell ref="C67:G67"/>
    <mergeCell ref="C68:G68"/>
    <mergeCell ref="C69:G69"/>
    <mergeCell ref="C70:G70"/>
    <mergeCell ref="C71:G71"/>
    <mergeCell ref="C60:G60"/>
    <mergeCell ref="C61:G61"/>
    <mergeCell ref="C62:G62"/>
    <mergeCell ref="C63:G63"/>
    <mergeCell ref="C64:G64"/>
    <mergeCell ref="C65:G65"/>
    <mergeCell ref="C54:G54"/>
    <mergeCell ref="C55:G55"/>
    <mergeCell ref="C56:G56"/>
    <mergeCell ref="C57:G57"/>
    <mergeCell ref="C58:G58"/>
    <mergeCell ref="C59:G59"/>
    <mergeCell ref="C48:G48"/>
    <mergeCell ref="C49:G49"/>
    <mergeCell ref="C50:G50"/>
    <mergeCell ref="C51:G51"/>
    <mergeCell ref="C52:G52"/>
    <mergeCell ref="C53:G53"/>
    <mergeCell ref="C42:P42"/>
    <mergeCell ref="C43:P43"/>
    <mergeCell ref="C44:G44"/>
    <mergeCell ref="C45:G45"/>
    <mergeCell ref="C46:G46"/>
    <mergeCell ref="C47:G47"/>
    <mergeCell ref="I35:K36"/>
    <mergeCell ref="L35:P36"/>
    <mergeCell ref="C38:G38"/>
    <mergeCell ref="A39:P39"/>
    <mergeCell ref="A40:P40"/>
    <mergeCell ref="C41:G41"/>
    <mergeCell ref="B24:F24"/>
    <mergeCell ref="C26:F26"/>
    <mergeCell ref="A35:A37"/>
    <mergeCell ref="B35:B37"/>
    <mergeCell ref="C35:G37"/>
    <mergeCell ref="H35:H37"/>
    <mergeCell ref="A16:P16"/>
    <mergeCell ref="A17:P17"/>
    <mergeCell ref="A18:P18"/>
    <mergeCell ref="A20:P20"/>
    <mergeCell ref="A21:P21"/>
    <mergeCell ref="B23:F23"/>
    <mergeCell ref="A10:F10"/>
    <mergeCell ref="G10:P10"/>
    <mergeCell ref="A11:F11"/>
    <mergeCell ref="G11:P11"/>
    <mergeCell ref="A13:P13"/>
    <mergeCell ref="A14:P14"/>
    <mergeCell ref="A7:F7"/>
    <mergeCell ref="G7:P7"/>
    <mergeCell ref="A8:F8"/>
    <mergeCell ref="G8:P8"/>
    <mergeCell ref="A9:F9"/>
    <mergeCell ref="G9:P9"/>
    <mergeCell ref="A4:F4"/>
    <mergeCell ref="G4:P4"/>
    <mergeCell ref="A5:F5"/>
    <mergeCell ref="G5:P5"/>
    <mergeCell ref="A6:F6"/>
    <mergeCell ref="G6:P6"/>
  </mergeCells>
  <printOptions horizontalCentered="1"/>
  <pageMargins left="0.31496062874794001" right="0.31496062874794001" top="0.78740155696868896" bottom="0.31496062874794001" header="0.19685038924217199" footer="0.19685038924217199"/>
  <pageSetup paperSize="9" fitToHeight="0" orientation="landscape"/>
  <headerFooter>
    <oddFooter>&amp;RСтраница &amp;P</oddFooter>
  </headerFooter>
  <rowBreaks count="1" manualBreakCount="1">
    <brk id="34" max="41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I56"/>
  <sheetViews>
    <sheetView view="pageBreakPreview" zoomScale="80" zoomScaleNormal="70" zoomScaleSheetLayoutView="80" workbookViewId="0">
      <pane xSplit="5" ySplit="6" topLeftCell="F7" activePane="bottomRight" state="frozen"/>
      <selection activeCell="P14" sqref="P14"/>
      <selection pane="topRight" activeCell="P14" sqref="P14"/>
      <selection pane="bottomLeft" activeCell="P14" sqref="P14"/>
      <selection pane="bottomRight" activeCell="E19" sqref="E19"/>
    </sheetView>
  </sheetViews>
  <sheetFormatPr defaultRowHeight="15.75" outlineLevelRow="1" outlineLevelCol="1" x14ac:dyDescent="0.25"/>
  <cols>
    <col min="1" max="1" width="9.140625" style="854" hidden="1" customWidth="1" outlineLevel="1"/>
    <col min="2" max="2" width="10.140625" style="854" customWidth="1" collapsed="1"/>
    <col min="3" max="3" width="63.28515625" style="854" customWidth="1"/>
    <col min="4" max="4" width="13.7109375" style="854" customWidth="1"/>
    <col min="5" max="5" width="12.5703125" style="854" customWidth="1"/>
    <col min="6" max="9" width="22.28515625" style="854" customWidth="1"/>
    <col min="10" max="16384" width="9.140625" style="854"/>
  </cols>
  <sheetData>
    <row r="1" spans="1:9" s="853" customFormat="1" ht="39" customHeight="1" x14ac:dyDescent="0.25">
      <c r="B1" s="2758" t="s">
        <v>5877</v>
      </c>
      <c r="C1" s="2758"/>
      <c r="D1" s="2758"/>
      <c r="E1" s="2758"/>
      <c r="F1" s="2758"/>
      <c r="G1" s="2758"/>
      <c r="H1" s="2758"/>
      <c r="I1" s="2758"/>
    </row>
    <row r="2" spans="1:9" s="853" customFormat="1" x14ac:dyDescent="0.25">
      <c r="B2" s="2759" t="str">
        <f>'Пояснительная (ПИР+СМР)'!A3</f>
        <v>Кампус ВТРК «Мамисон»</v>
      </c>
      <c r="C2" s="2759"/>
      <c r="D2" s="2759"/>
      <c r="E2" s="2759"/>
      <c r="F2" s="2759"/>
      <c r="G2" s="2759"/>
      <c r="H2" s="2759"/>
      <c r="I2" s="2759"/>
    </row>
    <row r="3" spans="1:9" x14ac:dyDescent="0.25">
      <c r="B3" s="1315"/>
      <c r="C3" s="1315"/>
      <c r="D3" s="1315"/>
      <c r="E3" s="1315"/>
    </row>
    <row r="4" spans="1:9" x14ac:dyDescent="0.25">
      <c r="A4" s="2761"/>
      <c r="B4" s="2762" t="s">
        <v>4123</v>
      </c>
      <c r="C4" s="2764" t="s">
        <v>4124</v>
      </c>
      <c r="D4" s="2764" t="s">
        <v>187</v>
      </c>
      <c r="E4" s="2762" t="s">
        <v>790</v>
      </c>
      <c r="F4" s="2755" t="s">
        <v>4327</v>
      </c>
      <c r="G4" s="2756"/>
      <c r="H4" s="2757" t="s">
        <v>5878</v>
      </c>
      <c r="I4" s="2757"/>
    </row>
    <row r="5" spans="1:9" x14ac:dyDescent="0.25">
      <c r="A5" s="2761"/>
      <c r="B5" s="2763"/>
      <c r="C5" s="2765"/>
      <c r="D5" s="2765"/>
      <c r="E5" s="2763"/>
      <c r="F5" s="1418" t="s">
        <v>5879</v>
      </c>
      <c r="G5" s="1471" t="s">
        <v>631</v>
      </c>
      <c r="H5" s="1418" t="s">
        <v>5879</v>
      </c>
      <c r="I5" s="1471" t="s">
        <v>631</v>
      </c>
    </row>
    <row r="6" spans="1:9" x14ac:dyDescent="0.25">
      <c r="A6" s="855"/>
      <c r="B6" s="1316">
        <v>1</v>
      </c>
      <c r="C6" s="1317">
        <v>2</v>
      </c>
      <c r="D6" s="1316">
        <v>3</v>
      </c>
      <c r="E6" s="1317">
        <v>4</v>
      </c>
      <c r="F6" s="1316">
        <v>5</v>
      </c>
      <c r="G6" s="1317">
        <v>6</v>
      </c>
      <c r="H6" s="1316">
        <v>7</v>
      </c>
      <c r="I6" s="1317">
        <v>8</v>
      </c>
    </row>
    <row r="7" spans="1:9" s="1242" customFormat="1" x14ac:dyDescent="0.25">
      <c r="A7" s="1242">
        <v>1</v>
      </c>
      <c r="B7" s="1330">
        <v>1</v>
      </c>
      <c r="C7" s="1331" t="s">
        <v>5849</v>
      </c>
      <c r="D7" s="1332" t="s">
        <v>432</v>
      </c>
      <c r="E7" s="1333">
        <v>1</v>
      </c>
      <c r="F7" s="1473" t="e">
        <f>G7/E7</f>
        <v>#REF!</v>
      </c>
      <c r="G7" s="1473" t="e">
        <f>'Расчет КВЛ'!#REF!</f>
        <v>#REF!</v>
      </c>
      <c r="H7" s="1473" t="e">
        <f>I7/E7</f>
        <v>#REF!</v>
      </c>
      <c r="I7" s="1473" t="e">
        <f>'Расчет КВЛ'!#REF!</f>
        <v>#REF!</v>
      </c>
    </row>
    <row r="8" spans="1:9" s="1242" customFormat="1" x14ac:dyDescent="0.25">
      <c r="A8" s="1242">
        <v>2</v>
      </c>
      <c r="B8" s="1243" t="str">
        <f t="shared" ref="B8:B12" ca="1" si="0">IF(A8&gt;OFFSET(A8,-1,0),OFFSET(B8,-1,0)&amp;"."&amp;1,LEFT(OFFSET(B8,-1,0),SEARCH("^^",SUBSTITUTE("."&amp;OFFSET(B8,-1,0),".","^^",A8))-1)&amp;1--MID(OFFSET(B8,-1,0),SEARCH("^^",SUBSTITUTE("."&amp;OFFSET(B8,-1,0),".","^^",A8)),SEARCH("^^",SUBSTITUTE(OFFSET(B8,-1,0)&amp;".",".","^^",A8))-SEARCH("^^",SUBSTITUTE("."&amp;OFFSET(B8,-1,0),".","^^",A8))))</f>
        <v>1.1</v>
      </c>
      <c r="C8" s="1373" t="s">
        <v>520</v>
      </c>
      <c r="D8" s="1374" t="s">
        <v>432</v>
      </c>
      <c r="E8" s="1375">
        <v>1</v>
      </c>
      <c r="F8" s="1474" t="e">
        <f t="shared" ref="F8:F50" si="1">G8/E8</f>
        <v>#REF!</v>
      </c>
      <c r="G8" s="1474" t="e">
        <f>'Расчет КВЛ'!#REF!</f>
        <v>#REF!</v>
      </c>
      <c r="H8" s="1474" t="e">
        <f t="shared" ref="H8:H50" si="2">I8/E8</f>
        <v>#REF!</v>
      </c>
      <c r="I8" s="1474" t="e">
        <f>'Расчет КВЛ'!#REF!</f>
        <v>#REF!</v>
      </c>
    </row>
    <row r="9" spans="1:9" s="1242" customFormat="1" x14ac:dyDescent="0.25">
      <c r="A9" s="1242">
        <v>2</v>
      </c>
      <c r="B9" s="1247" t="str">
        <f t="shared" ca="1" si="0"/>
        <v>1.2</v>
      </c>
      <c r="C9" s="867" t="s">
        <v>2</v>
      </c>
      <c r="D9" s="858" t="s">
        <v>432</v>
      </c>
      <c r="E9" s="1255">
        <v>1</v>
      </c>
      <c r="F9" s="1475" t="e">
        <f t="shared" si="1"/>
        <v>#REF!</v>
      </c>
      <c r="G9" s="1475" t="e">
        <f>'Расчет КВЛ'!#REF!</f>
        <v>#REF!</v>
      </c>
      <c r="H9" s="1475" t="e">
        <f t="shared" si="2"/>
        <v>#REF!</v>
      </c>
      <c r="I9" s="1475" t="e">
        <f>'Расчет КВЛ'!#REF!</f>
        <v>#REF!</v>
      </c>
    </row>
    <row r="10" spans="1:9" s="1242" customFormat="1" x14ac:dyDescent="0.25">
      <c r="A10" s="1242">
        <v>2</v>
      </c>
      <c r="B10" s="1247" t="str">
        <f t="shared" ca="1" si="0"/>
        <v>1.3</v>
      </c>
      <c r="C10" s="867" t="s">
        <v>5850</v>
      </c>
      <c r="D10" s="858" t="s">
        <v>432</v>
      </c>
      <c r="E10" s="1255">
        <v>1</v>
      </c>
      <c r="F10" s="1475" t="e">
        <f t="shared" si="1"/>
        <v>#REF!</v>
      </c>
      <c r="G10" s="1475" t="e">
        <f>G8*10%</f>
        <v>#REF!</v>
      </c>
      <c r="H10" s="1475" t="e">
        <f t="shared" si="2"/>
        <v>#REF!</v>
      </c>
      <c r="I10" s="1475" t="e">
        <f>'Расчет КВЛ'!#REF!</f>
        <v>#REF!</v>
      </c>
    </row>
    <row r="11" spans="1:9" s="1242" customFormat="1" x14ac:dyDescent="0.25">
      <c r="A11" s="1242">
        <v>2</v>
      </c>
      <c r="B11" s="1381" t="str">
        <f t="shared" ca="1" si="0"/>
        <v>1.4</v>
      </c>
      <c r="C11" s="1382" t="s">
        <v>5851</v>
      </c>
      <c r="D11" s="1383" t="s">
        <v>432</v>
      </c>
      <c r="E11" s="1384">
        <v>1</v>
      </c>
      <c r="F11" s="1476" t="e">
        <f t="shared" si="1"/>
        <v>#REF!</v>
      </c>
      <c r="G11" s="1476" t="e">
        <f>G9*2%</f>
        <v>#REF!</v>
      </c>
      <c r="H11" s="1476" t="e">
        <f t="shared" si="2"/>
        <v>#REF!</v>
      </c>
      <c r="I11" s="1476" t="e">
        <f>'Расчет КВЛ'!#REF!</f>
        <v>#REF!</v>
      </c>
    </row>
    <row r="12" spans="1:9" s="1242" customFormat="1" ht="31.5" x14ac:dyDescent="0.25">
      <c r="A12" s="1242">
        <v>1</v>
      </c>
      <c r="B12" s="1330" t="str">
        <f t="shared" ca="1" si="0"/>
        <v>2</v>
      </c>
      <c r="C12" s="1331" t="s">
        <v>5852</v>
      </c>
      <c r="D12" s="1332" t="s">
        <v>432</v>
      </c>
      <c r="E12" s="1333">
        <v>1</v>
      </c>
      <c r="F12" s="1473" t="e">
        <f t="shared" si="1"/>
        <v>#REF!</v>
      </c>
      <c r="G12" s="1473" t="e">
        <f>'Расчет КВЛ'!#REF!</f>
        <v>#REF!</v>
      </c>
      <c r="H12" s="1473" t="e">
        <f t="shared" si="2"/>
        <v>#REF!</v>
      </c>
      <c r="I12" s="1473" t="e">
        <f>'Расчет КВЛ'!#REF!</f>
        <v>#REF!</v>
      </c>
    </row>
    <row r="13" spans="1:9" s="1254" customFormat="1" ht="113.25" customHeight="1" x14ac:dyDescent="0.25">
      <c r="A13" s="1254">
        <v>2</v>
      </c>
      <c r="B13" s="1243" t="str">
        <f ca="1">IF(A13&gt;OFFSET(A13,-1,0),OFFSET(B13,-1,0)&amp;"."&amp;1,LEFT(OFFSET(B13,-1,0),SEARCH("^^",SUBSTITUTE("."&amp;OFFSET(B13,-1,0),".","^^",A13))-1)&amp;1--MID(OFFSET(B13,-1,0),SEARCH("^^",SUBSTITUTE("."&amp;OFFSET(B13,-1,0),".","^^",A13)),SEARCH("^^",SUBSTITUTE(OFFSET(B13,-1,0)&amp;".",".","^^",A13))-SEARCH("^^",SUBSTITUTE("."&amp;OFFSET(B13,-1,0),".","^^",A13))))</f>
        <v>2.1</v>
      </c>
      <c r="C13" s="1389" t="s">
        <v>5956</v>
      </c>
      <c r="D13" s="1374" t="s">
        <v>130</v>
      </c>
      <c r="E13" s="1390">
        <f>80*11</f>
        <v>880</v>
      </c>
      <c r="F13" s="1474" t="e">
        <f t="shared" si="1"/>
        <v>#REF!</v>
      </c>
      <c r="G13" s="1474" t="e">
        <f>'Расчет КВЛ'!#REF!</f>
        <v>#REF!</v>
      </c>
      <c r="H13" s="1474" t="e">
        <f t="shared" si="2"/>
        <v>#REF!</v>
      </c>
      <c r="I13" s="1474" t="e">
        <f>'Расчет КВЛ'!#REF!</f>
        <v>#REF!</v>
      </c>
    </row>
    <row r="14" spans="1:9" s="1242" customFormat="1" x14ac:dyDescent="0.25">
      <c r="A14" s="1242">
        <v>2</v>
      </c>
      <c r="B14" s="1247" t="str">
        <f t="shared" ref="B14:B50" ca="1" si="3">IF(A14&gt;OFFSET(A14,-1,0),OFFSET(B14,-1,0)&amp;"."&amp;1,LEFT(OFFSET(B14,-1,0),SEARCH("^^",SUBSTITUTE("."&amp;OFFSET(B14,-1,0),".","^^",A14))-1)&amp;1--MID(OFFSET(B14,-1,0),SEARCH("^^",SUBSTITUTE("."&amp;OFFSET(B14,-1,0),".","^^",A14)),SEARCH("^^",SUBSTITUTE(OFFSET(B14,-1,0)&amp;".",".","^^",A14))-SEARCH("^^",SUBSTITUTE("."&amp;OFFSET(B14,-1,0),".","^^",A14))))</f>
        <v>2.2</v>
      </c>
      <c r="C14" s="867" t="s">
        <v>5541</v>
      </c>
      <c r="D14" s="858"/>
      <c r="E14" s="1249"/>
      <c r="F14" s="1475"/>
      <c r="G14" s="1475"/>
      <c r="H14" s="1475"/>
      <c r="I14" s="1475"/>
    </row>
    <row r="15" spans="1:9" s="1242" customFormat="1" ht="31.5" x14ac:dyDescent="0.25">
      <c r="A15" s="1242">
        <v>3</v>
      </c>
      <c r="B15" s="1247" t="str">
        <f t="shared" ca="1" si="3"/>
        <v>2.2.1</v>
      </c>
      <c r="C15" s="867" t="s">
        <v>5580</v>
      </c>
      <c r="D15" s="858" t="s">
        <v>4131</v>
      </c>
      <c r="E15" s="858">
        <f>400/1000</f>
        <v>0.4</v>
      </c>
      <c r="F15" s="1475" t="e">
        <f t="shared" si="1"/>
        <v>#REF!</v>
      </c>
      <c r="G15" s="1475" t="e">
        <f>'Расчет КВЛ'!#REF!</f>
        <v>#REF!</v>
      </c>
      <c r="H15" s="1475" t="e">
        <f t="shared" si="2"/>
        <v>#REF!</v>
      </c>
      <c r="I15" s="1475" t="e">
        <f>'Расчет КВЛ'!#REF!</f>
        <v>#REF!</v>
      </c>
    </row>
    <row r="16" spans="1:9" s="1242" customFormat="1" ht="31.5" x14ac:dyDescent="0.25">
      <c r="A16" s="1242">
        <v>3</v>
      </c>
      <c r="B16" s="1247" t="str">
        <f t="shared" ca="1" si="3"/>
        <v>2.2.2</v>
      </c>
      <c r="C16" s="1044" t="s">
        <v>5581</v>
      </c>
      <c r="D16" s="858" t="s">
        <v>4131</v>
      </c>
      <c r="E16" s="858">
        <f>350/1000</f>
        <v>0.35</v>
      </c>
      <c r="F16" s="1475" t="e">
        <f t="shared" si="1"/>
        <v>#REF!</v>
      </c>
      <c r="G16" s="1475" t="e">
        <f>'Расчет КВЛ'!#REF!</f>
        <v>#REF!</v>
      </c>
      <c r="H16" s="1475" t="e">
        <f t="shared" si="2"/>
        <v>#REF!</v>
      </c>
      <c r="I16" s="1475" t="e">
        <f>'Расчет КВЛ'!#REF!</f>
        <v>#REF!</v>
      </c>
    </row>
    <row r="17" spans="1:9" s="1242" customFormat="1" x14ac:dyDescent="0.25">
      <c r="A17" s="1242">
        <v>3</v>
      </c>
      <c r="B17" s="1247" t="str">
        <f t="shared" ca="1" si="3"/>
        <v>2.2.3</v>
      </c>
      <c r="C17" s="867" t="s">
        <v>5936</v>
      </c>
      <c r="D17" s="858" t="s">
        <v>5542</v>
      </c>
      <c r="E17" s="858">
        <v>1</v>
      </c>
      <c r="F17" s="1475" t="e">
        <f t="shared" si="1"/>
        <v>#REF!</v>
      </c>
      <c r="G17" s="1475" t="e">
        <f>'Расчет КВЛ'!#REF!</f>
        <v>#REF!</v>
      </c>
      <c r="H17" s="1475" t="e">
        <f t="shared" si="2"/>
        <v>#REF!</v>
      </c>
      <c r="I17" s="1475" t="e">
        <f>'Расчет КВЛ'!#REF!</f>
        <v>#REF!</v>
      </c>
    </row>
    <row r="18" spans="1:9" s="1242" customFormat="1" x14ac:dyDescent="0.25">
      <c r="A18" s="1242">
        <v>4</v>
      </c>
      <c r="B18" s="1247" t="str">
        <f t="shared" ca="1" si="3"/>
        <v>2.2.3.1</v>
      </c>
      <c r="C18" s="867" t="s">
        <v>5582</v>
      </c>
      <c r="D18" s="858" t="s">
        <v>5542</v>
      </c>
      <c r="E18" s="1255">
        <v>1</v>
      </c>
      <c r="F18" s="1475" t="e">
        <f t="shared" si="1"/>
        <v>#REF!</v>
      </c>
      <c r="G18" s="1475" t="e">
        <f>'Расчет КВЛ'!#REF!</f>
        <v>#REF!</v>
      </c>
      <c r="H18" s="1475" t="e">
        <f t="shared" si="2"/>
        <v>#REF!</v>
      </c>
      <c r="I18" s="1475" t="e">
        <f>'Расчет КВЛ'!#REF!</f>
        <v>#REF!</v>
      </c>
    </row>
    <row r="19" spans="1:9" s="1242" customFormat="1" ht="47.25" x14ac:dyDescent="0.25">
      <c r="A19" s="1242">
        <v>3</v>
      </c>
      <c r="B19" s="1247" t="str">
        <f t="shared" ca="1" si="3"/>
        <v>2.2.4</v>
      </c>
      <c r="C19" s="867" t="s">
        <v>5937</v>
      </c>
      <c r="D19" s="858" t="s">
        <v>4131</v>
      </c>
      <c r="E19" s="1255">
        <f>450/1000</f>
        <v>0.45</v>
      </c>
      <c r="F19" s="1475" t="e">
        <f t="shared" si="1"/>
        <v>#REF!</v>
      </c>
      <c r="G19" s="1475" t="e">
        <f>'Расчет КВЛ'!#REF!</f>
        <v>#REF!</v>
      </c>
      <c r="H19" s="1475" t="e">
        <f t="shared" si="2"/>
        <v>#REF!</v>
      </c>
      <c r="I19" s="1475" t="e">
        <f>'Расчет КВЛ'!#REF!</f>
        <v>#REF!</v>
      </c>
    </row>
    <row r="20" spans="1:9" s="1242" customFormat="1" ht="47.25" x14ac:dyDescent="0.25">
      <c r="A20" s="1242">
        <v>3</v>
      </c>
      <c r="B20" s="1247" t="str">
        <f t="shared" ca="1" si="3"/>
        <v>2.2.5</v>
      </c>
      <c r="C20" s="867" t="s">
        <v>5938</v>
      </c>
      <c r="D20" s="858" t="s">
        <v>4131</v>
      </c>
      <c r="E20" s="1255">
        <f>650/1000</f>
        <v>0.65</v>
      </c>
      <c r="F20" s="1475" t="e">
        <f t="shared" si="1"/>
        <v>#REF!</v>
      </c>
      <c r="G20" s="1475" t="e">
        <f>'Расчет КВЛ'!#REF!</f>
        <v>#REF!</v>
      </c>
      <c r="H20" s="1475" t="e">
        <f t="shared" si="2"/>
        <v>#REF!</v>
      </c>
      <c r="I20" s="1475" t="e">
        <f>'Расчет КВЛ'!#REF!</f>
        <v>#REF!</v>
      </c>
    </row>
    <row r="21" spans="1:9" s="1242" customFormat="1" ht="31.5" x14ac:dyDescent="0.25">
      <c r="A21" s="1242">
        <v>4</v>
      </c>
      <c r="B21" s="1247" t="str">
        <f t="shared" ca="1" si="3"/>
        <v>2.2.5.1</v>
      </c>
      <c r="C21" s="1044" t="s">
        <v>5583</v>
      </c>
      <c r="D21" s="858" t="s">
        <v>5543</v>
      </c>
      <c r="E21" s="1249">
        <v>1</v>
      </c>
      <c r="F21" s="1475" t="e">
        <f t="shared" si="1"/>
        <v>#REF!</v>
      </c>
      <c r="G21" s="1475" t="e">
        <f>'Расчет КВЛ'!#REF!</f>
        <v>#REF!</v>
      </c>
      <c r="H21" s="1475" t="e">
        <f t="shared" si="2"/>
        <v>#REF!</v>
      </c>
      <c r="I21" s="1475" t="e">
        <f>'Расчет КВЛ'!#REF!</f>
        <v>#REF!</v>
      </c>
    </row>
    <row r="22" spans="1:9" s="1242" customFormat="1" ht="31.5" x14ac:dyDescent="0.25">
      <c r="A22" s="1242">
        <v>3</v>
      </c>
      <c r="B22" s="1247" t="str">
        <f ca="1">IF(A22&gt;OFFSET(A22,-1,0),OFFSET(B22,-1,0)&amp;"."&amp;1,LEFT(OFFSET(B22,-1,0),SEARCH("^^",SUBSTITUTE("."&amp;OFFSET(B22,-1,0),".","^^",A22))-1)&amp;1--MID(OFFSET(B22,-1,0),SEARCH("^^",SUBSTITUTE("."&amp;OFFSET(B22,-1,0),".","^^",A22)),SEARCH("^^",SUBSTITUTE(OFFSET(B22,-1,0)&amp;".",".","^^",A22))-SEARCH("^^",SUBSTITUTE("."&amp;OFFSET(B22,-1,0),".","^^",A22))))</f>
        <v>2.2.6</v>
      </c>
      <c r="C22" s="867" t="s">
        <v>5584</v>
      </c>
      <c r="D22" s="858" t="s">
        <v>5428</v>
      </c>
      <c r="E22" s="858">
        <f>5</f>
        <v>5</v>
      </c>
      <c r="F22" s="1475" t="e">
        <f t="shared" si="1"/>
        <v>#REF!</v>
      </c>
      <c r="G22" s="1475" t="e">
        <f>'Расчет КВЛ'!#REF!</f>
        <v>#REF!</v>
      </c>
      <c r="H22" s="1475" t="e">
        <f t="shared" si="2"/>
        <v>#REF!</v>
      </c>
      <c r="I22" s="1475" t="e">
        <f>'Расчет КВЛ'!#REF!</f>
        <v>#REF!</v>
      </c>
    </row>
    <row r="23" spans="1:9" s="1254" customFormat="1" x14ac:dyDescent="0.25">
      <c r="A23" s="1242">
        <v>3</v>
      </c>
      <c r="B23" s="1247" t="str">
        <f t="shared" ref="B23:B24" ca="1" si="4">IF(A23&gt;OFFSET(A23,-1,0),OFFSET(B23,-1,0)&amp;"."&amp;1,LEFT(OFFSET(B23,-1,0),SEARCH("^^",SUBSTITUTE("."&amp;OFFSET(B23,-1,0),".","^^",A23))-1)&amp;1--MID(OFFSET(B23,-1,0),SEARCH("^^",SUBSTITUTE("."&amp;OFFSET(B23,-1,0),".","^^",A23)),SEARCH("^^",SUBSTITUTE(OFFSET(B23,-1,0)&amp;".",".","^^",A23))-SEARCH("^^",SUBSTITUTE("."&amp;OFFSET(B23,-1,0),".","^^",A23))))</f>
        <v>2.2.7</v>
      </c>
      <c r="C23" s="867" t="s">
        <v>5544</v>
      </c>
      <c r="D23" s="858" t="s">
        <v>5543</v>
      </c>
      <c r="E23" s="858">
        <v>1</v>
      </c>
      <c r="F23" s="1475" t="e">
        <f t="shared" si="1"/>
        <v>#REF!</v>
      </c>
      <c r="G23" s="1475" t="e">
        <f>'Расчет КВЛ'!#REF!</f>
        <v>#REF!</v>
      </c>
      <c r="H23" s="1475" t="e">
        <f t="shared" si="2"/>
        <v>#REF!</v>
      </c>
      <c r="I23" s="1475" t="e">
        <f>'Расчет КВЛ'!#REF!</f>
        <v>#REF!</v>
      </c>
    </row>
    <row r="24" spans="1:9" s="1254" customFormat="1" ht="31.5" x14ac:dyDescent="0.25">
      <c r="A24" s="1242">
        <v>3</v>
      </c>
      <c r="B24" s="1247" t="str">
        <f t="shared" ca="1" si="4"/>
        <v>2.2.8</v>
      </c>
      <c r="C24" s="867" t="s">
        <v>5939</v>
      </c>
      <c r="D24" s="858" t="s">
        <v>5543</v>
      </c>
      <c r="E24" s="858">
        <v>1</v>
      </c>
      <c r="F24" s="1475" t="e">
        <f t="shared" si="1"/>
        <v>#REF!</v>
      </c>
      <c r="G24" s="1475" t="e">
        <f>'Расчет КВЛ'!#REF!</f>
        <v>#REF!</v>
      </c>
      <c r="H24" s="1475" t="e">
        <f t="shared" si="2"/>
        <v>#REF!</v>
      </c>
      <c r="I24" s="1475" t="e">
        <f>'Расчет КВЛ'!#REF!</f>
        <v>#REF!</v>
      </c>
    </row>
    <row r="25" spans="1:9" s="1254" customFormat="1" ht="31.5" x14ac:dyDescent="0.25">
      <c r="A25" s="1242">
        <v>3</v>
      </c>
      <c r="B25" s="1247" t="str">
        <f t="shared" ca="1" si="3"/>
        <v>2.2.9</v>
      </c>
      <c r="C25" s="867" t="s">
        <v>5585</v>
      </c>
      <c r="D25" s="858" t="s">
        <v>4131</v>
      </c>
      <c r="E25" s="858">
        <f>150/1000</f>
        <v>0.15</v>
      </c>
      <c r="F25" s="1475" t="e">
        <f t="shared" si="1"/>
        <v>#REF!</v>
      </c>
      <c r="G25" s="1475" t="e">
        <f>'Расчет КВЛ'!#REF!</f>
        <v>#REF!</v>
      </c>
      <c r="H25" s="1475" t="e">
        <f t="shared" si="2"/>
        <v>#REF!</v>
      </c>
      <c r="I25" s="1475" t="e">
        <f>'Расчет КВЛ'!#REF!</f>
        <v>#REF!</v>
      </c>
    </row>
    <row r="26" spans="1:9" s="1254" customFormat="1" ht="47.25" x14ac:dyDescent="0.25">
      <c r="A26" s="1242">
        <v>3</v>
      </c>
      <c r="B26" s="1247" t="str">
        <f ca="1">IF(A26&gt;OFFSET(A26,-1,0),OFFSET(B26,-1,0)&amp;"."&amp;1,LEFT(OFFSET(B26,-1,0),SEARCH("^^",SUBSTITUTE("."&amp;OFFSET(B26,-1,0),".","^^",A26))-1)&amp;1--MID(OFFSET(B26,-1,0),SEARCH("^^",SUBSTITUTE("."&amp;OFFSET(B26,-1,0),".","^^",A26)),SEARCH("^^",SUBSTITUTE(OFFSET(B26,-1,0)&amp;".",".","^^",A26))-SEARCH("^^",SUBSTITUTE("."&amp;OFFSET(B26,-1,0),".","^^",A26))))</f>
        <v>2.2.10</v>
      </c>
      <c r="C26" s="867" t="s">
        <v>5586</v>
      </c>
      <c r="D26" s="858" t="s">
        <v>4131</v>
      </c>
      <c r="E26" s="858">
        <f>150/1000</f>
        <v>0.15</v>
      </c>
      <c r="F26" s="1475" t="e">
        <f t="shared" si="1"/>
        <v>#REF!</v>
      </c>
      <c r="G26" s="1475" t="e">
        <f>'Расчет КВЛ'!#REF!</f>
        <v>#REF!</v>
      </c>
      <c r="H26" s="1475" t="e">
        <f t="shared" si="2"/>
        <v>#REF!</v>
      </c>
      <c r="I26" s="1475" t="e">
        <f>'Расчет КВЛ'!#REF!</f>
        <v>#REF!</v>
      </c>
    </row>
    <row r="27" spans="1:9" s="1242" customFormat="1" ht="47.25" x14ac:dyDescent="0.25">
      <c r="A27" s="1242">
        <v>3</v>
      </c>
      <c r="B27" s="1247" t="str">
        <f t="shared" ca="1" si="3"/>
        <v>2.2.11</v>
      </c>
      <c r="C27" s="867" t="s">
        <v>5587</v>
      </c>
      <c r="D27" s="858" t="s">
        <v>5591</v>
      </c>
      <c r="E27" s="1255">
        <f>350/100</f>
        <v>3.5</v>
      </c>
      <c r="F27" s="1475" t="e">
        <f t="shared" si="1"/>
        <v>#REF!</v>
      </c>
      <c r="G27" s="1475" t="e">
        <f>'Расчет КВЛ'!#REF!</f>
        <v>#REF!</v>
      </c>
      <c r="H27" s="1475" t="e">
        <f t="shared" si="2"/>
        <v>#REF!</v>
      </c>
      <c r="I27" s="1475" t="e">
        <f>'Расчет КВЛ'!#REF!</f>
        <v>#REF!</v>
      </c>
    </row>
    <row r="28" spans="1:9" s="1242" customFormat="1" ht="31.5" x14ac:dyDescent="0.25">
      <c r="A28" s="1242">
        <v>4</v>
      </c>
      <c r="B28" s="1247" t="str">
        <f t="shared" ca="1" si="3"/>
        <v>2.2.11.1</v>
      </c>
      <c r="C28" s="867" t="s">
        <v>5588</v>
      </c>
      <c r="D28" s="858" t="s">
        <v>5543</v>
      </c>
      <c r="E28" s="1255">
        <v>1</v>
      </c>
      <c r="F28" s="1475" t="e">
        <f t="shared" si="1"/>
        <v>#REF!</v>
      </c>
      <c r="G28" s="1475" t="e">
        <f>'Расчет КВЛ'!#REF!</f>
        <v>#REF!</v>
      </c>
      <c r="H28" s="1475" t="e">
        <f t="shared" si="2"/>
        <v>#REF!</v>
      </c>
      <c r="I28" s="1475" t="e">
        <f>'Расчет КВЛ'!#REF!</f>
        <v>#REF!</v>
      </c>
    </row>
    <row r="29" spans="1:9" s="1242" customFormat="1" ht="31.5" x14ac:dyDescent="0.25">
      <c r="A29" s="1242">
        <v>3</v>
      </c>
      <c r="B29" s="1247" t="str">
        <f t="shared" ca="1" si="3"/>
        <v>2.2.12</v>
      </c>
      <c r="C29" s="867" t="s">
        <v>5589</v>
      </c>
      <c r="D29" s="858" t="s">
        <v>5428</v>
      </c>
      <c r="E29" s="858">
        <f>5</f>
        <v>5</v>
      </c>
      <c r="F29" s="1475" t="e">
        <f t="shared" si="1"/>
        <v>#REF!</v>
      </c>
      <c r="G29" s="1475" t="e">
        <f>'Расчет КВЛ'!#REF!</f>
        <v>#REF!</v>
      </c>
      <c r="H29" s="1475" t="e">
        <f t="shared" si="2"/>
        <v>#REF!</v>
      </c>
      <c r="I29" s="1475" t="e">
        <f>'Расчет КВЛ'!#REF!</f>
        <v>#REF!</v>
      </c>
    </row>
    <row r="30" spans="1:9" s="1242" customFormat="1" x14ac:dyDescent="0.25">
      <c r="A30" s="1242">
        <v>3</v>
      </c>
      <c r="B30" s="1247" t="str">
        <f t="shared" ca="1" si="3"/>
        <v>2.2.13</v>
      </c>
      <c r="C30" s="867" t="s">
        <v>5940</v>
      </c>
      <c r="D30" s="858" t="s">
        <v>5543</v>
      </c>
      <c r="E30" s="1249">
        <v>1</v>
      </c>
      <c r="F30" s="1475" t="e">
        <f t="shared" si="1"/>
        <v>#REF!</v>
      </c>
      <c r="G30" s="1475" t="e">
        <f>'Расчет КВЛ'!#REF!</f>
        <v>#REF!</v>
      </c>
      <c r="H30" s="1475" t="e">
        <f t="shared" si="2"/>
        <v>#REF!</v>
      </c>
      <c r="I30" s="1475" t="e">
        <f>'Расчет КВЛ'!#REF!</f>
        <v>#REF!</v>
      </c>
    </row>
    <row r="31" spans="1:9" s="1242" customFormat="1" ht="31.5" x14ac:dyDescent="0.25">
      <c r="A31" s="1242">
        <v>3</v>
      </c>
      <c r="B31" s="1247" t="str">
        <f t="shared" ca="1" si="3"/>
        <v>2.2.14</v>
      </c>
      <c r="C31" s="867" t="s">
        <v>5934</v>
      </c>
      <c r="D31" s="858" t="s">
        <v>5543</v>
      </c>
      <c r="E31" s="858">
        <v>1</v>
      </c>
      <c r="F31" s="1475" t="e">
        <f t="shared" si="1"/>
        <v>#REF!</v>
      </c>
      <c r="G31" s="1475" t="e">
        <f>'Расчет КВЛ'!#REF!</f>
        <v>#REF!</v>
      </c>
      <c r="H31" s="1475" t="e">
        <f t="shared" si="2"/>
        <v>#REF!</v>
      </c>
      <c r="I31" s="1475" t="e">
        <f>'Расчет КВЛ'!#REF!</f>
        <v>#REF!</v>
      </c>
    </row>
    <row r="32" spans="1:9" s="1242" customFormat="1" x14ac:dyDescent="0.25">
      <c r="A32" s="1242">
        <v>3</v>
      </c>
      <c r="B32" s="1247" t="str">
        <f ca="1">IF(A32&gt;OFFSET(A32,-1,0),OFFSET(B32,-1,0)&amp;"."&amp;1,LEFT(OFFSET(B32,-1,0),SEARCH("^^",SUBSTITUTE("."&amp;OFFSET(B32,-1,0),".","^^",A32))-1)&amp;1--MID(OFFSET(B32,-1,0),SEARCH("^^",SUBSTITUTE("."&amp;OFFSET(B32,-1,0),".","^^",A32)),SEARCH("^^",SUBSTITUTE(OFFSET(B32,-1,0)&amp;".",".","^^",A32))-SEARCH("^^",SUBSTITUTE("."&amp;OFFSET(B32,-1,0),".","^^",A32))))</f>
        <v>2.2.15</v>
      </c>
      <c r="C32" s="1044" t="s">
        <v>5545</v>
      </c>
      <c r="D32" s="858"/>
      <c r="E32" s="858"/>
      <c r="F32" s="1475"/>
      <c r="G32" s="1475"/>
      <c r="H32" s="1475"/>
      <c r="I32" s="1475"/>
    </row>
    <row r="33" spans="1:9" s="1242" customFormat="1" x14ac:dyDescent="0.25">
      <c r="A33" s="1242">
        <v>4</v>
      </c>
      <c r="B33" s="1247" t="str">
        <f ca="1">IF(A33&gt;OFFSET(A33,-1,0),OFFSET(B33,-1,0)&amp;"."&amp;1,LEFT(OFFSET(B33,-1,0),SEARCH("^^",SUBSTITUTE("."&amp;OFFSET(B33,-1,0),".","^^",A33))-1)&amp;1--MID(OFFSET(B33,-1,0),SEARCH("^^",SUBSTITUTE("."&amp;OFFSET(B33,-1,0),".","^^",A33)),SEARCH("^^",SUBSTITUTE(OFFSET(B33,-1,0)&amp;".",".","^^",A33))-SEARCH("^^",SUBSTITUTE("."&amp;OFFSET(B33,-1,0),".","^^",A33))))</f>
        <v>2.2.15.1</v>
      </c>
      <c r="C33" s="1260" t="s">
        <v>5546</v>
      </c>
      <c r="D33" s="1261" t="s">
        <v>2588</v>
      </c>
      <c r="E33" s="1261">
        <f>400/100</f>
        <v>4</v>
      </c>
      <c r="F33" s="1477" t="e">
        <f t="shared" si="1"/>
        <v>#REF!</v>
      </c>
      <c r="G33" s="1477" t="e">
        <f>G34+G35</f>
        <v>#REF!</v>
      </c>
      <c r="H33" s="1477" t="e">
        <f t="shared" si="2"/>
        <v>#REF!</v>
      </c>
      <c r="I33" s="1477" t="e">
        <f>'Расчет КВЛ'!#REF!</f>
        <v>#REF!</v>
      </c>
    </row>
    <row r="34" spans="1:9" s="1242" customFormat="1" ht="47.25" hidden="1" outlineLevel="1" x14ac:dyDescent="0.25">
      <c r="A34" s="1242">
        <v>5</v>
      </c>
      <c r="B34" s="1247" t="str">
        <f t="shared" ref="B34:B41" ca="1" si="5">IF(A34&gt;OFFSET(A34,-1,0),OFFSET(B34,-1,0)&amp;"."&amp;1,LEFT(OFFSET(B34,-1,0),SEARCH("^^",SUBSTITUTE("."&amp;OFFSET(B34,-1,0),".","^^",A34))-1)&amp;1--MID(OFFSET(B34,-1,0),SEARCH("^^",SUBSTITUTE("."&amp;OFFSET(B34,-1,0),".","^^",A34)),SEARCH("^^",SUBSTITUTE(OFFSET(B34,-1,0)&amp;".",".","^^",A34))-SEARCH("^^",SUBSTITUTE("."&amp;OFFSET(B34,-1,0),".","^^",A34))))</f>
        <v>2.2.15.1.1</v>
      </c>
      <c r="C34" s="1260" t="s">
        <v>5941</v>
      </c>
      <c r="D34" s="1261" t="s">
        <v>2588</v>
      </c>
      <c r="E34" s="1261">
        <f>E33</f>
        <v>4</v>
      </c>
      <c r="F34" s="1477" t="e">
        <f t="shared" si="1"/>
        <v>#REF!</v>
      </c>
      <c r="G34" s="1477" t="e">
        <f>'Расчет КВЛ'!#REF!</f>
        <v>#REF!</v>
      </c>
      <c r="H34" s="1477" t="e">
        <f t="shared" si="2"/>
        <v>#REF!</v>
      </c>
      <c r="I34" s="1477" t="e">
        <f>'Расчет КВЛ'!#REF!</f>
        <v>#REF!</v>
      </c>
    </row>
    <row r="35" spans="1:9" s="1242" customFormat="1" ht="31.5" hidden="1" outlineLevel="1" x14ac:dyDescent="0.25">
      <c r="A35" s="1242">
        <v>5</v>
      </c>
      <c r="B35" s="1247" t="str">
        <f t="shared" ca="1" si="5"/>
        <v>2.2.15.1.2</v>
      </c>
      <c r="C35" s="1260" t="s">
        <v>5942</v>
      </c>
      <c r="D35" s="1261" t="s">
        <v>2588</v>
      </c>
      <c r="E35" s="1261">
        <v>4</v>
      </c>
      <c r="F35" s="1477" t="e">
        <f t="shared" si="1"/>
        <v>#REF!</v>
      </c>
      <c r="G35" s="1477" t="e">
        <f>'Расчет КВЛ'!#REF!</f>
        <v>#REF!</v>
      </c>
      <c r="H35" s="1477" t="e">
        <f t="shared" si="2"/>
        <v>#REF!</v>
      </c>
      <c r="I35" s="1477" t="e">
        <f>'Расчет КВЛ'!#REF!</f>
        <v>#REF!</v>
      </c>
    </row>
    <row r="36" spans="1:9" s="1242" customFormat="1" collapsed="1" x14ac:dyDescent="0.25">
      <c r="A36" s="1242">
        <v>4</v>
      </c>
      <c r="B36" s="1247" t="str">
        <f ca="1">IF(A36&gt;OFFSET(A36,-1,0),OFFSET(B36,-1,0)&amp;"."&amp;1,LEFT(OFFSET(B36,-1,0),SEARCH("^^",SUBSTITUTE("."&amp;OFFSET(B36,-1,0),".","^^",A36))-1)&amp;1--MID(OFFSET(B36,-1,0),SEARCH("^^",SUBSTITUTE("."&amp;OFFSET(B36,-1,0),".","^^",A36)),SEARCH("^^",SUBSTITUTE(OFFSET(B36,-1,0)&amp;".",".","^^",A36))-SEARCH("^^",SUBSTITUTE("."&amp;OFFSET(B36,-1,0),".","^^",A36))))</f>
        <v>2.2.15.2</v>
      </c>
      <c r="C36" s="1260" t="s">
        <v>5547</v>
      </c>
      <c r="D36" s="1261" t="s">
        <v>2588</v>
      </c>
      <c r="E36" s="1261">
        <f>180/100</f>
        <v>1.8</v>
      </c>
      <c r="F36" s="1477" t="e">
        <f t="shared" si="1"/>
        <v>#REF!</v>
      </c>
      <c r="G36" s="1477" t="e">
        <f>G37+G38</f>
        <v>#REF!</v>
      </c>
      <c r="H36" s="1477" t="e">
        <f t="shared" si="2"/>
        <v>#REF!</v>
      </c>
      <c r="I36" s="1477" t="e">
        <f>'Расчет КВЛ'!#REF!</f>
        <v>#REF!</v>
      </c>
    </row>
    <row r="37" spans="1:9" s="1242" customFormat="1" ht="47.25" hidden="1" outlineLevel="1" x14ac:dyDescent="0.25">
      <c r="A37" s="1242">
        <v>5</v>
      </c>
      <c r="B37" s="1247" t="str">
        <f t="shared" ca="1" si="5"/>
        <v>2.2.15.2.1</v>
      </c>
      <c r="C37" s="1260" t="s">
        <v>5943</v>
      </c>
      <c r="D37" s="1261" t="s">
        <v>2588</v>
      </c>
      <c r="E37" s="1261">
        <f>E36</f>
        <v>1.8</v>
      </c>
      <c r="F37" s="1477" t="e">
        <f t="shared" si="1"/>
        <v>#REF!</v>
      </c>
      <c r="G37" s="1477" t="e">
        <f>'Расчет КВЛ'!#REF!</f>
        <v>#REF!</v>
      </c>
      <c r="H37" s="1477" t="e">
        <f t="shared" si="2"/>
        <v>#REF!</v>
      </c>
      <c r="I37" s="1477" t="e">
        <f>'Расчет КВЛ'!#REF!</f>
        <v>#REF!</v>
      </c>
    </row>
    <row r="38" spans="1:9" s="1242" customFormat="1" ht="31.5" hidden="1" outlineLevel="1" x14ac:dyDescent="0.25">
      <c r="A38" s="1242">
        <v>5</v>
      </c>
      <c r="B38" s="1247" t="str">
        <f t="shared" ca="1" si="5"/>
        <v>2.2.15.2.2</v>
      </c>
      <c r="C38" s="1260" t="s">
        <v>5944</v>
      </c>
      <c r="D38" s="1261" t="s">
        <v>2588</v>
      </c>
      <c r="E38" s="1261">
        <f>E36</f>
        <v>1.8</v>
      </c>
      <c r="F38" s="1477" t="e">
        <f t="shared" si="1"/>
        <v>#REF!</v>
      </c>
      <c r="G38" s="1477" t="e">
        <f>'Расчет КВЛ'!#REF!</f>
        <v>#REF!</v>
      </c>
      <c r="H38" s="1477" t="e">
        <f t="shared" si="2"/>
        <v>#REF!</v>
      </c>
      <c r="I38" s="1477" t="e">
        <f>'Расчет КВЛ'!#REF!</f>
        <v>#REF!</v>
      </c>
    </row>
    <row r="39" spans="1:9" s="1242" customFormat="1" ht="31.5" collapsed="1" x14ac:dyDescent="0.25">
      <c r="A39" s="1242">
        <v>4</v>
      </c>
      <c r="B39" s="1247" t="str">
        <f t="shared" ca="1" si="5"/>
        <v>2.2.15.3</v>
      </c>
      <c r="C39" s="867" t="s">
        <v>5945</v>
      </c>
      <c r="D39" s="858" t="s">
        <v>316</v>
      </c>
      <c r="E39" s="1262">
        <f>21-E33-E36</f>
        <v>15</v>
      </c>
      <c r="F39" s="1478" t="e">
        <f t="shared" si="1"/>
        <v>#REF!</v>
      </c>
      <c r="G39" s="1478" t="e">
        <f>'Расчет КВЛ'!#REF!</f>
        <v>#REF!</v>
      </c>
      <c r="H39" s="1478" t="e">
        <f t="shared" si="2"/>
        <v>#REF!</v>
      </c>
      <c r="I39" s="1478" t="e">
        <f>'Расчет КВЛ'!#REF!</f>
        <v>#REF!</v>
      </c>
    </row>
    <row r="40" spans="1:9" s="1242" customFormat="1" x14ac:dyDescent="0.25">
      <c r="A40" s="1242">
        <v>3</v>
      </c>
      <c r="B40" s="1247" t="str">
        <f t="shared" ca="1" si="5"/>
        <v>2.2.16</v>
      </c>
      <c r="C40" s="867" t="s">
        <v>5946</v>
      </c>
      <c r="D40" s="858" t="s">
        <v>2588</v>
      </c>
      <c r="E40" s="1256">
        <f>500/100</f>
        <v>5</v>
      </c>
      <c r="F40" s="1478" t="e">
        <f t="shared" si="1"/>
        <v>#REF!</v>
      </c>
      <c r="G40" s="1478" t="e">
        <f>'Расчет КВЛ'!#REF!</f>
        <v>#REF!</v>
      </c>
      <c r="H40" s="1478" t="e">
        <f t="shared" si="2"/>
        <v>#REF!</v>
      </c>
      <c r="I40" s="1478" t="e">
        <f>'Расчет КВЛ'!#REF!</f>
        <v>#REF!</v>
      </c>
    </row>
    <row r="41" spans="1:9" s="1242" customFormat="1" x14ac:dyDescent="0.25">
      <c r="A41" s="1242">
        <v>3</v>
      </c>
      <c r="B41" s="1247" t="str">
        <f t="shared" ca="1" si="5"/>
        <v>2.2.17</v>
      </c>
      <c r="C41" s="867" t="s">
        <v>5947</v>
      </c>
      <c r="D41" s="858" t="s">
        <v>2588</v>
      </c>
      <c r="E41" s="1256">
        <f>500/100</f>
        <v>5</v>
      </c>
      <c r="F41" s="1478" t="e">
        <f t="shared" si="1"/>
        <v>#REF!</v>
      </c>
      <c r="G41" s="1478" t="e">
        <f>'Расчет КВЛ'!#REF!</f>
        <v>#REF!</v>
      </c>
      <c r="H41" s="1478" t="e">
        <f t="shared" si="2"/>
        <v>#REF!</v>
      </c>
      <c r="I41" s="1478" t="e">
        <f>'Расчет КВЛ'!#REF!</f>
        <v>#REF!</v>
      </c>
    </row>
    <row r="42" spans="1:9" s="1242" customFormat="1" ht="31.5" x14ac:dyDescent="0.25">
      <c r="A42" s="1242">
        <v>3</v>
      </c>
      <c r="B42" s="1247" t="str">
        <f t="shared" ca="1" si="3"/>
        <v>2.2.18</v>
      </c>
      <c r="C42" s="867" t="s">
        <v>5948</v>
      </c>
      <c r="D42" s="858" t="s">
        <v>4131</v>
      </c>
      <c r="E42" s="1059">
        <f>400/1000</f>
        <v>0.4</v>
      </c>
      <c r="F42" s="1475" t="e">
        <f t="shared" si="1"/>
        <v>#REF!</v>
      </c>
      <c r="G42" s="1475" t="e">
        <f>'Расчет КВЛ'!#REF!</f>
        <v>#REF!</v>
      </c>
      <c r="H42" s="1475" t="e">
        <f t="shared" si="2"/>
        <v>#REF!</v>
      </c>
      <c r="I42" s="1475" t="e">
        <f>'Расчет КВЛ'!#REF!</f>
        <v>#REF!</v>
      </c>
    </row>
    <row r="43" spans="1:9" s="1242" customFormat="1" x14ac:dyDescent="0.25">
      <c r="A43" s="1242">
        <v>3</v>
      </c>
      <c r="B43" s="1247" t="str">
        <f t="shared" ca="1" si="3"/>
        <v>2.2.19</v>
      </c>
      <c r="C43" s="867" t="s">
        <v>5548</v>
      </c>
      <c r="D43" s="858" t="s">
        <v>2588</v>
      </c>
      <c r="E43" s="1257">
        <f>800/100</f>
        <v>8</v>
      </c>
      <c r="F43" s="1475" t="e">
        <f t="shared" si="1"/>
        <v>#REF!</v>
      </c>
      <c r="G43" s="1475" t="e">
        <f>'Расчет КВЛ'!#REF!</f>
        <v>#REF!</v>
      </c>
      <c r="H43" s="1475" t="e">
        <f t="shared" si="2"/>
        <v>#REF!</v>
      </c>
      <c r="I43" s="1475" t="e">
        <f>'Расчет КВЛ'!#REF!</f>
        <v>#REF!</v>
      </c>
    </row>
    <row r="44" spans="1:9" s="1242" customFormat="1" x14ac:dyDescent="0.25">
      <c r="A44" s="1242">
        <v>4</v>
      </c>
      <c r="B44" s="1247" t="str">
        <f t="shared" ca="1" si="3"/>
        <v>2.2.19.1</v>
      </c>
      <c r="C44" s="867" t="s">
        <v>5549</v>
      </c>
      <c r="D44" s="858" t="s">
        <v>5543</v>
      </c>
      <c r="E44" s="1248">
        <v>1</v>
      </c>
      <c r="F44" s="1475" t="e">
        <f t="shared" si="1"/>
        <v>#REF!</v>
      </c>
      <c r="G44" s="1475" t="e">
        <f>'Расчет КВЛ'!#REF!</f>
        <v>#REF!</v>
      </c>
      <c r="H44" s="1475" t="e">
        <f t="shared" si="2"/>
        <v>#REF!</v>
      </c>
      <c r="I44" s="1475" t="e">
        <f>'Расчет КВЛ'!#REF!</f>
        <v>#REF!</v>
      </c>
    </row>
    <row r="45" spans="1:9" s="1242" customFormat="1" x14ac:dyDescent="0.25">
      <c r="A45" s="1242">
        <v>2</v>
      </c>
      <c r="B45" s="1247" t="str">
        <f t="shared" ca="1" si="3"/>
        <v>2.3</v>
      </c>
      <c r="C45" s="867" t="s">
        <v>5949</v>
      </c>
      <c r="D45" s="858" t="s">
        <v>432</v>
      </c>
      <c r="E45" s="1248">
        <v>1</v>
      </c>
      <c r="F45" s="1483"/>
      <c r="G45" s="1483"/>
      <c r="H45" s="1483"/>
      <c r="I45" s="1483"/>
    </row>
    <row r="46" spans="1:9" s="1242" customFormat="1" ht="31.5" x14ac:dyDescent="0.25">
      <c r="A46" s="1242">
        <v>3</v>
      </c>
      <c r="B46" s="1247" t="str">
        <f t="shared" ca="1" si="3"/>
        <v>2.3.1</v>
      </c>
      <c r="C46" s="867" t="s">
        <v>5950</v>
      </c>
      <c r="D46" s="858" t="s">
        <v>4131</v>
      </c>
      <c r="E46" s="1257">
        <f>150/1000</f>
        <v>0.15</v>
      </c>
      <c r="F46" s="1483" t="e">
        <f>G46/E46</f>
        <v>#REF!</v>
      </c>
      <c r="G46" s="1483" t="e">
        <f>'Расчет КВЛ'!#REF!</f>
        <v>#REF!</v>
      </c>
      <c r="H46" s="1483" t="e">
        <f>I46/E46</f>
        <v>#REF!</v>
      </c>
      <c r="I46" s="1483" t="e">
        <f>'Расчет КВЛ'!#REF!</f>
        <v>#REF!</v>
      </c>
    </row>
    <row r="47" spans="1:9" s="1242" customFormat="1" ht="31.5" x14ac:dyDescent="0.25">
      <c r="A47" s="1242">
        <v>3</v>
      </c>
      <c r="B47" s="1247" t="str">
        <f t="shared" ca="1" si="3"/>
        <v>2.3.2</v>
      </c>
      <c r="C47" s="867" t="s">
        <v>5957</v>
      </c>
      <c r="D47" s="858" t="s">
        <v>5954</v>
      </c>
      <c r="E47" s="1257">
        <f>250*1/100</f>
        <v>2.5</v>
      </c>
      <c r="F47" s="1483" t="e">
        <f t="shared" ref="F47:F49" si="6">G47/E47</f>
        <v>#REF!</v>
      </c>
      <c r="G47" s="1483" t="e">
        <f>'Расчет КВЛ'!#REF!</f>
        <v>#REF!</v>
      </c>
      <c r="H47" s="1483" t="e">
        <f t="shared" ref="H47:H49" si="7">I47/E47</f>
        <v>#REF!</v>
      </c>
      <c r="I47" s="1483" t="e">
        <f>'Расчет КВЛ'!#REF!</f>
        <v>#REF!</v>
      </c>
    </row>
    <row r="48" spans="1:9" s="1242" customFormat="1" ht="31.5" x14ac:dyDescent="0.25">
      <c r="A48" s="1242">
        <v>3</v>
      </c>
      <c r="B48" s="1247" t="str">
        <f t="shared" ca="1" si="3"/>
        <v>2.3.3</v>
      </c>
      <c r="C48" s="867" t="s">
        <v>5958</v>
      </c>
      <c r="D48" s="858" t="s">
        <v>5954</v>
      </c>
      <c r="E48" s="1257">
        <f>40*25/100</f>
        <v>10</v>
      </c>
      <c r="F48" s="1483" t="e">
        <f t="shared" si="6"/>
        <v>#REF!</v>
      </c>
      <c r="G48" s="1483" t="e">
        <f>'Расчет КВЛ'!#REF!</f>
        <v>#REF!</v>
      </c>
      <c r="H48" s="1483" t="e">
        <f t="shared" si="7"/>
        <v>#REF!</v>
      </c>
      <c r="I48" s="1483" t="e">
        <f>'Расчет КВЛ'!#REF!</f>
        <v>#REF!</v>
      </c>
    </row>
    <row r="49" spans="1:9" s="1242" customFormat="1" ht="31.5" x14ac:dyDescent="0.25">
      <c r="A49" s="1242">
        <v>2</v>
      </c>
      <c r="B49" s="1247" t="str">
        <f t="shared" ca="1" si="3"/>
        <v>2.4</v>
      </c>
      <c r="C49" s="867" t="s">
        <v>5955</v>
      </c>
      <c r="D49" s="858" t="s">
        <v>5593</v>
      </c>
      <c r="E49" s="1257">
        <f>10000/100</f>
        <v>100</v>
      </c>
      <c r="F49" s="1483" t="e">
        <f t="shared" si="6"/>
        <v>#REF!</v>
      </c>
      <c r="G49" s="1483" t="e">
        <f>'Расчет КВЛ'!#REF!</f>
        <v>#REF!</v>
      </c>
      <c r="H49" s="1483" t="e">
        <f t="shared" si="7"/>
        <v>#REF!</v>
      </c>
      <c r="I49" s="1483" t="e">
        <f>'Расчет КВЛ'!#REF!</f>
        <v>#REF!</v>
      </c>
    </row>
    <row r="50" spans="1:9" s="1242" customFormat="1" x14ac:dyDescent="0.25">
      <c r="A50" s="1242">
        <v>2</v>
      </c>
      <c r="B50" s="1381" t="str">
        <f t="shared" ca="1" si="3"/>
        <v>2.5</v>
      </c>
      <c r="C50" s="1382" t="s">
        <v>5365</v>
      </c>
      <c r="D50" s="1383" t="s">
        <v>432</v>
      </c>
      <c r="E50" s="1395">
        <v>1</v>
      </c>
      <c r="F50" s="1476" t="e">
        <f t="shared" si="1"/>
        <v>#REF!</v>
      </c>
      <c r="G50" s="1476" t="e">
        <f>(G13+G15+G16+G19+G20+G22+G25+G26+G27+G29+G33+G36+G39+G40+G41+G42+G43+G44+G46+G47+G48+G49)*2%</f>
        <v>#REF!</v>
      </c>
      <c r="H50" s="1476" t="e">
        <f t="shared" si="2"/>
        <v>#REF!</v>
      </c>
      <c r="I50" s="1476" t="e">
        <f>(I13+I15+I16+I19+I20+I22+I25+I26+I27+I29+I33+I36+I39+I40+I41+I42+I43+I44+I46+I47+I48+I49)*2%</f>
        <v>#REF!</v>
      </c>
    </row>
    <row r="51" spans="1:9" s="319" customFormat="1" x14ac:dyDescent="0.25">
      <c r="B51" s="1419"/>
      <c r="C51" s="1420" t="s">
        <v>5880</v>
      </c>
      <c r="D51" s="1419"/>
      <c r="E51" s="1419"/>
      <c r="F51" s="1479"/>
      <c r="G51" s="1479" t="e">
        <f>G7+G12</f>
        <v>#REF!</v>
      </c>
      <c r="H51" s="1479"/>
      <c r="I51" s="1479" t="e">
        <f>I7+I12</f>
        <v>#REF!</v>
      </c>
    </row>
    <row r="52" spans="1:9" s="319" customFormat="1" x14ac:dyDescent="0.25">
      <c r="B52" s="1421"/>
      <c r="C52" s="1422" t="s">
        <v>532</v>
      </c>
      <c r="D52" s="1421"/>
      <c r="E52" s="1421"/>
      <c r="F52" s="1480"/>
      <c r="G52" s="1480" t="e">
        <f>G51*20%</f>
        <v>#REF!</v>
      </c>
      <c r="H52" s="1480"/>
      <c r="I52" s="1480" t="e">
        <f>I51*20%</f>
        <v>#REF!</v>
      </c>
    </row>
    <row r="53" spans="1:9" s="319" customFormat="1" x14ac:dyDescent="0.25">
      <c r="B53" s="1423"/>
      <c r="C53" s="1420" t="s">
        <v>5881</v>
      </c>
      <c r="D53" s="1423"/>
      <c r="E53" s="1423"/>
      <c r="F53" s="1479"/>
      <c r="G53" s="1479" t="e">
        <f>G51+G52</f>
        <v>#REF!</v>
      </c>
      <c r="H53" s="1479"/>
      <c r="I53" s="1479" t="e">
        <f>I51+I52</f>
        <v>#REF!</v>
      </c>
    </row>
    <row r="56" spans="1:9" ht="54" customHeight="1" x14ac:dyDescent="0.25">
      <c r="B56" s="2760" t="s">
        <v>4135</v>
      </c>
      <c r="C56" s="2760"/>
      <c r="D56" s="1470"/>
      <c r="E56" s="1396" t="s">
        <v>5876</v>
      </c>
    </row>
  </sheetData>
  <autoFilter ref="A6:E50"/>
  <mergeCells count="10">
    <mergeCell ref="A4:A5"/>
    <mergeCell ref="B4:B5"/>
    <mergeCell ref="C4:C5"/>
    <mergeCell ref="D4:D5"/>
    <mergeCell ref="E4:E5"/>
    <mergeCell ref="F4:G4"/>
    <mergeCell ref="H4:I4"/>
    <mergeCell ref="B1:I1"/>
    <mergeCell ref="B2:I2"/>
    <mergeCell ref="B56:C56"/>
  </mergeCells>
  <pageMargins left="0.70866141732283472" right="0.70866141732283472" top="0.74803149606299213" bottom="0.74803149606299213" header="0.31496062992125984" footer="0.31496062992125984"/>
  <pageSetup paperSize="9" scale="37"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E54"/>
  <sheetViews>
    <sheetView view="pageBreakPreview" zoomScale="80" zoomScaleNormal="70" zoomScaleSheetLayoutView="80" workbookViewId="0">
      <pane xSplit="5" ySplit="7" topLeftCell="F8" activePane="bottomRight" state="frozen"/>
      <selection activeCell="O39" sqref="O39"/>
      <selection pane="topRight" activeCell="O39" sqref="O39"/>
      <selection pane="bottomLeft" activeCell="O39" sqref="O39"/>
      <selection pane="bottomRight" activeCell="P14" sqref="P14"/>
    </sheetView>
  </sheetViews>
  <sheetFormatPr defaultRowHeight="15.75" outlineLevelRow="1" outlineLevelCol="1" x14ac:dyDescent="0.25"/>
  <cols>
    <col min="1" max="1" width="9.140625" style="854" hidden="1" customWidth="1" outlineLevel="1"/>
    <col min="2" max="2" width="10.140625" style="854" customWidth="1" collapsed="1"/>
    <col min="3" max="3" width="59.140625" style="854" customWidth="1"/>
    <col min="4" max="4" width="13.7109375" style="854" customWidth="1"/>
    <col min="5" max="5" width="12.5703125" style="854" customWidth="1"/>
    <col min="6" max="16384" width="9.140625" style="854"/>
  </cols>
  <sheetData>
    <row r="1" spans="1:5" s="853" customFormat="1" ht="39" customHeight="1" x14ac:dyDescent="0.25">
      <c r="B1" s="2758" t="s">
        <v>5875</v>
      </c>
      <c r="C1" s="2758"/>
      <c r="D1" s="2758"/>
      <c r="E1" s="2758"/>
    </row>
    <row r="2" spans="1:5" s="853" customFormat="1" x14ac:dyDescent="0.25">
      <c r="B2" s="2759" t="str">
        <f>'Пояснительная (ПИР+СМР)'!A3</f>
        <v>Кампус ВТРК «Мамисон»</v>
      </c>
      <c r="C2" s="2759"/>
      <c r="D2" s="2759"/>
      <c r="E2" s="2759"/>
    </row>
    <row r="3" spans="1:5" x14ac:dyDescent="0.25">
      <c r="B3" s="1315"/>
      <c r="C3" s="1315"/>
      <c r="D3" s="1315"/>
      <c r="E3" s="1315"/>
    </row>
    <row r="4" spans="1:5" ht="31.5" customHeight="1" x14ac:dyDescent="0.25">
      <c r="A4" s="2761" t="s">
        <v>4122</v>
      </c>
      <c r="B4" s="2762" t="s">
        <v>4123</v>
      </c>
      <c r="C4" s="2764" t="s">
        <v>4124</v>
      </c>
      <c r="D4" s="2764" t="s">
        <v>187</v>
      </c>
      <c r="E4" s="2762" t="s">
        <v>790</v>
      </c>
    </row>
    <row r="5" spans="1:5" ht="63.75" customHeight="1" x14ac:dyDescent="0.25">
      <c r="A5" s="2761"/>
      <c r="B5" s="2766"/>
      <c r="C5" s="2768"/>
      <c r="D5" s="2768"/>
      <c r="E5" s="2766"/>
    </row>
    <row r="6" spans="1:5" ht="63.75" customHeight="1" x14ac:dyDescent="0.25">
      <c r="A6" s="2761"/>
      <c r="B6" s="2767"/>
      <c r="C6" s="2769"/>
      <c r="D6" s="2769"/>
      <c r="E6" s="2767"/>
    </row>
    <row r="7" spans="1:5" x14ac:dyDescent="0.25">
      <c r="A7" s="855"/>
      <c r="B7" s="1316">
        <v>1</v>
      </c>
      <c r="C7" s="1317">
        <v>2</v>
      </c>
      <c r="D7" s="1316">
        <v>3</v>
      </c>
      <c r="E7" s="1317">
        <v>4</v>
      </c>
    </row>
    <row r="8" spans="1:5" s="1242" customFormat="1" x14ac:dyDescent="0.25">
      <c r="A8" s="1242">
        <v>1</v>
      </c>
      <c r="B8" s="1330">
        <v>1</v>
      </c>
      <c r="C8" s="1331" t="s">
        <v>5849</v>
      </c>
      <c r="D8" s="1332" t="s">
        <v>432</v>
      </c>
      <c r="E8" s="1333">
        <v>1</v>
      </c>
    </row>
    <row r="9" spans="1:5" s="1242" customFormat="1" x14ac:dyDescent="0.25">
      <c r="A9" s="1242">
        <v>2</v>
      </c>
      <c r="B9" s="1243" t="str">
        <f t="shared" ref="B9:B13" ca="1" si="0">IF(A9&gt;OFFSET(A9,-1,0),OFFSET(B9,-1,0)&amp;"."&amp;1,LEFT(OFFSET(B9,-1,0),SEARCH("^^",SUBSTITUTE("."&amp;OFFSET(B9,-1,0),".","^^",A9))-1)&amp;1--MID(OFFSET(B9,-1,0),SEARCH("^^",SUBSTITUTE("."&amp;OFFSET(B9,-1,0),".","^^",A9)),SEARCH("^^",SUBSTITUTE(OFFSET(B9,-1,0)&amp;".",".","^^",A9))-SEARCH("^^",SUBSTITUTE("."&amp;OFFSET(B9,-1,0),".","^^",A9))))</f>
        <v>1.1</v>
      </c>
      <c r="C9" s="1373" t="s">
        <v>520</v>
      </c>
      <c r="D9" s="1374" t="s">
        <v>432</v>
      </c>
      <c r="E9" s="1375">
        <v>1</v>
      </c>
    </row>
    <row r="10" spans="1:5" s="1242" customFormat="1" x14ac:dyDescent="0.25">
      <c r="A10" s="1242">
        <v>2</v>
      </c>
      <c r="B10" s="1247" t="str">
        <f t="shared" ca="1" si="0"/>
        <v>1.2</v>
      </c>
      <c r="C10" s="867" t="s">
        <v>2</v>
      </c>
      <c r="D10" s="858" t="s">
        <v>432</v>
      </c>
      <c r="E10" s="1255">
        <v>1</v>
      </c>
    </row>
    <row r="11" spans="1:5" s="1242" customFormat="1" ht="31.5" x14ac:dyDescent="0.25">
      <c r="A11" s="1242">
        <v>2</v>
      </c>
      <c r="B11" s="1247" t="str">
        <f t="shared" ca="1" si="0"/>
        <v>1.3</v>
      </c>
      <c r="C11" s="867" t="s">
        <v>5850</v>
      </c>
      <c r="D11" s="858" t="s">
        <v>432</v>
      </c>
      <c r="E11" s="1255">
        <v>1</v>
      </c>
    </row>
    <row r="12" spans="1:5" s="1242" customFormat="1" ht="31.5" x14ac:dyDescent="0.25">
      <c r="A12" s="1242">
        <v>2</v>
      </c>
      <c r="B12" s="1381" t="str">
        <f t="shared" ca="1" si="0"/>
        <v>1.4</v>
      </c>
      <c r="C12" s="1382" t="s">
        <v>5851</v>
      </c>
      <c r="D12" s="1383" t="s">
        <v>432</v>
      </c>
      <c r="E12" s="1384">
        <v>1</v>
      </c>
    </row>
    <row r="13" spans="1:5" s="1242" customFormat="1" ht="47.25" x14ac:dyDescent="0.25">
      <c r="A13" s="1242">
        <v>1</v>
      </c>
      <c r="B13" s="1330" t="str">
        <f t="shared" ca="1" si="0"/>
        <v>2</v>
      </c>
      <c r="C13" s="1331" t="s">
        <v>5852</v>
      </c>
      <c r="D13" s="1332" t="s">
        <v>432</v>
      </c>
      <c r="E13" s="1333">
        <v>1</v>
      </c>
    </row>
    <row r="14" spans="1:5" s="1254" customFormat="1" ht="113.25" customHeight="1" x14ac:dyDescent="0.25">
      <c r="A14" s="1254">
        <v>2</v>
      </c>
      <c r="B14" s="1243" t="str">
        <f ca="1">IF(A14&gt;OFFSET(A14,-1,0),OFFSET(B14,-1,0)&amp;"."&amp;1,LEFT(OFFSET(B14,-1,0),SEARCH("^^",SUBSTITUTE("."&amp;OFFSET(B14,-1,0),".","^^",A14))-1)&amp;1--MID(OFFSET(B14,-1,0),SEARCH("^^",SUBSTITUTE("."&amp;OFFSET(B14,-1,0),".","^^",A14)),SEARCH("^^",SUBSTITUTE(OFFSET(B14,-1,0)&amp;".",".","^^",A14))-SEARCH("^^",SUBSTITUTE("."&amp;OFFSET(B14,-1,0),".","^^",A14))))</f>
        <v>2.1</v>
      </c>
      <c r="C14" s="1389" t="s">
        <v>5956</v>
      </c>
      <c r="D14" s="1374" t="s">
        <v>130</v>
      </c>
      <c r="E14" s="1390">
        <f>80*11</f>
        <v>880</v>
      </c>
    </row>
    <row r="15" spans="1:5" s="1242" customFormat="1" x14ac:dyDescent="0.25">
      <c r="A15" s="1242">
        <v>2</v>
      </c>
      <c r="B15" s="1247" t="str">
        <f t="shared" ref="B15:B51" ca="1" si="1">IF(A15&gt;OFFSET(A15,-1,0),OFFSET(B15,-1,0)&amp;"."&amp;1,LEFT(OFFSET(B15,-1,0),SEARCH("^^",SUBSTITUTE("."&amp;OFFSET(B15,-1,0),".","^^",A15))-1)&amp;1--MID(OFFSET(B15,-1,0),SEARCH("^^",SUBSTITUTE("."&amp;OFFSET(B15,-1,0),".","^^",A15)),SEARCH("^^",SUBSTITUTE(OFFSET(B15,-1,0)&amp;".",".","^^",A15))-SEARCH("^^",SUBSTITUTE("."&amp;OFFSET(B15,-1,0),".","^^",A15))))</f>
        <v>2.2</v>
      </c>
      <c r="C15" s="867" t="s">
        <v>5541</v>
      </c>
      <c r="D15" s="858"/>
      <c r="E15" s="1249"/>
    </row>
    <row r="16" spans="1:5" s="1242" customFormat="1" ht="31.5" x14ac:dyDescent="0.25">
      <c r="A16" s="1242">
        <v>3</v>
      </c>
      <c r="B16" s="1247" t="str">
        <f t="shared" ca="1" si="1"/>
        <v>2.2.1</v>
      </c>
      <c r="C16" s="867" t="s">
        <v>5580</v>
      </c>
      <c r="D16" s="858" t="s">
        <v>4131</v>
      </c>
      <c r="E16" s="858">
        <f>400/1000</f>
        <v>0.4</v>
      </c>
    </row>
    <row r="17" spans="1:5" s="1242" customFormat="1" ht="31.5" x14ac:dyDescent="0.25">
      <c r="A17" s="1242">
        <v>3</v>
      </c>
      <c r="B17" s="1247" t="str">
        <f t="shared" ca="1" si="1"/>
        <v>2.2.2</v>
      </c>
      <c r="C17" s="1044" t="s">
        <v>5581</v>
      </c>
      <c r="D17" s="858" t="s">
        <v>4131</v>
      </c>
      <c r="E17" s="858">
        <f>350/1000</f>
        <v>0.35</v>
      </c>
    </row>
    <row r="18" spans="1:5" s="1242" customFormat="1" x14ac:dyDescent="0.25">
      <c r="A18" s="1242">
        <v>3</v>
      </c>
      <c r="B18" s="1247" t="str">
        <f t="shared" ca="1" si="1"/>
        <v>2.2.3</v>
      </c>
      <c r="C18" s="867" t="s">
        <v>5936</v>
      </c>
      <c r="D18" s="858" t="s">
        <v>5542</v>
      </c>
      <c r="E18" s="858">
        <v>1</v>
      </c>
    </row>
    <row r="19" spans="1:5" s="1242" customFormat="1" ht="31.5" x14ac:dyDescent="0.25">
      <c r="A19" s="1242">
        <v>4</v>
      </c>
      <c r="B19" s="1247" t="str">
        <f t="shared" ca="1" si="1"/>
        <v>2.2.3.1</v>
      </c>
      <c r="C19" s="867" t="s">
        <v>5582</v>
      </c>
      <c r="D19" s="858" t="s">
        <v>5542</v>
      </c>
      <c r="E19" s="1255">
        <v>1</v>
      </c>
    </row>
    <row r="20" spans="1:5" s="1242" customFormat="1" ht="47.25" x14ac:dyDescent="0.25">
      <c r="A20" s="1242">
        <v>3</v>
      </c>
      <c r="B20" s="1247" t="str">
        <f t="shared" ca="1" si="1"/>
        <v>2.2.4</v>
      </c>
      <c r="C20" s="867" t="s">
        <v>5937</v>
      </c>
      <c r="D20" s="858" t="s">
        <v>4131</v>
      </c>
      <c r="E20" s="1255">
        <f>450/1000</f>
        <v>0.45</v>
      </c>
    </row>
    <row r="21" spans="1:5" s="1242" customFormat="1" ht="47.25" x14ac:dyDescent="0.25">
      <c r="A21" s="1242">
        <v>3</v>
      </c>
      <c r="B21" s="1247" t="str">
        <f t="shared" ca="1" si="1"/>
        <v>2.2.5</v>
      </c>
      <c r="C21" s="867" t="s">
        <v>5938</v>
      </c>
      <c r="D21" s="858" t="s">
        <v>4131</v>
      </c>
      <c r="E21" s="1255">
        <f>650/1000</f>
        <v>0.65</v>
      </c>
    </row>
    <row r="22" spans="1:5" s="1242" customFormat="1" ht="31.5" x14ac:dyDescent="0.25">
      <c r="A22" s="1242">
        <v>4</v>
      </c>
      <c r="B22" s="1247" t="str">
        <f t="shared" ca="1" si="1"/>
        <v>2.2.5.1</v>
      </c>
      <c r="C22" s="1044" t="s">
        <v>5583</v>
      </c>
      <c r="D22" s="858" t="s">
        <v>5543</v>
      </c>
      <c r="E22" s="1249">
        <v>1</v>
      </c>
    </row>
    <row r="23" spans="1:5" s="1242" customFormat="1" ht="31.5" x14ac:dyDescent="0.25">
      <c r="A23" s="1242">
        <v>3</v>
      </c>
      <c r="B23" s="1247" t="str">
        <f ca="1">IF(A23&gt;OFFSET(A23,-1,0),OFFSET(B23,-1,0)&amp;"."&amp;1,LEFT(OFFSET(B23,-1,0),SEARCH("^^",SUBSTITUTE("."&amp;OFFSET(B23,-1,0),".","^^",A23))-1)&amp;1--MID(OFFSET(B23,-1,0),SEARCH("^^",SUBSTITUTE("."&amp;OFFSET(B23,-1,0),".","^^",A23)),SEARCH("^^",SUBSTITUTE(OFFSET(B23,-1,0)&amp;".",".","^^",A23))-SEARCH("^^",SUBSTITUTE("."&amp;OFFSET(B23,-1,0),".","^^",A23))))</f>
        <v>2.2.6</v>
      </c>
      <c r="C23" s="867" t="s">
        <v>5584</v>
      </c>
      <c r="D23" s="858" t="s">
        <v>5428</v>
      </c>
      <c r="E23" s="858">
        <f>5</f>
        <v>5</v>
      </c>
    </row>
    <row r="24" spans="1:5" s="1254" customFormat="1" x14ac:dyDescent="0.25">
      <c r="A24" s="1242">
        <v>3</v>
      </c>
      <c r="B24" s="1247" t="str">
        <f t="shared" ref="B24:B25" ca="1" si="2">IF(A24&gt;OFFSET(A24,-1,0),OFFSET(B24,-1,0)&amp;"."&amp;1,LEFT(OFFSET(B24,-1,0),SEARCH("^^",SUBSTITUTE("."&amp;OFFSET(B24,-1,0),".","^^",A24))-1)&amp;1--MID(OFFSET(B24,-1,0),SEARCH("^^",SUBSTITUTE("."&amp;OFFSET(B24,-1,0),".","^^",A24)),SEARCH("^^",SUBSTITUTE(OFFSET(B24,-1,0)&amp;".",".","^^",A24))-SEARCH("^^",SUBSTITUTE("."&amp;OFFSET(B24,-1,0),".","^^",A24))))</f>
        <v>2.2.7</v>
      </c>
      <c r="C24" s="867" t="s">
        <v>5544</v>
      </c>
      <c r="D24" s="858" t="s">
        <v>5543</v>
      </c>
      <c r="E24" s="858">
        <v>1</v>
      </c>
    </row>
    <row r="25" spans="1:5" s="1254" customFormat="1" ht="31.5" x14ac:dyDescent="0.25">
      <c r="A25" s="1242">
        <v>3</v>
      </c>
      <c r="B25" s="1247" t="str">
        <f t="shared" ca="1" si="2"/>
        <v>2.2.8</v>
      </c>
      <c r="C25" s="867" t="s">
        <v>5939</v>
      </c>
      <c r="D25" s="858" t="s">
        <v>5543</v>
      </c>
      <c r="E25" s="858">
        <v>1</v>
      </c>
    </row>
    <row r="26" spans="1:5" s="1254" customFormat="1" ht="31.5" x14ac:dyDescent="0.25">
      <c r="A26" s="1242">
        <v>3</v>
      </c>
      <c r="B26" s="1247" t="str">
        <f t="shared" ca="1" si="1"/>
        <v>2.2.9</v>
      </c>
      <c r="C26" s="867" t="s">
        <v>5585</v>
      </c>
      <c r="D26" s="858" t="s">
        <v>4131</v>
      </c>
      <c r="E26" s="858">
        <f>150/1000</f>
        <v>0.15</v>
      </c>
    </row>
    <row r="27" spans="1:5" s="1254" customFormat="1" ht="47.25" x14ac:dyDescent="0.25">
      <c r="A27" s="1242">
        <v>3</v>
      </c>
      <c r="B27" s="1247" t="str">
        <f ca="1">IF(A27&gt;OFFSET(A27,-1,0),OFFSET(B27,-1,0)&amp;"."&amp;1,LEFT(OFFSET(B27,-1,0),SEARCH("^^",SUBSTITUTE("."&amp;OFFSET(B27,-1,0),".","^^",A27))-1)&amp;1--MID(OFFSET(B27,-1,0),SEARCH("^^",SUBSTITUTE("."&amp;OFFSET(B27,-1,0),".","^^",A27)),SEARCH("^^",SUBSTITUTE(OFFSET(B27,-1,0)&amp;".",".","^^",A27))-SEARCH("^^",SUBSTITUTE("."&amp;OFFSET(B27,-1,0),".","^^",A27))))</f>
        <v>2.2.10</v>
      </c>
      <c r="C27" s="867" t="s">
        <v>5586</v>
      </c>
      <c r="D27" s="858" t="s">
        <v>4131</v>
      </c>
      <c r="E27" s="858">
        <f>150/1000</f>
        <v>0.15</v>
      </c>
    </row>
    <row r="28" spans="1:5" s="1242" customFormat="1" ht="47.25" x14ac:dyDescent="0.25">
      <c r="A28" s="1242">
        <v>3</v>
      </c>
      <c r="B28" s="1247" t="str">
        <f t="shared" ca="1" si="1"/>
        <v>2.2.11</v>
      </c>
      <c r="C28" s="867" t="s">
        <v>5587</v>
      </c>
      <c r="D28" s="858" t="s">
        <v>5591</v>
      </c>
      <c r="E28" s="1255">
        <f>350/100</f>
        <v>3.5</v>
      </c>
    </row>
    <row r="29" spans="1:5" s="1242" customFormat="1" ht="31.5" x14ac:dyDescent="0.25">
      <c r="A29" s="1242">
        <v>4</v>
      </c>
      <c r="B29" s="1247" t="str">
        <f t="shared" ca="1" si="1"/>
        <v>2.2.11.1</v>
      </c>
      <c r="C29" s="867" t="s">
        <v>5588</v>
      </c>
      <c r="D29" s="858" t="s">
        <v>5543</v>
      </c>
      <c r="E29" s="1255">
        <v>1</v>
      </c>
    </row>
    <row r="30" spans="1:5" s="1242" customFormat="1" ht="31.5" x14ac:dyDescent="0.25">
      <c r="A30" s="1242">
        <v>3</v>
      </c>
      <c r="B30" s="1247" t="str">
        <f t="shared" ca="1" si="1"/>
        <v>2.2.12</v>
      </c>
      <c r="C30" s="867" t="s">
        <v>5589</v>
      </c>
      <c r="D30" s="858" t="s">
        <v>5428</v>
      </c>
      <c r="E30" s="858">
        <f>5</f>
        <v>5</v>
      </c>
    </row>
    <row r="31" spans="1:5" s="1242" customFormat="1" x14ac:dyDescent="0.25">
      <c r="A31" s="1242">
        <v>3</v>
      </c>
      <c r="B31" s="1247" t="str">
        <f t="shared" ca="1" si="1"/>
        <v>2.2.13</v>
      </c>
      <c r="C31" s="867" t="s">
        <v>5940</v>
      </c>
      <c r="D31" s="858" t="s">
        <v>5543</v>
      </c>
      <c r="E31" s="1249">
        <v>1</v>
      </c>
    </row>
    <row r="32" spans="1:5" s="1242" customFormat="1" ht="31.5" x14ac:dyDescent="0.25">
      <c r="A32" s="1242">
        <v>3</v>
      </c>
      <c r="B32" s="1247" t="str">
        <f t="shared" ca="1" si="1"/>
        <v>2.2.14</v>
      </c>
      <c r="C32" s="867" t="s">
        <v>5934</v>
      </c>
      <c r="D32" s="858" t="s">
        <v>5543</v>
      </c>
      <c r="E32" s="858">
        <v>1</v>
      </c>
    </row>
    <row r="33" spans="1:5" s="1242" customFormat="1" x14ac:dyDescent="0.25">
      <c r="A33" s="1242">
        <v>3</v>
      </c>
      <c r="B33" s="1247" t="str">
        <f ca="1">IF(A33&gt;OFFSET(A33,-1,0),OFFSET(B33,-1,0)&amp;"."&amp;1,LEFT(OFFSET(B33,-1,0),SEARCH("^^",SUBSTITUTE("."&amp;OFFSET(B33,-1,0),".","^^",A33))-1)&amp;1--MID(OFFSET(B33,-1,0),SEARCH("^^",SUBSTITUTE("."&amp;OFFSET(B33,-1,0),".","^^",A33)),SEARCH("^^",SUBSTITUTE(OFFSET(B33,-1,0)&amp;".",".","^^",A33))-SEARCH("^^",SUBSTITUTE("."&amp;OFFSET(B33,-1,0),".","^^",A33))))</f>
        <v>2.2.15</v>
      </c>
      <c r="C33" s="1044" t="s">
        <v>5545</v>
      </c>
      <c r="D33" s="858"/>
      <c r="E33" s="858"/>
    </row>
    <row r="34" spans="1:5" s="1242" customFormat="1" x14ac:dyDescent="0.25">
      <c r="A34" s="1242">
        <v>4</v>
      </c>
      <c r="B34" s="1247" t="str">
        <f ca="1">IF(A34&gt;OFFSET(A34,-1,0),OFFSET(B34,-1,0)&amp;"."&amp;1,LEFT(OFFSET(B34,-1,0),SEARCH("^^",SUBSTITUTE("."&amp;OFFSET(B34,-1,0),".","^^",A34))-1)&amp;1--MID(OFFSET(B34,-1,0),SEARCH("^^",SUBSTITUTE("."&amp;OFFSET(B34,-1,0),".","^^",A34)),SEARCH("^^",SUBSTITUTE(OFFSET(B34,-1,0)&amp;".",".","^^",A34))-SEARCH("^^",SUBSTITUTE("."&amp;OFFSET(B34,-1,0),".","^^",A34))))</f>
        <v>2.2.15.1</v>
      </c>
      <c r="C34" s="1260" t="s">
        <v>5546</v>
      </c>
      <c r="D34" s="1261" t="s">
        <v>2588</v>
      </c>
      <c r="E34" s="1261">
        <f>400/100</f>
        <v>4</v>
      </c>
    </row>
    <row r="35" spans="1:5" s="1242" customFormat="1" ht="47.25" hidden="1" outlineLevel="1" x14ac:dyDescent="0.25">
      <c r="A35" s="1242">
        <v>5</v>
      </c>
      <c r="B35" s="1247" t="str">
        <f t="shared" ref="B35:B42" ca="1" si="3">IF(A35&gt;OFFSET(A35,-1,0),OFFSET(B35,-1,0)&amp;"."&amp;1,LEFT(OFFSET(B35,-1,0),SEARCH("^^",SUBSTITUTE("."&amp;OFFSET(B35,-1,0),".","^^",A35))-1)&amp;1--MID(OFFSET(B35,-1,0),SEARCH("^^",SUBSTITUTE("."&amp;OFFSET(B35,-1,0),".","^^",A35)),SEARCH("^^",SUBSTITUTE(OFFSET(B35,-1,0)&amp;".",".","^^",A35))-SEARCH("^^",SUBSTITUTE("."&amp;OFFSET(B35,-1,0),".","^^",A35))))</f>
        <v>2.2.15.1.1</v>
      </c>
      <c r="C35" s="1260" t="s">
        <v>5941</v>
      </c>
      <c r="D35" s="1261" t="s">
        <v>2588</v>
      </c>
      <c r="E35" s="1261">
        <f>E34</f>
        <v>4</v>
      </c>
    </row>
    <row r="36" spans="1:5" s="1242" customFormat="1" ht="31.5" hidden="1" outlineLevel="1" x14ac:dyDescent="0.25">
      <c r="A36" s="1242">
        <v>5</v>
      </c>
      <c r="B36" s="1247" t="str">
        <f t="shared" ca="1" si="3"/>
        <v>2.2.15.1.2</v>
      </c>
      <c r="C36" s="1260" t="s">
        <v>5942</v>
      </c>
      <c r="D36" s="1261" t="s">
        <v>2588</v>
      </c>
      <c r="E36" s="1261">
        <f>-E34</f>
        <v>-4</v>
      </c>
    </row>
    <row r="37" spans="1:5" s="1242" customFormat="1" collapsed="1" x14ac:dyDescent="0.25">
      <c r="A37" s="1242">
        <v>4</v>
      </c>
      <c r="B37" s="1247" t="str">
        <f ca="1">IF(A37&gt;OFFSET(A37,-1,0),OFFSET(B37,-1,0)&amp;"."&amp;1,LEFT(OFFSET(B37,-1,0),SEARCH("^^",SUBSTITUTE("."&amp;OFFSET(B37,-1,0),".","^^",A37))-1)&amp;1--MID(OFFSET(B37,-1,0),SEARCH("^^",SUBSTITUTE("."&amp;OFFSET(B37,-1,0),".","^^",A37)),SEARCH("^^",SUBSTITUTE(OFFSET(B37,-1,0)&amp;".",".","^^",A37))-SEARCH("^^",SUBSTITUTE("."&amp;OFFSET(B37,-1,0),".","^^",A37))))</f>
        <v>2.2.15.2</v>
      </c>
      <c r="C37" s="1260" t="s">
        <v>5547</v>
      </c>
      <c r="D37" s="1261" t="s">
        <v>2588</v>
      </c>
      <c r="E37" s="1261">
        <f>180/100</f>
        <v>1.8</v>
      </c>
    </row>
    <row r="38" spans="1:5" s="1242" customFormat="1" ht="47.25" hidden="1" outlineLevel="1" x14ac:dyDescent="0.25">
      <c r="A38" s="1242">
        <v>5</v>
      </c>
      <c r="B38" s="1247" t="str">
        <f t="shared" ca="1" si="3"/>
        <v>2.2.15.2.1</v>
      </c>
      <c r="C38" s="1260" t="s">
        <v>5943</v>
      </c>
      <c r="D38" s="1261" t="s">
        <v>2588</v>
      </c>
      <c r="E38" s="1261">
        <f>E37</f>
        <v>1.8</v>
      </c>
    </row>
    <row r="39" spans="1:5" s="1242" customFormat="1" ht="31.5" hidden="1" outlineLevel="1" x14ac:dyDescent="0.25">
      <c r="A39" s="1242">
        <v>5</v>
      </c>
      <c r="B39" s="1247" t="str">
        <f t="shared" ca="1" si="3"/>
        <v>2.2.15.2.2</v>
      </c>
      <c r="C39" s="1260" t="s">
        <v>5944</v>
      </c>
      <c r="D39" s="1261" t="s">
        <v>2588</v>
      </c>
      <c r="E39" s="1261">
        <f>-E37</f>
        <v>-1.8</v>
      </c>
    </row>
    <row r="40" spans="1:5" s="1242" customFormat="1" ht="47.25" collapsed="1" x14ac:dyDescent="0.25">
      <c r="A40" s="1242">
        <v>4</v>
      </c>
      <c r="B40" s="1247" t="str">
        <f t="shared" ca="1" si="3"/>
        <v>2.2.15.3</v>
      </c>
      <c r="C40" s="867" t="s">
        <v>5945</v>
      </c>
      <c r="D40" s="858" t="s">
        <v>316</v>
      </c>
      <c r="E40" s="1262">
        <f>21-E34-E37</f>
        <v>15</v>
      </c>
    </row>
    <row r="41" spans="1:5" s="1242" customFormat="1" x14ac:dyDescent="0.25">
      <c r="A41" s="1242">
        <v>3</v>
      </c>
      <c r="B41" s="1247" t="str">
        <f t="shared" ca="1" si="3"/>
        <v>2.2.16</v>
      </c>
      <c r="C41" s="867" t="s">
        <v>5946</v>
      </c>
      <c r="D41" s="858" t="s">
        <v>2588</v>
      </c>
      <c r="E41" s="1256">
        <f>500/100</f>
        <v>5</v>
      </c>
    </row>
    <row r="42" spans="1:5" s="1242" customFormat="1" x14ac:dyDescent="0.25">
      <c r="A42" s="1242">
        <v>3</v>
      </c>
      <c r="B42" s="1247" t="str">
        <f t="shared" ca="1" si="3"/>
        <v>2.2.17</v>
      </c>
      <c r="C42" s="867" t="s">
        <v>5947</v>
      </c>
      <c r="D42" s="858" t="s">
        <v>2588</v>
      </c>
      <c r="E42" s="1256">
        <f>500/100</f>
        <v>5</v>
      </c>
    </row>
    <row r="43" spans="1:5" s="1242" customFormat="1" ht="31.5" x14ac:dyDescent="0.25">
      <c r="A43" s="1242">
        <v>3</v>
      </c>
      <c r="B43" s="1247" t="str">
        <f t="shared" ca="1" si="1"/>
        <v>2.2.18</v>
      </c>
      <c r="C43" s="867" t="s">
        <v>5948</v>
      </c>
      <c r="D43" s="858" t="s">
        <v>4131</v>
      </c>
      <c r="E43" s="1059">
        <f>400/1000</f>
        <v>0.4</v>
      </c>
    </row>
    <row r="44" spans="1:5" s="1242" customFormat="1" x14ac:dyDescent="0.25">
      <c r="A44" s="1242">
        <v>3</v>
      </c>
      <c r="B44" s="1247" t="str">
        <f t="shared" ca="1" si="1"/>
        <v>2.2.19</v>
      </c>
      <c r="C44" s="867" t="s">
        <v>5548</v>
      </c>
      <c r="D44" s="858" t="s">
        <v>2588</v>
      </c>
      <c r="E44" s="1257">
        <f>800/100</f>
        <v>8</v>
      </c>
    </row>
    <row r="45" spans="1:5" s="1242" customFormat="1" x14ac:dyDescent="0.25">
      <c r="A45" s="1242">
        <v>4</v>
      </c>
      <c r="B45" s="1247" t="str">
        <f t="shared" ca="1" si="1"/>
        <v>2.2.19.1</v>
      </c>
      <c r="C45" s="867" t="s">
        <v>5549</v>
      </c>
      <c r="D45" s="858" t="s">
        <v>5543</v>
      </c>
      <c r="E45" s="1248">
        <v>1</v>
      </c>
    </row>
    <row r="46" spans="1:5" s="1242" customFormat="1" x14ac:dyDescent="0.25">
      <c r="A46" s="1242">
        <v>2</v>
      </c>
      <c r="B46" s="1247" t="str">
        <f t="shared" ca="1" si="1"/>
        <v>2.3</v>
      </c>
      <c r="C46" s="867" t="s">
        <v>5949</v>
      </c>
      <c r="D46" s="858" t="s">
        <v>432</v>
      </c>
      <c r="E46" s="1248">
        <v>1</v>
      </c>
    </row>
    <row r="47" spans="1:5" s="1242" customFormat="1" ht="31.5" x14ac:dyDescent="0.25">
      <c r="A47" s="1242">
        <v>3</v>
      </c>
      <c r="B47" s="1247" t="str">
        <f t="shared" ca="1" si="1"/>
        <v>2.3.1</v>
      </c>
      <c r="C47" s="867" t="s">
        <v>5950</v>
      </c>
      <c r="D47" s="858" t="s">
        <v>4131</v>
      </c>
      <c r="E47" s="1257">
        <f>150/1000</f>
        <v>0.15</v>
      </c>
    </row>
    <row r="48" spans="1:5" s="1242" customFormat="1" ht="31.5" x14ac:dyDescent="0.25">
      <c r="A48" s="1242">
        <v>3</v>
      </c>
      <c r="B48" s="1247" t="str">
        <f t="shared" ca="1" si="1"/>
        <v>2.3.2</v>
      </c>
      <c r="C48" s="867" t="s">
        <v>5957</v>
      </c>
      <c r="D48" s="858" t="s">
        <v>5954</v>
      </c>
      <c r="E48" s="1257">
        <f>250*1/100</f>
        <v>2.5</v>
      </c>
    </row>
    <row r="49" spans="1:5" s="1242" customFormat="1" ht="31.5" x14ac:dyDescent="0.25">
      <c r="A49" s="1242">
        <v>3</v>
      </c>
      <c r="B49" s="1247" t="str">
        <f t="shared" ca="1" si="1"/>
        <v>2.3.3</v>
      </c>
      <c r="C49" s="867" t="s">
        <v>5958</v>
      </c>
      <c r="D49" s="858" t="s">
        <v>5954</v>
      </c>
      <c r="E49" s="1257">
        <f>40*25/100</f>
        <v>10</v>
      </c>
    </row>
    <row r="50" spans="1:5" s="1242" customFormat="1" ht="31.5" x14ac:dyDescent="0.25">
      <c r="A50" s="1242">
        <v>2</v>
      </c>
      <c r="B50" s="1247" t="str">
        <f t="shared" ca="1" si="1"/>
        <v>2.4</v>
      </c>
      <c r="C50" s="867" t="s">
        <v>5955</v>
      </c>
      <c r="D50" s="858" t="s">
        <v>5593</v>
      </c>
      <c r="E50" s="1257">
        <f>10000/100</f>
        <v>100</v>
      </c>
    </row>
    <row r="51" spans="1:5" s="1242" customFormat="1" x14ac:dyDescent="0.25">
      <c r="A51" s="1242">
        <v>2</v>
      </c>
      <c r="B51" s="1381" t="str">
        <f t="shared" ca="1" si="1"/>
        <v>2.5</v>
      </c>
      <c r="C51" s="1382" t="s">
        <v>5365</v>
      </c>
      <c r="D51" s="1383" t="s">
        <v>432</v>
      </c>
      <c r="E51" s="1395">
        <v>1</v>
      </c>
    </row>
    <row r="54" spans="1:5" ht="53.25" customHeight="1" x14ac:dyDescent="0.25">
      <c r="B54" s="2760" t="s">
        <v>4135</v>
      </c>
      <c r="C54" s="2760"/>
      <c r="D54" s="1470"/>
      <c r="E54" s="882" t="s">
        <v>5876</v>
      </c>
    </row>
  </sheetData>
  <autoFilter ref="A7:E51"/>
  <mergeCells count="8">
    <mergeCell ref="B54:C54"/>
    <mergeCell ref="B1:E1"/>
    <mergeCell ref="B2:E2"/>
    <mergeCell ref="A4:A6"/>
    <mergeCell ref="B4:B6"/>
    <mergeCell ref="C4:C6"/>
    <mergeCell ref="D4:D6"/>
    <mergeCell ref="E4:E6"/>
  </mergeCells>
  <pageMargins left="0.70866141732283472" right="0.70866141732283472" top="0.74803149606299213" bottom="0.74803149606299213" header="0.31496062992125984" footer="0.31496062992125984"/>
  <pageSetup paperSize="9" scale="33"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H193"/>
  <sheetViews>
    <sheetView view="pageBreakPreview" zoomScale="60" zoomScaleNormal="70" workbookViewId="0">
      <pane xSplit="6" ySplit="7" topLeftCell="G8" activePane="bottomRight" state="frozen"/>
      <selection activeCell="O39" sqref="O39"/>
      <selection pane="topRight" activeCell="O39" sqref="O39"/>
      <selection pane="bottomLeft" activeCell="O39" sqref="O39"/>
      <selection pane="bottomRight" activeCell="P17" sqref="P17"/>
    </sheetView>
  </sheetViews>
  <sheetFormatPr defaultRowHeight="15.75" outlineLevelRow="1" outlineLevelCol="1" x14ac:dyDescent="0.25"/>
  <cols>
    <col min="1" max="1" width="9.140625" style="854" hidden="1" customWidth="1" outlineLevel="1"/>
    <col min="2" max="2" width="10.140625" style="854" customWidth="1" collapsed="1"/>
    <col min="3" max="3" width="59.140625" style="854" customWidth="1"/>
    <col min="4" max="4" width="13.7109375" style="854" customWidth="1"/>
    <col min="5" max="5" width="12.5703125" style="854" customWidth="1"/>
    <col min="6" max="6" width="45.42578125" style="854" customWidth="1"/>
    <col min="7" max="7" width="15.42578125" style="854" customWidth="1"/>
    <col min="8" max="8" width="16.7109375" style="854" customWidth="1"/>
    <col min="9" max="12" width="22.5703125" style="1036" hidden="1" customWidth="1" outlineLevel="1"/>
    <col min="13" max="13" width="16.7109375" style="854" hidden="1" customWidth="1" collapsed="1"/>
    <col min="14" max="14" width="18.28515625" style="854" customWidth="1"/>
    <col min="15" max="16" width="14.5703125" style="854" customWidth="1"/>
    <col min="17" max="17" width="22.28515625" style="854" customWidth="1"/>
    <col min="18" max="18" width="24.28515625" style="854" customWidth="1"/>
    <col min="19" max="19" width="23.28515625" style="854" customWidth="1"/>
    <col min="20" max="20" width="22.28515625" style="854" customWidth="1"/>
    <col min="21" max="21" width="21" style="853" customWidth="1"/>
    <col min="22" max="22" width="18.28515625" style="853" customWidth="1"/>
    <col min="23" max="26" width="21" style="854" customWidth="1"/>
    <col min="27" max="27" width="18.28515625" style="853" customWidth="1"/>
    <col min="28" max="28" width="34.7109375" style="854" customWidth="1"/>
    <col min="29" max="29" width="19.85546875" style="854" customWidth="1"/>
    <col min="30" max="30" width="19.42578125" style="854" customWidth="1"/>
    <col min="31" max="31" width="17" style="854" customWidth="1"/>
    <col min="32" max="32" width="18.5703125" style="854" customWidth="1"/>
    <col min="33" max="33" width="17.28515625" style="1036" customWidth="1"/>
    <col min="34" max="34" width="23.28515625" style="1036" customWidth="1"/>
    <col min="35" max="16384" width="9.140625" style="854"/>
  </cols>
  <sheetData>
    <row r="1" spans="1:34" s="853" customFormat="1" x14ac:dyDescent="0.25">
      <c r="B1" s="2773" t="s">
        <v>5869</v>
      </c>
      <c r="C1" s="2773"/>
      <c r="D1" s="2773"/>
      <c r="E1" s="2773"/>
      <c r="F1" s="2773"/>
      <c r="G1" s="2773"/>
      <c r="H1" s="2773"/>
      <c r="I1" s="2773"/>
      <c r="J1" s="2773"/>
      <c r="K1" s="2773"/>
      <c r="L1" s="2773"/>
      <c r="M1" s="2773"/>
      <c r="N1" s="2773"/>
      <c r="O1" s="2773"/>
      <c r="P1" s="2773"/>
      <c r="Q1" s="2773"/>
      <c r="R1" s="2773"/>
      <c r="S1" s="2773"/>
      <c r="T1" s="2773"/>
      <c r="U1" s="2773"/>
      <c r="V1" s="2773"/>
      <c r="W1" s="2773"/>
      <c r="X1" s="2773"/>
      <c r="Y1" s="2773"/>
      <c r="Z1" s="2773"/>
      <c r="AA1" s="2773"/>
      <c r="AB1" s="2773"/>
      <c r="AC1" s="1859"/>
      <c r="AD1" s="1859"/>
      <c r="AG1" s="1558"/>
      <c r="AH1" s="1558"/>
    </row>
    <row r="2" spans="1:34" s="853" customFormat="1" x14ac:dyDescent="0.25">
      <c r="B2" s="2759" t="str">
        <f>'Пояснительная (ПИР+СМР)'!A3</f>
        <v>Кампус ВТРК «Мамисон»</v>
      </c>
      <c r="C2" s="2759"/>
      <c r="D2" s="2759"/>
      <c r="E2" s="2759"/>
      <c r="F2" s="2759"/>
      <c r="G2" s="2759"/>
      <c r="H2" s="2759"/>
      <c r="I2" s="2759"/>
      <c r="J2" s="2759"/>
      <c r="K2" s="2759"/>
      <c r="L2" s="2759"/>
      <c r="M2" s="2759"/>
      <c r="N2" s="2759"/>
      <c r="O2" s="2759"/>
      <c r="P2" s="2759"/>
      <c r="Q2" s="2759"/>
      <c r="R2" s="2759"/>
      <c r="S2" s="2759"/>
      <c r="T2" s="2759"/>
      <c r="U2" s="2759"/>
      <c r="V2" s="2759"/>
      <c r="W2" s="2759"/>
      <c r="X2" s="2759"/>
      <c r="Y2" s="2759"/>
      <c r="Z2" s="2759"/>
      <c r="AA2" s="2759"/>
      <c r="AB2" s="2759"/>
      <c r="AC2" s="1856"/>
      <c r="AD2" s="1856"/>
      <c r="AG2" s="1558"/>
      <c r="AH2" s="1558"/>
    </row>
    <row r="3" spans="1:34" x14ac:dyDescent="0.25">
      <c r="B3" s="1315"/>
      <c r="C3" s="1315"/>
      <c r="D3" s="1315"/>
      <c r="E3" s="1315"/>
      <c r="F3" s="1315"/>
      <c r="G3" s="1315"/>
      <c r="H3" s="1315"/>
      <c r="M3" s="1315"/>
      <c r="N3" s="1315"/>
      <c r="O3" s="1315"/>
      <c r="P3" s="1315"/>
      <c r="Q3" s="1315"/>
      <c r="R3" s="1315"/>
      <c r="S3" s="1315"/>
      <c r="T3" s="1315"/>
      <c r="U3" s="1318"/>
      <c r="V3" s="1318"/>
      <c r="W3" s="1315"/>
      <c r="X3" s="1315"/>
      <c r="Y3" s="1315"/>
      <c r="Z3" s="1315"/>
      <c r="AA3" s="1318"/>
    </row>
    <row r="4" spans="1:34" ht="52.5" customHeight="1" x14ac:dyDescent="0.25">
      <c r="A4" s="2761" t="s">
        <v>4122</v>
      </c>
      <c r="B4" s="2762" t="s">
        <v>4123</v>
      </c>
      <c r="C4" s="2764" t="s">
        <v>4124</v>
      </c>
      <c r="D4" s="2764" t="s">
        <v>187</v>
      </c>
      <c r="E4" s="2762" t="s">
        <v>790</v>
      </c>
      <c r="F4" s="2764" t="s">
        <v>665</v>
      </c>
      <c r="G4" s="2762" t="s">
        <v>4125</v>
      </c>
      <c r="H4" s="2762" t="s">
        <v>5856</v>
      </c>
      <c r="I4" s="2777" t="s">
        <v>5840</v>
      </c>
      <c r="J4" s="2777"/>
      <c r="K4" s="2777"/>
      <c r="L4" s="2777"/>
      <c r="M4" s="2762" t="s">
        <v>5859</v>
      </c>
      <c r="N4" s="2762" t="s">
        <v>5861</v>
      </c>
      <c r="O4" s="2762" t="s">
        <v>4126</v>
      </c>
      <c r="P4" s="2762" t="s">
        <v>4127</v>
      </c>
      <c r="Q4" s="2762" t="s">
        <v>5857</v>
      </c>
      <c r="R4" s="2762" t="s">
        <v>6002</v>
      </c>
      <c r="S4" s="2762" t="s">
        <v>4128</v>
      </c>
      <c r="T4" s="2762" t="s">
        <v>4129</v>
      </c>
      <c r="U4" s="2770" t="s">
        <v>5862</v>
      </c>
      <c r="V4" s="2770" t="s">
        <v>5860</v>
      </c>
      <c r="W4" s="2774" t="s">
        <v>6011</v>
      </c>
      <c r="X4" s="2762" t="s">
        <v>5858</v>
      </c>
      <c r="Y4" s="2762" t="s">
        <v>529</v>
      </c>
      <c r="Z4" s="2762" t="s">
        <v>530</v>
      </c>
      <c r="AA4" s="2762" t="s">
        <v>5860</v>
      </c>
      <c r="AB4" s="2785" t="s">
        <v>4130</v>
      </c>
      <c r="AC4" s="2778" t="s">
        <v>5933</v>
      </c>
      <c r="AD4" s="2778" t="s">
        <v>5860</v>
      </c>
      <c r="AG4" s="2779" t="s">
        <v>6036</v>
      </c>
      <c r="AH4" s="2780"/>
    </row>
    <row r="5" spans="1:34" ht="63.75" customHeight="1" x14ac:dyDescent="0.25">
      <c r="A5" s="2761"/>
      <c r="B5" s="2766"/>
      <c r="C5" s="2768"/>
      <c r="D5" s="2768"/>
      <c r="E5" s="2766"/>
      <c r="F5" s="2768"/>
      <c r="G5" s="2766"/>
      <c r="H5" s="2766"/>
      <c r="I5" s="2781" t="s">
        <v>5843</v>
      </c>
      <c r="J5" s="2781" t="s">
        <v>5841</v>
      </c>
      <c r="K5" s="2783" t="s">
        <v>5844</v>
      </c>
      <c r="L5" s="2781" t="s">
        <v>5257</v>
      </c>
      <c r="M5" s="2766"/>
      <c r="N5" s="2766"/>
      <c r="O5" s="2766"/>
      <c r="P5" s="2766"/>
      <c r="Q5" s="2766"/>
      <c r="R5" s="2766"/>
      <c r="S5" s="2766"/>
      <c r="T5" s="2766"/>
      <c r="U5" s="2771"/>
      <c r="V5" s="2771"/>
      <c r="W5" s="2775"/>
      <c r="X5" s="2766"/>
      <c r="Y5" s="2766"/>
      <c r="Z5" s="2766"/>
      <c r="AA5" s="2766"/>
      <c r="AB5" s="2786"/>
      <c r="AC5" s="2778"/>
      <c r="AD5" s="2778"/>
      <c r="AG5" s="1559" t="s">
        <v>6037</v>
      </c>
      <c r="AH5" s="1559" t="s">
        <v>6038</v>
      </c>
    </row>
    <row r="6" spans="1:34" ht="63.75" customHeight="1" x14ac:dyDescent="0.25">
      <c r="A6" s="2761"/>
      <c r="B6" s="2767"/>
      <c r="C6" s="2769"/>
      <c r="D6" s="2769"/>
      <c r="E6" s="2767"/>
      <c r="F6" s="2769"/>
      <c r="G6" s="2767"/>
      <c r="H6" s="2767"/>
      <c r="I6" s="2782"/>
      <c r="J6" s="2782"/>
      <c r="K6" s="2784"/>
      <c r="L6" s="2782"/>
      <c r="M6" s="2767"/>
      <c r="N6" s="2767"/>
      <c r="O6" s="2767"/>
      <c r="P6" s="2767"/>
      <c r="Q6" s="2767"/>
      <c r="R6" s="2767"/>
      <c r="S6" s="2767"/>
      <c r="T6" s="2767"/>
      <c r="U6" s="2772"/>
      <c r="V6" s="2772"/>
      <c r="W6" s="2776"/>
      <c r="X6" s="2767"/>
      <c r="Y6" s="2767"/>
      <c r="Z6" s="2767"/>
      <c r="AA6" s="2767"/>
      <c r="AB6" s="2787"/>
      <c r="AC6" s="2778"/>
      <c r="AD6" s="2778"/>
      <c r="AG6" s="1560"/>
      <c r="AH6" s="1560"/>
    </row>
    <row r="7" spans="1:34" x14ac:dyDescent="0.25">
      <c r="A7" s="855"/>
      <c r="B7" s="1316">
        <v>1</v>
      </c>
      <c r="C7" s="1317">
        <v>2</v>
      </c>
      <c r="D7" s="1316">
        <v>3</v>
      </c>
      <c r="E7" s="1317">
        <v>4</v>
      </c>
      <c r="F7" s="1316">
        <v>5</v>
      </c>
      <c r="G7" s="1317">
        <v>6</v>
      </c>
      <c r="H7" s="1317">
        <v>7</v>
      </c>
      <c r="I7" s="1324"/>
      <c r="J7" s="1324"/>
      <c r="K7" s="1324"/>
      <c r="L7" s="1324"/>
      <c r="M7" s="1317">
        <v>7</v>
      </c>
      <c r="N7" s="1316">
        <v>8</v>
      </c>
      <c r="O7" s="1317">
        <v>9</v>
      </c>
      <c r="P7" s="1316">
        <v>10</v>
      </c>
      <c r="Q7" s="1317">
        <v>11</v>
      </c>
      <c r="R7" s="1316">
        <v>12</v>
      </c>
      <c r="S7" s="1317">
        <v>13</v>
      </c>
      <c r="T7" s="1316">
        <v>14</v>
      </c>
      <c r="U7" s="876">
        <v>15</v>
      </c>
      <c r="V7" s="1347"/>
      <c r="W7" s="1317">
        <v>16</v>
      </c>
      <c r="X7" s="1316">
        <v>17</v>
      </c>
      <c r="Y7" s="1317">
        <v>18</v>
      </c>
      <c r="Z7" s="1316">
        <v>19</v>
      </c>
      <c r="AA7" s="1347"/>
      <c r="AB7" s="1454">
        <v>20</v>
      </c>
      <c r="AC7" s="1462"/>
      <c r="AD7" s="1462"/>
      <c r="AG7" s="1560"/>
      <c r="AH7" s="1560"/>
    </row>
    <row r="8" spans="1:34" s="1242" customFormat="1" x14ac:dyDescent="0.25">
      <c r="A8" s="1242">
        <v>1</v>
      </c>
      <c r="B8" s="1330">
        <v>1</v>
      </c>
      <c r="C8" s="1331" t="s">
        <v>5849</v>
      </c>
      <c r="D8" s="1332" t="s">
        <v>432</v>
      </c>
      <c r="E8" s="1545">
        <v>1</v>
      </c>
      <c r="F8" s="1332"/>
      <c r="G8" s="1334"/>
      <c r="H8" s="1398">
        <f>SUM(H9:H12)</f>
        <v>17928183.530000001</v>
      </c>
      <c r="I8" s="1398">
        <f>SUM(I9:I12)</f>
        <v>17928183.530000001</v>
      </c>
      <c r="J8" s="1399"/>
      <c r="K8" s="1399"/>
      <c r="L8" s="1399"/>
      <c r="M8" s="1398">
        <f>SUM(M9:M12)</f>
        <v>17928183.530000001</v>
      </c>
      <c r="N8" s="1398">
        <f>SUM(N9:N12)</f>
        <v>17928183.530000001</v>
      </c>
      <c r="O8" s="1335"/>
      <c r="P8" s="1335"/>
      <c r="Q8" s="1398">
        <f>SUM(Q9:Q12)</f>
        <v>17928183.530000001</v>
      </c>
      <c r="R8" s="1335"/>
      <c r="S8" s="1335"/>
      <c r="T8" s="1335"/>
      <c r="U8" s="1398">
        <f>SUM(U9:U12)</f>
        <v>17928183.530000001</v>
      </c>
      <c r="V8" s="1398"/>
      <c r="W8" s="1336"/>
      <c r="X8" s="1398">
        <f>SUM(X9:X12)</f>
        <v>0</v>
      </c>
      <c r="Y8" s="1337"/>
      <c r="Z8" s="1398" t="e">
        <f>SUM(Z9:Z12)</f>
        <v>#REF!</v>
      </c>
      <c r="AA8" s="1398"/>
      <c r="AB8" s="1455"/>
      <c r="AC8" s="1398" t="e">
        <f>SUM(AC9:AC12)</f>
        <v>#REF!</v>
      </c>
      <c r="AD8" s="1398"/>
      <c r="AG8" s="1561"/>
      <c r="AH8" s="1561"/>
    </row>
    <row r="9" spans="1:34" s="1242" customFormat="1" x14ac:dyDescent="0.25">
      <c r="A9" s="1242">
        <v>2</v>
      </c>
      <c r="B9" s="1243" t="str">
        <f t="shared" ref="B9:B13" ca="1" si="0">IF(A9&gt;OFFSET(A9,-1,0),OFFSET(B9,-1,0)&amp;"."&amp;1,LEFT(OFFSET(B9,-1,0),SEARCH("^^",SUBSTITUTE("."&amp;OFFSET(B9,-1,0),".","^^",A9))-1)&amp;1--MID(OFFSET(B9,-1,0),SEARCH("^^",SUBSTITUTE("."&amp;OFFSET(B9,-1,0),".","^^",A9)),SEARCH("^^",SUBSTITUTE(OFFSET(B9,-1,0)&amp;".",".","^^",A9))-SEARCH("^^",SUBSTITUTE("."&amp;OFFSET(B9,-1,0),".","^^",A9))))</f>
        <v>1.1</v>
      </c>
      <c r="C9" s="1373" t="s">
        <v>520</v>
      </c>
      <c r="D9" s="1374" t="s">
        <v>432</v>
      </c>
      <c r="E9" s="1546">
        <v>1</v>
      </c>
      <c r="F9" s="1505" t="s">
        <v>5853</v>
      </c>
      <c r="G9" s="1506">
        <v>45474</v>
      </c>
      <c r="H9" s="1507">
        <f>'Cводная смета ПИР'!$G$20</f>
        <v>4523018.9400000004</v>
      </c>
      <c r="I9" s="1509">
        <f>H9</f>
        <v>4523018.9400000004</v>
      </c>
      <c r="J9" s="1510"/>
      <c r="K9" s="1510"/>
      <c r="L9" s="1391"/>
      <c r="M9" s="1400">
        <f>I9</f>
        <v>4523018.9400000004</v>
      </c>
      <c r="N9" s="1400">
        <f>E9*M9</f>
        <v>4523018.9400000004</v>
      </c>
      <c r="O9" s="1377">
        <v>1</v>
      </c>
      <c r="P9" s="1377">
        <v>1</v>
      </c>
      <c r="Q9" s="1400">
        <f>N9*O9*P9</f>
        <v>4523018.9400000004</v>
      </c>
      <c r="R9" s="1377">
        <v>1</v>
      </c>
      <c r="S9" s="1377">
        <v>1</v>
      </c>
      <c r="T9" s="1377">
        <v>1</v>
      </c>
      <c r="U9" s="1413">
        <f>Q9*R9*S9*T9</f>
        <v>4523018.9400000004</v>
      </c>
      <c r="V9" s="1413"/>
      <c r="W9" s="1718"/>
      <c r="X9" s="1400">
        <f>U9*W9</f>
        <v>0</v>
      </c>
      <c r="Y9" s="1500" t="e">
        <f>'Индексы-дефляторы'!$F$11</f>
        <v>#REF!</v>
      </c>
      <c r="Z9" s="1400" t="e">
        <f t="shared" ref="Z9:Z10" si="1">X9*Y9</f>
        <v>#REF!</v>
      </c>
      <c r="AA9" s="1413"/>
      <c r="AB9" s="1456"/>
      <c r="AC9" s="1463" t="e">
        <f>Z9*1.22</f>
        <v>#REF!</v>
      </c>
      <c r="AD9" s="1464"/>
      <c r="AG9" s="1561"/>
      <c r="AH9" s="1561"/>
    </row>
    <row r="10" spans="1:34" s="1242" customFormat="1" x14ac:dyDescent="0.25">
      <c r="A10" s="1242">
        <v>2</v>
      </c>
      <c r="B10" s="1247" t="str">
        <f t="shared" ca="1" si="0"/>
        <v>1.2</v>
      </c>
      <c r="C10" s="867" t="s">
        <v>2</v>
      </c>
      <c r="D10" s="858" t="s">
        <v>432</v>
      </c>
      <c r="E10" s="1248">
        <v>1</v>
      </c>
      <c r="F10" s="1511" t="s">
        <v>5853</v>
      </c>
      <c r="G10" s="1512">
        <v>45474</v>
      </c>
      <c r="H10" s="1513">
        <f>'Cводная смета ПИР'!$G$26</f>
        <v>12698885</v>
      </c>
      <c r="I10" s="1514">
        <f>H10</f>
        <v>12698885</v>
      </c>
      <c r="J10" s="1515"/>
      <c r="K10" s="1515"/>
      <c r="L10" s="1329"/>
      <c r="M10" s="1401">
        <f t="shared" ref="M10" si="2">I10</f>
        <v>12698885</v>
      </c>
      <c r="N10" s="1401">
        <f>E10*M10</f>
        <v>12698885</v>
      </c>
      <c r="O10" s="1035">
        <v>1</v>
      </c>
      <c r="P10" s="1035">
        <v>1</v>
      </c>
      <c r="Q10" s="1401">
        <f>N10*O10*P10</f>
        <v>12698885</v>
      </c>
      <c r="R10" s="1035">
        <v>1</v>
      </c>
      <c r="S10" s="1035">
        <v>1</v>
      </c>
      <c r="T10" s="1035">
        <v>1</v>
      </c>
      <c r="U10" s="1414">
        <f>Q10*R10*S10*T10</f>
        <v>12698885</v>
      </c>
      <c r="V10" s="1414"/>
      <c r="W10" s="1719"/>
      <c r="X10" s="1401">
        <f>U10*W10</f>
        <v>0</v>
      </c>
      <c r="Y10" s="1501" t="e">
        <f>'Индексы-дефляторы'!$F$21</f>
        <v>#REF!</v>
      </c>
      <c r="Z10" s="1401" t="e">
        <f t="shared" si="1"/>
        <v>#REF!</v>
      </c>
      <c r="AA10" s="1414"/>
      <c r="AB10" s="1457"/>
      <c r="AC10" s="1463" t="e">
        <f t="shared" ref="AC10:AD77" si="3">Z10*1.22</f>
        <v>#REF!</v>
      </c>
      <c r="AD10" s="1466"/>
      <c r="AG10" s="1561"/>
      <c r="AH10" s="1561"/>
    </row>
    <row r="11" spans="1:34" s="1242" customFormat="1" ht="78.75" x14ac:dyDescent="0.25">
      <c r="A11" s="1242">
        <v>2</v>
      </c>
      <c r="B11" s="1247" t="str">
        <f t="shared" ca="1" si="0"/>
        <v>1.3</v>
      </c>
      <c r="C11" s="867" t="s">
        <v>5850</v>
      </c>
      <c r="D11" s="858" t="s">
        <v>432</v>
      </c>
      <c r="E11" s="1248">
        <v>1</v>
      </c>
      <c r="F11" s="858" t="s">
        <v>5854</v>
      </c>
      <c r="G11" s="1244"/>
      <c r="H11" s="1401">
        <f>H9*10%</f>
        <v>452301.89</v>
      </c>
      <c r="I11" s="1401">
        <f>I9*10%</f>
        <v>452301.89</v>
      </c>
      <c r="J11" s="1406"/>
      <c r="K11" s="1406"/>
      <c r="L11" s="1329"/>
      <c r="M11" s="1401">
        <f>M9*10%</f>
        <v>452301.89</v>
      </c>
      <c r="N11" s="1401">
        <f>N9*10%</f>
        <v>452301.89</v>
      </c>
      <c r="O11" s="1035"/>
      <c r="P11" s="1035"/>
      <c r="Q11" s="1401">
        <f>Q9*10%</f>
        <v>452301.89</v>
      </c>
      <c r="R11" s="1035"/>
      <c r="S11" s="1035"/>
      <c r="T11" s="1035"/>
      <c r="U11" s="1414">
        <f>U9*10%</f>
        <v>452301.89</v>
      </c>
      <c r="V11" s="1414"/>
      <c r="W11" s="1245"/>
      <c r="X11" s="1401">
        <f>X9*10%</f>
        <v>0</v>
      </c>
      <c r="Y11" s="1501"/>
      <c r="Z11" s="1401" t="e">
        <f>Z9*10%</f>
        <v>#REF!</v>
      </c>
      <c r="AA11" s="1414"/>
      <c r="AB11" s="1457"/>
      <c r="AC11" s="1463" t="e">
        <f t="shared" si="3"/>
        <v>#REF!</v>
      </c>
      <c r="AD11" s="1467"/>
      <c r="AG11" s="1561"/>
      <c r="AH11" s="1561"/>
    </row>
    <row r="12" spans="1:34" s="1242" customFormat="1" ht="31.5" x14ac:dyDescent="0.25">
      <c r="A12" s="1242">
        <v>2</v>
      </c>
      <c r="B12" s="1381" t="str">
        <f t="shared" ca="1" si="0"/>
        <v>1.4</v>
      </c>
      <c r="C12" s="1382" t="s">
        <v>5851</v>
      </c>
      <c r="D12" s="1383" t="s">
        <v>432</v>
      </c>
      <c r="E12" s="1544">
        <v>1</v>
      </c>
      <c r="F12" s="1383" t="s">
        <v>5855</v>
      </c>
      <c r="G12" s="1385"/>
      <c r="H12" s="1402">
        <f>H10*2%</f>
        <v>253977.7</v>
      </c>
      <c r="I12" s="1402">
        <f>I10*2%</f>
        <v>253977.7</v>
      </c>
      <c r="J12" s="1543"/>
      <c r="K12" s="1543"/>
      <c r="L12" s="1403"/>
      <c r="M12" s="1402">
        <f>M10*2%</f>
        <v>253977.7</v>
      </c>
      <c r="N12" s="1402">
        <f>N10*2%</f>
        <v>253977.7</v>
      </c>
      <c r="O12" s="1386"/>
      <c r="P12" s="1386"/>
      <c r="Q12" s="1402">
        <f>Q10*2%</f>
        <v>253977.7</v>
      </c>
      <c r="R12" s="1386"/>
      <c r="S12" s="1386"/>
      <c r="T12" s="1386"/>
      <c r="U12" s="1415">
        <f>U10*2%</f>
        <v>253977.7</v>
      </c>
      <c r="V12" s="1415"/>
      <c r="W12" s="1387"/>
      <c r="X12" s="1402">
        <f>X10*2%</f>
        <v>0</v>
      </c>
      <c r="Y12" s="1502"/>
      <c r="Z12" s="1402" t="e">
        <f>Z10*2%</f>
        <v>#REF!</v>
      </c>
      <c r="AA12" s="1415"/>
      <c r="AB12" s="1458"/>
      <c r="AC12" s="1463" t="e">
        <f t="shared" si="3"/>
        <v>#REF!</v>
      </c>
      <c r="AD12" s="1469"/>
      <c r="AG12" s="1561"/>
      <c r="AH12" s="1561"/>
    </row>
    <row r="13" spans="1:34" s="1242" customFormat="1" ht="47.25" x14ac:dyDescent="0.25">
      <c r="A13" s="1242">
        <v>1</v>
      </c>
      <c r="B13" s="1330" t="str">
        <f t="shared" ca="1" si="0"/>
        <v>2</v>
      </c>
      <c r="C13" s="1331" t="s">
        <v>5852</v>
      </c>
      <c r="D13" s="1332" t="s">
        <v>432</v>
      </c>
      <c r="E13" s="1545">
        <v>1</v>
      </c>
      <c r="F13" s="1332"/>
      <c r="G13" s="1334"/>
      <c r="H13" s="1398"/>
      <c r="I13" s="1399"/>
      <c r="J13" s="1399"/>
      <c r="K13" s="1399"/>
      <c r="L13" s="1399"/>
      <c r="M13" s="1398"/>
      <c r="N13" s="1398" t="e">
        <f>N21+N26+N29+N33+N42+N47+N52+N69+N78</f>
        <v>#REF!</v>
      </c>
      <c r="O13" s="1335"/>
      <c r="P13" s="1335"/>
      <c r="Q13" s="1398" t="e">
        <f>Q21+Q26+Q29+Q33+Q42+Q47+Q52+Q69+Q78</f>
        <v>#REF!</v>
      </c>
      <c r="R13" s="1335"/>
      <c r="S13" s="1335"/>
      <c r="T13" s="1335"/>
      <c r="U13" s="1398" t="e">
        <f>U21+U26+U29+U33+U42+U47+U52+U69+U78</f>
        <v>#REF!</v>
      </c>
      <c r="V13" s="1398">
        <f>V21+V26+V29+V33+V42+V47+V52+V69+V78</f>
        <v>2997672.81</v>
      </c>
      <c r="W13" s="1336"/>
      <c r="X13" s="1398" t="e">
        <f>X21+X26+X29+X33+X42+X47+X52+X69+X78</f>
        <v>#REF!</v>
      </c>
      <c r="Y13" s="1503"/>
      <c r="Z13" s="1398" t="e">
        <f>Z21+Z26+Z29+Z33+Z42+Z47+Z52+Z69+Z78</f>
        <v>#REF!</v>
      </c>
      <c r="AA13" s="1398" t="e">
        <f>AA21+AA26+AA29+AA33+AA42+AA47+AA52+AA69+AA78</f>
        <v>#REF!</v>
      </c>
      <c r="AB13" s="1455"/>
      <c r="AC13" s="1398" t="e">
        <f>AC21+AC26+AC29+AC33+AC42+AC47+AC52+AC69+AC78</f>
        <v>#REF!</v>
      </c>
      <c r="AD13" s="1398" t="e">
        <f>AD21+AD26+AD29+AD33+AD42+AD47+AD52+AD69+AD78</f>
        <v>#REF!</v>
      </c>
      <c r="AG13" s="1398">
        <f>AG21+AG26+AG29+AG33+AG42+AG47+AG52+AG69+AG78</f>
        <v>0</v>
      </c>
      <c r="AH13" s="1398">
        <f>AH21+AH26+AH29+AH33+AH42+AH47+AH52+AH69+AH78</f>
        <v>0</v>
      </c>
    </row>
    <row r="14" spans="1:34" s="1516" customFormat="1" ht="47.25" x14ac:dyDescent="0.25">
      <c r="B14" s="1517"/>
      <c r="C14" s="1485" t="s">
        <v>7830</v>
      </c>
      <c r="D14" s="1491" t="s">
        <v>7832</v>
      </c>
      <c r="E14" s="1491">
        <f>1270</f>
        <v>1270</v>
      </c>
      <c r="F14" s="1374" t="s">
        <v>7831</v>
      </c>
      <c r="G14" s="1376">
        <v>46023</v>
      </c>
      <c r="H14" s="1400">
        <f>46.26</f>
        <v>46.26</v>
      </c>
      <c r="I14" s="1520"/>
      <c r="J14" s="1520"/>
      <c r="K14" s="1520"/>
      <c r="L14" s="1520"/>
      <c r="M14" s="1413"/>
      <c r="N14" s="1413">
        <f>E14*H14</f>
        <v>58750.2</v>
      </c>
      <c r="O14" s="1378">
        <v>1</v>
      </c>
      <c r="P14" s="1378">
        <v>1</v>
      </c>
      <c r="Q14" s="1413"/>
      <c r="R14" s="1378"/>
      <c r="S14" s="1378"/>
      <c r="T14" s="1378"/>
      <c r="U14" s="1413"/>
      <c r="V14" s="1413"/>
      <c r="W14" s="1521"/>
      <c r="X14" s="1413"/>
      <c r="Y14" s="1522"/>
      <c r="Z14" s="1413"/>
      <c r="AA14" s="1413"/>
      <c r="AB14" s="1456"/>
      <c r="AC14" s="1524"/>
      <c r="AD14" s="1525"/>
      <c r="AE14" s="1526"/>
      <c r="AG14" s="1562"/>
      <c r="AH14" s="1563"/>
    </row>
    <row r="15" spans="1:34" s="1516" customFormat="1" x14ac:dyDescent="0.25">
      <c r="B15" s="1517"/>
      <c r="C15" s="1485"/>
      <c r="D15" s="1491"/>
      <c r="E15" s="1491"/>
      <c r="F15" s="1374"/>
      <c r="G15" s="1376"/>
      <c r="H15" s="1400"/>
      <c r="I15" s="1520"/>
      <c r="J15" s="1520"/>
      <c r="K15" s="1520"/>
      <c r="L15" s="1520"/>
      <c r="M15" s="1413"/>
      <c r="N15" s="1413"/>
      <c r="O15" s="1378"/>
      <c r="P15" s="1378"/>
      <c r="Q15" s="1413"/>
      <c r="R15" s="1378"/>
      <c r="S15" s="1378"/>
      <c r="T15" s="1378"/>
      <c r="U15" s="1413"/>
      <c r="V15" s="1413"/>
      <c r="W15" s="1521"/>
      <c r="X15" s="1413"/>
      <c r="Y15" s="1522"/>
      <c r="Z15" s="1413"/>
      <c r="AA15" s="1413"/>
      <c r="AB15" s="1456"/>
      <c r="AC15" s="1524"/>
      <c r="AD15" s="1525"/>
      <c r="AE15" s="1526"/>
      <c r="AG15" s="1562"/>
      <c r="AH15" s="1563"/>
    </row>
    <row r="16" spans="1:34" s="1516" customFormat="1" x14ac:dyDescent="0.25">
      <c r="B16" s="1517"/>
      <c r="C16" s="1485"/>
      <c r="D16" s="1491"/>
      <c r="E16" s="1491"/>
      <c r="F16" s="1374"/>
      <c r="G16" s="1376"/>
      <c r="H16" s="1400"/>
      <c r="I16" s="1520"/>
      <c r="J16" s="1520"/>
      <c r="K16" s="1520"/>
      <c r="L16" s="1520"/>
      <c r="M16" s="1413"/>
      <c r="N16" s="1413"/>
      <c r="O16" s="1378"/>
      <c r="P16" s="1378"/>
      <c r="Q16" s="1413"/>
      <c r="R16" s="1378"/>
      <c r="S16" s="1378"/>
      <c r="T16" s="1378"/>
      <c r="U16" s="1413"/>
      <c r="V16" s="1413"/>
      <c r="W16" s="1521"/>
      <c r="X16" s="1413"/>
      <c r="Y16" s="1522"/>
      <c r="Z16" s="1413"/>
      <c r="AA16" s="1413"/>
      <c r="AB16" s="1456"/>
      <c r="AC16" s="1524"/>
      <c r="AD16" s="1525"/>
      <c r="AE16" s="1526"/>
      <c r="AG16" s="1562"/>
      <c r="AH16" s="1563"/>
    </row>
    <row r="17" spans="1:34" s="1516" customFormat="1" x14ac:dyDescent="0.25">
      <c r="B17" s="1517"/>
      <c r="C17" s="1485"/>
      <c r="D17" s="1491"/>
      <c r="E17" s="1491"/>
      <c r="F17" s="1374"/>
      <c r="G17" s="1376"/>
      <c r="H17" s="1400"/>
      <c r="I17" s="1520"/>
      <c r="J17" s="1520"/>
      <c r="K17" s="1520"/>
      <c r="L17" s="1520"/>
      <c r="M17" s="1413"/>
      <c r="N17" s="1413"/>
      <c r="O17" s="1378"/>
      <c r="P17" s="1378"/>
      <c r="Q17" s="1413"/>
      <c r="R17" s="1378"/>
      <c r="S17" s="1378"/>
      <c r="T17" s="1378"/>
      <c r="U17" s="1413"/>
      <c r="V17" s="1413"/>
      <c r="W17" s="1521"/>
      <c r="X17" s="1413"/>
      <c r="Y17" s="1522"/>
      <c r="Z17" s="1413"/>
      <c r="AA17" s="1413"/>
      <c r="AB17" s="1456"/>
      <c r="AC17" s="1524"/>
      <c r="AD17" s="1525"/>
      <c r="AE17" s="1526"/>
      <c r="AG17" s="1562"/>
      <c r="AH17" s="1563"/>
    </row>
    <row r="18" spans="1:34" s="1516" customFormat="1" x14ac:dyDescent="0.25">
      <c r="B18" s="1517"/>
      <c r="C18" s="1485"/>
      <c r="D18" s="1491"/>
      <c r="E18" s="1491"/>
      <c r="F18" s="1374"/>
      <c r="G18" s="1376"/>
      <c r="H18" s="1400"/>
      <c r="I18" s="1520"/>
      <c r="J18" s="1520"/>
      <c r="K18" s="1520"/>
      <c r="L18" s="1520"/>
      <c r="M18" s="1413"/>
      <c r="N18" s="1413"/>
      <c r="O18" s="1378"/>
      <c r="P18" s="1378"/>
      <c r="Q18" s="1413"/>
      <c r="R18" s="1378"/>
      <c r="S18" s="1378"/>
      <c r="T18" s="1378"/>
      <c r="U18" s="1413"/>
      <c r="V18" s="1413"/>
      <c r="W18" s="1521"/>
      <c r="X18" s="1413"/>
      <c r="Y18" s="1522"/>
      <c r="Z18" s="1413"/>
      <c r="AA18" s="1413"/>
      <c r="AB18" s="1456"/>
      <c r="AC18" s="1524"/>
      <c r="AD18" s="1525"/>
      <c r="AE18" s="1526"/>
      <c r="AG18" s="1562"/>
      <c r="AH18" s="1563"/>
    </row>
    <row r="19" spans="1:34" s="1516" customFormat="1" x14ac:dyDescent="0.25">
      <c r="B19" s="1517"/>
      <c r="C19" s="1485"/>
      <c r="D19" s="1491"/>
      <c r="E19" s="1491"/>
      <c r="F19" s="1374"/>
      <c r="G19" s="1376"/>
      <c r="H19" s="1400"/>
      <c r="I19" s="1520"/>
      <c r="J19" s="1520"/>
      <c r="K19" s="1520"/>
      <c r="L19" s="1520"/>
      <c r="M19" s="1413"/>
      <c r="N19" s="1413"/>
      <c r="O19" s="1378"/>
      <c r="P19" s="1378"/>
      <c r="Q19" s="1413"/>
      <c r="R19" s="1378"/>
      <c r="S19" s="1378"/>
      <c r="T19" s="1378"/>
      <c r="U19" s="1413"/>
      <c r="V19" s="1413"/>
      <c r="W19" s="1521"/>
      <c r="X19" s="1413"/>
      <c r="Y19" s="1522"/>
      <c r="Z19" s="1413"/>
      <c r="AA19" s="1413"/>
      <c r="AB19" s="1456"/>
      <c r="AC19" s="1524"/>
      <c r="AD19" s="1525"/>
      <c r="AE19" s="1526"/>
      <c r="AG19" s="1562"/>
      <c r="AH19" s="1563"/>
    </row>
    <row r="20" spans="1:34" s="1516" customFormat="1" x14ac:dyDescent="0.25">
      <c r="B20" s="1517"/>
      <c r="C20" s="1485"/>
      <c r="D20" s="1491"/>
      <c r="E20" s="1491"/>
      <c r="F20" s="1374"/>
      <c r="G20" s="1376"/>
      <c r="H20" s="1400"/>
      <c r="I20" s="1520"/>
      <c r="J20" s="1520"/>
      <c r="K20" s="1520"/>
      <c r="L20" s="1520"/>
      <c r="M20" s="1413"/>
      <c r="N20" s="1413"/>
      <c r="O20" s="1378"/>
      <c r="P20" s="1378"/>
      <c r="Q20" s="1413"/>
      <c r="R20" s="1378"/>
      <c r="S20" s="1378"/>
      <c r="T20" s="1378"/>
      <c r="U20" s="1413"/>
      <c r="V20" s="1413"/>
      <c r="W20" s="1521"/>
      <c r="X20" s="1413"/>
      <c r="Y20" s="1522"/>
      <c r="Z20" s="1413"/>
      <c r="AA20" s="1413"/>
      <c r="AB20" s="1456"/>
      <c r="AC20" s="1524"/>
      <c r="AD20" s="1525"/>
      <c r="AE20" s="1526"/>
      <c r="AG20" s="1562"/>
      <c r="AH20" s="1563"/>
    </row>
    <row r="21" spans="1:34" s="1516" customFormat="1" ht="31.5" x14ac:dyDescent="0.25">
      <c r="A21" s="1516">
        <v>2</v>
      </c>
      <c r="B21" s="1517" t="str">
        <f t="shared" ref="B21:B78" ca="1" si="4">IF(A21&gt;OFFSET(A21,-1,0),OFFSET(B21,-1,0)&amp;"."&amp;1,LEFT(OFFSET(B21,-1,0),SEARCH("^^",SUBSTITUTE("."&amp;OFFSET(B21,-1,0),".","^^",A21))-1)&amp;1--MID(OFFSET(B21,-1,0),SEARCH("^^",SUBSTITUTE("."&amp;OFFSET(B21,-1,0),".","^^",A21)),SEARCH("^^",SUBSTITUTE(OFFSET(B21,-1,0)&amp;".",".","^^",A21))-SEARCH("^^",SUBSTITUTE("."&amp;OFFSET(B21,-1,0),".","^^",A21))))</f>
        <v>.1</v>
      </c>
      <c r="C21" s="1485" t="s">
        <v>6033</v>
      </c>
      <c r="D21" s="1491" t="s">
        <v>432</v>
      </c>
      <c r="E21" s="1491">
        <v>1</v>
      </c>
      <c r="F21" s="1374" t="s">
        <v>6136</v>
      </c>
      <c r="G21" s="1376">
        <v>46113</v>
      </c>
      <c r="H21" s="1400"/>
      <c r="I21" s="1520"/>
      <c r="J21" s="1520"/>
      <c r="K21" s="1520"/>
      <c r="L21" s="1520"/>
      <c r="M21" s="1413"/>
      <c r="N21" s="1413" t="e">
        <f>N22+N23+N24+N25</f>
        <v>#REF!</v>
      </c>
      <c r="O21" s="1378"/>
      <c r="P21" s="1378"/>
      <c r="Q21" s="1413" t="e">
        <f>Q22+Q23+Q24+Q25</f>
        <v>#REF!</v>
      </c>
      <c r="R21" s="1378"/>
      <c r="S21" s="1378"/>
      <c r="T21" s="1378"/>
      <c r="U21" s="1413" t="e">
        <f>U22+U23+U24+U25</f>
        <v>#REF!</v>
      </c>
      <c r="V21" s="1413">
        <f>V22+V23+V24+V25</f>
        <v>0</v>
      </c>
      <c r="W21" s="1521"/>
      <c r="X21" s="1413" t="e">
        <f>X22+X23+X24+X25</f>
        <v>#REF!</v>
      </c>
      <c r="Y21" s="1522"/>
      <c r="Z21" s="1413" t="e">
        <f>Z22+Z23+Z24+Z25</f>
        <v>#REF!</v>
      </c>
      <c r="AA21" s="1413" t="e">
        <f>AA22+AA23+AA24+AA25</f>
        <v>#REF!</v>
      </c>
      <c r="AB21" s="1456" t="s">
        <v>6044</v>
      </c>
      <c r="AC21" s="1524"/>
      <c r="AD21" s="1525" t="e">
        <f>AA21*1.22</f>
        <v>#REF!</v>
      </c>
      <c r="AE21" s="1526"/>
      <c r="AG21" s="1562"/>
      <c r="AH21" s="1563"/>
    </row>
    <row r="22" spans="1:34" s="1254" customFormat="1" ht="31.5" x14ac:dyDescent="0.25">
      <c r="A22" s="1254">
        <v>3</v>
      </c>
      <c r="B22" s="1243" t="str">
        <f t="shared" ca="1" si="4"/>
        <v>.1.1</v>
      </c>
      <c r="C22" s="1487" t="s">
        <v>5959</v>
      </c>
      <c r="D22" s="1486" t="s">
        <v>832</v>
      </c>
      <c r="E22" s="1488">
        <f>5000*0.5</f>
        <v>2500</v>
      </c>
      <c r="F22" s="1374" t="s">
        <v>6130</v>
      </c>
      <c r="G22" s="1376">
        <v>46113</v>
      </c>
      <c r="H22" s="1400" t="e">
        <f>#REF!*1.05/E22</f>
        <v>#REF!</v>
      </c>
      <c r="I22" s="1472"/>
      <c r="J22" s="1472"/>
      <c r="K22" s="1472"/>
      <c r="L22" s="1472">
        <f t="shared" ref="L22:L28" si="5">0*1000/1.02</f>
        <v>0</v>
      </c>
      <c r="M22" s="1400" t="e">
        <f t="shared" ref="M22:M28" si="6">H22-I22-K22</f>
        <v>#REF!</v>
      </c>
      <c r="N22" s="1400" t="e">
        <f>E22*M22</f>
        <v>#REF!</v>
      </c>
      <c r="O22" s="1377">
        <v>1</v>
      </c>
      <c r="P22" s="1377">
        <v>1</v>
      </c>
      <c r="Q22" s="1400" t="e">
        <f t="shared" ref="Q22:Q46" si="7">N22*O22*P22</f>
        <v>#REF!</v>
      </c>
      <c r="R22" s="1377">
        <v>1</v>
      </c>
      <c r="S22" s="1377">
        <v>1</v>
      </c>
      <c r="T22" s="1377">
        <v>1</v>
      </c>
      <c r="U22" s="1413" t="e">
        <f t="shared" ref="U22:U46" si="8">Q22*R22*S22*T22</f>
        <v>#REF!</v>
      </c>
      <c r="V22" s="1413">
        <f>E22*L22*O22*P22*R22*S22*T22</f>
        <v>0</v>
      </c>
      <c r="W22" s="1392">
        <v>1</v>
      </c>
      <c r="X22" s="1417" t="e">
        <f t="shared" ref="X22:X46" si="9">U22*W22</f>
        <v>#REF!</v>
      </c>
      <c r="Y22" s="1500" t="e">
        <f>'Индексы-дефляторы'!$F$41</f>
        <v>#REF!</v>
      </c>
      <c r="Z22" s="1417" t="e">
        <f t="shared" ref="Z22:Z46" si="10">X22*Y22</f>
        <v>#REF!</v>
      </c>
      <c r="AA22" s="1413" t="e">
        <f t="shared" ref="AA22:AA32" si="11">V22*W22*Y22</f>
        <v>#REF!</v>
      </c>
      <c r="AB22" s="1456" t="s">
        <v>6044</v>
      </c>
      <c r="AC22" s="1463" t="e">
        <f t="shared" si="3"/>
        <v>#REF!</v>
      </c>
      <c r="AD22" s="1464" t="e">
        <f t="shared" si="3"/>
        <v>#REF!</v>
      </c>
      <c r="AE22" s="1397" t="e">
        <f>AC22/E22</f>
        <v>#REF!</v>
      </c>
      <c r="AF22" s="1254" t="s">
        <v>6137</v>
      </c>
      <c r="AG22" s="1564" t="e">
        <f>I22*E22*O22*P22*R22*S22*T22*W22*Y22*1.22</f>
        <v>#REF!</v>
      </c>
      <c r="AH22" s="1565" t="e">
        <f>K22*E22*O22*P22*R22*S22*T22*W22*Y22*1.22</f>
        <v>#REF!</v>
      </c>
    </row>
    <row r="23" spans="1:34" s="1254" customFormat="1" ht="31.5" x14ac:dyDescent="0.25">
      <c r="A23" s="1254">
        <v>3</v>
      </c>
      <c r="B23" s="1243" t="str">
        <f t="shared" ca="1" si="4"/>
        <v>.1.2</v>
      </c>
      <c r="C23" s="1487" t="s">
        <v>5960</v>
      </c>
      <c r="D23" s="1486" t="s">
        <v>832</v>
      </c>
      <c r="E23" s="1488">
        <v>2000</v>
      </c>
      <c r="F23" s="1374" t="s">
        <v>6134</v>
      </c>
      <c r="G23" s="1376">
        <v>46113</v>
      </c>
      <c r="H23" s="1400" t="e">
        <f>(#REF!+#REF!)*1.05/E23</f>
        <v>#REF!</v>
      </c>
      <c r="I23" s="1472"/>
      <c r="J23" s="1472"/>
      <c r="K23" s="1472"/>
      <c r="L23" s="1472">
        <f t="shared" si="5"/>
        <v>0</v>
      </c>
      <c r="M23" s="1400" t="e">
        <f t="shared" si="6"/>
        <v>#REF!</v>
      </c>
      <c r="N23" s="1400" t="e">
        <f>E23*M23</f>
        <v>#REF!</v>
      </c>
      <c r="O23" s="1377">
        <v>1</v>
      </c>
      <c r="P23" s="1377">
        <v>1</v>
      </c>
      <c r="Q23" s="1400" t="e">
        <f t="shared" si="7"/>
        <v>#REF!</v>
      </c>
      <c r="R23" s="1377">
        <v>1</v>
      </c>
      <c r="S23" s="1377">
        <v>1</v>
      </c>
      <c r="T23" s="1377">
        <v>1</v>
      </c>
      <c r="U23" s="1413" t="e">
        <f t="shared" si="8"/>
        <v>#REF!</v>
      </c>
      <c r="V23" s="1413">
        <f>E23*L23*O23*P23*R23*S23*T23</f>
        <v>0</v>
      </c>
      <c r="W23" s="1392">
        <v>1</v>
      </c>
      <c r="X23" s="1417" t="e">
        <f t="shared" si="9"/>
        <v>#REF!</v>
      </c>
      <c r="Y23" s="1500" t="e">
        <f>'Индексы-дефляторы'!$F$41</f>
        <v>#REF!</v>
      </c>
      <c r="Z23" s="1417" t="e">
        <f t="shared" si="10"/>
        <v>#REF!</v>
      </c>
      <c r="AA23" s="1413" t="e">
        <f t="shared" si="11"/>
        <v>#REF!</v>
      </c>
      <c r="AB23" s="1456" t="s">
        <v>6044</v>
      </c>
      <c r="AC23" s="1463" t="e">
        <f t="shared" si="3"/>
        <v>#REF!</v>
      </c>
      <c r="AD23" s="1464" t="e">
        <f t="shared" si="3"/>
        <v>#REF!</v>
      </c>
      <c r="AE23" s="1397" t="e">
        <f>AC23/E23</f>
        <v>#REF!</v>
      </c>
      <c r="AF23" s="1254" t="s">
        <v>6137</v>
      </c>
      <c r="AG23" s="1564" t="e">
        <f t="shared" ref="AG23:AG77" si="12">I23*E23*O23*P23*R23*S23*T23*W23*Y23*1.22</f>
        <v>#REF!</v>
      </c>
      <c r="AH23" s="1565" t="e">
        <f t="shared" ref="AH23:AH77" si="13">K23*E23*O23*P23*R23*S23*T23*W23*Y23*1.22</f>
        <v>#REF!</v>
      </c>
    </row>
    <row r="24" spans="1:34" s="1254" customFormat="1" ht="31.5" x14ac:dyDescent="0.25">
      <c r="A24" s="1254">
        <v>3</v>
      </c>
      <c r="B24" s="1243" t="str">
        <f t="shared" ca="1" si="4"/>
        <v>.1.3</v>
      </c>
      <c r="C24" s="1487" t="s">
        <v>5961</v>
      </c>
      <c r="D24" s="1486" t="s">
        <v>832</v>
      </c>
      <c r="E24" s="1488">
        <v>2000</v>
      </c>
      <c r="F24" s="1374" t="s">
        <v>6135</v>
      </c>
      <c r="G24" s="1376">
        <v>46113</v>
      </c>
      <c r="H24" s="1400" t="e">
        <f>(#REF!+#REF!)*1.05/E24</f>
        <v>#REF!</v>
      </c>
      <c r="I24" s="1472"/>
      <c r="J24" s="1472"/>
      <c r="K24" s="1472"/>
      <c r="L24" s="1472">
        <f t="shared" si="5"/>
        <v>0</v>
      </c>
      <c r="M24" s="1400" t="e">
        <f t="shared" si="6"/>
        <v>#REF!</v>
      </c>
      <c r="N24" s="1400" t="e">
        <f>E24*M24</f>
        <v>#REF!</v>
      </c>
      <c r="O24" s="1377">
        <v>1</v>
      </c>
      <c r="P24" s="1377">
        <v>1</v>
      </c>
      <c r="Q24" s="1400" t="e">
        <f>N24*O24*P24</f>
        <v>#REF!</v>
      </c>
      <c r="R24" s="1377">
        <v>1</v>
      </c>
      <c r="S24" s="1377">
        <v>1</v>
      </c>
      <c r="T24" s="1377">
        <v>1</v>
      </c>
      <c r="U24" s="1413" t="e">
        <f t="shared" si="8"/>
        <v>#REF!</v>
      </c>
      <c r="V24" s="1413">
        <f>E24*L24*O24*P24*R24*S24*T24</f>
        <v>0</v>
      </c>
      <c r="W24" s="1392">
        <v>1</v>
      </c>
      <c r="X24" s="1417" t="e">
        <f t="shared" si="9"/>
        <v>#REF!</v>
      </c>
      <c r="Y24" s="1500" t="e">
        <f>'Индексы-дефляторы'!$F$41</f>
        <v>#REF!</v>
      </c>
      <c r="Z24" s="1417" t="e">
        <f t="shared" si="10"/>
        <v>#REF!</v>
      </c>
      <c r="AA24" s="1413" t="e">
        <f t="shared" si="11"/>
        <v>#REF!</v>
      </c>
      <c r="AB24" s="1456" t="s">
        <v>6044</v>
      </c>
      <c r="AC24" s="1463" t="e">
        <f t="shared" si="3"/>
        <v>#REF!</v>
      </c>
      <c r="AD24" s="1464" t="e">
        <f t="shared" si="3"/>
        <v>#REF!</v>
      </c>
      <c r="AE24" s="1397" t="e">
        <f>AC24/E24</f>
        <v>#REF!</v>
      </c>
      <c r="AF24" s="1254" t="s">
        <v>6137</v>
      </c>
      <c r="AG24" s="1564" t="e">
        <f t="shared" si="12"/>
        <v>#REF!</v>
      </c>
      <c r="AH24" s="1565" t="e">
        <f t="shared" si="13"/>
        <v>#REF!</v>
      </c>
    </row>
    <row r="25" spans="1:34" s="1254" customFormat="1" ht="31.5" x14ac:dyDescent="0.25">
      <c r="A25" s="1254">
        <v>3</v>
      </c>
      <c r="B25" s="1243" t="str">
        <f t="shared" ca="1" si="4"/>
        <v>.1.4</v>
      </c>
      <c r="C25" s="1487" t="s">
        <v>5962</v>
      </c>
      <c r="D25" s="1486" t="s">
        <v>832</v>
      </c>
      <c r="E25" s="1488">
        <f>E22</f>
        <v>2500</v>
      </c>
      <c r="F25" s="1374" t="s">
        <v>6131</v>
      </c>
      <c r="G25" s="1376">
        <v>46113</v>
      </c>
      <c r="H25" s="1400" t="e">
        <f>(#REF!+#REF!)*1.05/E25</f>
        <v>#REF!</v>
      </c>
      <c r="I25" s="1472"/>
      <c r="J25" s="1472"/>
      <c r="K25" s="1472"/>
      <c r="L25" s="1472">
        <f t="shared" si="5"/>
        <v>0</v>
      </c>
      <c r="M25" s="1400" t="e">
        <f t="shared" si="6"/>
        <v>#REF!</v>
      </c>
      <c r="N25" s="1400" t="e">
        <f>E25*M25</f>
        <v>#REF!</v>
      </c>
      <c r="O25" s="1377">
        <v>1</v>
      </c>
      <c r="P25" s="1377">
        <v>1</v>
      </c>
      <c r="Q25" s="1400" t="e">
        <f t="shared" si="7"/>
        <v>#REF!</v>
      </c>
      <c r="R25" s="1377">
        <v>1</v>
      </c>
      <c r="S25" s="1377">
        <v>1</v>
      </c>
      <c r="T25" s="1377">
        <v>1</v>
      </c>
      <c r="U25" s="1413" t="e">
        <f t="shared" si="8"/>
        <v>#REF!</v>
      </c>
      <c r="V25" s="1413">
        <f>E25*L25*O25*P25*R25*S25*T25</f>
        <v>0</v>
      </c>
      <c r="W25" s="1392">
        <v>1</v>
      </c>
      <c r="X25" s="1417" t="e">
        <f t="shared" si="9"/>
        <v>#REF!</v>
      </c>
      <c r="Y25" s="1500" t="e">
        <f>'Индексы-дефляторы'!$F$41</f>
        <v>#REF!</v>
      </c>
      <c r="Z25" s="1417" t="e">
        <f t="shared" si="10"/>
        <v>#REF!</v>
      </c>
      <c r="AA25" s="1413" t="e">
        <f t="shared" si="11"/>
        <v>#REF!</v>
      </c>
      <c r="AB25" s="1456" t="s">
        <v>6044</v>
      </c>
      <c r="AC25" s="1463" t="e">
        <f t="shared" si="3"/>
        <v>#REF!</v>
      </c>
      <c r="AD25" s="1464" t="e">
        <f t="shared" si="3"/>
        <v>#REF!</v>
      </c>
      <c r="AE25" s="1397" t="e">
        <f>AC25/E25</f>
        <v>#REF!</v>
      </c>
      <c r="AF25" s="1254" t="s">
        <v>6137</v>
      </c>
      <c r="AG25" s="1564" t="e">
        <f t="shared" si="12"/>
        <v>#REF!</v>
      </c>
      <c r="AH25" s="1565" t="e">
        <f t="shared" si="13"/>
        <v>#REF!</v>
      </c>
    </row>
    <row r="26" spans="1:34" s="1516" customFormat="1" x14ac:dyDescent="0.25">
      <c r="A26" s="1516">
        <v>2</v>
      </c>
      <c r="B26" s="1517" t="str">
        <f t="shared" ca="1" si="4"/>
        <v>.2</v>
      </c>
      <c r="C26" s="1485" t="s">
        <v>5963</v>
      </c>
      <c r="D26" s="1491" t="s">
        <v>432</v>
      </c>
      <c r="E26" s="1492">
        <v>1</v>
      </c>
      <c r="F26" s="1518"/>
      <c r="G26" s="1519"/>
      <c r="H26" s="1413"/>
      <c r="I26" s="1520"/>
      <c r="J26" s="1520"/>
      <c r="K26" s="1520"/>
      <c r="L26" s="1520">
        <f t="shared" si="5"/>
        <v>0</v>
      </c>
      <c r="M26" s="1413">
        <f t="shared" si="6"/>
        <v>0</v>
      </c>
      <c r="N26" s="1413" t="e">
        <f>N27+N28</f>
        <v>#REF!</v>
      </c>
      <c r="O26" s="1378"/>
      <c r="P26" s="1378"/>
      <c r="Q26" s="1413" t="e">
        <f>Q27+Q28</f>
        <v>#REF!</v>
      </c>
      <c r="R26" s="1378"/>
      <c r="S26" s="1378"/>
      <c r="T26" s="1378"/>
      <c r="U26" s="1413" t="e">
        <f>U27+U28</f>
        <v>#REF!</v>
      </c>
      <c r="V26" s="1413">
        <f>V27+V28</f>
        <v>0</v>
      </c>
      <c r="W26" s="1521"/>
      <c r="X26" s="1413" t="e">
        <f>X27+X28</f>
        <v>#REF!</v>
      </c>
      <c r="Y26" s="1522" t="e">
        <f>'Индексы-дефляторы'!$F$41</f>
        <v>#REF!</v>
      </c>
      <c r="Z26" s="1413" t="e">
        <f>Z27+Z28</f>
        <v>#REF!</v>
      </c>
      <c r="AA26" s="1413" t="e">
        <f t="shared" si="11"/>
        <v>#REF!</v>
      </c>
      <c r="AB26" s="1523"/>
      <c r="AC26" s="1524" t="e">
        <f t="shared" si="3"/>
        <v>#REF!</v>
      </c>
      <c r="AD26" s="1525" t="e">
        <f t="shared" si="3"/>
        <v>#REF!</v>
      </c>
      <c r="AE26" s="1526"/>
      <c r="AG26" s="1564"/>
      <c r="AH26" s="1565"/>
    </row>
    <row r="27" spans="1:34" s="1254" customFormat="1" ht="126" x14ac:dyDescent="0.25">
      <c r="A27" s="1254">
        <v>3</v>
      </c>
      <c r="B27" s="1243" t="str">
        <f t="shared" ca="1" si="4"/>
        <v>.2.1</v>
      </c>
      <c r="C27" s="1487" t="s">
        <v>5964</v>
      </c>
      <c r="D27" s="1486" t="s">
        <v>4132</v>
      </c>
      <c r="E27" s="1493">
        <f>40/100</f>
        <v>0.4</v>
      </c>
      <c r="F27" s="1374" t="s">
        <v>6001</v>
      </c>
      <c r="G27" s="1376">
        <v>46023</v>
      </c>
      <c r="H27" s="1400">
        <f>10061.43*1000/1.02</f>
        <v>9864147.0600000005</v>
      </c>
      <c r="I27" s="1472">
        <f>492.63*1000/1.02</f>
        <v>482970.59</v>
      </c>
      <c r="J27" s="1472"/>
      <c r="K27" s="1472">
        <f>200.48*1000/1.02</f>
        <v>196549.02</v>
      </c>
      <c r="L27" s="1472">
        <f t="shared" si="5"/>
        <v>0</v>
      </c>
      <c r="M27" s="1400">
        <f t="shared" si="6"/>
        <v>9184627.4499999993</v>
      </c>
      <c r="N27" s="1400">
        <f>E27*M27</f>
        <v>3673850.98</v>
      </c>
      <c r="O27" s="1377">
        <v>1.08</v>
      </c>
      <c r="P27" s="1377">
        <v>1</v>
      </c>
      <c r="Q27" s="1400">
        <f t="shared" si="7"/>
        <v>3967759.06</v>
      </c>
      <c r="R27" s="1377">
        <v>0.97</v>
      </c>
      <c r="S27" s="1377">
        <v>0.98</v>
      </c>
      <c r="T27" s="1377">
        <v>1</v>
      </c>
      <c r="U27" s="1413">
        <f t="shared" si="8"/>
        <v>3771751.76</v>
      </c>
      <c r="V27" s="1413">
        <f>E27*L27*O27*P27*R27*S27*T27</f>
        <v>0</v>
      </c>
      <c r="W27" s="1392">
        <f>'Индексы Росстата'!$F$121</f>
        <v>1.0225</v>
      </c>
      <c r="X27" s="1417">
        <f t="shared" si="9"/>
        <v>3856616.17</v>
      </c>
      <c r="Y27" s="1500" t="e">
        <f>'Индексы-дефляторы'!$F$41</f>
        <v>#REF!</v>
      </c>
      <c r="Z27" s="1417" t="e">
        <f t="shared" si="10"/>
        <v>#REF!</v>
      </c>
      <c r="AA27" s="1413" t="e">
        <f t="shared" si="11"/>
        <v>#REF!</v>
      </c>
      <c r="AB27" s="1456"/>
      <c r="AC27" s="1463" t="e">
        <f t="shared" si="3"/>
        <v>#REF!</v>
      </c>
      <c r="AD27" s="1464" t="e">
        <f t="shared" si="3"/>
        <v>#REF!</v>
      </c>
      <c r="AE27" s="1397" t="e">
        <f>AC27/(E27*100)</f>
        <v>#REF!</v>
      </c>
      <c r="AF27" s="1254" t="s">
        <v>6000</v>
      </c>
      <c r="AG27" s="1566" t="e">
        <f t="shared" si="12"/>
        <v>#REF!</v>
      </c>
      <c r="AH27" s="1565" t="e">
        <f t="shared" si="13"/>
        <v>#REF!</v>
      </c>
    </row>
    <row r="28" spans="1:34" s="1254" customFormat="1" ht="31.5" x14ac:dyDescent="0.25">
      <c r="A28" s="1254">
        <v>3</v>
      </c>
      <c r="B28" s="1243" t="str">
        <f t="shared" ca="1" si="4"/>
        <v>.2.2</v>
      </c>
      <c r="C28" s="1487" t="s">
        <v>5966</v>
      </c>
      <c r="D28" s="1486" t="s">
        <v>130</v>
      </c>
      <c r="E28" s="1488">
        <v>200</v>
      </c>
      <c r="F28" s="1374" t="s">
        <v>6138</v>
      </c>
      <c r="G28" s="1376">
        <v>46113</v>
      </c>
      <c r="H28" s="1400" t="e">
        <f>#REF!*1.05/E28</f>
        <v>#REF!</v>
      </c>
      <c r="I28" s="1472"/>
      <c r="J28" s="1472"/>
      <c r="K28" s="1472"/>
      <c r="L28" s="1472">
        <f t="shared" si="5"/>
        <v>0</v>
      </c>
      <c r="M28" s="1400" t="e">
        <f t="shared" si="6"/>
        <v>#REF!</v>
      </c>
      <c r="N28" s="1400" t="e">
        <f>E28*M28</f>
        <v>#REF!</v>
      </c>
      <c r="O28" s="1377">
        <v>1</v>
      </c>
      <c r="P28" s="1377">
        <v>1</v>
      </c>
      <c r="Q28" s="1400" t="e">
        <f t="shared" si="7"/>
        <v>#REF!</v>
      </c>
      <c r="R28" s="1377">
        <v>1</v>
      </c>
      <c r="S28" s="1377">
        <v>1</v>
      </c>
      <c r="T28" s="1377">
        <v>1</v>
      </c>
      <c r="U28" s="1413" t="e">
        <f t="shared" si="8"/>
        <v>#REF!</v>
      </c>
      <c r="V28" s="1413">
        <f>E28*L28*O28*P28*R28*S28*T28</f>
        <v>0</v>
      </c>
      <c r="W28" s="1392">
        <v>1</v>
      </c>
      <c r="X28" s="1417" t="e">
        <f t="shared" si="9"/>
        <v>#REF!</v>
      </c>
      <c r="Y28" s="1500" t="e">
        <f>'Индексы-дефляторы'!$F$41</f>
        <v>#REF!</v>
      </c>
      <c r="Z28" s="1417" t="e">
        <f t="shared" si="10"/>
        <v>#REF!</v>
      </c>
      <c r="AA28" s="1413" t="e">
        <f t="shared" si="11"/>
        <v>#REF!</v>
      </c>
      <c r="AB28" s="1456" t="s">
        <v>6044</v>
      </c>
      <c r="AC28" s="1463" t="e">
        <f t="shared" si="3"/>
        <v>#REF!</v>
      </c>
      <c r="AD28" s="1464" t="e">
        <f t="shared" si="3"/>
        <v>#REF!</v>
      </c>
      <c r="AE28" s="1397" t="e">
        <f>AC28/E28</f>
        <v>#REF!</v>
      </c>
      <c r="AF28" s="1254" t="s">
        <v>5831</v>
      </c>
      <c r="AG28" s="1564" t="e">
        <f t="shared" si="12"/>
        <v>#REF!</v>
      </c>
      <c r="AH28" s="1565" t="e">
        <f t="shared" si="13"/>
        <v>#REF!</v>
      </c>
    </row>
    <row r="29" spans="1:34" s="1516" customFormat="1" x14ac:dyDescent="0.25">
      <c r="A29" s="1516">
        <v>2</v>
      </c>
      <c r="B29" s="1517" t="str">
        <f t="shared" ca="1" si="4"/>
        <v>.3</v>
      </c>
      <c r="C29" s="1485" t="s">
        <v>5967</v>
      </c>
      <c r="D29" s="1491" t="s">
        <v>432</v>
      </c>
      <c r="E29" s="1492">
        <v>1</v>
      </c>
      <c r="F29" s="1518"/>
      <c r="G29" s="1519"/>
      <c r="H29" s="1413"/>
      <c r="I29" s="1520"/>
      <c r="J29" s="1520"/>
      <c r="K29" s="1520"/>
      <c r="L29" s="1520"/>
      <c r="M29" s="1413"/>
      <c r="N29" s="1413">
        <f>N30+N31+N32</f>
        <v>13474100.789999999</v>
      </c>
      <c r="O29" s="1378"/>
      <c r="P29" s="1378"/>
      <c r="Q29" s="1413">
        <f>Q30+Q31+Q32</f>
        <v>14552028.85</v>
      </c>
      <c r="R29" s="1378"/>
      <c r="S29" s="1378"/>
      <c r="T29" s="1378"/>
      <c r="U29" s="1413">
        <f>U30+U31+U32</f>
        <v>13909196.949999999</v>
      </c>
      <c r="V29" s="1413">
        <f>V30+V31+V32</f>
        <v>0</v>
      </c>
      <c r="W29" s="1521"/>
      <c r="X29" s="1413">
        <f>X30+X31+X32</f>
        <v>14222153.880000001</v>
      </c>
      <c r="Y29" s="1522" t="e">
        <f>'Индексы-дефляторы'!$F$41</f>
        <v>#REF!</v>
      </c>
      <c r="Z29" s="1413" t="e">
        <f>Z30+Z31+Z32</f>
        <v>#REF!</v>
      </c>
      <c r="AA29" s="1413" t="e">
        <f t="shared" si="11"/>
        <v>#REF!</v>
      </c>
      <c r="AB29" s="1523"/>
      <c r="AC29" s="1413" t="e">
        <f>AC30+AC31+AC32</f>
        <v>#REF!</v>
      </c>
      <c r="AD29" s="1525" t="e">
        <f t="shared" si="3"/>
        <v>#REF!</v>
      </c>
      <c r="AE29" s="1526"/>
      <c r="AG29" s="1564"/>
      <c r="AH29" s="1565"/>
    </row>
    <row r="30" spans="1:34" s="1254" customFormat="1" x14ac:dyDescent="0.25">
      <c r="A30" s="1254">
        <v>3</v>
      </c>
      <c r="B30" s="1243" t="str">
        <f t="shared" ca="1" si="4"/>
        <v>.3.1</v>
      </c>
      <c r="C30" s="1487" t="s">
        <v>5968</v>
      </c>
      <c r="D30" s="1486" t="s">
        <v>432</v>
      </c>
      <c r="E30" s="1488">
        <v>1</v>
      </c>
      <c r="F30" s="1374" t="str">
        <f ca="1">CONCATENATE("учтено в п.",$B$31)</f>
        <v>учтено в п..3.2</v>
      </c>
      <c r="G30" s="1376"/>
      <c r="H30" s="1400"/>
      <c r="I30" s="1472"/>
      <c r="J30" s="1472"/>
      <c r="K30" s="1472"/>
      <c r="L30" s="1472">
        <f t="shared" ref="L30:L35" si="14">0*1000/1.02</f>
        <v>0</v>
      </c>
      <c r="M30" s="1400">
        <f t="shared" ref="M30:M77" si="15">H30-I30-K30</f>
        <v>0</v>
      </c>
      <c r="N30" s="1400">
        <f>E30*M30</f>
        <v>0</v>
      </c>
      <c r="O30" s="1377">
        <v>1</v>
      </c>
      <c r="P30" s="1377">
        <v>1</v>
      </c>
      <c r="Q30" s="1400">
        <f t="shared" si="7"/>
        <v>0</v>
      </c>
      <c r="R30" s="1377"/>
      <c r="S30" s="1377"/>
      <c r="T30" s="1377"/>
      <c r="U30" s="1413">
        <f t="shared" si="8"/>
        <v>0</v>
      </c>
      <c r="V30" s="1413">
        <f>E30*L30*O30*P30*R30*S30*T30</f>
        <v>0</v>
      </c>
      <c r="W30" s="1392"/>
      <c r="X30" s="1417">
        <f t="shared" si="9"/>
        <v>0</v>
      </c>
      <c r="Y30" s="1500" t="e">
        <f>'Индексы-дефляторы'!$F$41</f>
        <v>#REF!</v>
      </c>
      <c r="Z30" s="1417" t="e">
        <f t="shared" si="10"/>
        <v>#REF!</v>
      </c>
      <c r="AA30" s="1413" t="e">
        <f t="shared" si="11"/>
        <v>#REF!</v>
      </c>
      <c r="AB30" s="1456"/>
      <c r="AC30" s="1463" t="e">
        <f t="shared" si="3"/>
        <v>#REF!</v>
      </c>
      <c r="AD30" s="1464" t="e">
        <f t="shared" si="3"/>
        <v>#REF!</v>
      </c>
      <c r="AE30" s="1397" t="e">
        <f>AC30*1.2/E30</f>
        <v>#REF!</v>
      </c>
      <c r="AG30" s="1564" t="e">
        <f t="shared" si="12"/>
        <v>#REF!</v>
      </c>
      <c r="AH30" s="1565" t="e">
        <f t="shared" si="13"/>
        <v>#REF!</v>
      </c>
    </row>
    <row r="31" spans="1:34" s="1254" customFormat="1" ht="141.75" x14ac:dyDescent="0.25">
      <c r="A31" s="1254">
        <v>3</v>
      </c>
      <c r="B31" s="1243" t="str">
        <f t="shared" ca="1" si="4"/>
        <v>.3.2</v>
      </c>
      <c r="C31" s="1487" t="s">
        <v>6012</v>
      </c>
      <c r="D31" s="1486" t="s">
        <v>4131</v>
      </c>
      <c r="E31" s="1527">
        <f>180/1000</f>
        <v>0.18</v>
      </c>
      <c r="F31" s="1374" t="s">
        <v>6013</v>
      </c>
      <c r="G31" s="1376">
        <v>46023</v>
      </c>
      <c r="H31" s="1400">
        <f>36546.23*1000/1.02</f>
        <v>35829637.25</v>
      </c>
      <c r="I31" s="1472">
        <f>569.79*1000/1.02</f>
        <v>558617.65</v>
      </c>
      <c r="J31" s="1472"/>
      <c r="K31" s="1472">
        <f>753.77*1000/1.02</f>
        <v>738990.2</v>
      </c>
      <c r="L31" s="1472">
        <f t="shared" si="14"/>
        <v>0</v>
      </c>
      <c r="M31" s="1400">
        <f t="shared" si="15"/>
        <v>34532029.399999999</v>
      </c>
      <c r="N31" s="1400">
        <f>E31*M31</f>
        <v>6215765.29</v>
      </c>
      <c r="O31" s="1377">
        <v>1.08</v>
      </c>
      <c r="P31" s="1377">
        <v>1</v>
      </c>
      <c r="Q31" s="1400">
        <f t="shared" si="7"/>
        <v>6713026.5099999998</v>
      </c>
      <c r="R31" s="1377">
        <v>0.97</v>
      </c>
      <c r="S31" s="1377">
        <v>0.98</v>
      </c>
      <c r="T31" s="1377">
        <v>1</v>
      </c>
      <c r="U31" s="1413">
        <f t="shared" si="8"/>
        <v>6381403</v>
      </c>
      <c r="V31" s="1413">
        <f>E31*L31*O31*P31*R31*S31*T31</f>
        <v>0</v>
      </c>
      <c r="W31" s="1392">
        <f>'Индексы Росстата'!$F$121</f>
        <v>1.0225</v>
      </c>
      <c r="X31" s="1417">
        <f t="shared" si="9"/>
        <v>6524984.5700000003</v>
      </c>
      <c r="Y31" s="1500" t="e">
        <f>'Индексы-дефляторы'!$F$41</f>
        <v>#REF!</v>
      </c>
      <c r="Z31" s="1417" t="e">
        <f t="shared" si="10"/>
        <v>#REF!</v>
      </c>
      <c r="AA31" s="1413" t="e">
        <f t="shared" si="11"/>
        <v>#REF!</v>
      </c>
      <c r="AB31" s="1456"/>
      <c r="AC31" s="1463" t="e">
        <f t="shared" si="3"/>
        <v>#REF!</v>
      </c>
      <c r="AD31" s="1464" t="e">
        <f t="shared" si="3"/>
        <v>#REF!</v>
      </c>
      <c r="AE31" s="1397" t="e">
        <f>AC31/(E31*6*1000)</f>
        <v>#REF!</v>
      </c>
      <c r="AF31" s="1254" t="s">
        <v>5831</v>
      </c>
      <c r="AG31" s="1567" t="e">
        <f t="shared" si="12"/>
        <v>#REF!</v>
      </c>
      <c r="AH31" s="1568" t="e">
        <f t="shared" si="13"/>
        <v>#REF!</v>
      </c>
    </row>
    <row r="32" spans="1:34" s="1254" customFormat="1" ht="141.75" x14ac:dyDescent="0.25">
      <c r="A32" s="1254">
        <v>3</v>
      </c>
      <c r="B32" s="1243" t="str">
        <f t="shared" ca="1" si="4"/>
        <v>.3.3</v>
      </c>
      <c r="C32" s="1487" t="s">
        <v>5969</v>
      </c>
      <c r="D32" s="1486" t="s">
        <v>130</v>
      </c>
      <c r="E32" s="1488">
        <v>650</v>
      </c>
      <c r="F32" s="1374" t="s">
        <v>6014</v>
      </c>
      <c r="G32" s="1376">
        <v>46023</v>
      </c>
      <c r="H32" s="1400">
        <f>11.91*1000/1.02</f>
        <v>11676.47</v>
      </c>
      <c r="I32" s="1472">
        <f>0.28*1000/1.02</f>
        <v>274.51</v>
      </c>
      <c r="J32" s="1472"/>
      <c r="K32" s="1472">
        <f>0.24*1000/1.02</f>
        <v>235.29</v>
      </c>
      <c r="L32" s="1472">
        <f t="shared" si="14"/>
        <v>0</v>
      </c>
      <c r="M32" s="1400">
        <f t="shared" si="15"/>
        <v>11166.67</v>
      </c>
      <c r="N32" s="1400">
        <f>E32*M32</f>
        <v>7258335.5</v>
      </c>
      <c r="O32" s="1377">
        <v>1.08</v>
      </c>
      <c r="P32" s="1377">
        <v>1</v>
      </c>
      <c r="Q32" s="1400">
        <f t="shared" si="7"/>
        <v>7839002.3399999999</v>
      </c>
      <c r="R32" s="1377">
        <v>0.97</v>
      </c>
      <c r="S32" s="1377">
        <v>0.99</v>
      </c>
      <c r="T32" s="1377">
        <v>1</v>
      </c>
      <c r="U32" s="1413">
        <f t="shared" si="8"/>
        <v>7527793.9500000002</v>
      </c>
      <c r="V32" s="1413">
        <f>E32*L32*O32*P32*R32*S32*T32</f>
        <v>0</v>
      </c>
      <c r="W32" s="1392">
        <f>'Индексы Росстата'!$F$121</f>
        <v>1.0225</v>
      </c>
      <c r="X32" s="1417">
        <f t="shared" si="9"/>
        <v>7697169.3099999996</v>
      </c>
      <c r="Y32" s="1500" t="e">
        <f>'Индексы-дефляторы'!$F$41</f>
        <v>#REF!</v>
      </c>
      <c r="Z32" s="1417" t="e">
        <f t="shared" si="10"/>
        <v>#REF!</v>
      </c>
      <c r="AA32" s="1413" t="e">
        <f t="shared" si="11"/>
        <v>#REF!</v>
      </c>
      <c r="AB32" s="1456"/>
      <c r="AC32" s="1463" t="e">
        <f t="shared" si="3"/>
        <v>#REF!</v>
      </c>
      <c r="AD32" s="1464" t="e">
        <f t="shared" si="3"/>
        <v>#REF!</v>
      </c>
      <c r="AE32" s="1397" t="e">
        <f>AC32/E32</f>
        <v>#REF!</v>
      </c>
      <c r="AF32" s="1254" t="s">
        <v>5831</v>
      </c>
      <c r="AG32" s="1567" t="e">
        <f t="shared" si="12"/>
        <v>#REF!</v>
      </c>
      <c r="AH32" s="1568" t="e">
        <f t="shared" si="13"/>
        <v>#REF!</v>
      </c>
    </row>
    <row r="33" spans="1:34" s="1516" customFormat="1" x14ac:dyDescent="0.25">
      <c r="A33" s="1516">
        <v>2</v>
      </c>
      <c r="B33" s="1517" t="str">
        <f t="shared" ca="1" si="4"/>
        <v>.4</v>
      </c>
      <c r="C33" s="1485" t="s">
        <v>5970</v>
      </c>
      <c r="D33" s="1491"/>
      <c r="E33" s="1492"/>
      <c r="F33" s="1518"/>
      <c r="G33" s="1519"/>
      <c r="H33" s="1413"/>
      <c r="I33" s="1520"/>
      <c r="J33" s="1520"/>
      <c r="K33" s="1520"/>
      <c r="L33" s="1520">
        <f t="shared" si="14"/>
        <v>0</v>
      </c>
      <c r="M33" s="1413">
        <f t="shared" si="15"/>
        <v>0</v>
      </c>
      <c r="N33" s="1413">
        <f>N34+N38+N39+N40+N41</f>
        <v>8222135.4500000002</v>
      </c>
      <c r="O33" s="1378"/>
      <c r="P33" s="1378"/>
      <c r="Q33" s="1413">
        <f>Q34+Q38+Q39+Q40+Q41</f>
        <v>8222135.4500000002</v>
      </c>
      <c r="R33" s="1378"/>
      <c r="S33" s="1378"/>
      <c r="T33" s="1378"/>
      <c r="U33" s="1413">
        <f>U34+U38+U39+U40+U41</f>
        <v>7323806.1200000001</v>
      </c>
      <c r="V33" s="1413">
        <f>V34+V38+V39+V40+V41</f>
        <v>1062166.67</v>
      </c>
      <c r="W33" s="1521"/>
      <c r="X33" s="1413">
        <f>X34+X38+X39+X40+X41</f>
        <v>7713662.1699999999</v>
      </c>
      <c r="Y33" s="1522"/>
      <c r="Z33" s="1413" t="e">
        <f>Z34+Z38+Z39+Z40+Z41</f>
        <v>#REF!</v>
      </c>
      <c r="AA33" s="1413" t="e">
        <f>AA34+AA38+AA39+AA40+AA41</f>
        <v>#REF!</v>
      </c>
      <c r="AB33" s="1523"/>
      <c r="AC33" s="1413" t="e">
        <f>AC34+AC38+AC39+AC40+AC41</f>
        <v>#REF!</v>
      </c>
      <c r="AD33" s="1413" t="e">
        <f>AD34+AD38+AD39+AD40+AD41</f>
        <v>#REF!</v>
      </c>
      <c r="AE33" s="1526"/>
      <c r="AG33" s="1567"/>
      <c r="AH33" s="1568"/>
    </row>
    <row r="34" spans="1:34" s="1254" customFormat="1" x14ac:dyDescent="0.25">
      <c r="A34" s="1254">
        <v>3</v>
      </c>
      <c r="B34" s="1243" t="str">
        <f t="shared" ca="1" si="4"/>
        <v>.4.1</v>
      </c>
      <c r="C34" s="1487" t="s">
        <v>5971</v>
      </c>
      <c r="D34" s="1486" t="s">
        <v>432</v>
      </c>
      <c r="E34" s="1488">
        <v>1</v>
      </c>
      <c r="F34" s="1374"/>
      <c r="G34" s="1376"/>
      <c r="H34" s="1400"/>
      <c r="I34" s="1472"/>
      <c r="J34" s="1472"/>
      <c r="K34" s="1472"/>
      <c r="L34" s="1472">
        <f t="shared" si="14"/>
        <v>0</v>
      </c>
      <c r="M34" s="1400">
        <f t="shared" si="15"/>
        <v>0</v>
      </c>
      <c r="N34" s="1400">
        <f>N35+N36+N37</f>
        <v>704250.25</v>
      </c>
      <c r="O34" s="1377"/>
      <c r="P34" s="1377"/>
      <c r="Q34" s="1400">
        <f>Q35+Q36+Q37</f>
        <v>704250.25</v>
      </c>
      <c r="R34" s="1377"/>
      <c r="S34" s="1377"/>
      <c r="T34" s="1377"/>
      <c r="U34" s="1400">
        <f>U35+U36+U37</f>
        <v>694026.05</v>
      </c>
      <c r="V34" s="1400">
        <f>V35+V36+V37</f>
        <v>595166.67000000004</v>
      </c>
      <c r="W34" s="1392"/>
      <c r="X34" s="1400">
        <f>X35+X36+X37</f>
        <v>836126.93</v>
      </c>
      <c r="Y34" s="1500"/>
      <c r="Z34" s="1400" t="e">
        <f>Z35+Z36+Z37</f>
        <v>#REF!</v>
      </c>
      <c r="AA34" s="1400" t="e">
        <f>AA35+AA36+AA37</f>
        <v>#REF!</v>
      </c>
      <c r="AB34" s="1456"/>
      <c r="AC34" s="1400" t="e">
        <f>AC35+AC36+AC37</f>
        <v>#REF!</v>
      </c>
      <c r="AD34" s="1400" t="e">
        <f>AD35+AD36+AD37</f>
        <v>#REF!</v>
      </c>
      <c r="AE34" s="1397"/>
      <c r="AG34" s="1567">
        <f t="shared" si="12"/>
        <v>0</v>
      </c>
      <c r="AH34" s="1568">
        <f t="shared" si="13"/>
        <v>0</v>
      </c>
    </row>
    <row r="35" spans="1:34" s="1254" customFormat="1" ht="78.75" x14ac:dyDescent="0.25">
      <c r="A35" s="1254">
        <v>4</v>
      </c>
      <c r="B35" s="1243" t="str">
        <f t="shared" ca="1" si="4"/>
        <v>.4.1.1</v>
      </c>
      <c r="C35" s="1487" t="s">
        <v>6039</v>
      </c>
      <c r="D35" s="1486" t="s">
        <v>5954</v>
      </c>
      <c r="E35" s="1493">
        <f>12*2/100</f>
        <v>0.24</v>
      </c>
      <c r="F35" s="1374" t="s">
        <v>6040</v>
      </c>
      <c r="G35" s="1376">
        <v>46023</v>
      </c>
      <c r="H35" s="1400">
        <f>407.45*1000/1.02</f>
        <v>399460.78</v>
      </c>
      <c r="I35" s="1472">
        <f>0.27*1000/1.02</f>
        <v>264.70999999999998</v>
      </c>
      <c r="J35" s="1472"/>
      <c r="K35" s="1472">
        <f>8.53*1000/1.02</f>
        <v>8362.75</v>
      </c>
      <c r="L35" s="1472">
        <f t="shared" si="14"/>
        <v>0</v>
      </c>
      <c r="M35" s="1400">
        <f t="shared" si="15"/>
        <v>390833.32</v>
      </c>
      <c r="N35" s="1400">
        <f t="shared" ref="N35:N77" si="16">E35*M35</f>
        <v>93800</v>
      </c>
      <c r="O35" s="1377">
        <v>1</v>
      </c>
      <c r="P35" s="1377">
        <v>1</v>
      </c>
      <c r="Q35" s="1400">
        <f t="shared" ref="Q35:Q37" si="17">N35*O35*P35</f>
        <v>93800</v>
      </c>
      <c r="R35" s="1377">
        <v>0.9</v>
      </c>
      <c r="S35" s="1377">
        <v>0.99</v>
      </c>
      <c r="T35" s="1377">
        <v>1</v>
      </c>
      <c r="U35" s="1413">
        <f t="shared" ref="U35:U37" si="18">Q35*R35*S35*T35</f>
        <v>83575.8</v>
      </c>
      <c r="V35" s="1413">
        <f t="shared" ref="V35:V77" si="19">E35*L35*O35*P35*R35*S35*T35</f>
        <v>0</v>
      </c>
      <c r="W35" s="1392">
        <f>'Индексы Росстата'!$F$121</f>
        <v>1.0225</v>
      </c>
      <c r="X35" s="1417">
        <f t="shared" ref="X35:X37" si="20">U35*W35</f>
        <v>85456.26</v>
      </c>
      <c r="Y35" s="1500" t="e">
        <f>'Индексы-дефляторы'!$F$41</f>
        <v>#REF!</v>
      </c>
      <c r="Z35" s="1417" t="e">
        <f t="shared" ref="Z35:Z37" si="21">X35*Y35</f>
        <v>#REF!</v>
      </c>
      <c r="AA35" s="1413" t="e">
        <f t="shared" ref="AA35:AA77" si="22">V35*W35*Y35</f>
        <v>#REF!</v>
      </c>
      <c r="AB35" s="1456"/>
      <c r="AC35" s="1463" t="e">
        <f t="shared" ref="AC35:AD37" si="23">Z35*1.22</f>
        <v>#REF!</v>
      </c>
      <c r="AD35" s="1464" t="e">
        <f t="shared" si="23"/>
        <v>#REF!</v>
      </c>
      <c r="AE35" s="1397" t="e">
        <f>AC35/(E35*100)</f>
        <v>#REF!</v>
      </c>
      <c r="AF35" s="1254" t="s">
        <v>5831</v>
      </c>
      <c r="AG35" s="1567" t="e">
        <f t="shared" si="12"/>
        <v>#REF!</v>
      </c>
      <c r="AH35" s="1568" t="e">
        <f t="shared" si="13"/>
        <v>#REF!</v>
      </c>
    </row>
    <row r="36" spans="1:34" s="1254" customFormat="1" ht="110.25" x14ac:dyDescent="0.25">
      <c r="A36" s="1254">
        <v>4</v>
      </c>
      <c r="B36" s="1243" t="str">
        <f t="shared" ca="1" si="4"/>
        <v>.4.1.2</v>
      </c>
      <c r="C36" s="1487" t="s">
        <v>6047</v>
      </c>
      <c r="D36" s="1486" t="s">
        <v>316</v>
      </c>
      <c r="E36" s="1488">
        <v>1</v>
      </c>
      <c r="F36" s="1374" t="s">
        <v>6043</v>
      </c>
      <c r="G36" s="1376">
        <v>44652</v>
      </c>
      <c r="H36" s="1400">
        <f>1551.79*9.38*1.05+545000/1.2</f>
        <v>469450.25</v>
      </c>
      <c r="I36" s="1472"/>
      <c r="J36" s="1472"/>
      <c r="K36" s="1472"/>
      <c r="L36" s="1472">
        <f>545000/1.2</f>
        <v>454166.67</v>
      </c>
      <c r="M36" s="1400">
        <f t="shared" si="15"/>
        <v>469450.25</v>
      </c>
      <c r="N36" s="1400">
        <f t="shared" si="16"/>
        <v>469450.25</v>
      </c>
      <c r="O36" s="1377">
        <v>1</v>
      </c>
      <c r="P36" s="1377">
        <v>1</v>
      </c>
      <c r="Q36" s="1400">
        <f t="shared" si="17"/>
        <v>469450.25</v>
      </c>
      <c r="R36" s="1377">
        <v>1</v>
      </c>
      <c r="S36" s="1377">
        <v>1</v>
      </c>
      <c r="T36" s="1377">
        <v>1</v>
      </c>
      <c r="U36" s="1413">
        <f t="shared" si="18"/>
        <v>469450.25</v>
      </c>
      <c r="V36" s="1413">
        <f t="shared" si="19"/>
        <v>454166.67</v>
      </c>
      <c r="W36" s="1392">
        <f>'Индексы Росстата'!$F$124</f>
        <v>1.2297</v>
      </c>
      <c r="X36" s="1417">
        <f t="shared" si="20"/>
        <v>577282.97</v>
      </c>
      <c r="Y36" s="1500" t="e">
        <f>'Индексы-дефляторы'!$F$41</f>
        <v>#REF!</v>
      </c>
      <c r="Z36" s="1417" t="e">
        <f t="shared" si="21"/>
        <v>#REF!</v>
      </c>
      <c r="AA36" s="1413" t="e">
        <f t="shared" si="22"/>
        <v>#REF!</v>
      </c>
      <c r="AB36" s="1456" t="s">
        <v>6044</v>
      </c>
      <c r="AC36" s="1463" t="e">
        <f t="shared" si="23"/>
        <v>#REF!</v>
      </c>
      <c r="AD36" s="1464" t="e">
        <f t="shared" si="23"/>
        <v>#REF!</v>
      </c>
      <c r="AE36" s="1397" t="e">
        <f>AC36/E36</f>
        <v>#REF!</v>
      </c>
      <c r="AF36" s="1254" t="s">
        <v>6027</v>
      </c>
      <c r="AG36" s="1567" t="e">
        <f t="shared" si="12"/>
        <v>#REF!</v>
      </c>
      <c r="AH36" s="1568" t="e">
        <f t="shared" si="13"/>
        <v>#REF!</v>
      </c>
    </row>
    <row r="37" spans="1:34" s="1254" customFormat="1" ht="110.25" x14ac:dyDescent="0.25">
      <c r="A37" s="1254">
        <v>4</v>
      </c>
      <c r="B37" s="1243" t="str">
        <f t="shared" ca="1" si="4"/>
        <v>.4.1.3</v>
      </c>
      <c r="C37" s="1487" t="s">
        <v>6041</v>
      </c>
      <c r="D37" s="1486" t="s">
        <v>316</v>
      </c>
      <c r="E37" s="1488">
        <v>4</v>
      </c>
      <c r="F37" s="1374" t="s">
        <v>6042</v>
      </c>
      <c r="G37" s="1376">
        <v>44652</v>
      </c>
      <c r="H37" s="1400">
        <f>42300/1.2</f>
        <v>35250</v>
      </c>
      <c r="I37" s="1472"/>
      <c r="J37" s="1472"/>
      <c r="K37" s="1472"/>
      <c r="L37" s="1472">
        <f>H37</f>
        <v>35250</v>
      </c>
      <c r="M37" s="1400">
        <f t="shared" si="15"/>
        <v>35250</v>
      </c>
      <c r="N37" s="1400">
        <f t="shared" si="16"/>
        <v>141000</v>
      </c>
      <c r="O37" s="1377">
        <v>1</v>
      </c>
      <c r="P37" s="1377">
        <v>1</v>
      </c>
      <c r="Q37" s="1400">
        <f t="shared" si="17"/>
        <v>141000</v>
      </c>
      <c r="R37" s="1377">
        <v>1</v>
      </c>
      <c r="S37" s="1377">
        <v>1</v>
      </c>
      <c r="T37" s="1377">
        <v>1</v>
      </c>
      <c r="U37" s="1413">
        <f t="shared" si="18"/>
        <v>141000</v>
      </c>
      <c r="V37" s="1413">
        <f t="shared" si="19"/>
        <v>141000</v>
      </c>
      <c r="W37" s="1392">
        <f>'Индексы Росстата'!$F$124</f>
        <v>1.2297</v>
      </c>
      <c r="X37" s="1417">
        <f t="shared" si="20"/>
        <v>173387.7</v>
      </c>
      <c r="Y37" s="1500" t="e">
        <f>'Индексы-дефляторы'!$F$41</f>
        <v>#REF!</v>
      </c>
      <c r="Z37" s="1417" t="e">
        <f t="shared" si="21"/>
        <v>#REF!</v>
      </c>
      <c r="AA37" s="1413" t="e">
        <f t="shared" si="22"/>
        <v>#REF!</v>
      </c>
      <c r="AB37" s="1456"/>
      <c r="AC37" s="1463" t="e">
        <f t="shared" si="23"/>
        <v>#REF!</v>
      </c>
      <c r="AD37" s="1464" t="e">
        <f t="shared" si="23"/>
        <v>#REF!</v>
      </c>
      <c r="AE37" s="1397" t="e">
        <f>AC37/E37</f>
        <v>#REF!</v>
      </c>
      <c r="AF37" s="1254" t="s">
        <v>6027</v>
      </c>
      <c r="AG37" s="1567" t="e">
        <f t="shared" si="12"/>
        <v>#REF!</v>
      </c>
      <c r="AH37" s="1568" t="e">
        <f t="shared" si="13"/>
        <v>#REF!</v>
      </c>
    </row>
    <row r="38" spans="1:34" s="1254" customFormat="1" ht="78.75" x14ac:dyDescent="0.25">
      <c r="A38" s="1254">
        <v>3</v>
      </c>
      <c r="B38" s="1243" t="str">
        <f t="shared" ca="1" si="4"/>
        <v>.4.2</v>
      </c>
      <c r="C38" s="1487" t="s">
        <v>5972</v>
      </c>
      <c r="D38" s="1486" t="s">
        <v>4132</v>
      </c>
      <c r="E38" s="1493">
        <f>350/100</f>
        <v>3.5</v>
      </c>
      <c r="F38" s="1374" t="s">
        <v>6031</v>
      </c>
      <c r="G38" s="1376">
        <v>46023</v>
      </c>
      <c r="H38" s="1400">
        <f>651.26*1000/1.02</f>
        <v>638490.19999999995</v>
      </c>
      <c r="I38" s="1472">
        <f>0.44*1000/1.02</f>
        <v>431.37</v>
      </c>
      <c r="J38" s="1472"/>
      <c r="K38" s="1472">
        <f>13.64*1000/1.02</f>
        <v>13372.55</v>
      </c>
      <c r="L38" s="1472">
        <f>0*1000/1.02</f>
        <v>0</v>
      </c>
      <c r="M38" s="1400">
        <f t="shared" si="15"/>
        <v>624686.28</v>
      </c>
      <c r="N38" s="1400">
        <f t="shared" si="16"/>
        <v>2186401.98</v>
      </c>
      <c r="O38" s="1377">
        <v>1</v>
      </c>
      <c r="P38" s="1377">
        <v>1</v>
      </c>
      <c r="Q38" s="1400">
        <f t="shared" si="7"/>
        <v>2186401.98</v>
      </c>
      <c r="R38" s="1377">
        <v>0.9</v>
      </c>
      <c r="S38" s="1377">
        <v>0.99</v>
      </c>
      <c r="T38" s="1377">
        <v>1</v>
      </c>
      <c r="U38" s="1413">
        <f t="shared" si="8"/>
        <v>1948084.16</v>
      </c>
      <c r="V38" s="1413">
        <f t="shared" si="19"/>
        <v>0</v>
      </c>
      <c r="W38" s="1392">
        <f>'Индексы Росстата'!$F$121</f>
        <v>1.0225</v>
      </c>
      <c r="X38" s="1417">
        <f t="shared" si="9"/>
        <v>1991916.05</v>
      </c>
      <c r="Y38" s="1500" t="e">
        <f>'Индексы-дефляторы'!$F$41</f>
        <v>#REF!</v>
      </c>
      <c r="Z38" s="1417" t="e">
        <f t="shared" si="10"/>
        <v>#REF!</v>
      </c>
      <c r="AA38" s="1413" t="e">
        <f t="shared" si="22"/>
        <v>#REF!</v>
      </c>
      <c r="AB38" s="1456"/>
      <c r="AC38" s="1463" t="e">
        <f t="shared" si="3"/>
        <v>#REF!</v>
      </c>
      <c r="AD38" s="1464" t="e">
        <f t="shared" si="3"/>
        <v>#REF!</v>
      </c>
      <c r="AE38" s="1397" t="e">
        <f>AC38/(E38*100)</f>
        <v>#REF!</v>
      </c>
      <c r="AF38" s="1254" t="s">
        <v>6000</v>
      </c>
      <c r="AG38" s="1567" t="e">
        <f t="shared" si="12"/>
        <v>#REF!</v>
      </c>
      <c r="AH38" s="1568" t="e">
        <f t="shared" si="13"/>
        <v>#REF!</v>
      </c>
    </row>
    <row r="39" spans="1:34" s="1254" customFormat="1" ht="63" x14ac:dyDescent="0.25">
      <c r="A39" s="1254">
        <v>3</v>
      </c>
      <c r="B39" s="1243" t="str">
        <f t="shared" ca="1" si="4"/>
        <v>.4.3</v>
      </c>
      <c r="C39" s="1487" t="s">
        <v>74</v>
      </c>
      <c r="D39" s="1486" t="s">
        <v>5593</v>
      </c>
      <c r="E39" s="1493">
        <f>1500/100</f>
        <v>15</v>
      </c>
      <c r="F39" s="1374" t="s">
        <v>6016</v>
      </c>
      <c r="G39" s="1376">
        <v>46023</v>
      </c>
      <c r="H39" s="1400">
        <f>164.27*1000/1.02</f>
        <v>161049.01999999999</v>
      </c>
      <c r="I39" s="1472">
        <f>0.14*1000/1.02</f>
        <v>137.25</v>
      </c>
      <c r="J39" s="1472"/>
      <c r="K39" s="1472">
        <f>3.44*1000/1.02</f>
        <v>3372.55</v>
      </c>
      <c r="L39" s="1472">
        <f>0*1000/1.02</f>
        <v>0</v>
      </c>
      <c r="M39" s="1400">
        <f t="shared" si="15"/>
        <v>157539.22</v>
      </c>
      <c r="N39" s="1400">
        <f t="shared" si="16"/>
        <v>2363088.2999999998</v>
      </c>
      <c r="O39" s="1377">
        <v>1</v>
      </c>
      <c r="P39" s="1377">
        <v>1</v>
      </c>
      <c r="Q39" s="1400">
        <f t="shared" si="7"/>
        <v>2363088.2999999998</v>
      </c>
      <c r="R39" s="1377">
        <v>0.84</v>
      </c>
      <c r="S39" s="1377">
        <v>1</v>
      </c>
      <c r="T39" s="1377">
        <v>1</v>
      </c>
      <c r="U39" s="1413">
        <f t="shared" si="8"/>
        <v>1984994.17</v>
      </c>
      <c r="V39" s="1413">
        <f t="shared" si="19"/>
        <v>0</v>
      </c>
      <c r="W39" s="1392">
        <f>'Индексы Росстата'!$F$121</f>
        <v>1.0225</v>
      </c>
      <c r="X39" s="1417">
        <f t="shared" si="9"/>
        <v>2029656.54</v>
      </c>
      <c r="Y39" s="1500" t="e">
        <f>'Индексы-дефляторы'!$F$41</f>
        <v>#REF!</v>
      </c>
      <c r="Z39" s="1417" t="e">
        <f t="shared" si="10"/>
        <v>#REF!</v>
      </c>
      <c r="AA39" s="1413" t="e">
        <f t="shared" si="22"/>
        <v>#REF!</v>
      </c>
      <c r="AB39" s="1456"/>
      <c r="AC39" s="1463" t="e">
        <f t="shared" si="3"/>
        <v>#REF!</v>
      </c>
      <c r="AD39" s="1464" t="e">
        <f t="shared" si="3"/>
        <v>#REF!</v>
      </c>
      <c r="AE39" s="1397" t="e">
        <f>AC39/(E39*100)</f>
        <v>#REF!</v>
      </c>
      <c r="AF39" s="1254" t="s">
        <v>5831</v>
      </c>
      <c r="AG39" s="1567" t="e">
        <f t="shared" si="12"/>
        <v>#REF!</v>
      </c>
      <c r="AH39" s="1568" t="e">
        <f t="shared" si="13"/>
        <v>#REF!</v>
      </c>
    </row>
    <row r="40" spans="1:34" s="1254" customFormat="1" ht="78.75" x14ac:dyDescent="0.25">
      <c r="A40" s="1254">
        <v>3</v>
      </c>
      <c r="B40" s="1243" t="str">
        <f t="shared" ca="1" si="4"/>
        <v>.4.4</v>
      </c>
      <c r="C40" s="1547" t="s">
        <v>5973</v>
      </c>
      <c r="D40" s="1486" t="s">
        <v>5954</v>
      </c>
      <c r="E40" s="1504">
        <f>500/100</f>
        <v>5</v>
      </c>
      <c r="F40" s="1374" t="s">
        <v>6032</v>
      </c>
      <c r="G40" s="1376">
        <v>46023</v>
      </c>
      <c r="H40" s="1400">
        <f>519.74*1000/1.02</f>
        <v>509549.02</v>
      </c>
      <c r="I40" s="1472">
        <f>0.37*1000/1.02</f>
        <v>362.75</v>
      </c>
      <c r="J40" s="1472"/>
      <c r="K40" s="1472">
        <f>10.88*1000/1.02</f>
        <v>10666.67</v>
      </c>
      <c r="L40" s="1472">
        <f>0*1000/1.02</f>
        <v>0</v>
      </c>
      <c r="M40" s="1400">
        <f t="shared" si="15"/>
        <v>498519.6</v>
      </c>
      <c r="N40" s="1400">
        <f t="shared" si="16"/>
        <v>2492598</v>
      </c>
      <c r="O40" s="1377">
        <v>1</v>
      </c>
      <c r="P40" s="1377">
        <v>1</v>
      </c>
      <c r="Q40" s="1400">
        <f t="shared" si="7"/>
        <v>2492598</v>
      </c>
      <c r="R40" s="1377">
        <v>0.9</v>
      </c>
      <c r="S40" s="1377">
        <v>0.99</v>
      </c>
      <c r="T40" s="1377">
        <v>1</v>
      </c>
      <c r="U40" s="1413">
        <f t="shared" si="8"/>
        <v>2220904.8199999998</v>
      </c>
      <c r="V40" s="1413">
        <f t="shared" si="19"/>
        <v>0</v>
      </c>
      <c r="W40" s="1392">
        <f>'Индексы Росстата'!$F$121</f>
        <v>1.0225</v>
      </c>
      <c r="X40" s="1417">
        <f t="shared" si="9"/>
        <v>2270875.1800000002</v>
      </c>
      <c r="Y40" s="1500" t="e">
        <f>'Индексы-дефляторы'!$F$41</f>
        <v>#REF!</v>
      </c>
      <c r="Z40" s="1417" t="e">
        <f t="shared" si="10"/>
        <v>#REF!</v>
      </c>
      <c r="AA40" s="1413" t="e">
        <f t="shared" si="22"/>
        <v>#REF!</v>
      </c>
      <c r="AB40" s="1456"/>
      <c r="AC40" s="1463" t="e">
        <f t="shared" si="3"/>
        <v>#REF!</v>
      </c>
      <c r="AD40" s="1464" t="e">
        <f t="shared" si="3"/>
        <v>#REF!</v>
      </c>
      <c r="AE40" s="1397" t="e">
        <f>AC40/(E40*100)</f>
        <v>#REF!</v>
      </c>
      <c r="AF40" s="1254" t="s">
        <v>5831</v>
      </c>
      <c r="AG40" s="1567" t="e">
        <f t="shared" si="12"/>
        <v>#REF!</v>
      </c>
      <c r="AH40" s="1568" t="e">
        <f t="shared" si="13"/>
        <v>#REF!</v>
      </c>
    </row>
    <row r="41" spans="1:34" s="1254" customFormat="1" ht="110.25" x14ac:dyDescent="0.25">
      <c r="A41" s="1254">
        <v>3</v>
      </c>
      <c r="B41" s="1243" t="str">
        <f t="shared" ca="1" si="4"/>
        <v>.4.5</v>
      </c>
      <c r="C41" s="1547" t="s">
        <v>6048</v>
      </c>
      <c r="D41" s="1489" t="s">
        <v>316</v>
      </c>
      <c r="E41" s="1490">
        <v>2</v>
      </c>
      <c r="F41" s="1374" t="s">
        <v>6046</v>
      </c>
      <c r="G41" s="1376">
        <v>44652</v>
      </c>
      <c r="H41" s="1400">
        <f>446.59*9.38*1.05+280200/1.2</f>
        <v>237898.46</v>
      </c>
      <c r="I41" s="1472"/>
      <c r="J41" s="1472"/>
      <c r="K41" s="1472"/>
      <c r="L41" s="1472">
        <f>280200/1.2</f>
        <v>233500</v>
      </c>
      <c r="M41" s="1400">
        <f t="shared" si="15"/>
        <v>237898.46</v>
      </c>
      <c r="N41" s="1400">
        <f t="shared" si="16"/>
        <v>475796.92</v>
      </c>
      <c r="O41" s="1377">
        <v>1</v>
      </c>
      <c r="P41" s="1377">
        <v>1</v>
      </c>
      <c r="Q41" s="1400">
        <f t="shared" si="7"/>
        <v>475796.92</v>
      </c>
      <c r="R41" s="1377">
        <v>1</v>
      </c>
      <c r="S41" s="1377">
        <v>1</v>
      </c>
      <c r="T41" s="1377">
        <v>1</v>
      </c>
      <c r="U41" s="1413">
        <f t="shared" si="8"/>
        <v>475796.92</v>
      </c>
      <c r="V41" s="1413">
        <f t="shared" si="19"/>
        <v>467000</v>
      </c>
      <c r="W41" s="1392">
        <f>'Индексы Росстата'!$F$124</f>
        <v>1.2297</v>
      </c>
      <c r="X41" s="1417">
        <f t="shared" si="9"/>
        <v>585087.47</v>
      </c>
      <c r="Y41" s="1500" t="e">
        <f>'Индексы-дефляторы'!$F$41</f>
        <v>#REF!</v>
      </c>
      <c r="Z41" s="1417" t="e">
        <f t="shared" si="10"/>
        <v>#REF!</v>
      </c>
      <c r="AA41" s="1413" t="e">
        <f t="shared" si="22"/>
        <v>#REF!</v>
      </c>
      <c r="AB41" s="1577" t="s">
        <v>6044</v>
      </c>
      <c r="AC41" s="1463" t="e">
        <f t="shared" si="3"/>
        <v>#REF!</v>
      </c>
      <c r="AD41" s="1464" t="e">
        <f t="shared" si="3"/>
        <v>#REF!</v>
      </c>
      <c r="AE41" s="1397" t="e">
        <f>AC41/E41</f>
        <v>#REF!</v>
      </c>
      <c r="AF41" s="1254" t="s">
        <v>6027</v>
      </c>
      <c r="AG41" s="1567" t="e">
        <f t="shared" si="12"/>
        <v>#REF!</v>
      </c>
      <c r="AH41" s="1568" t="e">
        <f t="shared" si="13"/>
        <v>#REF!</v>
      </c>
    </row>
    <row r="42" spans="1:34" s="1516" customFormat="1" ht="90" x14ac:dyDescent="0.25">
      <c r="A42" s="1516">
        <v>2</v>
      </c>
      <c r="B42" s="1517" t="str">
        <f t="shared" ca="1" si="4"/>
        <v>.5</v>
      </c>
      <c r="C42" s="1485" t="s">
        <v>5974</v>
      </c>
      <c r="D42" s="1491" t="s">
        <v>432</v>
      </c>
      <c r="E42" s="1492">
        <v>1</v>
      </c>
      <c r="F42" s="1518"/>
      <c r="G42" s="1519"/>
      <c r="H42" s="1413"/>
      <c r="I42" s="1520"/>
      <c r="J42" s="1520"/>
      <c r="K42" s="1520"/>
      <c r="L42" s="1520">
        <f>0*1000/1.02</f>
        <v>0</v>
      </c>
      <c r="M42" s="1413">
        <f t="shared" si="15"/>
        <v>0</v>
      </c>
      <c r="N42" s="1413">
        <f>N43+N44+N45+N46</f>
        <v>4495666.17</v>
      </c>
      <c r="O42" s="1378"/>
      <c r="P42" s="1378"/>
      <c r="Q42" s="1413">
        <f>Q43+Q44+Q45+Q46</f>
        <v>4527730.17</v>
      </c>
      <c r="R42" s="1378"/>
      <c r="S42" s="1378"/>
      <c r="T42" s="1378"/>
      <c r="U42" s="1413">
        <f>U43+U44+U45+U46</f>
        <v>3865931.91</v>
      </c>
      <c r="V42" s="1413">
        <f>V43+V44+V45+V46</f>
        <v>1876728.24</v>
      </c>
      <c r="W42" s="1521"/>
      <c r="X42" s="1413">
        <f>X43+X44+X45+X46</f>
        <v>3952915.38</v>
      </c>
      <c r="Y42" s="1522"/>
      <c r="Z42" s="1413" t="e">
        <f>Z43+Z44+Z45+Z46</f>
        <v>#REF!</v>
      </c>
      <c r="AA42" s="1413" t="e">
        <f>AA43+AA44+AA45+AA46</f>
        <v>#REF!</v>
      </c>
      <c r="AB42" s="1523"/>
      <c r="AC42" s="1413" t="e">
        <f>AC43+AC44+AC45+AC46</f>
        <v>#REF!</v>
      </c>
      <c r="AD42" s="1413" t="e">
        <f>AD43+AD44+AD45+AD46</f>
        <v>#REF!</v>
      </c>
      <c r="AE42" s="1526" t="e">
        <f>AC42/E42</f>
        <v>#REF!</v>
      </c>
      <c r="AF42" s="1516" t="s">
        <v>6028</v>
      </c>
      <c r="AG42" s="1567"/>
      <c r="AH42" s="1568"/>
    </row>
    <row r="43" spans="1:34" s="1254" customFormat="1" ht="171" x14ac:dyDescent="0.25">
      <c r="A43" s="1254">
        <v>3</v>
      </c>
      <c r="B43" s="1243" t="str">
        <f t="shared" ca="1" si="4"/>
        <v>.5.1</v>
      </c>
      <c r="C43" s="1487" t="s">
        <v>5975</v>
      </c>
      <c r="D43" s="1486" t="s">
        <v>432</v>
      </c>
      <c r="E43" s="1488">
        <v>1</v>
      </c>
      <c r="F43" s="1578" t="s">
        <v>6049</v>
      </c>
      <c r="G43" s="1579">
        <v>46023</v>
      </c>
      <c r="H43" s="1580">
        <f>15952.19*1000/1.02/7*1.15</f>
        <v>2569330.3199999998</v>
      </c>
      <c r="I43" s="1581"/>
      <c r="J43" s="1581"/>
      <c r="K43" s="1581">
        <f>351.62*1000/1.02/7</f>
        <v>49246.5</v>
      </c>
      <c r="L43" s="1581">
        <f>15952.19*1000/1.02/7</f>
        <v>2234200.2799999998</v>
      </c>
      <c r="M43" s="1400">
        <f t="shared" si="15"/>
        <v>2520083.8199999998</v>
      </c>
      <c r="N43" s="1400">
        <f t="shared" si="16"/>
        <v>2520083.8199999998</v>
      </c>
      <c r="O43" s="1377">
        <v>1</v>
      </c>
      <c r="P43" s="1377">
        <v>1</v>
      </c>
      <c r="Q43" s="1400">
        <f t="shared" si="7"/>
        <v>2520083.8199999998</v>
      </c>
      <c r="R43" s="1377">
        <v>0.84</v>
      </c>
      <c r="S43" s="1377">
        <v>1</v>
      </c>
      <c r="T43" s="1377">
        <v>1</v>
      </c>
      <c r="U43" s="1413">
        <f t="shared" si="8"/>
        <v>2116870.41</v>
      </c>
      <c r="V43" s="1413">
        <f t="shared" si="19"/>
        <v>1876728.24</v>
      </c>
      <c r="W43" s="1392">
        <f>'Индексы Росстата'!$F$121</f>
        <v>1.0225</v>
      </c>
      <c r="X43" s="1417">
        <f t="shared" si="9"/>
        <v>2164499.9900000002</v>
      </c>
      <c r="Y43" s="1500" t="e">
        <f>'Индексы-дефляторы'!$F$41</f>
        <v>#REF!</v>
      </c>
      <c r="Z43" s="1417" t="e">
        <f t="shared" si="10"/>
        <v>#REF!</v>
      </c>
      <c r="AA43" s="1413" t="e">
        <f t="shared" si="22"/>
        <v>#REF!</v>
      </c>
      <c r="AB43" s="1456" t="s">
        <v>6050</v>
      </c>
      <c r="AC43" s="1463" t="e">
        <f t="shared" si="3"/>
        <v>#REF!</v>
      </c>
      <c r="AD43" s="1464" t="e">
        <f t="shared" si="3"/>
        <v>#REF!</v>
      </c>
      <c r="AE43" s="1397" t="e">
        <f>AC43/E43</f>
        <v>#REF!</v>
      </c>
      <c r="AF43" s="1254" t="s">
        <v>6028</v>
      </c>
      <c r="AG43" s="1567"/>
      <c r="AH43" s="1568" t="e">
        <f t="shared" si="13"/>
        <v>#REF!</v>
      </c>
    </row>
    <row r="44" spans="1:34" s="1254" customFormat="1" ht="204.75" x14ac:dyDescent="0.25">
      <c r="A44" s="1254">
        <v>3</v>
      </c>
      <c r="B44" s="1243" t="str">
        <f t="shared" ca="1" si="4"/>
        <v>.5.2</v>
      </c>
      <c r="C44" s="1487" t="s">
        <v>5976</v>
      </c>
      <c r="D44" s="1486" t="s">
        <v>4131</v>
      </c>
      <c r="E44" s="1493">
        <f>510/1000</f>
        <v>0.51</v>
      </c>
      <c r="F44" s="1374" t="s">
        <v>6017</v>
      </c>
      <c r="G44" s="1376">
        <v>46023</v>
      </c>
      <c r="H44" s="1400">
        <f>3406.53*1000/1.02</f>
        <v>3339735.29</v>
      </c>
      <c r="I44" s="1472">
        <f>131.51*1000/1.02</f>
        <v>128931.37</v>
      </c>
      <c r="J44" s="1472"/>
      <c r="K44" s="1472">
        <f>68.62*1000/1.02</f>
        <v>67274.509999999995</v>
      </c>
      <c r="L44" s="1472">
        <f t="shared" ref="L44:L77" si="24">0*1000/1.02</f>
        <v>0</v>
      </c>
      <c r="M44" s="1400">
        <f t="shared" si="15"/>
        <v>3143529.41</v>
      </c>
      <c r="N44" s="1400">
        <f t="shared" si="16"/>
        <v>1603200</v>
      </c>
      <c r="O44" s="1377">
        <v>1</v>
      </c>
      <c r="P44" s="1377">
        <v>1.02</v>
      </c>
      <c r="Q44" s="1400">
        <f t="shared" si="7"/>
        <v>1635264</v>
      </c>
      <c r="R44" s="1377">
        <v>0.88</v>
      </c>
      <c r="S44" s="1377">
        <v>0.99</v>
      </c>
      <c r="T44" s="1377">
        <v>1</v>
      </c>
      <c r="U44" s="1413">
        <f t="shared" si="8"/>
        <v>1424642</v>
      </c>
      <c r="V44" s="1413">
        <f t="shared" si="19"/>
        <v>0</v>
      </c>
      <c r="W44" s="1392">
        <f>'Индексы Росстата'!$F$121</f>
        <v>1.0225</v>
      </c>
      <c r="X44" s="1417">
        <f t="shared" si="9"/>
        <v>1456696.45</v>
      </c>
      <c r="Y44" s="1500" t="e">
        <f>'Индексы-дефляторы'!$F$41</f>
        <v>#REF!</v>
      </c>
      <c r="Z44" s="1417" t="e">
        <f t="shared" si="10"/>
        <v>#REF!</v>
      </c>
      <c r="AA44" s="1413" t="e">
        <f t="shared" si="22"/>
        <v>#REF!</v>
      </c>
      <c r="AB44" s="1456"/>
      <c r="AC44" s="1463" t="e">
        <f t="shared" si="3"/>
        <v>#REF!</v>
      </c>
      <c r="AD44" s="1464" t="e">
        <f t="shared" si="3"/>
        <v>#REF!</v>
      </c>
      <c r="AE44" s="1397" t="e">
        <f>AC44/(E44*1000)</f>
        <v>#REF!</v>
      </c>
      <c r="AF44" s="1254" t="s">
        <v>6000</v>
      </c>
      <c r="AG44" s="1567" t="e">
        <f t="shared" si="12"/>
        <v>#REF!</v>
      </c>
      <c r="AH44" s="1568" t="e">
        <f t="shared" si="13"/>
        <v>#REF!</v>
      </c>
    </row>
    <row r="45" spans="1:34" s="1254" customFormat="1" ht="204.75" x14ac:dyDescent="0.25">
      <c r="A45" s="1254">
        <v>3</v>
      </c>
      <c r="B45" s="1243" t="str">
        <f t="shared" ca="1" si="4"/>
        <v>.5.3</v>
      </c>
      <c r="C45" s="1487" t="s">
        <v>5977</v>
      </c>
      <c r="D45" s="1486" t="s">
        <v>2588</v>
      </c>
      <c r="E45" s="1493">
        <f>20/100</f>
        <v>0.2</v>
      </c>
      <c r="F45" s="1374" t="s">
        <v>6030</v>
      </c>
      <c r="G45" s="1376">
        <v>46023</v>
      </c>
      <c r="H45" s="1400">
        <f>2054.71*1000/1.02</f>
        <v>2014421.57</v>
      </c>
      <c r="I45" s="1472">
        <f>114.92*1000/1.02</f>
        <v>112666.67</v>
      </c>
      <c r="J45" s="1472"/>
      <c r="K45" s="1472">
        <f>40.64*1000/1.02</f>
        <v>39843.14</v>
      </c>
      <c r="L45" s="1472">
        <f t="shared" si="24"/>
        <v>0</v>
      </c>
      <c r="M45" s="1400">
        <f t="shared" si="15"/>
        <v>1861911.76</v>
      </c>
      <c r="N45" s="1400">
        <f t="shared" si="16"/>
        <v>372382.35</v>
      </c>
      <c r="O45" s="1377">
        <v>1</v>
      </c>
      <c r="P45" s="1377">
        <v>1</v>
      </c>
      <c r="Q45" s="1400">
        <f t="shared" si="7"/>
        <v>372382.35</v>
      </c>
      <c r="R45" s="1377">
        <v>0.88</v>
      </c>
      <c r="S45" s="1377">
        <v>0.99</v>
      </c>
      <c r="T45" s="1377">
        <v>1</v>
      </c>
      <c r="U45" s="1413">
        <f t="shared" si="8"/>
        <v>324419.5</v>
      </c>
      <c r="V45" s="1413">
        <f t="shared" si="19"/>
        <v>0</v>
      </c>
      <c r="W45" s="1392">
        <f>'Индексы Росстата'!$F$121</f>
        <v>1.0225</v>
      </c>
      <c r="X45" s="1417">
        <f t="shared" si="9"/>
        <v>331718.94</v>
      </c>
      <c r="Y45" s="1500" t="e">
        <f>'Индексы-дефляторы'!$F$41</f>
        <v>#REF!</v>
      </c>
      <c r="Z45" s="1417" t="e">
        <f t="shared" si="10"/>
        <v>#REF!</v>
      </c>
      <c r="AA45" s="1413" t="e">
        <f t="shared" si="22"/>
        <v>#REF!</v>
      </c>
      <c r="AB45" s="1456"/>
      <c r="AC45" s="1463" t="e">
        <f t="shared" si="3"/>
        <v>#REF!</v>
      </c>
      <c r="AD45" s="1464" t="e">
        <f t="shared" si="3"/>
        <v>#REF!</v>
      </c>
      <c r="AE45" s="1397" t="e">
        <f>AC45/(E45*100)</f>
        <v>#REF!</v>
      </c>
      <c r="AF45" s="1254" t="s">
        <v>6000</v>
      </c>
      <c r="AG45" s="1567" t="e">
        <f t="shared" si="12"/>
        <v>#REF!</v>
      </c>
      <c r="AH45" s="1568" t="e">
        <f t="shared" si="13"/>
        <v>#REF!</v>
      </c>
    </row>
    <row r="46" spans="1:34" s="1254" customFormat="1" x14ac:dyDescent="0.25">
      <c r="A46" s="1254">
        <v>3</v>
      </c>
      <c r="B46" s="1243" t="str">
        <f t="shared" ca="1" si="4"/>
        <v>.5.4</v>
      </c>
      <c r="C46" s="1487" t="s">
        <v>5978</v>
      </c>
      <c r="D46" s="1486" t="s">
        <v>5965</v>
      </c>
      <c r="E46" s="1488">
        <v>20</v>
      </c>
      <c r="F46" s="1374" t="str">
        <f ca="1">CONCATENATE("учтено в п.",$B$45)</f>
        <v>учтено в п..5.3</v>
      </c>
      <c r="G46" s="1376"/>
      <c r="H46" s="1400"/>
      <c r="I46" s="1472"/>
      <c r="J46" s="1472"/>
      <c r="K46" s="1472"/>
      <c r="L46" s="1472">
        <f t="shared" si="24"/>
        <v>0</v>
      </c>
      <c r="M46" s="1400">
        <f t="shared" si="15"/>
        <v>0</v>
      </c>
      <c r="N46" s="1400">
        <f t="shared" si="16"/>
        <v>0</v>
      </c>
      <c r="O46" s="1377">
        <v>1</v>
      </c>
      <c r="P46" s="1377">
        <v>1</v>
      </c>
      <c r="Q46" s="1400">
        <f t="shared" si="7"/>
        <v>0</v>
      </c>
      <c r="R46" s="1377"/>
      <c r="S46" s="1377"/>
      <c r="T46" s="1377"/>
      <c r="U46" s="1413">
        <f t="shared" si="8"/>
        <v>0</v>
      </c>
      <c r="V46" s="1413">
        <f t="shared" si="19"/>
        <v>0</v>
      </c>
      <c r="W46" s="1392"/>
      <c r="X46" s="1417">
        <f t="shared" si="9"/>
        <v>0</v>
      </c>
      <c r="Y46" s="1500" t="e">
        <f>'Индексы-дефляторы'!$F$41</f>
        <v>#REF!</v>
      </c>
      <c r="Z46" s="1417" t="e">
        <f t="shared" si="10"/>
        <v>#REF!</v>
      </c>
      <c r="AA46" s="1413" t="e">
        <f t="shared" si="22"/>
        <v>#REF!</v>
      </c>
      <c r="AB46" s="1456"/>
      <c r="AC46" s="1463" t="e">
        <f t="shared" si="3"/>
        <v>#REF!</v>
      </c>
      <c r="AD46" s="1464" t="e">
        <f t="shared" si="3"/>
        <v>#REF!</v>
      </c>
      <c r="AE46" s="1397" t="e">
        <f>AC46*1.2/E46</f>
        <v>#REF!</v>
      </c>
      <c r="AG46" s="1567" t="e">
        <f t="shared" si="12"/>
        <v>#REF!</v>
      </c>
      <c r="AH46" s="1568" t="e">
        <f t="shared" si="13"/>
        <v>#REF!</v>
      </c>
    </row>
    <row r="47" spans="1:34" s="1516" customFormat="1" x14ac:dyDescent="0.25">
      <c r="A47" s="1516">
        <v>2</v>
      </c>
      <c r="B47" s="1517" t="str">
        <f t="shared" ca="1" si="4"/>
        <v>.6</v>
      </c>
      <c r="C47" s="1485" t="s">
        <v>291</v>
      </c>
      <c r="D47" s="1491" t="s">
        <v>432</v>
      </c>
      <c r="E47" s="1492">
        <v>1</v>
      </c>
      <c r="F47" s="1518"/>
      <c r="G47" s="1519"/>
      <c r="H47" s="1413"/>
      <c r="I47" s="1520"/>
      <c r="J47" s="1520"/>
      <c r="K47" s="1520"/>
      <c r="L47" s="1520">
        <f t="shared" si="24"/>
        <v>0</v>
      </c>
      <c r="M47" s="1413">
        <f t="shared" si="15"/>
        <v>0</v>
      </c>
      <c r="N47" s="1413">
        <f>N48</f>
        <v>900243.14</v>
      </c>
      <c r="O47" s="1378"/>
      <c r="P47" s="1378"/>
      <c r="Q47" s="1413">
        <f>Q48</f>
        <v>900243.14</v>
      </c>
      <c r="R47" s="1378"/>
      <c r="S47" s="1378"/>
      <c r="T47" s="1378"/>
      <c r="U47" s="1413">
        <f>U48</f>
        <v>784291.83</v>
      </c>
      <c r="V47" s="1413">
        <f>V48</f>
        <v>0</v>
      </c>
      <c r="W47" s="1521"/>
      <c r="X47" s="1413">
        <f>X48</f>
        <v>801938.4</v>
      </c>
      <c r="Y47" s="1522"/>
      <c r="Z47" s="1413" t="e">
        <f>Z48</f>
        <v>#REF!</v>
      </c>
      <c r="AA47" s="1413" t="e">
        <f>AA48</f>
        <v>#REF!</v>
      </c>
      <c r="AB47" s="1523"/>
      <c r="AC47" s="1413" t="e">
        <f>AC48</f>
        <v>#REF!</v>
      </c>
      <c r="AD47" s="1525" t="e">
        <f t="shared" si="3"/>
        <v>#REF!</v>
      </c>
      <c r="AE47" s="1717" t="e">
        <f>AC47/E47</f>
        <v>#REF!</v>
      </c>
      <c r="AF47" s="1516" t="s">
        <v>6028</v>
      </c>
      <c r="AG47" s="1567"/>
      <c r="AH47" s="1568"/>
    </row>
    <row r="48" spans="1:34" s="1254" customFormat="1" ht="42.75" x14ac:dyDescent="0.25">
      <c r="A48" s="1254">
        <v>3</v>
      </c>
      <c r="B48" s="1243" t="str">
        <f t="shared" ca="1" si="4"/>
        <v>.6.1</v>
      </c>
      <c r="C48" s="1487" t="s">
        <v>5979</v>
      </c>
      <c r="D48" s="1486" t="s">
        <v>5965</v>
      </c>
      <c r="E48" s="1488">
        <v>1200</v>
      </c>
      <c r="F48" s="1374"/>
      <c r="G48" s="1376"/>
      <c r="H48" s="1400"/>
      <c r="I48" s="1472"/>
      <c r="J48" s="1472"/>
      <c r="K48" s="1472"/>
      <c r="L48" s="1472">
        <f t="shared" si="24"/>
        <v>0</v>
      </c>
      <c r="M48" s="1400">
        <f t="shared" si="15"/>
        <v>0</v>
      </c>
      <c r="N48" s="1400">
        <f>N49+N50+N51</f>
        <v>900243.14</v>
      </c>
      <c r="O48" s="1377"/>
      <c r="P48" s="1377"/>
      <c r="Q48" s="1400">
        <f>Q49+Q50+Q51</f>
        <v>900243.14</v>
      </c>
      <c r="R48" s="1377"/>
      <c r="S48" s="1377"/>
      <c r="T48" s="1377"/>
      <c r="U48" s="1400">
        <f>U49+U50+U51</f>
        <v>784291.83</v>
      </c>
      <c r="V48" s="1400">
        <f>V49+V50+V51</f>
        <v>0</v>
      </c>
      <c r="W48" s="1392"/>
      <c r="X48" s="1400">
        <f>X49+X50+X51</f>
        <v>801938.4</v>
      </c>
      <c r="Y48" s="1500"/>
      <c r="Z48" s="1400" t="e">
        <f>Z49+Z50+Z51</f>
        <v>#REF!</v>
      </c>
      <c r="AA48" s="1400" t="e">
        <f>AA49+AA50+AA51</f>
        <v>#REF!</v>
      </c>
      <c r="AB48" s="1456"/>
      <c r="AC48" s="1400" t="e">
        <f>AC49+AC50+AC51</f>
        <v>#REF!</v>
      </c>
      <c r="AD48" s="1400" t="e">
        <f>AD49+AD50+AD51</f>
        <v>#REF!</v>
      </c>
      <c r="AE48" s="1397" t="e">
        <f>AC48/E48</f>
        <v>#REF!</v>
      </c>
      <c r="AF48" s="1254" t="s">
        <v>6139</v>
      </c>
      <c r="AG48" s="1567"/>
      <c r="AH48" s="1568"/>
    </row>
    <row r="49" spans="1:34" s="1254" customFormat="1" ht="220.5" x14ac:dyDescent="0.25">
      <c r="A49" s="1254">
        <v>4</v>
      </c>
      <c r="B49" s="1243" t="str">
        <f t="shared" ca="1" si="4"/>
        <v>.6.1.1</v>
      </c>
      <c r="C49" s="1487" t="s">
        <v>6018</v>
      </c>
      <c r="D49" s="1486" t="s">
        <v>4131</v>
      </c>
      <c r="E49" s="1527">
        <f>815/1000</f>
        <v>0.81499999999999995</v>
      </c>
      <c r="F49" s="1374" t="s">
        <v>6020</v>
      </c>
      <c r="G49" s="1376">
        <v>46023</v>
      </c>
      <c r="H49" s="1400">
        <f>835.7*1000/1.02</f>
        <v>819313.73</v>
      </c>
      <c r="I49" s="1472">
        <f>34.72*1000/1.02</f>
        <v>34039.22</v>
      </c>
      <c r="J49" s="1472"/>
      <c r="K49" s="1472">
        <f>16.78*1000/1.02</f>
        <v>16450.98</v>
      </c>
      <c r="L49" s="1472">
        <f t="shared" si="24"/>
        <v>0</v>
      </c>
      <c r="M49" s="1400">
        <f t="shared" si="15"/>
        <v>768823.53</v>
      </c>
      <c r="N49" s="1400">
        <f t="shared" si="16"/>
        <v>626591.18000000005</v>
      </c>
      <c r="O49" s="1377">
        <v>1</v>
      </c>
      <c r="P49" s="1377">
        <v>1</v>
      </c>
      <c r="Q49" s="1400">
        <f t="shared" ref="Q49:Q51" si="25">N49*O49*P49</f>
        <v>626591.18000000005</v>
      </c>
      <c r="R49" s="1377">
        <v>0.88</v>
      </c>
      <c r="S49" s="1377">
        <v>0.99</v>
      </c>
      <c r="T49" s="1377">
        <v>1</v>
      </c>
      <c r="U49" s="1400">
        <f t="shared" ref="U49:U51" si="26">Q49*R49*S49*T49</f>
        <v>545886.24</v>
      </c>
      <c r="V49" s="1400">
        <f t="shared" si="19"/>
        <v>0</v>
      </c>
      <c r="W49" s="1392">
        <f>'Индексы Росстата'!$F$121</f>
        <v>1.0225</v>
      </c>
      <c r="X49" s="1417">
        <f t="shared" ref="X49:X51" si="27">U49*W49</f>
        <v>558168.68000000005</v>
      </c>
      <c r="Y49" s="1500" t="e">
        <f>'Индексы-дефляторы'!$F$41</f>
        <v>#REF!</v>
      </c>
      <c r="Z49" s="1417" t="e">
        <f t="shared" ref="Z49:Z51" si="28">X49*Y49</f>
        <v>#REF!</v>
      </c>
      <c r="AA49" s="1400" t="e">
        <f t="shared" si="22"/>
        <v>#REF!</v>
      </c>
      <c r="AB49" s="1456"/>
      <c r="AC49" s="1463" t="e">
        <f t="shared" si="3"/>
        <v>#REF!</v>
      </c>
      <c r="AD49" s="1464" t="e">
        <f t="shared" si="3"/>
        <v>#REF!</v>
      </c>
      <c r="AE49" s="1397" t="e">
        <f>AC49/(E49*1000)</f>
        <v>#REF!</v>
      </c>
      <c r="AF49" s="1254" t="s">
        <v>6000</v>
      </c>
      <c r="AG49" s="1567" t="e">
        <f t="shared" si="12"/>
        <v>#REF!</v>
      </c>
      <c r="AH49" s="1568" t="e">
        <f t="shared" si="13"/>
        <v>#REF!</v>
      </c>
    </row>
    <row r="50" spans="1:34" s="1254" customFormat="1" ht="189" x14ac:dyDescent="0.25">
      <c r="A50" s="1254">
        <v>4</v>
      </c>
      <c r="B50" s="1243" t="str">
        <f t="shared" ca="1" si="4"/>
        <v>.6.1.2</v>
      </c>
      <c r="C50" s="1487" t="s">
        <v>6019</v>
      </c>
      <c r="D50" s="1486" t="s">
        <v>2588</v>
      </c>
      <c r="E50" s="1493">
        <f>385/100</f>
        <v>3.85</v>
      </c>
      <c r="F50" s="1374" t="s">
        <v>6021</v>
      </c>
      <c r="G50" s="1376">
        <v>46023</v>
      </c>
      <c r="H50" s="1400">
        <f>77.76*1000/1.02</f>
        <v>76235.289999999994</v>
      </c>
      <c r="I50" s="1472">
        <f>3.71*1000/1.02</f>
        <v>3637.25</v>
      </c>
      <c r="J50" s="1472"/>
      <c r="K50" s="1472">
        <f>1.55*1000/1.02</f>
        <v>1519.61</v>
      </c>
      <c r="L50" s="1472">
        <f t="shared" si="24"/>
        <v>0</v>
      </c>
      <c r="M50" s="1400">
        <f t="shared" si="15"/>
        <v>71078.429999999993</v>
      </c>
      <c r="N50" s="1400">
        <f t="shared" si="16"/>
        <v>273651.96000000002</v>
      </c>
      <c r="O50" s="1377">
        <v>1</v>
      </c>
      <c r="P50" s="1377">
        <v>1</v>
      </c>
      <c r="Q50" s="1400">
        <f t="shared" si="25"/>
        <v>273651.96000000002</v>
      </c>
      <c r="R50" s="1377">
        <v>0.88</v>
      </c>
      <c r="S50" s="1377">
        <v>0.99</v>
      </c>
      <c r="T50" s="1377">
        <v>1</v>
      </c>
      <c r="U50" s="1413">
        <f t="shared" si="26"/>
        <v>238405.59</v>
      </c>
      <c r="V50" s="1413">
        <f t="shared" si="19"/>
        <v>0</v>
      </c>
      <c r="W50" s="1392">
        <f>'Индексы Росстата'!$F$121</f>
        <v>1.0225</v>
      </c>
      <c r="X50" s="1417">
        <f t="shared" si="27"/>
        <v>243769.72</v>
      </c>
      <c r="Y50" s="1500" t="e">
        <f>'Индексы-дефляторы'!$F$41</f>
        <v>#REF!</v>
      </c>
      <c r="Z50" s="1417" t="e">
        <f t="shared" si="28"/>
        <v>#REF!</v>
      </c>
      <c r="AA50" s="1413" t="e">
        <f t="shared" si="22"/>
        <v>#REF!</v>
      </c>
      <c r="AB50" s="1456"/>
      <c r="AC50" s="1463" t="e">
        <f t="shared" si="3"/>
        <v>#REF!</v>
      </c>
      <c r="AD50" s="1464" t="e">
        <f t="shared" si="3"/>
        <v>#REF!</v>
      </c>
      <c r="AE50" s="1397" t="e">
        <f>AC50/(E50*100)</f>
        <v>#REF!</v>
      </c>
      <c r="AF50" s="1254" t="s">
        <v>6000</v>
      </c>
      <c r="AG50" s="1567" t="e">
        <f t="shared" si="12"/>
        <v>#REF!</v>
      </c>
      <c r="AH50" s="1568" t="e">
        <f t="shared" si="13"/>
        <v>#REF!</v>
      </c>
    </row>
    <row r="51" spans="1:34" s="1254" customFormat="1" x14ac:dyDescent="0.25">
      <c r="A51" s="1254">
        <v>4</v>
      </c>
      <c r="B51" s="1243" t="str">
        <f t="shared" ca="1" si="4"/>
        <v>.6.1.3</v>
      </c>
      <c r="C51" s="1487" t="s">
        <v>5980</v>
      </c>
      <c r="D51" s="1486" t="s">
        <v>316</v>
      </c>
      <c r="E51" s="1488">
        <v>2</v>
      </c>
      <c r="F51" s="1374" t="str">
        <f ca="1">CONCATENATE("учтено в п.",B49,", ",B50)</f>
        <v>учтено в п..6.1.1, .6.1.2</v>
      </c>
      <c r="G51" s="1376"/>
      <c r="H51" s="1400"/>
      <c r="I51" s="1472"/>
      <c r="J51" s="1472"/>
      <c r="K51" s="1472"/>
      <c r="L51" s="1472">
        <f t="shared" si="24"/>
        <v>0</v>
      </c>
      <c r="M51" s="1400">
        <f t="shared" si="15"/>
        <v>0</v>
      </c>
      <c r="N51" s="1400">
        <f t="shared" si="16"/>
        <v>0</v>
      </c>
      <c r="O51" s="1377">
        <v>1</v>
      </c>
      <c r="P51" s="1377">
        <v>1</v>
      </c>
      <c r="Q51" s="1400">
        <f t="shared" si="25"/>
        <v>0</v>
      </c>
      <c r="R51" s="1377"/>
      <c r="S51" s="1377"/>
      <c r="T51" s="1377"/>
      <c r="U51" s="1413">
        <f t="shared" si="26"/>
        <v>0</v>
      </c>
      <c r="V51" s="1413">
        <f t="shared" si="19"/>
        <v>0</v>
      </c>
      <c r="W51" s="1392"/>
      <c r="X51" s="1417">
        <f t="shared" si="27"/>
        <v>0</v>
      </c>
      <c r="Y51" s="1500" t="e">
        <f>'Индексы-дефляторы'!$F$41</f>
        <v>#REF!</v>
      </c>
      <c r="Z51" s="1417" t="e">
        <f t="shared" si="28"/>
        <v>#REF!</v>
      </c>
      <c r="AA51" s="1413" t="e">
        <f t="shared" si="22"/>
        <v>#REF!</v>
      </c>
      <c r="AB51" s="1456"/>
      <c r="AC51" s="1463" t="e">
        <f t="shared" si="3"/>
        <v>#REF!</v>
      </c>
      <c r="AD51" s="1464" t="e">
        <f t="shared" si="3"/>
        <v>#REF!</v>
      </c>
      <c r="AE51" s="1397" t="e">
        <f>AC51*1.2/E51</f>
        <v>#REF!</v>
      </c>
      <c r="AF51" s="1254" t="s">
        <v>6027</v>
      </c>
      <c r="AG51" s="1567" t="e">
        <f t="shared" si="12"/>
        <v>#REF!</v>
      </c>
      <c r="AH51" s="1568" t="e">
        <f t="shared" si="13"/>
        <v>#REF!</v>
      </c>
    </row>
    <row r="52" spans="1:34" s="1516" customFormat="1" x14ac:dyDescent="0.25">
      <c r="A52" s="1516">
        <v>2</v>
      </c>
      <c r="B52" s="1517" t="str">
        <f t="shared" ca="1" si="4"/>
        <v>.7</v>
      </c>
      <c r="C52" s="1485" t="s">
        <v>5981</v>
      </c>
      <c r="D52" s="1491" t="s">
        <v>432</v>
      </c>
      <c r="E52" s="1492">
        <v>1</v>
      </c>
      <c r="F52" s="1518"/>
      <c r="G52" s="1519"/>
      <c r="H52" s="1413"/>
      <c r="I52" s="1520"/>
      <c r="J52" s="1520"/>
      <c r="K52" s="1520"/>
      <c r="L52" s="1520">
        <f t="shared" si="24"/>
        <v>0</v>
      </c>
      <c r="M52" s="1413">
        <f t="shared" si="15"/>
        <v>0</v>
      </c>
      <c r="N52" s="1413">
        <f>N53+N54+N55+N56+N57+N58+N59+N60+N61+N62+N63+N64+N65+N66+N67+N68</f>
        <v>2128926.02</v>
      </c>
      <c r="O52" s="1378"/>
      <c r="P52" s="1378"/>
      <c r="Q52" s="1413">
        <f>Q53+Q54+Q55+Q56+Q57+Q58+Q59+Q60+Q61+Q62+Q63+Q64+Q65+Q66+Q67+Q68</f>
        <v>2128926.02</v>
      </c>
      <c r="R52" s="1378"/>
      <c r="S52" s="1378"/>
      <c r="T52" s="1378"/>
      <c r="U52" s="1413">
        <f>U53+U54+U55+U56+U57+U58+U59+U60+U61+U62+U63+U64+U65+U66+U67+U68</f>
        <v>1812201.44</v>
      </c>
      <c r="V52" s="1413">
        <f>V53+V54+V55+V56+V57+V58+V59+V60+V61+V62+V63+V64+V65+V66+V67+V68</f>
        <v>0</v>
      </c>
      <c r="W52" s="1521"/>
      <c r="X52" s="1413">
        <f>X53+X54+X55+X56+X57+X58+X59+X60+X61+X62+X63+X64+X65+X66+X67+X68</f>
        <v>1852975.97</v>
      </c>
      <c r="Y52" s="1522"/>
      <c r="Z52" s="1413" t="e">
        <f>Z53+Z54+Z55+Z56+Z57+Z58+Z59+Z60+Z61+Z62+Z63+Z64+Z65+Z66+Z67+Z68</f>
        <v>#REF!</v>
      </c>
      <c r="AA52" s="1413" t="e">
        <f>AA53+AA54+AA55+AA56+AA57+AA58+AA59+AA60+AA61+AA62+AA63+AA64+AA65+AA66+AA67+AA68</f>
        <v>#REF!</v>
      </c>
      <c r="AB52" s="1523"/>
      <c r="AC52" s="1413" t="e">
        <f>AC53+AC54+AC55+AC56+AC57+AC58+AC59+AC60+AC61+AC62+AC63+AC64+AC65+AC66+AC67+AC68</f>
        <v>#REF!</v>
      </c>
      <c r="AD52" s="1413" t="e">
        <f>AD53+AD54+AD55+AD56+AD57+AD58+AD59+AD60+AD61+AD62+AD63+AD64+AD65+AD66+AD67+AD68</f>
        <v>#REF!</v>
      </c>
      <c r="AE52" s="1526"/>
      <c r="AG52" s="1567">
        <f t="shared" si="12"/>
        <v>0</v>
      </c>
      <c r="AH52" s="1568">
        <f t="shared" si="13"/>
        <v>0</v>
      </c>
    </row>
    <row r="53" spans="1:34" s="1254" customFormat="1" ht="204.75" x14ac:dyDescent="0.25">
      <c r="A53" s="1254">
        <v>3</v>
      </c>
      <c r="B53" s="1243" t="str">
        <f t="shared" ca="1" si="4"/>
        <v>.7.1</v>
      </c>
      <c r="C53" s="1487" t="s">
        <v>5982</v>
      </c>
      <c r="D53" s="1486" t="s">
        <v>4131</v>
      </c>
      <c r="E53" s="1527">
        <f>56/1000</f>
        <v>5.6000000000000001E-2</v>
      </c>
      <c r="F53" s="1374" t="s">
        <v>6023</v>
      </c>
      <c r="G53" s="1376">
        <v>46023</v>
      </c>
      <c r="H53" s="1400">
        <f>(7881.56+372.57)*1000/1.02</f>
        <v>8092284.3099999996</v>
      </c>
      <c r="I53" s="1472">
        <f>(372.31+29.16)*1000/1.02</f>
        <v>393598.04</v>
      </c>
      <c r="J53" s="1472"/>
      <c r="K53" s="1472">
        <f>(157.33+7.19)*1000/1.02</f>
        <v>161294.12</v>
      </c>
      <c r="L53" s="1472">
        <f t="shared" si="24"/>
        <v>0</v>
      </c>
      <c r="M53" s="1400">
        <f t="shared" si="15"/>
        <v>7537392.1500000004</v>
      </c>
      <c r="N53" s="1400">
        <f t="shared" si="16"/>
        <v>422093.96</v>
      </c>
      <c r="O53" s="1377">
        <v>1</v>
      </c>
      <c r="P53" s="1377">
        <v>1</v>
      </c>
      <c r="Q53" s="1400">
        <f t="shared" ref="Q53:Q77" si="29">N53*O53*P53</f>
        <v>422093.96</v>
      </c>
      <c r="R53" s="1377">
        <v>0.86</v>
      </c>
      <c r="S53" s="1377">
        <v>0.98</v>
      </c>
      <c r="T53" s="1377">
        <v>1.01</v>
      </c>
      <c r="U53" s="1413">
        <f t="shared" ref="U53:U77" si="30">Q53*R53*S53*T53</f>
        <v>359298.2</v>
      </c>
      <c r="V53" s="1413">
        <f t="shared" si="19"/>
        <v>0</v>
      </c>
      <c r="W53" s="1392">
        <f>'Индексы Росстата'!$F$121</f>
        <v>1.0225</v>
      </c>
      <c r="X53" s="1417">
        <f t="shared" ref="X53:X77" si="31">U53*W53</f>
        <v>367382.41</v>
      </c>
      <c r="Y53" s="1500" t="e">
        <f>'Индексы-дефляторы'!$F$41</f>
        <v>#REF!</v>
      </c>
      <c r="Z53" s="1417" t="e">
        <f t="shared" ref="Z53:Z77" si="32">X53*Y53</f>
        <v>#REF!</v>
      </c>
      <c r="AA53" s="1413" t="e">
        <f t="shared" si="22"/>
        <v>#REF!</v>
      </c>
      <c r="AB53" s="1456"/>
      <c r="AC53" s="1463" t="e">
        <f t="shared" si="3"/>
        <v>#REF!</v>
      </c>
      <c r="AD53" s="1464" t="e">
        <f t="shared" si="3"/>
        <v>#REF!</v>
      </c>
      <c r="AE53" s="1397" t="e">
        <f>AC53/E53/1000</f>
        <v>#REF!</v>
      </c>
      <c r="AF53" s="1254" t="s">
        <v>6000</v>
      </c>
      <c r="AG53" s="1567" t="e">
        <f t="shared" si="12"/>
        <v>#REF!</v>
      </c>
      <c r="AH53" s="1568" t="e">
        <f t="shared" si="13"/>
        <v>#REF!</v>
      </c>
    </row>
    <row r="54" spans="1:34" s="1254" customFormat="1" ht="204.75" x14ac:dyDescent="0.25">
      <c r="A54" s="1254">
        <v>3</v>
      </c>
      <c r="B54" s="1243" t="str">
        <f t="shared" ca="1" si="4"/>
        <v>.7.2</v>
      </c>
      <c r="C54" s="1487" t="s">
        <v>5983</v>
      </c>
      <c r="D54" s="1486" t="s">
        <v>4131</v>
      </c>
      <c r="E54" s="1527">
        <f>90/1000</f>
        <v>0.09</v>
      </c>
      <c r="F54" s="1374" t="s">
        <v>6025</v>
      </c>
      <c r="G54" s="1376">
        <v>46023</v>
      </c>
      <c r="H54" s="1400">
        <f>(5910.66+372.57)*1000/1.02</f>
        <v>6160029.4100000001</v>
      </c>
      <c r="I54" s="1472">
        <f>(278.45+29.16)*1000/1.02</f>
        <v>301578.43</v>
      </c>
      <c r="J54" s="1472"/>
      <c r="K54" s="1472">
        <f>(118+7.19)*1000/1.02</f>
        <v>122735.29</v>
      </c>
      <c r="L54" s="1472">
        <f t="shared" si="24"/>
        <v>0</v>
      </c>
      <c r="M54" s="1400">
        <f t="shared" si="15"/>
        <v>5735715.6900000004</v>
      </c>
      <c r="N54" s="1400">
        <f t="shared" si="16"/>
        <v>516214.41</v>
      </c>
      <c r="O54" s="1377">
        <v>1</v>
      </c>
      <c r="P54" s="1377">
        <v>1</v>
      </c>
      <c r="Q54" s="1400">
        <f t="shared" si="29"/>
        <v>516214.41</v>
      </c>
      <c r="R54" s="1377">
        <v>0.86</v>
      </c>
      <c r="S54" s="1377">
        <v>0.98</v>
      </c>
      <c r="T54" s="1377">
        <v>1.01</v>
      </c>
      <c r="U54" s="1413">
        <f t="shared" si="30"/>
        <v>439416.16</v>
      </c>
      <c r="V54" s="1413">
        <f t="shared" si="19"/>
        <v>0</v>
      </c>
      <c r="W54" s="1392">
        <f>'Индексы Росстата'!$F$121</f>
        <v>1.0225</v>
      </c>
      <c r="X54" s="1417">
        <f t="shared" si="31"/>
        <v>449303.02</v>
      </c>
      <c r="Y54" s="1500" t="e">
        <f>'Индексы-дефляторы'!$F$41</f>
        <v>#REF!</v>
      </c>
      <c r="Z54" s="1417" t="e">
        <f t="shared" si="32"/>
        <v>#REF!</v>
      </c>
      <c r="AA54" s="1413" t="e">
        <f t="shared" si="22"/>
        <v>#REF!</v>
      </c>
      <c r="AB54" s="1456"/>
      <c r="AC54" s="1463" t="e">
        <f t="shared" si="3"/>
        <v>#REF!</v>
      </c>
      <c r="AD54" s="1464" t="e">
        <f t="shared" si="3"/>
        <v>#REF!</v>
      </c>
      <c r="AE54" s="1397" t="e">
        <f>AC54/E54/1000</f>
        <v>#REF!</v>
      </c>
      <c r="AF54" s="1254" t="s">
        <v>6000</v>
      </c>
      <c r="AG54" s="1567" t="e">
        <f t="shared" si="12"/>
        <v>#REF!</v>
      </c>
      <c r="AH54" s="1568" t="e">
        <f t="shared" si="13"/>
        <v>#REF!</v>
      </c>
    </row>
    <row r="55" spans="1:34" s="1254" customFormat="1" ht="141.75" x14ac:dyDescent="0.25">
      <c r="A55" s="1254">
        <v>3</v>
      </c>
      <c r="B55" s="1243" t="str">
        <f t="shared" ca="1" si="4"/>
        <v>.7.3</v>
      </c>
      <c r="C55" s="1487" t="s">
        <v>5984</v>
      </c>
      <c r="D55" s="1486" t="s">
        <v>5056</v>
      </c>
      <c r="E55" s="1493">
        <f>20/100</f>
        <v>0.2</v>
      </c>
      <c r="F55" s="1374" t="s">
        <v>6024</v>
      </c>
      <c r="G55" s="1376">
        <v>46023</v>
      </c>
      <c r="H55" s="1400">
        <f>(5318.09+50.39*($E55*100-100))*1000/$E55/1.02</f>
        <v>6308284.3099999996</v>
      </c>
      <c r="I55" s="1472">
        <f>(192.27+1.82*($E55*100-100))*1000/$E55/1.02</f>
        <v>228774.51</v>
      </c>
      <c r="J55" s="1472"/>
      <c r="K55" s="1472">
        <f>(107.39+1.02*($E55*100-100))*1000/$E55/1.02</f>
        <v>126421.57</v>
      </c>
      <c r="L55" s="1472">
        <f t="shared" si="24"/>
        <v>0</v>
      </c>
      <c r="M55" s="1400">
        <f t="shared" si="15"/>
        <v>5953088.2300000004</v>
      </c>
      <c r="N55" s="1400">
        <f t="shared" si="16"/>
        <v>1190617.6499999999</v>
      </c>
      <c r="O55" s="1377">
        <v>1</v>
      </c>
      <c r="P55" s="1377">
        <v>1</v>
      </c>
      <c r="Q55" s="1400">
        <f t="shared" si="29"/>
        <v>1190617.6499999999</v>
      </c>
      <c r="R55" s="1377">
        <v>0.86</v>
      </c>
      <c r="S55" s="1377">
        <v>0.98</v>
      </c>
      <c r="T55" s="1377">
        <v>1.01</v>
      </c>
      <c r="U55" s="1413">
        <f t="shared" si="30"/>
        <v>1013487.08</v>
      </c>
      <c r="V55" s="1413">
        <f t="shared" si="19"/>
        <v>0</v>
      </c>
      <c r="W55" s="1392">
        <f>'Индексы Росстата'!$F$121</f>
        <v>1.0225</v>
      </c>
      <c r="X55" s="1417">
        <f t="shared" si="31"/>
        <v>1036290.54</v>
      </c>
      <c r="Y55" s="1500" t="e">
        <f>'Индексы-дефляторы'!$F$41</f>
        <v>#REF!</v>
      </c>
      <c r="Z55" s="1417" t="e">
        <f t="shared" si="32"/>
        <v>#REF!</v>
      </c>
      <c r="AA55" s="1413" t="e">
        <f t="shared" si="22"/>
        <v>#REF!</v>
      </c>
      <c r="AB55" s="1456"/>
      <c r="AC55" s="1463" t="e">
        <f t="shared" si="3"/>
        <v>#REF!</v>
      </c>
      <c r="AD55" s="1464" t="e">
        <f t="shared" si="3"/>
        <v>#REF!</v>
      </c>
      <c r="AE55" s="1397" t="e">
        <f>AC55/(E55*100)</f>
        <v>#REF!</v>
      </c>
      <c r="AF55" s="1254" t="s">
        <v>6000</v>
      </c>
      <c r="AG55" s="1567" t="e">
        <f t="shared" si="12"/>
        <v>#REF!</v>
      </c>
      <c r="AH55" s="1568" t="e">
        <f t="shared" si="13"/>
        <v>#REF!</v>
      </c>
    </row>
    <row r="56" spans="1:34" s="1254" customFormat="1" x14ac:dyDescent="0.25">
      <c r="A56" s="1254">
        <v>3</v>
      </c>
      <c r="B56" s="1243" t="str">
        <f t="shared" ca="1" si="4"/>
        <v>.7.4</v>
      </c>
      <c r="C56" s="1487" t="s">
        <v>5985</v>
      </c>
      <c r="D56" s="1486" t="s">
        <v>5965</v>
      </c>
      <c r="E56" s="1488">
        <v>20</v>
      </c>
      <c r="F56" s="1374" t="str">
        <f ca="1">CONCATENATE("учтено в п.",B55)</f>
        <v>учтено в п..7.3</v>
      </c>
      <c r="G56" s="1376"/>
      <c r="H56" s="1400"/>
      <c r="I56" s="1472"/>
      <c r="J56" s="1472"/>
      <c r="K56" s="1472"/>
      <c r="L56" s="1472">
        <f t="shared" si="24"/>
        <v>0</v>
      </c>
      <c r="M56" s="1400">
        <f t="shared" si="15"/>
        <v>0</v>
      </c>
      <c r="N56" s="1400">
        <f t="shared" si="16"/>
        <v>0</v>
      </c>
      <c r="O56" s="1377">
        <v>1</v>
      </c>
      <c r="P56" s="1377">
        <v>1</v>
      </c>
      <c r="Q56" s="1400">
        <f t="shared" si="29"/>
        <v>0</v>
      </c>
      <c r="R56" s="1377"/>
      <c r="S56" s="1377"/>
      <c r="T56" s="1377"/>
      <c r="U56" s="1413">
        <f t="shared" si="30"/>
        <v>0</v>
      </c>
      <c r="V56" s="1413">
        <f t="shared" si="19"/>
        <v>0</v>
      </c>
      <c r="W56" s="1392"/>
      <c r="X56" s="1417">
        <f t="shared" si="31"/>
        <v>0</v>
      </c>
      <c r="Y56" s="1500" t="e">
        <f>'Индексы-дефляторы'!$F$41</f>
        <v>#REF!</v>
      </c>
      <c r="Z56" s="1417" t="e">
        <f t="shared" si="32"/>
        <v>#REF!</v>
      </c>
      <c r="AA56" s="1413" t="e">
        <f t="shared" si="22"/>
        <v>#REF!</v>
      </c>
      <c r="AB56" s="1456"/>
      <c r="AC56" s="1463" t="e">
        <f t="shared" si="3"/>
        <v>#REF!</v>
      </c>
      <c r="AD56" s="1464" t="e">
        <f t="shared" si="3"/>
        <v>#REF!</v>
      </c>
      <c r="AE56" s="1397" t="e">
        <f t="shared" ref="AE56:AE68" si="33">AC56*1.2/E56</f>
        <v>#REF!</v>
      </c>
      <c r="AF56" s="1254" t="s">
        <v>5831</v>
      </c>
      <c r="AG56" s="1567" t="e">
        <f t="shared" si="12"/>
        <v>#REF!</v>
      </c>
      <c r="AH56" s="1568" t="e">
        <f t="shared" si="13"/>
        <v>#REF!</v>
      </c>
    </row>
    <row r="57" spans="1:34" s="1254" customFormat="1" x14ac:dyDescent="0.25">
      <c r="A57" s="1254">
        <v>3</v>
      </c>
      <c r="B57" s="1243" t="str">
        <f t="shared" ca="1" si="4"/>
        <v>.7.5</v>
      </c>
      <c r="C57" s="1487" t="s">
        <v>6022</v>
      </c>
      <c r="D57" s="1486" t="s">
        <v>316</v>
      </c>
      <c r="E57" s="1488">
        <v>1</v>
      </c>
      <c r="F57" s="1374" t="str">
        <f ca="1">CONCATENATE("учтено в п.",$B$53,", ",$B$54)</f>
        <v>учтено в п..7.1, .7.2</v>
      </c>
      <c r="G57" s="1376"/>
      <c r="H57" s="1400"/>
      <c r="I57" s="1472"/>
      <c r="J57" s="1472"/>
      <c r="K57" s="1472"/>
      <c r="L57" s="1472">
        <f t="shared" si="24"/>
        <v>0</v>
      </c>
      <c r="M57" s="1400">
        <f t="shared" si="15"/>
        <v>0</v>
      </c>
      <c r="N57" s="1400">
        <f t="shared" si="16"/>
        <v>0</v>
      </c>
      <c r="O57" s="1377">
        <v>1</v>
      </c>
      <c r="P57" s="1377">
        <v>1</v>
      </c>
      <c r="Q57" s="1400">
        <f t="shared" si="29"/>
        <v>0</v>
      </c>
      <c r="R57" s="1377"/>
      <c r="S57" s="1377"/>
      <c r="T57" s="1377"/>
      <c r="U57" s="1413">
        <f t="shared" si="30"/>
        <v>0</v>
      </c>
      <c r="V57" s="1413">
        <f t="shared" si="19"/>
        <v>0</v>
      </c>
      <c r="W57" s="1392"/>
      <c r="X57" s="1417">
        <f t="shared" si="31"/>
        <v>0</v>
      </c>
      <c r="Y57" s="1500" t="e">
        <f>'Индексы-дефляторы'!$F$41</f>
        <v>#REF!</v>
      </c>
      <c r="Z57" s="1417" t="e">
        <f t="shared" si="32"/>
        <v>#REF!</v>
      </c>
      <c r="AA57" s="1413" t="e">
        <f t="shared" si="22"/>
        <v>#REF!</v>
      </c>
      <c r="AB57" s="1456"/>
      <c r="AC57" s="1463" t="e">
        <f t="shared" si="3"/>
        <v>#REF!</v>
      </c>
      <c r="AD57" s="1464" t="e">
        <f t="shared" si="3"/>
        <v>#REF!</v>
      </c>
      <c r="AE57" s="1397" t="e">
        <f t="shared" si="33"/>
        <v>#REF!</v>
      </c>
      <c r="AF57" s="1254" t="s">
        <v>5831</v>
      </c>
      <c r="AG57" s="1567" t="e">
        <f t="shared" si="12"/>
        <v>#REF!</v>
      </c>
      <c r="AH57" s="1568" t="e">
        <f t="shared" si="13"/>
        <v>#REF!</v>
      </c>
    </row>
    <row r="58" spans="1:34" s="1254" customFormat="1" ht="28.5" x14ac:dyDescent="0.25">
      <c r="A58" s="1254">
        <v>3</v>
      </c>
      <c r="B58" s="1243" t="str">
        <f t="shared" ca="1" si="4"/>
        <v>.7.6</v>
      </c>
      <c r="C58" s="1487" t="s">
        <v>5986</v>
      </c>
      <c r="D58" s="1486" t="s">
        <v>316</v>
      </c>
      <c r="E58" s="1488">
        <v>3</v>
      </c>
      <c r="F58" s="1374" t="str">
        <f ca="1">CONCATENATE("учтено в п.",$B$53)</f>
        <v>учтено в п..7.1</v>
      </c>
      <c r="G58" s="1376"/>
      <c r="H58" s="1400"/>
      <c r="I58" s="1472"/>
      <c r="J58" s="1472"/>
      <c r="K58" s="1472"/>
      <c r="L58" s="1472">
        <f t="shared" si="24"/>
        <v>0</v>
      </c>
      <c r="M58" s="1400">
        <f t="shared" si="15"/>
        <v>0</v>
      </c>
      <c r="N58" s="1400">
        <f t="shared" si="16"/>
        <v>0</v>
      </c>
      <c r="O58" s="1377">
        <v>1</v>
      </c>
      <c r="P58" s="1377">
        <v>1</v>
      </c>
      <c r="Q58" s="1400">
        <f t="shared" si="29"/>
        <v>0</v>
      </c>
      <c r="R58" s="1377"/>
      <c r="S58" s="1377"/>
      <c r="T58" s="1377"/>
      <c r="U58" s="1413">
        <f t="shared" si="30"/>
        <v>0</v>
      </c>
      <c r="V58" s="1413">
        <f t="shared" si="19"/>
        <v>0</v>
      </c>
      <c r="W58" s="1392"/>
      <c r="X58" s="1417">
        <f t="shared" si="31"/>
        <v>0</v>
      </c>
      <c r="Y58" s="1500" t="e">
        <f>'Индексы-дефляторы'!$F$41</f>
        <v>#REF!</v>
      </c>
      <c r="Z58" s="1417" t="e">
        <f t="shared" si="32"/>
        <v>#REF!</v>
      </c>
      <c r="AA58" s="1413" t="e">
        <f t="shared" si="22"/>
        <v>#REF!</v>
      </c>
      <c r="AB58" s="1456"/>
      <c r="AC58" s="1463" t="e">
        <f t="shared" si="3"/>
        <v>#REF!</v>
      </c>
      <c r="AD58" s="1464" t="e">
        <f t="shared" si="3"/>
        <v>#REF!</v>
      </c>
      <c r="AE58" s="1397" t="e">
        <f t="shared" si="33"/>
        <v>#REF!</v>
      </c>
      <c r="AF58" s="1254" t="s">
        <v>5831</v>
      </c>
      <c r="AG58" s="1567" t="e">
        <f t="shared" si="12"/>
        <v>#REF!</v>
      </c>
      <c r="AH58" s="1568" t="e">
        <f t="shared" si="13"/>
        <v>#REF!</v>
      </c>
    </row>
    <row r="59" spans="1:34" s="1254" customFormat="1" x14ac:dyDescent="0.25">
      <c r="A59" s="1254">
        <v>3</v>
      </c>
      <c r="B59" s="1243" t="str">
        <f t="shared" ca="1" si="4"/>
        <v>.7.7</v>
      </c>
      <c r="C59" s="1487" t="s">
        <v>5987</v>
      </c>
      <c r="D59" s="1486" t="s">
        <v>316</v>
      </c>
      <c r="E59" s="1488">
        <v>2</v>
      </c>
      <c r="F59" s="1374" t="str">
        <f ca="1">CONCATENATE("учтено в п.",$B$53)</f>
        <v>учтено в п..7.1</v>
      </c>
      <c r="G59" s="1376"/>
      <c r="H59" s="1400"/>
      <c r="I59" s="1472"/>
      <c r="J59" s="1472"/>
      <c r="K59" s="1472"/>
      <c r="L59" s="1472">
        <f t="shared" si="24"/>
        <v>0</v>
      </c>
      <c r="M59" s="1400">
        <f t="shared" si="15"/>
        <v>0</v>
      </c>
      <c r="N59" s="1400">
        <f t="shared" si="16"/>
        <v>0</v>
      </c>
      <c r="O59" s="1377">
        <v>1</v>
      </c>
      <c r="P59" s="1377">
        <v>1</v>
      </c>
      <c r="Q59" s="1400">
        <f t="shared" si="29"/>
        <v>0</v>
      </c>
      <c r="R59" s="1377"/>
      <c r="S59" s="1377"/>
      <c r="T59" s="1377"/>
      <c r="U59" s="1413">
        <f t="shared" si="30"/>
        <v>0</v>
      </c>
      <c r="V59" s="1413">
        <f t="shared" si="19"/>
        <v>0</v>
      </c>
      <c r="W59" s="1392"/>
      <c r="X59" s="1417">
        <f t="shared" si="31"/>
        <v>0</v>
      </c>
      <c r="Y59" s="1500" t="e">
        <f>'Индексы-дефляторы'!$F$41</f>
        <v>#REF!</v>
      </c>
      <c r="Z59" s="1417" t="e">
        <f t="shared" si="32"/>
        <v>#REF!</v>
      </c>
      <c r="AA59" s="1413" t="e">
        <f t="shared" si="22"/>
        <v>#REF!</v>
      </c>
      <c r="AB59" s="1456"/>
      <c r="AC59" s="1463" t="e">
        <f t="shared" si="3"/>
        <v>#REF!</v>
      </c>
      <c r="AD59" s="1464" t="e">
        <f t="shared" si="3"/>
        <v>#REF!</v>
      </c>
      <c r="AE59" s="1397" t="e">
        <f t="shared" si="33"/>
        <v>#REF!</v>
      </c>
      <c r="AF59" s="1254" t="s">
        <v>5831</v>
      </c>
      <c r="AG59" s="1567" t="e">
        <f t="shared" si="12"/>
        <v>#REF!</v>
      </c>
      <c r="AH59" s="1568" t="e">
        <f t="shared" si="13"/>
        <v>#REF!</v>
      </c>
    </row>
    <row r="60" spans="1:34" s="1254" customFormat="1" x14ac:dyDescent="0.25">
      <c r="A60" s="1254">
        <v>3</v>
      </c>
      <c r="B60" s="1243" t="str">
        <f t="shared" ca="1" si="4"/>
        <v>.7.8</v>
      </c>
      <c r="C60" s="1487" t="s">
        <v>5988</v>
      </c>
      <c r="D60" s="1486" t="s">
        <v>316</v>
      </c>
      <c r="E60" s="1488">
        <v>1</v>
      </c>
      <c r="F60" s="1374" t="str">
        <f ca="1">CONCATENATE("учтено в п.",$B$53)</f>
        <v>учтено в п..7.1</v>
      </c>
      <c r="G60" s="1376"/>
      <c r="H60" s="1400"/>
      <c r="I60" s="1472"/>
      <c r="J60" s="1472"/>
      <c r="K60" s="1472"/>
      <c r="L60" s="1472">
        <f t="shared" si="24"/>
        <v>0</v>
      </c>
      <c r="M60" s="1400">
        <f t="shared" si="15"/>
        <v>0</v>
      </c>
      <c r="N60" s="1400">
        <f t="shared" si="16"/>
        <v>0</v>
      </c>
      <c r="O60" s="1377">
        <v>1</v>
      </c>
      <c r="P60" s="1377">
        <v>1</v>
      </c>
      <c r="Q60" s="1400">
        <f t="shared" si="29"/>
        <v>0</v>
      </c>
      <c r="R60" s="1377"/>
      <c r="S60" s="1377"/>
      <c r="T60" s="1377"/>
      <c r="U60" s="1413">
        <f t="shared" si="30"/>
        <v>0</v>
      </c>
      <c r="V60" s="1413">
        <f t="shared" si="19"/>
        <v>0</v>
      </c>
      <c r="W60" s="1392"/>
      <c r="X60" s="1417">
        <f t="shared" si="31"/>
        <v>0</v>
      </c>
      <c r="Y60" s="1500" t="e">
        <f>'Индексы-дефляторы'!$F$41</f>
        <v>#REF!</v>
      </c>
      <c r="Z60" s="1417" t="e">
        <f t="shared" si="32"/>
        <v>#REF!</v>
      </c>
      <c r="AA60" s="1413" t="e">
        <f t="shared" si="22"/>
        <v>#REF!</v>
      </c>
      <c r="AB60" s="1456"/>
      <c r="AC60" s="1463" t="e">
        <f t="shared" si="3"/>
        <v>#REF!</v>
      </c>
      <c r="AD60" s="1464" t="e">
        <f t="shared" si="3"/>
        <v>#REF!</v>
      </c>
      <c r="AE60" s="1397" t="e">
        <f t="shared" si="33"/>
        <v>#REF!</v>
      </c>
      <c r="AF60" s="1254" t="s">
        <v>5831</v>
      </c>
      <c r="AG60" s="1567" t="e">
        <f t="shared" si="12"/>
        <v>#REF!</v>
      </c>
      <c r="AH60" s="1568" t="e">
        <f t="shared" si="13"/>
        <v>#REF!</v>
      </c>
    </row>
    <row r="61" spans="1:34" s="1254" customFormat="1" x14ac:dyDescent="0.25">
      <c r="A61" s="1254">
        <v>3</v>
      </c>
      <c r="B61" s="1243" t="str">
        <f t="shared" ca="1" si="4"/>
        <v>.7.9</v>
      </c>
      <c r="C61" s="1487" t="s">
        <v>5989</v>
      </c>
      <c r="D61" s="1486" t="s">
        <v>316</v>
      </c>
      <c r="E61" s="1488">
        <v>2</v>
      </c>
      <c r="F61" s="1374" t="str">
        <f ca="1">CONCATENATE("учтено в п.",$B$54)</f>
        <v>учтено в п..7.2</v>
      </c>
      <c r="G61" s="1376"/>
      <c r="H61" s="1400"/>
      <c r="I61" s="1472"/>
      <c r="J61" s="1472"/>
      <c r="K61" s="1472"/>
      <c r="L61" s="1472">
        <f t="shared" si="24"/>
        <v>0</v>
      </c>
      <c r="M61" s="1400">
        <f t="shared" si="15"/>
        <v>0</v>
      </c>
      <c r="N61" s="1400">
        <f t="shared" si="16"/>
        <v>0</v>
      </c>
      <c r="O61" s="1377">
        <v>1</v>
      </c>
      <c r="P61" s="1377">
        <v>1</v>
      </c>
      <c r="Q61" s="1400">
        <f t="shared" si="29"/>
        <v>0</v>
      </c>
      <c r="R61" s="1377"/>
      <c r="S61" s="1377"/>
      <c r="T61" s="1377"/>
      <c r="U61" s="1413">
        <f t="shared" si="30"/>
        <v>0</v>
      </c>
      <c r="V61" s="1413">
        <f t="shared" si="19"/>
        <v>0</v>
      </c>
      <c r="W61" s="1392"/>
      <c r="X61" s="1417">
        <f t="shared" si="31"/>
        <v>0</v>
      </c>
      <c r="Y61" s="1500" t="e">
        <f>'Индексы-дефляторы'!$F$41</f>
        <v>#REF!</v>
      </c>
      <c r="Z61" s="1417" t="e">
        <f t="shared" si="32"/>
        <v>#REF!</v>
      </c>
      <c r="AA61" s="1413" t="e">
        <f t="shared" si="22"/>
        <v>#REF!</v>
      </c>
      <c r="AB61" s="1456"/>
      <c r="AC61" s="1463" t="e">
        <f t="shared" si="3"/>
        <v>#REF!</v>
      </c>
      <c r="AD61" s="1464" t="e">
        <f t="shared" si="3"/>
        <v>#REF!</v>
      </c>
      <c r="AE61" s="1397" t="e">
        <f t="shared" si="33"/>
        <v>#REF!</v>
      </c>
      <c r="AF61" s="1254" t="s">
        <v>5831</v>
      </c>
      <c r="AG61" s="1567" t="e">
        <f t="shared" si="12"/>
        <v>#REF!</v>
      </c>
      <c r="AH61" s="1568" t="e">
        <f t="shared" si="13"/>
        <v>#REF!</v>
      </c>
    </row>
    <row r="62" spans="1:34" s="1254" customFormat="1" ht="31.5" x14ac:dyDescent="0.25">
      <c r="A62" s="1254">
        <v>3</v>
      </c>
      <c r="B62" s="1243" t="str">
        <f t="shared" ca="1" si="4"/>
        <v>.7.10</v>
      </c>
      <c r="C62" s="1487" t="s">
        <v>5990</v>
      </c>
      <c r="D62" s="1486" t="s">
        <v>316</v>
      </c>
      <c r="E62" s="1488">
        <v>2</v>
      </c>
      <c r="F62" s="1505" t="s">
        <v>6303</v>
      </c>
      <c r="G62" s="1376"/>
      <c r="H62" s="1400"/>
      <c r="I62" s="1508"/>
      <c r="J62" s="1508"/>
      <c r="K62" s="1508"/>
      <c r="L62" s="1472">
        <f t="shared" si="24"/>
        <v>0</v>
      </c>
      <c r="M62" s="1400">
        <f t="shared" si="15"/>
        <v>0</v>
      </c>
      <c r="N62" s="1400">
        <f t="shared" si="16"/>
        <v>0</v>
      </c>
      <c r="O62" s="1377">
        <v>1</v>
      </c>
      <c r="P62" s="1377">
        <v>1</v>
      </c>
      <c r="Q62" s="1400">
        <f t="shared" si="29"/>
        <v>0</v>
      </c>
      <c r="R62" s="1377"/>
      <c r="S62" s="1377"/>
      <c r="T62" s="1377"/>
      <c r="U62" s="1413">
        <f t="shared" si="30"/>
        <v>0</v>
      </c>
      <c r="V62" s="1413">
        <f t="shared" si="19"/>
        <v>0</v>
      </c>
      <c r="W62" s="1392"/>
      <c r="X62" s="1417">
        <f t="shared" si="31"/>
        <v>0</v>
      </c>
      <c r="Y62" s="1500" t="e">
        <f>'Индексы-дефляторы'!$F$41</f>
        <v>#REF!</v>
      </c>
      <c r="Z62" s="1417" t="e">
        <f t="shared" si="32"/>
        <v>#REF!</v>
      </c>
      <c r="AA62" s="1413" t="e">
        <f t="shared" si="22"/>
        <v>#REF!</v>
      </c>
      <c r="AB62" s="1456"/>
      <c r="AC62" s="1463" t="e">
        <f t="shared" si="3"/>
        <v>#REF!</v>
      </c>
      <c r="AD62" s="1464" t="e">
        <f t="shared" si="3"/>
        <v>#REF!</v>
      </c>
      <c r="AE62" s="1397" t="e">
        <f t="shared" si="33"/>
        <v>#REF!</v>
      </c>
      <c r="AF62" s="1254" t="s">
        <v>5831</v>
      </c>
      <c r="AG62" s="1567"/>
      <c r="AH62" s="1568"/>
    </row>
    <row r="63" spans="1:34" s="1254" customFormat="1" x14ac:dyDescent="0.25">
      <c r="A63" s="1254">
        <v>3</v>
      </c>
      <c r="B63" s="1243" t="str">
        <f t="shared" ca="1" si="4"/>
        <v>.7.11</v>
      </c>
      <c r="C63" s="1487" t="s">
        <v>5991</v>
      </c>
      <c r="D63" s="1486" t="s">
        <v>832</v>
      </c>
      <c r="E63" s="1488">
        <v>810</v>
      </c>
      <c r="F63" s="1374" t="str">
        <f ca="1">CONCATENATE("учтено в п.",$B$53,", ",$B$54)</f>
        <v>учтено в п..7.1, .7.2</v>
      </c>
      <c r="G63" s="1376"/>
      <c r="H63" s="1400"/>
      <c r="I63" s="1472"/>
      <c r="J63" s="1472"/>
      <c r="K63" s="1472"/>
      <c r="L63" s="1472">
        <f t="shared" si="24"/>
        <v>0</v>
      </c>
      <c r="M63" s="1400">
        <f t="shared" si="15"/>
        <v>0</v>
      </c>
      <c r="N63" s="1400">
        <f t="shared" si="16"/>
        <v>0</v>
      </c>
      <c r="O63" s="1377">
        <v>1</v>
      </c>
      <c r="P63" s="1377">
        <v>1</v>
      </c>
      <c r="Q63" s="1400">
        <f t="shared" si="29"/>
        <v>0</v>
      </c>
      <c r="R63" s="1377"/>
      <c r="S63" s="1377"/>
      <c r="T63" s="1377"/>
      <c r="U63" s="1413">
        <f t="shared" si="30"/>
        <v>0</v>
      </c>
      <c r="V63" s="1413">
        <f t="shared" si="19"/>
        <v>0</v>
      </c>
      <c r="W63" s="1392"/>
      <c r="X63" s="1417">
        <f t="shared" si="31"/>
        <v>0</v>
      </c>
      <c r="Y63" s="1500" t="e">
        <f>'Индексы-дефляторы'!$F$41</f>
        <v>#REF!</v>
      </c>
      <c r="Z63" s="1417" t="e">
        <f t="shared" si="32"/>
        <v>#REF!</v>
      </c>
      <c r="AA63" s="1413" t="e">
        <f t="shared" si="22"/>
        <v>#REF!</v>
      </c>
      <c r="AB63" s="1456"/>
      <c r="AC63" s="1463" t="e">
        <f t="shared" si="3"/>
        <v>#REF!</v>
      </c>
      <c r="AD63" s="1464" t="e">
        <f t="shared" si="3"/>
        <v>#REF!</v>
      </c>
      <c r="AE63" s="1397" t="e">
        <f t="shared" si="33"/>
        <v>#REF!</v>
      </c>
      <c r="AF63" s="1254" t="s">
        <v>5831</v>
      </c>
      <c r="AG63" s="1567" t="e">
        <f t="shared" si="12"/>
        <v>#REF!</v>
      </c>
      <c r="AH63" s="1568" t="e">
        <f t="shared" si="13"/>
        <v>#REF!</v>
      </c>
    </row>
    <row r="64" spans="1:34" s="1254" customFormat="1" x14ac:dyDescent="0.25">
      <c r="A64" s="1254">
        <v>3</v>
      </c>
      <c r="B64" s="1243" t="str">
        <f t="shared" ca="1" si="4"/>
        <v>.7.12</v>
      </c>
      <c r="C64" s="1487" t="s">
        <v>5992</v>
      </c>
      <c r="D64" s="1486" t="s">
        <v>832</v>
      </c>
      <c r="E64" s="1488">
        <v>85</v>
      </c>
      <c r="F64" s="1374" t="str">
        <f ca="1">CONCATENATE("учтено в п.",$B$53,", ",$B$54)</f>
        <v>учтено в п..7.1, .7.2</v>
      </c>
      <c r="G64" s="1376"/>
      <c r="H64" s="1400"/>
      <c r="I64" s="1472"/>
      <c r="J64" s="1472"/>
      <c r="K64" s="1472"/>
      <c r="L64" s="1472">
        <f t="shared" si="24"/>
        <v>0</v>
      </c>
      <c r="M64" s="1400">
        <f t="shared" si="15"/>
        <v>0</v>
      </c>
      <c r="N64" s="1400">
        <f t="shared" si="16"/>
        <v>0</v>
      </c>
      <c r="O64" s="1377">
        <v>1</v>
      </c>
      <c r="P64" s="1377">
        <v>1</v>
      </c>
      <c r="Q64" s="1400">
        <f t="shared" si="29"/>
        <v>0</v>
      </c>
      <c r="R64" s="1377"/>
      <c r="S64" s="1377"/>
      <c r="T64" s="1377"/>
      <c r="U64" s="1413">
        <f t="shared" si="30"/>
        <v>0</v>
      </c>
      <c r="V64" s="1413">
        <f t="shared" si="19"/>
        <v>0</v>
      </c>
      <c r="W64" s="1392"/>
      <c r="X64" s="1417">
        <f t="shared" si="31"/>
        <v>0</v>
      </c>
      <c r="Y64" s="1500" t="e">
        <f>'Индексы-дефляторы'!$F$41</f>
        <v>#REF!</v>
      </c>
      <c r="Z64" s="1417" t="e">
        <f t="shared" si="32"/>
        <v>#REF!</v>
      </c>
      <c r="AA64" s="1413" t="e">
        <f t="shared" si="22"/>
        <v>#REF!</v>
      </c>
      <c r="AB64" s="1456"/>
      <c r="AC64" s="1463" t="e">
        <f t="shared" si="3"/>
        <v>#REF!</v>
      </c>
      <c r="AD64" s="1464" t="e">
        <f t="shared" si="3"/>
        <v>#REF!</v>
      </c>
      <c r="AE64" s="1397" t="e">
        <f t="shared" si="33"/>
        <v>#REF!</v>
      </c>
      <c r="AF64" s="1254" t="s">
        <v>5831</v>
      </c>
      <c r="AG64" s="1567" t="e">
        <f t="shared" si="12"/>
        <v>#REF!</v>
      </c>
      <c r="AH64" s="1568" t="e">
        <f t="shared" si="13"/>
        <v>#REF!</v>
      </c>
    </row>
    <row r="65" spans="1:34" s="1254" customFormat="1" ht="28.5" x14ac:dyDescent="0.25">
      <c r="A65" s="1254">
        <v>3</v>
      </c>
      <c r="B65" s="1243" t="str">
        <f t="shared" ca="1" si="4"/>
        <v>.7.13</v>
      </c>
      <c r="C65" s="1487" t="s">
        <v>5993</v>
      </c>
      <c r="D65" s="1486" t="s">
        <v>832</v>
      </c>
      <c r="E65" s="1488">
        <v>80</v>
      </c>
      <c r="F65" s="1374" t="str">
        <f ca="1">CONCATENATE("учтено в п.",$B$53,", ",$B$54)</f>
        <v>учтено в п..7.1, .7.2</v>
      </c>
      <c r="G65" s="1376"/>
      <c r="H65" s="1400"/>
      <c r="I65" s="1472"/>
      <c r="J65" s="1472"/>
      <c r="K65" s="1472"/>
      <c r="L65" s="1472">
        <f t="shared" si="24"/>
        <v>0</v>
      </c>
      <c r="M65" s="1400">
        <f t="shared" si="15"/>
        <v>0</v>
      </c>
      <c r="N65" s="1400">
        <f t="shared" si="16"/>
        <v>0</v>
      </c>
      <c r="O65" s="1377">
        <v>1</v>
      </c>
      <c r="P65" s="1377">
        <v>1</v>
      </c>
      <c r="Q65" s="1400">
        <f t="shared" si="29"/>
        <v>0</v>
      </c>
      <c r="R65" s="1377"/>
      <c r="S65" s="1377"/>
      <c r="T65" s="1377"/>
      <c r="U65" s="1413">
        <f t="shared" si="30"/>
        <v>0</v>
      </c>
      <c r="V65" s="1413">
        <f t="shared" si="19"/>
        <v>0</v>
      </c>
      <c r="W65" s="1392"/>
      <c r="X65" s="1417">
        <f t="shared" si="31"/>
        <v>0</v>
      </c>
      <c r="Y65" s="1500" t="e">
        <f>'Индексы-дефляторы'!$F$41</f>
        <v>#REF!</v>
      </c>
      <c r="Z65" s="1417" t="e">
        <f t="shared" si="32"/>
        <v>#REF!</v>
      </c>
      <c r="AA65" s="1413" t="e">
        <f t="shared" si="22"/>
        <v>#REF!</v>
      </c>
      <c r="AB65" s="1456"/>
      <c r="AC65" s="1463" t="e">
        <f t="shared" si="3"/>
        <v>#REF!</v>
      </c>
      <c r="AD65" s="1464" t="e">
        <f t="shared" si="3"/>
        <v>#REF!</v>
      </c>
      <c r="AE65" s="1397" t="e">
        <f t="shared" si="33"/>
        <v>#REF!</v>
      </c>
      <c r="AF65" s="1254" t="s">
        <v>5831</v>
      </c>
      <c r="AG65" s="1567" t="e">
        <f t="shared" si="12"/>
        <v>#REF!</v>
      </c>
      <c r="AH65" s="1568" t="e">
        <f t="shared" si="13"/>
        <v>#REF!</v>
      </c>
    </row>
    <row r="66" spans="1:34" s="1254" customFormat="1" x14ac:dyDescent="0.25">
      <c r="A66" s="1254">
        <v>3</v>
      </c>
      <c r="B66" s="1243" t="str">
        <f t="shared" ca="1" si="4"/>
        <v>.7.14</v>
      </c>
      <c r="C66" s="1487" t="s">
        <v>6140</v>
      </c>
      <c r="D66" s="1486" t="s">
        <v>832</v>
      </c>
      <c r="E66" s="1488">
        <v>5</v>
      </c>
      <c r="F66" s="1374" t="str">
        <f ca="1">CONCATENATE("учтено в п.",$B$53,", ",$B$54)</f>
        <v>учтено в п..7.1, .7.2</v>
      </c>
      <c r="G66" s="1376"/>
      <c r="H66" s="1400"/>
      <c r="I66" s="1472"/>
      <c r="J66" s="1472"/>
      <c r="K66" s="1472"/>
      <c r="L66" s="1472">
        <f t="shared" si="24"/>
        <v>0</v>
      </c>
      <c r="M66" s="1400">
        <f t="shared" si="15"/>
        <v>0</v>
      </c>
      <c r="N66" s="1400">
        <f t="shared" si="16"/>
        <v>0</v>
      </c>
      <c r="O66" s="1377">
        <v>1</v>
      </c>
      <c r="P66" s="1377">
        <v>1</v>
      </c>
      <c r="Q66" s="1400">
        <f t="shared" si="29"/>
        <v>0</v>
      </c>
      <c r="R66" s="1377"/>
      <c r="S66" s="1377"/>
      <c r="T66" s="1377"/>
      <c r="U66" s="1413">
        <f t="shared" si="30"/>
        <v>0</v>
      </c>
      <c r="V66" s="1413">
        <f t="shared" si="19"/>
        <v>0</v>
      </c>
      <c r="W66" s="1392"/>
      <c r="X66" s="1417">
        <f t="shared" si="31"/>
        <v>0</v>
      </c>
      <c r="Y66" s="1500" t="e">
        <f>'Индексы-дефляторы'!$F$41</f>
        <v>#REF!</v>
      </c>
      <c r="Z66" s="1417" t="e">
        <f t="shared" si="32"/>
        <v>#REF!</v>
      </c>
      <c r="AA66" s="1413" t="e">
        <f t="shared" si="22"/>
        <v>#REF!</v>
      </c>
      <c r="AB66" s="1456"/>
      <c r="AC66" s="1463" t="e">
        <f t="shared" si="3"/>
        <v>#REF!</v>
      </c>
      <c r="AD66" s="1464" t="e">
        <f t="shared" si="3"/>
        <v>#REF!</v>
      </c>
      <c r="AE66" s="1397" t="e">
        <f t="shared" si="33"/>
        <v>#REF!</v>
      </c>
      <c r="AF66" s="1254" t="s">
        <v>5831</v>
      </c>
      <c r="AG66" s="1567" t="e">
        <f t="shared" si="12"/>
        <v>#REF!</v>
      </c>
      <c r="AH66" s="1568" t="e">
        <f t="shared" si="13"/>
        <v>#REF!</v>
      </c>
    </row>
    <row r="67" spans="1:34" s="1254" customFormat="1" ht="28.5" x14ac:dyDescent="0.25">
      <c r="A67" s="1254">
        <v>3</v>
      </c>
      <c r="B67" s="1243" t="str">
        <f t="shared" ca="1" si="4"/>
        <v>.7.15</v>
      </c>
      <c r="C67" s="1487" t="s">
        <v>5994</v>
      </c>
      <c r="D67" s="1486" t="s">
        <v>832</v>
      </c>
      <c r="E67" s="1488">
        <v>725</v>
      </c>
      <c r="F67" s="1374" t="str">
        <f ca="1">CONCATENATE("учтено в п.",$B$53,", ",$B$54)</f>
        <v>учтено в п..7.1, .7.2</v>
      </c>
      <c r="G67" s="1376"/>
      <c r="H67" s="1400"/>
      <c r="I67" s="1472"/>
      <c r="J67" s="1472"/>
      <c r="K67" s="1472"/>
      <c r="L67" s="1472">
        <f t="shared" si="24"/>
        <v>0</v>
      </c>
      <c r="M67" s="1400">
        <f t="shared" si="15"/>
        <v>0</v>
      </c>
      <c r="N67" s="1400">
        <f t="shared" si="16"/>
        <v>0</v>
      </c>
      <c r="O67" s="1377">
        <v>1</v>
      </c>
      <c r="P67" s="1377">
        <v>1</v>
      </c>
      <c r="Q67" s="1400">
        <f t="shared" si="29"/>
        <v>0</v>
      </c>
      <c r="R67" s="1377"/>
      <c r="S67" s="1377"/>
      <c r="T67" s="1377"/>
      <c r="U67" s="1413">
        <f t="shared" si="30"/>
        <v>0</v>
      </c>
      <c r="V67" s="1413">
        <f t="shared" si="19"/>
        <v>0</v>
      </c>
      <c r="W67" s="1392"/>
      <c r="X67" s="1417">
        <f t="shared" si="31"/>
        <v>0</v>
      </c>
      <c r="Y67" s="1500" t="e">
        <f>'Индексы-дефляторы'!$F$41</f>
        <v>#REF!</v>
      </c>
      <c r="Z67" s="1417" t="e">
        <f t="shared" si="32"/>
        <v>#REF!</v>
      </c>
      <c r="AA67" s="1413" t="e">
        <f t="shared" si="22"/>
        <v>#REF!</v>
      </c>
      <c r="AB67" s="1456"/>
      <c r="AC67" s="1463" t="e">
        <f t="shared" si="3"/>
        <v>#REF!</v>
      </c>
      <c r="AD67" s="1464" t="e">
        <f t="shared" si="3"/>
        <v>#REF!</v>
      </c>
      <c r="AE67" s="1397" t="e">
        <f t="shared" si="33"/>
        <v>#REF!</v>
      </c>
      <c r="AF67" s="1254" t="s">
        <v>5831</v>
      </c>
      <c r="AG67" s="1567" t="e">
        <f t="shared" si="12"/>
        <v>#REF!</v>
      </c>
      <c r="AH67" s="1568" t="e">
        <f t="shared" si="13"/>
        <v>#REF!</v>
      </c>
    </row>
    <row r="68" spans="1:34" s="1254" customFormat="1" ht="31.5" x14ac:dyDescent="0.25">
      <c r="A68" s="1254">
        <v>3</v>
      </c>
      <c r="B68" s="1243" t="str">
        <f t="shared" ca="1" si="4"/>
        <v>.7.16</v>
      </c>
      <c r="C68" s="1487" t="s">
        <v>5995</v>
      </c>
      <c r="D68" s="1486" t="s">
        <v>316</v>
      </c>
      <c r="E68" s="1488">
        <v>2</v>
      </c>
      <c r="F68" s="1505" t="s">
        <v>6303</v>
      </c>
      <c r="G68" s="1376"/>
      <c r="H68" s="1400"/>
      <c r="I68" s="1508"/>
      <c r="J68" s="1508"/>
      <c r="K68" s="1508"/>
      <c r="L68" s="1472">
        <f t="shared" si="24"/>
        <v>0</v>
      </c>
      <c r="M68" s="1400">
        <f t="shared" si="15"/>
        <v>0</v>
      </c>
      <c r="N68" s="1400">
        <f t="shared" si="16"/>
        <v>0</v>
      </c>
      <c r="O68" s="1377">
        <v>1</v>
      </c>
      <c r="P68" s="1377">
        <v>1</v>
      </c>
      <c r="Q68" s="1400">
        <f t="shared" si="29"/>
        <v>0</v>
      </c>
      <c r="R68" s="1377"/>
      <c r="S68" s="1377"/>
      <c r="T68" s="1377"/>
      <c r="U68" s="1413">
        <f t="shared" si="30"/>
        <v>0</v>
      </c>
      <c r="V68" s="1413">
        <f t="shared" si="19"/>
        <v>0</v>
      </c>
      <c r="W68" s="1392"/>
      <c r="X68" s="1417">
        <f t="shared" si="31"/>
        <v>0</v>
      </c>
      <c r="Y68" s="1500" t="e">
        <f>'Индексы-дефляторы'!$F$41</f>
        <v>#REF!</v>
      </c>
      <c r="Z68" s="1417" t="e">
        <f t="shared" si="32"/>
        <v>#REF!</v>
      </c>
      <c r="AA68" s="1413" t="e">
        <f t="shared" si="22"/>
        <v>#REF!</v>
      </c>
      <c r="AB68" s="1456"/>
      <c r="AC68" s="1463" t="e">
        <f t="shared" si="3"/>
        <v>#REF!</v>
      </c>
      <c r="AD68" s="1464" t="e">
        <f t="shared" si="3"/>
        <v>#REF!</v>
      </c>
      <c r="AE68" s="1397" t="e">
        <f t="shared" si="33"/>
        <v>#REF!</v>
      </c>
      <c r="AF68" s="1254" t="s">
        <v>5831</v>
      </c>
      <c r="AG68" s="1567"/>
      <c r="AH68" s="1568"/>
    </row>
    <row r="69" spans="1:34" s="1516" customFormat="1" x14ac:dyDescent="0.25">
      <c r="A69" s="1516">
        <v>2</v>
      </c>
      <c r="B69" s="1517" t="str">
        <f t="shared" ca="1" si="4"/>
        <v>.8</v>
      </c>
      <c r="C69" s="1485" t="s">
        <v>5996</v>
      </c>
      <c r="D69" s="1491" t="s">
        <v>432</v>
      </c>
      <c r="E69" s="1492">
        <v>1</v>
      </c>
      <c r="F69" s="1518"/>
      <c r="G69" s="1519"/>
      <c r="H69" s="1413"/>
      <c r="I69" s="1520"/>
      <c r="J69" s="1520"/>
      <c r="K69" s="1520"/>
      <c r="L69" s="1520">
        <f t="shared" si="24"/>
        <v>0</v>
      </c>
      <c r="M69" s="1413">
        <f t="shared" si="15"/>
        <v>0</v>
      </c>
      <c r="N69" s="1413">
        <f>N70+N71+N72+N73+N74+N75+N76+N77</f>
        <v>341053.99</v>
      </c>
      <c r="O69" s="1378"/>
      <c r="P69" s="1378"/>
      <c r="Q69" s="1413">
        <f>Q70+Q71+Q72+Q73+Q74+Q75+Q76+Q77</f>
        <v>341053.99</v>
      </c>
      <c r="R69" s="1378"/>
      <c r="S69" s="1378"/>
      <c r="T69" s="1378"/>
      <c r="U69" s="1413">
        <f>U70+U71+U72+U73+U74+U75+U76+U77</f>
        <v>270728.65999999997</v>
      </c>
      <c r="V69" s="1413">
        <f>V70+V71+V72+V73+V74+V75+V76+V77</f>
        <v>0</v>
      </c>
      <c r="W69" s="1521"/>
      <c r="X69" s="1413">
        <f>X70+X71+X72+X73+X74+X75+X76+X77</f>
        <v>276820.05</v>
      </c>
      <c r="Y69" s="1522"/>
      <c r="Z69" s="1413" t="e">
        <f>Z70+Z71+Z72+Z73+Z74+Z75+Z76+Z77</f>
        <v>#REF!</v>
      </c>
      <c r="AA69" s="1413" t="e">
        <f>AA70+AA71+AA72+AA73+AA74+AA75+AA76+AA77</f>
        <v>#REF!</v>
      </c>
      <c r="AB69" s="1523"/>
      <c r="AC69" s="1524" t="e">
        <f t="shared" si="3"/>
        <v>#REF!</v>
      </c>
      <c r="AD69" s="1525" t="e">
        <f t="shared" si="3"/>
        <v>#REF!</v>
      </c>
      <c r="AE69" s="1526" t="e">
        <f>AC69/E69</f>
        <v>#REF!</v>
      </c>
      <c r="AF69" s="1516" t="s">
        <v>6028</v>
      </c>
      <c r="AG69" s="1567"/>
      <c r="AH69" s="1568"/>
    </row>
    <row r="70" spans="1:34" s="1254" customFormat="1" ht="110.25" x14ac:dyDescent="0.25">
      <c r="A70" s="1254">
        <v>3</v>
      </c>
      <c r="B70" s="1243" t="str">
        <f t="shared" ca="1" si="4"/>
        <v>.8.1</v>
      </c>
      <c r="C70" s="1487" t="s">
        <v>5997</v>
      </c>
      <c r="D70" s="1486" t="s">
        <v>4131</v>
      </c>
      <c r="E70" s="1527">
        <f>61/1000</f>
        <v>6.0999999999999999E-2</v>
      </c>
      <c r="F70" s="1374" t="s">
        <v>6026</v>
      </c>
      <c r="G70" s="1376">
        <v>46023</v>
      </c>
      <c r="H70" s="1400">
        <f>6114.7*1000/1.02</f>
        <v>5994803.9199999999</v>
      </c>
      <c r="I70" s="1472">
        <f>289.79*1000/1.02</f>
        <v>284107.84000000003</v>
      </c>
      <c r="J70" s="1472"/>
      <c r="K70" s="1472">
        <f>122.04*1000/1.02</f>
        <v>119647.06</v>
      </c>
      <c r="L70" s="1472">
        <f t="shared" si="24"/>
        <v>0</v>
      </c>
      <c r="M70" s="1400">
        <f t="shared" si="15"/>
        <v>5591049.0199999996</v>
      </c>
      <c r="N70" s="1400">
        <f t="shared" si="16"/>
        <v>341053.99</v>
      </c>
      <c r="O70" s="1377">
        <v>1</v>
      </c>
      <c r="P70" s="1377">
        <v>1</v>
      </c>
      <c r="Q70" s="1400">
        <f t="shared" si="29"/>
        <v>341053.99</v>
      </c>
      <c r="R70" s="1377">
        <v>0.81</v>
      </c>
      <c r="S70" s="1377">
        <v>0.98</v>
      </c>
      <c r="T70" s="1377">
        <v>1</v>
      </c>
      <c r="U70" s="1413">
        <f t="shared" si="30"/>
        <v>270728.65999999997</v>
      </c>
      <c r="V70" s="1413">
        <f t="shared" si="19"/>
        <v>0</v>
      </c>
      <c r="W70" s="1392">
        <f>'Индексы Росстата'!$F$121</f>
        <v>1.0225</v>
      </c>
      <c r="X70" s="1417">
        <f t="shared" si="31"/>
        <v>276820.05</v>
      </c>
      <c r="Y70" s="1500" t="e">
        <f>'Индексы-дефляторы'!$F$41</f>
        <v>#REF!</v>
      </c>
      <c r="Z70" s="1417" t="e">
        <f t="shared" si="32"/>
        <v>#REF!</v>
      </c>
      <c r="AA70" s="1413" t="e">
        <f t="shared" si="22"/>
        <v>#REF!</v>
      </c>
      <c r="AB70" s="1456"/>
      <c r="AC70" s="1463" t="e">
        <f t="shared" si="3"/>
        <v>#REF!</v>
      </c>
      <c r="AD70" s="1464" t="e">
        <f t="shared" si="3"/>
        <v>#REF!</v>
      </c>
      <c r="AE70" s="1397" t="e">
        <f>AC70/(E70*1000)</f>
        <v>#REF!</v>
      </c>
      <c r="AF70" s="1254" t="s">
        <v>6000</v>
      </c>
      <c r="AG70" s="1567" t="e">
        <f t="shared" si="12"/>
        <v>#REF!</v>
      </c>
      <c r="AH70" s="1568" t="e">
        <f t="shared" si="13"/>
        <v>#REF!</v>
      </c>
    </row>
    <row r="71" spans="1:34" s="1254" customFormat="1" ht="28.5" x14ac:dyDescent="0.25">
      <c r="A71" s="1254">
        <v>3</v>
      </c>
      <c r="B71" s="1243" t="str">
        <f t="shared" ca="1" si="4"/>
        <v>.8.2</v>
      </c>
      <c r="C71" s="1487" t="s">
        <v>5998</v>
      </c>
      <c r="D71" s="1486" t="s">
        <v>316</v>
      </c>
      <c r="E71" s="1488">
        <v>2</v>
      </c>
      <c r="F71" s="1374" t="str">
        <f t="shared" ref="F71:F77" ca="1" si="34">CONCATENATE("учтено в п.",$B$70)</f>
        <v>учтено в п..8.1</v>
      </c>
      <c r="G71" s="1376"/>
      <c r="H71" s="1400"/>
      <c r="I71" s="1472"/>
      <c r="J71" s="1472"/>
      <c r="K71" s="1472"/>
      <c r="L71" s="1472">
        <f t="shared" si="24"/>
        <v>0</v>
      </c>
      <c r="M71" s="1400">
        <f t="shared" si="15"/>
        <v>0</v>
      </c>
      <c r="N71" s="1400">
        <f t="shared" si="16"/>
        <v>0</v>
      </c>
      <c r="O71" s="1377">
        <v>1</v>
      </c>
      <c r="P71" s="1377">
        <v>1</v>
      </c>
      <c r="Q71" s="1400">
        <f t="shared" si="29"/>
        <v>0</v>
      </c>
      <c r="R71" s="1377"/>
      <c r="S71" s="1377"/>
      <c r="T71" s="1377"/>
      <c r="U71" s="1413">
        <f t="shared" si="30"/>
        <v>0</v>
      </c>
      <c r="V71" s="1413">
        <f t="shared" si="19"/>
        <v>0</v>
      </c>
      <c r="W71" s="1392"/>
      <c r="X71" s="1417">
        <f t="shared" si="31"/>
        <v>0</v>
      </c>
      <c r="Y71" s="1500" t="e">
        <f>'Индексы-дефляторы'!$F$41</f>
        <v>#REF!</v>
      </c>
      <c r="Z71" s="1417" t="e">
        <f t="shared" si="32"/>
        <v>#REF!</v>
      </c>
      <c r="AA71" s="1413" t="e">
        <f t="shared" si="22"/>
        <v>#REF!</v>
      </c>
      <c r="AB71" s="1456"/>
      <c r="AC71" s="1463" t="e">
        <f t="shared" si="3"/>
        <v>#REF!</v>
      </c>
      <c r="AD71" s="1464" t="e">
        <f t="shared" si="3"/>
        <v>#REF!</v>
      </c>
      <c r="AE71" s="1397" t="e">
        <f t="shared" ref="AE71:AE77" si="35">AC71*1.2/E71</f>
        <v>#REF!</v>
      </c>
      <c r="AG71" s="1567" t="e">
        <f t="shared" si="12"/>
        <v>#REF!</v>
      </c>
      <c r="AH71" s="1568" t="e">
        <f t="shared" si="13"/>
        <v>#REF!</v>
      </c>
    </row>
    <row r="72" spans="1:34" s="1254" customFormat="1" x14ac:dyDescent="0.25">
      <c r="A72" s="1254">
        <v>3</v>
      </c>
      <c r="B72" s="1243" t="str">
        <f t="shared" ca="1" si="4"/>
        <v>.8.3</v>
      </c>
      <c r="C72" s="1487" t="s">
        <v>6022</v>
      </c>
      <c r="D72" s="1486" t="s">
        <v>316</v>
      </c>
      <c r="E72" s="1488">
        <v>1</v>
      </c>
      <c r="F72" s="1374" t="str">
        <f t="shared" ca="1" si="34"/>
        <v>учтено в п..8.1</v>
      </c>
      <c r="G72" s="1376"/>
      <c r="H72" s="1400"/>
      <c r="I72" s="1472"/>
      <c r="J72" s="1472"/>
      <c r="K72" s="1472"/>
      <c r="L72" s="1472">
        <f t="shared" si="24"/>
        <v>0</v>
      </c>
      <c r="M72" s="1400">
        <f t="shared" si="15"/>
        <v>0</v>
      </c>
      <c r="N72" s="1400">
        <f t="shared" si="16"/>
        <v>0</v>
      </c>
      <c r="O72" s="1377">
        <v>1</v>
      </c>
      <c r="P72" s="1377">
        <v>1</v>
      </c>
      <c r="Q72" s="1400">
        <f t="shared" si="29"/>
        <v>0</v>
      </c>
      <c r="R72" s="1377"/>
      <c r="S72" s="1377"/>
      <c r="T72" s="1377"/>
      <c r="U72" s="1413">
        <f t="shared" si="30"/>
        <v>0</v>
      </c>
      <c r="V72" s="1413">
        <f t="shared" si="19"/>
        <v>0</v>
      </c>
      <c r="W72" s="1392"/>
      <c r="X72" s="1417">
        <f t="shared" si="31"/>
        <v>0</v>
      </c>
      <c r="Y72" s="1500" t="e">
        <f>'Индексы-дефляторы'!$F$41</f>
        <v>#REF!</v>
      </c>
      <c r="Z72" s="1417" t="e">
        <f t="shared" si="32"/>
        <v>#REF!</v>
      </c>
      <c r="AA72" s="1413" t="e">
        <f t="shared" si="22"/>
        <v>#REF!</v>
      </c>
      <c r="AB72" s="1456"/>
      <c r="AC72" s="1463" t="e">
        <f t="shared" si="3"/>
        <v>#REF!</v>
      </c>
      <c r="AD72" s="1464" t="e">
        <f t="shared" si="3"/>
        <v>#REF!</v>
      </c>
      <c r="AE72" s="1397" t="e">
        <f t="shared" si="35"/>
        <v>#REF!</v>
      </c>
      <c r="AG72" s="1567" t="e">
        <f t="shared" si="12"/>
        <v>#REF!</v>
      </c>
      <c r="AH72" s="1568" t="e">
        <f t="shared" si="13"/>
        <v>#REF!</v>
      </c>
    </row>
    <row r="73" spans="1:34" s="1254" customFormat="1" x14ac:dyDescent="0.25">
      <c r="A73" s="1254">
        <v>3</v>
      </c>
      <c r="B73" s="1243" t="str">
        <f t="shared" ca="1" si="4"/>
        <v>.8.4</v>
      </c>
      <c r="C73" s="1487" t="s">
        <v>5991</v>
      </c>
      <c r="D73" s="1486" t="s">
        <v>832</v>
      </c>
      <c r="E73" s="1488">
        <v>260</v>
      </c>
      <c r="F73" s="1374" t="str">
        <f t="shared" ca="1" si="34"/>
        <v>учтено в п..8.1</v>
      </c>
      <c r="G73" s="1376"/>
      <c r="H73" s="1400"/>
      <c r="I73" s="1472"/>
      <c r="J73" s="1472"/>
      <c r="K73" s="1472"/>
      <c r="L73" s="1472">
        <f t="shared" si="24"/>
        <v>0</v>
      </c>
      <c r="M73" s="1400">
        <f t="shared" si="15"/>
        <v>0</v>
      </c>
      <c r="N73" s="1400">
        <f t="shared" si="16"/>
        <v>0</v>
      </c>
      <c r="O73" s="1377">
        <v>1</v>
      </c>
      <c r="P73" s="1377">
        <v>1</v>
      </c>
      <c r="Q73" s="1400">
        <f t="shared" si="29"/>
        <v>0</v>
      </c>
      <c r="R73" s="1377"/>
      <c r="S73" s="1377"/>
      <c r="T73" s="1377"/>
      <c r="U73" s="1413">
        <f t="shared" si="30"/>
        <v>0</v>
      </c>
      <c r="V73" s="1413">
        <f t="shared" si="19"/>
        <v>0</v>
      </c>
      <c r="W73" s="1392"/>
      <c r="X73" s="1417">
        <f t="shared" si="31"/>
        <v>0</v>
      </c>
      <c r="Y73" s="1500" t="e">
        <f>'Индексы-дефляторы'!$F$41</f>
        <v>#REF!</v>
      </c>
      <c r="Z73" s="1417" t="e">
        <f t="shared" si="32"/>
        <v>#REF!</v>
      </c>
      <c r="AA73" s="1413" t="e">
        <f t="shared" si="22"/>
        <v>#REF!</v>
      </c>
      <c r="AB73" s="1456"/>
      <c r="AC73" s="1463" t="e">
        <f t="shared" si="3"/>
        <v>#REF!</v>
      </c>
      <c r="AD73" s="1464" t="e">
        <f t="shared" si="3"/>
        <v>#REF!</v>
      </c>
      <c r="AE73" s="1397" t="e">
        <f t="shared" si="35"/>
        <v>#REF!</v>
      </c>
      <c r="AG73" s="1567" t="e">
        <f t="shared" si="12"/>
        <v>#REF!</v>
      </c>
      <c r="AH73" s="1568" t="e">
        <f t="shared" si="13"/>
        <v>#REF!</v>
      </c>
    </row>
    <row r="74" spans="1:34" s="1254" customFormat="1" x14ac:dyDescent="0.25">
      <c r="A74" s="1254">
        <v>3</v>
      </c>
      <c r="B74" s="1243" t="str">
        <f t="shared" ca="1" si="4"/>
        <v>.8.5</v>
      </c>
      <c r="C74" s="1487" t="s">
        <v>5992</v>
      </c>
      <c r="D74" s="1486" t="s">
        <v>832</v>
      </c>
      <c r="E74" s="1488">
        <v>41</v>
      </c>
      <c r="F74" s="1374" t="str">
        <f t="shared" ca="1" si="34"/>
        <v>учтено в п..8.1</v>
      </c>
      <c r="G74" s="1376"/>
      <c r="H74" s="1400"/>
      <c r="I74" s="1472"/>
      <c r="J74" s="1472"/>
      <c r="K74" s="1472"/>
      <c r="L74" s="1472">
        <f t="shared" si="24"/>
        <v>0</v>
      </c>
      <c r="M74" s="1400">
        <f t="shared" si="15"/>
        <v>0</v>
      </c>
      <c r="N74" s="1400">
        <f t="shared" si="16"/>
        <v>0</v>
      </c>
      <c r="O74" s="1377">
        <v>1</v>
      </c>
      <c r="P74" s="1377">
        <v>1</v>
      </c>
      <c r="Q74" s="1400">
        <f t="shared" si="29"/>
        <v>0</v>
      </c>
      <c r="R74" s="1377"/>
      <c r="S74" s="1377"/>
      <c r="T74" s="1377"/>
      <c r="U74" s="1413">
        <f t="shared" si="30"/>
        <v>0</v>
      </c>
      <c r="V74" s="1413">
        <f t="shared" si="19"/>
        <v>0</v>
      </c>
      <c r="W74" s="1392"/>
      <c r="X74" s="1417">
        <f t="shared" si="31"/>
        <v>0</v>
      </c>
      <c r="Y74" s="1500" t="e">
        <f>'Индексы-дефляторы'!$F$41</f>
        <v>#REF!</v>
      </c>
      <c r="Z74" s="1417" t="e">
        <f t="shared" si="32"/>
        <v>#REF!</v>
      </c>
      <c r="AA74" s="1413" t="e">
        <f t="shared" si="22"/>
        <v>#REF!</v>
      </c>
      <c r="AB74" s="1456"/>
      <c r="AC74" s="1463" t="e">
        <f t="shared" si="3"/>
        <v>#REF!</v>
      </c>
      <c r="AD74" s="1464" t="e">
        <f t="shared" si="3"/>
        <v>#REF!</v>
      </c>
      <c r="AE74" s="1397" t="e">
        <f t="shared" si="35"/>
        <v>#REF!</v>
      </c>
      <c r="AG74" s="1567" t="e">
        <f t="shared" si="12"/>
        <v>#REF!</v>
      </c>
      <c r="AH74" s="1568" t="e">
        <f t="shared" si="13"/>
        <v>#REF!</v>
      </c>
    </row>
    <row r="75" spans="1:34" s="1254" customFormat="1" ht="28.5" x14ac:dyDescent="0.25">
      <c r="A75" s="1254">
        <v>3</v>
      </c>
      <c r="B75" s="1243" t="str">
        <f t="shared" ca="1" si="4"/>
        <v>.8.6</v>
      </c>
      <c r="C75" s="1487" t="s">
        <v>5993</v>
      </c>
      <c r="D75" s="1486" t="s">
        <v>832</v>
      </c>
      <c r="E75" s="1488">
        <v>33</v>
      </c>
      <c r="F75" s="1374" t="str">
        <f t="shared" ca="1" si="34"/>
        <v>учтено в п..8.1</v>
      </c>
      <c r="G75" s="1376"/>
      <c r="H75" s="1400"/>
      <c r="I75" s="1472"/>
      <c r="J75" s="1472"/>
      <c r="K75" s="1472"/>
      <c r="L75" s="1472">
        <f t="shared" si="24"/>
        <v>0</v>
      </c>
      <c r="M75" s="1400">
        <f t="shared" si="15"/>
        <v>0</v>
      </c>
      <c r="N75" s="1400">
        <f t="shared" si="16"/>
        <v>0</v>
      </c>
      <c r="O75" s="1377">
        <v>1</v>
      </c>
      <c r="P75" s="1377">
        <v>1</v>
      </c>
      <c r="Q75" s="1400">
        <f t="shared" si="29"/>
        <v>0</v>
      </c>
      <c r="R75" s="1377"/>
      <c r="S75" s="1377"/>
      <c r="T75" s="1377"/>
      <c r="U75" s="1413">
        <f t="shared" si="30"/>
        <v>0</v>
      </c>
      <c r="V75" s="1413">
        <f t="shared" si="19"/>
        <v>0</v>
      </c>
      <c r="W75" s="1392"/>
      <c r="X75" s="1417">
        <f t="shared" si="31"/>
        <v>0</v>
      </c>
      <c r="Y75" s="1500" t="e">
        <f>'Индексы-дефляторы'!$F$41</f>
        <v>#REF!</v>
      </c>
      <c r="Z75" s="1417" t="e">
        <f t="shared" si="32"/>
        <v>#REF!</v>
      </c>
      <c r="AA75" s="1413" t="e">
        <f t="shared" si="22"/>
        <v>#REF!</v>
      </c>
      <c r="AB75" s="1456"/>
      <c r="AC75" s="1463" t="e">
        <f t="shared" si="3"/>
        <v>#REF!</v>
      </c>
      <c r="AD75" s="1464" t="e">
        <f t="shared" si="3"/>
        <v>#REF!</v>
      </c>
      <c r="AE75" s="1397" t="e">
        <f t="shared" si="35"/>
        <v>#REF!</v>
      </c>
      <c r="AG75" s="1567" t="e">
        <f t="shared" si="12"/>
        <v>#REF!</v>
      </c>
      <c r="AH75" s="1568" t="e">
        <f t="shared" si="13"/>
        <v>#REF!</v>
      </c>
    </row>
    <row r="76" spans="1:34" s="1254" customFormat="1" ht="28.5" x14ac:dyDescent="0.25">
      <c r="A76" s="1254">
        <v>3</v>
      </c>
      <c r="B76" s="1243" t="str">
        <f t="shared" ca="1" si="4"/>
        <v>.8.7</v>
      </c>
      <c r="C76" s="1487" t="s">
        <v>5999</v>
      </c>
      <c r="D76" s="1486" t="s">
        <v>832</v>
      </c>
      <c r="E76" s="1488">
        <v>8</v>
      </c>
      <c r="F76" s="1374" t="str">
        <f t="shared" ca="1" si="34"/>
        <v>учтено в п..8.1</v>
      </c>
      <c r="G76" s="1376"/>
      <c r="H76" s="1400"/>
      <c r="I76" s="1472"/>
      <c r="J76" s="1472"/>
      <c r="K76" s="1472"/>
      <c r="L76" s="1472">
        <f t="shared" si="24"/>
        <v>0</v>
      </c>
      <c r="M76" s="1400">
        <f t="shared" si="15"/>
        <v>0</v>
      </c>
      <c r="N76" s="1400">
        <f t="shared" si="16"/>
        <v>0</v>
      </c>
      <c r="O76" s="1377">
        <v>1</v>
      </c>
      <c r="P76" s="1377">
        <v>1</v>
      </c>
      <c r="Q76" s="1400">
        <f t="shared" si="29"/>
        <v>0</v>
      </c>
      <c r="R76" s="1377"/>
      <c r="S76" s="1377"/>
      <c r="T76" s="1377"/>
      <c r="U76" s="1413">
        <f t="shared" si="30"/>
        <v>0</v>
      </c>
      <c r="V76" s="1413">
        <f t="shared" si="19"/>
        <v>0</v>
      </c>
      <c r="W76" s="1392"/>
      <c r="X76" s="1417">
        <f t="shared" si="31"/>
        <v>0</v>
      </c>
      <c r="Y76" s="1500" t="e">
        <f>'Индексы-дефляторы'!$F$41</f>
        <v>#REF!</v>
      </c>
      <c r="Z76" s="1417" t="e">
        <f t="shared" si="32"/>
        <v>#REF!</v>
      </c>
      <c r="AA76" s="1413" t="e">
        <f t="shared" si="22"/>
        <v>#REF!</v>
      </c>
      <c r="AB76" s="1456"/>
      <c r="AC76" s="1463" t="e">
        <f t="shared" si="3"/>
        <v>#REF!</v>
      </c>
      <c r="AD76" s="1464" t="e">
        <f t="shared" si="3"/>
        <v>#REF!</v>
      </c>
      <c r="AE76" s="1397" t="e">
        <f t="shared" si="35"/>
        <v>#REF!</v>
      </c>
      <c r="AG76" s="1567" t="e">
        <f t="shared" si="12"/>
        <v>#REF!</v>
      </c>
      <c r="AH76" s="1568" t="e">
        <f t="shared" si="13"/>
        <v>#REF!</v>
      </c>
    </row>
    <row r="77" spans="1:34" s="1254" customFormat="1" ht="28.5" x14ac:dyDescent="0.25">
      <c r="A77" s="1254">
        <v>3</v>
      </c>
      <c r="B77" s="1243" t="str">
        <f t="shared" ca="1" si="4"/>
        <v>.8.8</v>
      </c>
      <c r="C77" s="1487" t="s">
        <v>5994</v>
      </c>
      <c r="D77" s="1486" t="s">
        <v>832</v>
      </c>
      <c r="E77" s="1488">
        <v>219</v>
      </c>
      <c r="F77" s="1374" t="str">
        <f t="shared" ca="1" si="34"/>
        <v>учтено в п..8.1</v>
      </c>
      <c r="G77" s="1376"/>
      <c r="H77" s="1400"/>
      <c r="I77" s="1472"/>
      <c r="J77" s="1472"/>
      <c r="K77" s="1472"/>
      <c r="L77" s="1472">
        <f t="shared" si="24"/>
        <v>0</v>
      </c>
      <c r="M77" s="1400">
        <f t="shared" si="15"/>
        <v>0</v>
      </c>
      <c r="N77" s="1400">
        <f t="shared" si="16"/>
        <v>0</v>
      </c>
      <c r="O77" s="1377">
        <v>1</v>
      </c>
      <c r="P77" s="1377">
        <v>1</v>
      </c>
      <c r="Q77" s="1400">
        <f t="shared" si="29"/>
        <v>0</v>
      </c>
      <c r="R77" s="1377"/>
      <c r="S77" s="1377"/>
      <c r="T77" s="1377"/>
      <c r="U77" s="1413">
        <f t="shared" si="30"/>
        <v>0</v>
      </c>
      <c r="V77" s="1413">
        <f t="shared" si="19"/>
        <v>0</v>
      </c>
      <c r="W77" s="1392"/>
      <c r="X77" s="1417">
        <f t="shared" si="31"/>
        <v>0</v>
      </c>
      <c r="Y77" s="1500" t="e">
        <f>'Индексы-дефляторы'!$F$41</f>
        <v>#REF!</v>
      </c>
      <c r="Z77" s="1417" t="e">
        <f t="shared" si="32"/>
        <v>#REF!</v>
      </c>
      <c r="AA77" s="1413" t="e">
        <f t="shared" si="22"/>
        <v>#REF!</v>
      </c>
      <c r="AB77" s="1456"/>
      <c r="AC77" s="1463" t="e">
        <f t="shared" si="3"/>
        <v>#REF!</v>
      </c>
      <c r="AD77" s="1464" t="e">
        <f t="shared" si="3"/>
        <v>#REF!</v>
      </c>
      <c r="AE77" s="1397" t="e">
        <f t="shared" si="35"/>
        <v>#REF!</v>
      </c>
      <c r="AG77" s="1567" t="e">
        <f t="shared" si="12"/>
        <v>#REF!</v>
      </c>
      <c r="AH77" s="1568" t="e">
        <f t="shared" si="13"/>
        <v>#REF!</v>
      </c>
    </row>
    <row r="78" spans="1:34" s="1548" customFormat="1" ht="31.5" x14ac:dyDescent="0.25">
      <c r="A78" s="1548">
        <v>2</v>
      </c>
      <c r="B78" s="1549" t="str">
        <f t="shared" ca="1" si="4"/>
        <v>.9</v>
      </c>
      <c r="C78" s="1550" t="s">
        <v>5365</v>
      </c>
      <c r="D78" s="1551" t="s">
        <v>432</v>
      </c>
      <c r="E78" s="1552">
        <v>1</v>
      </c>
      <c r="F78" s="1551" t="s">
        <v>5855</v>
      </c>
      <c r="G78" s="1553"/>
      <c r="H78" s="1415"/>
      <c r="I78" s="1554"/>
      <c r="J78" s="1554"/>
      <c r="K78" s="1554"/>
      <c r="L78" s="1554"/>
      <c r="M78" s="1415"/>
      <c r="N78" s="1415" t="e">
        <f>(N21+N26+N29+N33+N42+N47+N52+N69)*2%</f>
        <v>#REF!</v>
      </c>
      <c r="O78" s="1555"/>
      <c r="P78" s="1555"/>
      <c r="Q78" s="1415" t="e">
        <f>(Q21+Q26+Q29+Q33+Q42+Q47+Q52+Q69)*2%</f>
        <v>#REF!</v>
      </c>
      <c r="R78" s="1555"/>
      <c r="S78" s="1555"/>
      <c r="T78" s="1555"/>
      <c r="U78" s="1415" t="e">
        <f>(U21+U26+U29+U33+U42+U47+U52+U69)*2%</f>
        <v>#REF!</v>
      </c>
      <c r="V78" s="1415">
        <f>(V21+V26+V29+V33+V42+V47+V52+V69)*2%</f>
        <v>58777.9</v>
      </c>
      <c r="W78" s="1521"/>
      <c r="X78" s="1415" t="e">
        <f>(X21+X26+X29+X33+X42+X47+X52+X69)*2%</f>
        <v>#REF!</v>
      </c>
      <c r="Y78" s="1556"/>
      <c r="Z78" s="1415" t="e">
        <f>(Z21+Z26+Z29+Z33+Z42+Z47+Z52+Z69)*2%</f>
        <v>#REF!</v>
      </c>
      <c r="AA78" s="1415" t="e">
        <f>(AA21+AA26+AA29+AA33+AA42+AA47+AA52+AA69)*2%</f>
        <v>#REF!</v>
      </c>
      <c r="AB78" s="1557"/>
      <c r="AC78" s="1415" t="e">
        <f>(AC21+AC26+AC29+AC33+AC42+AC47+AC52+AC69)*2%</f>
        <v>#REF!</v>
      </c>
      <c r="AD78" s="1415" t="e">
        <f>(AD21+AD26+AD29+AD33+AD42+AD47+AD52+AD69)*2%</f>
        <v>#REF!</v>
      </c>
      <c r="AG78" s="1415">
        <f>(AG21+AG26+AG29+AG33+AG42+AG47+AG52+AG69)*2%</f>
        <v>0</v>
      </c>
      <c r="AH78" s="1415">
        <f>(AH21+AH26+AH29+AH33+AH42+AH47+AH52+AH69)*2%</f>
        <v>0</v>
      </c>
    </row>
    <row r="79" spans="1:34" s="853" customFormat="1" x14ac:dyDescent="0.25">
      <c r="B79" s="876"/>
      <c r="C79" s="877" t="s">
        <v>521</v>
      </c>
      <c r="D79" s="876"/>
      <c r="E79" s="876"/>
      <c r="F79" s="876"/>
      <c r="G79" s="876"/>
      <c r="H79" s="1407"/>
      <c r="I79" s="1408"/>
      <c r="J79" s="1408"/>
      <c r="K79" s="1408"/>
      <c r="L79" s="1408"/>
      <c r="M79" s="1407"/>
      <c r="N79" s="1409" t="e">
        <f>N8+N13</f>
        <v>#REF!</v>
      </c>
      <c r="O79" s="1320"/>
      <c r="P79" s="1320"/>
      <c r="Q79" s="1409" t="e">
        <f>Q8+Q13</f>
        <v>#REF!</v>
      </c>
      <c r="R79" s="1320"/>
      <c r="S79" s="1320"/>
      <c r="T79" s="1320"/>
      <c r="U79" s="1409" t="e">
        <f>U8+U13</f>
        <v>#REF!</v>
      </c>
      <c r="V79" s="1409">
        <f>V8+V13</f>
        <v>2997672.81</v>
      </c>
      <c r="W79" s="1323"/>
      <c r="X79" s="1409" t="e">
        <f>X8+X13</f>
        <v>#REF!</v>
      </c>
      <c r="Y79" s="1323"/>
      <c r="Z79" s="1409" t="e">
        <f>Z8+Z13</f>
        <v>#REF!</v>
      </c>
      <c r="AA79" s="1409" t="e">
        <f>AA8+AA13</f>
        <v>#REF!</v>
      </c>
      <c r="AB79" s="1460"/>
      <c r="AC79" s="1322"/>
      <c r="AD79" s="1322"/>
      <c r="AG79" s="1569"/>
      <c r="AH79" s="1569"/>
    </row>
    <row r="80" spans="1:34" x14ac:dyDescent="0.25">
      <c r="B80" s="879"/>
      <c r="C80" s="880" t="s">
        <v>6035</v>
      </c>
      <c r="D80" s="879"/>
      <c r="E80" s="879"/>
      <c r="F80" s="879"/>
      <c r="G80" s="879"/>
      <c r="H80" s="1410"/>
      <c r="I80" s="1411"/>
      <c r="J80" s="1411"/>
      <c r="K80" s="1411"/>
      <c r="L80" s="1411"/>
      <c r="M80" s="1410"/>
      <c r="N80" s="1338" t="e">
        <f>N79*22%</f>
        <v>#REF!</v>
      </c>
      <c r="O80" s="1321"/>
      <c r="P80" s="1321"/>
      <c r="Q80" s="1338" t="e">
        <f>Q79*22%</f>
        <v>#REF!</v>
      </c>
      <c r="R80" s="1321"/>
      <c r="S80" s="1321"/>
      <c r="T80" s="1321"/>
      <c r="U80" s="1338" t="e">
        <f>U79*22%</f>
        <v>#REF!</v>
      </c>
      <c r="V80" s="1338">
        <f>V79*22%</f>
        <v>659488.02</v>
      </c>
      <c r="W80" s="1321"/>
      <c r="X80" s="1338" t="e">
        <f>X79*22%</f>
        <v>#REF!</v>
      </c>
      <c r="Y80" s="1321"/>
      <c r="Z80" s="1338" t="e">
        <f>Z79*22%</f>
        <v>#REF!</v>
      </c>
      <c r="AA80" s="1338" t="e">
        <f>AA79*22%</f>
        <v>#REF!</v>
      </c>
      <c r="AB80" s="1461"/>
      <c r="AC80" s="1321"/>
      <c r="AD80" s="1321"/>
      <c r="AG80" s="1560"/>
      <c r="AH80" s="1560"/>
    </row>
    <row r="81" spans="1:34" s="853" customFormat="1" x14ac:dyDescent="0.25">
      <c r="B81" s="878"/>
      <c r="C81" s="881" t="s">
        <v>6034</v>
      </c>
      <c r="D81" s="878"/>
      <c r="E81" s="878"/>
      <c r="F81" s="878"/>
      <c r="G81" s="878"/>
      <c r="H81" s="1412"/>
      <c r="I81" s="1408"/>
      <c r="J81" s="1408"/>
      <c r="K81" s="1408"/>
      <c r="L81" s="1408"/>
      <c r="M81" s="1412"/>
      <c r="N81" s="1339" t="e">
        <f>N79+N80</f>
        <v>#REF!</v>
      </c>
      <c r="O81" s="1322"/>
      <c r="P81" s="1322"/>
      <c r="Q81" s="1339" t="e">
        <f>Q79+Q80</f>
        <v>#REF!</v>
      </c>
      <c r="R81" s="1322"/>
      <c r="S81" s="1322"/>
      <c r="T81" s="1322"/>
      <c r="U81" s="1339" t="e">
        <f>U79+U80</f>
        <v>#REF!</v>
      </c>
      <c r="V81" s="1339">
        <f>V79+V80</f>
        <v>3657160.83</v>
      </c>
      <c r="W81" s="1322"/>
      <c r="X81" s="1339" t="e">
        <f>X79+X80</f>
        <v>#REF!</v>
      </c>
      <c r="Y81" s="1322"/>
      <c r="Z81" s="1339" t="e">
        <f>Z79+Z80</f>
        <v>#REF!</v>
      </c>
      <c r="AA81" s="1339" t="e">
        <f>AA79+AA80</f>
        <v>#REF!</v>
      </c>
      <c r="AB81" s="1460"/>
      <c r="AC81" s="1409" t="e">
        <f>AC8+AC13</f>
        <v>#REF!</v>
      </c>
      <c r="AD81" s="1409" t="e">
        <f>AD8+AD13</f>
        <v>#REF!</v>
      </c>
      <c r="AG81" s="1570">
        <f>AG8+AG13</f>
        <v>0</v>
      </c>
      <c r="AH81" s="1570">
        <f>AH8+AH13</f>
        <v>0</v>
      </c>
    </row>
    <row r="82" spans="1:34" x14ac:dyDescent="0.25">
      <c r="AG82" s="1560"/>
      <c r="AH82" s="1560"/>
    </row>
    <row r="83" spans="1:34" x14ac:dyDescent="0.25">
      <c r="AG83" s="1560"/>
      <c r="AH83" s="1560"/>
    </row>
    <row r="84" spans="1:34" ht="39" customHeight="1" x14ac:dyDescent="0.25">
      <c r="B84" s="1396" t="s">
        <v>4135</v>
      </c>
      <c r="C84" s="1857"/>
      <c r="D84" s="1857"/>
      <c r="E84" s="1857"/>
      <c r="F84" s="1315"/>
      <c r="G84" s="1315"/>
      <c r="Q84" s="882" t="s">
        <v>567</v>
      </c>
      <c r="AG84" s="1560"/>
      <c r="AH84" s="1560"/>
    </row>
    <row r="88" spans="1:34" s="1254" customFormat="1" ht="47.25" x14ac:dyDescent="0.25">
      <c r="A88" s="1254">
        <v>3</v>
      </c>
      <c r="B88" s="1243" t="str">
        <f ca="1">IF(A88&gt;OFFSET(A88,-1,0),OFFSET(B88,-1,0)&amp;"."&amp;1,LEFT(OFFSET(B88,-1,0),SEARCH("^^",SUBSTITUTE("."&amp;OFFSET(B88,-1,0),".","^^",A88))-1)&amp;1--MID(OFFSET(B88,-1,0),SEARCH("^^",SUBSTITUTE("."&amp;OFFSET(B88,-1,0),".","^^",A88)),SEARCH("^^",SUBSTITUTE(OFFSET(B88,-1,0)&amp;".",".","^^",A88))-SEARCH("^^",SUBSTITUTE("."&amp;OFFSET(B88,-1,0),".","^^",A88))))</f>
        <v>.1</v>
      </c>
      <c r="C88" s="1547" t="s">
        <v>25</v>
      </c>
      <c r="D88" s="1489" t="s">
        <v>316</v>
      </c>
      <c r="E88" s="1490">
        <v>2</v>
      </c>
      <c r="F88" s="1374" t="s">
        <v>6015</v>
      </c>
      <c r="G88" s="1376">
        <v>46023</v>
      </c>
      <c r="H88" s="1400">
        <f>90.11*1000/1.02</f>
        <v>88343.14</v>
      </c>
      <c r="I88" s="1472">
        <f>0.12*1000/1.02</f>
        <v>117.65</v>
      </c>
      <c r="J88" s="1472"/>
      <c r="K88" s="1472">
        <f>1.89*1000/1.02</f>
        <v>1852.94</v>
      </c>
      <c r="L88" s="1472">
        <f>0*1000/1.02</f>
        <v>0</v>
      </c>
      <c r="M88" s="1400">
        <f>H88-I88-K88</f>
        <v>86372.55</v>
      </c>
      <c r="N88" s="1400">
        <f>E88*M88</f>
        <v>172745.1</v>
      </c>
      <c r="O88" s="1377">
        <v>1</v>
      </c>
      <c r="P88" s="1377">
        <v>1</v>
      </c>
      <c r="Q88" s="1400">
        <f t="shared" ref="Q88:Q91" si="36">N88*O88*P88</f>
        <v>172745.1</v>
      </c>
      <c r="R88" s="1377">
        <v>0.9</v>
      </c>
      <c r="S88" s="1377">
        <v>0.99</v>
      </c>
      <c r="T88" s="1377">
        <v>1</v>
      </c>
      <c r="U88" s="1413">
        <f t="shared" ref="U88:U91" si="37">Q88*R88*S88*T88</f>
        <v>153915.88</v>
      </c>
      <c r="V88" s="1413">
        <f>E88*L88*O88*P88*R88*S88*T88</f>
        <v>0</v>
      </c>
      <c r="W88" s="1392">
        <f>'Индексы Росстата'!$F$121</f>
        <v>1.0225</v>
      </c>
      <c r="X88" s="1417">
        <f t="shared" ref="X88:X91" si="38">U88*W88</f>
        <v>157378.99</v>
      </c>
      <c r="Y88" s="1500" t="e">
        <f>'Индексы-дефляторы'!$F$41</f>
        <v>#REF!</v>
      </c>
      <c r="Z88" s="1417" t="e">
        <f t="shared" ref="Z88:Z91" si="39">X88*Y88</f>
        <v>#REF!</v>
      </c>
      <c r="AA88" s="1413" t="e">
        <f>V88*W88*Y88</f>
        <v>#REF!</v>
      </c>
      <c r="AB88" s="1456"/>
      <c r="AC88" s="1463" t="e">
        <f t="shared" ref="AC88:AD89" si="40">Z88*1.22</f>
        <v>#REF!</v>
      </c>
      <c r="AD88" s="1464" t="e">
        <f t="shared" si="40"/>
        <v>#REF!</v>
      </c>
      <c r="AE88" s="1397" t="e">
        <f>AC88/E88</f>
        <v>#REF!</v>
      </c>
      <c r="AF88" s="1254" t="s">
        <v>6027</v>
      </c>
      <c r="AG88" s="1567" t="e">
        <f t="shared" ref="AG88:AG89" si="41">I88*E88*O88*P88*R88*S88*T88*W88*Y88*1.22</f>
        <v>#REF!</v>
      </c>
      <c r="AH88" s="1568" t="e">
        <f t="shared" ref="AH88:AH89" si="42">K88*E88*O88*P88*R88*S88*T88*W88*Y88*1.22</f>
        <v>#REF!</v>
      </c>
    </row>
    <row r="89" spans="1:34" s="1528" customFormat="1" ht="78.75" x14ac:dyDescent="0.25">
      <c r="A89" s="1528">
        <v>3</v>
      </c>
      <c r="B89" s="1529" t="e">
        <f t="shared" ref="B89" ca="1" si="43">IF(A89&gt;OFFSET(A89,-1,0),OFFSET(B89,-1,0)&amp;"."&amp;1,LEFT(OFFSET(B89,-1,0),SEARCH("^^",SUBSTITUTE("."&amp;OFFSET(B89,-1,0),".","^^",A89))-1)&amp;1--MID(OFFSET(B89,-1,0),SEARCH("^^",SUBSTITUTE("."&amp;OFFSET(B89,-1,0),".","^^",A89)),SEARCH("^^",SUBSTITUTE(OFFSET(B89,-1,0)&amp;".",".","^^",A89))-SEARCH("^^",SUBSTITUTE("."&amp;OFFSET(B89,-1,0),".","^^",A89))))</f>
        <v>#VALUE!</v>
      </c>
      <c r="C89" s="1530" t="s">
        <v>5955</v>
      </c>
      <c r="D89" s="1531" t="s">
        <v>5593</v>
      </c>
      <c r="E89" s="1532">
        <f>5700/100</f>
        <v>57</v>
      </c>
      <c r="F89" s="1531" t="s">
        <v>6029</v>
      </c>
      <c r="G89" s="1533">
        <v>46023</v>
      </c>
      <c r="H89" s="1534">
        <f>22.65*1000/1.02</f>
        <v>22205.88</v>
      </c>
      <c r="I89" s="1535">
        <f>0.03*1000/1.02</f>
        <v>29.41</v>
      </c>
      <c r="J89" s="1535"/>
      <c r="K89" s="1535">
        <f>0.47*1000/1.02</f>
        <v>460.78</v>
      </c>
      <c r="L89" s="1536"/>
      <c r="M89" s="1534">
        <f t="shared" ref="M89" si="44">H89-I89-K89</f>
        <v>21715.69</v>
      </c>
      <c r="N89" s="1534">
        <f t="shared" ref="N89" si="45">E89*M89</f>
        <v>1237794.33</v>
      </c>
      <c r="O89" s="1537">
        <v>1</v>
      </c>
      <c r="P89" s="1537">
        <v>1</v>
      </c>
      <c r="Q89" s="1534">
        <f t="shared" si="36"/>
        <v>1237794.33</v>
      </c>
      <c r="R89" s="1537">
        <v>0.9</v>
      </c>
      <c r="S89" s="1537">
        <v>0.99</v>
      </c>
      <c r="T89" s="1537">
        <v>1</v>
      </c>
      <c r="U89" s="1538">
        <f t="shared" si="37"/>
        <v>1102874.75</v>
      </c>
      <c r="V89" s="1538">
        <f t="shared" ref="V89" si="46">E89*L89*O89*P89*R89*S89*T89</f>
        <v>0</v>
      </c>
      <c r="W89" s="1539">
        <f>'Индексы Росстата'!$F$121</f>
        <v>1.0225</v>
      </c>
      <c r="X89" s="1534">
        <f t="shared" si="38"/>
        <v>1127689.43</v>
      </c>
      <c r="Y89" s="1501" t="e">
        <f>'Индексы-дефляторы'!$F$41</f>
        <v>#REF!</v>
      </c>
      <c r="Z89" s="1534" t="e">
        <f t="shared" si="39"/>
        <v>#REF!</v>
      </c>
      <c r="AA89" s="1534" t="e">
        <f t="shared" ref="AA89" si="47">V89*W89*Y89</f>
        <v>#REF!</v>
      </c>
      <c r="AB89" s="1540"/>
      <c r="AC89" s="1541" t="e">
        <f t="shared" si="40"/>
        <v>#REF!</v>
      </c>
      <c r="AD89" s="1542" t="e">
        <f t="shared" si="40"/>
        <v>#REF!</v>
      </c>
      <c r="AG89" s="1567" t="e">
        <f t="shared" si="41"/>
        <v>#REF!</v>
      </c>
      <c r="AH89" s="1568" t="e">
        <f t="shared" si="42"/>
        <v>#REF!</v>
      </c>
    </row>
    <row r="90" spans="1:34" s="1254" customFormat="1" ht="113.25" customHeight="1" x14ac:dyDescent="0.25">
      <c r="A90" s="1254">
        <v>2</v>
      </c>
      <c r="B90" s="1243" t="e">
        <f ca="1">IF(A90&gt;OFFSET(A90,-1,0),OFFSET(B90,-1,0)&amp;"."&amp;1,LEFT(OFFSET(B90,-1,0),SEARCH("^^",SUBSTITUTE("."&amp;OFFSET(B90,-1,0),".","^^",A90))-1)&amp;1--MID(OFFSET(B90,-1,0),SEARCH("^^",SUBSTITUTE("."&amp;OFFSET(B90,-1,0),".","^^",A90)),SEARCH("^^",SUBSTITUTE(OFFSET(B90,-1,0)&amp;".",".","^^",A90))-SEARCH("^^",SUBSTITUTE("."&amp;OFFSET(B90,-1,0),".","^^",A90))))</f>
        <v>#VALUE!</v>
      </c>
      <c r="C90" s="1389" t="s">
        <v>5956</v>
      </c>
      <c r="D90" s="1374" t="s">
        <v>130</v>
      </c>
      <c r="E90" s="1390">
        <f>80*11</f>
        <v>880</v>
      </c>
      <c r="F90" s="1374" t="s">
        <v>5599</v>
      </c>
      <c r="G90" s="1376">
        <v>45292</v>
      </c>
      <c r="H90" s="1400">
        <f>75.9*1000/1.02</f>
        <v>74411.759999999995</v>
      </c>
      <c r="I90" s="1472">
        <f>738.03/95*1000/1.02</f>
        <v>7616.41</v>
      </c>
      <c r="J90" s="1472"/>
      <c r="K90" s="1472">
        <f>1.44*1000/1.02</f>
        <v>1411.76</v>
      </c>
      <c r="L90" s="1472">
        <f>0*1000/1.02</f>
        <v>0</v>
      </c>
      <c r="M90" s="1400">
        <f>H90-I90-K90</f>
        <v>65383.59</v>
      </c>
      <c r="N90" s="1400">
        <f>E90*M90</f>
        <v>57537559.200000003</v>
      </c>
      <c r="O90" s="1377">
        <v>1</v>
      </c>
      <c r="P90" s="1377">
        <v>1</v>
      </c>
      <c r="Q90" s="1400">
        <f t="shared" si="36"/>
        <v>57537559.200000003</v>
      </c>
      <c r="R90" s="1377">
        <v>0.8</v>
      </c>
      <c r="S90" s="1377">
        <v>0.99</v>
      </c>
      <c r="T90" s="1377">
        <v>1.03</v>
      </c>
      <c r="U90" s="1413">
        <f t="shared" si="37"/>
        <v>46936839.289999999</v>
      </c>
      <c r="V90" s="1413">
        <f>E90*L90*O90*P90*R90*S90*T90</f>
        <v>0</v>
      </c>
      <c r="W90" s="1392" t="e">
        <f>#REF!</f>
        <v>#REF!</v>
      </c>
      <c r="X90" s="1417" t="e">
        <f t="shared" si="38"/>
        <v>#REF!</v>
      </c>
      <c r="Y90" s="1380" t="e">
        <f>'Индексы-дефляторы'!$F$41</f>
        <v>#REF!</v>
      </c>
      <c r="Z90" s="1417" t="e">
        <f t="shared" si="39"/>
        <v>#REF!</v>
      </c>
      <c r="AA90" s="1413" t="e">
        <f>V90*W90*Y90</f>
        <v>#REF!</v>
      </c>
      <c r="AB90" s="1456"/>
      <c r="AC90" s="1463" t="e">
        <f>Z90*1.2</f>
        <v>#REF!</v>
      </c>
      <c r="AD90" s="1464" t="e">
        <f>AA90*1.2</f>
        <v>#REF!</v>
      </c>
      <c r="AE90" s="1397" t="e">
        <f>AC90*1.2/E90</f>
        <v>#REF!</v>
      </c>
      <c r="AF90" s="1254" t="s">
        <v>5831</v>
      </c>
      <c r="AG90" s="1571"/>
      <c r="AH90" s="1572"/>
    </row>
    <row r="91" spans="1:34" s="1254" customFormat="1" ht="113.25" customHeight="1" x14ac:dyDescent="0.25">
      <c r="A91" s="1254">
        <v>2</v>
      </c>
      <c r="B91" s="1243" t="e">
        <f ca="1">IF(A91&gt;OFFSET(A91,-1,0),OFFSET(B91,-1,0)&amp;"."&amp;1,LEFT(OFFSET(B91,-1,0),SEARCH("^^",SUBSTITUTE("."&amp;OFFSET(B91,-1,0),".","^^",A91))-1)&amp;1--MID(OFFSET(B91,-1,0),SEARCH("^^",SUBSTITUTE("."&amp;OFFSET(B91,-1,0),".","^^",A91)),SEARCH("^^",SUBSTITUTE(OFFSET(B91,-1,0)&amp;".",".","^^",A91))-SEARCH("^^",SUBSTITUTE("."&amp;OFFSET(B91,-1,0),".","^^",A91))))</f>
        <v>#VALUE!</v>
      </c>
      <c r="C91" s="1389" t="s">
        <v>5956</v>
      </c>
      <c r="D91" s="1374" t="s">
        <v>130</v>
      </c>
      <c r="E91" s="1390">
        <f>80*11</f>
        <v>880</v>
      </c>
      <c r="F91" s="1374" t="s">
        <v>5874</v>
      </c>
      <c r="G91" s="1376">
        <v>45292</v>
      </c>
      <c r="H91" s="1400">
        <f>125.26*1000/1.02</f>
        <v>122803.92</v>
      </c>
      <c r="I91" s="1472">
        <f>48.36/32*1000/1.02</f>
        <v>1481.62</v>
      </c>
      <c r="J91" s="1472"/>
      <c r="K91" s="1472">
        <f>2.58*1000/1.02</f>
        <v>2529.41</v>
      </c>
      <c r="L91" s="1472">
        <f>1948.36/32*1000/1.02</f>
        <v>59692.4</v>
      </c>
      <c r="M91" s="1400">
        <f>H91-I91-K91</f>
        <v>118792.89</v>
      </c>
      <c r="N91" s="1400">
        <f>E91*M91</f>
        <v>104537743.2</v>
      </c>
      <c r="O91" s="1377">
        <v>1</v>
      </c>
      <c r="P91" s="1377">
        <v>1</v>
      </c>
      <c r="Q91" s="1400">
        <f t="shared" si="36"/>
        <v>104537743.2</v>
      </c>
      <c r="R91" s="1377">
        <v>0.82</v>
      </c>
      <c r="S91" s="1377">
        <v>1</v>
      </c>
      <c r="T91" s="1377">
        <v>1.03</v>
      </c>
      <c r="U91" s="1413">
        <f t="shared" si="37"/>
        <v>88292577.909999996</v>
      </c>
      <c r="V91" s="1413">
        <f>E91*L91*O91*P91*R91*S91*T91</f>
        <v>44366256.920000002</v>
      </c>
      <c r="W91" s="1392" t="e">
        <f>#REF!</f>
        <v>#REF!</v>
      </c>
      <c r="X91" s="1417" t="e">
        <f t="shared" si="38"/>
        <v>#REF!</v>
      </c>
      <c r="Y91" s="1380" t="e">
        <f>'Индексы-дефляторы'!$F$41</f>
        <v>#REF!</v>
      </c>
      <c r="Z91" s="1417" t="e">
        <f t="shared" si="39"/>
        <v>#REF!</v>
      </c>
      <c r="AA91" s="1413" t="e">
        <f>V91*W91*Y91</f>
        <v>#REF!</v>
      </c>
      <c r="AB91" s="1456"/>
      <c r="AC91" s="1463" t="e">
        <f>Z91*1.2</f>
        <v>#REF!</v>
      </c>
      <c r="AD91" s="1464" t="e">
        <f>AA91*1.2</f>
        <v>#REF!</v>
      </c>
      <c r="AE91" s="1397" t="e">
        <f>AC91*1.2/E91</f>
        <v>#REF!</v>
      </c>
      <c r="AF91" s="1254" t="s">
        <v>5831</v>
      </c>
      <c r="AG91" s="1571"/>
      <c r="AH91" s="1572"/>
    </row>
    <row r="92" spans="1:34" s="1242" customFormat="1" x14ac:dyDescent="0.25">
      <c r="A92" s="1242">
        <v>1</v>
      </c>
      <c r="B92" s="1330" t="e">
        <f t="shared" ref="B92:B94" ca="1" si="48">IF(A92&gt;OFFSET(A92,-1,0),OFFSET(B92,-1,0)&amp;"."&amp;1,LEFT(OFFSET(B92,-1,0),SEARCH("^^",SUBSTITUTE("."&amp;OFFSET(B92,-1,0),".","^^",A92))-1)&amp;1--MID(OFFSET(B92,-1,0),SEARCH("^^",SUBSTITUTE("."&amp;OFFSET(B92,-1,0),".","^^",A92)),SEARCH("^^",SUBSTITUTE(OFFSET(B92,-1,0)&amp;".",".","^^",A92))-SEARCH("^^",SUBSTITUTE("."&amp;OFFSET(B92,-1,0),".","^^",A92))))</f>
        <v>#VALUE!</v>
      </c>
      <c r="C92" s="1331" t="s">
        <v>735</v>
      </c>
      <c r="D92" s="1332" t="s">
        <v>432</v>
      </c>
      <c r="E92" s="1333">
        <v>1</v>
      </c>
      <c r="F92" s="1332"/>
      <c r="G92" s="1334"/>
      <c r="H92" s="1398">
        <f>SUM(H93:H94)</f>
        <v>0</v>
      </c>
      <c r="I92" s="1399"/>
      <c r="J92" s="1399"/>
      <c r="K92" s="1399"/>
      <c r="L92" s="1399"/>
      <c r="M92" s="1398">
        <f>SUM(M93:M94)</f>
        <v>0</v>
      </c>
      <c r="N92" s="1398">
        <f>SUM(N93:N94)</f>
        <v>0</v>
      </c>
      <c r="O92" s="1335"/>
      <c r="P92" s="1335"/>
      <c r="Q92" s="1398">
        <f>SUM(Q93:Q94)</f>
        <v>0</v>
      </c>
      <c r="R92" s="1335"/>
      <c r="S92" s="1335"/>
      <c r="T92" s="1335"/>
      <c r="U92" s="1398">
        <f>SUM(U93:U94)</f>
        <v>0</v>
      </c>
      <c r="V92" s="1398"/>
      <c r="W92" s="1336"/>
      <c r="X92" s="1398">
        <f>SUM(X93:X94)</f>
        <v>0</v>
      </c>
      <c r="Y92" s="1337"/>
      <c r="Z92" s="1398" t="e">
        <f>SUM(Z93:Z94)</f>
        <v>#REF!</v>
      </c>
      <c r="AA92" s="1398"/>
      <c r="AB92" s="1455"/>
      <c r="AC92" s="1398" t="e">
        <f>SUM(AC93:AC94)</f>
        <v>#REF!</v>
      </c>
      <c r="AD92" s="1398"/>
      <c r="AG92" s="1326"/>
      <c r="AH92" s="1326"/>
    </row>
    <row r="93" spans="1:34" s="1242" customFormat="1" x14ac:dyDescent="0.25">
      <c r="A93" s="1242">
        <v>2</v>
      </c>
      <c r="B93" s="1243" t="e">
        <f t="shared" ca="1" si="48"/>
        <v>#VALUE!</v>
      </c>
      <c r="C93" s="1373" t="s">
        <v>735</v>
      </c>
      <c r="D93" s="1374" t="s">
        <v>432</v>
      </c>
      <c r="E93" s="1375">
        <v>1</v>
      </c>
      <c r="F93" s="1374" t="s">
        <v>5853</v>
      </c>
      <c r="G93" s="1376">
        <v>45474</v>
      </c>
      <c r="H93" s="1400">
        <f>'Cводная смета ПИР'!$G$29</f>
        <v>0</v>
      </c>
      <c r="I93" s="1400">
        <f>'Cводная смета ПИР'!$G$29</f>
        <v>0</v>
      </c>
      <c r="J93" s="1391"/>
      <c r="K93" s="1391"/>
      <c r="L93" s="1391"/>
      <c r="M93" s="1400">
        <f>I93</f>
        <v>0</v>
      </c>
      <c r="N93" s="1400">
        <f>E93*M93</f>
        <v>0</v>
      </c>
      <c r="O93" s="1377">
        <v>1</v>
      </c>
      <c r="P93" s="1377">
        <v>1</v>
      </c>
      <c r="Q93" s="1400">
        <f>N93*O93*P93</f>
        <v>0</v>
      </c>
      <c r="R93" s="1377">
        <v>1</v>
      </c>
      <c r="S93" s="1377">
        <v>1</v>
      </c>
      <c r="T93" s="1377">
        <v>1</v>
      </c>
      <c r="U93" s="1413">
        <f>Q93*R93*S93*T93</f>
        <v>0</v>
      </c>
      <c r="V93" s="1413"/>
      <c r="W93" s="1379">
        <v>1</v>
      </c>
      <c r="X93" s="1400">
        <f>U93*W93</f>
        <v>0</v>
      </c>
      <c r="Y93" s="1380" t="e">
        <f>'Индексы-дефляторы'!$F$31</f>
        <v>#REF!</v>
      </c>
      <c r="Z93" s="1400" t="e">
        <f t="shared" ref="Z93" si="49">X93*Y93</f>
        <v>#REF!</v>
      </c>
      <c r="AA93" s="1413"/>
      <c r="AB93" s="1456"/>
      <c r="AC93" s="1463" t="e">
        <f>Z93*1.2</f>
        <v>#REF!</v>
      </c>
      <c r="AD93" s="1464"/>
      <c r="AG93" s="1326"/>
      <c r="AH93" s="1326"/>
    </row>
    <row r="94" spans="1:34" s="1242" customFormat="1" ht="31.5" x14ac:dyDescent="0.25">
      <c r="A94" s="1242">
        <v>2</v>
      </c>
      <c r="B94" s="1381" t="e">
        <f t="shared" ca="1" si="48"/>
        <v>#VALUE!</v>
      </c>
      <c r="C94" s="1382" t="s">
        <v>5365</v>
      </c>
      <c r="D94" s="1383" t="s">
        <v>432</v>
      </c>
      <c r="E94" s="1384">
        <v>1</v>
      </c>
      <c r="F94" s="1383" t="s">
        <v>5855</v>
      </c>
      <c r="G94" s="1385">
        <v>45474</v>
      </c>
      <c r="H94" s="1402">
        <f>H93*2%</f>
        <v>0</v>
      </c>
      <c r="I94" s="1402">
        <f>I93*2%</f>
        <v>0</v>
      </c>
      <c r="J94" s="1403"/>
      <c r="K94" s="1403"/>
      <c r="L94" s="1403"/>
      <c r="M94" s="1402">
        <f>M93*2%</f>
        <v>0</v>
      </c>
      <c r="N94" s="1402">
        <f>N93*2%</f>
        <v>0</v>
      </c>
      <c r="O94" s="1386"/>
      <c r="P94" s="1386"/>
      <c r="Q94" s="1402">
        <f>Q93*2%</f>
        <v>0</v>
      </c>
      <c r="R94" s="1386"/>
      <c r="S94" s="1386"/>
      <c r="T94" s="1386"/>
      <c r="U94" s="1415">
        <f>U93*2%</f>
        <v>0</v>
      </c>
      <c r="V94" s="1415"/>
      <c r="W94" s="1387"/>
      <c r="X94" s="1402">
        <f>X93*2%</f>
        <v>0</v>
      </c>
      <c r="Y94" s="1388"/>
      <c r="Z94" s="1402" t="e">
        <f>Z93*2%</f>
        <v>#REF!</v>
      </c>
      <c r="AA94" s="1415"/>
      <c r="AB94" s="1458"/>
      <c r="AC94" s="1468" t="e">
        <f>AC93*2%</f>
        <v>#REF!</v>
      </c>
      <c r="AD94" s="1469"/>
      <c r="AG94" s="1326"/>
      <c r="AH94" s="1326"/>
    </row>
    <row r="95" spans="1:34" s="1242" customFormat="1" ht="63" x14ac:dyDescent="0.25">
      <c r="A95" s="1242">
        <v>2</v>
      </c>
      <c r="B95" s="1247" t="e">
        <f ca="1">IF(A95&gt;OFFSET(A95,-1,0),OFFSET(B95,-1,0)&amp;"."&amp;1,LEFT(OFFSET(B95,-1,0),SEARCH("^^",SUBSTITUTE("."&amp;OFFSET(B95,-1,0),".","^^",A95))-1)&amp;1--MID(OFFSET(B95,-1,0),SEARCH("^^",SUBSTITUTE("."&amp;OFFSET(B95,-1,0),".","^^",A95)),SEARCH("^^",SUBSTITUTE(OFFSET(B95,-1,0)&amp;".",".","^^",A95))-SEARCH("^^",SUBSTITUTE("."&amp;OFFSET(B95,-1,0),".","^^",A95))))</f>
        <v>#VALUE!</v>
      </c>
      <c r="C95" s="1044" t="s">
        <v>5601</v>
      </c>
      <c r="D95" s="858" t="s">
        <v>5602</v>
      </c>
      <c r="E95" s="1249">
        <f>6*5</f>
        <v>30</v>
      </c>
      <c r="F95" s="858" t="s">
        <v>5600</v>
      </c>
      <c r="G95" s="1244">
        <v>45292</v>
      </c>
      <c r="H95" s="1401">
        <f>3023.22*1000/1.02</f>
        <v>2963941.18</v>
      </c>
      <c r="I95" s="1329">
        <f>12248.12/140*1000/1.02</f>
        <v>85771.15</v>
      </c>
      <c r="J95" s="1329"/>
      <c r="K95" s="1404">
        <f>(H95-I95)/1.0214*2.14%</f>
        <v>60302.37</v>
      </c>
      <c r="L95" s="1329"/>
      <c r="M95" s="1401">
        <f>H95-I95-K95</f>
        <v>2817867.66</v>
      </c>
      <c r="N95" s="1401">
        <f>E95*M95</f>
        <v>84536029.799999997</v>
      </c>
      <c r="O95" s="1035">
        <v>1</v>
      </c>
      <c r="P95" s="1035">
        <v>1</v>
      </c>
      <c r="Q95" s="1401">
        <f t="shared" ref="Q95:Q112" si="50">N95*O95*P95</f>
        <v>84536029.799999997</v>
      </c>
      <c r="R95" s="1035">
        <v>0.91</v>
      </c>
      <c r="S95" s="1035">
        <v>0.99</v>
      </c>
      <c r="T95" s="1035">
        <v>1.03</v>
      </c>
      <c r="U95" s="1414">
        <f t="shared" ref="U95:U112" si="51">Q95*R95*S95*T95</f>
        <v>78443264.519999996</v>
      </c>
      <c r="V95" s="1414">
        <f t="shared" ref="V95:V126" si="52">E95*L95*O95*P95*R95*S95*T95</f>
        <v>0</v>
      </c>
      <c r="W95" s="861" t="e">
        <f>#REF!</f>
        <v>#REF!</v>
      </c>
      <c r="X95" s="1405" t="e">
        <f t="shared" ref="X95:X112" si="53">U95*W95</f>
        <v>#REF!</v>
      </c>
      <c r="Y95" s="871" t="e">
        <f>'Индексы-дефляторы'!$F$41</f>
        <v>#REF!</v>
      </c>
      <c r="Z95" s="1405" t="e">
        <f t="shared" ref="Z95:Z112" si="54">X95*Y95</f>
        <v>#REF!</v>
      </c>
      <c r="AA95" s="1414" t="e">
        <f t="shared" ref="AA95:AA126" si="55">V95*W95*Y95</f>
        <v>#REF!</v>
      </c>
      <c r="AB95" s="1457"/>
      <c r="AC95" s="1465" t="e">
        <f t="shared" ref="AC95:AD125" si="56">Z95*1.2</f>
        <v>#REF!</v>
      </c>
      <c r="AD95" s="1466" t="e">
        <f t="shared" si="56"/>
        <v>#REF!</v>
      </c>
      <c r="AE95" s="1319" t="e">
        <f>Z95*1.2/(7*7*5)</f>
        <v>#REF!</v>
      </c>
      <c r="AF95" s="1242" t="s">
        <v>5831</v>
      </c>
      <c r="AG95" s="1326"/>
      <c r="AH95" s="1573"/>
    </row>
    <row r="96" spans="1:34" s="1242" customFormat="1" ht="141.75" x14ac:dyDescent="0.25">
      <c r="A96" s="1242">
        <v>3</v>
      </c>
      <c r="B96" s="1247" t="e">
        <f t="shared" ref="B96" ca="1" si="57">IF(A96&gt;OFFSET(A96,-1,0),OFFSET(B96,-1,0)&amp;"."&amp;1,LEFT(OFFSET(B96,-1,0),SEARCH("^^",SUBSTITUTE("."&amp;OFFSET(B96,-1,0),".","^^",A96))-1)&amp;1--MID(OFFSET(B96,-1,0),SEARCH("^^",SUBSTITUTE("."&amp;OFFSET(B96,-1,0),".","^^",A96)),SEARCH("^^",SUBSTITUTE(OFFSET(B96,-1,0)&amp;".",".","^^",A96))-SEARCH("^^",SUBSTITUTE("."&amp;OFFSET(B96,-1,0),".","^^",A96))))</f>
        <v>#VALUE!</v>
      </c>
      <c r="C96" s="867" t="s">
        <v>5952</v>
      </c>
      <c r="D96" s="858" t="s">
        <v>5951</v>
      </c>
      <c r="E96" s="1482">
        <v>20</v>
      </c>
      <c r="F96" s="857" t="s">
        <v>5953</v>
      </c>
      <c r="G96" s="859">
        <v>45292</v>
      </c>
      <c r="H96" s="1405">
        <f>24459.4*1000/1.02</f>
        <v>23979803.920000002</v>
      </c>
      <c r="I96" s="1481">
        <f>403.54*1000/1.02</f>
        <v>395627.45</v>
      </c>
      <c r="J96" s="1481"/>
      <c r="K96" s="1481">
        <f>504.01*1000/1.02</f>
        <v>494127.45</v>
      </c>
      <c r="L96" s="1481"/>
      <c r="M96" s="1401">
        <f t="shared" ref="M96:M126" si="58">H96-I96-K96</f>
        <v>23090049.02</v>
      </c>
      <c r="N96" s="1401">
        <f t="shared" ref="N96" si="59">E96*M96</f>
        <v>461800980.39999998</v>
      </c>
      <c r="O96" s="860">
        <v>1.08</v>
      </c>
      <c r="P96" s="860">
        <v>1</v>
      </c>
      <c r="Q96" s="1405">
        <f t="shared" si="50"/>
        <v>498745058.82999998</v>
      </c>
      <c r="R96" s="860">
        <v>0.92</v>
      </c>
      <c r="S96" s="860">
        <v>0.98</v>
      </c>
      <c r="T96" s="860">
        <v>1</v>
      </c>
      <c r="U96" s="1416">
        <f t="shared" si="51"/>
        <v>449668545.04000002</v>
      </c>
      <c r="V96" s="1414">
        <f t="shared" si="52"/>
        <v>0</v>
      </c>
      <c r="W96" s="861" t="e">
        <f>#REF!</f>
        <v>#REF!</v>
      </c>
      <c r="X96" s="1405" t="e">
        <f t="shared" si="53"/>
        <v>#REF!</v>
      </c>
      <c r="Y96" s="871" t="e">
        <f>'Индексы-дефляторы'!$F$41</f>
        <v>#REF!</v>
      </c>
      <c r="Z96" s="1405" t="e">
        <f t="shared" si="54"/>
        <v>#REF!</v>
      </c>
      <c r="AA96" s="1401" t="e">
        <f t="shared" si="55"/>
        <v>#REF!</v>
      </c>
      <c r="AB96" s="1457"/>
      <c r="AC96" s="1465" t="e">
        <f t="shared" si="56"/>
        <v>#REF!</v>
      </c>
      <c r="AD96" s="1466" t="e">
        <f t="shared" si="56"/>
        <v>#REF!</v>
      </c>
      <c r="AG96" s="1573"/>
      <c r="AH96" s="1326"/>
    </row>
    <row r="97" spans="1:34" s="1242" customFormat="1" ht="94.5" x14ac:dyDescent="0.25">
      <c r="A97" s="1242">
        <v>2</v>
      </c>
      <c r="B97" s="1247" t="e">
        <f ca="1">IF(A97&gt;OFFSET(A97,-1,0),OFFSET(B97,-1,0)&amp;"."&amp;1,LEFT(OFFSET(B97,-1,0),SEARCH("^^",SUBSTITUTE("."&amp;OFFSET(B97,-1,0),".","^^",A97))-1)&amp;1--MID(OFFSET(B97,-1,0),SEARCH("^^",SUBSTITUTE("."&amp;OFFSET(B97,-1,0),".","^^",A97)),SEARCH("^^",SUBSTITUTE(OFFSET(B97,-1,0)&amp;".",".","^^",A97))-SEARCH("^^",SUBSTITUTE("."&amp;OFFSET(B97,-1,0),".","^^",A97))))</f>
        <v>#VALUE!</v>
      </c>
      <c r="C97" s="1044" t="s">
        <v>5598</v>
      </c>
      <c r="D97" s="858" t="s">
        <v>130</v>
      </c>
      <c r="E97" s="1249">
        <f>20*20</f>
        <v>400</v>
      </c>
      <c r="F97" s="858" t="s">
        <v>5832</v>
      </c>
      <c r="G97" s="1244">
        <v>44013</v>
      </c>
      <c r="H97" s="1401">
        <f>'ССР Дукка'!AC124*1000/1.02</f>
        <v>0</v>
      </c>
      <c r="I97" s="1329">
        <f>'ССР Дукка'!$X$49/'ССР Дукка'!$AA$49*1000</f>
        <v>4305.87</v>
      </c>
      <c r="J97" s="1329"/>
      <c r="K97" s="1329">
        <f>'ССР Дукка'!$W$49/'ССР Дукка'!$AA$49*1000</f>
        <v>2618.36</v>
      </c>
      <c r="L97" s="1329"/>
      <c r="M97" s="1401">
        <f t="shared" si="58"/>
        <v>-6924.23</v>
      </c>
      <c r="N97" s="1401">
        <f>E97*M97</f>
        <v>-2769692</v>
      </c>
      <c r="O97" s="1035">
        <v>1</v>
      </c>
      <c r="P97" s="1035">
        <v>1</v>
      </c>
      <c r="Q97" s="1401">
        <f t="shared" si="50"/>
        <v>-2769692</v>
      </c>
      <c r="R97" s="1035">
        <v>1</v>
      </c>
      <c r="S97" s="1035">
        <v>1</v>
      </c>
      <c r="T97" s="1035">
        <v>1</v>
      </c>
      <c r="U97" s="1414">
        <f t="shared" si="51"/>
        <v>-2769692</v>
      </c>
      <c r="V97" s="1414">
        <f t="shared" si="52"/>
        <v>0</v>
      </c>
      <c r="W97" s="1245" t="e">
        <f>#REF!</f>
        <v>#REF!</v>
      </c>
      <c r="X97" s="1401" t="e">
        <f t="shared" si="53"/>
        <v>#REF!</v>
      </c>
      <c r="Y97" s="871" t="e">
        <f>'Индексы-дефляторы'!$F$41</f>
        <v>#REF!</v>
      </c>
      <c r="Z97" s="1405" t="e">
        <f t="shared" si="54"/>
        <v>#REF!</v>
      </c>
      <c r="AA97" s="1414" t="e">
        <f t="shared" si="55"/>
        <v>#REF!</v>
      </c>
      <c r="AB97" s="1457"/>
      <c r="AC97" s="1465" t="e">
        <f t="shared" si="56"/>
        <v>#REF!</v>
      </c>
      <c r="AD97" s="1466" t="e">
        <f t="shared" si="56"/>
        <v>#REF!</v>
      </c>
      <c r="AE97" s="1319" t="e">
        <f>Z97*1.2/E97</f>
        <v>#REF!</v>
      </c>
      <c r="AF97" s="1242" t="s">
        <v>5831</v>
      </c>
      <c r="AG97" s="1326"/>
      <c r="AH97" s="1326"/>
    </row>
    <row r="98" spans="1:34" s="1242" customFormat="1" ht="110.25" x14ac:dyDescent="0.25">
      <c r="A98" s="1242">
        <v>3</v>
      </c>
      <c r="B98" s="1247" t="e">
        <f t="shared" ref="B98:B122" ca="1" si="60">IF(A98&gt;OFFSET(A98,-1,0),OFFSET(B98,-1,0)&amp;"."&amp;1,LEFT(OFFSET(B98,-1,0),SEARCH("^^",SUBSTITUTE("."&amp;OFFSET(B98,-1,0),".","^^",A98))-1)&amp;1--MID(OFFSET(B98,-1,0),SEARCH("^^",SUBSTITUTE("."&amp;OFFSET(B98,-1,0),".","^^",A98)),SEARCH("^^",SUBSTITUTE(OFFSET(B98,-1,0)&amp;".",".","^^",A98))-SEARCH("^^",SUBSTITUTE("."&amp;OFFSET(B98,-1,0),".","^^",A98))))</f>
        <v>#VALUE!</v>
      </c>
      <c r="C98" s="867" t="s">
        <v>5590</v>
      </c>
      <c r="D98" s="858" t="s">
        <v>4131</v>
      </c>
      <c r="E98" s="1059">
        <f>400/1000</f>
        <v>0.4</v>
      </c>
      <c r="F98" s="858" t="s">
        <v>5592</v>
      </c>
      <c r="G98" s="859">
        <v>45292</v>
      </c>
      <c r="H98" s="1401">
        <f>5626.19*1000/1.02</f>
        <v>5515872.5499999998</v>
      </c>
      <c r="I98" s="1329">
        <f>216.75*1000/1.02</f>
        <v>212500</v>
      </c>
      <c r="J98" s="1329"/>
      <c r="K98" s="1329">
        <f>113.34*1000/1.02</f>
        <v>111117.65</v>
      </c>
      <c r="L98" s="1329"/>
      <c r="M98" s="1401">
        <f t="shared" si="58"/>
        <v>5192254.9000000004</v>
      </c>
      <c r="N98" s="1401">
        <f t="shared" ref="N98:N126" si="61">E98*M98</f>
        <v>2076901.96</v>
      </c>
      <c r="O98" s="1035">
        <v>1</v>
      </c>
      <c r="P98" s="1035">
        <v>1</v>
      </c>
      <c r="Q98" s="1401">
        <f t="shared" si="50"/>
        <v>2076901.96</v>
      </c>
      <c r="R98" s="1035">
        <v>0.84</v>
      </c>
      <c r="S98" s="1035">
        <v>0.99</v>
      </c>
      <c r="T98" s="1035">
        <v>1</v>
      </c>
      <c r="U98" s="1414">
        <f t="shared" si="51"/>
        <v>1727151.67</v>
      </c>
      <c r="V98" s="1414">
        <f t="shared" si="52"/>
        <v>0</v>
      </c>
      <c r="W98" s="861" t="e">
        <f>#REF!</f>
        <v>#REF!</v>
      </c>
      <c r="X98" s="1405" t="e">
        <f t="shared" si="53"/>
        <v>#REF!</v>
      </c>
      <c r="Y98" s="871" t="e">
        <f>'Индексы-дефляторы'!$F$41</f>
        <v>#REF!</v>
      </c>
      <c r="Z98" s="1405" t="e">
        <f t="shared" si="54"/>
        <v>#REF!</v>
      </c>
      <c r="AA98" s="1401" t="e">
        <f t="shared" si="55"/>
        <v>#REF!</v>
      </c>
      <c r="AB98" s="1457"/>
      <c r="AC98" s="1465" t="e">
        <f t="shared" si="56"/>
        <v>#REF!</v>
      </c>
      <c r="AD98" s="1466" t="e">
        <f t="shared" si="56"/>
        <v>#REF!</v>
      </c>
      <c r="AG98" s="1326"/>
      <c r="AH98" s="1326"/>
    </row>
    <row r="99" spans="1:34" s="1242" customFormat="1" x14ac:dyDescent="0.25">
      <c r="A99" s="1242">
        <v>3</v>
      </c>
      <c r="B99" s="1247" t="e">
        <f t="shared" ca="1" si="60"/>
        <v>#VALUE!</v>
      </c>
      <c r="C99" s="867" t="s">
        <v>5550</v>
      </c>
      <c r="D99" s="858" t="s">
        <v>5327</v>
      </c>
      <c r="E99" s="1258">
        <v>45</v>
      </c>
      <c r="F99" s="858" t="e">
        <f>CONCATENATE("учтено в п. ",#REF!,", ",#REF!)</f>
        <v>#REF!</v>
      </c>
      <c r="G99" s="1244"/>
      <c r="H99" s="1401"/>
      <c r="I99" s="1329"/>
      <c r="J99" s="1329"/>
      <c r="K99" s="1329"/>
      <c r="L99" s="1329"/>
      <c r="M99" s="1401">
        <f t="shared" si="58"/>
        <v>0</v>
      </c>
      <c r="N99" s="1401">
        <f t="shared" si="61"/>
        <v>0</v>
      </c>
      <c r="O99" s="1035"/>
      <c r="P99" s="1035"/>
      <c r="Q99" s="1401">
        <f t="shared" si="50"/>
        <v>0</v>
      </c>
      <c r="R99" s="1035"/>
      <c r="S99" s="1035"/>
      <c r="T99" s="1035"/>
      <c r="U99" s="1414">
        <f t="shared" si="51"/>
        <v>0</v>
      </c>
      <c r="V99" s="1414">
        <f t="shared" si="52"/>
        <v>0</v>
      </c>
      <c r="W99" s="1245"/>
      <c r="X99" s="1401">
        <f t="shared" si="53"/>
        <v>0</v>
      </c>
      <c r="Y99" s="1007"/>
      <c r="Z99" s="1401">
        <f t="shared" si="54"/>
        <v>0</v>
      </c>
      <c r="AA99" s="1401">
        <f t="shared" si="55"/>
        <v>0</v>
      </c>
      <c r="AB99" s="1459" t="s">
        <v>5551</v>
      </c>
      <c r="AC99" s="1465">
        <f t="shared" si="56"/>
        <v>0</v>
      </c>
      <c r="AD99" s="1466">
        <f t="shared" si="56"/>
        <v>0</v>
      </c>
      <c r="AG99" s="1326"/>
      <c r="AH99" s="1326"/>
    </row>
    <row r="100" spans="1:34" s="1242" customFormat="1" ht="141.75" x14ac:dyDescent="0.25">
      <c r="A100" s="1242">
        <v>3</v>
      </c>
      <c r="B100" s="1247" t="e">
        <f t="shared" ca="1" si="60"/>
        <v>#VALUE!</v>
      </c>
      <c r="C100" s="867" t="s">
        <v>5552</v>
      </c>
      <c r="D100" s="858" t="s">
        <v>5309</v>
      </c>
      <c r="E100" s="1259">
        <v>65</v>
      </c>
      <c r="F100" s="858" t="s">
        <v>5839</v>
      </c>
      <c r="G100" s="1244">
        <v>43647</v>
      </c>
      <c r="H100" s="1401">
        <f>'КСБ Архыз'!$AJ$28/1.2*1000/1.02</f>
        <v>396037.58</v>
      </c>
      <c r="I100" s="1329">
        <f>'КСБ Архыз'!$V$28/'КСБ Архыз'!$AI$28*1000</f>
        <v>33772.61</v>
      </c>
      <c r="J100" s="1329"/>
      <c r="K100" s="1329">
        <f>'КСБ Архыз'!$W$28/'КСБ Архыз'!$AI$28*1000</f>
        <v>19412.61</v>
      </c>
      <c r="L100" s="1329">
        <f>'КСБ Архыз'!$J$28/'КСБ Архыз'!$AI$28*1000</f>
        <v>337439.77</v>
      </c>
      <c r="M100" s="1401">
        <f t="shared" si="58"/>
        <v>342852.36</v>
      </c>
      <c r="N100" s="1401">
        <f t="shared" si="61"/>
        <v>22285403.399999999</v>
      </c>
      <c r="O100" s="1035">
        <v>1</v>
      </c>
      <c r="P100" s="1035">
        <v>1</v>
      </c>
      <c r="Q100" s="1401">
        <f t="shared" si="50"/>
        <v>22285403.399999999</v>
      </c>
      <c r="R100" s="1035">
        <v>1</v>
      </c>
      <c r="S100" s="1035">
        <v>1</v>
      </c>
      <c r="T100" s="1035">
        <v>1</v>
      </c>
      <c r="U100" s="1414">
        <f t="shared" si="51"/>
        <v>22285403.399999999</v>
      </c>
      <c r="V100" s="1414">
        <f t="shared" si="52"/>
        <v>21933585.050000001</v>
      </c>
      <c r="W100" s="1245" t="e">
        <f>#REF!</f>
        <v>#REF!</v>
      </c>
      <c r="X100" s="1401" t="e">
        <f t="shared" si="53"/>
        <v>#REF!</v>
      </c>
      <c r="Y100" s="871" t="e">
        <f>'Индексы-дефляторы'!$F$41</f>
        <v>#REF!</v>
      </c>
      <c r="Z100" s="1401" t="e">
        <f t="shared" si="54"/>
        <v>#REF!</v>
      </c>
      <c r="AA100" s="1401" t="e">
        <f t="shared" si="55"/>
        <v>#REF!</v>
      </c>
      <c r="AB100" s="1457" t="s">
        <v>5551</v>
      </c>
      <c r="AC100" s="1465" t="e">
        <f t="shared" si="56"/>
        <v>#REF!</v>
      </c>
      <c r="AD100" s="1466" t="e">
        <f t="shared" si="56"/>
        <v>#REF!</v>
      </c>
      <c r="AG100" s="1326"/>
      <c r="AH100" s="1326"/>
    </row>
    <row r="101" spans="1:34" s="1242" customFormat="1" x14ac:dyDescent="0.25">
      <c r="A101" s="1242">
        <v>3</v>
      </c>
      <c r="B101" s="1247" t="e">
        <f t="shared" ca="1" si="60"/>
        <v>#VALUE!</v>
      </c>
      <c r="C101" s="1044" t="s">
        <v>5553</v>
      </c>
      <c r="D101" s="1256" t="s">
        <v>5309</v>
      </c>
      <c r="E101" s="1394">
        <v>35</v>
      </c>
      <c r="F101" s="858" t="e">
        <f>CONCATENATE("учтено в п. ",#REF!,", ",#REF!)</f>
        <v>#REF!</v>
      </c>
      <c r="G101" s="1244"/>
      <c r="H101" s="1401"/>
      <c r="I101" s="1329"/>
      <c r="J101" s="1329"/>
      <c r="K101" s="1329"/>
      <c r="L101" s="1329"/>
      <c r="M101" s="1401">
        <f t="shared" si="58"/>
        <v>0</v>
      </c>
      <c r="N101" s="1401">
        <f t="shared" si="61"/>
        <v>0</v>
      </c>
      <c r="O101" s="1035"/>
      <c r="P101" s="1035"/>
      <c r="Q101" s="1401">
        <f t="shared" si="50"/>
        <v>0</v>
      </c>
      <c r="R101" s="1035"/>
      <c r="S101" s="1035"/>
      <c r="T101" s="1035"/>
      <c r="U101" s="1414">
        <f t="shared" si="51"/>
        <v>0</v>
      </c>
      <c r="V101" s="1414">
        <f t="shared" si="52"/>
        <v>0</v>
      </c>
      <c r="W101" s="1245"/>
      <c r="X101" s="1401">
        <f t="shared" si="53"/>
        <v>0</v>
      </c>
      <c r="Y101" s="871"/>
      <c r="Z101" s="1401">
        <f t="shared" si="54"/>
        <v>0</v>
      </c>
      <c r="AA101" s="1401">
        <f t="shared" si="55"/>
        <v>0</v>
      </c>
      <c r="AB101" s="1459" t="s">
        <v>5551</v>
      </c>
      <c r="AC101" s="1465">
        <f t="shared" si="56"/>
        <v>0</v>
      </c>
      <c r="AD101" s="1466">
        <f t="shared" si="56"/>
        <v>0</v>
      </c>
      <c r="AG101" s="1326"/>
      <c r="AH101" s="1326"/>
    </row>
    <row r="102" spans="1:34" s="1242" customFormat="1" x14ac:dyDescent="0.25">
      <c r="A102" s="1242">
        <v>3</v>
      </c>
      <c r="B102" s="1247" t="e">
        <f t="shared" ca="1" si="60"/>
        <v>#VALUE!</v>
      </c>
      <c r="C102" s="1044" t="s">
        <v>5554</v>
      </c>
      <c r="D102" s="1256" t="s">
        <v>5316</v>
      </c>
      <c r="E102" s="1394">
        <v>10</v>
      </c>
      <c r="F102" s="858" t="e">
        <f>CONCATENATE("учтено в п. ",#REF!,", ",#REF!)</f>
        <v>#REF!</v>
      </c>
      <c r="G102" s="1244"/>
      <c r="H102" s="1401"/>
      <c r="I102" s="1329"/>
      <c r="J102" s="1329"/>
      <c r="K102" s="1329"/>
      <c r="L102" s="1329"/>
      <c r="M102" s="1401">
        <f t="shared" si="58"/>
        <v>0</v>
      </c>
      <c r="N102" s="1401">
        <f t="shared" si="61"/>
        <v>0</v>
      </c>
      <c r="O102" s="1035"/>
      <c r="P102" s="1035"/>
      <c r="Q102" s="1401">
        <f t="shared" si="50"/>
        <v>0</v>
      </c>
      <c r="R102" s="1035"/>
      <c r="S102" s="1035"/>
      <c r="T102" s="1035"/>
      <c r="U102" s="1414">
        <f t="shared" si="51"/>
        <v>0</v>
      </c>
      <c r="V102" s="1414">
        <f t="shared" si="52"/>
        <v>0</v>
      </c>
      <c r="W102" s="1245"/>
      <c r="X102" s="1401">
        <f t="shared" si="53"/>
        <v>0</v>
      </c>
      <c r="Y102" s="871"/>
      <c r="Z102" s="1401">
        <f t="shared" si="54"/>
        <v>0</v>
      </c>
      <c r="AA102" s="1401">
        <f t="shared" si="55"/>
        <v>0</v>
      </c>
      <c r="AB102" s="1459" t="s">
        <v>5551</v>
      </c>
      <c r="AC102" s="1465">
        <f t="shared" si="56"/>
        <v>0</v>
      </c>
      <c r="AD102" s="1466">
        <f t="shared" si="56"/>
        <v>0</v>
      </c>
      <c r="AG102" s="1326"/>
      <c r="AH102" s="1326"/>
    </row>
    <row r="103" spans="1:34" s="1242" customFormat="1" x14ac:dyDescent="0.25">
      <c r="A103" s="1242">
        <v>3</v>
      </c>
      <c r="B103" s="1247" t="e">
        <f t="shared" ca="1" si="60"/>
        <v>#VALUE!</v>
      </c>
      <c r="C103" s="867" t="s">
        <v>5555</v>
      </c>
      <c r="D103" s="858"/>
      <c r="E103" s="1059"/>
      <c r="F103" s="858"/>
      <c r="G103" s="1244"/>
      <c r="H103" s="1401"/>
      <c r="I103" s="1329"/>
      <c r="J103" s="1329"/>
      <c r="K103" s="1329"/>
      <c r="L103" s="1329"/>
      <c r="M103" s="1401">
        <f t="shared" si="58"/>
        <v>0</v>
      </c>
      <c r="N103" s="1401">
        <f t="shared" si="61"/>
        <v>0</v>
      </c>
      <c r="O103" s="1035"/>
      <c r="P103" s="1035"/>
      <c r="Q103" s="1401">
        <f t="shared" si="50"/>
        <v>0</v>
      </c>
      <c r="R103" s="1035"/>
      <c r="S103" s="1035"/>
      <c r="T103" s="1035"/>
      <c r="U103" s="1414">
        <f t="shared" si="51"/>
        <v>0</v>
      </c>
      <c r="V103" s="1414">
        <f t="shared" si="52"/>
        <v>0</v>
      </c>
      <c r="W103" s="1245"/>
      <c r="X103" s="1401">
        <f t="shared" si="53"/>
        <v>0</v>
      </c>
      <c r="Y103" s="871"/>
      <c r="Z103" s="1401">
        <f t="shared" si="54"/>
        <v>0</v>
      </c>
      <c r="AA103" s="1401">
        <f t="shared" si="55"/>
        <v>0</v>
      </c>
      <c r="AB103" s="1457" t="s">
        <v>5551</v>
      </c>
      <c r="AC103" s="1465">
        <f t="shared" si="56"/>
        <v>0</v>
      </c>
      <c r="AD103" s="1466">
        <f t="shared" si="56"/>
        <v>0</v>
      </c>
      <c r="AG103" s="1326"/>
      <c r="AH103" s="1326"/>
    </row>
    <row r="104" spans="1:34" s="1242" customFormat="1" x14ac:dyDescent="0.25">
      <c r="A104" s="1242">
        <v>4</v>
      </c>
      <c r="B104" s="1247" t="e">
        <f t="shared" ca="1" si="60"/>
        <v>#VALUE!</v>
      </c>
      <c r="C104" s="867" t="s">
        <v>5556</v>
      </c>
      <c r="D104" s="858" t="s">
        <v>5558</v>
      </c>
      <c r="E104" s="1059">
        <v>5</v>
      </c>
      <c r="F104" s="858" t="e">
        <f>CONCATENATE("учтено в п. ",#REF!,", ",#REF!)</f>
        <v>#REF!</v>
      </c>
      <c r="G104" s="1244"/>
      <c r="H104" s="1401"/>
      <c r="I104" s="1329"/>
      <c r="J104" s="1329"/>
      <c r="K104" s="1329"/>
      <c r="L104" s="1329"/>
      <c r="M104" s="1401">
        <f t="shared" si="58"/>
        <v>0</v>
      </c>
      <c r="N104" s="1401">
        <f t="shared" si="61"/>
        <v>0</v>
      </c>
      <c r="O104" s="1035"/>
      <c r="P104" s="1035"/>
      <c r="Q104" s="1401">
        <f t="shared" si="50"/>
        <v>0</v>
      </c>
      <c r="R104" s="1035"/>
      <c r="S104" s="1035"/>
      <c r="T104" s="1035"/>
      <c r="U104" s="1414">
        <f t="shared" si="51"/>
        <v>0</v>
      </c>
      <c r="V104" s="1414">
        <f t="shared" si="52"/>
        <v>0</v>
      </c>
      <c r="W104" s="1245"/>
      <c r="X104" s="1401">
        <f t="shared" si="53"/>
        <v>0</v>
      </c>
      <c r="Y104" s="871"/>
      <c r="Z104" s="1401">
        <f t="shared" si="54"/>
        <v>0</v>
      </c>
      <c r="AA104" s="1401">
        <f t="shared" si="55"/>
        <v>0</v>
      </c>
      <c r="AB104" s="1457"/>
      <c r="AC104" s="1465">
        <f t="shared" si="56"/>
        <v>0</v>
      </c>
      <c r="AD104" s="1466">
        <f t="shared" si="56"/>
        <v>0</v>
      </c>
      <c r="AG104" s="1326"/>
      <c r="AH104" s="1326"/>
    </row>
    <row r="105" spans="1:34" s="1242" customFormat="1" x14ac:dyDescent="0.25">
      <c r="A105" s="1242">
        <v>4</v>
      </c>
      <c r="B105" s="1247" t="e">
        <f t="shared" ca="1" si="60"/>
        <v>#VALUE!</v>
      </c>
      <c r="C105" s="867" t="s">
        <v>5557</v>
      </c>
      <c r="D105" s="858" t="s">
        <v>269</v>
      </c>
      <c r="E105" s="1248">
        <v>4</v>
      </c>
      <c r="F105" s="858" t="e">
        <f>CONCATENATE("учтено в п. ",#REF!,", ",#REF!)</f>
        <v>#REF!</v>
      </c>
      <c r="G105" s="1244"/>
      <c r="H105" s="1401"/>
      <c r="I105" s="1329"/>
      <c r="J105" s="1329"/>
      <c r="K105" s="1329"/>
      <c r="L105" s="1329"/>
      <c r="M105" s="1401">
        <f t="shared" si="58"/>
        <v>0</v>
      </c>
      <c r="N105" s="1401">
        <f t="shared" si="61"/>
        <v>0</v>
      </c>
      <c r="O105" s="1035"/>
      <c r="P105" s="1035"/>
      <c r="Q105" s="1401">
        <f t="shared" si="50"/>
        <v>0</v>
      </c>
      <c r="R105" s="1035"/>
      <c r="S105" s="1035"/>
      <c r="T105" s="1035"/>
      <c r="U105" s="1414">
        <f t="shared" si="51"/>
        <v>0</v>
      </c>
      <c r="V105" s="1414">
        <f t="shared" si="52"/>
        <v>0</v>
      </c>
      <c r="W105" s="1245"/>
      <c r="X105" s="1401">
        <f t="shared" si="53"/>
        <v>0</v>
      </c>
      <c r="Y105" s="871"/>
      <c r="Z105" s="1401">
        <f t="shared" si="54"/>
        <v>0</v>
      </c>
      <c r="AA105" s="1401">
        <f t="shared" si="55"/>
        <v>0</v>
      </c>
      <c r="AB105" s="1457"/>
      <c r="AC105" s="1465">
        <f t="shared" si="56"/>
        <v>0</v>
      </c>
      <c r="AD105" s="1466">
        <f t="shared" si="56"/>
        <v>0</v>
      </c>
      <c r="AG105" s="1326"/>
      <c r="AH105" s="1326"/>
    </row>
    <row r="106" spans="1:34" s="1242" customFormat="1" x14ac:dyDescent="0.25">
      <c r="A106" s="1242">
        <v>3</v>
      </c>
      <c r="B106" s="1247" t="e">
        <f t="shared" ca="1" si="60"/>
        <v>#VALUE!</v>
      </c>
      <c r="C106" s="867" t="s">
        <v>5559</v>
      </c>
      <c r="D106" s="858" t="s">
        <v>5327</v>
      </c>
      <c r="E106" s="1255">
        <v>1</v>
      </c>
      <c r="F106" s="858" t="e">
        <f>CONCATENATE("учтено в п. ",#REF!)</f>
        <v>#REF!</v>
      </c>
      <c r="G106" s="1244"/>
      <c r="H106" s="1401"/>
      <c r="I106" s="1329"/>
      <c r="J106" s="1329"/>
      <c r="K106" s="1329"/>
      <c r="L106" s="1329"/>
      <c r="M106" s="1401">
        <f t="shared" si="58"/>
        <v>0</v>
      </c>
      <c r="N106" s="1401">
        <f t="shared" si="61"/>
        <v>0</v>
      </c>
      <c r="O106" s="1035"/>
      <c r="P106" s="1035"/>
      <c r="Q106" s="1401">
        <f t="shared" si="50"/>
        <v>0</v>
      </c>
      <c r="R106" s="1035"/>
      <c r="S106" s="1035"/>
      <c r="T106" s="1035"/>
      <c r="U106" s="1414">
        <f t="shared" si="51"/>
        <v>0</v>
      </c>
      <c r="V106" s="1414">
        <f t="shared" si="52"/>
        <v>0</v>
      </c>
      <c r="W106" s="1245"/>
      <c r="X106" s="1401">
        <f t="shared" si="53"/>
        <v>0</v>
      </c>
      <c r="Y106" s="871"/>
      <c r="Z106" s="1401">
        <f t="shared" si="54"/>
        <v>0</v>
      </c>
      <c r="AA106" s="1401">
        <f t="shared" si="55"/>
        <v>0</v>
      </c>
      <c r="AB106" s="1457" t="s">
        <v>5551</v>
      </c>
      <c r="AC106" s="1465">
        <f t="shared" si="56"/>
        <v>0</v>
      </c>
      <c r="AD106" s="1466">
        <f t="shared" si="56"/>
        <v>0</v>
      </c>
      <c r="AG106" s="1326"/>
      <c r="AH106" s="1326"/>
    </row>
    <row r="107" spans="1:34" s="1242" customFormat="1" x14ac:dyDescent="0.25">
      <c r="A107" s="1242">
        <v>3</v>
      </c>
      <c r="B107" s="1247" t="e">
        <f t="shared" ca="1" si="60"/>
        <v>#VALUE!</v>
      </c>
      <c r="C107" s="867" t="s">
        <v>5560</v>
      </c>
      <c r="D107" s="858"/>
      <c r="E107" s="1248"/>
      <c r="F107" s="858"/>
      <c r="G107" s="1244"/>
      <c r="H107" s="1401"/>
      <c r="I107" s="1329"/>
      <c r="J107" s="1329"/>
      <c r="K107" s="1329"/>
      <c r="L107" s="1329"/>
      <c r="M107" s="1401">
        <f t="shared" si="58"/>
        <v>0</v>
      </c>
      <c r="N107" s="1401">
        <f t="shared" si="61"/>
        <v>0</v>
      </c>
      <c r="O107" s="1035"/>
      <c r="P107" s="1035"/>
      <c r="Q107" s="1401">
        <f t="shared" si="50"/>
        <v>0</v>
      </c>
      <c r="R107" s="1035"/>
      <c r="S107" s="1035"/>
      <c r="T107" s="1035"/>
      <c r="U107" s="1414">
        <f t="shared" si="51"/>
        <v>0</v>
      </c>
      <c r="V107" s="1414">
        <f t="shared" si="52"/>
        <v>0</v>
      </c>
      <c r="W107" s="1245"/>
      <c r="X107" s="1401">
        <f t="shared" si="53"/>
        <v>0</v>
      </c>
      <c r="Y107" s="871"/>
      <c r="Z107" s="1401">
        <f t="shared" si="54"/>
        <v>0</v>
      </c>
      <c r="AA107" s="1401">
        <f t="shared" si="55"/>
        <v>0</v>
      </c>
      <c r="AB107" s="1457" t="s">
        <v>5551</v>
      </c>
      <c r="AC107" s="1465">
        <f t="shared" si="56"/>
        <v>0</v>
      </c>
      <c r="AD107" s="1466">
        <f t="shared" si="56"/>
        <v>0</v>
      </c>
      <c r="AG107" s="1326"/>
      <c r="AH107" s="1326"/>
    </row>
    <row r="108" spans="1:34" s="1242" customFormat="1" x14ac:dyDescent="0.25">
      <c r="A108" s="1242">
        <v>4</v>
      </c>
      <c r="B108" s="1247" t="e">
        <f t="shared" ca="1" si="60"/>
        <v>#VALUE!</v>
      </c>
      <c r="C108" s="867" t="s">
        <v>5561</v>
      </c>
      <c r="D108" s="858" t="s">
        <v>5558</v>
      </c>
      <c r="E108" s="1248">
        <v>6</v>
      </c>
      <c r="F108" s="858" t="e">
        <f>CONCATENATE("учтено в п. ",#REF!,", ",#REF!)</f>
        <v>#REF!</v>
      </c>
      <c r="G108" s="1244"/>
      <c r="H108" s="1401"/>
      <c r="I108" s="1329"/>
      <c r="J108" s="1329"/>
      <c r="K108" s="1329"/>
      <c r="L108" s="1329"/>
      <c r="M108" s="1401">
        <f t="shared" si="58"/>
        <v>0</v>
      </c>
      <c r="N108" s="1401">
        <f t="shared" si="61"/>
        <v>0</v>
      </c>
      <c r="O108" s="1035"/>
      <c r="P108" s="1035"/>
      <c r="Q108" s="1401">
        <f t="shared" si="50"/>
        <v>0</v>
      </c>
      <c r="R108" s="1035"/>
      <c r="S108" s="1035"/>
      <c r="T108" s="1035"/>
      <c r="U108" s="1414">
        <f t="shared" si="51"/>
        <v>0</v>
      </c>
      <c r="V108" s="1414">
        <f t="shared" si="52"/>
        <v>0</v>
      </c>
      <c r="W108" s="1245"/>
      <c r="X108" s="1401">
        <f t="shared" si="53"/>
        <v>0</v>
      </c>
      <c r="Y108" s="871"/>
      <c r="Z108" s="1401">
        <f t="shared" si="54"/>
        <v>0</v>
      </c>
      <c r="AA108" s="1401">
        <f t="shared" si="55"/>
        <v>0</v>
      </c>
      <c r="AB108" s="1457"/>
      <c r="AC108" s="1465">
        <f t="shared" si="56"/>
        <v>0</v>
      </c>
      <c r="AD108" s="1466">
        <f t="shared" si="56"/>
        <v>0</v>
      </c>
      <c r="AG108" s="1326"/>
      <c r="AH108" s="1326"/>
    </row>
    <row r="109" spans="1:34" s="1242" customFormat="1" x14ac:dyDescent="0.25">
      <c r="A109" s="1242">
        <v>4</v>
      </c>
      <c r="B109" s="1247" t="e">
        <f t="shared" ca="1" si="60"/>
        <v>#VALUE!</v>
      </c>
      <c r="C109" s="867" t="s">
        <v>5562</v>
      </c>
      <c r="D109" s="858" t="s">
        <v>5558</v>
      </c>
      <c r="E109" s="1248">
        <v>1</v>
      </c>
      <c r="F109" s="858" t="e">
        <f>CONCATENATE("учтено в п. ",#REF!,", ",#REF!)</f>
        <v>#REF!</v>
      </c>
      <c r="G109" s="1244"/>
      <c r="H109" s="1401"/>
      <c r="I109" s="1329"/>
      <c r="J109" s="1329"/>
      <c r="K109" s="1329"/>
      <c r="L109" s="1329"/>
      <c r="M109" s="1401">
        <f t="shared" si="58"/>
        <v>0</v>
      </c>
      <c r="N109" s="1401">
        <f t="shared" si="61"/>
        <v>0</v>
      </c>
      <c r="O109" s="1035"/>
      <c r="P109" s="1035"/>
      <c r="Q109" s="1401">
        <f t="shared" si="50"/>
        <v>0</v>
      </c>
      <c r="R109" s="1035"/>
      <c r="S109" s="1035"/>
      <c r="T109" s="1035"/>
      <c r="U109" s="1414">
        <f t="shared" si="51"/>
        <v>0</v>
      </c>
      <c r="V109" s="1414">
        <f t="shared" si="52"/>
        <v>0</v>
      </c>
      <c r="W109" s="1245"/>
      <c r="X109" s="1401">
        <f t="shared" si="53"/>
        <v>0</v>
      </c>
      <c r="Y109" s="871"/>
      <c r="Z109" s="1401">
        <f t="shared" si="54"/>
        <v>0</v>
      </c>
      <c r="AA109" s="1401">
        <f t="shared" si="55"/>
        <v>0</v>
      </c>
      <c r="AB109" s="1457"/>
      <c r="AC109" s="1465">
        <f t="shared" si="56"/>
        <v>0</v>
      </c>
      <c r="AD109" s="1466">
        <f t="shared" si="56"/>
        <v>0</v>
      </c>
      <c r="AG109" s="1326"/>
      <c r="AH109" s="1326"/>
    </row>
    <row r="110" spans="1:34" s="1242" customFormat="1" x14ac:dyDescent="0.25">
      <c r="A110" s="1242">
        <v>4</v>
      </c>
      <c r="B110" s="1247" t="e">
        <f t="shared" ca="1" si="60"/>
        <v>#VALUE!</v>
      </c>
      <c r="C110" s="867" t="s">
        <v>5563</v>
      </c>
      <c r="D110" s="858" t="s">
        <v>5558</v>
      </c>
      <c r="E110" s="1257">
        <v>1</v>
      </c>
      <c r="F110" s="858" t="e">
        <f>CONCATENATE("учтено в п. ",#REF!,", ",#REF!)</f>
        <v>#REF!</v>
      </c>
      <c r="G110" s="1244"/>
      <c r="H110" s="1401"/>
      <c r="I110" s="1329"/>
      <c r="J110" s="1329"/>
      <c r="K110" s="1329"/>
      <c r="L110" s="1329"/>
      <c r="M110" s="1401">
        <f t="shared" si="58"/>
        <v>0</v>
      </c>
      <c r="N110" s="1401">
        <f t="shared" si="61"/>
        <v>0</v>
      </c>
      <c r="O110" s="1035"/>
      <c r="P110" s="1035"/>
      <c r="Q110" s="1401">
        <f t="shared" si="50"/>
        <v>0</v>
      </c>
      <c r="R110" s="1035"/>
      <c r="S110" s="1035"/>
      <c r="T110" s="1035"/>
      <c r="U110" s="1414">
        <f t="shared" si="51"/>
        <v>0</v>
      </c>
      <c r="V110" s="1414">
        <f t="shared" si="52"/>
        <v>0</v>
      </c>
      <c r="W110" s="1245"/>
      <c r="X110" s="1401">
        <f t="shared" si="53"/>
        <v>0</v>
      </c>
      <c r="Y110" s="871"/>
      <c r="Z110" s="1401">
        <f t="shared" si="54"/>
        <v>0</v>
      </c>
      <c r="AA110" s="1401">
        <f t="shared" si="55"/>
        <v>0</v>
      </c>
      <c r="AB110" s="1457"/>
      <c r="AC110" s="1465">
        <f t="shared" si="56"/>
        <v>0</v>
      </c>
      <c r="AD110" s="1466">
        <f t="shared" si="56"/>
        <v>0</v>
      </c>
      <c r="AG110" s="1326"/>
      <c r="AH110" s="1326"/>
    </row>
    <row r="111" spans="1:34" s="1242" customFormat="1" x14ac:dyDescent="0.25">
      <c r="A111" s="1242">
        <v>4</v>
      </c>
      <c r="B111" s="1247" t="e">
        <f t="shared" ca="1" si="60"/>
        <v>#VALUE!</v>
      </c>
      <c r="C111" s="867" t="s">
        <v>5564</v>
      </c>
      <c r="D111" s="858" t="s">
        <v>5558</v>
      </c>
      <c r="E111" s="1248">
        <v>1</v>
      </c>
      <c r="F111" s="858" t="e">
        <f>CONCATENATE("учтено в п. ",#REF!,", ",#REF!)</f>
        <v>#REF!</v>
      </c>
      <c r="G111" s="1244"/>
      <c r="H111" s="1401"/>
      <c r="I111" s="1329"/>
      <c r="J111" s="1329"/>
      <c r="K111" s="1329"/>
      <c r="L111" s="1329"/>
      <c r="M111" s="1401">
        <f t="shared" si="58"/>
        <v>0</v>
      </c>
      <c r="N111" s="1401">
        <f t="shared" si="61"/>
        <v>0</v>
      </c>
      <c r="O111" s="1035"/>
      <c r="P111" s="1035"/>
      <c r="Q111" s="1401">
        <f t="shared" si="50"/>
        <v>0</v>
      </c>
      <c r="R111" s="1035"/>
      <c r="S111" s="1035"/>
      <c r="T111" s="1035"/>
      <c r="U111" s="1414">
        <f t="shared" si="51"/>
        <v>0</v>
      </c>
      <c r="V111" s="1414">
        <f t="shared" si="52"/>
        <v>0</v>
      </c>
      <c r="W111" s="1245"/>
      <c r="X111" s="1401">
        <f t="shared" si="53"/>
        <v>0</v>
      </c>
      <c r="Y111" s="871"/>
      <c r="Z111" s="1401">
        <f t="shared" si="54"/>
        <v>0</v>
      </c>
      <c r="AA111" s="1401">
        <f t="shared" si="55"/>
        <v>0</v>
      </c>
      <c r="AB111" s="1457"/>
      <c r="AC111" s="1465">
        <f t="shared" si="56"/>
        <v>0</v>
      </c>
      <c r="AD111" s="1466">
        <f t="shared" si="56"/>
        <v>0</v>
      </c>
      <c r="AG111" s="1326"/>
      <c r="AH111" s="1326"/>
    </row>
    <row r="112" spans="1:34" s="1254" customFormat="1" x14ac:dyDescent="0.25">
      <c r="A112" s="1242">
        <v>4</v>
      </c>
      <c r="B112" s="1247" t="e">
        <f t="shared" ca="1" si="60"/>
        <v>#VALUE!</v>
      </c>
      <c r="C112" s="1044" t="s">
        <v>5565</v>
      </c>
      <c r="D112" s="858" t="s">
        <v>5558</v>
      </c>
      <c r="E112" s="858">
        <v>1</v>
      </c>
      <c r="F112" s="858" t="e">
        <f>CONCATENATE("учтено в п. ",#REF!,", ",#REF!)</f>
        <v>#REF!</v>
      </c>
      <c r="G112" s="1244"/>
      <c r="H112" s="1401"/>
      <c r="I112" s="1406"/>
      <c r="J112" s="1406"/>
      <c r="K112" s="1406"/>
      <c r="L112" s="1406"/>
      <c r="M112" s="1401">
        <f t="shared" si="58"/>
        <v>0</v>
      </c>
      <c r="N112" s="1401">
        <f t="shared" si="61"/>
        <v>0</v>
      </c>
      <c r="O112" s="1035"/>
      <c r="P112" s="1035"/>
      <c r="Q112" s="1401">
        <f t="shared" si="50"/>
        <v>0</v>
      </c>
      <c r="R112" s="1035"/>
      <c r="S112" s="1035"/>
      <c r="T112" s="1035"/>
      <c r="U112" s="1414">
        <f t="shared" si="51"/>
        <v>0</v>
      </c>
      <c r="V112" s="1414">
        <f t="shared" si="52"/>
        <v>0</v>
      </c>
      <c r="W112" s="1245"/>
      <c r="X112" s="1401">
        <f t="shared" si="53"/>
        <v>0</v>
      </c>
      <c r="Y112" s="871"/>
      <c r="Z112" s="1401">
        <f t="shared" si="54"/>
        <v>0</v>
      </c>
      <c r="AA112" s="1401">
        <f t="shared" si="55"/>
        <v>0</v>
      </c>
      <c r="AB112" s="1457"/>
      <c r="AC112" s="1465">
        <f t="shared" si="56"/>
        <v>0</v>
      </c>
      <c r="AD112" s="1466">
        <f t="shared" si="56"/>
        <v>0</v>
      </c>
      <c r="AG112" s="1571"/>
      <c r="AH112" s="1571"/>
    </row>
    <row r="113" spans="1:34" s="1242" customFormat="1" x14ac:dyDescent="0.25">
      <c r="A113" s="1242">
        <v>3</v>
      </c>
      <c r="B113" s="1247" t="e">
        <f t="shared" ca="1" si="60"/>
        <v>#VALUE!</v>
      </c>
      <c r="C113" s="867" t="s">
        <v>5566</v>
      </c>
      <c r="D113" s="858" t="s">
        <v>5567</v>
      </c>
      <c r="E113" s="1255">
        <v>900</v>
      </c>
      <c r="F113" s="858" t="e">
        <f>CONCATENATE("учтено в п. ",#REF!,", ",#REF!)</f>
        <v>#REF!</v>
      </c>
      <c r="G113" s="1244"/>
      <c r="H113" s="1401"/>
      <c r="I113" s="1329"/>
      <c r="J113" s="1329"/>
      <c r="K113" s="1329"/>
      <c r="L113" s="1329"/>
      <c r="M113" s="1401">
        <f t="shared" si="58"/>
        <v>0</v>
      </c>
      <c r="N113" s="1401">
        <f t="shared" si="61"/>
        <v>0</v>
      </c>
      <c r="O113" s="1035"/>
      <c r="P113" s="1035"/>
      <c r="Q113" s="1401"/>
      <c r="R113" s="1035"/>
      <c r="S113" s="1035"/>
      <c r="T113" s="1035"/>
      <c r="U113" s="1414"/>
      <c r="V113" s="1414">
        <f t="shared" si="52"/>
        <v>0</v>
      </c>
      <c r="W113" s="1245"/>
      <c r="X113" s="1401"/>
      <c r="Y113" s="871"/>
      <c r="Z113" s="1401"/>
      <c r="AA113" s="1401">
        <f t="shared" si="55"/>
        <v>0</v>
      </c>
      <c r="AB113" s="1457" t="s">
        <v>5551</v>
      </c>
      <c r="AC113" s="1465">
        <f t="shared" si="56"/>
        <v>0</v>
      </c>
      <c r="AD113" s="1466">
        <f t="shared" si="56"/>
        <v>0</v>
      </c>
      <c r="AG113" s="1326"/>
      <c r="AH113" s="1326"/>
    </row>
    <row r="114" spans="1:34" s="1242" customFormat="1" ht="141.75" x14ac:dyDescent="0.25">
      <c r="A114" s="1242">
        <v>3</v>
      </c>
      <c r="B114" s="1247" t="e">
        <f t="shared" ca="1" si="60"/>
        <v>#VALUE!</v>
      </c>
      <c r="C114" s="867" t="s">
        <v>5243</v>
      </c>
      <c r="D114" s="858" t="s">
        <v>5558</v>
      </c>
      <c r="E114" s="1255">
        <v>1</v>
      </c>
      <c r="F114" s="858" t="s">
        <v>5838</v>
      </c>
      <c r="G114" s="1244">
        <v>43647</v>
      </c>
      <c r="H114" s="1401">
        <f>'КСБ Архыз'!$AJ$20/1.2*1000/1.02</f>
        <v>1723063.73</v>
      </c>
      <c r="I114" s="1329">
        <f>'КСБ Архыз'!$V$20/'КСБ Архыз'!$AI$20*1000</f>
        <v>145530</v>
      </c>
      <c r="J114" s="1329"/>
      <c r="K114" s="1329">
        <f>'КСБ Архыз'!$W$20/'КСБ Архыз'!$AI$20*1000</f>
        <v>84460</v>
      </c>
      <c r="L114" s="1329">
        <f>'КСБ Архыз'!$J$20/'КСБ Архыз'!$AI$20*1000</f>
        <v>1432584.29</v>
      </c>
      <c r="M114" s="1401">
        <f t="shared" si="58"/>
        <v>1493073.73</v>
      </c>
      <c r="N114" s="1401">
        <f t="shared" si="61"/>
        <v>1493073.73</v>
      </c>
      <c r="O114" s="1035">
        <v>1</v>
      </c>
      <c r="P114" s="1035">
        <v>1</v>
      </c>
      <c r="Q114" s="1401">
        <f>N114*O114*P114</f>
        <v>1493073.73</v>
      </c>
      <c r="R114" s="1035">
        <v>1</v>
      </c>
      <c r="S114" s="1035">
        <v>1</v>
      </c>
      <c r="T114" s="1035">
        <v>1</v>
      </c>
      <c r="U114" s="1414">
        <f>Q114*R114*S114*T114</f>
        <v>1493073.73</v>
      </c>
      <c r="V114" s="1414">
        <f t="shared" si="52"/>
        <v>1432584.29</v>
      </c>
      <c r="W114" s="1245" t="e">
        <f>#REF!</f>
        <v>#REF!</v>
      </c>
      <c r="X114" s="1401" t="e">
        <f>U114*W114</f>
        <v>#REF!</v>
      </c>
      <c r="Y114" s="871" t="e">
        <f>'Индексы-дефляторы'!$F$41</f>
        <v>#REF!</v>
      </c>
      <c r="Z114" s="1401" t="e">
        <f t="shared" ref="Z114" si="62">X114*Y114</f>
        <v>#REF!</v>
      </c>
      <c r="AA114" s="1401" t="e">
        <f t="shared" si="55"/>
        <v>#REF!</v>
      </c>
      <c r="AB114" s="1457"/>
      <c r="AC114" s="1465" t="e">
        <f t="shared" si="56"/>
        <v>#REF!</v>
      </c>
      <c r="AD114" s="1466" t="e">
        <f t="shared" si="56"/>
        <v>#REF!</v>
      </c>
      <c r="AG114" s="1326"/>
      <c r="AH114" s="1326"/>
    </row>
    <row r="115" spans="1:34" s="1242" customFormat="1" x14ac:dyDescent="0.25">
      <c r="A115" s="1242">
        <v>3</v>
      </c>
      <c r="B115" s="1247" t="e">
        <f t="shared" ca="1" si="60"/>
        <v>#VALUE!</v>
      </c>
      <c r="C115" s="867" t="s">
        <v>5568</v>
      </c>
      <c r="D115" s="858" t="s">
        <v>5567</v>
      </c>
      <c r="E115" s="1255">
        <v>900</v>
      </c>
      <c r="F115" s="858" t="e">
        <f>CONCATENATE("учтено в п. ",#REF!,", ",#REF!)</f>
        <v>#REF!</v>
      </c>
      <c r="G115" s="1244"/>
      <c r="H115" s="1401"/>
      <c r="I115" s="1329"/>
      <c r="J115" s="1329"/>
      <c r="K115" s="1329"/>
      <c r="L115" s="1329"/>
      <c r="M115" s="1401">
        <f t="shared" si="58"/>
        <v>0</v>
      </c>
      <c r="N115" s="1401">
        <f t="shared" si="61"/>
        <v>0</v>
      </c>
      <c r="O115" s="1035"/>
      <c r="P115" s="1035"/>
      <c r="Q115" s="1401"/>
      <c r="R115" s="1035"/>
      <c r="S115" s="1035"/>
      <c r="T115" s="1035"/>
      <c r="U115" s="1414"/>
      <c r="V115" s="1414">
        <f t="shared" si="52"/>
        <v>0</v>
      </c>
      <c r="W115" s="1245"/>
      <c r="X115" s="1401"/>
      <c r="Y115" s="871"/>
      <c r="Z115" s="1401"/>
      <c r="AA115" s="1401">
        <f t="shared" si="55"/>
        <v>0</v>
      </c>
      <c r="AB115" s="1457" t="s">
        <v>5551</v>
      </c>
      <c r="AC115" s="1465">
        <f t="shared" si="56"/>
        <v>0</v>
      </c>
      <c r="AD115" s="1466">
        <f t="shared" si="56"/>
        <v>0</v>
      </c>
      <c r="AG115" s="1326"/>
      <c r="AH115" s="1326"/>
    </row>
    <row r="116" spans="1:34" s="1242" customFormat="1" x14ac:dyDescent="0.25">
      <c r="A116" s="1242">
        <v>3</v>
      </c>
      <c r="B116" s="1247" t="e">
        <f t="shared" ca="1" si="60"/>
        <v>#VALUE!</v>
      </c>
      <c r="C116" s="867" t="s">
        <v>5569</v>
      </c>
      <c r="D116" s="858"/>
      <c r="E116" s="1255"/>
      <c r="F116" s="858"/>
      <c r="G116" s="1244"/>
      <c r="H116" s="1401"/>
      <c r="I116" s="1329"/>
      <c r="J116" s="1329"/>
      <c r="K116" s="1329"/>
      <c r="L116" s="1329"/>
      <c r="M116" s="1401">
        <f t="shared" si="58"/>
        <v>0</v>
      </c>
      <c r="N116" s="1401">
        <f t="shared" si="61"/>
        <v>0</v>
      </c>
      <c r="O116" s="1035"/>
      <c r="P116" s="1035"/>
      <c r="Q116" s="1401">
        <f t="shared" ref="Q116:Q179" si="63">N116*O116*P116</f>
        <v>0</v>
      </c>
      <c r="R116" s="1035"/>
      <c r="S116" s="1035"/>
      <c r="T116" s="1035"/>
      <c r="U116" s="1414">
        <f t="shared" ref="U116:U179" si="64">Q116*R116*S116*T116</f>
        <v>0</v>
      </c>
      <c r="V116" s="1414">
        <f t="shared" si="52"/>
        <v>0</v>
      </c>
      <c r="W116" s="1245"/>
      <c r="X116" s="1401">
        <f t="shared" ref="X116:X179" si="65">U116*W116</f>
        <v>0</v>
      </c>
      <c r="Y116" s="871"/>
      <c r="Z116" s="1401">
        <f t="shared" ref="Z116:Z122" si="66">X116*Y116</f>
        <v>0</v>
      </c>
      <c r="AA116" s="1401">
        <f t="shared" si="55"/>
        <v>0</v>
      </c>
      <c r="AB116" s="1457" t="s">
        <v>5551</v>
      </c>
      <c r="AC116" s="1465">
        <f t="shared" si="56"/>
        <v>0</v>
      </c>
      <c r="AD116" s="1466">
        <f t="shared" si="56"/>
        <v>0</v>
      </c>
      <c r="AG116" s="1326"/>
      <c r="AH116" s="1326"/>
    </row>
    <row r="117" spans="1:34" s="1242" customFormat="1" ht="141.75" x14ac:dyDescent="0.25">
      <c r="A117" s="1242">
        <v>4</v>
      </c>
      <c r="B117" s="1247" t="e">
        <f t="shared" ca="1" si="60"/>
        <v>#VALUE!</v>
      </c>
      <c r="C117" s="867" t="s">
        <v>5570</v>
      </c>
      <c r="D117" s="858" t="s">
        <v>5558</v>
      </c>
      <c r="E117" s="1255">
        <v>30</v>
      </c>
      <c r="F117" s="858" t="s">
        <v>5834</v>
      </c>
      <c r="G117" s="1244">
        <v>43647</v>
      </c>
      <c r="H117" s="1401">
        <f>'КСБ Архыз'!$AJ$22/1.2*1000/1.02</f>
        <v>43995.1</v>
      </c>
      <c r="I117" s="1329">
        <f>'КСБ Архыз'!$V$22/'КСБ Архыз'!$AI$22*1000</f>
        <v>5080.3599999999997</v>
      </c>
      <c r="J117" s="1329"/>
      <c r="K117" s="1329">
        <f>'КСБ Архыз'!$W$22/'КСБ Архыз'!$AI$22*1000</f>
        <v>2156.35</v>
      </c>
      <c r="L117" s="1329">
        <f>'КСБ Архыз'!$J$22/'КСБ Архыз'!$AI$22*1000</f>
        <v>26240.36</v>
      </c>
      <c r="M117" s="1401">
        <f t="shared" si="58"/>
        <v>36758.39</v>
      </c>
      <c r="N117" s="1401">
        <f t="shared" si="61"/>
        <v>1102751.7</v>
      </c>
      <c r="O117" s="1035">
        <v>1</v>
      </c>
      <c r="P117" s="1035">
        <v>1</v>
      </c>
      <c r="Q117" s="1401">
        <f t="shared" si="63"/>
        <v>1102751.7</v>
      </c>
      <c r="R117" s="1035">
        <v>1</v>
      </c>
      <c r="S117" s="1035">
        <v>1</v>
      </c>
      <c r="T117" s="1035">
        <v>1</v>
      </c>
      <c r="U117" s="1414">
        <f t="shared" si="64"/>
        <v>1102751.7</v>
      </c>
      <c r="V117" s="1414">
        <f t="shared" si="52"/>
        <v>787210.8</v>
      </c>
      <c r="W117" s="1245" t="e">
        <f>#REF!</f>
        <v>#REF!</v>
      </c>
      <c r="X117" s="1401" t="e">
        <f t="shared" si="65"/>
        <v>#REF!</v>
      </c>
      <c r="Y117" s="871" t="e">
        <f>'Индексы-дефляторы'!$F$41</f>
        <v>#REF!</v>
      </c>
      <c r="Z117" s="1401" t="e">
        <f t="shared" si="66"/>
        <v>#REF!</v>
      </c>
      <c r="AA117" s="1401" t="e">
        <f t="shared" si="55"/>
        <v>#REF!</v>
      </c>
      <c r="AB117" s="1457" t="s">
        <v>5835</v>
      </c>
      <c r="AC117" s="1465" t="e">
        <f t="shared" si="56"/>
        <v>#REF!</v>
      </c>
      <c r="AD117" s="1466" t="e">
        <f t="shared" si="56"/>
        <v>#REF!</v>
      </c>
      <c r="AE117" s="1253"/>
      <c r="AG117" s="1326"/>
      <c r="AH117" s="1326"/>
    </row>
    <row r="118" spans="1:34" s="1242" customFormat="1" x14ac:dyDescent="0.25">
      <c r="A118" s="1242">
        <v>4</v>
      </c>
      <c r="B118" s="1247" t="e">
        <f t="shared" ca="1" si="60"/>
        <v>#VALUE!</v>
      </c>
      <c r="C118" s="867" t="s">
        <v>5571</v>
      </c>
      <c r="D118" s="858" t="s">
        <v>5558</v>
      </c>
      <c r="E118" s="1255">
        <v>5</v>
      </c>
      <c r="F118" s="858" t="e">
        <f>CONCATENATE("учтено в п. ",#REF!)</f>
        <v>#REF!</v>
      </c>
      <c r="G118" s="1244"/>
      <c r="H118" s="1401"/>
      <c r="I118" s="1329"/>
      <c r="J118" s="1329"/>
      <c r="K118" s="1329"/>
      <c r="L118" s="1329"/>
      <c r="M118" s="1401">
        <f t="shared" si="58"/>
        <v>0</v>
      </c>
      <c r="N118" s="1401">
        <f t="shared" si="61"/>
        <v>0</v>
      </c>
      <c r="O118" s="1035"/>
      <c r="P118" s="1035"/>
      <c r="Q118" s="1401">
        <f t="shared" si="63"/>
        <v>0</v>
      </c>
      <c r="R118" s="1035"/>
      <c r="S118" s="1035"/>
      <c r="T118" s="1035"/>
      <c r="U118" s="1414">
        <f t="shared" si="64"/>
        <v>0</v>
      </c>
      <c r="V118" s="1414">
        <f t="shared" si="52"/>
        <v>0</v>
      </c>
      <c r="W118" s="1245"/>
      <c r="X118" s="1401">
        <f t="shared" si="65"/>
        <v>0</v>
      </c>
      <c r="Y118" s="871"/>
      <c r="Z118" s="1401">
        <f t="shared" si="66"/>
        <v>0</v>
      </c>
      <c r="AA118" s="1401">
        <f t="shared" si="55"/>
        <v>0</v>
      </c>
      <c r="AB118" s="1457"/>
      <c r="AC118" s="1465">
        <f t="shared" si="56"/>
        <v>0</v>
      </c>
      <c r="AD118" s="1466">
        <f t="shared" si="56"/>
        <v>0</v>
      </c>
      <c r="AG118" s="1326"/>
      <c r="AH118" s="1326"/>
    </row>
    <row r="119" spans="1:34" s="1254" customFormat="1" ht="141.75" x14ac:dyDescent="0.25">
      <c r="A119" s="1242">
        <v>4</v>
      </c>
      <c r="B119" s="1247" t="e">
        <f t="shared" ca="1" si="60"/>
        <v>#VALUE!</v>
      </c>
      <c r="C119" s="867" t="s">
        <v>5243</v>
      </c>
      <c r="D119" s="858" t="s">
        <v>5558</v>
      </c>
      <c r="E119" s="858">
        <v>1</v>
      </c>
      <c r="F119" s="858" t="s">
        <v>5838</v>
      </c>
      <c r="G119" s="1244">
        <v>43647</v>
      </c>
      <c r="H119" s="1401">
        <f>'КСБ Архыз'!$AJ$20/1.2*1000/1.02</f>
        <v>1723063.73</v>
      </c>
      <c r="I119" s="1329">
        <f>'КСБ Архыз'!$V$20/'КСБ Архыз'!$AI$20*1000</f>
        <v>145530</v>
      </c>
      <c r="J119" s="1329"/>
      <c r="K119" s="1329">
        <f>'КСБ Архыз'!$W$20/'КСБ Архыз'!$AI$20*1000</f>
        <v>84460</v>
      </c>
      <c r="L119" s="1329">
        <f>'КСБ Архыз'!$J$20/'КСБ Архыз'!$AI$20*1000</f>
        <v>1432584.29</v>
      </c>
      <c r="M119" s="1401">
        <f t="shared" si="58"/>
        <v>1493073.73</v>
      </c>
      <c r="N119" s="1401">
        <f t="shared" si="61"/>
        <v>1493073.73</v>
      </c>
      <c r="O119" s="1035">
        <v>1</v>
      </c>
      <c r="P119" s="1035">
        <v>1</v>
      </c>
      <c r="Q119" s="1401">
        <f t="shared" si="63"/>
        <v>1493073.73</v>
      </c>
      <c r="R119" s="1035">
        <v>1</v>
      </c>
      <c r="S119" s="1035">
        <v>1</v>
      </c>
      <c r="T119" s="1035">
        <v>1</v>
      </c>
      <c r="U119" s="1414">
        <f t="shared" si="64"/>
        <v>1493073.73</v>
      </c>
      <c r="V119" s="1414">
        <f t="shared" si="52"/>
        <v>1432584.29</v>
      </c>
      <c r="W119" s="1245" t="e">
        <f>#REF!</f>
        <v>#REF!</v>
      </c>
      <c r="X119" s="1401" t="e">
        <f t="shared" si="65"/>
        <v>#REF!</v>
      </c>
      <c r="Y119" s="871" t="e">
        <f>'Индексы-дефляторы'!$F$41</f>
        <v>#REF!</v>
      </c>
      <c r="Z119" s="1401" t="e">
        <f t="shared" si="66"/>
        <v>#REF!</v>
      </c>
      <c r="AA119" s="1401" t="e">
        <f t="shared" si="55"/>
        <v>#REF!</v>
      </c>
      <c r="AB119" s="1457"/>
      <c r="AC119" s="1465" t="e">
        <f t="shared" si="56"/>
        <v>#REF!</v>
      </c>
      <c r="AD119" s="1466" t="e">
        <f t="shared" si="56"/>
        <v>#REF!</v>
      </c>
      <c r="AG119" s="1571"/>
      <c r="AH119" s="1571"/>
    </row>
    <row r="120" spans="1:34" s="1242" customFormat="1" x14ac:dyDescent="0.25">
      <c r="A120" s="1242">
        <v>3</v>
      </c>
      <c r="B120" s="1247" t="e">
        <f t="shared" ca="1" si="60"/>
        <v>#VALUE!</v>
      </c>
      <c r="C120" s="867" t="s">
        <v>5572</v>
      </c>
      <c r="D120" s="858"/>
      <c r="E120" s="1255"/>
      <c r="F120" s="858"/>
      <c r="G120" s="1244"/>
      <c r="H120" s="1401"/>
      <c r="I120" s="1329"/>
      <c r="J120" s="1329"/>
      <c r="K120" s="1329"/>
      <c r="L120" s="1329"/>
      <c r="M120" s="1401">
        <f t="shared" si="58"/>
        <v>0</v>
      </c>
      <c r="N120" s="1401">
        <f t="shared" si="61"/>
        <v>0</v>
      </c>
      <c r="O120" s="1035"/>
      <c r="P120" s="1035"/>
      <c r="Q120" s="1401">
        <f t="shared" si="63"/>
        <v>0</v>
      </c>
      <c r="R120" s="1035"/>
      <c r="S120" s="1035"/>
      <c r="T120" s="1035"/>
      <c r="U120" s="1414">
        <f t="shared" si="64"/>
        <v>0</v>
      </c>
      <c r="V120" s="1414">
        <f t="shared" si="52"/>
        <v>0</v>
      </c>
      <c r="W120" s="1245"/>
      <c r="X120" s="1401">
        <f t="shared" si="65"/>
        <v>0</v>
      </c>
      <c r="Y120" s="1007"/>
      <c r="Z120" s="1401">
        <f t="shared" si="66"/>
        <v>0</v>
      </c>
      <c r="AA120" s="1401">
        <f t="shared" si="55"/>
        <v>0</v>
      </c>
      <c r="AB120" s="1457"/>
      <c r="AC120" s="1465">
        <f t="shared" si="56"/>
        <v>0</v>
      </c>
      <c r="AD120" s="1466">
        <f t="shared" si="56"/>
        <v>0</v>
      </c>
      <c r="AG120" s="1326"/>
      <c r="AH120" s="1326"/>
    </row>
    <row r="121" spans="1:34" s="1242" customFormat="1" ht="141.75" x14ac:dyDescent="0.25">
      <c r="A121" s="1242">
        <v>3</v>
      </c>
      <c r="B121" s="1247" t="e">
        <f t="shared" ca="1" si="60"/>
        <v>#VALUE!</v>
      </c>
      <c r="C121" s="867" t="s">
        <v>5573</v>
      </c>
      <c r="D121" s="858" t="s">
        <v>5575</v>
      </c>
      <c r="E121" s="1255">
        <v>1</v>
      </c>
      <c r="F121" s="858" t="s">
        <v>5836</v>
      </c>
      <c r="G121" s="1244">
        <v>43647</v>
      </c>
      <c r="H121" s="1401">
        <f>'КСБ Архыз'!$AJ$27/1.2*1000/1.02</f>
        <v>463472.22</v>
      </c>
      <c r="I121" s="1329">
        <f>'КСБ Архыз'!$V$27/'КСБ Архыз'!$AI$27*1000</f>
        <v>39640</v>
      </c>
      <c r="J121" s="1329"/>
      <c r="K121" s="1329">
        <f>'КСБ Архыз'!$W$27/'КСБ Архыз'!$AI$27*1000</f>
        <v>22717.5</v>
      </c>
      <c r="L121" s="1329">
        <f>'КСБ Архыз'!$J$27/'КСБ Архыз'!$AI$27*1000</f>
        <v>392240</v>
      </c>
      <c r="M121" s="1401">
        <f t="shared" si="58"/>
        <v>401114.72</v>
      </c>
      <c r="N121" s="1401">
        <f t="shared" si="61"/>
        <v>401114.72</v>
      </c>
      <c r="O121" s="1035">
        <v>1</v>
      </c>
      <c r="P121" s="1035">
        <v>1</v>
      </c>
      <c r="Q121" s="1401">
        <f t="shared" si="63"/>
        <v>401114.72</v>
      </c>
      <c r="R121" s="1035">
        <v>1</v>
      </c>
      <c r="S121" s="1035">
        <v>1</v>
      </c>
      <c r="T121" s="1035">
        <v>1</v>
      </c>
      <c r="U121" s="1414">
        <f t="shared" si="64"/>
        <v>401114.72</v>
      </c>
      <c r="V121" s="1414">
        <f t="shared" si="52"/>
        <v>392240</v>
      </c>
      <c r="W121" s="1245" t="e">
        <f>#REF!</f>
        <v>#REF!</v>
      </c>
      <c r="X121" s="1401" t="e">
        <f t="shared" si="65"/>
        <v>#REF!</v>
      </c>
      <c r="Y121" s="871" t="e">
        <f>'Индексы-дефляторы'!$F$41</f>
        <v>#REF!</v>
      </c>
      <c r="Z121" s="1401" t="e">
        <f t="shared" si="66"/>
        <v>#REF!</v>
      </c>
      <c r="AA121" s="1401" t="e">
        <f t="shared" si="55"/>
        <v>#REF!</v>
      </c>
      <c r="AB121" s="1457"/>
      <c r="AC121" s="1465" t="e">
        <f t="shared" si="56"/>
        <v>#REF!</v>
      </c>
      <c r="AD121" s="1466" t="e">
        <f t="shared" si="56"/>
        <v>#REF!</v>
      </c>
      <c r="AG121" s="1326"/>
      <c r="AH121" s="1326"/>
    </row>
    <row r="122" spans="1:34" s="1242" customFormat="1" x14ac:dyDescent="0.25">
      <c r="A122" s="1242">
        <v>3</v>
      </c>
      <c r="B122" s="1247" t="e">
        <f t="shared" ca="1" si="60"/>
        <v>#VALUE!</v>
      </c>
      <c r="C122" s="867" t="s">
        <v>5574</v>
      </c>
      <c r="D122" s="858" t="s">
        <v>5327</v>
      </c>
      <c r="E122" s="1248">
        <v>2</v>
      </c>
      <c r="F122" s="858" t="e">
        <f>CONCATENATE("учтено в п. ",#REF!)</f>
        <v>#REF!</v>
      </c>
      <c r="G122" s="1244"/>
      <c r="H122" s="1401"/>
      <c r="I122" s="1329"/>
      <c r="J122" s="1329"/>
      <c r="K122" s="1329"/>
      <c r="L122" s="1329"/>
      <c r="M122" s="1401">
        <f t="shared" si="58"/>
        <v>0</v>
      </c>
      <c r="N122" s="1401">
        <f t="shared" si="61"/>
        <v>0</v>
      </c>
      <c r="O122" s="1035"/>
      <c r="P122" s="1035"/>
      <c r="Q122" s="1401">
        <f t="shared" si="63"/>
        <v>0</v>
      </c>
      <c r="R122" s="1035"/>
      <c r="S122" s="1035"/>
      <c r="T122" s="1035"/>
      <c r="U122" s="1414">
        <f t="shared" si="64"/>
        <v>0</v>
      </c>
      <c r="V122" s="1414">
        <f t="shared" si="52"/>
        <v>0</v>
      </c>
      <c r="W122" s="1245"/>
      <c r="X122" s="1401">
        <f t="shared" si="65"/>
        <v>0</v>
      </c>
      <c r="Y122" s="871"/>
      <c r="Z122" s="1401">
        <f t="shared" si="66"/>
        <v>0</v>
      </c>
      <c r="AA122" s="1401">
        <f t="shared" si="55"/>
        <v>0</v>
      </c>
      <c r="AB122" s="1457"/>
      <c r="AC122" s="1465">
        <f t="shared" si="56"/>
        <v>0</v>
      </c>
      <c r="AD122" s="1466">
        <f t="shared" si="56"/>
        <v>0</v>
      </c>
      <c r="AG122" s="1326"/>
      <c r="AH122" s="1326"/>
    </row>
    <row r="123" spans="1:34" s="1242" customFormat="1" x14ac:dyDescent="0.25">
      <c r="A123" s="1242">
        <v>3</v>
      </c>
      <c r="B123" s="1247" t="e">
        <f ca="1">IF(A123&gt;OFFSET(A123,-1,0),OFFSET(B123,-1,0)&amp;"."&amp;1,LEFT(OFFSET(B123,-1,0),SEARCH("^^",SUBSTITUTE("."&amp;OFFSET(B123,-1,0),".","^^",A123))-1)&amp;1--MID(OFFSET(B123,-1,0),SEARCH("^^",SUBSTITUTE("."&amp;OFFSET(B123,-1,0),".","^^",A123)),SEARCH("^^",SUBSTITUTE(OFFSET(B123,-1,0)&amp;".",".","^^",A123))-SEARCH("^^",SUBSTITUTE("."&amp;OFFSET(B123,-1,0),".","^^",A123))))</f>
        <v>#VALUE!</v>
      </c>
      <c r="C123" s="1044" t="s">
        <v>5576</v>
      </c>
      <c r="D123" s="858"/>
      <c r="E123" s="1249"/>
      <c r="F123" s="858"/>
      <c r="G123" s="1244"/>
      <c r="H123" s="1401"/>
      <c r="I123" s="1329"/>
      <c r="J123" s="1329"/>
      <c r="K123" s="1329"/>
      <c r="L123" s="1329"/>
      <c r="M123" s="1401">
        <f t="shared" si="58"/>
        <v>0</v>
      </c>
      <c r="N123" s="1401">
        <f t="shared" si="61"/>
        <v>0</v>
      </c>
      <c r="O123" s="1035"/>
      <c r="P123" s="1035"/>
      <c r="Q123" s="1401">
        <f t="shared" si="63"/>
        <v>0</v>
      </c>
      <c r="R123" s="1035"/>
      <c r="S123" s="1035"/>
      <c r="T123" s="1035"/>
      <c r="U123" s="1414">
        <f t="shared" si="64"/>
        <v>0</v>
      </c>
      <c r="V123" s="1414">
        <f t="shared" si="52"/>
        <v>0</v>
      </c>
      <c r="W123" s="1245"/>
      <c r="X123" s="1401">
        <f t="shared" si="65"/>
        <v>0</v>
      </c>
      <c r="Y123" s="871"/>
      <c r="Z123" s="1401">
        <f>X123*Y123</f>
        <v>0</v>
      </c>
      <c r="AA123" s="1401">
        <f t="shared" si="55"/>
        <v>0</v>
      </c>
      <c r="AB123" s="1457"/>
      <c r="AC123" s="1465">
        <f t="shared" si="56"/>
        <v>0</v>
      </c>
      <c r="AD123" s="1466">
        <f t="shared" si="56"/>
        <v>0</v>
      </c>
      <c r="AG123" s="1326"/>
      <c r="AH123" s="1326"/>
    </row>
    <row r="124" spans="1:34" s="1242" customFormat="1" x14ac:dyDescent="0.25">
      <c r="A124" s="1242">
        <v>4</v>
      </c>
      <c r="B124" s="1247" t="e">
        <f t="shared" ref="B124:B126" ca="1" si="67">IF(A124&gt;OFFSET(A124,-1,0),OFFSET(B124,-1,0)&amp;"."&amp;1,LEFT(OFFSET(B124,-1,0),SEARCH("^^",SUBSTITUTE("."&amp;OFFSET(B124,-1,0),".","^^",A124))-1)&amp;1--MID(OFFSET(B124,-1,0),SEARCH("^^",SUBSTITUTE("."&amp;OFFSET(B124,-1,0),".","^^",A124)),SEARCH("^^",SUBSTITUTE(OFFSET(B124,-1,0)&amp;".",".","^^",A124))-SEARCH("^^",SUBSTITUTE("."&amp;OFFSET(B124,-1,0),".","^^",A124))))</f>
        <v>#VALUE!</v>
      </c>
      <c r="C124" s="1044" t="s">
        <v>5577</v>
      </c>
      <c r="D124" s="858" t="s">
        <v>5558</v>
      </c>
      <c r="E124" s="1249">
        <v>2</v>
      </c>
      <c r="F124" s="858" t="e">
        <f>CONCATENATE("учтено в п. ",#REF!,", ",#REF!)</f>
        <v>#REF!</v>
      </c>
      <c r="G124" s="1244"/>
      <c r="H124" s="1401"/>
      <c r="I124" s="1329"/>
      <c r="J124" s="1329"/>
      <c r="K124" s="1329"/>
      <c r="L124" s="1329"/>
      <c r="M124" s="1401">
        <f t="shared" si="58"/>
        <v>0</v>
      </c>
      <c r="N124" s="1401">
        <f t="shared" si="61"/>
        <v>0</v>
      </c>
      <c r="O124" s="1035"/>
      <c r="P124" s="1035"/>
      <c r="Q124" s="1401">
        <f t="shared" si="63"/>
        <v>0</v>
      </c>
      <c r="R124" s="1035"/>
      <c r="S124" s="1035"/>
      <c r="T124" s="1035"/>
      <c r="U124" s="1414">
        <f t="shared" si="64"/>
        <v>0</v>
      </c>
      <c r="V124" s="1414">
        <f t="shared" si="52"/>
        <v>0</v>
      </c>
      <c r="W124" s="1245"/>
      <c r="X124" s="1401">
        <f t="shared" si="65"/>
        <v>0</v>
      </c>
      <c r="Y124" s="871"/>
      <c r="Z124" s="1401">
        <f t="shared" ref="Z124:Z134" si="68">X124*Y124</f>
        <v>0</v>
      </c>
      <c r="AA124" s="1401">
        <f t="shared" si="55"/>
        <v>0</v>
      </c>
      <c r="AB124" s="1457"/>
      <c r="AC124" s="1465">
        <f t="shared" si="56"/>
        <v>0</v>
      </c>
      <c r="AD124" s="1466">
        <f t="shared" si="56"/>
        <v>0</v>
      </c>
      <c r="AG124" s="1326"/>
      <c r="AH124" s="1326"/>
    </row>
    <row r="125" spans="1:34" s="1242" customFormat="1" x14ac:dyDescent="0.25">
      <c r="A125" s="1242">
        <v>4</v>
      </c>
      <c r="B125" s="1247" t="e">
        <f t="shared" ca="1" si="67"/>
        <v>#VALUE!</v>
      </c>
      <c r="C125" s="867" t="s">
        <v>5578</v>
      </c>
      <c r="D125" s="858" t="s">
        <v>269</v>
      </c>
      <c r="E125" s="1249">
        <v>5</v>
      </c>
      <c r="F125" s="858" t="e">
        <f>CONCATENATE("учтено в п. ",#REF!,", ",#REF!)</f>
        <v>#REF!</v>
      </c>
      <c r="G125" s="1244"/>
      <c r="H125" s="1401"/>
      <c r="I125" s="1329"/>
      <c r="J125" s="1329"/>
      <c r="K125" s="1329"/>
      <c r="L125" s="1329"/>
      <c r="M125" s="1401">
        <f t="shared" si="58"/>
        <v>0</v>
      </c>
      <c r="N125" s="1401">
        <f t="shared" si="61"/>
        <v>0</v>
      </c>
      <c r="O125" s="1035"/>
      <c r="P125" s="1035"/>
      <c r="Q125" s="1401">
        <f t="shared" si="63"/>
        <v>0</v>
      </c>
      <c r="R125" s="1035"/>
      <c r="S125" s="1035"/>
      <c r="T125" s="1035"/>
      <c r="U125" s="1414">
        <f t="shared" si="64"/>
        <v>0</v>
      </c>
      <c r="V125" s="1414">
        <f t="shared" si="52"/>
        <v>0</v>
      </c>
      <c r="W125" s="1245"/>
      <c r="X125" s="1401">
        <f t="shared" si="65"/>
        <v>0</v>
      </c>
      <c r="Y125" s="871"/>
      <c r="Z125" s="1401">
        <f t="shared" si="68"/>
        <v>0</v>
      </c>
      <c r="AA125" s="1401">
        <f t="shared" si="55"/>
        <v>0</v>
      </c>
      <c r="AB125" s="1457"/>
      <c r="AC125" s="1465">
        <f t="shared" si="56"/>
        <v>0</v>
      </c>
      <c r="AD125" s="1466">
        <f t="shared" si="56"/>
        <v>0</v>
      </c>
      <c r="AG125" s="1326"/>
      <c r="AH125" s="1326"/>
    </row>
    <row r="126" spans="1:34" s="1242" customFormat="1" ht="141.75" x14ac:dyDescent="0.25">
      <c r="A126" s="1242">
        <v>4</v>
      </c>
      <c r="B126" s="1247" t="e">
        <f t="shared" ca="1" si="67"/>
        <v>#VALUE!</v>
      </c>
      <c r="C126" s="867" t="s">
        <v>5561</v>
      </c>
      <c r="D126" s="858" t="s">
        <v>5558</v>
      </c>
      <c r="E126" s="1248">
        <v>6</v>
      </c>
      <c r="F126" s="858" t="s">
        <v>5837</v>
      </c>
      <c r="G126" s="1244">
        <v>43647</v>
      </c>
      <c r="H126" s="1401">
        <f>'КСБ Архыз'!$AJ$25/1.2*1000/1.02</f>
        <v>118137.25</v>
      </c>
      <c r="I126" s="1329">
        <f>'КСБ Архыз'!$V$25/'КСБ Архыз'!$AI$25*1000</f>
        <v>10785.56</v>
      </c>
      <c r="J126" s="1329"/>
      <c r="K126" s="1329">
        <f>'КСБ Архыз'!$W$25/'КСБ Архыз'!$AI$25*1000</f>
        <v>5791.11</v>
      </c>
      <c r="L126" s="1329">
        <f>'КСБ Архыз'!$J$25/'КСБ Архыз'!$AI$25*1000</f>
        <v>94635.56</v>
      </c>
      <c r="M126" s="1401">
        <f t="shared" si="58"/>
        <v>101560.58</v>
      </c>
      <c r="N126" s="1401">
        <f t="shared" si="61"/>
        <v>609363.48</v>
      </c>
      <c r="O126" s="1035">
        <v>1</v>
      </c>
      <c r="P126" s="1035">
        <v>1</v>
      </c>
      <c r="Q126" s="1401">
        <f t="shared" si="63"/>
        <v>609363.48</v>
      </c>
      <c r="R126" s="1035">
        <v>1</v>
      </c>
      <c r="S126" s="1035">
        <v>1</v>
      </c>
      <c r="T126" s="1035">
        <v>1</v>
      </c>
      <c r="U126" s="1414">
        <f t="shared" si="64"/>
        <v>609363.48</v>
      </c>
      <c r="V126" s="1414">
        <f t="shared" si="52"/>
        <v>567813.36</v>
      </c>
      <c r="W126" s="1245" t="e">
        <f>#REF!</f>
        <v>#REF!</v>
      </c>
      <c r="X126" s="1401" t="e">
        <f t="shared" si="65"/>
        <v>#REF!</v>
      </c>
      <c r="Y126" s="871" t="e">
        <f>'Индексы-дефляторы'!$F$41</f>
        <v>#REF!</v>
      </c>
      <c r="Z126" s="1401" t="e">
        <f t="shared" si="68"/>
        <v>#REF!</v>
      </c>
      <c r="AA126" s="1401" t="e">
        <f t="shared" si="55"/>
        <v>#REF!</v>
      </c>
      <c r="AB126" s="1250"/>
      <c r="AC126" s="1448"/>
      <c r="AD126" s="1448"/>
      <c r="AG126" s="1326"/>
      <c r="AH126" s="1326"/>
    </row>
    <row r="127" spans="1:34" s="1242" customFormat="1" ht="63" x14ac:dyDescent="0.25">
      <c r="A127" s="1242">
        <v>2</v>
      </c>
      <c r="B127" s="1243" t="e">
        <f ca="1">IF(A127&gt;OFFSET(A127,-1,0),OFFSET(B127,-1,0)&amp;"."&amp;1,LEFT(OFFSET(B127,-1,0),SEARCH("^^",SUBSTITUTE("."&amp;OFFSET(B127,-1,0),".","^^",A127))-1)&amp;1--MID(OFFSET(B127,-1,0),SEARCH("^^",SUBSTITUTE("."&amp;OFFSET(B127,-1,0),".","^^",A127)),SEARCH("^^",SUBSTITUTE(OFFSET(B127,-1,0)&amp;".",".","^^",A127))-SEARCH("^^",SUBSTITUTE("."&amp;OFFSET(B127,-1,0),".","^^",A127))))</f>
        <v>#VALUE!</v>
      </c>
      <c r="C127" s="1389" t="s">
        <v>5833</v>
      </c>
      <c r="D127" s="1374" t="s">
        <v>130</v>
      </c>
      <c r="E127" s="1390">
        <f>30*11</f>
        <v>330</v>
      </c>
      <c r="F127" s="1374" t="s">
        <v>5599</v>
      </c>
      <c r="G127" s="1376">
        <v>45292</v>
      </c>
      <c r="H127" s="1377">
        <f>75.9*1000/1.02</f>
        <v>74411.759999999995</v>
      </c>
      <c r="I127" s="1391">
        <f>738.03/95*1000/1.02</f>
        <v>7616.41</v>
      </c>
      <c r="J127" s="1325"/>
      <c r="K127" s="1391">
        <f>136.97/95*1000/1.02</f>
        <v>1413.52</v>
      </c>
      <c r="L127" s="1325"/>
      <c r="M127" s="1377">
        <f>H127-I127-K127</f>
        <v>65381.83</v>
      </c>
      <c r="N127" s="1377">
        <f>E127*M127</f>
        <v>21576003.899999999</v>
      </c>
      <c r="O127" s="1377">
        <v>1</v>
      </c>
      <c r="P127" s="1377">
        <v>1</v>
      </c>
      <c r="Q127" s="1377">
        <f t="shared" si="63"/>
        <v>21576003.899999999</v>
      </c>
      <c r="R127" s="1377">
        <v>0.8</v>
      </c>
      <c r="S127" s="1377">
        <v>0.99</v>
      </c>
      <c r="T127" s="1377">
        <v>1.03</v>
      </c>
      <c r="U127" s="1378">
        <f t="shared" si="64"/>
        <v>17600840.940000001</v>
      </c>
      <c r="V127" s="1378">
        <f>E127*L127*O127*P127*R127*S127*T127</f>
        <v>0</v>
      </c>
      <c r="W127" s="1392" t="e">
        <f>#REF!</f>
        <v>#REF!</v>
      </c>
      <c r="X127" s="1393" t="e">
        <f t="shared" si="65"/>
        <v>#REF!</v>
      </c>
      <c r="Y127" s="1380" t="e">
        <f>'Индексы-дефляторы'!$F$41</f>
        <v>#REF!</v>
      </c>
      <c r="Z127" s="1393" t="e">
        <f t="shared" si="68"/>
        <v>#REF!</v>
      </c>
      <c r="AA127" s="1378" t="e">
        <f>V127*W127*Y127</f>
        <v>#REF!</v>
      </c>
      <c r="AB127" s="1246"/>
      <c r="AC127" s="1448"/>
      <c r="AD127" s="1448"/>
      <c r="AE127" s="1319" t="e">
        <f>Z127*1.2/E127</f>
        <v>#REF!</v>
      </c>
      <c r="AF127" s="1242" t="s">
        <v>5831</v>
      </c>
      <c r="AG127" s="1326" t="s">
        <v>5842</v>
      </c>
      <c r="AH127" s="1574" t="e">
        <f>(Z127+Z129+Z130)/(E127+7*7*5+20*20)*1.2</f>
        <v>#REF!</v>
      </c>
    </row>
    <row r="128" spans="1:34" s="1242" customFormat="1" ht="141.75" x14ac:dyDescent="0.25">
      <c r="A128" s="1242">
        <v>3</v>
      </c>
      <c r="B128" s="1247" t="e">
        <f t="shared" ref="B128:B132" ca="1" si="69">IF(A128&gt;OFFSET(A128,-1,0),OFFSET(B128,-1,0)&amp;"."&amp;1,LEFT(OFFSET(B128,-1,0),SEARCH("^^",SUBSTITUTE("."&amp;OFFSET(B128,-1,0),".","^^",A128))-1)&amp;1--MID(OFFSET(B128,-1,0),SEARCH("^^",SUBSTITUTE("."&amp;OFFSET(B128,-1,0),".","^^",A128)),SEARCH("^^",SUBSTITUTE(OFFSET(B128,-1,0)&amp;".",".","^^",A128))-SEARCH("^^",SUBSTITUTE("."&amp;OFFSET(B128,-1,0),".","^^",A128))))</f>
        <v>#VALUE!</v>
      </c>
      <c r="C128" s="887" t="s">
        <v>5571</v>
      </c>
      <c r="D128" s="1251" t="s">
        <v>5558</v>
      </c>
      <c r="E128" s="1252">
        <v>5</v>
      </c>
      <c r="F128" s="858" t="s">
        <v>5834</v>
      </c>
      <c r="G128" s="1244">
        <v>43647</v>
      </c>
      <c r="H128" s="1035">
        <f>'КСБ Архыз'!$AJ$22/1.2</f>
        <v>44.88</v>
      </c>
      <c r="I128" s="1326"/>
      <c r="J128" s="1326"/>
      <c r="K128" s="1326"/>
      <c r="L128" s="1326"/>
      <c r="M128" s="1035">
        <f>'КСБ Архыз'!$AJ$22/1.2</f>
        <v>44.88</v>
      </c>
      <c r="N128" s="1035">
        <f t="shared" ref="N128:N180" si="70">E128*H128</f>
        <v>224.4</v>
      </c>
      <c r="O128" s="1035">
        <v>1</v>
      </c>
      <c r="P128" s="1035">
        <v>1</v>
      </c>
      <c r="Q128" s="1035">
        <f t="shared" si="63"/>
        <v>224.4</v>
      </c>
      <c r="R128" s="1035">
        <v>1</v>
      </c>
      <c r="S128" s="1035">
        <v>1</v>
      </c>
      <c r="T128" s="1035">
        <v>1</v>
      </c>
      <c r="U128" s="1340">
        <f t="shared" si="64"/>
        <v>224.4</v>
      </c>
      <c r="V128" s="1348"/>
      <c r="W128" s="1245" t="e">
        <f>#REF!</f>
        <v>#REF!</v>
      </c>
      <c r="X128" s="1035" t="e">
        <f t="shared" si="65"/>
        <v>#REF!</v>
      </c>
      <c r="Y128" s="871" t="e">
        <f>#REF!</f>
        <v>#REF!</v>
      </c>
      <c r="Z128" s="1035" t="e">
        <f t="shared" si="68"/>
        <v>#REF!</v>
      </c>
      <c r="AA128" s="1348"/>
      <c r="AB128" s="1250" t="s">
        <v>5835</v>
      </c>
      <c r="AC128" s="1448"/>
      <c r="AD128" s="1448"/>
      <c r="AG128" s="1326"/>
      <c r="AH128" s="1326"/>
    </row>
    <row r="129" spans="1:34" s="1263" customFormat="1" ht="78.75" x14ac:dyDescent="0.25">
      <c r="A129" s="1263">
        <v>2</v>
      </c>
      <c r="B129" s="1264" t="e">
        <f t="shared" ca="1" si="69"/>
        <v>#VALUE!</v>
      </c>
      <c r="C129" s="1265" t="s">
        <v>5548</v>
      </c>
      <c r="D129" s="1266" t="s">
        <v>5593</v>
      </c>
      <c r="E129" s="1267">
        <f>(20000-(5.8*7.6*11+7*7*5+20*20))/100</f>
        <v>188.7</v>
      </c>
      <c r="F129" s="1268" t="s">
        <v>5594</v>
      </c>
      <c r="G129" s="1269">
        <v>45292</v>
      </c>
      <c r="H129" s="1270">
        <f>113.05</f>
        <v>113.05</v>
      </c>
      <c r="I129" s="1327"/>
      <c r="J129" s="1327"/>
      <c r="K129" s="1327"/>
      <c r="L129" s="1327"/>
      <c r="M129" s="1270">
        <f>113.05</f>
        <v>113.05</v>
      </c>
      <c r="N129" s="1270">
        <f t="shared" si="70"/>
        <v>21332.54</v>
      </c>
      <c r="O129" s="1270">
        <v>1</v>
      </c>
      <c r="P129" s="1270">
        <v>1</v>
      </c>
      <c r="Q129" s="1270">
        <f t="shared" si="63"/>
        <v>21332.54</v>
      </c>
      <c r="R129" s="1270">
        <v>0.84</v>
      </c>
      <c r="S129" s="1270">
        <v>0.99</v>
      </c>
      <c r="T129" s="1270">
        <v>1</v>
      </c>
      <c r="U129" s="1343">
        <f t="shared" si="64"/>
        <v>17740.14</v>
      </c>
      <c r="V129" s="1349"/>
      <c r="W129" s="1271" t="e">
        <f>#REF!</f>
        <v>#REF!</v>
      </c>
      <c r="X129" s="1270" t="e">
        <f t="shared" si="65"/>
        <v>#REF!</v>
      </c>
      <c r="Y129" s="1272" t="e">
        <f>#REF!</f>
        <v>#REF!</v>
      </c>
      <c r="Z129" s="1270" t="e">
        <f t="shared" si="68"/>
        <v>#REF!</v>
      </c>
      <c r="AA129" s="1349"/>
      <c r="AB129" s="1273" t="s">
        <v>5579</v>
      </c>
      <c r="AC129" s="1449"/>
      <c r="AD129" s="1449"/>
      <c r="AG129" s="1575"/>
      <c r="AH129" s="1327"/>
    </row>
    <row r="130" spans="1:34" s="1263" customFormat="1" ht="63" x14ac:dyDescent="0.25">
      <c r="A130" s="1263">
        <v>2</v>
      </c>
      <c r="B130" s="1264" t="e">
        <f t="shared" ca="1" si="69"/>
        <v>#VALUE!</v>
      </c>
      <c r="C130" s="1265" t="s">
        <v>5548</v>
      </c>
      <c r="D130" s="1266" t="s">
        <v>5593</v>
      </c>
      <c r="E130" s="1267">
        <f>(20000-(5.8*7.6*11+7*7*5+20*20))/100</f>
        <v>188.7</v>
      </c>
      <c r="F130" s="1268" t="s">
        <v>5595</v>
      </c>
      <c r="G130" s="1269">
        <v>45292</v>
      </c>
      <c r="H130" s="1270">
        <f>55.89</f>
        <v>55.89</v>
      </c>
      <c r="I130" s="1327"/>
      <c r="J130" s="1327"/>
      <c r="K130" s="1327"/>
      <c r="L130" s="1327"/>
      <c r="M130" s="1270">
        <f>55.89</f>
        <v>55.89</v>
      </c>
      <c r="N130" s="1270">
        <f t="shared" si="70"/>
        <v>10546.44</v>
      </c>
      <c r="O130" s="1270">
        <v>1</v>
      </c>
      <c r="P130" s="1270">
        <v>1</v>
      </c>
      <c r="Q130" s="1270">
        <f t="shared" si="63"/>
        <v>10546.44</v>
      </c>
      <c r="R130" s="1270">
        <v>0.84</v>
      </c>
      <c r="S130" s="1270">
        <v>0.99</v>
      </c>
      <c r="T130" s="1270">
        <v>1</v>
      </c>
      <c r="U130" s="1343">
        <f t="shared" si="64"/>
        <v>8770.42</v>
      </c>
      <c r="V130" s="1349"/>
      <c r="W130" s="1271" t="e">
        <f>#REF!</f>
        <v>#REF!</v>
      </c>
      <c r="X130" s="1270" t="e">
        <f t="shared" si="65"/>
        <v>#REF!</v>
      </c>
      <c r="Y130" s="1272" t="e">
        <f>#REF!</f>
        <v>#REF!</v>
      </c>
      <c r="Z130" s="1270" t="e">
        <f t="shared" si="68"/>
        <v>#REF!</v>
      </c>
      <c r="AA130" s="1349"/>
      <c r="AB130" s="1273" t="s">
        <v>5579</v>
      </c>
      <c r="AC130" s="1449"/>
      <c r="AD130" s="1449"/>
      <c r="AG130" s="1575"/>
      <c r="AH130" s="1327"/>
    </row>
    <row r="131" spans="1:34" s="1263" customFormat="1" ht="63" x14ac:dyDescent="0.25">
      <c r="A131" s="1263">
        <v>2</v>
      </c>
      <c r="B131" s="1264" t="e">
        <f t="shared" ca="1" si="69"/>
        <v>#VALUE!</v>
      </c>
      <c r="C131" s="1265" t="s">
        <v>5548</v>
      </c>
      <c r="D131" s="1266" t="s">
        <v>5593</v>
      </c>
      <c r="E131" s="1267">
        <f>(20000-(5.8*7.6*11+7*7*5+20*20))/100</f>
        <v>188.7</v>
      </c>
      <c r="F131" s="1268" t="s">
        <v>5596</v>
      </c>
      <c r="G131" s="1269">
        <v>45292</v>
      </c>
      <c r="H131" s="1270">
        <f>21.96</f>
        <v>21.96</v>
      </c>
      <c r="I131" s="1327"/>
      <c r="J131" s="1327"/>
      <c r="K131" s="1327"/>
      <c r="L131" s="1327"/>
      <c r="M131" s="1270">
        <f>21.96</f>
        <v>21.96</v>
      </c>
      <c r="N131" s="1270">
        <f t="shared" si="70"/>
        <v>4143.8500000000004</v>
      </c>
      <c r="O131" s="1270">
        <v>1</v>
      </c>
      <c r="P131" s="1270">
        <v>1</v>
      </c>
      <c r="Q131" s="1270">
        <f t="shared" si="63"/>
        <v>4143.8500000000004</v>
      </c>
      <c r="R131" s="1270">
        <v>0.84</v>
      </c>
      <c r="S131" s="1270">
        <v>0.99</v>
      </c>
      <c r="T131" s="1270">
        <v>1</v>
      </c>
      <c r="U131" s="1343">
        <f t="shared" si="64"/>
        <v>3446.03</v>
      </c>
      <c r="V131" s="1349"/>
      <c r="W131" s="1271" t="e">
        <f>#REF!</f>
        <v>#REF!</v>
      </c>
      <c r="X131" s="1270" t="e">
        <f t="shared" si="65"/>
        <v>#REF!</v>
      </c>
      <c r="Y131" s="1272" t="e">
        <f>#REF!</f>
        <v>#REF!</v>
      </c>
      <c r="Z131" s="1270" t="e">
        <f t="shared" si="68"/>
        <v>#REF!</v>
      </c>
      <c r="AA131" s="1349"/>
      <c r="AB131" s="1273" t="s">
        <v>5579</v>
      </c>
      <c r="AC131" s="1449"/>
      <c r="AD131" s="1449"/>
      <c r="AG131" s="1575"/>
      <c r="AH131" s="1327"/>
    </row>
    <row r="132" spans="1:34" s="1263" customFormat="1" ht="63" x14ac:dyDescent="0.25">
      <c r="A132" s="1263">
        <v>2</v>
      </c>
      <c r="B132" s="1264" t="e">
        <f t="shared" ca="1" si="69"/>
        <v>#VALUE!</v>
      </c>
      <c r="C132" s="1265" t="s">
        <v>5548</v>
      </c>
      <c r="D132" s="1266" t="s">
        <v>5593</v>
      </c>
      <c r="E132" s="1267">
        <f>(20000-(5.8*7.6*11+7*7*5+20*20))/100</f>
        <v>188.7</v>
      </c>
      <c r="F132" s="1268" t="s">
        <v>5597</v>
      </c>
      <c r="G132" s="1269">
        <v>45292</v>
      </c>
      <c r="H132" s="1270">
        <f>66.32</f>
        <v>66.319999999999993</v>
      </c>
      <c r="I132" s="1327"/>
      <c r="J132" s="1327"/>
      <c r="K132" s="1327"/>
      <c r="L132" s="1327"/>
      <c r="M132" s="1270">
        <f>66.32</f>
        <v>66.319999999999993</v>
      </c>
      <c r="N132" s="1270">
        <f t="shared" si="70"/>
        <v>12514.58</v>
      </c>
      <c r="O132" s="1270">
        <v>1</v>
      </c>
      <c r="P132" s="1270">
        <v>1</v>
      </c>
      <c r="Q132" s="1270">
        <f t="shared" si="63"/>
        <v>12514.58</v>
      </c>
      <c r="R132" s="1270">
        <v>0.84</v>
      </c>
      <c r="S132" s="1270">
        <v>0.99</v>
      </c>
      <c r="T132" s="1270">
        <v>1</v>
      </c>
      <c r="U132" s="1343">
        <f t="shared" si="64"/>
        <v>10407.120000000001</v>
      </c>
      <c r="V132" s="1349"/>
      <c r="W132" s="1271" t="e">
        <f>#REF!</f>
        <v>#REF!</v>
      </c>
      <c r="X132" s="1270" t="e">
        <f t="shared" si="65"/>
        <v>#REF!</v>
      </c>
      <c r="Y132" s="1272" t="e">
        <f>#REF!</f>
        <v>#REF!</v>
      </c>
      <c r="Z132" s="1270" t="e">
        <f t="shared" si="68"/>
        <v>#REF!</v>
      </c>
      <c r="AA132" s="1349"/>
      <c r="AB132" s="1273" t="s">
        <v>5579</v>
      </c>
      <c r="AC132" s="1449"/>
      <c r="AD132" s="1449"/>
      <c r="AG132" s="1575"/>
      <c r="AH132" s="1327"/>
    </row>
    <row r="133" spans="1:34" x14ac:dyDescent="0.25">
      <c r="A133" s="854">
        <v>1</v>
      </c>
      <c r="B133" s="856">
        <v>1</v>
      </c>
      <c r="C133" s="997" t="s">
        <v>4371</v>
      </c>
      <c r="D133" s="998" t="s">
        <v>0</v>
      </c>
      <c r="E133" s="999">
        <v>68.66</v>
      </c>
      <c r="F133" s="858"/>
      <c r="G133" s="859"/>
      <c r="H133" s="860"/>
      <c r="M133" s="860"/>
      <c r="N133" s="860">
        <f t="shared" si="70"/>
        <v>0</v>
      </c>
      <c r="O133" s="860"/>
      <c r="P133" s="860"/>
      <c r="Q133" s="860">
        <f t="shared" si="63"/>
        <v>0</v>
      </c>
      <c r="R133" s="860"/>
      <c r="S133" s="860"/>
      <c r="T133" s="860"/>
      <c r="U133" s="1342">
        <f t="shared" si="64"/>
        <v>0</v>
      </c>
      <c r="V133" s="1350"/>
      <c r="W133" s="861"/>
      <c r="X133" s="860">
        <f t="shared" si="65"/>
        <v>0</v>
      </c>
      <c r="Y133" s="871"/>
      <c r="Z133" s="860">
        <f t="shared" si="68"/>
        <v>0</v>
      </c>
      <c r="AA133" s="1350"/>
      <c r="AB133" s="862" t="s">
        <v>4372</v>
      </c>
      <c r="AC133" s="1450"/>
      <c r="AD133" s="1450"/>
    </row>
    <row r="134" spans="1:34" ht="78.75" x14ac:dyDescent="0.25">
      <c r="A134" s="854">
        <v>1</v>
      </c>
      <c r="B134" s="863" t="str">
        <f t="shared" ref="B134" ca="1" si="71">IF(A134&gt;OFFSET(A134,-1,0),OFFSET(B134,-1,0)&amp;"."&amp;1,LEFT(OFFSET(B134,-1,0),SEARCH("^^",SUBSTITUTE("."&amp;OFFSET(B134,-1,0),".","^^",A134))-1)&amp;1--MID(OFFSET(B134,-1,0),SEARCH("^^",SUBSTITUTE("."&amp;OFFSET(B134,-1,0),".","^^",A134)),SEARCH("^^",SUBSTITUTE(OFFSET(B134,-1,0)&amp;".",".","^^",A134))-SEARCH("^^",SUBSTITUTE("."&amp;OFFSET(B134,-1,0),".","^^",A134))))</f>
        <v>2</v>
      </c>
      <c r="C134" s="867" t="s">
        <v>4373</v>
      </c>
      <c r="D134" s="857" t="s">
        <v>0</v>
      </c>
      <c r="E134" s="870">
        <v>68.66</v>
      </c>
      <c r="F134" s="858"/>
      <c r="G134" s="859"/>
      <c r="H134" s="860"/>
      <c r="M134" s="860"/>
      <c r="N134" s="860">
        <f t="shared" si="70"/>
        <v>0</v>
      </c>
      <c r="O134" s="860"/>
      <c r="P134" s="860"/>
      <c r="Q134" s="860">
        <f t="shared" si="63"/>
        <v>0</v>
      </c>
      <c r="R134" s="860"/>
      <c r="S134" s="860"/>
      <c r="T134" s="860"/>
      <c r="U134" s="1342">
        <f t="shared" si="64"/>
        <v>0</v>
      </c>
      <c r="V134" s="1350"/>
      <c r="W134" s="861"/>
      <c r="X134" s="860">
        <f t="shared" si="65"/>
        <v>0</v>
      </c>
      <c r="Y134" s="871"/>
      <c r="Z134" s="860">
        <f t="shared" si="68"/>
        <v>0</v>
      </c>
      <c r="AA134" s="1350"/>
      <c r="AB134" s="862" t="s">
        <v>4374</v>
      </c>
      <c r="AC134" s="1450"/>
      <c r="AD134" s="1450"/>
    </row>
    <row r="135" spans="1:34" ht="78.75" x14ac:dyDescent="0.25">
      <c r="A135" s="854">
        <v>1</v>
      </c>
      <c r="B135" s="863" t="str">
        <f ca="1">IF(A135&gt;OFFSET(A135,-1,0),OFFSET(B135,-1,0)&amp;"."&amp;1,LEFT(OFFSET(B135,-1,0),SEARCH("^^",SUBSTITUTE("."&amp;OFFSET(B135,-1,0),".","^^",A135))-1)&amp;1--MID(OFFSET(B135,-1,0),SEARCH("^^",SUBSTITUTE("."&amp;OFFSET(B135,-1,0),".","^^",A135)),SEARCH("^^",SUBSTITUTE(OFFSET(B135,-1,0)&amp;".",".","^^",A135))-SEARCH("^^",SUBSTITUTE("."&amp;OFFSET(B135,-1,0),".","^^",A135))))</f>
        <v>3</v>
      </c>
      <c r="C135" s="1002" t="s">
        <v>4841</v>
      </c>
      <c r="D135" s="857" t="s">
        <v>4131</v>
      </c>
      <c r="E135" s="865">
        <f>5420/1000</f>
        <v>5.42</v>
      </c>
      <c r="F135" s="857"/>
      <c r="G135" s="859"/>
      <c r="H135" s="875"/>
      <c r="M135" s="875"/>
      <c r="N135" s="875">
        <f t="shared" si="70"/>
        <v>0</v>
      </c>
      <c r="O135" s="860"/>
      <c r="P135" s="860"/>
      <c r="Q135" s="875">
        <f t="shared" si="63"/>
        <v>0</v>
      </c>
      <c r="R135" s="860"/>
      <c r="S135" s="860"/>
      <c r="T135" s="860"/>
      <c r="U135" s="1344">
        <f t="shared" si="64"/>
        <v>0</v>
      </c>
      <c r="V135" s="1350"/>
      <c r="W135" s="861"/>
      <c r="X135" s="860">
        <f t="shared" si="65"/>
        <v>0</v>
      </c>
      <c r="Y135" s="871"/>
      <c r="Z135" s="860">
        <f>X135*Y135</f>
        <v>0</v>
      </c>
      <c r="AA135" s="1350"/>
      <c r="AB135" s="866" t="s">
        <v>4372</v>
      </c>
      <c r="AC135" s="1450"/>
      <c r="AD135" s="1450"/>
    </row>
    <row r="136" spans="1:34" ht="126" x14ac:dyDescent="0.25">
      <c r="A136" s="854">
        <v>2</v>
      </c>
      <c r="B136" s="863" t="str">
        <f t="shared" ref="B136:B144" ca="1" si="72">IF(A136&gt;OFFSET(A136,-1,0),OFFSET(B136,-1,0)&amp;"."&amp;1,LEFT(OFFSET(B136,-1,0),SEARCH("^^",SUBSTITUTE("."&amp;OFFSET(B136,-1,0),".","^^",A136))-1)&amp;1--MID(OFFSET(B136,-1,0),SEARCH("^^",SUBSTITUTE("."&amp;OFFSET(B136,-1,0),".","^^",A136)),SEARCH("^^",SUBSTITUTE(OFFSET(B136,-1,0)&amp;".",".","^^",A136))-SEARCH("^^",SUBSTITUTE("."&amp;OFFSET(B136,-1,0),".","^^",A136))))</f>
        <v>3.1</v>
      </c>
      <c r="C136" s="1044" t="s">
        <v>5513</v>
      </c>
      <c r="D136" s="857" t="s">
        <v>4131</v>
      </c>
      <c r="E136" s="865">
        <f>5420/1000</f>
        <v>5.42</v>
      </c>
      <c r="F136" s="858" t="s">
        <v>5514</v>
      </c>
      <c r="G136" s="859">
        <v>45292</v>
      </c>
      <c r="H136" s="875">
        <f>6469.02</f>
        <v>6469.02</v>
      </c>
      <c r="M136" s="875">
        <f>6469.02</f>
        <v>6469.02</v>
      </c>
      <c r="N136" s="875">
        <f t="shared" si="70"/>
        <v>35062.089999999997</v>
      </c>
      <c r="O136" s="860">
        <v>1</v>
      </c>
      <c r="P136" s="860">
        <v>1</v>
      </c>
      <c r="Q136" s="875">
        <f t="shared" si="63"/>
        <v>35062.089999999997</v>
      </c>
      <c r="R136" s="860">
        <v>0.84</v>
      </c>
      <c r="S136" s="860">
        <v>0.99</v>
      </c>
      <c r="T136" s="860">
        <v>1</v>
      </c>
      <c r="U136" s="1344">
        <f t="shared" si="64"/>
        <v>29157.63</v>
      </c>
      <c r="V136" s="1350"/>
      <c r="W136" s="861" t="e">
        <f>#REF!</f>
        <v>#REF!</v>
      </c>
      <c r="X136" s="860" t="e">
        <f t="shared" si="65"/>
        <v>#REF!</v>
      </c>
      <c r="Y136" s="871" t="e">
        <f>#REF!</f>
        <v>#REF!</v>
      </c>
      <c r="Z136" s="860" t="e">
        <f t="shared" ref="Z136:Z144" si="73">X136*Y136</f>
        <v>#REF!</v>
      </c>
      <c r="AA136" s="1350"/>
      <c r="AB136" s="866"/>
      <c r="AC136" s="1450"/>
      <c r="AD136" s="1450"/>
    </row>
    <row r="137" spans="1:34" ht="173.25" x14ac:dyDescent="0.25">
      <c r="A137" s="854">
        <v>2</v>
      </c>
      <c r="B137" s="863" t="str">
        <f t="shared" ca="1" si="72"/>
        <v>3.2</v>
      </c>
      <c r="C137" s="864" t="s">
        <v>5436</v>
      </c>
      <c r="D137" s="857" t="s">
        <v>2588</v>
      </c>
      <c r="E137" s="865">
        <f>0.3</f>
        <v>0.3</v>
      </c>
      <c r="F137" s="857" t="s">
        <v>5437</v>
      </c>
      <c r="G137" s="859">
        <v>45292</v>
      </c>
      <c r="H137" s="860">
        <v>1764.13</v>
      </c>
      <c r="M137" s="860">
        <v>1764.13</v>
      </c>
      <c r="N137" s="860">
        <f t="shared" si="70"/>
        <v>529.24</v>
      </c>
      <c r="O137" s="860">
        <v>1</v>
      </c>
      <c r="P137" s="860">
        <v>1</v>
      </c>
      <c r="Q137" s="860">
        <f t="shared" si="63"/>
        <v>529.24</v>
      </c>
      <c r="R137" s="860">
        <v>0.84</v>
      </c>
      <c r="S137" s="860">
        <v>0.99</v>
      </c>
      <c r="T137" s="860">
        <v>1</v>
      </c>
      <c r="U137" s="1344">
        <f t="shared" si="64"/>
        <v>440.12</v>
      </c>
      <c r="V137" s="1350"/>
      <c r="W137" s="861" t="e">
        <f>#REF!</f>
        <v>#REF!</v>
      </c>
      <c r="X137" s="860" t="e">
        <f t="shared" si="65"/>
        <v>#REF!</v>
      </c>
      <c r="Y137" s="871" t="e">
        <f>#REF!</f>
        <v>#REF!</v>
      </c>
      <c r="Z137" s="860" t="e">
        <f t="shared" si="73"/>
        <v>#REF!</v>
      </c>
      <c r="AA137" s="1350"/>
      <c r="AB137" s="866" t="s">
        <v>4372</v>
      </c>
      <c r="AC137" s="1450"/>
      <c r="AD137" s="1450"/>
    </row>
    <row r="138" spans="1:34" ht="78.75" x14ac:dyDescent="0.25">
      <c r="A138" s="854">
        <v>1</v>
      </c>
      <c r="B138" s="863" t="str">
        <f t="shared" ca="1" si="72"/>
        <v>4</v>
      </c>
      <c r="C138" s="867" t="s">
        <v>5064</v>
      </c>
      <c r="D138" s="857" t="s">
        <v>4375</v>
      </c>
      <c r="E138" s="857">
        <v>1</v>
      </c>
      <c r="F138" s="857"/>
      <c r="G138" s="859"/>
      <c r="H138" s="860"/>
      <c r="M138" s="860"/>
      <c r="N138" s="860">
        <f t="shared" si="70"/>
        <v>0</v>
      </c>
      <c r="O138" s="860"/>
      <c r="P138" s="860"/>
      <c r="Q138" s="860">
        <f t="shared" si="63"/>
        <v>0</v>
      </c>
      <c r="R138" s="860"/>
      <c r="S138" s="860"/>
      <c r="T138" s="860"/>
      <c r="U138" s="1342">
        <f t="shared" si="64"/>
        <v>0</v>
      </c>
      <c r="V138" s="1350"/>
      <c r="W138" s="861"/>
      <c r="X138" s="860">
        <f t="shared" si="65"/>
        <v>0</v>
      </c>
      <c r="Y138" s="871"/>
      <c r="Z138" s="860">
        <f t="shared" si="73"/>
        <v>0</v>
      </c>
      <c r="AA138" s="1350"/>
      <c r="AB138" s="866" t="s">
        <v>4372</v>
      </c>
      <c r="AC138" s="1450"/>
      <c r="AD138" s="1450"/>
    </row>
    <row r="139" spans="1:34" ht="47.25" x14ac:dyDescent="0.25">
      <c r="A139" s="854">
        <v>2</v>
      </c>
      <c r="B139" s="863" t="str">
        <f t="shared" ca="1" si="72"/>
        <v>4.1</v>
      </c>
      <c r="C139" s="1044" t="s">
        <v>5065</v>
      </c>
      <c r="D139" s="858" t="s">
        <v>4857</v>
      </c>
      <c r="E139" s="858">
        <v>1</v>
      </c>
      <c r="F139" s="858" t="s">
        <v>5066</v>
      </c>
      <c r="G139" s="859">
        <v>45292</v>
      </c>
      <c r="H139" s="860">
        <f>25656.93</f>
        <v>25656.93</v>
      </c>
      <c r="M139" s="860">
        <f>25656.93</f>
        <v>25656.93</v>
      </c>
      <c r="N139" s="860">
        <f t="shared" si="70"/>
        <v>25656.93</v>
      </c>
      <c r="O139" s="860">
        <v>1</v>
      </c>
      <c r="P139" s="860">
        <v>1</v>
      </c>
      <c r="Q139" s="860">
        <f t="shared" si="63"/>
        <v>25656.93</v>
      </c>
      <c r="R139" s="860">
        <v>0.81</v>
      </c>
      <c r="S139" s="860">
        <v>1</v>
      </c>
      <c r="T139" s="860">
        <v>1</v>
      </c>
      <c r="U139" s="1342">
        <f t="shared" si="64"/>
        <v>20782.11</v>
      </c>
      <c r="V139" s="1350"/>
      <c r="W139" s="861" t="e">
        <f>#REF!</f>
        <v>#REF!</v>
      </c>
      <c r="X139" s="860" t="e">
        <f t="shared" si="65"/>
        <v>#REF!</v>
      </c>
      <c r="Y139" s="871" t="e">
        <f>#REF!</f>
        <v>#REF!</v>
      </c>
      <c r="Z139" s="860" t="e">
        <f t="shared" si="73"/>
        <v>#REF!</v>
      </c>
      <c r="AA139" s="1350"/>
      <c r="AB139" s="866"/>
      <c r="AC139" s="1450"/>
      <c r="AD139" s="1450"/>
    </row>
    <row r="140" spans="1:34" ht="78.75" x14ac:dyDescent="0.25">
      <c r="A140" s="854">
        <v>2</v>
      </c>
      <c r="B140" s="863" t="str">
        <f t="shared" ca="1" si="72"/>
        <v>4.2</v>
      </c>
      <c r="C140" s="867" t="s">
        <v>5067</v>
      </c>
      <c r="D140" s="857" t="s">
        <v>4857</v>
      </c>
      <c r="E140" s="857">
        <v>1</v>
      </c>
      <c r="F140" s="857" t="s">
        <v>4148</v>
      </c>
      <c r="G140" s="859">
        <v>45292</v>
      </c>
      <c r="H140" s="860">
        <f>8539.6</f>
        <v>8539.6</v>
      </c>
      <c r="M140" s="860">
        <f>8539.6</f>
        <v>8539.6</v>
      </c>
      <c r="N140" s="860">
        <f t="shared" si="70"/>
        <v>8539.6</v>
      </c>
      <c r="O140" s="860">
        <v>1</v>
      </c>
      <c r="P140" s="860">
        <v>1</v>
      </c>
      <c r="Q140" s="860">
        <f t="shared" si="63"/>
        <v>8539.6</v>
      </c>
      <c r="R140" s="860">
        <v>0.81</v>
      </c>
      <c r="S140" s="860">
        <v>1</v>
      </c>
      <c r="T140" s="860">
        <v>1</v>
      </c>
      <c r="U140" s="1342">
        <f t="shared" si="64"/>
        <v>6917.08</v>
      </c>
      <c r="V140" s="1350"/>
      <c r="W140" s="861" t="e">
        <f>#REF!</f>
        <v>#REF!</v>
      </c>
      <c r="X140" s="860" t="e">
        <f t="shared" si="65"/>
        <v>#REF!</v>
      </c>
      <c r="Y140" s="871" t="e">
        <f>#REF!</f>
        <v>#REF!</v>
      </c>
      <c r="Z140" s="860" t="e">
        <f t="shared" si="73"/>
        <v>#REF!</v>
      </c>
      <c r="AA140" s="1350"/>
      <c r="AB140" s="866"/>
      <c r="AC140" s="1450"/>
      <c r="AD140" s="1450"/>
    </row>
    <row r="141" spans="1:34" ht="47.25" x14ac:dyDescent="0.25">
      <c r="A141" s="854">
        <v>1</v>
      </c>
      <c r="B141" s="863" t="str">
        <f t="shared" ca="1" si="72"/>
        <v>5</v>
      </c>
      <c r="C141" s="887" t="s">
        <v>4376</v>
      </c>
      <c r="D141" s="888" t="s">
        <v>242</v>
      </c>
      <c r="E141" s="889">
        <v>1190</v>
      </c>
      <c r="F141" s="858"/>
      <c r="G141" s="859"/>
      <c r="H141" s="860"/>
      <c r="M141" s="860"/>
      <c r="N141" s="860">
        <f t="shared" si="70"/>
        <v>0</v>
      </c>
      <c r="O141" s="860"/>
      <c r="P141" s="860"/>
      <c r="Q141" s="860">
        <f t="shared" si="63"/>
        <v>0</v>
      </c>
      <c r="R141" s="860"/>
      <c r="S141" s="860"/>
      <c r="T141" s="860"/>
      <c r="U141" s="1342">
        <f t="shared" si="64"/>
        <v>0</v>
      </c>
      <c r="V141" s="1350"/>
      <c r="W141" s="861"/>
      <c r="X141" s="860">
        <f t="shared" si="65"/>
        <v>0</v>
      </c>
      <c r="Y141" s="871"/>
      <c r="Z141" s="860">
        <f t="shared" si="73"/>
        <v>0</v>
      </c>
      <c r="AA141" s="1350"/>
      <c r="AB141" s="862" t="s">
        <v>4377</v>
      </c>
      <c r="AC141" s="1450"/>
      <c r="AD141" s="1450"/>
    </row>
    <row r="142" spans="1:34" ht="110.25" x14ac:dyDescent="0.25">
      <c r="A142" s="854">
        <v>2</v>
      </c>
      <c r="B142" s="863" t="str">
        <f t="shared" ca="1" si="72"/>
        <v>5.1</v>
      </c>
      <c r="C142" s="887" t="s">
        <v>5515</v>
      </c>
      <c r="D142" s="888" t="s">
        <v>4131</v>
      </c>
      <c r="E142" s="889">
        <f>420/1000</f>
        <v>0.42</v>
      </c>
      <c r="F142" s="858" t="s">
        <v>5516</v>
      </c>
      <c r="G142" s="859">
        <v>45292</v>
      </c>
      <c r="H142" s="860">
        <f>4961.8</f>
        <v>4961.8</v>
      </c>
      <c r="M142" s="860">
        <f>4961.8</f>
        <v>4961.8</v>
      </c>
      <c r="N142" s="860">
        <f t="shared" si="70"/>
        <v>2083.96</v>
      </c>
      <c r="O142" s="860">
        <v>1</v>
      </c>
      <c r="P142" s="860">
        <v>1</v>
      </c>
      <c r="Q142" s="860">
        <f t="shared" si="63"/>
        <v>2083.96</v>
      </c>
      <c r="R142" s="860">
        <v>0.84</v>
      </c>
      <c r="S142" s="860">
        <v>0.99</v>
      </c>
      <c r="T142" s="860">
        <v>1</v>
      </c>
      <c r="U142" s="1342">
        <f t="shared" si="64"/>
        <v>1733.02</v>
      </c>
      <c r="V142" s="1350"/>
      <c r="W142" s="861" t="e">
        <f>#REF!</f>
        <v>#REF!</v>
      </c>
      <c r="X142" s="860" t="e">
        <f t="shared" si="65"/>
        <v>#REF!</v>
      </c>
      <c r="Y142" s="871" t="e">
        <f>#REF!</f>
        <v>#REF!</v>
      </c>
      <c r="Z142" s="860" t="e">
        <f t="shared" si="73"/>
        <v>#REF!</v>
      </c>
      <c r="AA142" s="1350"/>
      <c r="AB142" s="862" t="s">
        <v>4372</v>
      </c>
      <c r="AC142" s="1450"/>
      <c r="AD142" s="1450"/>
    </row>
    <row r="143" spans="1:34" ht="141.75" x14ac:dyDescent="0.25">
      <c r="A143" s="854">
        <v>2</v>
      </c>
      <c r="B143" s="863" t="str">
        <f t="shared" ca="1" si="72"/>
        <v>5.2</v>
      </c>
      <c r="C143" s="887" t="s">
        <v>5517</v>
      </c>
      <c r="D143" s="888" t="s">
        <v>4131</v>
      </c>
      <c r="E143" s="889">
        <f>350/1000</f>
        <v>0.35</v>
      </c>
      <c r="F143" s="858" t="s">
        <v>5518</v>
      </c>
      <c r="G143" s="859">
        <v>45292</v>
      </c>
      <c r="H143" s="860">
        <f>1569.17</f>
        <v>1569.17</v>
      </c>
      <c r="M143" s="860">
        <f>1569.17</f>
        <v>1569.17</v>
      </c>
      <c r="N143" s="860">
        <f t="shared" si="70"/>
        <v>549.21</v>
      </c>
      <c r="O143" s="860">
        <v>1</v>
      </c>
      <c r="P143" s="860">
        <v>1</v>
      </c>
      <c r="Q143" s="860">
        <f t="shared" si="63"/>
        <v>549.21</v>
      </c>
      <c r="R143" s="860">
        <v>0.84</v>
      </c>
      <c r="S143" s="860">
        <v>0.99</v>
      </c>
      <c r="T143" s="860">
        <v>1</v>
      </c>
      <c r="U143" s="1342">
        <f t="shared" si="64"/>
        <v>456.72</v>
      </c>
      <c r="V143" s="1350"/>
      <c r="W143" s="861" t="e">
        <f>#REF!</f>
        <v>#REF!</v>
      </c>
      <c r="X143" s="860" t="e">
        <f t="shared" si="65"/>
        <v>#REF!</v>
      </c>
      <c r="Y143" s="871" t="e">
        <f>#REF!</f>
        <v>#REF!</v>
      </c>
      <c r="Z143" s="860" t="e">
        <f t="shared" si="73"/>
        <v>#REF!</v>
      </c>
      <c r="AA143" s="1350"/>
      <c r="AB143" s="862" t="s">
        <v>4372</v>
      </c>
      <c r="AC143" s="1450"/>
      <c r="AD143" s="1450"/>
    </row>
    <row r="144" spans="1:34" ht="78.75" x14ac:dyDescent="0.25">
      <c r="A144" s="854">
        <v>1</v>
      </c>
      <c r="B144" s="863" t="str">
        <f t="shared" ca="1" si="72"/>
        <v>6</v>
      </c>
      <c r="C144" s="1044" t="s">
        <v>5531</v>
      </c>
      <c r="D144" s="857" t="s">
        <v>4857</v>
      </c>
      <c r="E144" s="865">
        <v>4</v>
      </c>
      <c r="F144" s="857" t="s">
        <v>4148</v>
      </c>
      <c r="G144" s="859">
        <v>45292</v>
      </c>
      <c r="H144" s="860">
        <f>8539.6</f>
        <v>8539.6</v>
      </c>
      <c r="M144" s="860">
        <f>8539.6</f>
        <v>8539.6</v>
      </c>
      <c r="N144" s="860">
        <f t="shared" si="70"/>
        <v>34158.400000000001</v>
      </c>
      <c r="O144" s="860">
        <v>1</v>
      </c>
      <c r="P144" s="860">
        <v>1</v>
      </c>
      <c r="Q144" s="860">
        <f t="shared" si="63"/>
        <v>34158.400000000001</v>
      </c>
      <c r="R144" s="860">
        <v>0.81</v>
      </c>
      <c r="S144" s="860">
        <v>1</v>
      </c>
      <c r="T144" s="860">
        <v>1</v>
      </c>
      <c r="U144" s="1342">
        <f t="shared" si="64"/>
        <v>27668.3</v>
      </c>
      <c r="V144" s="1350"/>
      <c r="W144" s="861" t="e">
        <f>#REF!</f>
        <v>#REF!</v>
      </c>
      <c r="X144" s="860" t="e">
        <f t="shared" si="65"/>
        <v>#REF!</v>
      </c>
      <c r="Y144" s="871" t="e">
        <f>#REF!</f>
        <v>#REF!</v>
      </c>
      <c r="Z144" s="860" t="e">
        <f t="shared" si="73"/>
        <v>#REF!</v>
      </c>
      <c r="AA144" s="1350"/>
      <c r="AB144" s="866" t="s">
        <v>5063</v>
      </c>
      <c r="AC144" s="1450"/>
      <c r="AD144" s="1450"/>
      <c r="AF144" s="1043"/>
    </row>
    <row r="145" spans="1:34" x14ac:dyDescent="0.25">
      <c r="A145" s="854">
        <v>1</v>
      </c>
      <c r="B145" s="863" t="str">
        <f ca="1">IF(A145&gt;OFFSET(A145,-1,0),OFFSET(B145,-1,0)&amp;"."&amp;1,LEFT(OFFSET(B145,-1,0),SEARCH("^^",SUBSTITUTE("."&amp;OFFSET(B145,-1,0),".","^^",A145))-1)&amp;1--MID(OFFSET(B145,-1,0),SEARCH("^^",SUBSTITUTE("."&amp;OFFSET(B145,-1,0),".","^^",A145)),SEARCH("^^",SUBSTITUTE(OFFSET(B145,-1,0)&amp;".",".","^^",A145))-SEARCH("^^",SUBSTITUTE("."&amp;OFFSET(B145,-1,0),".","^^",A145))))</f>
        <v>7</v>
      </c>
      <c r="C145" s="864" t="s">
        <v>4842</v>
      </c>
      <c r="D145" s="857"/>
      <c r="E145" s="857"/>
      <c r="F145" s="857"/>
      <c r="G145" s="859"/>
      <c r="H145" s="860"/>
      <c r="M145" s="860"/>
      <c r="N145" s="860">
        <f t="shared" si="70"/>
        <v>0</v>
      </c>
      <c r="O145" s="860"/>
      <c r="P145" s="860"/>
      <c r="Q145" s="860">
        <f t="shared" si="63"/>
        <v>0</v>
      </c>
      <c r="R145" s="860"/>
      <c r="S145" s="860"/>
      <c r="T145" s="860"/>
      <c r="U145" s="1342">
        <f t="shared" si="64"/>
        <v>0</v>
      </c>
      <c r="V145" s="1350"/>
      <c r="W145" s="861"/>
      <c r="X145" s="860">
        <f t="shared" si="65"/>
        <v>0</v>
      </c>
      <c r="Y145" s="871"/>
      <c r="Z145" s="860">
        <f>X145*Y145</f>
        <v>0</v>
      </c>
      <c r="AA145" s="1350"/>
      <c r="AB145" s="866"/>
      <c r="AC145" s="1450"/>
      <c r="AD145" s="1450"/>
    </row>
    <row r="146" spans="1:34" s="868" customFormat="1" ht="157.5" x14ac:dyDescent="0.25">
      <c r="A146" s="854">
        <v>2</v>
      </c>
      <c r="B146" s="863" t="str">
        <f t="shared" ref="B146:B149" ca="1" si="74">IF(A146&gt;OFFSET(A146,-1,0),OFFSET(B146,-1,0)&amp;"."&amp;1,LEFT(OFFSET(B146,-1,0),SEARCH("^^",SUBSTITUTE("."&amp;OFFSET(B146,-1,0),".","^^",A146))-1)&amp;1--MID(OFFSET(B146,-1,0),SEARCH("^^",SUBSTITUTE("."&amp;OFFSET(B146,-1,0),".","^^",A146)),SEARCH("^^",SUBSTITUTE(OFFSET(B146,-1,0)&amp;".",".","^^",A146))-SEARCH("^^",SUBSTITUTE("."&amp;OFFSET(B146,-1,0),".","^^",A146))))</f>
        <v>7.1</v>
      </c>
      <c r="C146" s="864" t="s">
        <v>4378</v>
      </c>
      <c r="D146" s="857" t="s">
        <v>4131</v>
      </c>
      <c r="E146" s="857">
        <f>E147+2*E148</f>
        <v>9.3000000000000007</v>
      </c>
      <c r="F146" s="857"/>
      <c r="G146" s="859"/>
      <c r="H146" s="860"/>
      <c r="I146" s="1328"/>
      <c r="J146" s="1328"/>
      <c r="K146" s="1328"/>
      <c r="L146" s="1328"/>
      <c r="M146" s="860"/>
      <c r="N146" s="860">
        <f t="shared" si="70"/>
        <v>0</v>
      </c>
      <c r="O146" s="860"/>
      <c r="P146" s="860"/>
      <c r="Q146" s="860">
        <f t="shared" si="63"/>
        <v>0</v>
      </c>
      <c r="R146" s="860"/>
      <c r="S146" s="860"/>
      <c r="T146" s="860"/>
      <c r="U146" s="1342">
        <f t="shared" si="64"/>
        <v>0</v>
      </c>
      <c r="V146" s="1350"/>
      <c r="W146" s="861"/>
      <c r="X146" s="860">
        <f t="shared" si="65"/>
        <v>0</v>
      </c>
      <c r="Y146" s="871"/>
      <c r="Z146" s="860">
        <f t="shared" ref="Z146:Z149" si="75">X146*Y146</f>
        <v>0</v>
      </c>
      <c r="AA146" s="1350"/>
      <c r="AB146" s="866" t="s">
        <v>4379</v>
      </c>
      <c r="AC146" s="1450"/>
      <c r="AD146" s="1450"/>
      <c r="AG146" s="1328"/>
      <c r="AH146" s="1328"/>
    </row>
    <row r="147" spans="1:34" s="868" customFormat="1" ht="110.25" x14ac:dyDescent="0.25">
      <c r="A147" s="854">
        <v>3</v>
      </c>
      <c r="B147" s="863" t="str">
        <f t="shared" ca="1" si="74"/>
        <v>7.1.1</v>
      </c>
      <c r="C147" s="864" t="s">
        <v>4846</v>
      </c>
      <c r="D147" s="857" t="s">
        <v>4131</v>
      </c>
      <c r="E147" s="857">
        <f>3200/1000</f>
        <v>3.2</v>
      </c>
      <c r="F147" s="1003" t="s">
        <v>4844</v>
      </c>
      <c r="G147" s="1004">
        <v>45292</v>
      </c>
      <c r="H147" s="1005">
        <f>7240.4</f>
        <v>7240.4</v>
      </c>
      <c r="I147" s="1328"/>
      <c r="J147" s="1328"/>
      <c r="K147" s="1328"/>
      <c r="L147" s="1328"/>
      <c r="M147" s="1005">
        <f>7240.4</f>
        <v>7240.4</v>
      </c>
      <c r="N147" s="1006">
        <f t="shared" si="70"/>
        <v>23169.279999999999</v>
      </c>
      <c r="O147" s="1005">
        <v>1</v>
      </c>
      <c r="P147" s="1005">
        <v>1</v>
      </c>
      <c r="Q147" s="1005">
        <f t="shared" si="63"/>
        <v>23169.279999999999</v>
      </c>
      <c r="R147" s="1005">
        <v>0.77</v>
      </c>
      <c r="S147" s="1005">
        <v>0.98</v>
      </c>
      <c r="T147" s="1005">
        <v>1.01</v>
      </c>
      <c r="U147" s="1341">
        <f t="shared" si="64"/>
        <v>17658.37</v>
      </c>
      <c r="V147" s="1351"/>
      <c r="W147" s="861" t="e">
        <f>#REF!</f>
        <v>#REF!</v>
      </c>
      <c r="X147" s="860" t="e">
        <f t="shared" si="65"/>
        <v>#REF!</v>
      </c>
      <c r="Y147" s="871" t="e">
        <f>#REF!</f>
        <v>#REF!</v>
      </c>
      <c r="Z147" s="860" t="e">
        <f t="shared" si="75"/>
        <v>#REF!</v>
      </c>
      <c r="AA147" s="1351"/>
      <c r="AB147" s="866" t="s">
        <v>4845</v>
      </c>
      <c r="AC147" s="1450"/>
      <c r="AD147" s="1450"/>
      <c r="AG147" s="1328"/>
      <c r="AH147" s="1328"/>
    </row>
    <row r="148" spans="1:34" s="868" customFormat="1" ht="189" x14ac:dyDescent="0.25">
      <c r="A148" s="854">
        <v>3</v>
      </c>
      <c r="B148" s="863" t="str">
        <f t="shared" ca="1" si="74"/>
        <v>7.1.2</v>
      </c>
      <c r="C148" s="864" t="s">
        <v>4847</v>
      </c>
      <c r="D148" s="857" t="s">
        <v>4131</v>
      </c>
      <c r="E148" s="857">
        <f>3050/1000</f>
        <v>3.05</v>
      </c>
      <c r="F148" s="1003" t="s">
        <v>4843</v>
      </c>
      <c r="G148" s="1004">
        <v>45292</v>
      </c>
      <c r="H148" s="1005">
        <f>9587.17</f>
        <v>9587.17</v>
      </c>
      <c r="I148" s="1328"/>
      <c r="J148" s="1328"/>
      <c r="K148" s="1328"/>
      <c r="L148" s="1328"/>
      <c r="M148" s="1005">
        <f>9587.17</f>
        <v>9587.17</v>
      </c>
      <c r="N148" s="1006">
        <f t="shared" si="70"/>
        <v>29240.87</v>
      </c>
      <c r="O148" s="1005">
        <v>1</v>
      </c>
      <c r="P148" s="1005">
        <v>1.79</v>
      </c>
      <c r="Q148" s="1005">
        <f t="shared" si="63"/>
        <v>52341.16</v>
      </c>
      <c r="R148" s="1005">
        <v>0.77</v>
      </c>
      <c r="S148" s="1005">
        <v>0.98</v>
      </c>
      <c r="T148" s="1005">
        <v>1.01</v>
      </c>
      <c r="U148" s="1341">
        <f t="shared" si="64"/>
        <v>39891.61</v>
      </c>
      <c r="V148" s="1351"/>
      <c r="W148" s="861" t="e">
        <f>#REF!</f>
        <v>#REF!</v>
      </c>
      <c r="X148" s="860" t="e">
        <f t="shared" si="65"/>
        <v>#REF!</v>
      </c>
      <c r="Y148" s="871" t="e">
        <f>#REF!</f>
        <v>#REF!</v>
      </c>
      <c r="Z148" s="860" t="e">
        <f t="shared" si="75"/>
        <v>#REF!</v>
      </c>
      <c r="AA148" s="1351"/>
      <c r="AB148" s="866" t="s">
        <v>4845</v>
      </c>
      <c r="AC148" s="1450"/>
      <c r="AD148" s="1450"/>
      <c r="AG148" s="1328"/>
      <c r="AH148" s="1328"/>
    </row>
    <row r="149" spans="1:34" s="868" customFormat="1" ht="47.25" x14ac:dyDescent="0.25">
      <c r="A149" s="854">
        <v>2</v>
      </c>
      <c r="B149" s="863" t="str">
        <f t="shared" ca="1" si="74"/>
        <v>7.2</v>
      </c>
      <c r="C149" s="864" t="s">
        <v>4380</v>
      </c>
      <c r="D149" s="857" t="s">
        <v>4381</v>
      </c>
      <c r="E149" s="857">
        <v>4</v>
      </c>
      <c r="F149" s="858" t="str">
        <f ca="1">CONCATENATE("учтено в п.",B147,", ",B148)</f>
        <v>учтено в п.7.1.1, 7.1.2</v>
      </c>
      <c r="G149" s="859"/>
      <c r="H149" s="860"/>
      <c r="I149" s="1328"/>
      <c r="J149" s="1328"/>
      <c r="K149" s="1328"/>
      <c r="L149" s="1328"/>
      <c r="M149" s="860"/>
      <c r="N149" s="860">
        <f t="shared" si="70"/>
        <v>0</v>
      </c>
      <c r="O149" s="860"/>
      <c r="P149" s="860"/>
      <c r="Q149" s="860">
        <f t="shared" si="63"/>
        <v>0</v>
      </c>
      <c r="R149" s="860"/>
      <c r="S149" s="860"/>
      <c r="T149" s="860"/>
      <c r="U149" s="1342">
        <f t="shared" si="64"/>
        <v>0</v>
      </c>
      <c r="V149" s="1350"/>
      <c r="W149" s="861"/>
      <c r="X149" s="860">
        <f t="shared" si="65"/>
        <v>0</v>
      </c>
      <c r="Y149" s="871"/>
      <c r="Z149" s="860">
        <f t="shared" si="75"/>
        <v>0</v>
      </c>
      <c r="AA149" s="1350"/>
      <c r="AB149" s="866" t="s">
        <v>4382</v>
      </c>
      <c r="AC149" s="1450"/>
      <c r="AD149" s="1450"/>
      <c r="AG149" s="1328"/>
      <c r="AH149" s="1328"/>
    </row>
    <row r="150" spans="1:34" s="868" customFormat="1" ht="31.5" x14ac:dyDescent="0.25">
      <c r="A150" s="854">
        <v>1</v>
      </c>
      <c r="B150" s="863" t="str">
        <f ca="1">IF(A150&gt;OFFSET(A150,-1,0),OFFSET(B150,-1,0)&amp;"."&amp;1,LEFT(OFFSET(B150,-1,0),SEARCH("^^",SUBSTITUTE("."&amp;OFFSET(B150,-1,0),".","^^",A150))-1)&amp;1--MID(OFFSET(B150,-1,0),SEARCH("^^",SUBSTITUTE("."&amp;OFFSET(B150,-1,0),".","^^",A150)),SEARCH("^^",SUBSTITUTE(OFFSET(B150,-1,0)&amp;".",".","^^",A150))-SEARCH("^^",SUBSTITUTE("."&amp;OFFSET(B150,-1,0),".","^^",A150))))</f>
        <v>8</v>
      </c>
      <c r="C150" s="864" t="s">
        <v>4848</v>
      </c>
      <c r="D150" s="857"/>
      <c r="E150" s="857"/>
      <c r="F150" s="858"/>
      <c r="G150" s="859"/>
      <c r="H150" s="860"/>
      <c r="I150" s="1328"/>
      <c r="J150" s="1328"/>
      <c r="K150" s="1328"/>
      <c r="L150" s="1328"/>
      <c r="M150" s="860"/>
      <c r="N150" s="860">
        <f t="shared" si="70"/>
        <v>0</v>
      </c>
      <c r="O150" s="860"/>
      <c r="P150" s="860"/>
      <c r="Q150" s="860">
        <f t="shared" si="63"/>
        <v>0</v>
      </c>
      <c r="R150" s="860"/>
      <c r="S150" s="860"/>
      <c r="T150" s="860"/>
      <c r="U150" s="1342">
        <f t="shared" si="64"/>
        <v>0</v>
      </c>
      <c r="V150" s="1350"/>
      <c r="W150" s="861"/>
      <c r="X150" s="860">
        <f t="shared" si="65"/>
        <v>0</v>
      </c>
      <c r="Y150" s="871"/>
      <c r="Z150" s="860">
        <f>X150*Y150</f>
        <v>0</v>
      </c>
      <c r="AA150" s="1350"/>
      <c r="AB150" s="866"/>
      <c r="AC150" s="1450"/>
      <c r="AD150" s="1450"/>
      <c r="AG150" s="1328"/>
      <c r="AH150" s="1328"/>
    </row>
    <row r="151" spans="1:34" ht="94.5" x14ac:dyDescent="0.25">
      <c r="A151" s="854">
        <v>2</v>
      </c>
      <c r="B151" s="863" t="str">
        <f t="shared" ref="B151:B155" ca="1" si="76">IF(A151&gt;OFFSET(A151,-1,0),OFFSET(B151,-1,0)&amp;"."&amp;1,LEFT(OFFSET(B151,-1,0),SEARCH("^^",SUBSTITUTE("."&amp;OFFSET(B151,-1,0),".","^^",A151))-1)&amp;1--MID(OFFSET(B151,-1,0),SEARCH("^^",SUBSTITUTE("."&amp;OFFSET(B151,-1,0),".","^^",A151)),SEARCH("^^",SUBSTITUTE(OFFSET(B151,-1,0)&amp;".",".","^^",A151))-SEARCH("^^",SUBSTITUTE("."&amp;OFFSET(B151,-1,0),".","^^",A151))))</f>
        <v>8.1</v>
      </c>
      <c r="C151" s="864" t="s">
        <v>4849</v>
      </c>
      <c r="D151" s="857" t="s">
        <v>4131</v>
      </c>
      <c r="E151" s="869">
        <f>(4100-400)/1000</f>
        <v>3.7</v>
      </c>
      <c r="F151" s="857" t="s">
        <v>4850</v>
      </c>
      <c r="G151" s="859">
        <v>45292</v>
      </c>
      <c r="H151" s="860">
        <f>6044.03</f>
        <v>6044.03</v>
      </c>
      <c r="M151" s="860">
        <f>6044.03</f>
        <v>6044.03</v>
      </c>
      <c r="N151" s="860">
        <f t="shared" si="70"/>
        <v>22362.91</v>
      </c>
      <c r="O151" s="860">
        <v>1</v>
      </c>
      <c r="P151" s="860">
        <v>1</v>
      </c>
      <c r="Q151" s="860">
        <f t="shared" si="63"/>
        <v>22362.91</v>
      </c>
      <c r="R151" s="860">
        <v>0.77</v>
      </c>
      <c r="S151" s="860">
        <v>0.98</v>
      </c>
      <c r="T151" s="860">
        <v>1</v>
      </c>
      <c r="U151" s="1342">
        <f t="shared" si="64"/>
        <v>16875.05</v>
      </c>
      <c r="V151" s="1350"/>
      <c r="W151" s="861" t="e">
        <f>#REF!</f>
        <v>#REF!</v>
      </c>
      <c r="X151" s="860" t="e">
        <f t="shared" si="65"/>
        <v>#REF!</v>
      </c>
      <c r="Y151" s="871" t="e">
        <f>#REF!</f>
        <v>#REF!</v>
      </c>
      <c r="Z151" s="860" t="e">
        <f t="shared" ref="Z151:Z155" si="77">X151*Y151</f>
        <v>#REF!</v>
      </c>
      <c r="AA151" s="1350"/>
      <c r="AB151" s="866" t="s">
        <v>4372</v>
      </c>
      <c r="AC151" s="1450"/>
      <c r="AD151" s="1450"/>
      <c r="AF151" s="1043"/>
    </row>
    <row r="152" spans="1:34" ht="110.25" x14ac:dyDescent="0.25">
      <c r="A152" s="854">
        <v>2</v>
      </c>
      <c r="B152" s="863" t="str">
        <f t="shared" ca="1" si="76"/>
        <v>8.2</v>
      </c>
      <c r="C152" s="887" t="s">
        <v>5059</v>
      </c>
      <c r="D152" s="888" t="s">
        <v>849</v>
      </c>
      <c r="E152" s="889">
        <f>400/10</f>
        <v>40</v>
      </c>
      <c r="F152" s="858" t="s">
        <v>5062</v>
      </c>
      <c r="G152" s="859">
        <v>45292</v>
      </c>
      <c r="H152" s="860">
        <f>248.9</f>
        <v>248.9</v>
      </c>
      <c r="M152" s="860">
        <f>248.9</f>
        <v>248.9</v>
      </c>
      <c r="N152" s="860">
        <f t="shared" si="70"/>
        <v>9956</v>
      </c>
      <c r="O152" s="860">
        <v>1</v>
      </c>
      <c r="P152" s="860">
        <v>1</v>
      </c>
      <c r="Q152" s="860">
        <f t="shared" si="63"/>
        <v>9956</v>
      </c>
      <c r="R152" s="860">
        <v>0.77</v>
      </c>
      <c r="S152" s="860">
        <v>0.98</v>
      </c>
      <c r="T152" s="860">
        <v>1</v>
      </c>
      <c r="U152" s="1342">
        <f t="shared" si="64"/>
        <v>7512.8</v>
      </c>
      <c r="V152" s="1350"/>
      <c r="W152" s="861" t="e">
        <f>#REF!</f>
        <v>#REF!</v>
      </c>
      <c r="X152" s="860" t="e">
        <f t="shared" si="65"/>
        <v>#REF!</v>
      </c>
      <c r="Y152" s="871" t="e">
        <f>#REF!</f>
        <v>#REF!</v>
      </c>
      <c r="Z152" s="860" t="e">
        <f t="shared" si="77"/>
        <v>#REF!</v>
      </c>
      <c r="AA152" s="1350"/>
      <c r="AB152" s="862" t="s">
        <v>4372</v>
      </c>
      <c r="AC152" s="1450"/>
      <c r="AD152" s="1450"/>
    </row>
    <row r="153" spans="1:34" ht="47.25" x14ac:dyDescent="0.25">
      <c r="A153" s="854">
        <v>2</v>
      </c>
      <c r="B153" s="863" t="str">
        <f t="shared" ca="1" si="76"/>
        <v>8.3</v>
      </c>
      <c r="C153" s="887" t="s">
        <v>5061</v>
      </c>
      <c r="D153" s="888" t="s">
        <v>4149</v>
      </c>
      <c r="E153" s="889">
        <f>400/10</f>
        <v>40</v>
      </c>
      <c r="F153" s="858" t="s">
        <v>5060</v>
      </c>
      <c r="G153" s="859">
        <v>45292</v>
      </c>
      <c r="H153" s="860">
        <f>26.55</f>
        <v>26.55</v>
      </c>
      <c r="M153" s="860">
        <f>26.55</f>
        <v>26.55</v>
      </c>
      <c r="N153" s="860">
        <f t="shared" si="70"/>
        <v>1062</v>
      </c>
      <c r="O153" s="860">
        <v>1</v>
      </c>
      <c r="P153" s="860">
        <v>1</v>
      </c>
      <c r="Q153" s="860">
        <f t="shared" si="63"/>
        <v>1062</v>
      </c>
      <c r="R153" s="860">
        <v>0.77</v>
      </c>
      <c r="S153" s="860">
        <v>0.98</v>
      </c>
      <c r="T153" s="860">
        <v>1</v>
      </c>
      <c r="U153" s="1342">
        <f t="shared" si="64"/>
        <v>801.39</v>
      </c>
      <c r="V153" s="1350"/>
      <c r="W153" s="861" t="e">
        <f>#REF!</f>
        <v>#REF!</v>
      </c>
      <c r="X153" s="860" t="e">
        <f t="shared" si="65"/>
        <v>#REF!</v>
      </c>
      <c r="Y153" s="871" t="e">
        <f>#REF!</f>
        <v>#REF!</v>
      </c>
      <c r="Z153" s="860" t="e">
        <f t="shared" si="77"/>
        <v>#REF!</v>
      </c>
      <c r="AA153" s="1350"/>
      <c r="AB153" s="862" t="s">
        <v>4372</v>
      </c>
      <c r="AC153" s="1450"/>
      <c r="AD153" s="1450"/>
    </row>
    <row r="154" spans="1:34" ht="31.5" x14ac:dyDescent="0.25">
      <c r="A154" s="854">
        <v>1</v>
      </c>
      <c r="B154" s="863" t="str">
        <f t="shared" ca="1" si="76"/>
        <v>9</v>
      </c>
      <c r="C154" s="864" t="s">
        <v>4383</v>
      </c>
      <c r="D154" s="857"/>
      <c r="E154" s="865"/>
      <c r="F154" s="858"/>
      <c r="G154" s="859"/>
      <c r="H154" s="860"/>
      <c r="M154" s="860"/>
      <c r="N154" s="860">
        <f t="shared" si="70"/>
        <v>0</v>
      </c>
      <c r="O154" s="860"/>
      <c r="P154" s="860"/>
      <c r="Q154" s="860">
        <f t="shared" si="63"/>
        <v>0</v>
      </c>
      <c r="R154" s="860"/>
      <c r="S154" s="860"/>
      <c r="T154" s="860"/>
      <c r="U154" s="1342">
        <f t="shared" si="64"/>
        <v>0</v>
      </c>
      <c r="V154" s="1350"/>
      <c r="W154" s="861"/>
      <c r="X154" s="860">
        <f t="shared" si="65"/>
        <v>0</v>
      </c>
      <c r="Y154" s="871"/>
      <c r="Z154" s="860">
        <f t="shared" si="77"/>
        <v>0</v>
      </c>
      <c r="AA154" s="1350"/>
      <c r="AB154" s="866" t="s">
        <v>4388</v>
      </c>
      <c r="AC154" s="1450"/>
      <c r="AD154" s="1450"/>
    </row>
    <row r="155" spans="1:34" ht="94.5" x14ac:dyDescent="0.25">
      <c r="A155" s="854">
        <v>2</v>
      </c>
      <c r="B155" s="863" t="str">
        <f t="shared" ca="1" si="76"/>
        <v>9.1</v>
      </c>
      <c r="C155" s="864" t="s">
        <v>4851</v>
      </c>
      <c r="D155" s="857" t="s">
        <v>4131</v>
      </c>
      <c r="E155" s="857">
        <f>6000/1000</f>
        <v>6</v>
      </c>
      <c r="F155" s="857" t="s">
        <v>4852</v>
      </c>
      <c r="G155" s="859">
        <v>45292</v>
      </c>
      <c r="H155" s="860">
        <f>23597.46</f>
        <v>23597.46</v>
      </c>
      <c r="M155" s="860">
        <f>23597.46</f>
        <v>23597.46</v>
      </c>
      <c r="N155" s="860">
        <f t="shared" si="70"/>
        <v>141584.76</v>
      </c>
      <c r="O155" s="860">
        <v>1</v>
      </c>
      <c r="P155" s="860">
        <v>1</v>
      </c>
      <c r="Q155" s="860">
        <f t="shared" si="63"/>
        <v>141584.76</v>
      </c>
      <c r="R155" s="860">
        <v>0.77</v>
      </c>
      <c r="S155" s="860">
        <v>0.98</v>
      </c>
      <c r="T155" s="860">
        <v>1</v>
      </c>
      <c r="U155" s="1342">
        <f t="shared" si="64"/>
        <v>106839.86</v>
      </c>
      <c r="V155" s="1350"/>
      <c r="W155" s="861" t="e">
        <f>#REF!</f>
        <v>#REF!</v>
      </c>
      <c r="X155" s="860" t="e">
        <f t="shared" si="65"/>
        <v>#REF!</v>
      </c>
      <c r="Y155" s="871" t="e">
        <f>#REF!</f>
        <v>#REF!</v>
      </c>
      <c r="Z155" s="860" t="e">
        <f t="shared" si="77"/>
        <v>#REF!</v>
      </c>
      <c r="AA155" s="1350"/>
      <c r="AB155" s="866" t="s">
        <v>4372</v>
      </c>
      <c r="AC155" s="1450"/>
      <c r="AD155" s="1450"/>
    </row>
    <row r="156" spans="1:34" ht="110.25" x14ac:dyDescent="0.25">
      <c r="A156" s="854">
        <v>2</v>
      </c>
      <c r="B156" s="863" t="str">
        <f ca="1">IF(A156&gt;OFFSET(A156,-1,0),OFFSET(B156,-1,0)&amp;"."&amp;1,LEFT(OFFSET(B156,-1,0),SEARCH("^^",SUBSTITUTE("."&amp;OFFSET(B156,-1,0),".","^^",A156))-1)&amp;1--MID(OFFSET(B156,-1,0),SEARCH("^^",SUBSTITUTE("."&amp;OFFSET(B156,-1,0),".","^^",A156)),SEARCH("^^",SUBSTITUTE(OFFSET(B156,-1,0)&amp;".",".","^^",A156))-SEARCH("^^",SUBSTITUTE("."&amp;OFFSET(B156,-1,0),".","^^",A156))))</f>
        <v>9.2</v>
      </c>
      <c r="C156" s="1044" t="s">
        <v>5532</v>
      </c>
      <c r="D156" s="857" t="s">
        <v>4384</v>
      </c>
      <c r="E156" s="857">
        <v>10</v>
      </c>
      <c r="F156" s="857"/>
      <c r="G156" s="859"/>
      <c r="H156" s="860"/>
      <c r="M156" s="860"/>
      <c r="N156" s="860">
        <f t="shared" si="70"/>
        <v>0</v>
      </c>
      <c r="O156" s="860"/>
      <c r="P156" s="860"/>
      <c r="Q156" s="860">
        <f t="shared" si="63"/>
        <v>0</v>
      </c>
      <c r="R156" s="860"/>
      <c r="S156" s="860"/>
      <c r="T156" s="860"/>
      <c r="U156" s="1342">
        <f t="shared" si="64"/>
        <v>0</v>
      </c>
      <c r="V156" s="1350"/>
      <c r="W156" s="861"/>
      <c r="X156" s="860">
        <f t="shared" si="65"/>
        <v>0</v>
      </c>
      <c r="Y156" s="871"/>
      <c r="Z156" s="860">
        <f>X156*Y156</f>
        <v>0</v>
      </c>
      <c r="AA156" s="1350"/>
      <c r="AB156" s="1042" t="s">
        <v>4372</v>
      </c>
      <c r="AC156" s="1451"/>
      <c r="AD156" s="1451"/>
    </row>
    <row r="157" spans="1:34" ht="220.5" x14ac:dyDescent="0.25">
      <c r="A157" s="854">
        <v>3</v>
      </c>
      <c r="B157" s="863" t="str">
        <f ca="1">IF(A157&gt;OFFSET(A157,-1,0),OFFSET(B157,-1,0)&amp;"."&amp;1,LEFT(OFFSET(B157,-1,0),SEARCH("^^",SUBSTITUTE("."&amp;OFFSET(B157,-1,0),".","^^",A157))-1)&amp;1--MID(OFFSET(B157,-1,0),SEARCH("^^",SUBSTITUTE("."&amp;OFFSET(B157,-1,0),".","^^",A157)),SEARCH("^^",SUBSTITUTE(OFFSET(B157,-1,0)&amp;".",".","^^",A157))-SEARCH("^^",SUBSTITUTE("."&amp;OFFSET(B157,-1,0),".","^^",A157))))</f>
        <v>9.2.1</v>
      </c>
      <c r="C157" s="1034" t="s">
        <v>4491</v>
      </c>
      <c r="D157" s="1033" t="s">
        <v>4883</v>
      </c>
      <c r="E157" s="1033">
        <v>1</v>
      </c>
      <c r="F157" s="858" t="s">
        <v>4864</v>
      </c>
      <c r="G157" s="859">
        <v>45383</v>
      </c>
      <c r="H157" s="860">
        <f>751332.28/1000*1.5*1.13</f>
        <v>1273.51</v>
      </c>
      <c r="M157" s="860">
        <f>751332.28/1000*1.5*1.13</f>
        <v>1273.51</v>
      </c>
      <c r="N157" s="860">
        <f t="shared" si="70"/>
        <v>1273.51</v>
      </c>
      <c r="O157" s="860">
        <v>1</v>
      </c>
      <c r="P157" s="860">
        <v>1</v>
      </c>
      <c r="Q157" s="860">
        <f t="shared" si="63"/>
        <v>1273.51</v>
      </c>
      <c r="R157" s="860">
        <v>1</v>
      </c>
      <c r="S157" s="860">
        <v>1</v>
      </c>
      <c r="T157" s="860">
        <v>1</v>
      </c>
      <c r="U157" s="1342">
        <f t="shared" si="64"/>
        <v>1273.51</v>
      </c>
      <c r="V157" s="1350"/>
      <c r="W157" s="861" t="e">
        <f>#REF!</f>
        <v>#REF!</v>
      </c>
      <c r="X157" s="860" t="e">
        <f t="shared" si="65"/>
        <v>#REF!</v>
      </c>
      <c r="Y157" s="871">
        <v>1.0306</v>
      </c>
      <c r="Z157" s="860" t="e">
        <f t="shared" ref="Z157:Z180" si="78">X157*Y157</f>
        <v>#REF!</v>
      </c>
      <c r="AA157" s="1350"/>
      <c r="AB157" s="1034"/>
      <c r="AC157" s="1034"/>
      <c r="AD157" s="1034"/>
    </row>
    <row r="158" spans="1:34" ht="63" x14ac:dyDescent="0.25">
      <c r="A158" s="854">
        <v>3</v>
      </c>
      <c r="B158" s="863" t="str">
        <f ca="1">IF(A158&gt;OFFSET(A158,-1,0),OFFSET(B158,-1,0)&amp;"."&amp;1,LEFT(OFFSET(B158,-1,0),SEARCH("^^",SUBSTITUTE("."&amp;OFFSET(B158,-1,0),".","^^",A158))-1)&amp;1--MID(OFFSET(B158,-1,0),SEARCH("^^",SUBSTITUTE("."&amp;OFFSET(B158,-1,0),".","^^",A158)),SEARCH("^^",SUBSTITUTE(OFFSET(B158,-1,0)&amp;".",".","^^",A158))-SEARCH("^^",SUBSTITUTE("."&amp;OFFSET(B158,-1,0),".","^^",A158))))</f>
        <v>9.2.2</v>
      </c>
      <c r="C158" s="1034" t="s">
        <v>5046</v>
      </c>
      <c r="D158" s="1033" t="s">
        <v>4133</v>
      </c>
      <c r="E158" s="1033">
        <v>1500</v>
      </c>
      <c r="F158" s="858" t="s">
        <v>5047</v>
      </c>
      <c r="G158" s="859">
        <v>45292</v>
      </c>
      <c r="H158" s="860">
        <f>53.53</f>
        <v>53.53</v>
      </c>
      <c r="M158" s="860">
        <f>53.53</f>
        <v>53.53</v>
      </c>
      <c r="N158" s="860">
        <f t="shared" si="70"/>
        <v>80295</v>
      </c>
      <c r="O158" s="860">
        <v>1</v>
      </c>
      <c r="P158" s="860">
        <v>1</v>
      </c>
      <c r="Q158" s="860">
        <f t="shared" si="63"/>
        <v>80295</v>
      </c>
      <c r="R158" s="1035">
        <v>0.8</v>
      </c>
      <c r="S158" s="1035">
        <v>0.99</v>
      </c>
      <c r="T158" s="1035">
        <v>1</v>
      </c>
      <c r="U158" s="1342">
        <f t="shared" si="64"/>
        <v>63593.64</v>
      </c>
      <c r="V158" s="1350"/>
      <c r="W158" s="861" t="e">
        <f>#REF!</f>
        <v>#REF!</v>
      </c>
      <c r="X158" s="860" t="e">
        <f t="shared" si="65"/>
        <v>#REF!</v>
      </c>
      <c r="Y158" s="871" t="e">
        <f>#REF!</f>
        <v>#REF!</v>
      </c>
      <c r="Z158" s="860" t="e">
        <f t="shared" si="78"/>
        <v>#REF!</v>
      </c>
      <c r="AA158" s="1350"/>
      <c r="AB158" s="1034"/>
      <c r="AC158" s="1034"/>
      <c r="AD158" s="1034"/>
    </row>
    <row r="159" spans="1:34" ht="94.5" x14ac:dyDescent="0.25">
      <c r="A159" s="854">
        <v>3</v>
      </c>
      <c r="B159" s="863" t="str">
        <f t="shared" ref="B159:B191" ca="1" si="79">IF(A159&gt;OFFSET(A159,-1,0),OFFSET(B159,-1,0)&amp;"."&amp;1,LEFT(OFFSET(B159,-1,0),SEARCH("^^",SUBSTITUTE("."&amp;OFFSET(B159,-1,0),".","^^",A159))-1)&amp;1--MID(OFFSET(B159,-1,0),SEARCH("^^",SUBSTITUTE("."&amp;OFFSET(B159,-1,0),".","^^",A159)),SEARCH("^^",SUBSTITUTE(OFFSET(B159,-1,0)&amp;".",".","^^",A159))-SEARCH("^^",SUBSTITUTE("."&amp;OFFSET(B159,-1,0),".","^^",A159))))</f>
        <v>9.2.3</v>
      </c>
      <c r="C159" s="864" t="s">
        <v>5052</v>
      </c>
      <c r="D159" s="857" t="s">
        <v>4132</v>
      </c>
      <c r="E159" s="872">
        <f>310/100</f>
        <v>3.1</v>
      </c>
      <c r="F159" s="857" t="s">
        <v>4150</v>
      </c>
      <c r="G159" s="859">
        <v>45292</v>
      </c>
      <c r="H159" s="860">
        <f>925.14</f>
        <v>925.14</v>
      </c>
      <c r="M159" s="860">
        <f>925.14</f>
        <v>925.14</v>
      </c>
      <c r="N159" s="860">
        <f t="shared" si="70"/>
        <v>2867.93</v>
      </c>
      <c r="O159" s="860">
        <v>1</v>
      </c>
      <c r="P159" s="860">
        <v>1</v>
      </c>
      <c r="Q159" s="860">
        <f t="shared" si="63"/>
        <v>2867.93</v>
      </c>
      <c r="R159" s="860">
        <v>0.82</v>
      </c>
      <c r="S159" s="860">
        <v>0.99</v>
      </c>
      <c r="T159" s="860">
        <v>1</v>
      </c>
      <c r="U159" s="1342">
        <f t="shared" si="64"/>
        <v>2328.19</v>
      </c>
      <c r="V159" s="1350"/>
      <c r="W159" s="861" t="e">
        <f>#REF!</f>
        <v>#REF!</v>
      </c>
      <c r="X159" s="860" t="e">
        <f t="shared" si="65"/>
        <v>#REF!</v>
      </c>
      <c r="Y159" s="871" t="e">
        <f>#REF!</f>
        <v>#REF!</v>
      </c>
      <c r="Z159" s="860" t="e">
        <f t="shared" si="78"/>
        <v>#REF!</v>
      </c>
      <c r="AA159" s="1350"/>
      <c r="AB159" s="873"/>
      <c r="AC159" s="1452"/>
      <c r="AD159" s="1452"/>
    </row>
    <row r="160" spans="1:34" ht="47.25" x14ac:dyDescent="0.25">
      <c r="A160" s="854">
        <v>3</v>
      </c>
      <c r="B160" s="863" t="str">
        <f t="shared" ca="1" si="79"/>
        <v>9.2.4</v>
      </c>
      <c r="C160" s="864" t="s">
        <v>5051</v>
      </c>
      <c r="D160" s="857" t="s">
        <v>269</v>
      </c>
      <c r="E160" s="872">
        <v>1</v>
      </c>
      <c r="F160" s="857" t="s">
        <v>5053</v>
      </c>
      <c r="G160" s="859">
        <v>45292</v>
      </c>
      <c r="H160" s="860">
        <f>108.25</f>
        <v>108.25</v>
      </c>
      <c r="M160" s="860">
        <f>108.25</f>
        <v>108.25</v>
      </c>
      <c r="N160" s="860">
        <f t="shared" si="70"/>
        <v>108.25</v>
      </c>
      <c r="O160" s="860">
        <v>1</v>
      </c>
      <c r="P160" s="860">
        <v>1</v>
      </c>
      <c r="Q160" s="860">
        <f t="shared" si="63"/>
        <v>108.25</v>
      </c>
      <c r="R160" s="860">
        <v>0.82</v>
      </c>
      <c r="S160" s="860">
        <v>0.99</v>
      </c>
      <c r="T160" s="860">
        <v>1</v>
      </c>
      <c r="U160" s="1342">
        <f t="shared" si="64"/>
        <v>87.88</v>
      </c>
      <c r="V160" s="1350"/>
      <c r="W160" s="861" t="e">
        <f>#REF!</f>
        <v>#REF!</v>
      </c>
      <c r="X160" s="860" t="e">
        <f t="shared" si="65"/>
        <v>#REF!</v>
      </c>
      <c r="Y160" s="871" t="e">
        <f>#REF!</f>
        <v>#REF!</v>
      </c>
      <c r="Z160" s="860" t="e">
        <f t="shared" si="78"/>
        <v>#REF!</v>
      </c>
      <c r="AA160" s="1350"/>
      <c r="AB160" s="873"/>
      <c r="AC160" s="1452"/>
      <c r="AD160" s="1452"/>
    </row>
    <row r="161" spans="1:33" ht="94.5" x14ac:dyDescent="0.25">
      <c r="A161" s="854">
        <v>3</v>
      </c>
      <c r="B161" s="863" t="str">
        <f t="shared" ca="1" si="79"/>
        <v>9.2.5</v>
      </c>
      <c r="C161" s="864" t="s">
        <v>5054</v>
      </c>
      <c r="D161" s="857" t="s">
        <v>4131</v>
      </c>
      <c r="E161" s="872">
        <f>0.03</f>
        <v>0.03</v>
      </c>
      <c r="F161" s="857" t="s">
        <v>5055</v>
      </c>
      <c r="G161" s="859">
        <v>45292</v>
      </c>
      <c r="H161" s="860">
        <f>16278.78</f>
        <v>16278.78</v>
      </c>
      <c r="M161" s="860">
        <f>16278.78</f>
        <v>16278.78</v>
      </c>
      <c r="N161" s="860">
        <f t="shared" si="70"/>
        <v>488.36</v>
      </c>
      <c r="O161" s="860">
        <v>1</v>
      </c>
      <c r="P161" s="860">
        <v>1</v>
      </c>
      <c r="Q161" s="860">
        <f t="shared" si="63"/>
        <v>488.36</v>
      </c>
      <c r="R161" s="860">
        <v>0.77</v>
      </c>
      <c r="S161" s="860">
        <v>0.98</v>
      </c>
      <c r="T161" s="860">
        <v>1</v>
      </c>
      <c r="U161" s="1342">
        <f t="shared" si="64"/>
        <v>368.52</v>
      </c>
      <c r="V161" s="1350"/>
      <c r="W161" s="861" t="e">
        <f>#REF!</f>
        <v>#REF!</v>
      </c>
      <c r="X161" s="860" t="e">
        <f t="shared" si="65"/>
        <v>#REF!</v>
      </c>
      <c r="Y161" s="871" t="e">
        <f>#REF!</f>
        <v>#REF!</v>
      </c>
      <c r="Z161" s="860" t="e">
        <f t="shared" si="78"/>
        <v>#REF!</v>
      </c>
      <c r="AA161" s="1350"/>
      <c r="AB161" s="873"/>
      <c r="AC161" s="1452"/>
      <c r="AD161" s="1452"/>
    </row>
    <row r="162" spans="1:33" ht="173.25" x14ac:dyDescent="0.25">
      <c r="A162" s="854">
        <v>3</v>
      </c>
      <c r="B162" s="863" t="str">
        <f t="shared" ca="1" si="79"/>
        <v>9.2.6</v>
      </c>
      <c r="C162" s="867" t="s">
        <v>5427</v>
      </c>
      <c r="D162" s="857" t="s">
        <v>5428</v>
      </c>
      <c r="E162" s="870">
        <f>10*3600/1000</f>
        <v>36</v>
      </c>
      <c r="F162" s="857" t="s">
        <v>5429</v>
      </c>
      <c r="G162" s="859">
        <v>45292</v>
      </c>
      <c r="H162" s="860">
        <f>326.91-(750-36)*(326.91-350)/(750-25)</f>
        <v>349.65</v>
      </c>
      <c r="M162" s="860">
        <f>326.91-(750-36)*(326.91-350)/(750-25)</f>
        <v>349.65</v>
      </c>
      <c r="N162" s="860">
        <f t="shared" si="70"/>
        <v>12587.4</v>
      </c>
      <c r="O162" s="860">
        <v>1</v>
      </c>
      <c r="P162" s="860">
        <v>1</v>
      </c>
      <c r="Q162" s="860">
        <f t="shared" si="63"/>
        <v>12587.4</v>
      </c>
      <c r="R162" s="860">
        <v>0.8</v>
      </c>
      <c r="S162" s="860">
        <v>0.99</v>
      </c>
      <c r="T162" s="860">
        <v>1</v>
      </c>
      <c r="U162" s="1342">
        <f t="shared" si="64"/>
        <v>9969.2199999999993</v>
      </c>
      <c r="V162" s="1350"/>
      <c r="W162" s="861" t="e">
        <f>#REF!</f>
        <v>#REF!</v>
      </c>
      <c r="X162" s="860" t="e">
        <f t="shared" si="65"/>
        <v>#REF!</v>
      </c>
      <c r="Y162" s="871" t="e">
        <f>#REF!</f>
        <v>#REF!</v>
      </c>
      <c r="Z162" s="860" t="e">
        <f t="shared" si="78"/>
        <v>#REF!</v>
      </c>
      <c r="AA162" s="1350"/>
      <c r="AB162" s="866"/>
      <c r="AC162" s="1450"/>
      <c r="AD162" s="1450"/>
    </row>
    <row r="163" spans="1:33" ht="63" x14ac:dyDescent="0.25">
      <c r="A163" s="854">
        <v>2</v>
      </c>
      <c r="B163" s="863" t="str">
        <f t="shared" ca="1" si="79"/>
        <v>9.3</v>
      </c>
      <c r="C163" s="867" t="s">
        <v>4854</v>
      </c>
      <c r="D163" s="857" t="s">
        <v>4133</v>
      </c>
      <c r="E163" s="870">
        <v>1000</v>
      </c>
      <c r="F163" s="857" t="s">
        <v>4853</v>
      </c>
      <c r="G163" s="859">
        <v>45292</v>
      </c>
      <c r="H163" s="860">
        <f>18.9</f>
        <v>18.899999999999999</v>
      </c>
      <c r="M163" s="860">
        <f>18.9</f>
        <v>18.899999999999999</v>
      </c>
      <c r="N163" s="860">
        <f t="shared" si="70"/>
        <v>18900</v>
      </c>
      <c r="O163" s="860">
        <v>1</v>
      </c>
      <c r="P163" s="860">
        <v>1</v>
      </c>
      <c r="Q163" s="860">
        <f t="shared" si="63"/>
        <v>18900</v>
      </c>
      <c r="R163" s="860">
        <v>0.8</v>
      </c>
      <c r="S163" s="860">
        <v>0.99</v>
      </c>
      <c r="T163" s="860">
        <v>1</v>
      </c>
      <c r="U163" s="1342">
        <f t="shared" si="64"/>
        <v>14968.8</v>
      </c>
      <c r="V163" s="1350"/>
      <c r="W163" s="861" t="e">
        <f>#REF!</f>
        <v>#REF!</v>
      </c>
      <c r="X163" s="860" t="e">
        <f t="shared" si="65"/>
        <v>#REF!</v>
      </c>
      <c r="Y163" s="871" t="e">
        <f>#REF!</f>
        <v>#REF!</v>
      </c>
      <c r="Z163" s="860" t="e">
        <f t="shared" si="78"/>
        <v>#REF!</v>
      </c>
      <c r="AA163" s="1350"/>
      <c r="AB163" s="866"/>
      <c r="AC163" s="1450"/>
      <c r="AD163" s="1450"/>
    </row>
    <row r="164" spans="1:33" ht="173.25" x14ac:dyDescent="0.25">
      <c r="A164" s="854">
        <v>2</v>
      </c>
      <c r="B164" s="863" t="str">
        <f t="shared" ca="1" si="79"/>
        <v>9.4</v>
      </c>
      <c r="C164" s="867" t="s">
        <v>5057</v>
      </c>
      <c r="D164" s="857" t="s">
        <v>5056</v>
      </c>
      <c r="E164" s="974">
        <v>1.5</v>
      </c>
      <c r="F164" s="857" t="s">
        <v>5058</v>
      </c>
      <c r="G164" s="859">
        <v>45292</v>
      </c>
      <c r="H164" s="860">
        <f>(16040.87-159.47*70)/0.3</f>
        <v>16259.9</v>
      </c>
      <c r="M164" s="860">
        <f>(16040.87-159.47*70)/0.3</f>
        <v>16259.9</v>
      </c>
      <c r="N164" s="860">
        <f t="shared" si="70"/>
        <v>24389.85</v>
      </c>
      <c r="O164" s="860">
        <v>1</v>
      </c>
      <c r="P164" s="860">
        <v>1</v>
      </c>
      <c r="Q164" s="860">
        <f t="shared" si="63"/>
        <v>24389.85</v>
      </c>
      <c r="R164" s="860">
        <v>0.77</v>
      </c>
      <c r="S164" s="860">
        <v>0.98</v>
      </c>
      <c r="T164" s="860">
        <v>1</v>
      </c>
      <c r="U164" s="1342">
        <f t="shared" si="64"/>
        <v>18404.580000000002</v>
      </c>
      <c r="V164" s="1350"/>
      <c r="W164" s="861" t="e">
        <f>#REF!</f>
        <v>#REF!</v>
      </c>
      <c r="X164" s="860" t="e">
        <f t="shared" si="65"/>
        <v>#REF!</v>
      </c>
      <c r="Y164" s="871" t="e">
        <f>#REF!</f>
        <v>#REF!</v>
      </c>
      <c r="Z164" s="860" t="e">
        <f t="shared" si="78"/>
        <v>#REF!</v>
      </c>
      <c r="AA164" s="1350"/>
      <c r="AB164" s="866" t="s">
        <v>4372</v>
      </c>
      <c r="AC164" s="1450"/>
      <c r="AD164" s="1450"/>
      <c r="AG164" s="1576"/>
    </row>
    <row r="165" spans="1:33" x14ac:dyDescent="0.25">
      <c r="A165" s="854">
        <v>1</v>
      </c>
      <c r="B165" s="863" t="str">
        <f t="shared" ca="1" si="79"/>
        <v>10</v>
      </c>
      <c r="C165" s="867" t="s">
        <v>4514</v>
      </c>
      <c r="D165" s="857"/>
      <c r="E165" s="870"/>
      <c r="F165" s="857"/>
      <c r="G165" s="859"/>
      <c r="H165" s="860"/>
      <c r="M165" s="860"/>
      <c r="N165" s="860">
        <f t="shared" si="70"/>
        <v>0</v>
      </c>
      <c r="O165" s="860"/>
      <c r="P165" s="860"/>
      <c r="Q165" s="860">
        <f t="shared" si="63"/>
        <v>0</v>
      </c>
      <c r="R165" s="860"/>
      <c r="S165" s="860"/>
      <c r="T165" s="860"/>
      <c r="U165" s="1342">
        <f t="shared" si="64"/>
        <v>0</v>
      </c>
      <c r="V165" s="1350"/>
      <c r="W165" s="861"/>
      <c r="X165" s="860">
        <f t="shared" si="65"/>
        <v>0</v>
      </c>
      <c r="Y165" s="871"/>
      <c r="Z165" s="860">
        <f t="shared" si="78"/>
        <v>0</v>
      </c>
      <c r="AA165" s="1350"/>
      <c r="AB165" s="866"/>
      <c r="AC165" s="1450"/>
      <c r="AD165" s="1450"/>
    </row>
    <row r="166" spans="1:33" ht="220.5" x14ac:dyDescent="0.25">
      <c r="A166" s="854">
        <v>2</v>
      </c>
      <c r="B166" s="863" t="str">
        <f t="shared" ca="1" si="79"/>
        <v>10.1</v>
      </c>
      <c r="C166" s="864" t="s">
        <v>4855</v>
      </c>
      <c r="D166" s="857" t="s">
        <v>4857</v>
      </c>
      <c r="E166" s="872">
        <v>1</v>
      </c>
      <c r="F166" s="858" t="s">
        <v>4856</v>
      </c>
      <c r="G166" s="859">
        <v>45292</v>
      </c>
      <c r="H166" s="860">
        <f>345.34-(2800-800)*(345.34-296.14)/(2800-750)</f>
        <v>297.33999999999997</v>
      </c>
      <c r="M166" s="860">
        <f>345.34-(2800-800)*(345.34-296.14)/(2800-750)</f>
        <v>297.33999999999997</v>
      </c>
      <c r="N166" s="860">
        <f t="shared" si="70"/>
        <v>297.33999999999997</v>
      </c>
      <c r="O166" s="860">
        <v>1</v>
      </c>
      <c r="P166" s="860">
        <v>1</v>
      </c>
      <c r="Q166" s="860">
        <f t="shared" si="63"/>
        <v>297.33999999999997</v>
      </c>
      <c r="R166" s="860">
        <v>0.8</v>
      </c>
      <c r="S166" s="860">
        <v>0.99</v>
      </c>
      <c r="T166" s="860">
        <v>1</v>
      </c>
      <c r="U166" s="1342">
        <f t="shared" si="64"/>
        <v>235.49</v>
      </c>
      <c r="V166" s="1350"/>
      <c r="W166" s="861" t="e">
        <f>#REF!</f>
        <v>#REF!</v>
      </c>
      <c r="X166" s="860" t="e">
        <f t="shared" si="65"/>
        <v>#REF!</v>
      </c>
      <c r="Y166" s="871" t="e">
        <f>#REF!</f>
        <v>#REF!</v>
      </c>
      <c r="Z166" s="860" t="e">
        <f t="shared" si="78"/>
        <v>#REF!</v>
      </c>
      <c r="AA166" s="1350"/>
      <c r="AB166" s="873"/>
      <c r="AC166" s="1452"/>
      <c r="AD166" s="1452"/>
    </row>
    <row r="167" spans="1:33" ht="110.25" x14ac:dyDescent="0.25">
      <c r="A167" s="854">
        <v>2</v>
      </c>
      <c r="B167" s="863" t="str">
        <f t="shared" ca="1" si="79"/>
        <v>10.2</v>
      </c>
      <c r="C167" s="864" t="s">
        <v>4859</v>
      </c>
      <c r="D167" s="857" t="s">
        <v>4131</v>
      </c>
      <c r="E167" s="1008">
        <f>2300/1000</f>
        <v>2.2999999999999998</v>
      </c>
      <c r="F167" s="857" t="s">
        <v>4858</v>
      </c>
      <c r="G167" s="859">
        <v>45292</v>
      </c>
      <c r="H167" s="860">
        <f>2157.27</f>
        <v>2157.27</v>
      </c>
      <c r="M167" s="860">
        <f>2157.27</f>
        <v>2157.27</v>
      </c>
      <c r="N167" s="860">
        <f t="shared" si="70"/>
        <v>4961.72</v>
      </c>
      <c r="O167" s="860">
        <v>1</v>
      </c>
      <c r="P167" s="860">
        <v>1</v>
      </c>
      <c r="Q167" s="860">
        <f t="shared" si="63"/>
        <v>4961.72</v>
      </c>
      <c r="R167" s="860">
        <v>0.8</v>
      </c>
      <c r="S167" s="860">
        <v>0.98</v>
      </c>
      <c r="T167" s="860">
        <v>1</v>
      </c>
      <c r="U167" s="1342">
        <f t="shared" si="64"/>
        <v>3889.99</v>
      </c>
      <c r="V167" s="1350"/>
      <c r="W167" s="861" t="e">
        <f>#REF!</f>
        <v>#REF!</v>
      </c>
      <c r="X167" s="860" t="e">
        <f t="shared" si="65"/>
        <v>#REF!</v>
      </c>
      <c r="Y167" s="1007" t="e">
        <f>#REF!</f>
        <v>#REF!</v>
      </c>
      <c r="Z167" s="860" t="e">
        <f t="shared" si="78"/>
        <v>#REF!</v>
      </c>
      <c r="AA167" s="1350"/>
      <c r="AB167" s="873" t="s">
        <v>4372</v>
      </c>
      <c r="AC167" s="1452"/>
      <c r="AD167" s="1452"/>
    </row>
    <row r="168" spans="1:33" x14ac:dyDescent="0.25">
      <c r="A168" s="854">
        <v>1</v>
      </c>
      <c r="B168" s="863" t="str">
        <f t="shared" ca="1" si="79"/>
        <v>11</v>
      </c>
      <c r="C168" s="864" t="s">
        <v>291</v>
      </c>
      <c r="D168" s="857"/>
      <c r="E168" s="874"/>
      <c r="F168" s="857"/>
      <c r="G168" s="859"/>
      <c r="H168" s="860"/>
      <c r="M168" s="860"/>
      <c r="N168" s="860">
        <f t="shared" si="70"/>
        <v>0</v>
      </c>
      <c r="O168" s="860"/>
      <c r="P168" s="860"/>
      <c r="Q168" s="860">
        <f t="shared" si="63"/>
        <v>0</v>
      </c>
      <c r="R168" s="860"/>
      <c r="S168" s="860"/>
      <c r="T168" s="860"/>
      <c r="U168" s="1342">
        <f t="shared" si="64"/>
        <v>0</v>
      </c>
      <c r="V168" s="1350"/>
      <c r="W168" s="861"/>
      <c r="X168" s="860">
        <f t="shared" si="65"/>
        <v>0</v>
      </c>
      <c r="Y168" s="871"/>
      <c r="Z168" s="860">
        <f t="shared" si="78"/>
        <v>0</v>
      </c>
      <c r="AA168" s="1350"/>
      <c r="AB168" s="866"/>
      <c r="AC168" s="1450"/>
      <c r="AD168" s="1450"/>
    </row>
    <row r="169" spans="1:33" ht="189" x14ac:dyDescent="0.25">
      <c r="A169" s="854">
        <v>2</v>
      </c>
      <c r="B169" s="863" t="str">
        <f t="shared" ca="1" si="79"/>
        <v>11.1</v>
      </c>
      <c r="C169" s="1058" t="s">
        <v>5236</v>
      </c>
      <c r="D169" s="890" t="s">
        <v>2588</v>
      </c>
      <c r="E169" s="891">
        <f>2700/100</f>
        <v>27</v>
      </c>
      <c r="F169" s="858" t="s">
        <v>5235</v>
      </c>
      <c r="G169" s="859">
        <v>45292</v>
      </c>
      <c r="H169" s="860">
        <f>313.84</f>
        <v>313.83999999999997</v>
      </c>
      <c r="M169" s="860">
        <f>313.84</f>
        <v>313.83999999999997</v>
      </c>
      <c r="N169" s="860">
        <f t="shared" si="70"/>
        <v>8473.68</v>
      </c>
      <c r="O169" s="860">
        <v>1</v>
      </c>
      <c r="P169" s="860">
        <v>1</v>
      </c>
      <c r="Q169" s="860">
        <f t="shared" si="63"/>
        <v>8473.68</v>
      </c>
      <c r="R169" s="860">
        <v>0.84</v>
      </c>
      <c r="S169" s="860">
        <v>0.99</v>
      </c>
      <c r="T169" s="860">
        <v>1</v>
      </c>
      <c r="U169" s="1342">
        <f t="shared" si="64"/>
        <v>7046.71</v>
      </c>
      <c r="V169" s="1350"/>
      <c r="W169" s="861" t="e">
        <f>#REF!</f>
        <v>#REF!</v>
      </c>
      <c r="X169" s="860" t="e">
        <f t="shared" si="65"/>
        <v>#REF!</v>
      </c>
      <c r="Y169" s="871" t="e">
        <f>#REF!</f>
        <v>#REF!</v>
      </c>
      <c r="Z169" s="860" t="e">
        <f t="shared" si="78"/>
        <v>#REF!</v>
      </c>
      <c r="AA169" s="1350"/>
      <c r="AB169" s="873" t="s">
        <v>4372</v>
      </c>
      <c r="AC169" s="1452"/>
      <c r="AD169" s="1452"/>
    </row>
    <row r="170" spans="1:33" ht="189" x14ac:dyDescent="0.25">
      <c r="A170" s="854">
        <v>2</v>
      </c>
      <c r="B170" s="863" t="str">
        <f t="shared" ca="1" si="79"/>
        <v>11.2</v>
      </c>
      <c r="C170" s="1058" t="s">
        <v>5519</v>
      </c>
      <c r="D170" s="890" t="s">
        <v>2588</v>
      </c>
      <c r="E170" s="891">
        <f>180/100</f>
        <v>1.8</v>
      </c>
      <c r="F170" s="858" t="s">
        <v>5237</v>
      </c>
      <c r="G170" s="859">
        <v>45292</v>
      </c>
      <c r="H170" s="860">
        <f>217.85</f>
        <v>217.85</v>
      </c>
      <c r="M170" s="860">
        <f>217.85</f>
        <v>217.85</v>
      </c>
      <c r="N170" s="860">
        <f t="shared" si="70"/>
        <v>392.13</v>
      </c>
      <c r="O170" s="860">
        <v>1</v>
      </c>
      <c r="P170" s="860">
        <v>1</v>
      </c>
      <c r="Q170" s="860">
        <f t="shared" si="63"/>
        <v>392.13</v>
      </c>
      <c r="R170" s="860">
        <v>0.84</v>
      </c>
      <c r="S170" s="860">
        <v>0.99</v>
      </c>
      <c r="T170" s="860">
        <v>1</v>
      </c>
      <c r="U170" s="1342">
        <f t="shared" si="64"/>
        <v>326.10000000000002</v>
      </c>
      <c r="V170" s="1350"/>
      <c r="W170" s="861" t="e">
        <f>#REF!</f>
        <v>#REF!</v>
      </c>
      <c r="X170" s="860" t="e">
        <f t="shared" si="65"/>
        <v>#REF!</v>
      </c>
      <c r="Y170" s="871" t="e">
        <f>#REF!</f>
        <v>#REF!</v>
      </c>
      <c r="Z170" s="860" t="e">
        <f t="shared" si="78"/>
        <v>#REF!</v>
      </c>
      <c r="AA170" s="1350"/>
      <c r="AB170" s="873" t="s">
        <v>4372</v>
      </c>
      <c r="AC170" s="1452"/>
      <c r="AD170" s="1452"/>
    </row>
    <row r="171" spans="1:33" ht="189" x14ac:dyDescent="0.25">
      <c r="A171" s="854">
        <v>2</v>
      </c>
      <c r="B171" s="863" t="str">
        <f t="shared" ca="1" si="79"/>
        <v>11.3</v>
      </c>
      <c r="C171" s="867" t="s">
        <v>5239</v>
      </c>
      <c r="D171" s="858" t="s">
        <v>2588</v>
      </c>
      <c r="E171" s="1059">
        <f>180/100</f>
        <v>1.8</v>
      </c>
      <c r="F171" s="858" t="s">
        <v>5238</v>
      </c>
      <c r="G171" s="859">
        <v>45292</v>
      </c>
      <c r="H171" s="860">
        <f>57.44</f>
        <v>57.44</v>
      </c>
      <c r="M171" s="860">
        <f>57.44</f>
        <v>57.44</v>
      </c>
      <c r="N171" s="860">
        <f t="shared" si="70"/>
        <v>103.39</v>
      </c>
      <c r="O171" s="860">
        <v>1</v>
      </c>
      <c r="P171" s="860">
        <v>1</v>
      </c>
      <c r="Q171" s="860">
        <f t="shared" si="63"/>
        <v>103.39</v>
      </c>
      <c r="R171" s="860">
        <v>0.84</v>
      </c>
      <c r="S171" s="860">
        <v>0.99</v>
      </c>
      <c r="T171" s="860">
        <v>1</v>
      </c>
      <c r="U171" s="1342">
        <f t="shared" si="64"/>
        <v>85.98</v>
      </c>
      <c r="V171" s="1350"/>
      <c r="W171" s="861" t="e">
        <f>#REF!</f>
        <v>#REF!</v>
      </c>
      <c r="X171" s="860" t="e">
        <f t="shared" si="65"/>
        <v>#REF!</v>
      </c>
      <c r="Y171" s="871" t="e">
        <f>#REF!</f>
        <v>#REF!</v>
      </c>
      <c r="Z171" s="860" t="e">
        <f t="shared" si="78"/>
        <v>#REF!</v>
      </c>
      <c r="AA171" s="1350"/>
      <c r="AB171" s="862" t="s">
        <v>4372</v>
      </c>
      <c r="AC171" s="1450"/>
      <c r="AD171" s="1450"/>
    </row>
    <row r="172" spans="1:33" ht="47.25" x14ac:dyDescent="0.25">
      <c r="A172" s="854">
        <v>2</v>
      </c>
      <c r="B172" s="863" t="str">
        <f t="shared" ca="1" si="79"/>
        <v>11.4</v>
      </c>
      <c r="C172" s="867" t="s">
        <v>5240</v>
      </c>
      <c r="D172" s="858" t="s">
        <v>273</v>
      </c>
      <c r="E172" s="1059">
        <v>380</v>
      </c>
      <c r="F172" s="858" t="s">
        <v>5438</v>
      </c>
      <c r="G172" s="859"/>
      <c r="H172" s="860"/>
      <c r="M172" s="860"/>
      <c r="N172" s="860">
        <f t="shared" si="70"/>
        <v>0</v>
      </c>
      <c r="O172" s="860"/>
      <c r="P172" s="860"/>
      <c r="Q172" s="860">
        <f t="shared" si="63"/>
        <v>0</v>
      </c>
      <c r="R172" s="860"/>
      <c r="S172" s="860"/>
      <c r="T172" s="860"/>
      <c r="U172" s="1342">
        <f t="shared" si="64"/>
        <v>0</v>
      </c>
      <c r="V172" s="1350"/>
      <c r="W172" s="861"/>
      <c r="X172" s="860">
        <f t="shared" si="65"/>
        <v>0</v>
      </c>
      <c r="Y172" s="871"/>
      <c r="Z172" s="860">
        <f t="shared" si="78"/>
        <v>0</v>
      </c>
      <c r="AA172" s="1350"/>
      <c r="AB172" s="862" t="s">
        <v>4146</v>
      </c>
      <c r="AC172" s="1450"/>
      <c r="AD172" s="1450"/>
    </row>
    <row r="173" spans="1:33" ht="141.75" x14ac:dyDescent="0.25">
      <c r="A173" s="854">
        <v>2</v>
      </c>
      <c r="B173" s="863" t="str">
        <f t="shared" ca="1" si="79"/>
        <v>11.5</v>
      </c>
      <c r="C173" s="887" t="s">
        <v>5241</v>
      </c>
      <c r="D173" s="888" t="s">
        <v>5533</v>
      </c>
      <c r="E173" s="1060">
        <v>21</v>
      </c>
      <c r="F173" s="858" t="s">
        <v>5534</v>
      </c>
      <c r="G173" s="859">
        <v>43647</v>
      </c>
      <c r="H173" s="860">
        <f>'КСБ Архыз'!$Z$21/'КСБ Архыз'!$AI$21</f>
        <v>12.09</v>
      </c>
      <c r="M173" s="860">
        <f>'КСБ Архыз'!$Z$21/'КСБ Архыз'!$AI$21</f>
        <v>12.09</v>
      </c>
      <c r="N173" s="860">
        <f t="shared" si="70"/>
        <v>253.89</v>
      </c>
      <c r="O173" s="860">
        <v>1</v>
      </c>
      <c r="P173" s="860">
        <v>1</v>
      </c>
      <c r="Q173" s="860">
        <f t="shared" si="63"/>
        <v>253.89</v>
      </c>
      <c r="R173" s="860">
        <v>1</v>
      </c>
      <c r="S173" s="860">
        <v>1</v>
      </c>
      <c r="T173" s="860">
        <v>1</v>
      </c>
      <c r="U173" s="1342">
        <f t="shared" si="64"/>
        <v>253.89</v>
      </c>
      <c r="V173" s="1350"/>
      <c r="W173" s="861" t="e">
        <f>#REF!</f>
        <v>#REF!</v>
      </c>
      <c r="X173" s="860" t="e">
        <f t="shared" si="65"/>
        <v>#REF!</v>
      </c>
      <c r="Y173" s="871" t="e">
        <f>#REF!</f>
        <v>#REF!</v>
      </c>
      <c r="Z173" s="860" t="e">
        <f t="shared" si="78"/>
        <v>#REF!</v>
      </c>
      <c r="AA173" s="1350"/>
      <c r="AB173" s="862" t="s">
        <v>5242</v>
      </c>
      <c r="AC173" s="1450"/>
      <c r="AD173" s="1450"/>
    </row>
    <row r="174" spans="1:33" x14ac:dyDescent="0.25">
      <c r="A174" s="854">
        <v>2</v>
      </c>
      <c r="B174" s="863" t="str">
        <f t="shared" ca="1" si="79"/>
        <v>11.6</v>
      </c>
      <c r="C174" s="887" t="s">
        <v>5430</v>
      </c>
      <c r="D174" s="888"/>
      <c r="E174" s="889"/>
      <c r="F174" s="858"/>
      <c r="G174" s="859"/>
      <c r="H174" s="860"/>
      <c r="M174" s="860"/>
      <c r="N174" s="860">
        <f t="shared" si="70"/>
        <v>0</v>
      </c>
      <c r="O174" s="860"/>
      <c r="P174" s="860"/>
      <c r="Q174" s="860">
        <f t="shared" si="63"/>
        <v>0</v>
      </c>
      <c r="R174" s="860"/>
      <c r="S174" s="860"/>
      <c r="T174" s="860"/>
      <c r="U174" s="1342">
        <f t="shared" si="64"/>
        <v>0</v>
      </c>
      <c r="V174" s="1350"/>
      <c r="W174" s="861"/>
      <c r="X174" s="860">
        <f t="shared" si="65"/>
        <v>0</v>
      </c>
      <c r="Y174" s="871"/>
      <c r="Z174" s="860">
        <f t="shared" si="78"/>
        <v>0</v>
      </c>
      <c r="AA174" s="1350"/>
      <c r="AB174" s="862" t="s">
        <v>4146</v>
      </c>
      <c r="AC174" s="1450"/>
      <c r="AD174" s="1450"/>
    </row>
    <row r="175" spans="1:33" ht="141.75" x14ac:dyDescent="0.25">
      <c r="A175" s="854">
        <v>3</v>
      </c>
      <c r="B175" s="863" t="str">
        <f t="shared" ca="1" si="79"/>
        <v>11.6.1</v>
      </c>
      <c r="C175" s="887" t="s">
        <v>5245</v>
      </c>
      <c r="D175" s="888" t="s">
        <v>269</v>
      </c>
      <c r="E175" s="1060">
        <v>16</v>
      </c>
      <c r="F175" s="858" t="s">
        <v>5426</v>
      </c>
      <c r="G175" s="859">
        <v>43647</v>
      </c>
      <c r="H175" s="860">
        <f>'КСБ Архыз'!$Z$22/167</f>
        <v>44.87</v>
      </c>
      <c r="M175" s="860">
        <f>'КСБ Архыз'!$Z$22/167</f>
        <v>44.87</v>
      </c>
      <c r="N175" s="860">
        <f t="shared" si="70"/>
        <v>717.92</v>
      </c>
      <c r="O175" s="860">
        <v>1</v>
      </c>
      <c r="P175" s="860">
        <v>1</v>
      </c>
      <c r="Q175" s="860">
        <f t="shared" si="63"/>
        <v>717.92</v>
      </c>
      <c r="R175" s="860">
        <v>1</v>
      </c>
      <c r="S175" s="860">
        <v>1</v>
      </c>
      <c r="T175" s="860">
        <v>1</v>
      </c>
      <c r="U175" s="1342">
        <f t="shared" si="64"/>
        <v>717.92</v>
      </c>
      <c r="V175" s="1350"/>
      <c r="W175" s="861" t="e">
        <f>#REF!</f>
        <v>#REF!</v>
      </c>
      <c r="X175" s="860" t="e">
        <f t="shared" si="65"/>
        <v>#REF!</v>
      </c>
      <c r="Y175" s="871" t="e">
        <f>#REF!</f>
        <v>#REF!</v>
      </c>
      <c r="Z175" s="860" t="e">
        <f t="shared" si="78"/>
        <v>#REF!</v>
      </c>
      <c r="AA175" s="1350"/>
      <c r="AB175" s="862"/>
      <c r="AC175" s="1450"/>
      <c r="AD175" s="1450"/>
    </row>
    <row r="176" spans="1:33" x14ac:dyDescent="0.25">
      <c r="A176" s="854">
        <v>3</v>
      </c>
      <c r="B176" s="863" t="str">
        <f t="shared" ca="1" si="79"/>
        <v>11.6.2</v>
      </c>
      <c r="C176" s="887" t="s">
        <v>5244</v>
      </c>
      <c r="D176" s="888" t="s">
        <v>269</v>
      </c>
      <c r="E176" s="1060">
        <v>1</v>
      </c>
      <c r="F176" s="858" t="str">
        <f ca="1">CONCATENATE("учтено в п.",B175)</f>
        <v>учтено в п.11.6.1</v>
      </c>
      <c r="G176" s="859"/>
      <c r="H176" s="860"/>
      <c r="M176" s="860"/>
      <c r="N176" s="860">
        <f t="shared" si="70"/>
        <v>0</v>
      </c>
      <c r="O176" s="860"/>
      <c r="P176" s="860"/>
      <c r="Q176" s="860">
        <f t="shared" si="63"/>
        <v>0</v>
      </c>
      <c r="R176" s="860"/>
      <c r="S176" s="860"/>
      <c r="T176" s="860"/>
      <c r="U176" s="1342">
        <f t="shared" si="64"/>
        <v>0</v>
      </c>
      <c r="V176" s="1350"/>
      <c r="W176" s="861"/>
      <c r="X176" s="860">
        <f t="shared" si="65"/>
        <v>0</v>
      </c>
      <c r="Y176" s="871"/>
      <c r="Z176" s="860">
        <f t="shared" si="78"/>
        <v>0</v>
      </c>
      <c r="AA176" s="1350"/>
      <c r="AB176" s="862"/>
      <c r="AC176" s="1450"/>
      <c r="AD176" s="1450"/>
    </row>
    <row r="177" spans="1:34" ht="141.75" x14ac:dyDescent="0.25">
      <c r="A177" s="854">
        <v>3</v>
      </c>
      <c r="B177" s="863" t="str">
        <f t="shared" ca="1" si="79"/>
        <v>11.6.3</v>
      </c>
      <c r="C177" s="887" t="s">
        <v>5243</v>
      </c>
      <c r="D177" s="888" t="s">
        <v>269</v>
      </c>
      <c r="E177" s="1060">
        <v>1</v>
      </c>
      <c r="F177" s="858" t="s">
        <v>5530</v>
      </c>
      <c r="G177" s="859">
        <v>43647</v>
      </c>
      <c r="H177" s="860">
        <f>'КСБ Архыз'!$Z$20/7</f>
        <v>1757.53</v>
      </c>
      <c r="M177" s="860">
        <f>'КСБ Архыз'!$Z$20/7</f>
        <v>1757.53</v>
      </c>
      <c r="N177" s="860">
        <f t="shared" si="70"/>
        <v>1757.53</v>
      </c>
      <c r="O177" s="860">
        <v>1</v>
      </c>
      <c r="P177" s="860">
        <v>1</v>
      </c>
      <c r="Q177" s="860">
        <f t="shared" si="63"/>
        <v>1757.53</v>
      </c>
      <c r="R177" s="860">
        <v>1</v>
      </c>
      <c r="S177" s="860">
        <v>1</v>
      </c>
      <c r="T177" s="860">
        <v>1</v>
      </c>
      <c r="U177" s="1342">
        <f t="shared" si="64"/>
        <v>1757.53</v>
      </c>
      <c r="V177" s="1350"/>
      <c r="W177" s="861" t="e">
        <f>#REF!</f>
        <v>#REF!</v>
      </c>
      <c r="X177" s="860" t="e">
        <f t="shared" si="65"/>
        <v>#REF!</v>
      </c>
      <c r="Y177" s="871" t="e">
        <f>#REF!</f>
        <v>#REF!</v>
      </c>
      <c r="Z177" s="860" t="e">
        <f t="shared" si="78"/>
        <v>#REF!</v>
      </c>
      <c r="AA177" s="1350"/>
      <c r="AB177" s="862"/>
      <c r="AC177" s="1450"/>
      <c r="AD177" s="1450"/>
    </row>
    <row r="178" spans="1:34" ht="157.5" x14ac:dyDescent="0.25">
      <c r="A178" s="854">
        <v>2</v>
      </c>
      <c r="B178" s="863" t="str">
        <f t="shared" ca="1" si="79"/>
        <v>11.7</v>
      </c>
      <c r="C178" s="887" t="s">
        <v>5246</v>
      </c>
      <c r="D178" s="888" t="s">
        <v>2588</v>
      </c>
      <c r="E178" s="1201">
        <f>240/100</f>
        <v>2.4</v>
      </c>
      <c r="F178" s="857" t="s">
        <v>4234</v>
      </c>
      <c r="G178" s="859">
        <v>45292</v>
      </c>
      <c r="H178" s="860">
        <f>670.98</f>
        <v>670.98</v>
      </c>
      <c r="M178" s="860">
        <f>670.98</f>
        <v>670.98</v>
      </c>
      <c r="N178" s="860">
        <f t="shared" si="70"/>
        <v>1610.35</v>
      </c>
      <c r="O178" s="860">
        <v>1</v>
      </c>
      <c r="P178" s="860">
        <v>1</v>
      </c>
      <c r="Q178" s="860">
        <f t="shared" si="63"/>
        <v>1610.35</v>
      </c>
      <c r="R178" s="860">
        <v>0.87</v>
      </c>
      <c r="S178" s="860">
        <v>0.99</v>
      </c>
      <c r="T178" s="860">
        <v>1</v>
      </c>
      <c r="U178" s="1342">
        <f t="shared" si="64"/>
        <v>1386.99</v>
      </c>
      <c r="V178" s="1350"/>
      <c r="W178" s="861" t="e">
        <f>#REF!</f>
        <v>#REF!</v>
      </c>
      <c r="X178" s="860" t="e">
        <f t="shared" si="65"/>
        <v>#REF!</v>
      </c>
      <c r="Y178" s="871" t="e">
        <f>#REF!</f>
        <v>#REF!</v>
      </c>
      <c r="Z178" s="860" t="e">
        <f t="shared" si="78"/>
        <v>#REF!</v>
      </c>
      <c r="AA178" s="1350"/>
      <c r="AB178" s="862" t="s">
        <v>4146</v>
      </c>
      <c r="AC178" s="1450"/>
      <c r="AD178" s="1450"/>
    </row>
    <row r="179" spans="1:34" x14ac:dyDescent="0.25">
      <c r="A179" s="854">
        <v>1</v>
      </c>
      <c r="B179" s="863" t="str">
        <f t="shared" ca="1" si="79"/>
        <v>12</v>
      </c>
      <c r="C179" s="867" t="s">
        <v>5529</v>
      </c>
      <c r="D179" s="857" t="s">
        <v>432</v>
      </c>
      <c r="E179" s="870">
        <v>1</v>
      </c>
      <c r="F179" s="858"/>
      <c r="G179" s="859"/>
      <c r="H179" s="860"/>
      <c r="M179" s="860"/>
      <c r="N179" s="860">
        <f t="shared" si="70"/>
        <v>0</v>
      </c>
      <c r="O179" s="860"/>
      <c r="P179" s="860"/>
      <c r="Q179" s="860">
        <f t="shared" si="63"/>
        <v>0</v>
      </c>
      <c r="R179" s="860"/>
      <c r="S179" s="860"/>
      <c r="T179" s="860"/>
      <c r="U179" s="1342">
        <f t="shared" si="64"/>
        <v>0</v>
      </c>
      <c r="V179" s="1350"/>
      <c r="W179" s="861"/>
      <c r="X179" s="860">
        <f t="shared" si="65"/>
        <v>0</v>
      </c>
      <c r="Y179" s="871"/>
      <c r="Z179" s="860">
        <f t="shared" si="78"/>
        <v>0</v>
      </c>
      <c r="AA179" s="1350"/>
      <c r="AB179" s="862"/>
      <c r="AC179" s="1450"/>
      <c r="AD179" s="1450"/>
    </row>
    <row r="180" spans="1:34" s="868" customFormat="1" ht="78.75" x14ac:dyDescent="0.25">
      <c r="A180" s="854">
        <v>2</v>
      </c>
      <c r="B180" s="863" t="str">
        <f t="shared" ca="1" si="79"/>
        <v>12.1</v>
      </c>
      <c r="C180" s="1002" t="s">
        <v>5528</v>
      </c>
      <c r="D180" s="857" t="s">
        <v>4131</v>
      </c>
      <c r="E180" s="857">
        <f>3990/1000</f>
        <v>3.99</v>
      </c>
      <c r="F180" s="857" t="s">
        <v>5431</v>
      </c>
      <c r="G180" s="859">
        <v>45383</v>
      </c>
      <c r="H180" s="860" t="e">
        <f>#REF!/1000*1.15*1.03</f>
        <v>#REF!</v>
      </c>
      <c r="I180" s="1328"/>
      <c r="J180" s="1328"/>
      <c r="K180" s="1328"/>
      <c r="L180" s="1328"/>
      <c r="M180" s="860" t="e">
        <f>#REF!/1000*1.15*1.03</f>
        <v>#REF!</v>
      </c>
      <c r="N180" s="860" t="e">
        <f t="shared" si="70"/>
        <v>#REF!</v>
      </c>
      <c r="O180" s="860">
        <v>1</v>
      </c>
      <c r="P180" s="860">
        <v>1</v>
      </c>
      <c r="Q180" s="860" t="e">
        <f t="shared" ref="Q180" si="80">N180*O180*P180</f>
        <v>#REF!</v>
      </c>
      <c r="R180" s="860">
        <v>1</v>
      </c>
      <c r="S180" s="860">
        <v>1</v>
      </c>
      <c r="T180" s="860">
        <v>1</v>
      </c>
      <c r="U180" s="1342" t="e">
        <f t="shared" ref="U180" si="81">Q180*R180*S180*T180</f>
        <v>#REF!</v>
      </c>
      <c r="V180" s="1350"/>
      <c r="W180" s="861" t="e">
        <f>#REF!</f>
        <v>#REF!</v>
      </c>
      <c r="X180" s="860" t="e">
        <f t="shared" ref="X180" si="82">U180*W180</f>
        <v>#REF!</v>
      </c>
      <c r="Y180" s="871" t="e">
        <f>#REF!</f>
        <v>#REF!</v>
      </c>
      <c r="Z180" s="860" t="e">
        <f t="shared" si="78"/>
        <v>#REF!</v>
      </c>
      <c r="AA180" s="1350"/>
      <c r="AB180" s="866"/>
      <c r="AC180" s="1450"/>
      <c r="AD180" s="1450"/>
      <c r="AG180" s="1328"/>
      <c r="AH180" s="1328"/>
    </row>
    <row r="181" spans="1:34" x14ac:dyDescent="0.25">
      <c r="A181" s="854">
        <v>2</v>
      </c>
      <c r="B181" s="863" t="str">
        <f t="shared" ca="1" si="79"/>
        <v>12.2</v>
      </c>
      <c r="C181" s="864" t="s">
        <v>4862</v>
      </c>
      <c r="D181" s="857" t="s">
        <v>4131</v>
      </c>
      <c r="E181" s="869">
        <f>140/1000</f>
        <v>0.14000000000000001</v>
      </c>
      <c r="F181" s="858"/>
      <c r="G181" s="859"/>
      <c r="H181" s="860"/>
      <c r="M181" s="860"/>
      <c r="N181" s="860" t="e">
        <f>N182+N183</f>
        <v>#REF!</v>
      </c>
      <c r="O181" s="860"/>
      <c r="P181" s="860"/>
      <c r="Q181" s="860" t="e">
        <f>Q182+Q183</f>
        <v>#REF!</v>
      </c>
      <c r="R181" s="860"/>
      <c r="S181" s="860"/>
      <c r="T181" s="860"/>
      <c r="U181" s="1342" t="e">
        <f>U182+U183</f>
        <v>#REF!</v>
      </c>
      <c r="V181" s="1350"/>
      <c r="W181" s="861"/>
      <c r="X181" s="860" t="e">
        <f>X182+X183</f>
        <v>#REF!</v>
      </c>
      <c r="Y181" s="871"/>
      <c r="Z181" s="860" t="e">
        <f>Z182+Z183</f>
        <v>#REF!</v>
      </c>
      <c r="AA181" s="1350"/>
      <c r="AB181" s="866"/>
      <c r="AC181" s="1450"/>
      <c r="AD181" s="1450"/>
    </row>
    <row r="182" spans="1:34" s="1217" customFormat="1" ht="94.5" outlineLevel="1" x14ac:dyDescent="0.25">
      <c r="A182" s="1217">
        <v>3</v>
      </c>
      <c r="B182" s="1218" t="str">
        <f t="shared" ca="1" si="79"/>
        <v>12.2.1</v>
      </c>
      <c r="C182" s="1219" t="s">
        <v>5071</v>
      </c>
      <c r="D182" s="1220" t="s">
        <v>2647</v>
      </c>
      <c r="E182" s="1231">
        <f>140</f>
        <v>140</v>
      </c>
      <c r="F182" s="1220" t="s">
        <v>5432</v>
      </c>
      <c r="G182" s="1221">
        <v>45383</v>
      </c>
      <c r="H182" s="1222" t="e">
        <f>#REF!/1000*1.15*1.03</f>
        <v>#REF!</v>
      </c>
      <c r="M182" s="1222" t="e">
        <f>#REF!/1000*1.15*1.03</f>
        <v>#REF!</v>
      </c>
      <c r="N182" s="1222" t="e">
        <f>E182*H182</f>
        <v>#REF!</v>
      </c>
      <c r="O182" s="1222">
        <v>1</v>
      </c>
      <c r="P182" s="1222">
        <v>1</v>
      </c>
      <c r="Q182" s="1222" t="e">
        <f>N182*O182*P182</f>
        <v>#REF!</v>
      </c>
      <c r="R182" s="1222">
        <v>1</v>
      </c>
      <c r="S182" s="1222">
        <v>1</v>
      </c>
      <c r="T182" s="1222">
        <v>1</v>
      </c>
      <c r="U182" s="1345" t="e">
        <f>Q182*R182*S182*T182</f>
        <v>#REF!</v>
      </c>
      <c r="V182" s="1352"/>
      <c r="W182" s="1223" t="e">
        <f>#REF!</f>
        <v>#REF!</v>
      </c>
      <c r="X182" s="1222" t="e">
        <f>U182*W182</f>
        <v>#REF!</v>
      </c>
      <c r="Y182" s="1224" t="e">
        <f>#REF!</f>
        <v>#REF!</v>
      </c>
      <c r="Z182" s="1222" t="e">
        <f t="shared" ref="Z182:Z183" si="83">X182*Y182</f>
        <v>#REF!</v>
      </c>
      <c r="AA182" s="1352"/>
      <c r="AB182" s="1225"/>
      <c r="AC182" s="1453"/>
      <c r="AD182" s="1453"/>
    </row>
    <row r="183" spans="1:34" s="1217" customFormat="1" ht="126" outlineLevel="1" x14ac:dyDescent="0.25">
      <c r="A183" s="1217">
        <v>3</v>
      </c>
      <c r="B183" s="1218" t="str">
        <f t="shared" ca="1" si="79"/>
        <v>12.2.2</v>
      </c>
      <c r="C183" s="1219" t="s">
        <v>5072</v>
      </c>
      <c r="D183" s="1220" t="s">
        <v>4131</v>
      </c>
      <c r="E183" s="1231">
        <f>140/1000</f>
        <v>0.14000000000000001</v>
      </c>
      <c r="F183" s="1220" t="s">
        <v>5435</v>
      </c>
      <c r="G183" s="1221">
        <v>45292</v>
      </c>
      <c r="H183" s="1222">
        <f>4464.86</f>
        <v>4464.8599999999997</v>
      </c>
      <c r="M183" s="1222">
        <f>4464.86</f>
        <v>4464.8599999999997</v>
      </c>
      <c r="N183" s="1222">
        <f>E183*H183</f>
        <v>625.08000000000004</v>
      </c>
      <c r="O183" s="1222">
        <v>1</v>
      </c>
      <c r="P183" s="1222">
        <v>1</v>
      </c>
      <c r="Q183" s="1222">
        <f>N183*O183*P183</f>
        <v>625.08000000000004</v>
      </c>
      <c r="R183" s="1222">
        <v>0.84</v>
      </c>
      <c r="S183" s="1222">
        <v>0.99</v>
      </c>
      <c r="T183" s="1222">
        <v>1</v>
      </c>
      <c r="U183" s="1345">
        <f>Q183*R183*S183*T183</f>
        <v>519.82000000000005</v>
      </c>
      <c r="V183" s="1352"/>
      <c r="W183" s="1223" t="e">
        <f>#REF!</f>
        <v>#REF!</v>
      </c>
      <c r="X183" s="1222" t="e">
        <f>U183*W183</f>
        <v>#REF!</v>
      </c>
      <c r="Y183" s="1224" t="e">
        <f>#REF!</f>
        <v>#REF!</v>
      </c>
      <c r="Z183" s="1222" t="e">
        <f t="shared" si="83"/>
        <v>#REF!</v>
      </c>
      <c r="AA183" s="1352"/>
      <c r="AB183" s="1225"/>
      <c r="AC183" s="1453"/>
      <c r="AD183" s="1453"/>
    </row>
    <row r="184" spans="1:34" ht="47.25" x14ac:dyDescent="0.25">
      <c r="A184" s="854">
        <v>2</v>
      </c>
      <c r="B184" s="863" t="str">
        <f t="shared" ca="1" si="79"/>
        <v>12.3</v>
      </c>
      <c r="C184" s="887" t="s">
        <v>4863</v>
      </c>
      <c r="D184" s="888" t="s">
        <v>4131</v>
      </c>
      <c r="E184" s="889">
        <f>400/1000</f>
        <v>0.4</v>
      </c>
      <c r="F184" s="858"/>
      <c r="G184" s="859"/>
      <c r="H184" s="860"/>
      <c r="M184" s="860"/>
      <c r="N184" s="860" t="e">
        <f>N185+N186</f>
        <v>#REF!</v>
      </c>
      <c r="O184" s="860"/>
      <c r="P184" s="860"/>
      <c r="Q184" s="860" t="e">
        <f>Q185+Q186</f>
        <v>#REF!</v>
      </c>
      <c r="R184" s="860"/>
      <c r="S184" s="860"/>
      <c r="T184" s="860"/>
      <c r="U184" s="1342" t="e">
        <f>U185+U186</f>
        <v>#REF!</v>
      </c>
      <c r="V184" s="1350"/>
      <c r="W184" s="861"/>
      <c r="X184" s="860" t="e">
        <f>X185+X186</f>
        <v>#REF!</v>
      </c>
      <c r="Y184" s="871"/>
      <c r="Z184" s="860" t="e">
        <f>Z185+Z186</f>
        <v>#REF!</v>
      </c>
      <c r="AA184" s="1350"/>
      <c r="AB184" s="866"/>
      <c r="AC184" s="1450"/>
      <c r="AD184" s="1450"/>
    </row>
    <row r="185" spans="1:34" s="1217" customFormat="1" ht="94.5" outlineLevel="1" x14ac:dyDescent="0.25">
      <c r="A185" s="1217">
        <v>3</v>
      </c>
      <c r="B185" s="1218" t="str">
        <f t="shared" ca="1" si="79"/>
        <v>12.3.1</v>
      </c>
      <c r="C185" s="1228" t="s">
        <v>5068</v>
      </c>
      <c r="D185" s="1229" t="s">
        <v>2647</v>
      </c>
      <c r="E185" s="1230">
        <f>400</f>
        <v>400</v>
      </c>
      <c r="F185" s="1220" t="s">
        <v>5433</v>
      </c>
      <c r="G185" s="1221">
        <v>45383</v>
      </c>
      <c r="H185" s="1222" t="e">
        <f>#REF!/1000*1.15*1.03</f>
        <v>#REF!</v>
      </c>
      <c r="M185" s="1222" t="e">
        <f>#REF!/1000*1.15*1.03</f>
        <v>#REF!</v>
      </c>
      <c r="N185" s="1222" t="e">
        <f>E185*H185</f>
        <v>#REF!</v>
      </c>
      <c r="O185" s="1222">
        <v>1</v>
      </c>
      <c r="P185" s="1222">
        <v>1</v>
      </c>
      <c r="Q185" s="1222" t="e">
        <f>N185*O185*P185</f>
        <v>#REF!</v>
      </c>
      <c r="R185" s="1222">
        <v>1</v>
      </c>
      <c r="S185" s="1222">
        <v>1</v>
      </c>
      <c r="T185" s="1222">
        <v>1</v>
      </c>
      <c r="U185" s="1345" t="e">
        <f>Q185*R185*S185*T185</f>
        <v>#REF!</v>
      </c>
      <c r="V185" s="1352"/>
      <c r="W185" s="1223" t="e">
        <f>#REF!</f>
        <v>#REF!</v>
      </c>
      <c r="X185" s="1222" t="e">
        <f>U185*W185</f>
        <v>#REF!</v>
      </c>
      <c r="Y185" s="1224" t="e">
        <f>#REF!</f>
        <v>#REF!</v>
      </c>
      <c r="Z185" s="1222" t="e">
        <f t="shared" ref="Z185:Z186" si="84">X185*Y185</f>
        <v>#REF!</v>
      </c>
      <c r="AA185" s="1352"/>
      <c r="AB185" s="1225"/>
      <c r="AC185" s="1453"/>
      <c r="AD185" s="1453"/>
    </row>
    <row r="186" spans="1:34" s="1217" customFormat="1" ht="110.25" outlineLevel="1" x14ac:dyDescent="0.25">
      <c r="A186" s="1217">
        <v>3</v>
      </c>
      <c r="B186" s="1218" t="str">
        <f t="shared" ca="1" si="79"/>
        <v>12.3.2</v>
      </c>
      <c r="C186" s="1228" t="s">
        <v>5069</v>
      </c>
      <c r="D186" s="1229" t="s">
        <v>4131</v>
      </c>
      <c r="E186" s="1230">
        <f>400/1000</f>
        <v>0.4</v>
      </c>
      <c r="F186" s="1220" t="s">
        <v>4850</v>
      </c>
      <c r="G186" s="1221">
        <v>45292</v>
      </c>
      <c r="H186" s="1222">
        <f>6044.03</f>
        <v>6044.03</v>
      </c>
      <c r="M186" s="1222">
        <f>6044.03</f>
        <v>6044.03</v>
      </c>
      <c r="N186" s="1222">
        <f>E186*H186</f>
        <v>2417.61</v>
      </c>
      <c r="O186" s="1222">
        <v>1</v>
      </c>
      <c r="P186" s="1222">
        <v>1</v>
      </c>
      <c r="Q186" s="1222">
        <f>N186*O186*P186</f>
        <v>2417.61</v>
      </c>
      <c r="R186" s="1222">
        <v>0.77</v>
      </c>
      <c r="S186" s="1222">
        <v>0.98</v>
      </c>
      <c r="T186" s="1222">
        <v>1</v>
      </c>
      <c r="U186" s="1345">
        <f>Q186*R186*S186*T186</f>
        <v>1824.33</v>
      </c>
      <c r="V186" s="1352"/>
      <c r="W186" s="1223" t="e">
        <f>#REF!</f>
        <v>#REF!</v>
      </c>
      <c r="X186" s="1222" t="e">
        <f>U186*W186</f>
        <v>#REF!</v>
      </c>
      <c r="Y186" s="1224" t="e">
        <f>#REF!</f>
        <v>#REF!</v>
      </c>
      <c r="Z186" s="1222" t="e">
        <f t="shared" si="84"/>
        <v>#REF!</v>
      </c>
      <c r="AA186" s="1352"/>
      <c r="AB186" s="1225"/>
      <c r="AC186" s="1453"/>
      <c r="AD186" s="1453"/>
    </row>
    <row r="187" spans="1:34" ht="63" x14ac:dyDescent="0.25">
      <c r="A187" s="854">
        <v>2</v>
      </c>
      <c r="B187" s="863" t="str">
        <f t="shared" ca="1" si="79"/>
        <v>12.4</v>
      </c>
      <c r="C187" s="867" t="s">
        <v>5247</v>
      </c>
      <c r="D187" s="857" t="s">
        <v>4131</v>
      </c>
      <c r="E187" s="857">
        <f>150/1000</f>
        <v>0.15</v>
      </c>
      <c r="F187" s="857"/>
      <c r="G187" s="859"/>
      <c r="H187" s="860"/>
      <c r="M187" s="860"/>
      <c r="N187" s="860" t="e">
        <f>N188+N189</f>
        <v>#REF!</v>
      </c>
      <c r="O187" s="860"/>
      <c r="P187" s="860"/>
      <c r="Q187" s="860" t="e">
        <f>Q188+Q189</f>
        <v>#REF!</v>
      </c>
      <c r="R187" s="860"/>
      <c r="S187" s="860"/>
      <c r="T187" s="860"/>
      <c r="U187" s="1342" t="e">
        <f>U188+U189</f>
        <v>#REF!</v>
      </c>
      <c r="V187" s="1350"/>
      <c r="W187" s="861"/>
      <c r="X187" s="860" t="e">
        <f>X188+X189</f>
        <v>#REF!</v>
      </c>
      <c r="Y187" s="871"/>
      <c r="Z187" s="860" t="e">
        <f>Z188+Z189</f>
        <v>#REF!</v>
      </c>
      <c r="AA187" s="1350"/>
      <c r="AB187" s="866"/>
      <c r="AC187" s="1450"/>
      <c r="AD187" s="1450"/>
    </row>
    <row r="188" spans="1:34" s="1226" customFormat="1" ht="94.5" outlineLevel="1" x14ac:dyDescent="0.25">
      <c r="A188" s="1217">
        <v>3</v>
      </c>
      <c r="B188" s="1218" t="str">
        <f t="shared" ca="1" si="79"/>
        <v>12.4.1</v>
      </c>
      <c r="C188" s="1219" t="s">
        <v>5070</v>
      </c>
      <c r="D188" s="1220" t="s">
        <v>2647</v>
      </c>
      <c r="E188" s="1220">
        <f>150</f>
        <v>150</v>
      </c>
      <c r="F188" s="1220" t="s">
        <v>5434</v>
      </c>
      <c r="G188" s="1221">
        <v>45383</v>
      </c>
      <c r="H188" s="1222" t="e">
        <f>#REF!/1000*1.15*1.03</f>
        <v>#REF!</v>
      </c>
      <c r="M188" s="1222" t="e">
        <f>#REF!/1000*1.15*1.03</f>
        <v>#REF!</v>
      </c>
      <c r="N188" s="1222" t="e">
        <f t="shared" ref="N188:N193" si="85">E188*H188</f>
        <v>#REF!</v>
      </c>
      <c r="O188" s="1222">
        <v>1</v>
      </c>
      <c r="P188" s="1222">
        <v>1</v>
      </c>
      <c r="Q188" s="1222" t="e">
        <f t="shared" ref="Q188:Q193" si="86">N188*O188*P188</f>
        <v>#REF!</v>
      </c>
      <c r="R188" s="1222">
        <v>1</v>
      </c>
      <c r="S188" s="1222">
        <v>1</v>
      </c>
      <c r="T188" s="1222">
        <v>1</v>
      </c>
      <c r="U188" s="1345" t="e">
        <f t="shared" ref="U188:U193" si="87">Q188*R188*S188*T188</f>
        <v>#REF!</v>
      </c>
      <c r="V188" s="1352"/>
      <c r="W188" s="1223" t="e">
        <f>#REF!</f>
        <v>#REF!</v>
      </c>
      <c r="X188" s="1222" t="e">
        <f t="shared" ref="X188:X193" si="88">U188*W188</f>
        <v>#REF!</v>
      </c>
      <c r="Y188" s="1224" t="e">
        <f>#REF!</f>
        <v>#REF!</v>
      </c>
      <c r="Z188" s="1222" t="e">
        <f t="shared" ref="Z188:Z191" si="89">X188*Y188</f>
        <v>#REF!</v>
      </c>
      <c r="AA188" s="1352"/>
      <c r="AB188" s="1225"/>
      <c r="AC188" s="1453"/>
      <c r="AD188" s="1453"/>
    </row>
    <row r="189" spans="1:34" s="1217" customFormat="1" ht="94.5" outlineLevel="1" x14ac:dyDescent="0.25">
      <c r="A189" s="1217">
        <v>3</v>
      </c>
      <c r="B189" s="1218" t="str">
        <f t="shared" ca="1" si="79"/>
        <v>12.4.2</v>
      </c>
      <c r="C189" s="1219" t="s">
        <v>5248</v>
      </c>
      <c r="D189" s="1220" t="s">
        <v>4131</v>
      </c>
      <c r="E189" s="1220">
        <v>0.15</v>
      </c>
      <c r="F189" s="1220" t="s">
        <v>5249</v>
      </c>
      <c r="G189" s="1221">
        <v>45292</v>
      </c>
      <c r="H189" s="1222">
        <f>4104.89</f>
        <v>4104.8900000000003</v>
      </c>
      <c r="M189" s="1222">
        <f>4104.89</f>
        <v>4104.8900000000003</v>
      </c>
      <c r="N189" s="1222">
        <f t="shared" si="85"/>
        <v>615.73</v>
      </c>
      <c r="O189" s="1222">
        <v>1</v>
      </c>
      <c r="P189" s="1222">
        <v>1</v>
      </c>
      <c r="Q189" s="1222">
        <f t="shared" si="86"/>
        <v>615.73</v>
      </c>
      <c r="R189" s="1222">
        <v>0.8</v>
      </c>
      <c r="S189" s="1222">
        <v>0.98</v>
      </c>
      <c r="T189" s="1222">
        <v>1</v>
      </c>
      <c r="U189" s="1345">
        <f t="shared" si="87"/>
        <v>482.73</v>
      </c>
      <c r="V189" s="1352"/>
      <c r="W189" s="1223" t="e">
        <f>#REF!</f>
        <v>#REF!</v>
      </c>
      <c r="X189" s="1222" t="e">
        <f t="shared" si="88"/>
        <v>#REF!</v>
      </c>
      <c r="Y189" s="1227" t="e">
        <f>#REF!</f>
        <v>#REF!</v>
      </c>
      <c r="Z189" s="1222" t="e">
        <f t="shared" si="89"/>
        <v>#REF!</v>
      </c>
      <c r="AA189" s="1352"/>
      <c r="AB189" s="1225"/>
      <c r="AC189" s="1453"/>
      <c r="AD189" s="1453"/>
    </row>
    <row r="190" spans="1:34" ht="126" x14ac:dyDescent="0.25">
      <c r="A190" s="854">
        <v>2</v>
      </c>
      <c r="B190" s="863" t="str">
        <f t="shared" ca="1" si="79"/>
        <v>12.5</v>
      </c>
      <c r="C190" s="1001" t="s">
        <v>4840</v>
      </c>
      <c r="D190" s="857" t="s">
        <v>4131</v>
      </c>
      <c r="E190" s="865">
        <f>5420/1000</f>
        <v>5.42</v>
      </c>
      <c r="F190" s="1000" t="s">
        <v>4839</v>
      </c>
      <c r="G190" s="859">
        <v>45292</v>
      </c>
      <c r="H190" s="875">
        <f>4988.56</f>
        <v>4988.5600000000004</v>
      </c>
      <c r="M190" s="875">
        <f>4988.56</f>
        <v>4988.5600000000004</v>
      </c>
      <c r="N190" s="875">
        <f t="shared" si="85"/>
        <v>27038</v>
      </c>
      <c r="O190" s="860">
        <v>1</v>
      </c>
      <c r="P190" s="860">
        <v>1</v>
      </c>
      <c r="Q190" s="875">
        <f t="shared" si="86"/>
        <v>27038</v>
      </c>
      <c r="R190" s="860">
        <v>0.84</v>
      </c>
      <c r="S190" s="860">
        <v>0.99</v>
      </c>
      <c r="T190" s="860">
        <v>1</v>
      </c>
      <c r="U190" s="1344">
        <f t="shared" si="87"/>
        <v>22484.799999999999</v>
      </c>
      <c r="V190" s="1350"/>
      <c r="W190" s="861" t="e">
        <f>#REF!</f>
        <v>#REF!</v>
      </c>
      <c r="X190" s="860" t="e">
        <f t="shared" si="88"/>
        <v>#REF!</v>
      </c>
      <c r="Y190" s="871" t="e">
        <f>#REF!</f>
        <v>#REF!</v>
      </c>
      <c r="Z190" s="860" t="e">
        <f t="shared" si="89"/>
        <v>#REF!</v>
      </c>
      <c r="AA190" s="1350"/>
      <c r="AB190" s="866"/>
      <c r="AC190" s="1450"/>
      <c r="AD190" s="1450"/>
    </row>
    <row r="191" spans="1:34" ht="141.75" x14ac:dyDescent="0.25">
      <c r="A191" s="854">
        <v>2</v>
      </c>
      <c r="B191" s="863" t="str">
        <f t="shared" ca="1" si="79"/>
        <v>12.6</v>
      </c>
      <c r="C191" s="867" t="s">
        <v>4860</v>
      </c>
      <c r="D191" s="857" t="s">
        <v>2588</v>
      </c>
      <c r="E191" s="869">
        <f>1300/100</f>
        <v>13</v>
      </c>
      <c r="F191" s="858" t="s">
        <v>4861</v>
      </c>
      <c r="G191" s="859">
        <v>45292</v>
      </c>
      <c r="H191" s="860">
        <f>480.02</f>
        <v>480.02</v>
      </c>
      <c r="M191" s="860">
        <f>480.02</f>
        <v>480.02</v>
      </c>
      <c r="N191" s="860">
        <f t="shared" si="85"/>
        <v>6240.26</v>
      </c>
      <c r="O191" s="860">
        <v>1</v>
      </c>
      <c r="P191" s="860">
        <v>1</v>
      </c>
      <c r="Q191" s="860">
        <f t="shared" si="86"/>
        <v>6240.26</v>
      </c>
      <c r="R191" s="860">
        <v>0.84</v>
      </c>
      <c r="S191" s="860">
        <v>0.99</v>
      </c>
      <c r="T191" s="860">
        <v>1</v>
      </c>
      <c r="U191" s="1342">
        <f t="shared" si="87"/>
        <v>5189.3999999999996</v>
      </c>
      <c r="V191" s="1350"/>
      <c r="W191" s="861" t="e">
        <f>#REF!</f>
        <v>#REF!</v>
      </c>
      <c r="X191" s="860" t="e">
        <f t="shared" si="88"/>
        <v>#REF!</v>
      </c>
      <c r="Y191" s="871" t="e">
        <f>#REF!</f>
        <v>#REF!</v>
      </c>
      <c r="Z191" s="860" t="e">
        <f t="shared" si="89"/>
        <v>#REF!</v>
      </c>
      <c r="AA191" s="1350"/>
      <c r="AB191" s="862" t="s">
        <v>4372</v>
      </c>
      <c r="AC191" s="1450"/>
      <c r="AD191" s="1450"/>
    </row>
    <row r="192" spans="1:34" ht="197.25" customHeight="1" x14ac:dyDescent="0.25">
      <c r="A192" s="854">
        <v>2</v>
      </c>
      <c r="B192" s="863" t="str">
        <f ca="1">IF(A192&gt;OFFSET(A192,-1,0),OFFSET(B192,-1,0)&amp;"."&amp;1,LEFT(OFFSET(B192,-1,0),SEARCH("^^",SUBSTITUTE("."&amp;OFFSET(B192,-1,0),".","^^",A192))-1)&amp;1--MID(OFFSET(B192,-1,0),SEARCH("^^",SUBSTITUTE("."&amp;OFFSET(B192,-1,0),".","^^",A192)),SEARCH("^^",SUBSTITUTE(OFFSET(B192,-1,0)&amp;".",".","^^",A192))-SEARCH("^^",SUBSTITUTE("."&amp;OFFSET(B192,-1,0),".","^^",A192))))</f>
        <v>12.7</v>
      </c>
      <c r="C192" s="867" t="s">
        <v>5049</v>
      </c>
      <c r="D192" s="857" t="s">
        <v>4147</v>
      </c>
      <c r="E192" s="870">
        <v>36</v>
      </c>
      <c r="F192" s="857" t="s">
        <v>5050</v>
      </c>
      <c r="G192" s="859">
        <v>45292</v>
      </c>
      <c r="H192" s="860">
        <f>2339.56-(500-36)*(2339.56-3716.9)/(500-28.3)</f>
        <v>3694.42</v>
      </c>
      <c r="M192" s="860">
        <f>2339.56-(500-36)*(2339.56-3716.9)/(500-28.3)</f>
        <v>3694.42</v>
      </c>
      <c r="N192" s="860">
        <f t="shared" si="85"/>
        <v>132999.12</v>
      </c>
      <c r="O192" s="860">
        <v>1</v>
      </c>
      <c r="P192" s="860">
        <v>1</v>
      </c>
      <c r="Q192" s="860">
        <f t="shared" si="86"/>
        <v>132999.12</v>
      </c>
      <c r="R192" s="860">
        <v>0.8</v>
      </c>
      <c r="S192" s="860">
        <v>0.99</v>
      </c>
      <c r="T192" s="860">
        <v>1</v>
      </c>
      <c r="U192" s="1342">
        <f t="shared" si="87"/>
        <v>105335.3</v>
      </c>
      <c r="V192" s="1350"/>
      <c r="W192" s="861" t="e">
        <f>#REF!</f>
        <v>#REF!</v>
      </c>
      <c r="X192" s="860" t="e">
        <f t="shared" si="88"/>
        <v>#REF!</v>
      </c>
      <c r="Y192" s="871" t="e">
        <f>#REF!</f>
        <v>#REF!</v>
      </c>
      <c r="Z192" s="886" t="e">
        <f>X192*Y192</f>
        <v>#REF!</v>
      </c>
      <c r="AA192" s="1350"/>
      <c r="AB192" s="866"/>
      <c r="AC192" s="1450"/>
      <c r="AD192" s="1450"/>
    </row>
    <row r="193" spans="3:30" s="1036" customFormat="1" ht="173.25" x14ac:dyDescent="0.25">
      <c r="C193" s="1037" t="s">
        <v>5046</v>
      </c>
      <c r="D193" s="1038" t="s">
        <v>4133</v>
      </c>
      <c r="E193" s="1038">
        <v>1500</v>
      </c>
      <c r="F193" s="1039" t="s">
        <v>5048</v>
      </c>
      <c r="G193" s="1040">
        <v>45292</v>
      </c>
      <c r="H193" s="1041">
        <f>18.69-(1900-1500)*(18.69-18.96)/(1900-1400)</f>
        <v>18.91</v>
      </c>
      <c r="M193" s="1041">
        <f>18.69-(1900-1500)*(18.69-18.96)/(1900-1400)</f>
        <v>18.91</v>
      </c>
      <c r="N193" s="1041">
        <f t="shared" si="85"/>
        <v>28365</v>
      </c>
      <c r="O193" s="1041">
        <v>1</v>
      </c>
      <c r="P193" s="1041">
        <v>1</v>
      </c>
      <c r="Q193" s="1041">
        <f t="shared" si="86"/>
        <v>28365</v>
      </c>
      <c r="R193" s="1041">
        <v>0.8</v>
      </c>
      <c r="S193" s="1041">
        <v>0.99</v>
      </c>
      <c r="T193" s="1041">
        <v>1</v>
      </c>
      <c r="U193" s="1346">
        <f t="shared" si="87"/>
        <v>22465.08</v>
      </c>
      <c r="V193" s="1353"/>
      <c r="W193" s="861" t="e">
        <f>#REF!</f>
        <v>#REF!</v>
      </c>
      <c r="X193" s="1041" t="e">
        <f t="shared" si="88"/>
        <v>#REF!</v>
      </c>
      <c r="Y193" s="871" t="e">
        <f>#REF!</f>
        <v>#REF!</v>
      </c>
      <c r="Z193" s="1041" t="e">
        <f t="shared" ref="Z193" si="90">X193*Y193</f>
        <v>#REF!</v>
      </c>
      <c r="AA193" s="1353"/>
      <c r="AB193" s="1037" t="s">
        <v>4372</v>
      </c>
      <c r="AC193" s="1037"/>
      <c r="AD193" s="1037"/>
    </row>
  </sheetData>
  <autoFilter ref="A7:AB81"/>
  <mergeCells count="34">
    <mergeCell ref="AD4:AD6"/>
    <mergeCell ref="AG4:AH4"/>
    <mergeCell ref="I5:I6"/>
    <mergeCell ref="J5:J6"/>
    <mergeCell ref="K5:K6"/>
    <mergeCell ref="L5:L6"/>
    <mergeCell ref="X4:X6"/>
    <mergeCell ref="Y4:Y6"/>
    <mergeCell ref="Z4:Z6"/>
    <mergeCell ref="AA4:AA6"/>
    <mergeCell ref="AB4:AB6"/>
    <mergeCell ref="AC4:AC6"/>
    <mergeCell ref="R4:R6"/>
    <mergeCell ref="S4:S6"/>
    <mergeCell ref="T4:T6"/>
    <mergeCell ref="A4:A6"/>
    <mergeCell ref="B4:B6"/>
    <mergeCell ref="C4:C6"/>
    <mergeCell ref="D4:D6"/>
    <mergeCell ref="E4:E6"/>
    <mergeCell ref="N4:N6"/>
    <mergeCell ref="O4:O6"/>
    <mergeCell ref="U4:U6"/>
    <mergeCell ref="P4:P6"/>
    <mergeCell ref="B1:AB1"/>
    <mergeCell ref="B2:AB2"/>
    <mergeCell ref="F4:F6"/>
    <mergeCell ref="G4:G6"/>
    <mergeCell ref="H4:H6"/>
    <mergeCell ref="V4:V6"/>
    <mergeCell ref="W4:W6"/>
    <mergeCell ref="I4:L4"/>
    <mergeCell ref="M4:M6"/>
    <mergeCell ref="Q4:Q6"/>
  </mergeCells>
  <pageMargins left="0.70866141732283472" right="0.70866141732283472" top="0.74803149606299213" bottom="0.74803149606299213" header="0.31496062992125984" footer="0.31496062992125984"/>
  <pageSetup paperSize="9" scale="10"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H124"/>
  <sheetViews>
    <sheetView view="pageBreakPreview" zoomScale="60" zoomScaleNormal="70" workbookViewId="0">
      <pane xSplit="6" ySplit="7" topLeftCell="G8" activePane="bottomRight" state="frozen"/>
      <selection activeCell="O39" sqref="O39"/>
      <selection pane="topRight" activeCell="O39" sqref="O39"/>
      <selection pane="bottomLeft" activeCell="O39" sqref="O39"/>
      <selection pane="bottomRight" activeCell="E28" sqref="E28"/>
    </sheetView>
  </sheetViews>
  <sheetFormatPr defaultRowHeight="15.75" outlineLevelCol="1" x14ac:dyDescent="0.25"/>
  <cols>
    <col min="1" max="1" width="9.140625" style="854" hidden="1" customWidth="1" outlineLevel="1"/>
    <col min="2" max="2" width="10.140625" style="854" customWidth="1" collapsed="1"/>
    <col min="3" max="3" width="59.140625" style="854" customWidth="1"/>
    <col min="4" max="4" width="13.7109375" style="854" customWidth="1"/>
    <col min="5" max="5" width="13.85546875" style="854" customWidth="1"/>
    <col min="6" max="6" width="45.42578125" style="854" customWidth="1"/>
    <col min="7" max="7" width="15.42578125" style="854" customWidth="1"/>
    <col min="8" max="8" width="16.7109375" style="854" customWidth="1"/>
    <col min="9" max="12" width="22.5703125" style="1036" hidden="1" customWidth="1" outlineLevel="1"/>
    <col min="13" max="13" width="16.7109375" style="854" hidden="1" customWidth="1" collapsed="1"/>
    <col min="14" max="14" width="18.28515625" style="854" customWidth="1"/>
    <col min="15" max="16" width="14.5703125" style="854" customWidth="1"/>
    <col min="17" max="17" width="22.28515625" style="854" customWidth="1"/>
    <col min="18" max="18" width="24.28515625" style="854" customWidth="1"/>
    <col min="19" max="19" width="23.28515625" style="854" customWidth="1"/>
    <col min="20" max="20" width="22.28515625" style="854" customWidth="1"/>
    <col min="21" max="21" width="21" style="854" customWidth="1"/>
    <col min="22" max="22" width="18.28515625" style="853" hidden="1" customWidth="1"/>
    <col min="23" max="26" width="21" style="854" customWidth="1"/>
    <col min="27" max="27" width="18.28515625" style="853" hidden="1" customWidth="1"/>
    <col min="28" max="28" width="55.140625" style="854" customWidth="1"/>
    <col min="29" max="29" width="19.85546875" style="854" customWidth="1"/>
    <col min="30" max="30" width="19.42578125" style="854" hidden="1" customWidth="1"/>
    <col min="31" max="31" width="17" style="854" customWidth="1"/>
    <col min="32" max="32" width="18.5703125" style="854" customWidth="1"/>
    <col min="33" max="33" width="17.28515625" style="1036" hidden="1" customWidth="1"/>
    <col min="34" max="34" width="23.28515625" style="1036" hidden="1" customWidth="1"/>
    <col min="35" max="16384" width="9.140625" style="854"/>
  </cols>
  <sheetData>
    <row r="1" spans="1:34" s="853" customFormat="1" x14ac:dyDescent="0.25">
      <c r="B1" s="2773" t="s">
        <v>7833</v>
      </c>
      <c r="C1" s="2773"/>
      <c r="D1" s="2773"/>
      <c r="E1" s="2773"/>
      <c r="F1" s="2773"/>
      <c r="G1" s="2773"/>
      <c r="H1" s="2773"/>
      <c r="I1" s="2773"/>
      <c r="J1" s="2773"/>
      <c r="K1" s="2773"/>
      <c r="L1" s="2773"/>
      <c r="M1" s="2773"/>
      <c r="N1" s="2773"/>
      <c r="O1" s="2773"/>
      <c r="P1" s="2773"/>
      <c r="Q1" s="2773"/>
      <c r="R1" s="2773"/>
      <c r="S1" s="2773"/>
      <c r="T1" s="2773"/>
      <c r="U1" s="2773"/>
      <c r="V1" s="2773"/>
      <c r="W1" s="2773"/>
      <c r="X1" s="2773"/>
      <c r="Y1" s="2773"/>
      <c r="Z1" s="2773"/>
      <c r="AA1" s="2773"/>
      <c r="AB1" s="2773"/>
      <c r="AC1" s="1447"/>
      <c r="AD1" s="1447"/>
      <c r="AG1" s="1558"/>
      <c r="AH1" s="1558"/>
    </row>
    <row r="2" spans="1:34" s="853" customFormat="1" x14ac:dyDescent="0.25">
      <c r="B2" s="2759" t="str">
        <f>'Пояснительная (ПИР+СМР)'!A3</f>
        <v>Кампус ВТРК «Мамисон»</v>
      </c>
      <c r="C2" s="2759"/>
      <c r="D2" s="2759"/>
      <c r="E2" s="2759"/>
      <c r="F2" s="2759"/>
      <c r="G2" s="2759"/>
      <c r="H2" s="2759"/>
      <c r="I2" s="2759"/>
      <c r="J2" s="2759"/>
      <c r="K2" s="2759"/>
      <c r="L2" s="2759"/>
      <c r="M2" s="2759"/>
      <c r="N2" s="2759"/>
      <c r="O2" s="2759"/>
      <c r="P2" s="2759"/>
      <c r="Q2" s="2759"/>
      <c r="R2" s="2759"/>
      <c r="S2" s="2759"/>
      <c r="T2" s="2759"/>
      <c r="U2" s="2759"/>
      <c r="V2" s="2759"/>
      <c r="W2" s="2759"/>
      <c r="X2" s="2759"/>
      <c r="Y2" s="2759"/>
      <c r="Z2" s="2759"/>
      <c r="AA2" s="2759"/>
      <c r="AB2" s="2759"/>
      <c r="AC2" s="1446"/>
      <c r="AD2" s="1446"/>
      <c r="AG2" s="1558"/>
      <c r="AH2" s="1558"/>
    </row>
    <row r="3" spans="1:34" x14ac:dyDescent="0.25">
      <c r="B3" s="1315"/>
      <c r="C3" s="1315"/>
      <c r="D3" s="1315"/>
      <c r="E3" s="1315"/>
      <c r="F3" s="1315"/>
      <c r="G3" s="1315"/>
      <c r="H3" s="1315"/>
      <c r="M3" s="1315"/>
      <c r="N3" s="1315"/>
      <c r="O3" s="1315"/>
      <c r="P3" s="1315"/>
      <c r="Q3" s="1315"/>
      <c r="R3" s="1315"/>
      <c r="S3" s="1315"/>
      <c r="T3" s="1315"/>
      <c r="U3" s="1315"/>
      <c r="V3" s="1318"/>
      <c r="W3" s="1315"/>
      <c r="X3" s="1315"/>
      <c r="Y3" s="1315"/>
      <c r="Z3" s="1315"/>
      <c r="AA3" s="1318"/>
    </row>
    <row r="4" spans="1:34" ht="52.5" customHeight="1" x14ac:dyDescent="0.25">
      <c r="A4" s="2761" t="s">
        <v>4122</v>
      </c>
      <c r="B4" s="2778" t="s">
        <v>4123</v>
      </c>
      <c r="C4" s="2790" t="s">
        <v>4124</v>
      </c>
      <c r="D4" s="2790" t="s">
        <v>187</v>
      </c>
      <c r="E4" s="2778" t="s">
        <v>790</v>
      </c>
      <c r="F4" s="2790" t="s">
        <v>665</v>
      </c>
      <c r="G4" s="2778" t="s">
        <v>4125</v>
      </c>
      <c r="H4" s="2778" t="s">
        <v>7834</v>
      </c>
      <c r="I4" s="2777" t="s">
        <v>5840</v>
      </c>
      <c r="J4" s="2777"/>
      <c r="K4" s="2777"/>
      <c r="L4" s="2777"/>
      <c r="M4" s="2778" t="s">
        <v>5859</v>
      </c>
      <c r="N4" s="2778" t="s">
        <v>7835</v>
      </c>
      <c r="O4" s="2778" t="s">
        <v>4126</v>
      </c>
      <c r="P4" s="2778" t="s">
        <v>4127</v>
      </c>
      <c r="Q4" s="2778" t="s">
        <v>7836</v>
      </c>
      <c r="R4" s="2778" t="s">
        <v>6002</v>
      </c>
      <c r="S4" s="2778" t="s">
        <v>4128</v>
      </c>
      <c r="T4" s="2778" t="s">
        <v>4129</v>
      </c>
      <c r="U4" s="2778" t="s">
        <v>7945</v>
      </c>
      <c r="V4" s="2793" t="s">
        <v>5860</v>
      </c>
      <c r="W4" s="2788" t="s">
        <v>9204</v>
      </c>
      <c r="X4" s="2778" t="s">
        <v>7837</v>
      </c>
      <c r="Y4" s="2778" t="s">
        <v>9205</v>
      </c>
      <c r="Z4" s="2778" t="s">
        <v>7946</v>
      </c>
      <c r="AA4" s="2778" t="s">
        <v>5860</v>
      </c>
      <c r="AB4" s="2778" t="s">
        <v>4130</v>
      </c>
      <c r="AC4" s="2778" t="s">
        <v>7838</v>
      </c>
      <c r="AD4" s="2791" t="s">
        <v>5860</v>
      </c>
      <c r="AE4" s="2795" t="s">
        <v>8969</v>
      </c>
      <c r="AF4" s="2795"/>
      <c r="AG4" s="2794" t="s">
        <v>6036</v>
      </c>
      <c r="AH4" s="2780"/>
    </row>
    <row r="5" spans="1:34" ht="63.75" customHeight="1" x14ac:dyDescent="0.25">
      <c r="A5" s="2761"/>
      <c r="B5" s="2778"/>
      <c r="C5" s="2790"/>
      <c r="D5" s="2790"/>
      <c r="E5" s="2778"/>
      <c r="F5" s="2790"/>
      <c r="G5" s="2778"/>
      <c r="H5" s="2778"/>
      <c r="I5" s="2789" t="s">
        <v>5843</v>
      </c>
      <c r="J5" s="2789" t="s">
        <v>5841</v>
      </c>
      <c r="K5" s="2792" t="s">
        <v>5844</v>
      </c>
      <c r="L5" s="2789" t="s">
        <v>5257</v>
      </c>
      <c r="M5" s="2778"/>
      <c r="N5" s="2778"/>
      <c r="O5" s="2778"/>
      <c r="P5" s="2778"/>
      <c r="Q5" s="2778"/>
      <c r="R5" s="2778"/>
      <c r="S5" s="2778"/>
      <c r="T5" s="2778"/>
      <c r="U5" s="2778"/>
      <c r="V5" s="2793"/>
      <c r="W5" s="2788"/>
      <c r="X5" s="2778"/>
      <c r="Y5" s="2778"/>
      <c r="Z5" s="2778"/>
      <c r="AA5" s="2778"/>
      <c r="AB5" s="2778"/>
      <c r="AC5" s="2778"/>
      <c r="AD5" s="2791"/>
      <c r="AE5" s="2795" t="s">
        <v>8964</v>
      </c>
      <c r="AF5" s="2796" t="s">
        <v>4053</v>
      </c>
      <c r="AG5" s="2095" t="s">
        <v>6037</v>
      </c>
      <c r="AH5" s="1559" t="s">
        <v>6038</v>
      </c>
    </row>
    <row r="6" spans="1:34" ht="63.75" customHeight="1" x14ac:dyDescent="0.25">
      <c r="A6" s="2761"/>
      <c r="B6" s="2778"/>
      <c r="C6" s="2790"/>
      <c r="D6" s="2790"/>
      <c r="E6" s="2778"/>
      <c r="F6" s="2790"/>
      <c r="G6" s="2778"/>
      <c r="H6" s="2778"/>
      <c r="I6" s="2789"/>
      <c r="J6" s="2789"/>
      <c r="K6" s="2792"/>
      <c r="L6" s="2789"/>
      <c r="M6" s="2778"/>
      <c r="N6" s="2778"/>
      <c r="O6" s="2778"/>
      <c r="P6" s="2778"/>
      <c r="Q6" s="2778"/>
      <c r="R6" s="2778"/>
      <c r="S6" s="2778"/>
      <c r="T6" s="2778"/>
      <c r="U6" s="2778"/>
      <c r="V6" s="2793"/>
      <c r="W6" s="2788"/>
      <c r="X6" s="2778"/>
      <c r="Y6" s="2778"/>
      <c r="Z6" s="2778"/>
      <c r="AA6" s="2778"/>
      <c r="AB6" s="2778"/>
      <c r="AC6" s="2778"/>
      <c r="AD6" s="2791"/>
      <c r="AE6" s="2795"/>
      <c r="AF6" s="2796"/>
      <c r="AG6" s="2096"/>
      <c r="AH6" s="1560"/>
    </row>
    <row r="7" spans="1:34" x14ac:dyDescent="0.25">
      <c r="A7" s="855"/>
      <c r="B7" s="1858">
        <v>1</v>
      </c>
      <c r="C7" s="1462">
        <v>2</v>
      </c>
      <c r="D7" s="1858">
        <v>3</v>
      </c>
      <c r="E7" s="1462">
        <v>4</v>
      </c>
      <c r="F7" s="1858">
        <v>5</v>
      </c>
      <c r="G7" s="1462">
        <v>6</v>
      </c>
      <c r="H7" s="1462">
        <v>7</v>
      </c>
      <c r="I7" s="1324"/>
      <c r="J7" s="1324"/>
      <c r="K7" s="1324"/>
      <c r="L7" s="1324"/>
      <c r="M7" s="1462">
        <v>7</v>
      </c>
      <c r="N7" s="1858">
        <v>8</v>
      </c>
      <c r="O7" s="1462">
        <v>9</v>
      </c>
      <c r="P7" s="1858">
        <v>10</v>
      </c>
      <c r="Q7" s="1462">
        <v>11</v>
      </c>
      <c r="R7" s="1858">
        <v>12</v>
      </c>
      <c r="S7" s="1462">
        <v>13</v>
      </c>
      <c r="T7" s="1858">
        <v>14</v>
      </c>
      <c r="U7" s="1462">
        <v>15</v>
      </c>
      <c r="V7" s="1347"/>
      <c r="W7" s="1462">
        <v>16</v>
      </c>
      <c r="X7" s="1858">
        <v>17</v>
      </c>
      <c r="Y7" s="1462">
        <v>18</v>
      </c>
      <c r="Z7" s="1858">
        <v>19</v>
      </c>
      <c r="AA7" s="1347"/>
      <c r="AB7" s="1462">
        <v>20</v>
      </c>
      <c r="AC7" s="1462"/>
      <c r="AD7" s="2087"/>
      <c r="AE7" s="1560"/>
      <c r="AF7" s="1560"/>
      <c r="AG7" s="2096"/>
      <c r="AH7" s="1560"/>
    </row>
    <row r="8" spans="1:34" s="853" customFormat="1" ht="171" customHeight="1" x14ac:dyDescent="0.25">
      <c r="A8" s="853">
        <v>1</v>
      </c>
      <c r="B8" s="2192">
        <v>1</v>
      </c>
      <c r="C8" s="2181" t="s">
        <v>7830</v>
      </c>
      <c r="D8" s="2182" t="s">
        <v>7832</v>
      </c>
      <c r="E8" s="2183">
        <f>1280*3</f>
        <v>3840</v>
      </c>
      <c r="F8" s="2182" t="s">
        <v>8999</v>
      </c>
      <c r="G8" s="2184">
        <v>46143</v>
      </c>
      <c r="H8" s="2185">
        <f>104031301.5/1.22/1000/1279.4</f>
        <v>66.650000000000006</v>
      </c>
      <c r="I8" s="2186"/>
      <c r="J8" s="2186"/>
      <c r="K8" s="2186"/>
      <c r="L8" s="2186"/>
      <c r="M8" s="2185">
        <f>2339.56-(500-36)*(2339.56-3716.9)/(500-28.3)</f>
        <v>3694.42</v>
      </c>
      <c r="N8" s="2185">
        <f>E8*H8</f>
        <v>255936</v>
      </c>
      <c r="O8" s="2185">
        <v>1</v>
      </c>
      <c r="P8" s="2185">
        <v>1</v>
      </c>
      <c r="Q8" s="2185">
        <f>N8*O8*P8</f>
        <v>255936</v>
      </c>
      <c r="R8" s="2185">
        <v>1</v>
      </c>
      <c r="S8" s="2185">
        <v>1</v>
      </c>
      <c r="T8" s="2185">
        <v>1</v>
      </c>
      <c r="U8" s="2185">
        <f>Q8*R8*S8*T8</f>
        <v>255936</v>
      </c>
      <c r="V8" s="2185"/>
      <c r="W8" s="2188">
        <f>'Индексы Росстата'!$F$120</f>
        <v>1.0101</v>
      </c>
      <c r="X8" s="2185">
        <f>U8*W8</f>
        <v>258520.95</v>
      </c>
      <c r="Y8" s="2189">
        <f>'Прогнозные индексы'!$K$64</f>
        <v>1.034</v>
      </c>
      <c r="Z8" s="2185">
        <f>X8*Y8</f>
        <v>267310.65999999997</v>
      </c>
      <c r="AA8" s="2185"/>
      <c r="AB8" s="2191" t="s">
        <v>9000</v>
      </c>
      <c r="AC8" s="2210">
        <f>Z8*1.22</f>
        <v>326119.01</v>
      </c>
      <c r="AD8" s="2211"/>
      <c r="AE8" s="2212">
        <f>AC8/E8</f>
        <v>84.93</v>
      </c>
      <c r="AF8" s="2193" t="s">
        <v>130</v>
      </c>
      <c r="AG8" s="1558"/>
      <c r="AH8" s="1558"/>
    </row>
    <row r="9" spans="1:34" s="1516" customFormat="1" ht="158.25" customHeight="1" x14ac:dyDescent="0.25">
      <c r="A9" s="1516">
        <v>1</v>
      </c>
      <c r="B9" s="2192" t="str">
        <f t="shared" ref="B9" ca="1" si="0">IF(A9&gt;OFFSET(A9,-1,0),OFFSET(B9,-1,0)&amp;"."&amp;1,LEFT(OFFSET(B9,-1,0),SEARCH("^^",SUBSTITUTE("."&amp;OFFSET(B9,-1,0),".","^^",A9))-1)&amp;1--MID(OFFSET(B9,-1,0),SEARCH("^^",SUBSTITUTE("."&amp;OFFSET(B9,-1,0),".","^^",A9)),SEARCH("^^",SUBSTITUTE(OFFSET(B9,-1,0)&amp;".",".","^^",A9))-SEARCH("^^",SUBSTITUTE("."&amp;OFFSET(B9,-1,0),".","^^",A9))))</f>
        <v>2</v>
      </c>
      <c r="C9" s="2194" t="s">
        <v>7839</v>
      </c>
      <c r="D9" s="2195" t="s">
        <v>9199</v>
      </c>
      <c r="E9" s="2213">
        <v>3240</v>
      </c>
      <c r="F9" s="2196" t="s">
        <v>8962</v>
      </c>
      <c r="G9" s="2197">
        <v>45931</v>
      </c>
      <c r="H9" s="2198">
        <f>('ЛСР 02-01-01-доп. АР. МФЦ'!$N$144+'ЛСР 02-01-01-доп. АР. МФЦ'!$N$147)/('ЛСР 02-01-01-доп. АР. МФЦ'!$G$119*100)/1000</f>
        <v>12.76</v>
      </c>
      <c r="I9" s="2199"/>
      <c r="J9" s="2199"/>
      <c r="K9" s="2199"/>
      <c r="L9" s="2199"/>
      <c r="M9" s="2198"/>
      <c r="N9" s="2198">
        <f>E9*H9</f>
        <v>41342.400000000001</v>
      </c>
      <c r="O9" s="2200">
        <v>1</v>
      </c>
      <c r="P9" s="2200">
        <v>1.1499999999999999</v>
      </c>
      <c r="Q9" s="2198">
        <f>N9*O9*P9</f>
        <v>47543.76</v>
      </c>
      <c r="R9" s="2200">
        <v>1</v>
      </c>
      <c r="S9" s="2200">
        <v>1</v>
      </c>
      <c r="T9" s="2200">
        <v>1</v>
      </c>
      <c r="U9" s="2198">
        <f t="shared" ref="U9" si="1">Q9*R9*S9*T9</f>
        <v>47543.76</v>
      </c>
      <c r="V9" s="2198"/>
      <c r="W9" s="2188">
        <f>'Индексы Росстата'!$F$122</f>
        <v>1.0322</v>
      </c>
      <c r="X9" s="2198">
        <f>U9*W9</f>
        <v>49074.67</v>
      </c>
      <c r="Y9" s="2189">
        <f>'Прогнозные индексы'!$K$64</f>
        <v>1.034</v>
      </c>
      <c r="Z9" s="2198">
        <f>X9*Y9</f>
        <v>50743.21</v>
      </c>
      <c r="AA9" s="2198"/>
      <c r="AB9" s="2204" t="s">
        <v>8963</v>
      </c>
      <c r="AC9" s="2205">
        <f>Z9*1.22</f>
        <v>61906.720000000001</v>
      </c>
      <c r="AD9" s="2201"/>
      <c r="AE9" s="2202">
        <f>AC9/E9</f>
        <v>19.11</v>
      </c>
      <c r="AF9" s="2203" t="s">
        <v>130</v>
      </c>
      <c r="AG9" s="2098"/>
      <c r="AH9" s="1563"/>
    </row>
    <row r="10" spans="1:34" s="853" customFormat="1" ht="171" customHeight="1" x14ac:dyDescent="0.25">
      <c r="A10" s="1516">
        <v>1</v>
      </c>
      <c r="B10" s="2192" t="str">
        <f t="shared" ref="B10:B11" ca="1" si="2">IF(A10&gt;OFFSET(A10,-1,0),OFFSET(B10,-1,0)&amp;"."&amp;1,LEFT(OFFSET(B10,-1,0),SEARCH("^^",SUBSTITUTE("."&amp;OFFSET(B10,-1,0),".","^^",A10))-1)&amp;1--MID(OFFSET(B10,-1,0),SEARCH("^^",SUBSTITUTE("."&amp;OFFSET(B10,-1,0),".","^^",A10)),SEARCH("^^",SUBSTITUTE(OFFSET(B10,-1,0)&amp;".",".","^^",A10))-SEARCH("^^",SUBSTITUTE("."&amp;OFFSET(B10,-1,0),".","^^",A10))))</f>
        <v>3</v>
      </c>
      <c r="C10" s="2181" t="s">
        <v>9114</v>
      </c>
      <c r="D10" s="2182" t="s">
        <v>7832</v>
      </c>
      <c r="E10" s="2183">
        <v>285</v>
      </c>
      <c r="F10" s="2182" t="s">
        <v>8999</v>
      </c>
      <c r="G10" s="2184">
        <v>46143</v>
      </c>
      <c r="H10" s="2185">
        <f>104031301.5/1.22/1000/1279.4</f>
        <v>66.650000000000006</v>
      </c>
      <c r="I10" s="2221"/>
      <c r="J10" s="2221"/>
      <c r="K10" s="2221"/>
      <c r="L10" s="2221"/>
      <c r="M10" s="2185">
        <f>2339.56-(500-36)*(2339.56-3716.9)/(500-28.3)</f>
        <v>3694.42</v>
      </c>
      <c r="N10" s="2185">
        <f>E10*H10</f>
        <v>18995.25</v>
      </c>
      <c r="O10" s="2185">
        <v>1</v>
      </c>
      <c r="P10" s="2185">
        <v>1</v>
      </c>
      <c r="Q10" s="2185">
        <f>N10*O10*P10</f>
        <v>18995.25</v>
      </c>
      <c r="R10" s="2185">
        <v>1</v>
      </c>
      <c r="S10" s="2185">
        <v>1</v>
      </c>
      <c r="T10" s="2185">
        <v>1</v>
      </c>
      <c r="U10" s="2185">
        <f>Q10*R10*S10*T10</f>
        <v>18995.25</v>
      </c>
      <c r="V10" s="2185"/>
      <c r="W10" s="2188">
        <f>'Индексы Росстата'!$F$120</f>
        <v>1.0101</v>
      </c>
      <c r="X10" s="2185">
        <f>U10*W10</f>
        <v>19187.099999999999</v>
      </c>
      <c r="Y10" s="2189">
        <f>'Прогнозные индексы'!$K$64</f>
        <v>1.034</v>
      </c>
      <c r="Z10" s="2185">
        <f>X10*Y10</f>
        <v>19839.46</v>
      </c>
      <c r="AA10" s="2185"/>
      <c r="AB10" s="2191" t="s">
        <v>9000</v>
      </c>
      <c r="AC10" s="2210">
        <f>Z10*1.22</f>
        <v>24204.14</v>
      </c>
      <c r="AD10" s="2211"/>
      <c r="AE10" s="2212">
        <f>AC10/E10</f>
        <v>84.93</v>
      </c>
      <c r="AF10" s="2193" t="s">
        <v>130</v>
      </c>
      <c r="AG10" s="1558"/>
      <c r="AH10" s="1558"/>
    </row>
    <row r="11" spans="1:34" s="853" customFormat="1" ht="300.75" customHeight="1" x14ac:dyDescent="0.25">
      <c r="A11" s="1516">
        <v>1</v>
      </c>
      <c r="B11" s="2192" t="str">
        <f t="shared" ca="1" si="2"/>
        <v>4</v>
      </c>
      <c r="C11" s="2181" t="s">
        <v>9115</v>
      </c>
      <c r="D11" s="2182" t="s">
        <v>7832</v>
      </c>
      <c r="E11" s="2183">
        <v>38</v>
      </c>
      <c r="F11" s="2182" t="s">
        <v>9116</v>
      </c>
      <c r="G11" s="2184">
        <v>46023</v>
      </c>
      <c r="H11" s="2185">
        <f>136.99</f>
        <v>136.99</v>
      </c>
      <c r="I11" s="2186"/>
      <c r="J11" s="2186"/>
      <c r="K11" s="2186"/>
      <c r="L11" s="2186"/>
      <c r="M11" s="2185">
        <f>2339.56-(500-36)*(2339.56-3716.9)/(500-28.3)</f>
        <v>3694.42</v>
      </c>
      <c r="N11" s="2185">
        <f>E11*H11</f>
        <v>5205.62</v>
      </c>
      <c r="O11" s="2185">
        <v>1</v>
      </c>
      <c r="P11" s="2185">
        <v>1</v>
      </c>
      <c r="Q11" s="2185">
        <f>N11*O11*P11</f>
        <v>5205.62</v>
      </c>
      <c r="R11" s="2185">
        <v>0.9</v>
      </c>
      <c r="S11" s="2185">
        <v>1</v>
      </c>
      <c r="T11" s="2185">
        <v>1.03</v>
      </c>
      <c r="U11" s="2187">
        <f>Q11*R11*S11*T11</f>
        <v>4825.6099999999997</v>
      </c>
      <c r="V11" s="2185"/>
      <c r="W11" s="2188">
        <f>'Индексы Росстата'!$F$121</f>
        <v>1.0225</v>
      </c>
      <c r="X11" s="2185">
        <f>U11*W11</f>
        <v>4934.1899999999996</v>
      </c>
      <c r="Y11" s="2189">
        <f>'Прогнозные индексы'!$K$64</f>
        <v>1.034</v>
      </c>
      <c r="Z11" s="2185">
        <f>X11*Y11</f>
        <v>5101.95</v>
      </c>
      <c r="AA11" s="2185"/>
      <c r="AB11" s="2191" t="s">
        <v>9117</v>
      </c>
      <c r="AC11" s="2207">
        <f>Z11*1.22</f>
        <v>6224.38</v>
      </c>
      <c r="AD11" s="2208"/>
      <c r="AE11" s="2209">
        <f>AC11/E11</f>
        <v>163.80000000000001</v>
      </c>
      <c r="AF11" s="2206" t="s">
        <v>130</v>
      </c>
      <c r="AG11" s="1558"/>
      <c r="AH11" s="1558"/>
    </row>
    <row r="12" spans="1:34" s="1516" customFormat="1" ht="31.5" x14ac:dyDescent="0.25">
      <c r="A12" s="1516">
        <v>1</v>
      </c>
      <c r="B12" s="2014" t="str">
        <f t="shared" ref="B12:B53" ca="1" si="3">IF(A12&gt;OFFSET(A12,-1,0),OFFSET(B12,-1,0)&amp;"."&amp;1,LEFT(OFFSET(B12,-1,0),SEARCH("^^",SUBSTITUTE("."&amp;OFFSET(B12,-1,0),".","^^",A12))-1)&amp;1--MID(OFFSET(B12,-1,0),SEARCH("^^",SUBSTITUTE("."&amp;OFFSET(B12,-1,0),".","^^",A12)),SEARCH("^^",SUBSTITUTE(OFFSET(B12,-1,0)&amp;".",".","^^",A12))-SEARCH("^^",SUBSTITUTE("."&amp;OFFSET(B12,-1,0),".","^^",A12))))</f>
        <v>5</v>
      </c>
      <c r="C12" s="1485" t="s">
        <v>6033</v>
      </c>
      <c r="D12" s="1491" t="s">
        <v>432</v>
      </c>
      <c r="E12" s="1491">
        <v>1</v>
      </c>
      <c r="F12" s="2002" t="s">
        <v>6136</v>
      </c>
      <c r="G12" s="2003">
        <v>46204</v>
      </c>
      <c r="H12" s="1996"/>
      <c r="I12" s="2004"/>
      <c r="J12" s="2004"/>
      <c r="K12" s="2004"/>
      <c r="L12" s="2004"/>
      <c r="M12" s="1996"/>
      <c r="N12" s="1996">
        <f>N13+N14+N15+N16</f>
        <v>17515</v>
      </c>
      <c r="O12" s="2005"/>
      <c r="P12" s="2005"/>
      <c r="Q12" s="1996">
        <f>Q13+Q14+Q15+Q16</f>
        <v>17515</v>
      </c>
      <c r="R12" s="2005"/>
      <c r="S12" s="2005"/>
      <c r="T12" s="2005"/>
      <c r="U12" s="1996">
        <f>U13+U14+U15+U16</f>
        <v>17515</v>
      </c>
      <c r="V12" s="1996">
        <f>V13+V14+V15+V16</f>
        <v>0</v>
      </c>
      <c r="W12" s="2006"/>
      <c r="X12" s="1996">
        <f>X13+X14+X15+X16</f>
        <v>17515</v>
      </c>
      <c r="Y12" s="2008"/>
      <c r="Z12" s="1996">
        <f>Z13+Z14+Z15+Z16</f>
        <v>18110.509999999998</v>
      </c>
      <c r="AA12" s="1996">
        <f>AA13+AA14+AA15+AA16</f>
        <v>0</v>
      </c>
      <c r="AB12" s="2009" t="s">
        <v>7858</v>
      </c>
      <c r="AC12" s="1996">
        <f>AC13+AC14+AC15+AC16</f>
        <v>22094.82</v>
      </c>
      <c r="AD12" s="2020">
        <f>AA12*1.22</f>
        <v>0</v>
      </c>
      <c r="AE12" s="2106"/>
      <c r="AF12" s="2107"/>
      <c r="AG12" s="2098"/>
      <c r="AH12" s="1563"/>
    </row>
    <row r="13" spans="1:34" s="1254" customFormat="1" ht="31.5" x14ac:dyDescent="0.25">
      <c r="A13" s="1254">
        <v>2</v>
      </c>
      <c r="B13" s="2013" t="str">
        <f t="shared" ca="1" si="3"/>
        <v>5.1</v>
      </c>
      <c r="C13" s="1487" t="s">
        <v>5959</v>
      </c>
      <c r="D13" s="1486" t="s">
        <v>832</v>
      </c>
      <c r="E13" s="1488">
        <f>4700</f>
        <v>4700</v>
      </c>
      <c r="F13" s="1991" t="s">
        <v>7859</v>
      </c>
      <c r="G13" s="1992">
        <v>46204</v>
      </c>
      <c r="H13" s="1993">
        <f>'ЛСР №1'!$P$51*1.15/E13/1000</f>
        <v>0.12</v>
      </c>
      <c r="I13" s="1994"/>
      <c r="J13" s="1994"/>
      <c r="K13" s="1994"/>
      <c r="L13" s="1994">
        <f t="shared" ref="L13:L20" si="4">0*1000/1.02</f>
        <v>0</v>
      </c>
      <c r="M13" s="1993">
        <f t="shared" ref="M13:M19" si="5">H13-I13-K13</f>
        <v>0.12</v>
      </c>
      <c r="N13" s="1993">
        <f>E13*H13</f>
        <v>564</v>
      </c>
      <c r="O13" s="1995">
        <v>1</v>
      </c>
      <c r="P13" s="1995">
        <v>1</v>
      </c>
      <c r="Q13" s="1993">
        <f t="shared" ref="Q13:Q30" si="6">N13*O13*P13</f>
        <v>564</v>
      </c>
      <c r="R13" s="1995">
        <v>1</v>
      </c>
      <c r="S13" s="1995">
        <v>1</v>
      </c>
      <c r="T13" s="1995">
        <v>1</v>
      </c>
      <c r="U13" s="1993">
        <f t="shared" ref="U13:U30" si="7">Q13*R13*S13*T13</f>
        <v>564</v>
      </c>
      <c r="V13" s="1996">
        <f>E13*L13*O13*P13*R13*S13*T13</f>
        <v>0</v>
      </c>
      <c r="W13" s="1997">
        <f>'Индексы Росстата'!$F$119</f>
        <v>1</v>
      </c>
      <c r="X13" s="1998">
        <f t="shared" ref="X13:X30" si="8">U13*W13</f>
        <v>564</v>
      </c>
      <c r="Y13" s="2012">
        <f>'Прогнозные индексы'!$K$64</f>
        <v>1.034</v>
      </c>
      <c r="Z13" s="1998">
        <f t="shared" ref="Z13:Z30" si="9">X13*Y13</f>
        <v>583.17999999999995</v>
      </c>
      <c r="AA13" s="1996">
        <f t="shared" ref="AA13:AA24" si="10">V13*W13*Y13</f>
        <v>0</v>
      </c>
      <c r="AB13" s="2000" t="s">
        <v>7858</v>
      </c>
      <c r="AC13" s="2001">
        <f t="shared" ref="AC13:AC78" si="11">Z13*1.22</f>
        <v>711.48</v>
      </c>
      <c r="AD13" s="2071">
        <f t="shared" ref="AD13:AD78" si="12">AA13*1.22</f>
        <v>0</v>
      </c>
      <c r="AE13" s="2104">
        <f>AC13/E13</f>
        <v>0.15</v>
      </c>
      <c r="AF13" s="2105" t="s">
        <v>832</v>
      </c>
      <c r="AG13" s="2099">
        <f>I13*E13*O13*P13*R13*S13*T13*W13*Y13*1.22</f>
        <v>0</v>
      </c>
      <c r="AH13" s="1565">
        <f>K13*E13*O13*P13*R13*S13*T13*W13*Y13*1.22</f>
        <v>0</v>
      </c>
    </row>
    <row r="14" spans="1:34" s="1254" customFormat="1" ht="31.5" x14ac:dyDescent="0.25">
      <c r="A14" s="1254">
        <v>2</v>
      </c>
      <c r="B14" s="2013" t="str">
        <f t="shared" ca="1" si="3"/>
        <v>5.2</v>
      </c>
      <c r="C14" s="1487" t="s">
        <v>5960</v>
      </c>
      <c r="D14" s="1486" t="s">
        <v>832</v>
      </c>
      <c r="E14" s="1488">
        <v>2000</v>
      </c>
      <c r="F14" s="1991" t="s">
        <v>7860</v>
      </c>
      <c r="G14" s="1992">
        <v>46204</v>
      </c>
      <c r="H14" s="1993">
        <f>('ЛСР №1'!$P$95+'ЛСР №1'!$P$102)*1.15/E14/1000</f>
        <v>3.3</v>
      </c>
      <c r="I14" s="1994"/>
      <c r="J14" s="1994"/>
      <c r="K14" s="1994"/>
      <c r="L14" s="1994">
        <f t="shared" si="4"/>
        <v>0</v>
      </c>
      <c r="M14" s="1993">
        <f t="shared" si="5"/>
        <v>3.3</v>
      </c>
      <c r="N14" s="1993">
        <f>E14*H14</f>
        <v>6600</v>
      </c>
      <c r="O14" s="1995">
        <v>1</v>
      </c>
      <c r="P14" s="1995">
        <v>1</v>
      </c>
      <c r="Q14" s="1993">
        <f t="shared" si="6"/>
        <v>6600</v>
      </c>
      <c r="R14" s="1995">
        <v>1</v>
      </c>
      <c r="S14" s="1995">
        <v>1</v>
      </c>
      <c r="T14" s="1995">
        <v>1</v>
      </c>
      <c r="U14" s="1993">
        <f t="shared" si="7"/>
        <v>6600</v>
      </c>
      <c r="V14" s="1996">
        <f>E14*L14*O14*P14*R14*S14*T14</f>
        <v>0</v>
      </c>
      <c r="W14" s="1997">
        <f>'Индексы Росстата'!$F$119</f>
        <v>1</v>
      </c>
      <c r="X14" s="1998">
        <f t="shared" si="8"/>
        <v>6600</v>
      </c>
      <c r="Y14" s="2012">
        <f>'Прогнозные индексы'!$K$64</f>
        <v>1.034</v>
      </c>
      <c r="Z14" s="1998">
        <f t="shared" si="9"/>
        <v>6824.4</v>
      </c>
      <c r="AA14" s="1996">
        <f t="shared" si="10"/>
        <v>0</v>
      </c>
      <c r="AB14" s="2000" t="s">
        <v>7858</v>
      </c>
      <c r="AC14" s="2001">
        <f t="shared" si="11"/>
        <v>8325.77</v>
      </c>
      <c r="AD14" s="2071">
        <f t="shared" si="12"/>
        <v>0</v>
      </c>
      <c r="AE14" s="2104">
        <f>AC14/E14</f>
        <v>4.16</v>
      </c>
      <c r="AF14" s="2105" t="s">
        <v>832</v>
      </c>
      <c r="AG14" s="2099">
        <f t="shared" ref="AG14:AG78" si="13">I14*E14*O14*P14*R14*S14*T14*W14*Y14*1.22</f>
        <v>0</v>
      </c>
      <c r="AH14" s="1565">
        <f t="shared" ref="AH14:AH78" si="14">K14*E14*O14*P14*R14*S14*T14*W14*Y14*1.22</f>
        <v>0</v>
      </c>
    </row>
    <row r="15" spans="1:34" s="1254" customFormat="1" ht="31.5" x14ac:dyDescent="0.25">
      <c r="A15" s="1254">
        <v>2</v>
      </c>
      <c r="B15" s="2013" t="str">
        <f t="shared" ca="1" si="3"/>
        <v>5.3</v>
      </c>
      <c r="C15" s="1487" t="s">
        <v>5961</v>
      </c>
      <c r="D15" s="1486" t="s">
        <v>832</v>
      </c>
      <c r="E15" s="1488">
        <v>2000</v>
      </c>
      <c r="F15" s="1991" t="s">
        <v>7861</v>
      </c>
      <c r="G15" s="1992">
        <v>46204</v>
      </c>
      <c r="H15" s="1993">
        <f>('ЛСР №1'!$P$127+'ЛСР №1'!$P$134)*1.15/E15/1000</f>
        <v>4.4000000000000004</v>
      </c>
      <c r="I15" s="1994"/>
      <c r="J15" s="1994"/>
      <c r="K15" s="1994"/>
      <c r="L15" s="1994">
        <f t="shared" si="4"/>
        <v>0</v>
      </c>
      <c r="M15" s="1993">
        <f t="shared" si="5"/>
        <v>4.4000000000000004</v>
      </c>
      <c r="N15" s="1993">
        <f>E15*H15</f>
        <v>8800</v>
      </c>
      <c r="O15" s="1995">
        <v>1</v>
      </c>
      <c r="P15" s="1995">
        <v>1</v>
      </c>
      <c r="Q15" s="1993">
        <f>N15*O15*P15</f>
        <v>8800</v>
      </c>
      <c r="R15" s="1995">
        <v>1</v>
      </c>
      <c r="S15" s="1995">
        <v>1</v>
      </c>
      <c r="T15" s="1995">
        <v>1</v>
      </c>
      <c r="U15" s="1993">
        <f t="shared" si="7"/>
        <v>8800</v>
      </c>
      <c r="V15" s="1996">
        <f>E15*L15*O15*P15*R15*S15*T15</f>
        <v>0</v>
      </c>
      <c r="W15" s="1997">
        <f>'Индексы Росстата'!$F$119</f>
        <v>1</v>
      </c>
      <c r="X15" s="1998">
        <f t="shared" si="8"/>
        <v>8800</v>
      </c>
      <c r="Y15" s="2012">
        <f>'Прогнозные индексы'!$K$64</f>
        <v>1.034</v>
      </c>
      <c r="Z15" s="1998">
        <f t="shared" si="9"/>
        <v>9099.2000000000007</v>
      </c>
      <c r="AA15" s="1996">
        <f t="shared" si="10"/>
        <v>0</v>
      </c>
      <c r="AB15" s="2000" t="s">
        <v>7858</v>
      </c>
      <c r="AC15" s="2001">
        <f t="shared" si="11"/>
        <v>11101.02</v>
      </c>
      <c r="AD15" s="2071">
        <f t="shared" si="12"/>
        <v>0</v>
      </c>
      <c r="AE15" s="2104">
        <f>AC15/E15</f>
        <v>5.55</v>
      </c>
      <c r="AF15" s="2105" t="s">
        <v>832</v>
      </c>
      <c r="AG15" s="2099">
        <f t="shared" si="13"/>
        <v>0</v>
      </c>
      <c r="AH15" s="1565">
        <f t="shared" si="14"/>
        <v>0</v>
      </c>
    </row>
    <row r="16" spans="1:34" s="1254" customFormat="1" ht="31.5" x14ac:dyDescent="0.25">
      <c r="A16" s="1254">
        <v>2</v>
      </c>
      <c r="B16" s="2013" t="str">
        <f t="shared" ca="1" si="3"/>
        <v>5.4</v>
      </c>
      <c r="C16" s="1487" t="s">
        <v>5962</v>
      </c>
      <c r="D16" s="1486" t="s">
        <v>832</v>
      </c>
      <c r="E16" s="1488">
        <f>E13</f>
        <v>4700</v>
      </c>
      <c r="F16" s="1991" t="s">
        <v>7862</v>
      </c>
      <c r="G16" s="1992">
        <v>46204</v>
      </c>
      <c r="H16" s="1993">
        <f>('ЛСР №1'!$P$55+'ЛСР №1'!$P$72)*1.15/E16/1000</f>
        <v>0.33</v>
      </c>
      <c r="I16" s="1994"/>
      <c r="J16" s="1994"/>
      <c r="K16" s="1994"/>
      <c r="L16" s="1994">
        <f t="shared" si="4"/>
        <v>0</v>
      </c>
      <c r="M16" s="1993">
        <f t="shared" si="5"/>
        <v>0.33</v>
      </c>
      <c r="N16" s="1993">
        <f>E16*H16</f>
        <v>1551</v>
      </c>
      <c r="O16" s="1995">
        <v>1</v>
      </c>
      <c r="P16" s="1995">
        <v>1</v>
      </c>
      <c r="Q16" s="1993">
        <f t="shared" si="6"/>
        <v>1551</v>
      </c>
      <c r="R16" s="1995">
        <v>1</v>
      </c>
      <c r="S16" s="1995">
        <v>1</v>
      </c>
      <c r="T16" s="1995">
        <v>1</v>
      </c>
      <c r="U16" s="1993">
        <f t="shared" si="7"/>
        <v>1551</v>
      </c>
      <c r="V16" s="1996">
        <f>E16*L16*O16*P16*R16*S16*T16</f>
        <v>0</v>
      </c>
      <c r="W16" s="1997">
        <f>'Индексы Росстата'!$F$119</f>
        <v>1</v>
      </c>
      <c r="X16" s="1998">
        <f t="shared" si="8"/>
        <v>1551</v>
      </c>
      <c r="Y16" s="2012">
        <f>'Прогнозные индексы'!$K$64</f>
        <v>1.034</v>
      </c>
      <c r="Z16" s="1998">
        <f t="shared" si="9"/>
        <v>1603.73</v>
      </c>
      <c r="AA16" s="1996">
        <f t="shared" si="10"/>
        <v>0</v>
      </c>
      <c r="AB16" s="2000" t="s">
        <v>7858</v>
      </c>
      <c r="AC16" s="2001">
        <f t="shared" si="11"/>
        <v>1956.55</v>
      </c>
      <c r="AD16" s="2071">
        <f t="shared" si="12"/>
        <v>0</v>
      </c>
      <c r="AE16" s="2104">
        <f>AC16/E16</f>
        <v>0.42</v>
      </c>
      <c r="AF16" s="2105" t="s">
        <v>832</v>
      </c>
      <c r="AG16" s="2099">
        <f t="shared" si="13"/>
        <v>0</v>
      </c>
      <c r="AH16" s="1565">
        <f t="shared" si="14"/>
        <v>0</v>
      </c>
    </row>
    <row r="17" spans="1:34" s="1516" customFormat="1" x14ac:dyDescent="0.25">
      <c r="A17" s="1516">
        <v>1</v>
      </c>
      <c r="B17" s="2014" t="str">
        <f t="shared" ca="1" si="3"/>
        <v>6</v>
      </c>
      <c r="C17" s="1485" t="s">
        <v>5963</v>
      </c>
      <c r="D17" s="1491" t="s">
        <v>432</v>
      </c>
      <c r="E17" s="1492">
        <v>1</v>
      </c>
      <c r="F17" s="2002"/>
      <c r="G17" s="2003"/>
      <c r="H17" s="1996"/>
      <c r="I17" s="2004"/>
      <c r="J17" s="2004"/>
      <c r="K17" s="2004"/>
      <c r="L17" s="2004">
        <f t="shared" si="4"/>
        <v>0</v>
      </c>
      <c r="M17" s="1996">
        <f t="shared" si="5"/>
        <v>0</v>
      </c>
      <c r="N17" s="1996">
        <f>N18+N19+N20</f>
        <v>43831.57</v>
      </c>
      <c r="O17" s="2005"/>
      <c r="P17" s="2005"/>
      <c r="Q17" s="1996">
        <f>Q18+Q19+Q20</f>
        <v>47116.82</v>
      </c>
      <c r="R17" s="2005"/>
      <c r="S17" s="2005"/>
      <c r="T17" s="2005"/>
      <c r="U17" s="1996">
        <f>U18+U19+U20</f>
        <v>44925.89</v>
      </c>
      <c r="V17" s="1996">
        <f>V18+V19</f>
        <v>0</v>
      </c>
      <c r="W17" s="2006"/>
      <c r="X17" s="1996">
        <f>X18+X19+X20</f>
        <v>45874.49</v>
      </c>
      <c r="Y17" s="2008"/>
      <c r="Z17" s="1996">
        <f>Z18+Z19+Z20</f>
        <v>47434.22</v>
      </c>
      <c r="AA17" s="1996">
        <f t="shared" si="10"/>
        <v>0</v>
      </c>
      <c r="AB17" s="2009"/>
      <c r="AC17" s="1996">
        <f>AC18+AC19+AC20</f>
        <v>57869.75</v>
      </c>
      <c r="AD17" s="2020">
        <f t="shared" si="12"/>
        <v>0</v>
      </c>
      <c r="AE17" s="2106"/>
      <c r="AF17" s="2107"/>
      <c r="AG17" s="2178"/>
      <c r="AH17" s="1563"/>
    </row>
    <row r="18" spans="1:34" s="1254" customFormat="1" ht="144.75" customHeight="1" x14ac:dyDescent="0.25">
      <c r="A18" s="1254">
        <v>2</v>
      </c>
      <c r="B18" s="2013" t="str">
        <f t="shared" ca="1" si="3"/>
        <v>6.1</v>
      </c>
      <c r="C18" s="1487" t="s">
        <v>5964</v>
      </c>
      <c r="D18" s="1486" t="s">
        <v>4132</v>
      </c>
      <c r="E18" s="1493">
        <f>40/100</f>
        <v>0.4</v>
      </c>
      <c r="F18" s="1991" t="s">
        <v>6001</v>
      </c>
      <c r="G18" s="1992">
        <v>46023</v>
      </c>
      <c r="H18" s="1993">
        <f>10061.43</f>
        <v>10061.43</v>
      </c>
      <c r="I18" s="1994">
        <f>492.63*1000/1.02</f>
        <v>482970.59</v>
      </c>
      <c r="J18" s="1994"/>
      <c r="K18" s="1994">
        <f>200.48*1000/1.02</f>
        <v>196549.02</v>
      </c>
      <c r="L18" s="1994">
        <f t="shared" si="4"/>
        <v>0</v>
      </c>
      <c r="M18" s="1993">
        <f t="shared" si="5"/>
        <v>-669458.18000000005</v>
      </c>
      <c r="N18" s="1993">
        <f>E18*H18</f>
        <v>4024.57</v>
      </c>
      <c r="O18" s="1995">
        <v>1.08</v>
      </c>
      <c r="P18" s="1995">
        <v>1</v>
      </c>
      <c r="Q18" s="1993">
        <f t="shared" si="6"/>
        <v>4346.54</v>
      </c>
      <c r="R18" s="1995">
        <v>0.97</v>
      </c>
      <c r="S18" s="1995">
        <v>0.98</v>
      </c>
      <c r="T18" s="1995">
        <v>1</v>
      </c>
      <c r="U18" s="1993">
        <f t="shared" si="7"/>
        <v>4131.82</v>
      </c>
      <c r="V18" s="1996">
        <f>E18*L18*O18*P18*R18*S18*T18</f>
        <v>0</v>
      </c>
      <c r="W18" s="1997">
        <f>'Индексы Росстата'!$F$121</f>
        <v>1.0225</v>
      </c>
      <c r="X18" s="1998">
        <f t="shared" si="8"/>
        <v>4224.79</v>
      </c>
      <c r="Y18" s="2012">
        <f>'Прогнозные индексы'!$K$64</f>
        <v>1.034</v>
      </c>
      <c r="Z18" s="1998">
        <f t="shared" si="9"/>
        <v>4368.43</v>
      </c>
      <c r="AA18" s="1996">
        <f t="shared" si="10"/>
        <v>0</v>
      </c>
      <c r="AB18" s="2000"/>
      <c r="AC18" s="2001">
        <f t="shared" si="11"/>
        <v>5329.48</v>
      </c>
      <c r="AD18" s="2071">
        <f t="shared" si="12"/>
        <v>0</v>
      </c>
      <c r="AE18" s="2104">
        <f>AC18/(E18*100)</f>
        <v>133.24</v>
      </c>
      <c r="AF18" s="2105" t="s">
        <v>8966</v>
      </c>
      <c r="AG18" s="2100">
        <f t="shared" si="13"/>
        <v>255826.74</v>
      </c>
      <c r="AH18" s="1565">
        <f t="shared" si="14"/>
        <v>104110.88</v>
      </c>
    </row>
    <row r="19" spans="1:34" s="1254" customFormat="1" ht="31.5" x14ac:dyDescent="0.25">
      <c r="A19" s="1254">
        <v>2</v>
      </c>
      <c r="B19" s="2013" t="str">
        <f t="shared" ca="1" si="3"/>
        <v>6.2</v>
      </c>
      <c r="C19" s="1487" t="s">
        <v>5966</v>
      </c>
      <c r="D19" s="1486" t="s">
        <v>130</v>
      </c>
      <c r="E19" s="1488">
        <v>200</v>
      </c>
      <c r="F19" s="1991" t="s">
        <v>6138</v>
      </c>
      <c r="G19" s="1992">
        <v>46204</v>
      </c>
      <c r="H19" s="1993">
        <f>'ЛСР №1'!$P$238*1.15/E19/1000</f>
        <v>13.83</v>
      </c>
      <c r="I19" s="1994"/>
      <c r="J19" s="1994"/>
      <c r="K19" s="1994"/>
      <c r="L19" s="1994">
        <f t="shared" si="4"/>
        <v>0</v>
      </c>
      <c r="M19" s="1993">
        <f t="shared" si="5"/>
        <v>13.83</v>
      </c>
      <c r="N19" s="1993">
        <f>E19*H19</f>
        <v>2766</v>
      </c>
      <c r="O19" s="1995">
        <v>1</v>
      </c>
      <c r="P19" s="1995">
        <v>1</v>
      </c>
      <c r="Q19" s="1993">
        <f t="shared" si="6"/>
        <v>2766</v>
      </c>
      <c r="R19" s="1995">
        <v>1</v>
      </c>
      <c r="S19" s="1995">
        <v>1</v>
      </c>
      <c r="T19" s="1995">
        <v>1</v>
      </c>
      <c r="U19" s="1993">
        <f t="shared" si="7"/>
        <v>2766</v>
      </c>
      <c r="V19" s="1996">
        <f>E19*L19*O19*P19*R19*S19*T19</f>
        <v>0</v>
      </c>
      <c r="W19" s="1997">
        <f>'Индексы Росстата'!$F$119</f>
        <v>1</v>
      </c>
      <c r="X19" s="1998">
        <f t="shared" si="8"/>
        <v>2766</v>
      </c>
      <c r="Y19" s="2012">
        <f>'Прогнозные индексы'!$K$64</f>
        <v>1.034</v>
      </c>
      <c r="Z19" s="1998">
        <f t="shared" si="9"/>
        <v>2860.04</v>
      </c>
      <c r="AA19" s="1996">
        <f t="shared" si="10"/>
        <v>0</v>
      </c>
      <c r="AB19" s="2000" t="s">
        <v>7858</v>
      </c>
      <c r="AC19" s="2001">
        <f t="shared" si="11"/>
        <v>3489.25</v>
      </c>
      <c r="AD19" s="2071">
        <f t="shared" si="12"/>
        <v>0</v>
      </c>
      <c r="AE19" s="2104">
        <f>AC19/E19</f>
        <v>17.45</v>
      </c>
      <c r="AF19" s="2105" t="s">
        <v>130</v>
      </c>
      <c r="AG19" s="2099">
        <f t="shared" si="13"/>
        <v>0</v>
      </c>
      <c r="AH19" s="1565">
        <f t="shared" si="14"/>
        <v>0</v>
      </c>
    </row>
    <row r="20" spans="1:34" s="1254" customFormat="1" ht="144.75" customHeight="1" x14ac:dyDescent="0.25">
      <c r="A20" s="1254">
        <v>2</v>
      </c>
      <c r="B20" s="2013" t="str">
        <f t="shared" ref="B20" ca="1" si="15">IF(A20&gt;OFFSET(A20,-1,0),OFFSET(B20,-1,0)&amp;"."&amp;1,LEFT(OFFSET(B20,-1,0),SEARCH("^^",SUBSTITUTE("."&amp;OFFSET(B20,-1,0),".","^^",A20))-1)&amp;1--MID(OFFSET(B20,-1,0),SEARCH("^^",SUBSTITUTE("."&amp;OFFSET(B20,-1,0),".","^^",A20)),SEARCH("^^",SUBSTITUTE(OFFSET(B20,-1,0)&amp;".",".","^^",A20))-SEARCH("^^",SUBSTITUTE("."&amp;OFFSET(B20,-1,0),".","^^",A20))))</f>
        <v>6.3</v>
      </c>
      <c r="C20" s="1487" t="s">
        <v>7863</v>
      </c>
      <c r="D20" s="1486" t="s">
        <v>7864</v>
      </c>
      <c r="E20" s="1493">
        <v>300</v>
      </c>
      <c r="F20" s="1991" t="s">
        <v>7865</v>
      </c>
      <c r="G20" s="1992">
        <v>46023</v>
      </c>
      <c r="H20" s="1993">
        <f>123.47</f>
        <v>123.47</v>
      </c>
      <c r="I20" s="1994">
        <f>492.63*1000/1.02</f>
        <v>482970.59</v>
      </c>
      <c r="J20" s="1994"/>
      <c r="K20" s="1994">
        <f>200.48*1000/1.02</f>
        <v>196549.02</v>
      </c>
      <c r="L20" s="1994">
        <f t="shared" si="4"/>
        <v>0</v>
      </c>
      <c r="M20" s="1993">
        <f t="shared" ref="M20" si="16">H20-I20-K20</f>
        <v>-679396.14</v>
      </c>
      <c r="N20" s="1993">
        <f>E20*H20</f>
        <v>37041</v>
      </c>
      <c r="O20" s="1995">
        <v>1.08</v>
      </c>
      <c r="P20" s="1995">
        <v>1</v>
      </c>
      <c r="Q20" s="1993">
        <f t="shared" ref="Q20" si="17">N20*O20*P20</f>
        <v>40004.28</v>
      </c>
      <c r="R20" s="1995">
        <v>0.97</v>
      </c>
      <c r="S20" s="1995">
        <v>0.98</v>
      </c>
      <c r="T20" s="1995">
        <v>1</v>
      </c>
      <c r="U20" s="1993">
        <f t="shared" ref="U20" si="18">Q20*R20*S20*T20</f>
        <v>38028.07</v>
      </c>
      <c r="V20" s="1996">
        <f>E20*L20*O20*P20*R20*S20*T20</f>
        <v>0</v>
      </c>
      <c r="W20" s="1997">
        <f>'Индексы Росстата'!$F$121</f>
        <v>1.0225</v>
      </c>
      <c r="X20" s="1998">
        <f t="shared" ref="X20" si="19">U20*W20</f>
        <v>38883.699999999997</v>
      </c>
      <c r="Y20" s="2012">
        <f>'Прогнозные индексы'!$K$64</f>
        <v>1.034</v>
      </c>
      <c r="Z20" s="1998">
        <f t="shared" ref="Z20" si="20">X20*Y20</f>
        <v>40205.75</v>
      </c>
      <c r="AA20" s="1996">
        <f t="shared" ref="AA20" si="21">V20*W20*Y20</f>
        <v>0</v>
      </c>
      <c r="AB20" s="2000"/>
      <c r="AC20" s="2001">
        <f t="shared" ref="AC20" si="22">Z20*1.22</f>
        <v>49051.02</v>
      </c>
      <c r="AD20" s="2071">
        <f t="shared" ref="AD20" si="23">AA20*1.22</f>
        <v>0</v>
      </c>
      <c r="AE20" s="2104">
        <f>AC20/(E20*100)</f>
        <v>1.64</v>
      </c>
      <c r="AF20" s="2105" t="s">
        <v>8966</v>
      </c>
      <c r="AG20" s="2100">
        <f t="shared" ref="AG20" si="24">I20*E20*O20*P20*R20*S20*T20*W20*Y20*1.22</f>
        <v>191870051.41</v>
      </c>
      <c r="AH20" s="1565">
        <f t="shared" ref="AH20" si="25">K20*E20*O20*P20*R20*S20*T20*W20*Y20*1.22</f>
        <v>78083161.489999995</v>
      </c>
    </row>
    <row r="21" spans="1:34" s="1516" customFormat="1" x14ac:dyDescent="0.25">
      <c r="A21" s="1516">
        <v>1</v>
      </c>
      <c r="B21" s="2014" t="str">
        <f t="shared" ca="1" si="3"/>
        <v>7</v>
      </c>
      <c r="C21" s="1485" t="s">
        <v>5967</v>
      </c>
      <c r="D21" s="1491" t="s">
        <v>432</v>
      </c>
      <c r="E21" s="1492">
        <v>1</v>
      </c>
      <c r="F21" s="2002"/>
      <c r="G21" s="2003"/>
      <c r="H21" s="1996"/>
      <c r="I21" s="2004"/>
      <c r="J21" s="2004"/>
      <c r="K21" s="2004"/>
      <c r="L21" s="2004"/>
      <c r="M21" s="1996"/>
      <c r="N21" s="1996">
        <f>N22+N23+N24</f>
        <v>14319.82</v>
      </c>
      <c r="O21" s="2005"/>
      <c r="P21" s="2005"/>
      <c r="Q21" s="1996">
        <f>Q22+Q23+Q24</f>
        <v>15465.41</v>
      </c>
      <c r="R21" s="2005"/>
      <c r="S21" s="2005"/>
      <c r="T21" s="2005"/>
      <c r="U21" s="1993">
        <f>U22+U23+U24</f>
        <v>14782.52</v>
      </c>
      <c r="V21" s="1996">
        <f>V22+V23+V24</f>
        <v>0</v>
      </c>
      <c r="W21" s="2006"/>
      <c r="X21" s="1996">
        <f>X22+X23+X24</f>
        <v>15115.13</v>
      </c>
      <c r="Y21" s="2008"/>
      <c r="Z21" s="1996">
        <f>Z22+Z23+Z24</f>
        <v>15629.04</v>
      </c>
      <c r="AA21" s="1996">
        <f t="shared" si="10"/>
        <v>0</v>
      </c>
      <c r="AB21" s="2009"/>
      <c r="AC21" s="1996">
        <f>AC22+AC23+AC24</f>
        <v>19067.43</v>
      </c>
      <c r="AD21" s="2020">
        <f t="shared" si="12"/>
        <v>0</v>
      </c>
      <c r="AE21" s="2106"/>
      <c r="AF21" s="2107"/>
      <c r="AG21" s="2099"/>
      <c r="AH21" s="1565"/>
    </row>
    <row r="22" spans="1:34" s="1254" customFormat="1" ht="36" customHeight="1" x14ac:dyDescent="0.25">
      <c r="A22" s="1254">
        <v>2</v>
      </c>
      <c r="B22" s="2013" t="str">
        <f t="shared" ca="1" si="3"/>
        <v>7.1</v>
      </c>
      <c r="C22" s="1487" t="s">
        <v>5968</v>
      </c>
      <c r="D22" s="1486" t="s">
        <v>432</v>
      </c>
      <c r="E22" s="1488">
        <v>1</v>
      </c>
      <c r="F22" s="1991" t="str">
        <f ca="1">CONCATENATE("учтено в п.",$B$23)</f>
        <v>учтено в п.7.2</v>
      </c>
      <c r="G22" s="1992"/>
      <c r="H22" s="1993"/>
      <c r="I22" s="1994"/>
      <c r="J22" s="1994"/>
      <c r="K22" s="1994"/>
      <c r="L22" s="1994"/>
      <c r="M22" s="1993"/>
      <c r="N22" s="1993"/>
      <c r="O22" s="1995"/>
      <c r="P22" s="1995"/>
      <c r="Q22" s="1993"/>
      <c r="R22" s="1995"/>
      <c r="S22" s="1995"/>
      <c r="T22" s="1995"/>
      <c r="U22" s="1993"/>
      <c r="V22" s="1996"/>
      <c r="W22" s="1997"/>
      <c r="X22" s="1998"/>
      <c r="Y22" s="1999"/>
      <c r="Z22" s="1998"/>
      <c r="AA22" s="1996">
        <f t="shared" si="10"/>
        <v>0</v>
      </c>
      <c r="AB22" s="2000"/>
      <c r="AC22" s="2001">
        <f t="shared" si="11"/>
        <v>0</v>
      </c>
      <c r="AD22" s="2071">
        <f t="shared" si="12"/>
        <v>0</v>
      </c>
      <c r="AE22" s="2104">
        <f>AC22*1.2/E22</f>
        <v>0</v>
      </c>
      <c r="AF22" s="2105"/>
      <c r="AG22" s="2099">
        <f t="shared" si="13"/>
        <v>0</v>
      </c>
      <c r="AH22" s="1565">
        <f t="shared" si="14"/>
        <v>0</v>
      </c>
    </row>
    <row r="23" spans="1:34" s="1254" customFormat="1" ht="164.25" customHeight="1" x14ac:dyDescent="0.25">
      <c r="A23" s="1254">
        <v>2</v>
      </c>
      <c r="B23" s="2013" t="str">
        <f t="shared" ca="1" si="3"/>
        <v>7.2</v>
      </c>
      <c r="C23" s="1487" t="s">
        <v>6012</v>
      </c>
      <c r="D23" s="1486" t="s">
        <v>4131</v>
      </c>
      <c r="E23" s="1527">
        <f>180/1000</f>
        <v>0.18</v>
      </c>
      <c r="F23" s="1991" t="s">
        <v>6013</v>
      </c>
      <c r="G23" s="1992">
        <v>46023</v>
      </c>
      <c r="H23" s="1993">
        <f>36546.23</f>
        <v>36546.230000000003</v>
      </c>
      <c r="I23" s="1994">
        <f>569.79*1000/1.02</f>
        <v>558617.65</v>
      </c>
      <c r="J23" s="1994"/>
      <c r="K23" s="1994">
        <f>753.77*1000/1.02</f>
        <v>738990.2</v>
      </c>
      <c r="L23" s="1994">
        <f t="shared" ref="L23:L27" si="26">0*1000/1.02</f>
        <v>0</v>
      </c>
      <c r="M23" s="1993">
        <f t="shared" ref="M23:M78" si="27">H23-I23-K23</f>
        <v>-1261061.6200000001</v>
      </c>
      <c r="N23" s="1993">
        <f>E23*H23</f>
        <v>6578.32</v>
      </c>
      <c r="O23" s="1995">
        <v>1.08</v>
      </c>
      <c r="P23" s="1995">
        <v>1</v>
      </c>
      <c r="Q23" s="1993">
        <f t="shared" si="6"/>
        <v>7104.59</v>
      </c>
      <c r="R23" s="1995">
        <v>0.97</v>
      </c>
      <c r="S23" s="1995">
        <v>0.98</v>
      </c>
      <c r="T23" s="1995">
        <v>1</v>
      </c>
      <c r="U23" s="1993">
        <f t="shared" si="7"/>
        <v>6753.62</v>
      </c>
      <c r="V23" s="1996">
        <f>E23*L23*O23*P23*R23*S23*T23</f>
        <v>0</v>
      </c>
      <c r="W23" s="1997">
        <f>'Индексы Росстата'!$F$121</f>
        <v>1.0225</v>
      </c>
      <c r="X23" s="1998">
        <f t="shared" si="8"/>
        <v>6905.58</v>
      </c>
      <c r="Y23" s="2012">
        <f>'Прогнозные индексы'!$K$64</f>
        <v>1.034</v>
      </c>
      <c r="Z23" s="1998">
        <f t="shared" si="9"/>
        <v>7140.37</v>
      </c>
      <c r="AA23" s="1996">
        <f t="shared" si="10"/>
        <v>0</v>
      </c>
      <c r="AB23" s="2000"/>
      <c r="AC23" s="2001">
        <f t="shared" si="11"/>
        <v>8711.25</v>
      </c>
      <c r="AD23" s="2071">
        <f t="shared" si="12"/>
        <v>0</v>
      </c>
      <c r="AE23" s="2104">
        <f>AC23/(E23*6*1000)</f>
        <v>8.07</v>
      </c>
      <c r="AF23" s="2105" t="s">
        <v>8967</v>
      </c>
      <c r="AG23" s="2019">
        <f t="shared" si="13"/>
        <v>133153.45000000001</v>
      </c>
      <c r="AH23" s="1568">
        <f t="shared" si="14"/>
        <v>176147.48</v>
      </c>
    </row>
    <row r="24" spans="1:34" s="1254" customFormat="1" ht="159" customHeight="1" x14ac:dyDescent="0.25">
      <c r="A24" s="1254">
        <v>2</v>
      </c>
      <c r="B24" s="2013" t="str">
        <f t="shared" ca="1" si="3"/>
        <v>7.3</v>
      </c>
      <c r="C24" s="1487" t="s">
        <v>5969</v>
      </c>
      <c r="D24" s="1486" t="s">
        <v>130</v>
      </c>
      <c r="E24" s="1488">
        <v>650</v>
      </c>
      <c r="F24" s="1991" t="s">
        <v>6014</v>
      </c>
      <c r="G24" s="1992">
        <v>46023</v>
      </c>
      <c r="H24" s="1993">
        <f>11.91</f>
        <v>11.91</v>
      </c>
      <c r="I24" s="1994">
        <f>0.28*1000/1.02</f>
        <v>274.51</v>
      </c>
      <c r="J24" s="1994"/>
      <c r="K24" s="1994">
        <f>0.24*1000/1.02</f>
        <v>235.29</v>
      </c>
      <c r="L24" s="1994">
        <f t="shared" si="26"/>
        <v>0</v>
      </c>
      <c r="M24" s="1993">
        <f t="shared" si="27"/>
        <v>-497.89</v>
      </c>
      <c r="N24" s="1993">
        <f>E24*H24</f>
        <v>7741.5</v>
      </c>
      <c r="O24" s="1995">
        <v>1.08</v>
      </c>
      <c r="P24" s="1995">
        <v>1</v>
      </c>
      <c r="Q24" s="1993">
        <f t="shared" si="6"/>
        <v>8360.82</v>
      </c>
      <c r="R24" s="1995">
        <v>0.97</v>
      </c>
      <c r="S24" s="1995">
        <v>0.99</v>
      </c>
      <c r="T24" s="1995">
        <v>1</v>
      </c>
      <c r="U24" s="1993">
        <f t="shared" si="7"/>
        <v>8028.9</v>
      </c>
      <c r="V24" s="1996">
        <f>E24*L24*O24*P24*R24*S24*T24</f>
        <v>0</v>
      </c>
      <c r="W24" s="1997">
        <f>'Индексы Росстата'!$F$121</f>
        <v>1.0225</v>
      </c>
      <c r="X24" s="1998">
        <f t="shared" si="8"/>
        <v>8209.5499999999993</v>
      </c>
      <c r="Y24" s="2012">
        <f>'Прогнозные индексы'!$K$64</f>
        <v>1.034</v>
      </c>
      <c r="Z24" s="1998">
        <f t="shared" si="9"/>
        <v>8488.67</v>
      </c>
      <c r="AA24" s="1996">
        <f t="shared" si="10"/>
        <v>0</v>
      </c>
      <c r="AB24" s="2000"/>
      <c r="AC24" s="2001">
        <f t="shared" si="11"/>
        <v>10356.18</v>
      </c>
      <c r="AD24" s="2071">
        <f t="shared" si="12"/>
        <v>0</v>
      </c>
      <c r="AE24" s="2104">
        <f>AC24/E24</f>
        <v>15.93</v>
      </c>
      <c r="AF24" s="2105" t="s">
        <v>8967</v>
      </c>
      <c r="AG24" s="2019">
        <f t="shared" si="13"/>
        <v>238696.42</v>
      </c>
      <c r="AH24" s="1568">
        <f t="shared" si="14"/>
        <v>204593.2</v>
      </c>
    </row>
    <row r="25" spans="1:34" s="1516" customFormat="1" x14ac:dyDescent="0.25">
      <c r="A25" s="1516">
        <v>1</v>
      </c>
      <c r="B25" s="2014" t="str">
        <f t="shared" ca="1" si="3"/>
        <v>8</v>
      </c>
      <c r="C25" s="1485" t="s">
        <v>5970</v>
      </c>
      <c r="D25" s="1491" t="s">
        <v>432</v>
      </c>
      <c r="E25" s="1492">
        <v>1</v>
      </c>
      <c r="F25" s="2002"/>
      <c r="G25" s="2003"/>
      <c r="H25" s="1996"/>
      <c r="I25" s="2004"/>
      <c r="J25" s="2004"/>
      <c r="K25" s="2004"/>
      <c r="L25" s="2004">
        <f t="shared" si="26"/>
        <v>0</v>
      </c>
      <c r="M25" s="1996">
        <f t="shared" si="27"/>
        <v>0</v>
      </c>
      <c r="N25" s="1996">
        <f>N26+N30+N31+N32+N33+N34</f>
        <v>10946.41</v>
      </c>
      <c r="O25" s="2005"/>
      <c r="P25" s="2005"/>
      <c r="Q25" s="1996">
        <f>Q26+Q30+Q31+Q32+Q33+Q34</f>
        <v>10946.41</v>
      </c>
      <c r="R25" s="2005"/>
      <c r="S25" s="2005"/>
      <c r="T25" s="2005"/>
      <c r="U25" s="1993">
        <f>U26+U30+U31+U32+U33+U34</f>
        <v>9628.11</v>
      </c>
      <c r="V25" s="1996">
        <f>V26+V30+V32+V33+V34</f>
        <v>687807.67</v>
      </c>
      <c r="W25" s="2006"/>
      <c r="X25" s="1996">
        <f>X26+X30+X31+X32+X33+X34</f>
        <v>10020.91</v>
      </c>
      <c r="Y25" s="2008"/>
      <c r="Z25" s="1996">
        <f>Z26+Z30+Z31+Z32+Z33+Z34</f>
        <v>10361.629999999999</v>
      </c>
      <c r="AA25" s="1996">
        <f>AA26+AA30+AA32+AA33+AA34</f>
        <v>874554.19</v>
      </c>
      <c r="AB25" s="2009"/>
      <c r="AC25" s="1996">
        <f>AC26+AC30+AC31+AC32+AC33+AC34</f>
        <v>12641.19</v>
      </c>
      <c r="AD25" s="2088">
        <f>AD26+AD30+AD32+AD33+AD34</f>
        <v>1066956.1100000001</v>
      </c>
      <c r="AE25" s="2106"/>
      <c r="AF25" s="2107"/>
      <c r="AG25" s="2019"/>
      <c r="AH25" s="1568"/>
    </row>
    <row r="26" spans="1:34" s="1254" customFormat="1" x14ac:dyDescent="0.25">
      <c r="A26" s="1254">
        <v>2</v>
      </c>
      <c r="B26" s="2013" t="str">
        <f t="shared" ca="1" si="3"/>
        <v>8.1</v>
      </c>
      <c r="C26" s="1487" t="s">
        <v>5971</v>
      </c>
      <c r="D26" s="1486" t="s">
        <v>432</v>
      </c>
      <c r="E26" s="1488">
        <v>1</v>
      </c>
      <c r="F26" s="1991"/>
      <c r="G26" s="1992"/>
      <c r="H26" s="1993"/>
      <c r="I26" s="1994"/>
      <c r="J26" s="1994"/>
      <c r="K26" s="1994"/>
      <c r="L26" s="1994">
        <f t="shared" si="26"/>
        <v>0</v>
      </c>
      <c r="M26" s="1993">
        <f t="shared" si="27"/>
        <v>0</v>
      </c>
      <c r="N26" s="1993">
        <f>N27+N28+N29</f>
        <v>709.7</v>
      </c>
      <c r="O26" s="1995"/>
      <c r="P26" s="1995"/>
      <c r="Q26" s="1993">
        <f>Q27+Q28+Q29</f>
        <v>709.7</v>
      </c>
      <c r="R26" s="1995"/>
      <c r="S26" s="1995"/>
      <c r="T26" s="1995"/>
      <c r="U26" s="1993">
        <f>U27+U28+U29</f>
        <v>699.04</v>
      </c>
      <c r="V26" s="1993">
        <f>V27+V28+V29</f>
        <v>454307.67</v>
      </c>
      <c r="W26" s="1997"/>
      <c r="X26" s="1993">
        <f>X27+X28+X29</f>
        <v>841.56</v>
      </c>
      <c r="Y26" s="1999"/>
      <c r="Z26" s="1993">
        <f>Z27+Z28+Z29</f>
        <v>870.18</v>
      </c>
      <c r="AA26" s="1993">
        <f>AA27+AA28+AA29</f>
        <v>577656.65</v>
      </c>
      <c r="AB26" s="2000"/>
      <c r="AC26" s="1993">
        <f>AC27+AC28+AC29</f>
        <v>1061.6199999999999</v>
      </c>
      <c r="AD26" s="2089">
        <f>AD27+AD28+AD29</f>
        <v>704741.11</v>
      </c>
      <c r="AE26" s="2104"/>
      <c r="AF26" s="2105"/>
      <c r="AG26" s="2019">
        <f t="shared" si="13"/>
        <v>0</v>
      </c>
      <c r="AH26" s="1568">
        <f t="shared" si="14"/>
        <v>0</v>
      </c>
    </row>
    <row r="27" spans="1:34" s="1254" customFormat="1" ht="78.75" x14ac:dyDescent="0.25">
      <c r="A27" s="1254">
        <v>3</v>
      </c>
      <c r="B27" s="2013" t="str">
        <f t="shared" ca="1" si="3"/>
        <v>8.1.1</v>
      </c>
      <c r="C27" s="1487" t="s">
        <v>6039</v>
      </c>
      <c r="D27" s="1486" t="s">
        <v>5954</v>
      </c>
      <c r="E27" s="1493">
        <f>12*2/100</f>
        <v>0.24</v>
      </c>
      <c r="F27" s="1991" t="s">
        <v>6040</v>
      </c>
      <c r="G27" s="1992">
        <v>46023</v>
      </c>
      <c r="H27" s="1993">
        <f>407.45</f>
        <v>407.45</v>
      </c>
      <c r="I27" s="1994">
        <f>0.27*1000/1.02</f>
        <v>264.70999999999998</v>
      </c>
      <c r="J27" s="1994"/>
      <c r="K27" s="1994">
        <f>8.53*1000/1.02</f>
        <v>8362.75</v>
      </c>
      <c r="L27" s="1994">
        <f t="shared" si="26"/>
        <v>0</v>
      </c>
      <c r="M27" s="1993">
        <f t="shared" si="27"/>
        <v>-8220.01</v>
      </c>
      <c r="N27" s="1993">
        <f t="shared" ref="N27:N34" si="28">E27*H27</f>
        <v>97.79</v>
      </c>
      <c r="O27" s="1995">
        <v>1</v>
      </c>
      <c r="P27" s="1995">
        <v>1</v>
      </c>
      <c r="Q27" s="1993">
        <f t="shared" ref="Q27" si="29">N27*O27*P27</f>
        <v>97.79</v>
      </c>
      <c r="R27" s="1995">
        <v>0.9</v>
      </c>
      <c r="S27" s="1995">
        <v>0.99</v>
      </c>
      <c r="T27" s="1995">
        <v>1</v>
      </c>
      <c r="U27" s="1993">
        <f t="shared" ref="U27" si="30">Q27*R27*S27*T27</f>
        <v>87.13</v>
      </c>
      <c r="V27" s="1996">
        <f t="shared" ref="V27:V78" si="31">E27*L27*O27*P27*R27*S27*T27</f>
        <v>0</v>
      </c>
      <c r="W27" s="1997">
        <f>'Индексы Росстата'!$F$121</f>
        <v>1.0225</v>
      </c>
      <c r="X27" s="1998">
        <f t="shared" ref="X27" si="32">U27*W27</f>
        <v>89.09</v>
      </c>
      <c r="Y27" s="2012">
        <f>'Прогнозные индексы'!$K$64</f>
        <v>1.034</v>
      </c>
      <c r="Z27" s="1998">
        <f t="shared" ref="Z27" si="33">X27*Y27</f>
        <v>92.12</v>
      </c>
      <c r="AA27" s="1996">
        <f t="shared" ref="AA27:AA78" si="34">V27*W27*Y27</f>
        <v>0</v>
      </c>
      <c r="AB27" s="2000"/>
      <c r="AC27" s="2001">
        <f t="shared" ref="AC27" si="35">Z27*1.22</f>
        <v>112.39</v>
      </c>
      <c r="AD27" s="2071">
        <f t="shared" ref="AD27" si="36">AA27*1.22</f>
        <v>0</v>
      </c>
      <c r="AE27" s="2104">
        <f>AC27/(E27*100)</f>
        <v>4.68</v>
      </c>
      <c r="AF27" s="2105" t="s">
        <v>8967</v>
      </c>
      <c r="AG27" s="2019">
        <f t="shared" ref="AG27" si="37">I27*E27*O27*P27*R27*S27*T27*W27*Y27*1.22</f>
        <v>73.010000000000005</v>
      </c>
      <c r="AH27" s="1568">
        <f t="shared" ref="AH27" si="38">K27*E27*O27*P27*R27*S27*T27*W27*Y27*1.22</f>
        <v>2306.65</v>
      </c>
    </row>
    <row r="28" spans="1:34" s="1254" customFormat="1" ht="131.25" customHeight="1" x14ac:dyDescent="0.25">
      <c r="A28" s="1254">
        <v>3</v>
      </c>
      <c r="B28" s="2013" t="str">
        <f t="shared" ca="1" si="3"/>
        <v>8.1.2</v>
      </c>
      <c r="C28" s="1487" t="s">
        <v>6047</v>
      </c>
      <c r="D28" s="1486" t="s">
        <v>316</v>
      </c>
      <c r="E28" s="1488">
        <v>1</v>
      </c>
      <c r="F28" s="1991" t="s">
        <v>7885</v>
      </c>
      <c r="G28" s="1992">
        <v>44652</v>
      </c>
      <c r="H28" s="1993">
        <f>(1551.79*9.38*1.15+545000/1.2)/1000</f>
        <v>470.91</v>
      </c>
      <c r="I28" s="1994"/>
      <c r="J28" s="1994"/>
      <c r="K28" s="1994"/>
      <c r="L28" s="1994">
        <f>545000/1.2</f>
        <v>454166.67</v>
      </c>
      <c r="M28" s="1993">
        <f t="shared" si="27"/>
        <v>470.91</v>
      </c>
      <c r="N28" s="1993">
        <f t="shared" si="28"/>
        <v>470.91</v>
      </c>
      <c r="O28" s="1995">
        <v>1</v>
      </c>
      <c r="P28" s="1995">
        <v>1</v>
      </c>
      <c r="Q28" s="1993">
        <f t="shared" ref="Q28" si="39">N28*O28*P28</f>
        <v>470.91</v>
      </c>
      <c r="R28" s="1995">
        <v>1</v>
      </c>
      <c r="S28" s="1995">
        <v>1</v>
      </c>
      <c r="T28" s="1995">
        <v>1</v>
      </c>
      <c r="U28" s="1993">
        <f t="shared" ref="U28" si="40">Q28*R28*S28*T28</f>
        <v>470.91</v>
      </c>
      <c r="V28" s="1996">
        <f t="shared" si="31"/>
        <v>454166.67</v>
      </c>
      <c r="W28" s="1997">
        <f>'Индексы Росстата'!$F$124</f>
        <v>1.2297</v>
      </c>
      <c r="X28" s="1998">
        <f t="shared" ref="X28" si="41">U28*W28</f>
        <v>579.08000000000004</v>
      </c>
      <c r="Y28" s="2012">
        <f>'Прогнозные индексы'!$K$64</f>
        <v>1.034</v>
      </c>
      <c r="Z28" s="1998">
        <f t="shared" ref="Z28" si="42">X28*Y28</f>
        <v>598.77</v>
      </c>
      <c r="AA28" s="1996">
        <f t="shared" si="34"/>
        <v>577477.37</v>
      </c>
      <c r="AB28" s="2000" t="s">
        <v>7858</v>
      </c>
      <c r="AC28" s="2001">
        <f t="shared" ref="AC28" si="43">Z28*1.22</f>
        <v>730.5</v>
      </c>
      <c r="AD28" s="2071">
        <f t="shared" ref="AD28" si="44">AA28*1.22</f>
        <v>704522.39</v>
      </c>
      <c r="AE28" s="2104">
        <f>AC28/E28</f>
        <v>730.5</v>
      </c>
      <c r="AF28" s="2105" t="s">
        <v>269</v>
      </c>
      <c r="AG28" s="2019">
        <f t="shared" ref="AG28" si="45">I28*E28*O28*P28*R28*S28*T28*W28*Y28*1.22</f>
        <v>0</v>
      </c>
      <c r="AH28" s="1568">
        <f t="shared" ref="AH28" si="46">K28*E28*O28*P28*R28*S28*T28*W28*Y28*1.22</f>
        <v>0</v>
      </c>
    </row>
    <row r="29" spans="1:34" s="1254" customFormat="1" ht="132.75" customHeight="1" x14ac:dyDescent="0.25">
      <c r="A29" s="1254">
        <v>3</v>
      </c>
      <c r="B29" s="2013" t="str">
        <f t="shared" ca="1" si="3"/>
        <v>8.1.3</v>
      </c>
      <c r="C29" s="1487" t="s">
        <v>6041</v>
      </c>
      <c r="D29" s="1486" t="s">
        <v>316</v>
      </c>
      <c r="E29" s="1488">
        <v>4</v>
      </c>
      <c r="F29" s="1991" t="s">
        <v>7886</v>
      </c>
      <c r="G29" s="1992">
        <v>44652</v>
      </c>
      <c r="H29" s="1993">
        <f>42300/1.2/1000</f>
        <v>35.25</v>
      </c>
      <c r="I29" s="1994"/>
      <c r="J29" s="1994"/>
      <c r="K29" s="1994"/>
      <c r="L29" s="1994">
        <f>H29</f>
        <v>35.25</v>
      </c>
      <c r="M29" s="1993">
        <f t="shared" si="27"/>
        <v>35.25</v>
      </c>
      <c r="N29" s="1993">
        <f t="shared" si="28"/>
        <v>141</v>
      </c>
      <c r="O29" s="1995">
        <v>1</v>
      </c>
      <c r="P29" s="1995">
        <v>1</v>
      </c>
      <c r="Q29" s="1993">
        <f t="shared" ref="Q29" si="47">N29*O29*P29</f>
        <v>141</v>
      </c>
      <c r="R29" s="1995">
        <v>1</v>
      </c>
      <c r="S29" s="1995">
        <v>1</v>
      </c>
      <c r="T29" s="1995">
        <v>1</v>
      </c>
      <c r="U29" s="1993">
        <f t="shared" ref="U29" si="48">Q29*R29*S29*T29</f>
        <v>141</v>
      </c>
      <c r="V29" s="1996">
        <f t="shared" si="31"/>
        <v>141</v>
      </c>
      <c r="W29" s="1997">
        <f>'Индексы Росстата'!$F$124</f>
        <v>1.2297</v>
      </c>
      <c r="X29" s="1998">
        <f t="shared" ref="X29" si="49">U29*W29</f>
        <v>173.39</v>
      </c>
      <c r="Y29" s="2012">
        <f>'Прогнозные индексы'!$K$64</f>
        <v>1.034</v>
      </c>
      <c r="Z29" s="1998">
        <f t="shared" ref="Z29" si="50">X29*Y29</f>
        <v>179.29</v>
      </c>
      <c r="AA29" s="1996">
        <f t="shared" si="34"/>
        <v>179.28</v>
      </c>
      <c r="AB29" s="2000"/>
      <c r="AC29" s="2001">
        <f t="shared" ref="AC29" si="51">Z29*1.22</f>
        <v>218.73</v>
      </c>
      <c r="AD29" s="2071">
        <f t="shared" ref="AD29" si="52">AA29*1.22</f>
        <v>218.72</v>
      </c>
      <c r="AE29" s="2104">
        <f>AC29/E29</f>
        <v>54.68</v>
      </c>
      <c r="AF29" s="2105" t="s">
        <v>269</v>
      </c>
      <c r="AG29" s="2019">
        <f t="shared" ref="AG29" si="53">I29*E29*O29*P29*R29*S29*T29*W29*Y29*1.22</f>
        <v>0</v>
      </c>
      <c r="AH29" s="1568">
        <f t="shared" ref="AH29" si="54">K29*E29*O29*P29*R29*S29*T29*W29*Y29*1.22</f>
        <v>0</v>
      </c>
    </row>
    <row r="30" spans="1:34" s="1254" customFormat="1" ht="87.75" customHeight="1" x14ac:dyDescent="0.25">
      <c r="A30" s="1254">
        <v>2</v>
      </c>
      <c r="B30" s="2013" t="str">
        <f t="shared" ca="1" si="3"/>
        <v>8.2</v>
      </c>
      <c r="C30" s="1487" t="s">
        <v>5972</v>
      </c>
      <c r="D30" s="1486" t="s">
        <v>4132</v>
      </c>
      <c r="E30" s="1493">
        <f>460/100</f>
        <v>4.5999999999999996</v>
      </c>
      <c r="F30" s="1991" t="s">
        <v>6031</v>
      </c>
      <c r="G30" s="1992">
        <v>46023</v>
      </c>
      <c r="H30" s="1993">
        <f>651.26</f>
        <v>651.26</v>
      </c>
      <c r="I30" s="1994">
        <f>0.44*1000/1.02</f>
        <v>431.37</v>
      </c>
      <c r="J30" s="1994"/>
      <c r="K30" s="1994">
        <f>13.64*1000/1.02</f>
        <v>13372.55</v>
      </c>
      <c r="L30" s="1994">
        <f>0*1000/1.02</f>
        <v>0</v>
      </c>
      <c r="M30" s="1993">
        <f t="shared" si="27"/>
        <v>-13152.66</v>
      </c>
      <c r="N30" s="1993">
        <f t="shared" si="28"/>
        <v>2995.8</v>
      </c>
      <c r="O30" s="1995">
        <v>1</v>
      </c>
      <c r="P30" s="1995">
        <v>1</v>
      </c>
      <c r="Q30" s="1993">
        <f t="shared" si="6"/>
        <v>2995.8</v>
      </c>
      <c r="R30" s="1995">
        <v>0.9</v>
      </c>
      <c r="S30" s="1995">
        <v>0.99</v>
      </c>
      <c r="T30" s="1995">
        <v>1</v>
      </c>
      <c r="U30" s="1993">
        <f t="shared" si="7"/>
        <v>2669.26</v>
      </c>
      <c r="V30" s="1996">
        <f t="shared" si="31"/>
        <v>0</v>
      </c>
      <c r="W30" s="1997">
        <f>'Индексы Росстата'!$F$121</f>
        <v>1.0225</v>
      </c>
      <c r="X30" s="1998">
        <f t="shared" si="8"/>
        <v>2729.32</v>
      </c>
      <c r="Y30" s="2012">
        <f>'Прогнозные индексы'!$K$64</f>
        <v>1.034</v>
      </c>
      <c r="Z30" s="1998">
        <f t="shared" si="9"/>
        <v>2822.12</v>
      </c>
      <c r="AA30" s="1996">
        <f t="shared" si="34"/>
        <v>0</v>
      </c>
      <c r="AB30" s="2000"/>
      <c r="AC30" s="2001">
        <f t="shared" si="11"/>
        <v>3442.99</v>
      </c>
      <c r="AD30" s="2071">
        <f t="shared" si="12"/>
        <v>0</v>
      </c>
      <c r="AE30" s="2104">
        <f>AC30/(E30*100)</f>
        <v>7.48</v>
      </c>
      <c r="AF30" s="2105" t="s">
        <v>8966</v>
      </c>
      <c r="AG30" s="2019">
        <f t="shared" si="13"/>
        <v>2280.5</v>
      </c>
      <c r="AH30" s="1568">
        <f t="shared" si="14"/>
        <v>70695.77</v>
      </c>
    </row>
    <row r="31" spans="1:34" ht="47.25" x14ac:dyDescent="0.25">
      <c r="A31" s="854">
        <v>2</v>
      </c>
      <c r="B31" s="2073" t="str">
        <f ca="1">IF(A31&gt;OFFSET(A31,-1,0),OFFSET(B31,-1,0)&amp;"."&amp;1,LEFT(OFFSET(B31,-1,0),SEARCH("^^",SUBSTITUTE("."&amp;OFFSET(B31,-1,0),".","^^",A31))-1)&amp;1--MID(OFFSET(B31,-1,0),SEARCH("^^",SUBSTITUTE("."&amp;OFFSET(B31,-1,0),".","^^",A31)),SEARCH("^^",SUBSTITUTE(OFFSET(B31,-1,0)&amp;".",".","^^",A31))-SEARCH("^^",SUBSTITUTE("."&amp;OFFSET(B31,-1,0),".","^^",A31))))</f>
        <v>8.3</v>
      </c>
      <c r="C31" s="2074" t="s">
        <v>5051</v>
      </c>
      <c r="D31" s="2075" t="s">
        <v>269</v>
      </c>
      <c r="E31" s="2076">
        <v>1</v>
      </c>
      <c r="F31" s="2075" t="s">
        <v>7940</v>
      </c>
      <c r="G31" s="2077">
        <v>46023</v>
      </c>
      <c r="H31" s="2078">
        <f>132.87</f>
        <v>132.87</v>
      </c>
      <c r="I31" s="1560"/>
      <c r="J31" s="1560"/>
      <c r="K31" s="1560"/>
      <c r="L31" s="1560"/>
      <c r="M31" s="2078">
        <f>108.25</f>
        <v>108.25</v>
      </c>
      <c r="N31" s="2078">
        <f t="shared" si="28"/>
        <v>132.87</v>
      </c>
      <c r="O31" s="2078">
        <v>1</v>
      </c>
      <c r="P31" s="2078">
        <v>1</v>
      </c>
      <c r="Q31" s="2078">
        <f>N31*O31*P31</f>
        <v>132.87</v>
      </c>
      <c r="R31" s="2078">
        <v>0.9</v>
      </c>
      <c r="S31" s="2078">
        <v>0.99</v>
      </c>
      <c r="T31" s="2078">
        <v>1</v>
      </c>
      <c r="U31" s="2078">
        <f>Q31*R31*S31*T31</f>
        <v>118.39</v>
      </c>
      <c r="V31" s="2079"/>
      <c r="W31" s="1997">
        <f>'Индексы Росстата'!$F$121</f>
        <v>1.0225</v>
      </c>
      <c r="X31" s="2078">
        <f>U31*W31</f>
        <v>121.05</v>
      </c>
      <c r="Y31" s="2012">
        <f>'Прогнозные индексы'!$K$64</f>
        <v>1.034</v>
      </c>
      <c r="Z31" s="2078">
        <f>X31*Y31</f>
        <v>125.17</v>
      </c>
      <c r="AA31" s="2079"/>
      <c r="AB31" s="2080"/>
      <c r="AC31" s="2001">
        <f>Z31*1.22</f>
        <v>152.71</v>
      </c>
      <c r="AD31" s="1452"/>
      <c r="AE31" s="2104">
        <f>AC31*1.2/E31</f>
        <v>183.25</v>
      </c>
      <c r="AF31" s="2105" t="s">
        <v>269</v>
      </c>
    </row>
    <row r="32" spans="1:34" s="1254" customFormat="1" ht="63" x14ac:dyDescent="0.25">
      <c r="A32" s="1254">
        <v>2</v>
      </c>
      <c r="B32" s="2013" t="str">
        <f t="shared" ca="1" si="3"/>
        <v>8.4</v>
      </c>
      <c r="C32" s="1487" t="s">
        <v>74</v>
      </c>
      <c r="D32" s="1486" t="s">
        <v>5593</v>
      </c>
      <c r="E32" s="1493">
        <f>2600/100</f>
        <v>26</v>
      </c>
      <c r="F32" s="1991" t="s">
        <v>6016</v>
      </c>
      <c r="G32" s="1992">
        <v>46023</v>
      </c>
      <c r="H32" s="1993">
        <f>164.27</f>
        <v>164.27</v>
      </c>
      <c r="I32" s="1994">
        <f>0.14*1000/1.02</f>
        <v>137.25</v>
      </c>
      <c r="J32" s="1994"/>
      <c r="K32" s="1994">
        <f>3.44*1000/1.02</f>
        <v>3372.55</v>
      </c>
      <c r="L32" s="1994">
        <f>0*1000/1.02</f>
        <v>0</v>
      </c>
      <c r="M32" s="1993">
        <f t="shared" si="27"/>
        <v>-3345.53</v>
      </c>
      <c r="N32" s="1993">
        <f t="shared" si="28"/>
        <v>4271.0200000000004</v>
      </c>
      <c r="O32" s="1995">
        <v>1</v>
      </c>
      <c r="P32" s="1995">
        <v>1</v>
      </c>
      <c r="Q32" s="1993">
        <f t="shared" ref="Q32:Q39" si="55">N32*O32*P32</f>
        <v>4271.0200000000004</v>
      </c>
      <c r="R32" s="1995">
        <v>0.84</v>
      </c>
      <c r="S32" s="1995">
        <v>1</v>
      </c>
      <c r="T32" s="1995">
        <v>1</v>
      </c>
      <c r="U32" s="1993">
        <f t="shared" ref="U32:U39" si="56">Q32*R32*S32*T32</f>
        <v>3587.66</v>
      </c>
      <c r="V32" s="1996">
        <f t="shared" si="31"/>
        <v>0</v>
      </c>
      <c r="W32" s="1997">
        <f>'Индексы Росстата'!$F$121</f>
        <v>1.0225</v>
      </c>
      <c r="X32" s="1998">
        <f t="shared" ref="X32:X39" si="57">U32*W32</f>
        <v>3668.38</v>
      </c>
      <c r="Y32" s="2012">
        <f>'Прогнозные индексы'!$K$64</f>
        <v>1.034</v>
      </c>
      <c r="Z32" s="1998">
        <f t="shared" ref="Z32:Z39" si="58">X32*Y32</f>
        <v>3793.1</v>
      </c>
      <c r="AA32" s="1996">
        <f t="shared" si="34"/>
        <v>0</v>
      </c>
      <c r="AB32" s="2000"/>
      <c r="AC32" s="2001">
        <f t="shared" si="11"/>
        <v>4627.58</v>
      </c>
      <c r="AD32" s="2071">
        <f t="shared" si="12"/>
        <v>0</v>
      </c>
      <c r="AE32" s="2104">
        <f>AC32/(E32*100)</f>
        <v>1.78</v>
      </c>
      <c r="AF32" s="2105" t="s">
        <v>8968</v>
      </c>
      <c r="AG32" s="2019">
        <f t="shared" si="13"/>
        <v>3866.42</v>
      </c>
      <c r="AH32" s="1568">
        <f t="shared" si="14"/>
        <v>95006.81</v>
      </c>
    </row>
    <row r="33" spans="1:34" s="1254" customFormat="1" ht="78.75" x14ac:dyDescent="0.25">
      <c r="A33" s="1254">
        <v>2</v>
      </c>
      <c r="B33" s="2013" t="str">
        <f t="shared" ca="1" si="3"/>
        <v>8.5</v>
      </c>
      <c r="C33" s="1547" t="s">
        <v>5973</v>
      </c>
      <c r="D33" s="1486" t="s">
        <v>5954</v>
      </c>
      <c r="E33" s="1504">
        <f>500/100</f>
        <v>5</v>
      </c>
      <c r="F33" s="1991" t="s">
        <v>6032</v>
      </c>
      <c r="G33" s="1992">
        <v>46023</v>
      </c>
      <c r="H33" s="1993">
        <f>519.74</f>
        <v>519.74</v>
      </c>
      <c r="I33" s="1994">
        <f>0.37*1000/1.02</f>
        <v>362.75</v>
      </c>
      <c r="J33" s="1994"/>
      <c r="K33" s="1994">
        <f>10.88*1000/1.02</f>
        <v>10666.67</v>
      </c>
      <c r="L33" s="1994">
        <f>0*1000/1.02</f>
        <v>0</v>
      </c>
      <c r="M33" s="1993">
        <f t="shared" si="27"/>
        <v>-10509.68</v>
      </c>
      <c r="N33" s="1993">
        <f t="shared" si="28"/>
        <v>2598.6999999999998</v>
      </c>
      <c r="O33" s="1995">
        <v>1</v>
      </c>
      <c r="P33" s="1995">
        <v>1</v>
      </c>
      <c r="Q33" s="1993">
        <f t="shared" si="55"/>
        <v>2598.6999999999998</v>
      </c>
      <c r="R33" s="1995">
        <v>0.9</v>
      </c>
      <c r="S33" s="1995">
        <v>0.99</v>
      </c>
      <c r="T33" s="1995">
        <v>1</v>
      </c>
      <c r="U33" s="1993">
        <f t="shared" si="56"/>
        <v>2315.44</v>
      </c>
      <c r="V33" s="1996">
        <f t="shared" si="31"/>
        <v>0</v>
      </c>
      <c r="W33" s="1997">
        <f>'Индексы Росстата'!$F$121</f>
        <v>1.0225</v>
      </c>
      <c r="X33" s="1998">
        <f t="shared" si="57"/>
        <v>2367.54</v>
      </c>
      <c r="Y33" s="2012">
        <f>'Прогнозные индексы'!$K$64</f>
        <v>1.034</v>
      </c>
      <c r="Z33" s="1998">
        <f t="shared" si="58"/>
        <v>2448.04</v>
      </c>
      <c r="AA33" s="1996">
        <f t="shared" si="34"/>
        <v>0</v>
      </c>
      <c r="AB33" s="2000"/>
      <c r="AC33" s="2001">
        <f t="shared" si="11"/>
        <v>2986.61</v>
      </c>
      <c r="AD33" s="2071">
        <f t="shared" si="12"/>
        <v>0</v>
      </c>
      <c r="AE33" s="2104">
        <f>AC33/(E33*100)</f>
        <v>5.97</v>
      </c>
      <c r="AF33" s="2105" t="s">
        <v>8967</v>
      </c>
      <c r="AG33" s="2019">
        <f t="shared" si="13"/>
        <v>2084.4899999999998</v>
      </c>
      <c r="AH33" s="1568">
        <f t="shared" si="14"/>
        <v>61294.32</v>
      </c>
    </row>
    <row r="34" spans="1:34" s="1254" customFormat="1" ht="110.25" x14ac:dyDescent="0.25">
      <c r="A34" s="1254">
        <v>2</v>
      </c>
      <c r="B34" s="2013" t="str">
        <f t="shared" ca="1" si="3"/>
        <v>8.6</v>
      </c>
      <c r="C34" s="1984" t="s">
        <v>7887</v>
      </c>
      <c r="D34" s="1489" t="s">
        <v>316</v>
      </c>
      <c r="E34" s="1490">
        <v>1</v>
      </c>
      <c r="F34" s="1991" t="s">
        <v>6046</v>
      </c>
      <c r="G34" s="1992">
        <v>44652</v>
      </c>
      <c r="H34" s="1993">
        <f>(446.59*9.38*1.15+280200/1.2)/1000</f>
        <v>238.32</v>
      </c>
      <c r="I34" s="1994"/>
      <c r="J34" s="1994"/>
      <c r="K34" s="1994"/>
      <c r="L34" s="1994">
        <f>280200/1.2</f>
        <v>233500</v>
      </c>
      <c r="M34" s="1993">
        <f t="shared" si="27"/>
        <v>238.32</v>
      </c>
      <c r="N34" s="1993">
        <f t="shared" si="28"/>
        <v>238.32</v>
      </c>
      <c r="O34" s="1995">
        <v>1</v>
      </c>
      <c r="P34" s="1995">
        <v>1</v>
      </c>
      <c r="Q34" s="1993">
        <f t="shared" si="55"/>
        <v>238.32</v>
      </c>
      <c r="R34" s="1995">
        <v>1</v>
      </c>
      <c r="S34" s="1995">
        <v>1</v>
      </c>
      <c r="T34" s="1995">
        <v>1</v>
      </c>
      <c r="U34" s="1993">
        <f t="shared" si="56"/>
        <v>238.32</v>
      </c>
      <c r="V34" s="1996">
        <f t="shared" si="31"/>
        <v>233500</v>
      </c>
      <c r="W34" s="1997">
        <f>'Индексы Росстата'!$F$124</f>
        <v>1.2297</v>
      </c>
      <c r="X34" s="1998">
        <f t="shared" si="57"/>
        <v>293.06</v>
      </c>
      <c r="Y34" s="2012">
        <f>'Прогнозные индексы'!$K$64</f>
        <v>1.034</v>
      </c>
      <c r="Z34" s="1998">
        <f t="shared" si="58"/>
        <v>303.02</v>
      </c>
      <c r="AA34" s="1996">
        <f t="shared" si="34"/>
        <v>296897.53999999998</v>
      </c>
      <c r="AB34" s="2072" t="s">
        <v>7858</v>
      </c>
      <c r="AC34" s="2001">
        <f t="shared" si="11"/>
        <v>369.68</v>
      </c>
      <c r="AD34" s="2071">
        <f t="shared" si="12"/>
        <v>362215</v>
      </c>
      <c r="AE34" s="2104">
        <f>AC34/E34</f>
        <v>369.68</v>
      </c>
      <c r="AF34" s="2105" t="s">
        <v>269</v>
      </c>
      <c r="AG34" s="2019">
        <f t="shared" si="13"/>
        <v>0</v>
      </c>
      <c r="AH34" s="1568">
        <f t="shared" si="14"/>
        <v>0</v>
      </c>
    </row>
    <row r="35" spans="1:34" s="1516" customFormat="1" ht="60" x14ac:dyDescent="0.25">
      <c r="A35" s="1516">
        <v>1</v>
      </c>
      <c r="B35" s="2014" t="str">
        <f t="shared" ca="1" si="3"/>
        <v>9</v>
      </c>
      <c r="C35" s="1485" t="s">
        <v>7889</v>
      </c>
      <c r="D35" s="1491" t="s">
        <v>432</v>
      </c>
      <c r="E35" s="1492">
        <v>1</v>
      </c>
      <c r="F35" s="2002"/>
      <c r="G35" s="2003"/>
      <c r="H35" s="1996"/>
      <c r="I35" s="2004"/>
      <c r="J35" s="2004"/>
      <c r="K35" s="2004"/>
      <c r="L35" s="2004">
        <f>0*1000/1.02</f>
        <v>0</v>
      </c>
      <c r="M35" s="1996">
        <f t="shared" si="27"/>
        <v>0</v>
      </c>
      <c r="N35" s="1996">
        <f>N36+N37+N38+N39+N40</f>
        <v>11291.72</v>
      </c>
      <c r="O35" s="2005"/>
      <c r="P35" s="2005"/>
      <c r="Q35" s="1996">
        <f>Q36+Q37+Q38+Q39+Q40</f>
        <v>11456.92</v>
      </c>
      <c r="R35" s="2005"/>
      <c r="S35" s="2005"/>
      <c r="T35" s="2005"/>
      <c r="U35" s="1993">
        <f>U36+U37+U38+U39+U40</f>
        <v>9899.5</v>
      </c>
      <c r="V35" s="1996">
        <f>V36+V37+V38+V39</f>
        <v>1876728.24</v>
      </c>
      <c r="W35" s="2006"/>
      <c r="X35" s="1996">
        <f>X36+X37+X38+X39+X40</f>
        <v>10122.24</v>
      </c>
      <c r="Y35" s="2008"/>
      <c r="Z35" s="1996">
        <f>Z36+Z37+Z38+Z39+Z40</f>
        <v>10466.4</v>
      </c>
      <c r="AA35" s="1996">
        <f>AA36+AA37+AA38+AA39</f>
        <v>1984199.08</v>
      </c>
      <c r="AB35" s="2009"/>
      <c r="AC35" s="1996">
        <f>AC36+AC37+AC38+AC39+AC40</f>
        <v>12769</v>
      </c>
      <c r="AD35" s="2088">
        <f>AD36+AD37+AD38+AD39</f>
        <v>2420722.88</v>
      </c>
      <c r="AE35" s="2106"/>
      <c r="AF35" s="2107"/>
      <c r="AG35" s="2019"/>
      <c r="AH35" s="1568"/>
    </row>
    <row r="36" spans="1:34" s="1254" customFormat="1" ht="128.25" x14ac:dyDescent="0.25">
      <c r="A36" s="1254">
        <v>2</v>
      </c>
      <c r="B36" s="2013" t="str">
        <f t="shared" ca="1" si="3"/>
        <v>9.1</v>
      </c>
      <c r="C36" s="1487" t="s">
        <v>7605</v>
      </c>
      <c r="D36" s="1486" t="s">
        <v>432</v>
      </c>
      <c r="E36" s="1488">
        <v>1</v>
      </c>
      <c r="F36" s="1991" t="s">
        <v>6049</v>
      </c>
      <c r="G36" s="1992">
        <v>46023</v>
      </c>
      <c r="H36" s="1993">
        <f>15952.19/7*1.15</f>
        <v>2620.7199999999998</v>
      </c>
      <c r="I36" s="2081"/>
      <c r="J36" s="2081"/>
      <c r="K36" s="2081">
        <f>351.62*1000/1.02/7</f>
        <v>49246.5</v>
      </c>
      <c r="L36" s="2081">
        <f>15952.19*1000/1.02/7</f>
        <v>2234200.2799999998</v>
      </c>
      <c r="M36" s="1993">
        <f t="shared" si="27"/>
        <v>-46625.78</v>
      </c>
      <c r="N36" s="1993">
        <f>E36*H36</f>
        <v>2620.7199999999998</v>
      </c>
      <c r="O36" s="1995">
        <v>1</v>
      </c>
      <c r="P36" s="1995">
        <v>1</v>
      </c>
      <c r="Q36" s="1993">
        <f t="shared" si="55"/>
        <v>2620.7199999999998</v>
      </c>
      <c r="R36" s="1995">
        <v>0.84</v>
      </c>
      <c r="S36" s="1995">
        <v>1</v>
      </c>
      <c r="T36" s="1995">
        <v>1</v>
      </c>
      <c r="U36" s="1993">
        <f t="shared" si="56"/>
        <v>2201.4</v>
      </c>
      <c r="V36" s="1996">
        <f t="shared" si="31"/>
        <v>1876728.24</v>
      </c>
      <c r="W36" s="1997">
        <f>'Индексы Росстата'!$F$121</f>
        <v>1.0225</v>
      </c>
      <c r="X36" s="1998">
        <f t="shared" si="57"/>
        <v>2250.9299999999998</v>
      </c>
      <c r="Y36" s="2012">
        <f>'Прогнозные индексы'!$K$64</f>
        <v>1.034</v>
      </c>
      <c r="Z36" s="1998">
        <f t="shared" si="58"/>
        <v>2327.46</v>
      </c>
      <c r="AA36" s="1996">
        <f t="shared" si="34"/>
        <v>1984199.08</v>
      </c>
      <c r="AB36" s="2000" t="s">
        <v>7888</v>
      </c>
      <c r="AC36" s="2001">
        <f t="shared" si="11"/>
        <v>2839.5</v>
      </c>
      <c r="AD36" s="2071">
        <f t="shared" si="12"/>
        <v>2420722.88</v>
      </c>
      <c r="AE36" s="2104"/>
      <c r="AF36" s="2105"/>
      <c r="AG36" s="2019"/>
      <c r="AH36" s="1568">
        <f t="shared" si="14"/>
        <v>53357.85</v>
      </c>
    </row>
    <row r="37" spans="1:34" s="1254" customFormat="1" ht="207.75" customHeight="1" x14ac:dyDescent="0.25">
      <c r="A37" s="1254">
        <v>2</v>
      </c>
      <c r="B37" s="2013" t="str">
        <f t="shared" ca="1" si="3"/>
        <v>9.2</v>
      </c>
      <c r="C37" s="1487" t="s">
        <v>7890</v>
      </c>
      <c r="D37" s="1486" t="s">
        <v>4131</v>
      </c>
      <c r="E37" s="1493">
        <v>0.8</v>
      </c>
      <c r="F37" s="1991" t="s">
        <v>7891</v>
      </c>
      <c r="G37" s="1992">
        <v>46023</v>
      </c>
      <c r="H37" s="1993">
        <f>10325.07</f>
        <v>10325.07</v>
      </c>
      <c r="I37" s="1994">
        <f>131.51*1000/1.02</f>
        <v>128931.37</v>
      </c>
      <c r="J37" s="1994"/>
      <c r="K37" s="1994">
        <f>68.62*1000/1.02</f>
        <v>67274.509999999995</v>
      </c>
      <c r="L37" s="1994">
        <f t="shared" ref="L37:L81" si="59">0*1000/1.02</f>
        <v>0</v>
      </c>
      <c r="M37" s="1993">
        <f t="shared" si="27"/>
        <v>-185880.81</v>
      </c>
      <c r="N37" s="1993">
        <f>E37*H37</f>
        <v>8260.06</v>
      </c>
      <c r="O37" s="1995">
        <v>1</v>
      </c>
      <c r="P37" s="1995">
        <v>1.02</v>
      </c>
      <c r="Q37" s="1993">
        <f t="shared" si="55"/>
        <v>8425.26</v>
      </c>
      <c r="R37" s="1995">
        <v>0.88</v>
      </c>
      <c r="S37" s="1995">
        <v>0.99</v>
      </c>
      <c r="T37" s="1995">
        <v>1</v>
      </c>
      <c r="U37" s="1993">
        <f t="shared" si="56"/>
        <v>7340.09</v>
      </c>
      <c r="V37" s="1996">
        <f t="shared" si="31"/>
        <v>0</v>
      </c>
      <c r="W37" s="1997">
        <f>'Индексы Росстата'!$F$121</f>
        <v>1.0225</v>
      </c>
      <c r="X37" s="1998">
        <f t="shared" si="57"/>
        <v>7505.24</v>
      </c>
      <c r="Y37" s="2012">
        <f>'Прогнозные индексы'!$K$64</f>
        <v>1.034</v>
      </c>
      <c r="Z37" s="1998">
        <f t="shared" si="58"/>
        <v>7760.42</v>
      </c>
      <c r="AA37" s="1996">
        <f t="shared" si="34"/>
        <v>0</v>
      </c>
      <c r="AB37" s="2000"/>
      <c r="AC37" s="2001">
        <f t="shared" si="11"/>
        <v>9467.7099999999991</v>
      </c>
      <c r="AD37" s="2071">
        <f t="shared" si="12"/>
        <v>0</v>
      </c>
      <c r="AE37" s="2104">
        <f>AC37/(E37*1000)</f>
        <v>11.83</v>
      </c>
      <c r="AF37" s="2105" t="s">
        <v>2647</v>
      </c>
      <c r="AG37" s="2019">
        <f t="shared" si="13"/>
        <v>118225.27</v>
      </c>
      <c r="AH37" s="1568">
        <f t="shared" si="14"/>
        <v>61688.22</v>
      </c>
    </row>
    <row r="38" spans="1:34" s="1254" customFormat="1" ht="204.75" x14ac:dyDescent="0.25">
      <c r="A38" s="1254">
        <v>2</v>
      </c>
      <c r="B38" s="2013" t="str">
        <f t="shared" ca="1" si="3"/>
        <v>9.3</v>
      </c>
      <c r="C38" s="1487" t="s">
        <v>5977</v>
      </c>
      <c r="D38" s="1486" t="s">
        <v>2588</v>
      </c>
      <c r="E38" s="1493">
        <f>20/100</f>
        <v>0.2</v>
      </c>
      <c r="F38" s="1991" t="s">
        <v>6030</v>
      </c>
      <c r="G38" s="1992">
        <v>46023</v>
      </c>
      <c r="H38" s="1993">
        <f>2054.71</f>
        <v>2054.71</v>
      </c>
      <c r="I38" s="1994">
        <f>114.92*1000/1.02</f>
        <v>112666.67</v>
      </c>
      <c r="J38" s="1994"/>
      <c r="K38" s="1994">
        <f>40.64*1000/1.02</f>
        <v>39843.14</v>
      </c>
      <c r="L38" s="1994">
        <f t="shared" si="59"/>
        <v>0</v>
      </c>
      <c r="M38" s="1993">
        <f t="shared" si="27"/>
        <v>-150455.1</v>
      </c>
      <c r="N38" s="1993">
        <f>E38*H38</f>
        <v>410.94</v>
      </c>
      <c r="O38" s="1995">
        <v>1</v>
      </c>
      <c r="P38" s="1995">
        <v>1</v>
      </c>
      <c r="Q38" s="1993">
        <f t="shared" si="55"/>
        <v>410.94</v>
      </c>
      <c r="R38" s="1995">
        <v>0.88</v>
      </c>
      <c r="S38" s="1995">
        <v>0.99</v>
      </c>
      <c r="T38" s="1995">
        <v>1</v>
      </c>
      <c r="U38" s="1993">
        <f t="shared" si="56"/>
        <v>358.01</v>
      </c>
      <c r="V38" s="1996">
        <f t="shared" si="31"/>
        <v>0</v>
      </c>
      <c r="W38" s="1997">
        <f>'Индексы Росстата'!$F$121</f>
        <v>1.0225</v>
      </c>
      <c r="X38" s="1998">
        <f t="shared" si="57"/>
        <v>366.07</v>
      </c>
      <c r="Y38" s="2012">
        <f>'Прогнозные индексы'!$K$64</f>
        <v>1.034</v>
      </c>
      <c r="Z38" s="1998">
        <f t="shared" si="58"/>
        <v>378.52</v>
      </c>
      <c r="AA38" s="1996">
        <f t="shared" si="34"/>
        <v>0</v>
      </c>
      <c r="AB38" s="2000"/>
      <c r="AC38" s="2001">
        <f t="shared" si="11"/>
        <v>461.79</v>
      </c>
      <c r="AD38" s="2071">
        <f t="shared" si="12"/>
        <v>0</v>
      </c>
      <c r="AE38" s="2104">
        <f>AC38/(E38*100)</f>
        <v>23.09</v>
      </c>
      <c r="AF38" s="2105" t="s">
        <v>2647</v>
      </c>
      <c r="AG38" s="2019">
        <f t="shared" si="13"/>
        <v>25321.360000000001</v>
      </c>
      <c r="AH38" s="1568">
        <f t="shared" si="14"/>
        <v>8954.58</v>
      </c>
    </row>
    <row r="39" spans="1:34" s="1254" customFormat="1" x14ac:dyDescent="0.25">
      <c r="A39" s="1254">
        <v>2</v>
      </c>
      <c r="B39" s="2013" t="str">
        <f t="shared" ca="1" si="3"/>
        <v>9.4</v>
      </c>
      <c r="C39" s="1487" t="s">
        <v>5978</v>
      </c>
      <c r="D39" s="1486" t="s">
        <v>5965</v>
      </c>
      <c r="E39" s="1488">
        <v>20</v>
      </c>
      <c r="F39" s="1991" t="str">
        <f ca="1">CONCATENATE("учтено в п.",$B$38)</f>
        <v>учтено в п.9.3</v>
      </c>
      <c r="G39" s="1992"/>
      <c r="H39" s="1993"/>
      <c r="I39" s="1994"/>
      <c r="J39" s="1994"/>
      <c r="K39" s="1994"/>
      <c r="L39" s="1994">
        <f t="shared" si="59"/>
        <v>0</v>
      </c>
      <c r="M39" s="1993">
        <f t="shared" si="27"/>
        <v>0</v>
      </c>
      <c r="N39" s="1993">
        <f t="shared" ref="N39:N78" si="60">E39*M39</f>
        <v>0</v>
      </c>
      <c r="O39" s="1995">
        <v>1</v>
      </c>
      <c r="P39" s="1995">
        <v>1</v>
      </c>
      <c r="Q39" s="1993">
        <f t="shared" si="55"/>
        <v>0</v>
      </c>
      <c r="R39" s="1995"/>
      <c r="S39" s="1995"/>
      <c r="T39" s="1995"/>
      <c r="U39" s="1993">
        <f t="shared" si="56"/>
        <v>0</v>
      </c>
      <c r="V39" s="1996">
        <f t="shared" si="31"/>
        <v>0</v>
      </c>
      <c r="W39" s="1997"/>
      <c r="X39" s="1998">
        <f t="shared" si="57"/>
        <v>0</v>
      </c>
      <c r="Y39" s="1999"/>
      <c r="Z39" s="1998">
        <f t="shared" si="58"/>
        <v>0</v>
      </c>
      <c r="AA39" s="1996">
        <f t="shared" si="34"/>
        <v>0</v>
      </c>
      <c r="AB39" s="2000"/>
      <c r="AC39" s="2001">
        <f t="shared" si="11"/>
        <v>0</v>
      </c>
      <c r="AD39" s="2071">
        <f t="shared" si="12"/>
        <v>0</v>
      </c>
      <c r="AE39" s="2104">
        <f>AC39*1.2/E39</f>
        <v>0</v>
      </c>
      <c r="AF39" s="2105"/>
      <c r="AG39" s="2019">
        <f t="shared" si="13"/>
        <v>0</v>
      </c>
      <c r="AH39" s="1568">
        <f t="shared" si="14"/>
        <v>0</v>
      </c>
    </row>
    <row r="40" spans="1:34" s="1254" customFormat="1" ht="128.25" x14ac:dyDescent="0.25">
      <c r="A40" s="1254">
        <v>2</v>
      </c>
      <c r="B40" s="2013" t="str">
        <f t="shared" ca="1" si="3"/>
        <v>9.5</v>
      </c>
      <c r="C40" s="1487" t="s">
        <v>7892</v>
      </c>
      <c r="D40" s="1486" t="s">
        <v>316</v>
      </c>
      <c r="E40" s="1488">
        <v>4</v>
      </c>
      <c r="F40" s="1991" t="s">
        <v>7942</v>
      </c>
      <c r="G40" s="1992"/>
      <c r="H40" s="1993"/>
      <c r="I40" s="1994"/>
      <c r="J40" s="1994"/>
      <c r="K40" s="1994"/>
      <c r="L40" s="1994"/>
      <c r="M40" s="1993"/>
      <c r="N40" s="1993"/>
      <c r="O40" s="1995"/>
      <c r="P40" s="1995"/>
      <c r="Q40" s="1993"/>
      <c r="R40" s="1995"/>
      <c r="S40" s="1995"/>
      <c r="T40" s="1995"/>
      <c r="U40" s="1993"/>
      <c r="V40" s="1996"/>
      <c r="W40" s="1997"/>
      <c r="X40" s="1998"/>
      <c r="Y40" s="1999"/>
      <c r="Z40" s="1998"/>
      <c r="AA40" s="1996"/>
      <c r="AB40" s="2000"/>
      <c r="AC40" s="2001"/>
      <c r="AD40" s="2071"/>
      <c r="AE40" s="2104"/>
      <c r="AF40" s="2105"/>
      <c r="AG40" s="2019"/>
      <c r="AH40" s="1568"/>
    </row>
    <row r="41" spans="1:34" s="1516" customFormat="1" x14ac:dyDescent="0.25">
      <c r="A41" s="1516">
        <v>1</v>
      </c>
      <c r="B41" s="2014" t="str">
        <f t="shared" ca="1" si="3"/>
        <v>10</v>
      </c>
      <c r="C41" s="1485" t="s">
        <v>291</v>
      </c>
      <c r="D41" s="1491" t="s">
        <v>432</v>
      </c>
      <c r="E41" s="1492">
        <v>1</v>
      </c>
      <c r="F41" s="2002"/>
      <c r="G41" s="2003"/>
      <c r="H41" s="1996"/>
      <c r="I41" s="2004"/>
      <c r="J41" s="2004"/>
      <c r="K41" s="2004"/>
      <c r="L41" s="2004">
        <f t="shared" si="59"/>
        <v>0</v>
      </c>
      <c r="M41" s="1996">
        <f t="shared" si="27"/>
        <v>0</v>
      </c>
      <c r="N41" s="1996">
        <f>N42+N46+N47+N48+N49+N50+N51+N52</f>
        <v>22223.82</v>
      </c>
      <c r="O41" s="2005"/>
      <c r="P41" s="2005"/>
      <c r="Q41" s="1996">
        <f>Q42+Q46+Q47+Q48+Q49+Q50+Q51+Q52</f>
        <v>22223.82</v>
      </c>
      <c r="R41" s="2005"/>
      <c r="S41" s="2005"/>
      <c r="T41" s="2005"/>
      <c r="U41" s="1996">
        <f>U42+U46+U47+U48+U49+U50+U51+U52</f>
        <v>21919.57</v>
      </c>
      <c r="V41" s="1996">
        <f>V42</f>
        <v>0</v>
      </c>
      <c r="W41" s="2006"/>
      <c r="X41" s="1996">
        <f>X42+X46+X47+X48+X49+X50+X51+X52</f>
        <v>32364.15</v>
      </c>
      <c r="Y41" s="2008"/>
      <c r="Z41" s="1996">
        <f>Z42+Z46+Z47+Z48+Z49+Z50+Z51+Z52</f>
        <v>33464.550000000003</v>
      </c>
      <c r="AA41" s="1996">
        <f>AA42</f>
        <v>0</v>
      </c>
      <c r="AB41" s="2009"/>
      <c r="AC41" s="1996">
        <f>AC42+AC46+AC47+AC48+AC49+AC50+AC51+AC52</f>
        <v>40826.75</v>
      </c>
      <c r="AD41" s="2020">
        <f t="shared" si="12"/>
        <v>0</v>
      </c>
      <c r="AE41" s="2108"/>
      <c r="AF41" s="2107"/>
      <c r="AG41" s="2101"/>
      <c r="AH41" s="2011"/>
    </row>
    <row r="42" spans="1:34" s="1254" customFormat="1" ht="42.75" x14ac:dyDescent="0.25">
      <c r="A42" s="1254">
        <v>2</v>
      </c>
      <c r="B42" s="2013" t="str">
        <f t="shared" ca="1" si="3"/>
        <v>10.1</v>
      </c>
      <c r="C42" s="1487" t="s">
        <v>5979</v>
      </c>
      <c r="D42" s="1486" t="s">
        <v>5965</v>
      </c>
      <c r="E42" s="1488">
        <v>1180</v>
      </c>
      <c r="F42" s="1991"/>
      <c r="G42" s="1992"/>
      <c r="H42" s="1993"/>
      <c r="I42" s="1994"/>
      <c r="J42" s="1994"/>
      <c r="K42" s="1994"/>
      <c r="L42" s="1994">
        <f t="shared" si="59"/>
        <v>0</v>
      </c>
      <c r="M42" s="1993">
        <f t="shared" si="27"/>
        <v>0</v>
      </c>
      <c r="N42" s="1993">
        <f>N43+N44+N45</f>
        <v>1022</v>
      </c>
      <c r="O42" s="1995"/>
      <c r="P42" s="1995"/>
      <c r="Q42" s="1993">
        <f>Q43+Q44+Q45</f>
        <v>1022</v>
      </c>
      <c r="R42" s="1995"/>
      <c r="S42" s="1995"/>
      <c r="T42" s="1995"/>
      <c r="U42" s="1993">
        <f>U43+U44+U45</f>
        <v>890.37</v>
      </c>
      <c r="V42" s="1993">
        <f>V43+V44+V45</f>
        <v>0</v>
      </c>
      <c r="W42" s="1997"/>
      <c r="X42" s="1993">
        <f>X43+X44+X45</f>
        <v>910.4</v>
      </c>
      <c r="Y42" s="1999"/>
      <c r="Z42" s="1993">
        <f>Z43+Z44+Z45</f>
        <v>941.36</v>
      </c>
      <c r="AA42" s="1993">
        <f>AA43+AA44+AA45</f>
        <v>0</v>
      </c>
      <c r="AB42" s="2000"/>
      <c r="AC42" s="1993">
        <f>AC43+AC44+AC45</f>
        <v>1148.46</v>
      </c>
      <c r="AD42" s="2089">
        <f>AD43+AD44+AD45</f>
        <v>0</v>
      </c>
      <c r="AE42" s="2104">
        <f>AC42/E42</f>
        <v>0.97</v>
      </c>
      <c r="AF42" s="2105" t="s">
        <v>2647</v>
      </c>
      <c r="AG42" s="2019"/>
      <c r="AH42" s="1568"/>
    </row>
    <row r="43" spans="1:34" s="1254" customFormat="1" ht="233.25" customHeight="1" x14ac:dyDescent="0.25">
      <c r="A43" s="1254">
        <v>3</v>
      </c>
      <c r="B43" s="2013" t="str">
        <f t="shared" ca="1" si="3"/>
        <v>10.1.1</v>
      </c>
      <c r="C43" s="1487" t="s">
        <v>7895</v>
      </c>
      <c r="D43" s="1486" t="s">
        <v>4131</v>
      </c>
      <c r="E43" s="1527">
        <f>800/1000</f>
        <v>0.8</v>
      </c>
      <c r="F43" s="1991" t="s">
        <v>7893</v>
      </c>
      <c r="G43" s="1992">
        <v>46023</v>
      </c>
      <c r="H43" s="1993">
        <f>864.15</f>
        <v>864.15</v>
      </c>
      <c r="I43" s="1994">
        <f>34.72*1000/1.02</f>
        <v>34039.22</v>
      </c>
      <c r="J43" s="1994"/>
      <c r="K43" s="1994">
        <f>16.78*1000/1.02</f>
        <v>16450.98</v>
      </c>
      <c r="L43" s="1994">
        <f t="shared" si="59"/>
        <v>0</v>
      </c>
      <c r="M43" s="1993">
        <f t="shared" si="27"/>
        <v>-49626.05</v>
      </c>
      <c r="N43" s="1993">
        <f>E43*H43</f>
        <v>691.32</v>
      </c>
      <c r="O43" s="1995">
        <v>1</v>
      </c>
      <c r="P43" s="1995">
        <v>1</v>
      </c>
      <c r="Q43" s="1993">
        <f t="shared" ref="Q43" si="61">N43*O43*P43</f>
        <v>691.32</v>
      </c>
      <c r="R43" s="1995">
        <v>0.88</v>
      </c>
      <c r="S43" s="1995">
        <v>0.99</v>
      </c>
      <c r="T43" s="1995">
        <v>1</v>
      </c>
      <c r="U43" s="1993">
        <f t="shared" ref="U43" si="62">Q43*R43*S43*T43</f>
        <v>602.28</v>
      </c>
      <c r="V43" s="1993">
        <f t="shared" si="31"/>
        <v>0</v>
      </c>
      <c r="W43" s="1997">
        <f>'Индексы Росстата'!$F$121</f>
        <v>1.0225</v>
      </c>
      <c r="X43" s="1998">
        <f t="shared" ref="X43" si="63">U43*W43</f>
        <v>615.83000000000004</v>
      </c>
      <c r="Y43" s="2012">
        <f>'Прогнозные индексы'!$K$64</f>
        <v>1.034</v>
      </c>
      <c r="Z43" s="1998">
        <f t="shared" ref="Z43" si="64">X43*Y43</f>
        <v>636.77</v>
      </c>
      <c r="AA43" s="1993">
        <f t="shared" si="34"/>
        <v>0</v>
      </c>
      <c r="AB43" s="2000"/>
      <c r="AC43" s="2001">
        <f t="shared" si="11"/>
        <v>776.86</v>
      </c>
      <c r="AD43" s="2071">
        <f t="shared" si="12"/>
        <v>0</v>
      </c>
      <c r="AE43" s="2104">
        <f>AC43/(E43*1000)</f>
        <v>0.97</v>
      </c>
      <c r="AF43" s="2105" t="s">
        <v>2647</v>
      </c>
      <c r="AG43" s="2019">
        <f t="shared" si="13"/>
        <v>30600.68</v>
      </c>
      <c r="AH43" s="1568">
        <f t="shared" si="14"/>
        <v>14789.15</v>
      </c>
    </row>
    <row r="44" spans="1:34" s="1254" customFormat="1" ht="225" customHeight="1" x14ac:dyDescent="0.25">
      <c r="A44" s="1254">
        <v>3</v>
      </c>
      <c r="B44" s="2013" t="str">
        <f t="shared" ca="1" si="3"/>
        <v>10.1.2</v>
      </c>
      <c r="C44" s="1487" t="s">
        <v>7894</v>
      </c>
      <c r="D44" s="1486" t="s">
        <v>2588</v>
      </c>
      <c r="E44" s="1493">
        <f>380/100</f>
        <v>3.8</v>
      </c>
      <c r="F44" s="1991" t="s">
        <v>7896</v>
      </c>
      <c r="G44" s="1992">
        <v>46023</v>
      </c>
      <c r="H44" s="1993">
        <f>87.02</f>
        <v>87.02</v>
      </c>
      <c r="I44" s="1994">
        <f>3.71*1000/1.02</f>
        <v>3637.25</v>
      </c>
      <c r="J44" s="1994"/>
      <c r="K44" s="1994">
        <f>1.55*1000/1.02</f>
        <v>1519.61</v>
      </c>
      <c r="L44" s="1994">
        <f t="shared" si="59"/>
        <v>0</v>
      </c>
      <c r="M44" s="1993">
        <f t="shared" si="27"/>
        <v>-5069.84</v>
      </c>
      <c r="N44" s="1993">
        <f>E44*H44</f>
        <v>330.68</v>
      </c>
      <c r="O44" s="1995">
        <v>1</v>
      </c>
      <c r="P44" s="1995">
        <v>1</v>
      </c>
      <c r="Q44" s="1993">
        <f t="shared" ref="Q44" si="65">N44*O44*P44</f>
        <v>330.68</v>
      </c>
      <c r="R44" s="1995">
        <v>0.88</v>
      </c>
      <c r="S44" s="1995">
        <v>0.99</v>
      </c>
      <c r="T44" s="1995">
        <v>1</v>
      </c>
      <c r="U44" s="1993">
        <f t="shared" ref="U44" si="66">Q44*R44*S44*T44</f>
        <v>288.08999999999997</v>
      </c>
      <c r="V44" s="1996">
        <f t="shared" si="31"/>
        <v>0</v>
      </c>
      <c r="W44" s="1997">
        <f>'Индексы Росстата'!$F$121</f>
        <v>1.0225</v>
      </c>
      <c r="X44" s="1998">
        <f t="shared" ref="X44" si="67">U44*W44</f>
        <v>294.57</v>
      </c>
      <c r="Y44" s="2012">
        <f>'Прогнозные индексы'!$K$64</f>
        <v>1.034</v>
      </c>
      <c r="Z44" s="1998">
        <f t="shared" ref="Z44" si="68">X44*Y44</f>
        <v>304.58999999999997</v>
      </c>
      <c r="AA44" s="1996">
        <f t="shared" si="34"/>
        <v>0</v>
      </c>
      <c r="AB44" s="2000"/>
      <c r="AC44" s="2001">
        <f t="shared" si="11"/>
        <v>371.6</v>
      </c>
      <c r="AD44" s="2071">
        <f t="shared" si="12"/>
        <v>0</v>
      </c>
      <c r="AE44" s="2104">
        <f>AC44/(E44*100)</f>
        <v>0.98</v>
      </c>
      <c r="AF44" s="2105" t="s">
        <v>2647</v>
      </c>
      <c r="AG44" s="2019">
        <f t="shared" si="13"/>
        <v>15531.68</v>
      </c>
      <c r="AH44" s="1568">
        <f t="shared" si="14"/>
        <v>6488.99</v>
      </c>
    </row>
    <row r="45" spans="1:34" s="1254" customFormat="1" x14ac:dyDescent="0.25">
      <c r="A45" s="1254">
        <v>3</v>
      </c>
      <c r="B45" s="2013" t="str">
        <f t="shared" ca="1" si="3"/>
        <v>10.1.3</v>
      </c>
      <c r="C45" s="1487" t="s">
        <v>7897</v>
      </c>
      <c r="D45" s="1486" t="s">
        <v>316</v>
      </c>
      <c r="E45" s="1488">
        <v>2</v>
      </c>
      <c r="F45" s="1991" t="str">
        <f ca="1">CONCATENATE("учтено в п.",B43,", ",B44)</f>
        <v>учтено в п.10.1.1, 10.1.2</v>
      </c>
      <c r="G45" s="1992"/>
      <c r="H45" s="1993"/>
      <c r="I45" s="1994"/>
      <c r="J45" s="1994"/>
      <c r="K45" s="1994"/>
      <c r="L45" s="1994">
        <f t="shared" si="59"/>
        <v>0</v>
      </c>
      <c r="M45" s="1993">
        <f t="shared" si="27"/>
        <v>0</v>
      </c>
      <c r="N45" s="1993">
        <f t="shared" si="60"/>
        <v>0</v>
      </c>
      <c r="O45" s="1995">
        <v>1</v>
      </c>
      <c r="P45" s="1995">
        <v>1</v>
      </c>
      <c r="Q45" s="1993">
        <f t="shared" ref="Q45:Q47" si="69">N45*O45*P45</f>
        <v>0</v>
      </c>
      <c r="R45" s="1995"/>
      <c r="S45" s="1995"/>
      <c r="T45" s="1995"/>
      <c r="U45" s="1993">
        <f t="shared" ref="U45:U47" si="70">Q45*R45*S45*T45</f>
        <v>0</v>
      </c>
      <c r="V45" s="1996">
        <f t="shared" si="31"/>
        <v>0</v>
      </c>
      <c r="W45" s="1997"/>
      <c r="X45" s="1998">
        <f t="shared" ref="X45:X47" si="71">U45*W45</f>
        <v>0</v>
      </c>
      <c r="Y45" s="1999"/>
      <c r="Z45" s="1998">
        <f t="shared" ref="Z45:Z47" si="72">X45*Y45</f>
        <v>0</v>
      </c>
      <c r="AA45" s="1996">
        <f t="shared" si="34"/>
        <v>0</v>
      </c>
      <c r="AB45" s="2000"/>
      <c r="AC45" s="2001">
        <f t="shared" si="11"/>
        <v>0</v>
      </c>
      <c r="AD45" s="2071">
        <f t="shared" si="12"/>
        <v>0</v>
      </c>
      <c r="AE45" s="2104"/>
      <c r="AF45" s="2105"/>
      <c r="AG45" s="2019">
        <f t="shared" si="13"/>
        <v>0</v>
      </c>
      <c r="AH45" s="1568">
        <f t="shared" si="14"/>
        <v>0</v>
      </c>
    </row>
    <row r="46" spans="1:34" s="1254" customFormat="1" ht="141.75" x14ac:dyDescent="0.25">
      <c r="A46" s="1254">
        <v>2</v>
      </c>
      <c r="B46" s="2013" t="str">
        <f t="shared" ca="1" si="3"/>
        <v>10.2</v>
      </c>
      <c r="C46" s="1487" t="s">
        <v>7898</v>
      </c>
      <c r="D46" s="1486" t="s">
        <v>316</v>
      </c>
      <c r="E46" s="1488">
        <v>9</v>
      </c>
      <c r="F46" s="1991" t="s">
        <v>7944</v>
      </c>
      <c r="G46" s="1992">
        <v>43647</v>
      </c>
      <c r="H46" s="1993">
        <f>'КСБ Архыз'!$AJ$26/1.2</f>
        <v>3.47</v>
      </c>
      <c r="I46" s="2015">
        <f>'КСБ Архыз'!$V$28/'КСБ Архыз'!$AI$28*1000</f>
        <v>33772.61</v>
      </c>
      <c r="J46" s="2015"/>
      <c r="K46" s="2015">
        <f>'КСБ Архыз'!$W$28/'КСБ Архыз'!$AI$28*1000</f>
        <v>19412.61</v>
      </c>
      <c r="L46" s="2015">
        <f>'КСБ Архыз'!$J$28/'КСБ Архыз'!$AI$28*1000</f>
        <v>337439.77</v>
      </c>
      <c r="M46" s="1993">
        <f t="shared" si="27"/>
        <v>-53181.75</v>
      </c>
      <c r="N46" s="1993">
        <f>E46*H46</f>
        <v>31.23</v>
      </c>
      <c r="O46" s="1995">
        <v>1</v>
      </c>
      <c r="P46" s="1995">
        <v>1</v>
      </c>
      <c r="Q46" s="1993">
        <f t="shared" si="69"/>
        <v>31.23</v>
      </c>
      <c r="R46" s="1995">
        <v>1</v>
      </c>
      <c r="S46" s="1995">
        <v>1</v>
      </c>
      <c r="T46" s="1995">
        <v>1</v>
      </c>
      <c r="U46" s="1993">
        <f t="shared" si="70"/>
        <v>31.23</v>
      </c>
      <c r="V46" s="1996">
        <f t="shared" si="31"/>
        <v>3036957.93</v>
      </c>
      <c r="W46" s="1997">
        <f>'Индексы Росстата'!$F$125</f>
        <v>1.5247999999999999</v>
      </c>
      <c r="X46" s="1993">
        <f t="shared" si="71"/>
        <v>47.62</v>
      </c>
      <c r="Y46" s="2012">
        <f>'Прогнозные индексы'!$K$64</f>
        <v>1.034</v>
      </c>
      <c r="Z46" s="1993">
        <f t="shared" si="72"/>
        <v>49.24</v>
      </c>
      <c r="AA46" s="1993">
        <f t="shared" si="34"/>
        <v>4788199.07</v>
      </c>
      <c r="AB46" s="2000"/>
      <c r="AC46" s="2001">
        <f>Z46*1.22</f>
        <v>60.07</v>
      </c>
      <c r="AD46" s="2090"/>
      <c r="AE46" s="2104">
        <f>AC46/E46</f>
        <v>6.67</v>
      </c>
      <c r="AF46" s="2105" t="s">
        <v>5316</v>
      </c>
      <c r="AG46" s="2019"/>
      <c r="AH46" s="1568"/>
    </row>
    <row r="47" spans="1:34" s="1254" customFormat="1" ht="45" x14ac:dyDescent="0.25">
      <c r="A47" s="1254">
        <v>2</v>
      </c>
      <c r="B47" s="2013" t="str">
        <f t="shared" ca="1" si="3"/>
        <v>10.3</v>
      </c>
      <c r="C47" s="1487" t="s">
        <v>7899</v>
      </c>
      <c r="D47" s="1486" t="s">
        <v>316</v>
      </c>
      <c r="E47" s="1488">
        <v>4</v>
      </c>
      <c r="F47" s="2113" t="s">
        <v>8972</v>
      </c>
      <c r="G47" s="1992">
        <v>46235</v>
      </c>
      <c r="H47" s="1993">
        <f>14600/1000/1.22</f>
        <v>11.97</v>
      </c>
      <c r="I47" s="1988"/>
      <c r="J47" s="1988"/>
      <c r="K47" s="1988"/>
      <c r="L47" s="1988"/>
      <c r="M47" s="1987"/>
      <c r="N47" s="1993">
        <f>E47*H47</f>
        <v>47.88</v>
      </c>
      <c r="O47" s="1995">
        <v>1</v>
      </c>
      <c r="P47" s="1995">
        <v>1</v>
      </c>
      <c r="Q47" s="1993">
        <f t="shared" si="69"/>
        <v>47.88</v>
      </c>
      <c r="R47" s="1995">
        <v>1</v>
      </c>
      <c r="S47" s="1995">
        <v>1</v>
      </c>
      <c r="T47" s="1995">
        <v>1</v>
      </c>
      <c r="U47" s="1993">
        <f t="shared" si="70"/>
        <v>47.88</v>
      </c>
      <c r="V47" s="1990"/>
      <c r="W47" s="1997">
        <v>1</v>
      </c>
      <c r="X47" s="1993">
        <f t="shared" si="71"/>
        <v>47.88</v>
      </c>
      <c r="Y47" s="2012">
        <f>'Прогнозные индексы'!$K$64</f>
        <v>1.034</v>
      </c>
      <c r="Z47" s="1993">
        <f t="shared" si="72"/>
        <v>49.51</v>
      </c>
      <c r="AA47" s="1996"/>
      <c r="AB47" s="2000"/>
      <c r="AC47" s="2001">
        <f>Z47*1.22</f>
        <v>60.4</v>
      </c>
      <c r="AD47" s="2071"/>
      <c r="AE47" s="2104">
        <f>AC47/E47</f>
        <v>15.1</v>
      </c>
      <c r="AF47" s="2105" t="s">
        <v>269</v>
      </c>
      <c r="AG47" s="2019"/>
      <c r="AH47" s="1568"/>
    </row>
    <row r="48" spans="1:34" s="1254" customFormat="1" ht="141.75" x14ac:dyDescent="0.25">
      <c r="A48" s="1254">
        <v>2</v>
      </c>
      <c r="B48" s="2013" t="str">
        <f t="shared" ca="1" si="3"/>
        <v>10.4</v>
      </c>
      <c r="C48" s="1487" t="s">
        <v>7900</v>
      </c>
      <c r="D48" s="1486" t="s">
        <v>5327</v>
      </c>
      <c r="E48" s="1488">
        <v>36</v>
      </c>
      <c r="F48" s="1991" t="s">
        <v>7943</v>
      </c>
      <c r="G48" s="1992">
        <v>43647</v>
      </c>
      <c r="H48" s="1993">
        <f>'КСБ Архыз'!$AJ$29/1.2</f>
        <v>89.45</v>
      </c>
      <c r="I48" s="2015">
        <f>'КСБ Архыз'!$V$22/'КСБ Архыз'!$AI$22*1000</f>
        <v>5080.3599999999997</v>
      </c>
      <c r="J48" s="2015"/>
      <c r="K48" s="2015">
        <f>'КСБ Архыз'!$W$22/'КСБ Архыз'!$AI$22*1000</f>
        <v>2156.35</v>
      </c>
      <c r="L48" s="2015">
        <f>'КСБ Архыз'!$J$22/'КСБ Архыз'!$AI$22*1000</f>
        <v>26240.36</v>
      </c>
      <c r="M48" s="1993">
        <f t="shared" ref="M48" si="73">H48-I48-K48</f>
        <v>-7147.26</v>
      </c>
      <c r="N48" s="1993">
        <f>E48*H48</f>
        <v>3220.2</v>
      </c>
      <c r="O48" s="1995">
        <v>1</v>
      </c>
      <c r="P48" s="1995">
        <v>1</v>
      </c>
      <c r="Q48" s="1993">
        <f t="shared" ref="Q48" si="74">N48*O48*P48</f>
        <v>3220.2</v>
      </c>
      <c r="R48" s="1995">
        <v>1</v>
      </c>
      <c r="S48" s="1995">
        <v>1</v>
      </c>
      <c r="T48" s="1995">
        <v>1</v>
      </c>
      <c r="U48" s="1993">
        <f t="shared" ref="U48" si="75">Q48*R48*S48*T48</f>
        <v>3220.2</v>
      </c>
      <c r="V48" s="1996">
        <f t="shared" ref="V48" si="76">E48*L48*O48*P48*R48*S48*T48</f>
        <v>944652.96</v>
      </c>
      <c r="W48" s="1997">
        <f>'Индексы Росстата'!$F$125</f>
        <v>1.5247999999999999</v>
      </c>
      <c r="X48" s="1993">
        <f t="shared" ref="X48" si="77">U48*W48</f>
        <v>4910.16</v>
      </c>
      <c r="Y48" s="2012">
        <f>'Прогнозные индексы'!$K$64</f>
        <v>1.034</v>
      </c>
      <c r="Z48" s="1993">
        <f t="shared" ref="Z48" si="78">X48*Y48</f>
        <v>5077.1099999999997</v>
      </c>
      <c r="AA48" s="1996"/>
      <c r="AB48" s="2000"/>
      <c r="AC48" s="2001">
        <f>Z48*1.22</f>
        <v>6194.07</v>
      </c>
      <c r="AD48" s="2071"/>
      <c r="AE48" s="2104">
        <f>AC48/(E48)</f>
        <v>172.06</v>
      </c>
      <c r="AF48" s="2105" t="s">
        <v>5327</v>
      </c>
      <c r="AG48" s="2019"/>
      <c r="AH48" s="1568"/>
    </row>
    <row r="49" spans="1:34" s="1254" customFormat="1" ht="243" customHeight="1" x14ac:dyDescent="0.25">
      <c r="A49" s="1254">
        <v>2</v>
      </c>
      <c r="B49" s="2013" t="str">
        <f t="shared" ca="1" si="3"/>
        <v>10.5</v>
      </c>
      <c r="C49" s="1487" t="s">
        <v>7927</v>
      </c>
      <c r="D49" s="1486" t="s">
        <v>2588</v>
      </c>
      <c r="E49" s="1493">
        <f>250/100</f>
        <v>2.5</v>
      </c>
      <c r="F49" s="1991" t="s">
        <v>7926</v>
      </c>
      <c r="G49" s="1992">
        <v>46023</v>
      </c>
      <c r="H49" s="1993">
        <f>274.74</f>
        <v>274.74</v>
      </c>
      <c r="I49" s="1994">
        <f>3.71*1000/1.02</f>
        <v>3637.25</v>
      </c>
      <c r="J49" s="1994"/>
      <c r="K49" s="1994">
        <f>1.55*1000/1.02</f>
        <v>1519.61</v>
      </c>
      <c r="L49" s="1994">
        <f t="shared" si="59"/>
        <v>0</v>
      </c>
      <c r="M49" s="1993">
        <f t="shared" ref="M49" si="79">H49-I49-K49</f>
        <v>-4882.12</v>
      </c>
      <c r="N49" s="1993">
        <f>E49*H49</f>
        <v>686.85</v>
      </c>
      <c r="O49" s="1995">
        <v>1</v>
      </c>
      <c r="P49" s="1995">
        <v>1</v>
      </c>
      <c r="Q49" s="1993">
        <f t="shared" ref="Q49" si="80">N49*O49*P49</f>
        <v>686.85</v>
      </c>
      <c r="R49" s="1995">
        <v>0.88</v>
      </c>
      <c r="S49" s="1995">
        <v>0.99</v>
      </c>
      <c r="T49" s="1995">
        <v>1</v>
      </c>
      <c r="U49" s="1993">
        <f t="shared" ref="U49" si="81">Q49*R49*S49*T49</f>
        <v>598.38</v>
      </c>
      <c r="V49" s="1996">
        <f t="shared" ref="V49" si="82">E49*L49*O49*P49*R49*S49*T49</f>
        <v>0</v>
      </c>
      <c r="W49" s="2082">
        <f>'Индексы Росстата'!$F$121</f>
        <v>1.0225</v>
      </c>
      <c r="X49" s="1993">
        <f t="shared" ref="X49" si="83">U49*W49</f>
        <v>611.84</v>
      </c>
      <c r="Y49" s="2012">
        <f>'Прогнозные индексы'!$K$64</f>
        <v>1.034</v>
      </c>
      <c r="Z49" s="1993">
        <f t="shared" ref="Z49" si="84">X49*Y49</f>
        <v>632.64</v>
      </c>
      <c r="AA49" s="1996">
        <f t="shared" ref="AA49" si="85">V49*W49*Y49</f>
        <v>0</v>
      </c>
      <c r="AB49" s="2000"/>
      <c r="AC49" s="2001">
        <f t="shared" ref="AC49:AC51" si="86">Z49*1.22</f>
        <v>771.82</v>
      </c>
      <c r="AD49" s="2071">
        <f t="shared" ref="AD49" si="87">AA49*1.22</f>
        <v>0</v>
      </c>
      <c r="AE49" s="2104">
        <f>AC49/(E49*100)</f>
        <v>3.09</v>
      </c>
      <c r="AF49" s="2105" t="s">
        <v>2647</v>
      </c>
      <c r="AG49" s="2019"/>
      <c r="AH49" s="1568"/>
    </row>
    <row r="50" spans="1:34" s="1254" customFormat="1" x14ac:dyDescent="0.25">
      <c r="A50" s="1254">
        <v>2</v>
      </c>
      <c r="B50" s="2013" t="str">
        <f t="shared" ca="1" si="3"/>
        <v>10.6</v>
      </c>
      <c r="C50" s="1487" t="s">
        <v>7928</v>
      </c>
      <c r="D50" s="1486" t="s">
        <v>316</v>
      </c>
      <c r="E50" s="1488">
        <f>ROUNDDOWN(E49*1,0)</f>
        <v>2</v>
      </c>
      <c r="F50" s="1991" t="str">
        <f ca="1">CONCATENATE("учтено в п.",B49)</f>
        <v>учтено в п.10.5</v>
      </c>
      <c r="G50" s="1992"/>
      <c r="H50" s="1993"/>
      <c r="I50" s="1994"/>
      <c r="J50" s="1994"/>
      <c r="K50" s="1994"/>
      <c r="L50" s="1994"/>
      <c r="M50" s="1993"/>
      <c r="N50" s="1993"/>
      <c r="O50" s="1995"/>
      <c r="P50" s="1995"/>
      <c r="Q50" s="1993"/>
      <c r="R50" s="1995"/>
      <c r="S50" s="1995"/>
      <c r="T50" s="1995"/>
      <c r="U50" s="1993"/>
      <c r="V50" s="1996"/>
      <c r="W50" s="2082"/>
      <c r="X50" s="1993"/>
      <c r="Y50" s="2012"/>
      <c r="Z50" s="1993"/>
      <c r="AA50" s="1996"/>
      <c r="AB50" s="2000"/>
      <c r="AC50" s="2001"/>
      <c r="AD50" s="2071"/>
      <c r="AE50" s="2104"/>
      <c r="AF50" s="2105"/>
      <c r="AG50" s="2019"/>
      <c r="AH50" s="1568"/>
    </row>
    <row r="51" spans="1:34" s="1254" customFormat="1" ht="63" x14ac:dyDescent="0.25">
      <c r="A51" s="1254">
        <v>2</v>
      </c>
      <c r="B51" s="2013" t="str">
        <f t="shared" ca="1" si="3"/>
        <v>10.7</v>
      </c>
      <c r="C51" s="1487" t="s">
        <v>7901</v>
      </c>
      <c r="D51" s="1486" t="s">
        <v>316</v>
      </c>
      <c r="E51" s="1488">
        <f>12-E50</f>
        <v>10</v>
      </c>
      <c r="F51" s="1991" t="s">
        <v>7929</v>
      </c>
      <c r="G51" s="1992">
        <v>46023</v>
      </c>
      <c r="H51" s="1993">
        <f>65.33</f>
        <v>65.33</v>
      </c>
      <c r="I51" s="1988"/>
      <c r="J51" s="1988"/>
      <c r="K51" s="1988"/>
      <c r="L51" s="1988"/>
      <c r="M51" s="1987"/>
      <c r="N51" s="1993">
        <f>E51*H51</f>
        <v>653.29999999999995</v>
      </c>
      <c r="O51" s="1995">
        <v>1</v>
      </c>
      <c r="P51" s="1995">
        <v>1</v>
      </c>
      <c r="Q51" s="1993">
        <f t="shared" ref="Q51:Q52" si="88">N51*O51*P51</f>
        <v>653.29999999999995</v>
      </c>
      <c r="R51" s="1995">
        <v>0.88</v>
      </c>
      <c r="S51" s="1995">
        <v>0.99</v>
      </c>
      <c r="T51" s="1995">
        <v>1</v>
      </c>
      <c r="U51" s="1993">
        <f t="shared" ref="U51:U52" si="89">Q51*R51*S51*T51</f>
        <v>569.15</v>
      </c>
      <c r="V51" s="1996">
        <f t="shared" ref="V51:V52" si="90">E51*L51*O51*P51*R51*S51*T51</f>
        <v>0</v>
      </c>
      <c r="W51" s="2082">
        <f>'Индексы Росстата'!$F$121</f>
        <v>1.0225</v>
      </c>
      <c r="X51" s="1993">
        <f t="shared" ref="X51:X52" si="91">U51*W51</f>
        <v>581.96</v>
      </c>
      <c r="Y51" s="2012">
        <f>'Прогнозные индексы'!$K$64</f>
        <v>1.034</v>
      </c>
      <c r="Z51" s="1993">
        <f t="shared" ref="Z51:Z52" si="92">X51*Y51</f>
        <v>601.75</v>
      </c>
      <c r="AA51" s="1996"/>
      <c r="AB51" s="2000"/>
      <c r="AC51" s="2001">
        <f t="shared" si="86"/>
        <v>734.14</v>
      </c>
      <c r="AD51" s="2071"/>
      <c r="AE51" s="2104">
        <f>AC51/E51</f>
        <v>73.41</v>
      </c>
      <c r="AF51" s="2105" t="s">
        <v>269</v>
      </c>
      <c r="AG51" s="2019"/>
      <c r="AH51" s="1568"/>
    </row>
    <row r="52" spans="1:34" s="1254" customFormat="1" ht="141.75" x14ac:dyDescent="0.25">
      <c r="A52" s="1254">
        <v>2</v>
      </c>
      <c r="B52" s="2013" t="str">
        <f t="shared" ca="1" si="3"/>
        <v>10.8</v>
      </c>
      <c r="C52" s="1487" t="s">
        <v>7902</v>
      </c>
      <c r="D52" s="1486" t="s">
        <v>5309</v>
      </c>
      <c r="E52" s="1488">
        <v>41</v>
      </c>
      <c r="F52" s="1991" t="s">
        <v>5839</v>
      </c>
      <c r="G52" s="1992">
        <v>43647</v>
      </c>
      <c r="H52" s="1993">
        <f>'КСБ Архыз'!$AJ$28/1.2</f>
        <v>403.96</v>
      </c>
      <c r="I52" s="2015">
        <f>'КСБ Архыз'!$V$28/'КСБ Архыз'!$AI$28*1000</f>
        <v>33772.61</v>
      </c>
      <c r="J52" s="2015"/>
      <c r="K52" s="2015">
        <f>'КСБ Архыз'!$W$28/'КСБ Архыз'!$AI$28*1000</f>
        <v>19412.61</v>
      </c>
      <c r="L52" s="2015">
        <f>'КСБ Архыз'!$J$28/'КСБ Архыз'!$AI$28*1000</f>
        <v>337439.77</v>
      </c>
      <c r="M52" s="1993">
        <f t="shared" ref="M52" si="93">H52-I52-K52</f>
        <v>-52781.26</v>
      </c>
      <c r="N52" s="1993">
        <f>E52*H52</f>
        <v>16562.36</v>
      </c>
      <c r="O52" s="1995">
        <v>1</v>
      </c>
      <c r="P52" s="1995">
        <v>1</v>
      </c>
      <c r="Q52" s="1993">
        <f t="shared" si="88"/>
        <v>16562.36</v>
      </c>
      <c r="R52" s="1995">
        <v>1</v>
      </c>
      <c r="S52" s="1995">
        <v>1</v>
      </c>
      <c r="T52" s="1995">
        <v>1</v>
      </c>
      <c r="U52" s="1993">
        <f t="shared" si="89"/>
        <v>16562.36</v>
      </c>
      <c r="V52" s="1996">
        <f t="shared" si="90"/>
        <v>13835030.57</v>
      </c>
      <c r="W52" s="1997">
        <f>'Индексы Росстата'!$F$125</f>
        <v>1.5247999999999999</v>
      </c>
      <c r="X52" s="1993">
        <f t="shared" si="91"/>
        <v>25254.29</v>
      </c>
      <c r="Y52" s="2012">
        <f>'Прогнозные индексы'!$K$64</f>
        <v>1.034</v>
      </c>
      <c r="Z52" s="1993">
        <f t="shared" si="92"/>
        <v>26112.94</v>
      </c>
      <c r="AA52" s="1993">
        <f t="shared" ref="AA52" si="94">V52*W52*Y52</f>
        <v>21812906.870000001</v>
      </c>
      <c r="AB52" s="2000"/>
      <c r="AC52" s="2001">
        <f>Z52*1.22</f>
        <v>31857.79</v>
      </c>
      <c r="AD52" s="2090"/>
      <c r="AE52" s="2104">
        <f>AC52/E52</f>
        <v>777.02</v>
      </c>
      <c r="AF52" s="2105" t="s">
        <v>5309</v>
      </c>
      <c r="AG52" s="2019"/>
      <c r="AH52" s="1568"/>
    </row>
    <row r="53" spans="1:34" s="1516" customFormat="1" x14ac:dyDescent="0.25">
      <c r="A53" s="1516">
        <v>1</v>
      </c>
      <c r="B53" s="2014" t="str">
        <f t="shared" ca="1" si="3"/>
        <v>11</v>
      </c>
      <c r="C53" s="1485" t="s">
        <v>5981</v>
      </c>
      <c r="D53" s="1491" t="s">
        <v>432</v>
      </c>
      <c r="E53" s="1492">
        <v>1</v>
      </c>
      <c r="F53" s="2002"/>
      <c r="G53" s="2003"/>
      <c r="H53" s="1996"/>
      <c r="I53" s="2004"/>
      <c r="J53" s="2004"/>
      <c r="K53" s="2004"/>
      <c r="L53" s="2004">
        <f t="shared" si="59"/>
        <v>0</v>
      </c>
      <c r="M53" s="1996">
        <f t="shared" si="27"/>
        <v>0</v>
      </c>
      <c r="N53" s="1996">
        <f>N54+N55+N56+N57+N58+N59+N60+N61+N62+N63+N64+N65+N66+N67+N68+N69</f>
        <v>2975.95</v>
      </c>
      <c r="O53" s="2005"/>
      <c r="P53" s="2005"/>
      <c r="Q53" s="1996">
        <f>Q54+Q55+Q56+Q57+Q58+Q59+Q60+Q61+Q62+Q63+Q64+Q65+Q66+Q67+Q68+Q69</f>
        <v>2975.95</v>
      </c>
      <c r="R53" s="2005"/>
      <c r="S53" s="2005"/>
      <c r="T53" s="2005"/>
      <c r="U53" s="1996">
        <f>U54+U55+U56+U57+U58+U59+U60+U61+U62+U63+U64+U65+U66+U67+U68+U69</f>
        <v>2533.21</v>
      </c>
      <c r="V53" s="1996">
        <f>V54+V55+V56+V57+V58+V59+V60+V61+V62+V63+V64+V65+V66+V67+V68+V69</f>
        <v>0</v>
      </c>
      <c r="W53" s="2006"/>
      <c r="X53" s="1996">
        <f>X54+X55+X56+X57+X58+X59+X60+X61+X62+X63+X64+X65+X66+X67+X68+X69</f>
        <v>2590.21</v>
      </c>
      <c r="Y53" s="2008"/>
      <c r="Z53" s="1996">
        <f>Z54+Z55+Z56+Z57+Z58+Z59+Z60+Z61+Z62+Z63+Z64+Z65+Z66+Z67+Z68+Z69</f>
        <v>2678.28</v>
      </c>
      <c r="AA53" s="1996">
        <f>AA54+AA55+AA56+AA57+AA58+AA59+AA60+AA61+AA62+AA63+AA64+AA65+AA66+AA67+AA68+AA69</f>
        <v>0</v>
      </c>
      <c r="AB53" s="2009"/>
      <c r="AC53" s="1996">
        <f>AC54+AC55+AC56+AC57+AC58+AC59+AC60+AC61+AC62+AC63+AC64+AC65+AC66+AC67+AC68+AC69</f>
        <v>3267.51</v>
      </c>
      <c r="AD53" s="2088">
        <f>AD54+AD55+AD56+AD57+AD58+AD59+AD60+AD61+AD62+AD63+AD64+AD65+AD66+AD67+AD68+AD69</f>
        <v>0</v>
      </c>
      <c r="AE53" s="2106"/>
      <c r="AF53" s="2107"/>
      <c r="AG53" s="2101">
        <f t="shared" si="13"/>
        <v>0</v>
      </c>
      <c r="AH53" s="2011">
        <f t="shared" si="14"/>
        <v>0</v>
      </c>
    </row>
    <row r="54" spans="1:34" s="1254" customFormat="1" ht="204.75" x14ac:dyDescent="0.25">
      <c r="A54" s="1254">
        <v>2</v>
      </c>
      <c r="B54" s="2013" t="str">
        <f t="shared" ref="B54:B78" ca="1" si="95">IF(A54&gt;OFFSET(A54,-1,0),OFFSET(B54,-1,0)&amp;"."&amp;1,LEFT(OFFSET(B54,-1,0),SEARCH("^^",SUBSTITUTE("."&amp;OFFSET(B54,-1,0),".","^^",A54))-1)&amp;1--MID(OFFSET(B54,-1,0),SEARCH("^^",SUBSTITUTE("."&amp;OFFSET(B54,-1,0),".","^^",A54)),SEARCH("^^",SUBSTITUTE(OFFSET(B54,-1,0)&amp;".",".","^^",A54))-SEARCH("^^",SUBSTITUTE("."&amp;OFFSET(B54,-1,0),".","^^",A54))))</f>
        <v>11.1</v>
      </c>
      <c r="C54" s="1487" t="s">
        <v>5982</v>
      </c>
      <c r="D54" s="1486" t="s">
        <v>4131</v>
      </c>
      <c r="E54" s="1527">
        <f>60/1000</f>
        <v>0.06</v>
      </c>
      <c r="F54" s="1991" t="s">
        <v>6023</v>
      </c>
      <c r="G54" s="1992">
        <v>46023</v>
      </c>
      <c r="H54" s="1993">
        <f>(7881.56+372.57)</f>
        <v>8254.1299999999992</v>
      </c>
      <c r="I54" s="1994">
        <f>(372.31+29.16)*1000/1.02</f>
        <v>393598.04</v>
      </c>
      <c r="J54" s="1994"/>
      <c r="K54" s="1994">
        <f>(157.33+7.19)*1000/1.02</f>
        <v>161294.12</v>
      </c>
      <c r="L54" s="1994">
        <f t="shared" si="59"/>
        <v>0</v>
      </c>
      <c r="M54" s="1993">
        <f t="shared" si="27"/>
        <v>-546638.03</v>
      </c>
      <c r="N54" s="1993">
        <f>E54*H54</f>
        <v>495.25</v>
      </c>
      <c r="O54" s="1995">
        <v>1</v>
      </c>
      <c r="P54" s="1995">
        <v>1</v>
      </c>
      <c r="Q54" s="1993">
        <f t="shared" ref="Q54" si="96">N54*O54*P54</f>
        <v>495.25</v>
      </c>
      <c r="R54" s="1995">
        <v>0.86</v>
      </c>
      <c r="S54" s="1995">
        <v>0.98</v>
      </c>
      <c r="T54" s="1995">
        <v>1.01</v>
      </c>
      <c r="U54" s="1993">
        <f t="shared" ref="U54" si="97">Q54*R54*S54*T54</f>
        <v>421.57</v>
      </c>
      <c r="V54" s="1996">
        <f t="shared" si="31"/>
        <v>0</v>
      </c>
      <c r="W54" s="1997">
        <f>'Индексы Росстата'!$F$121</f>
        <v>1.0225</v>
      </c>
      <c r="X54" s="1998">
        <f t="shared" ref="X54:X55" si="98">U54*W54</f>
        <v>431.06</v>
      </c>
      <c r="Y54" s="2012">
        <f>'Прогнозные индексы'!$K$64</f>
        <v>1.034</v>
      </c>
      <c r="Z54" s="1998">
        <f t="shared" ref="Z54:Z55" si="99">X54*Y54</f>
        <v>445.72</v>
      </c>
      <c r="AA54" s="1996">
        <f t="shared" si="34"/>
        <v>0</v>
      </c>
      <c r="AB54" s="2000"/>
      <c r="AC54" s="2001">
        <f t="shared" si="11"/>
        <v>543.78</v>
      </c>
      <c r="AD54" s="2071">
        <f t="shared" si="12"/>
        <v>0</v>
      </c>
      <c r="AE54" s="2104">
        <f>AC54/E54/1000</f>
        <v>9.06</v>
      </c>
      <c r="AF54" s="2105" t="s">
        <v>2647</v>
      </c>
      <c r="AG54" s="2019">
        <f t="shared" si="13"/>
        <v>25929.48</v>
      </c>
      <c r="AH54" s="1568">
        <f t="shared" si="14"/>
        <v>10625.74</v>
      </c>
    </row>
    <row r="55" spans="1:34" s="1254" customFormat="1" ht="204.75" x14ac:dyDescent="0.25">
      <c r="A55" s="1254">
        <v>2</v>
      </c>
      <c r="B55" s="2013" t="str">
        <f t="shared" ca="1" si="95"/>
        <v>11.2</v>
      </c>
      <c r="C55" s="1487" t="s">
        <v>5983</v>
      </c>
      <c r="D55" s="1486" t="s">
        <v>4131</v>
      </c>
      <c r="E55" s="1527">
        <f>190/1000</f>
        <v>0.19</v>
      </c>
      <c r="F55" s="1991" t="s">
        <v>6025</v>
      </c>
      <c r="G55" s="1992">
        <v>46023</v>
      </c>
      <c r="H55" s="1993">
        <f>(5910.66+372.57)</f>
        <v>6283.23</v>
      </c>
      <c r="I55" s="1994">
        <f>(278.45+29.16)*1000/1.02</f>
        <v>301578.43</v>
      </c>
      <c r="J55" s="1994"/>
      <c r="K55" s="1994">
        <f>(118+7.19)*1000/1.02</f>
        <v>122735.29</v>
      </c>
      <c r="L55" s="1994">
        <f t="shared" si="59"/>
        <v>0</v>
      </c>
      <c r="M55" s="1993">
        <f t="shared" si="27"/>
        <v>-418030.49</v>
      </c>
      <c r="N55" s="1993">
        <f>E55*H55</f>
        <v>1193.81</v>
      </c>
      <c r="O55" s="1995">
        <v>1</v>
      </c>
      <c r="P55" s="1995">
        <v>1</v>
      </c>
      <c r="Q55" s="1993">
        <f t="shared" ref="Q55" si="100">N55*O55*P55</f>
        <v>1193.81</v>
      </c>
      <c r="R55" s="1995">
        <v>0.86</v>
      </c>
      <c r="S55" s="1995">
        <v>0.98</v>
      </c>
      <c r="T55" s="1995">
        <v>1.01</v>
      </c>
      <c r="U55" s="1993">
        <f t="shared" ref="U55" si="101">Q55*R55*S55*T55</f>
        <v>1016.2</v>
      </c>
      <c r="V55" s="1996">
        <f t="shared" si="31"/>
        <v>0</v>
      </c>
      <c r="W55" s="1997">
        <f>'Индексы Росстата'!$F$121</f>
        <v>1.0225</v>
      </c>
      <c r="X55" s="1998">
        <f t="shared" si="98"/>
        <v>1039.06</v>
      </c>
      <c r="Y55" s="2012">
        <f>'Прогнозные индексы'!$K$64</f>
        <v>1.034</v>
      </c>
      <c r="Z55" s="1998">
        <f t="shared" si="99"/>
        <v>1074.3900000000001</v>
      </c>
      <c r="AA55" s="1996">
        <f t="shared" si="34"/>
        <v>0</v>
      </c>
      <c r="AB55" s="2000"/>
      <c r="AC55" s="2001">
        <f t="shared" si="11"/>
        <v>1310.76</v>
      </c>
      <c r="AD55" s="2071">
        <f t="shared" si="12"/>
        <v>0</v>
      </c>
      <c r="AE55" s="2104">
        <f>AC55/E55/1000</f>
        <v>6.9</v>
      </c>
      <c r="AF55" s="2105" t="s">
        <v>2647</v>
      </c>
      <c r="AG55" s="2019">
        <f t="shared" si="13"/>
        <v>62913.440000000002</v>
      </c>
      <c r="AH55" s="1568">
        <f t="shared" si="14"/>
        <v>25604.28</v>
      </c>
    </row>
    <row r="56" spans="1:34" s="1254" customFormat="1" ht="159" customHeight="1" x14ac:dyDescent="0.25">
      <c r="A56" s="1254">
        <v>2</v>
      </c>
      <c r="B56" s="2013" t="str">
        <f t="shared" ca="1" si="95"/>
        <v>11.3</v>
      </c>
      <c r="C56" s="1487" t="s">
        <v>5984</v>
      </c>
      <c r="D56" s="1486" t="s">
        <v>5056</v>
      </c>
      <c r="E56" s="1493">
        <f>20/100</f>
        <v>0.2</v>
      </c>
      <c r="F56" s="1991" t="s">
        <v>6024</v>
      </c>
      <c r="G56" s="1992">
        <v>46023</v>
      </c>
      <c r="H56" s="1993">
        <f>(5318.09+50.39*($E56*100-100))/$E56</f>
        <v>6434.45</v>
      </c>
      <c r="I56" s="1994">
        <f>(192.27+1.82*($E56*100-100))*1000/$E56/1.02</f>
        <v>228774.51</v>
      </c>
      <c r="J56" s="1994"/>
      <c r="K56" s="1994">
        <f>(107.39+1.02*($E56*100-100))*1000/$E56/1.02</f>
        <v>126421.57</v>
      </c>
      <c r="L56" s="1994">
        <f t="shared" si="59"/>
        <v>0</v>
      </c>
      <c r="M56" s="1993">
        <f t="shared" si="27"/>
        <v>-348761.63</v>
      </c>
      <c r="N56" s="1993">
        <f>E56*H56</f>
        <v>1286.8900000000001</v>
      </c>
      <c r="O56" s="1995">
        <v>1</v>
      </c>
      <c r="P56" s="1995">
        <v>1</v>
      </c>
      <c r="Q56" s="1993">
        <f t="shared" ref="Q56" si="102">N56*O56*P56</f>
        <v>1286.8900000000001</v>
      </c>
      <c r="R56" s="1995">
        <v>0.86</v>
      </c>
      <c r="S56" s="1995">
        <v>0.98</v>
      </c>
      <c r="T56" s="1995">
        <v>1.01</v>
      </c>
      <c r="U56" s="1993">
        <f t="shared" ref="U56" si="103">Q56*R56*S56*T56</f>
        <v>1095.44</v>
      </c>
      <c r="V56" s="1996">
        <f t="shared" si="31"/>
        <v>0</v>
      </c>
      <c r="W56" s="1997">
        <f>'Индексы Росстата'!$F$121</f>
        <v>1.0225</v>
      </c>
      <c r="X56" s="1998">
        <f t="shared" ref="X56" si="104">U56*W56</f>
        <v>1120.0899999999999</v>
      </c>
      <c r="Y56" s="2012">
        <f>'Прогнозные индексы'!$K$64</f>
        <v>1.034</v>
      </c>
      <c r="Z56" s="1998">
        <f t="shared" ref="Z56" si="105">X56*Y56</f>
        <v>1158.17</v>
      </c>
      <c r="AA56" s="1996">
        <f t="shared" si="34"/>
        <v>0</v>
      </c>
      <c r="AB56" s="2000"/>
      <c r="AC56" s="2001">
        <f t="shared" si="11"/>
        <v>1412.97</v>
      </c>
      <c r="AD56" s="2071">
        <f t="shared" si="12"/>
        <v>0</v>
      </c>
      <c r="AE56" s="2104">
        <f>AC56/(E56*100)</f>
        <v>70.650000000000006</v>
      </c>
      <c r="AF56" s="2105" t="s">
        <v>2647</v>
      </c>
      <c r="AG56" s="2019">
        <f t="shared" si="13"/>
        <v>50237.41</v>
      </c>
      <c r="AH56" s="1568">
        <f t="shared" si="14"/>
        <v>27761.360000000001</v>
      </c>
    </row>
    <row r="57" spans="1:34" s="1254" customFormat="1" x14ac:dyDescent="0.25">
      <c r="A57" s="1254">
        <v>2</v>
      </c>
      <c r="B57" s="2013" t="str">
        <f t="shared" ca="1" si="95"/>
        <v>11.4</v>
      </c>
      <c r="C57" s="1487" t="s">
        <v>5985</v>
      </c>
      <c r="D57" s="1486" t="s">
        <v>5965</v>
      </c>
      <c r="E57" s="1488">
        <v>20</v>
      </c>
      <c r="F57" s="1991" t="str">
        <f ca="1">CONCATENATE("учтено в п.",B56)</f>
        <v>учтено в п.11.3</v>
      </c>
      <c r="G57" s="1992"/>
      <c r="H57" s="1993"/>
      <c r="I57" s="1994"/>
      <c r="J57" s="1994"/>
      <c r="K57" s="1994"/>
      <c r="L57" s="1994">
        <f t="shared" si="59"/>
        <v>0</v>
      </c>
      <c r="M57" s="1993">
        <f t="shared" si="27"/>
        <v>0</v>
      </c>
      <c r="N57" s="1993">
        <f t="shared" si="60"/>
        <v>0</v>
      </c>
      <c r="O57" s="1995">
        <v>1</v>
      </c>
      <c r="P57" s="1995">
        <v>1</v>
      </c>
      <c r="Q57" s="1993">
        <f t="shared" ref="Q57" si="106">N57*O57*P57</f>
        <v>0</v>
      </c>
      <c r="R57" s="1995"/>
      <c r="S57" s="1995"/>
      <c r="T57" s="1995"/>
      <c r="U57" s="1993">
        <f t="shared" ref="U57" si="107">Q57*R57*S57*T57</f>
        <v>0</v>
      </c>
      <c r="V57" s="1996">
        <f t="shared" si="31"/>
        <v>0</v>
      </c>
      <c r="W57" s="1997"/>
      <c r="X57" s="1998">
        <f t="shared" ref="X57" si="108">U57*W57</f>
        <v>0</v>
      </c>
      <c r="Y57" s="1999"/>
      <c r="Z57" s="1998">
        <f t="shared" ref="Z57" si="109">X57*Y57</f>
        <v>0</v>
      </c>
      <c r="AA57" s="1996">
        <f t="shared" si="34"/>
        <v>0</v>
      </c>
      <c r="AB57" s="2000"/>
      <c r="AC57" s="2001">
        <f t="shared" si="11"/>
        <v>0</v>
      </c>
      <c r="AD57" s="2071">
        <f t="shared" si="12"/>
        <v>0</v>
      </c>
      <c r="AE57" s="2104"/>
      <c r="AF57" s="2105"/>
      <c r="AG57" s="2019">
        <f t="shared" si="13"/>
        <v>0</v>
      </c>
      <c r="AH57" s="1568">
        <f t="shared" si="14"/>
        <v>0</v>
      </c>
    </row>
    <row r="58" spans="1:34" s="1254" customFormat="1" x14ac:dyDescent="0.25">
      <c r="A58" s="1254">
        <v>2</v>
      </c>
      <c r="B58" s="2013" t="str">
        <f t="shared" ca="1" si="95"/>
        <v>11.5</v>
      </c>
      <c r="C58" s="1487" t="s">
        <v>6022</v>
      </c>
      <c r="D58" s="1486" t="s">
        <v>316</v>
      </c>
      <c r="E58" s="1488">
        <v>1</v>
      </c>
      <c r="F58" s="1991" t="str">
        <f ca="1">CONCATENATE("учтено в п.",$B$54,", ",$B$55)</f>
        <v>учтено в п.11.1, 11.2</v>
      </c>
      <c r="G58" s="1992"/>
      <c r="H58" s="1993"/>
      <c r="I58" s="1994"/>
      <c r="J58" s="1994"/>
      <c r="K58" s="1994"/>
      <c r="L58" s="1994">
        <f t="shared" si="59"/>
        <v>0</v>
      </c>
      <c r="M58" s="1993">
        <f t="shared" si="27"/>
        <v>0</v>
      </c>
      <c r="N58" s="1993">
        <f t="shared" si="60"/>
        <v>0</v>
      </c>
      <c r="O58" s="1995">
        <v>1</v>
      </c>
      <c r="P58" s="1995">
        <v>1</v>
      </c>
      <c r="Q58" s="1993">
        <f t="shared" ref="Q58:Q78" si="110">N58*O58*P58</f>
        <v>0</v>
      </c>
      <c r="R58" s="1995"/>
      <c r="S58" s="1995"/>
      <c r="T58" s="1995"/>
      <c r="U58" s="1993">
        <f t="shared" ref="U58:U78" si="111">Q58*R58*S58*T58</f>
        <v>0</v>
      </c>
      <c r="V58" s="1996">
        <f t="shared" si="31"/>
        <v>0</v>
      </c>
      <c r="W58" s="1997"/>
      <c r="X58" s="1998">
        <f t="shared" ref="X58:X78" si="112">U58*W58</f>
        <v>0</v>
      </c>
      <c r="Y58" s="1999"/>
      <c r="Z58" s="1998">
        <f t="shared" ref="Z58:Z78" si="113">X58*Y58</f>
        <v>0</v>
      </c>
      <c r="AA58" s="1996">
        <f t="shared" si="34"/>
        <v>0</v>
      </c>
      <c r="AB58" s="2000"/>
      <c r="AC58" s="2001">
        <f t="shared" si="11"/>
        <v>0</v>
      </c>
      <c r="AD58" s="2071">
        <f t="shared" si="12"/>
        <v>0</v>
      </c>
      <c r="AE58" s="2104"/>
      <c r="AF58" s="2105"/>
      <c r="AG58" s="2019">
        <f t="shared" si="13"/>
        <v>0</v>
      </c>
      <c r="AH58" s="1568">
        <f t="shared" si="14"/>
        <v>0</v>
      </c>
    </row>
    <row r="59" spans="1:34" s="1254" customFormat="1" ht="28.5" x14ac:dyDescent="0.25">
      <c r="A59" s="1254">
        <v>2</v>
      </c>
      <c r="B59" s="2013" t="str">
        <f t="shared" ca="1" si="95"/>
        <v>11.6</v>
      </c>
      <c r="C59" s="1487" t="s">
        <v>5986</v>
      </c>
      <c r="D59" s="1486" t="s">
        <v>316</v>
      </c>
      <c r="E59" s="1488">
        <v>5</v>
      </c>
      <c r="F59" s="1991" t="str">
        <f ca="1">CONCATENATE("учтено в п.",$B$54)</f>
        <v>учтено в п.11.1</v>
      </c>
      <c r="G59" s="1992"/>
      <c r="H59" s="1993"/>
      <c r="I59" s="1994"/>
      <c r="J59" s="1994"/>
      <c r="K59" s="1994"/>
      <c r="L59" s="1994">
        <f t="shared" si="59"/>
        <v>0</v>
      </c>
      <c r="M59" s="1993">
        <f t="shared" si="27"/>
        <v>0</v>
      </c>
      <c r="N59" s="1993">
        <f t="shared" si="60"/>
        <v>0</v>
      </c>
      <c r="O59" s="1995">
        <v>1</v>
      </c>
      <c r="P59" s="1995">
        <v>1</v>
      </c>
      <c r="Q59" s="1993">
        <f t="shared" si="110"/>
        <v>0</v>
      </c>
      <c r="R59" s="1995"/>
      <c r="S59" s="1995"/>
      <c r="T59" s="1995"/>
      <c r="U59" s="1993">
        <f t="shared" si="111"/>
        <v>0</v>
      </c>
      <c r="V59" s="1996">
        <f t="shared" si="31"/>
        <v>0</v>
      </c>
      <c r="W59" s="1997"/>
      <c r="X59" s="1998">
        <f t="shared" si="112"/>
        <v>0</v>
      </c>
      <c r="Y59" s="1999"/>
      <c r="Z59" s="1998">
        <f t="shared" si="113"/>
        <v>0</v>
      </c>
      <c r="AA59" s="1996">
        <f t="shared" si="34"/>
        <v>0</v>
      </c>
      <c r="AB59" s="2000"/>
      <c r="AC59" s="2001">
        <f t="shared" si="11"/>
        <v>0</v>
      </c>
      <c r="AD59" s="2071">
        <f t="shared" si="12"/>
        <v>0</v>
      </c>
      <c r="AE59" s="2104"/>
      <c r="AF59" s="2105"/>
      <c r="AG59" s="2019">
        <f t="shared" si="13"/>
        <v>0</v>
      </c>
      <c r="AH59" s="1568">
        <f t="shared" si="14"/>
        <v>0</v>
      </c>
    </row>
    <row r="60" spans="1:34" s="1254" customFormat="1" x14ac:dyDescent="0.25">
      <c r="A60" s="1254">
        <v>2</v>
      </c>
      <c r="B60" s="2013" t="str">
        <f t="shared" ca="1" si="95"/>
        <v>11.7</v>
      </c>
      <c r="C60" s="1487" t="s">
        <v>7903</v>
      </c>
      <c r="D60" s="1486" t="s">
        <v>316</v>
      </c>
      <c r="E60" s="1488">
        <v>2</v>
      </c>
      <c r="F60" s="1991" t="str">
        <f ca="1">CONCATENATE("учтено в п.",$B$54)</f>
        <v>учтено в п.11.1</v>
      </c>
      <c r="G60" s="1992"/>
      <c r="H60" s="1993"/>
      <c r="I60" s="1994"/>
      <c r="J60" s="1994"/>
      <c r="K60" s="1994"/>
      <c r="L60" s="1994">
        <f t="shared" si="59"/>
        <v>0</v>
      </c>
      <c r="M60" s="1993">
        <f t="shared" si="27"/>
        <v>0</v>
      </c>
      <c r="N60" s="1993">
        <f t="shared" si="60"/>
        <v>0</v>
      </c>
      <c r="O60" s="1995">
        <v>1</v>
      </c>
      <c r="P60" s="1995">
        <v>1</v>
      </c>
      <c r="Q60" s="1993">
        <f t="shared" si="110"/>
        <v>0</v>
      </c>
      <c r="R60" s="1995"/>
      <c r="S60" s="1995"/>
      <c r="T60" s="1995"/>
      <c r="U60" s="1993">
        <f t="shared" si="111"/>
        <v>0</v>
      </c>
      <c r="V60" s="1996">
        <f t="shared" si="31"/>
        <v>0</v>
      </c>
      <c r="W60" s="1997"/>
      <c r="X60" s="1998">
        <f t="shared" si="112"/>
        <v>0</v>
      </c>
      <c r="Y60" s="1999"/>
      <c r="Z60" s="1998">
        <f t="shared" si="113"/>
        <v>0</v>
      </c>
      <c r="AA60" s="1996">
        <f t="shared" si="34"/>
        <v>0</v>
      </c>
      <c r="AB60" s="2000"/>
      <c r="AC60" s="2001">
        <f t="shared" si="11"/>
        <v>0</v>
      </c>
      <c r="AD60" s="2071">
        <f t="shared" si="12"/>
        <v>0</v>
      </c>
      <c r="AE60" s="2104"/>
      <c r="AF60" s="2105"/>
      <c r="AG60" s="2019">
        <f t="shared" si="13"/>
        <v>0</v>
      </c>
      <c r="AH60" s="1568">
        <f t="shared" si="14"/>
        <v>0</v>
      </c>
    </row>
    <row r="61" spans="1:34" s="1254" customFormat="1" x14ac:dyDescent="0.25">
      <c r="A61" s="1254">
        <v>2</v>
      </c>
      <c r="B61" s="2013" t="str">
        <f t="shared" ca="1" si="95"/>
        <v>11.8</v>
      </c>
      <c r="C61" s="1487" t="s">
        <v>5988</v>
      </c>
      <c r="D61" s="1486" t="s">
        <v>316</v>
      </c>
      <c r="E61" s="1488">
        <v>1</v>
      </c>
      <c r="F61" s="1991" t="str">
        <f ca="1">CONCATENATE("учтено в п.",$B$54)</f>
        <v>учтено в п.11.1</v>
      </c>
      <c r="G61" s="1992"/>
      <c r="H61" s="1993"/>
      <c r="I61" s="1994"/>
      <c r="J61" s="1994"/>
      <c r="K61" s="1994"/>
      <c r="L61" s="1994">
        <f t="shared" si="59"/>
        <v>0</v>
      </c>
      <c r="M61" s="1993">
        <f t="shared" si="27"/>
        <v>0</v>
      </c>
      <c r="N61" s="1993">
        <f t="shared" si="60"/>
        <v>0</v>
      </c>
      <c r="O61" s="1995">
        <v>1</v>
      </c>
      <c r="P61" s="1995">
        <v>1</v>
      </c>
      <c r="Q61" s="1993">
        <f t="shared" si="110"/>
        <v>0</v>
      </c>
      <c r="R61" s="1995"/>
      <c r="S61" s="1995"/>
      <c r="T61" s="1995"/>
      <c r="U61" s="1993">
        <f t="shared" si="111"/>
        <v>0</v>
      </c>
      <c r="V61" s="1996">
        <f t="shared" si="31"/>
        <v>0</v>
      </c>
      <c r="W61" s="1997"/>
      <c r="X61" s="1998">
        <f t="shared" si="112"/>
        <v>0</v>
      </c>
      <c r="Y61" s="1999"/>
      <c r="Z61" s="1998">
        <f t="shared" si="113"/>
        <v>0</v>
      </c>
      <c r="AA61" s="1996">
        <f t="shared" si="34"/>
        <v>0</v>
      </c>
      <c r="AB61" s="2000"/>
      <c r="AC61" s="2001">
        <f t="shared" si="11"/>
        <v>0</v>
      </c>
      <c r="AD61" s="2071">
        <f t="shared" si="12"/>
        <v>0</v>
      </c>
      <c r="AE61" s="2104"/>
      <c r="AF61" s="2105"/>
      <c r="AG61" s="2019">
        <f t="shared" si="13"/>
        <v>0</v>
      </c>
      <c r="AH61" s="1568">
        <f t="shared" si="14"/>
        <v>0</v>
      </c>
    </row>
    <row r="62" spans="1:34" s="1254" customFormat="1" x14ac:dyDescent="0.25">
      <c r="A62" s="1254">
        <v>2</v>
      </c>
      <c r="B62" s="2013" t="str">
        <f t="shared" ca="1" si="95"/>
        <v>11.9</v>
      </c>
      <c r="C62" s="1487" t="s">
        <v>5989</v>
      </c>
      <c r="D62" s="1486" t="s">
        <v>316</v>
      </c>
      <c r="E62" s="1488">
        <v>4</v>
      </c>
      <c r="F62" s="1991" t="str">
        <f ca="1">CONCATENATE("учтено в п.",$B$55)</f>
        <v>учтено в п.11.2</v>
      </c>
      <c r="G62" s="1992"/>
      <c r="H62" s="1993"/>
      <c r="I62" s="1994"/>
      <c r="J62" s="1994"/>
      <c r="K62" s="1994"/>
      <c r="L62" s="1994">
        <f t="shared" si="59"/>
        <v>0</v>
      </c>
      <c r="M62" s="1993">
        <f t="shared" si="27"/>
        <v>0</v>
      </c>
      <c r="N62" s="1993">
        <f t="shared" si="60"/>
        <v>0</v>
      </c>
      <c r="O62" s="1995">
        <v>1</v>
      </c>
      <c r="P62" s="1995">
        <v>1</v>
      </c>
      <c r="Q62" s="1993">
        <f t="shared" si="110"/>
        <v>0</v>
      </c>
      <c r="R62" s="1995"/>
      <c r="S62" s="1995"/>
      <c r="T62" s="1995"/>
      <c r="U62" s="1993">
        <f t="shared" si="111"/>
        <v>0</v>
      </c>
      <c r="V62" s="1996">
        <f t="shared" si="31"/>
        <v>0</v>
      </c>
      <c r="W62" s="1997"/>
      <c r="X62" s="1998">
        <f t="shared" si="112"/>
        <v>0</v>
      </c>
      <c r="Y62" s="1999"/>
      <c r="Z62" s="1998">
        <f t="shared" si="113"/>
        <v>0</v>
      </c>
      <c r="AA62" s="1996">
        <f t="shared" si="34"/>
        <v>0</v>
      </c>
      <c r="AB62" s="2000"/>
      <c r="AC62" s="2001">
        <f t="shared" si="11"/>
        <v>0</v>
      </c>
      <c r="AD62" s="2071">
        <f t="shared" si="12"/>
        <v>0</v>
      </c>
      <c r="AE62" s="2104"/>
      <c r="AF62" s="2105"/>
      <c r="AG62" s="2019">
        <f t="shared" si="13"/>
        <v>0</v>
      </c>
      <c r="AH62" s="1568">
        <f t="shared" si="14"/>
        <v>0</v>
      </c>
    </row>
    <row r="63" spans="1:34" s="1254" customFormat="1" x14ac:dyDescent="0.25">
      <c r="A63" s="1254">
        <v>2</v>
      </c>
      <c r="B63" s="2013" t="str">
        <f t="shared" ca="1" si="95"/>
        <v>11.10</v>
      </c>
      <c r="C63" s="1487" t="s">
        <v>5990</v>
      </c>
      <c r="D63" s="1486" t="s">
        <v>316</v>
      </c>
      <c r="E63" s="1488">
        <v>4</v>
      </c>
      <c r="F63" s="1991" t="s">
        <v>7942</v>
      </c>
      <c r="G63" s="1992"/>
      <c r="H63" s="1993"/>
      <c r="I63" s="1994"/>
      <c r="J63" s="1994"/>
      <c r="K63" s="1994"/>
      <c r="L63" s="1994">
        <f t="shared" si="59"/>
        <v>0</v>
      </c>
      <c r="M63" s="1993">
        <f t="shared" si="27"/>
        <v>0</v>
      </c>
      <c r="N63" s="1993">
        <f t="shared" si="60"/>
        <v>0</v>
      </c>
      <c r="O63" s="1995">
        <v>1</v>
      </c>
      <c r="P63" s="1995">
        <v>1</v>
      </c>
      <c r="Q63" s="1993">
        <f t="shared" si="110"/>
        <v>0</v>
      </c>
      <c r="R63" s="1995"/>
      <c r="S63" s="1995"/>
      <c r="T63" s="1995"/>
      <c r="U63" s="1993">
        <f t="shared" si="111"/>
        <v>0</v>
      </c>
      <c r="V63" s="1996">
        <f t="shared" si="31"/>
        <v>0</v>
      </c>
      <c r="W63" s="1997"/>
      <c r="X63" s="1998">
        <f t="shared" si="112"/>
        <v>0</v>
      </c>
      <c r="Y63" s="1999"/>
      <c r="Z63" s="1998">
        <f t="shared" si="113"/>
        <v>0</v>
      </c>
      <c r="AA63" s="1996">
        <f t="shared" si="34"/>
        <v>0</v>
      </c>
      <c r="AB63" s="2000"/>
      <c r="AC63" s="2001">
        <f t="shared" si="11"/>
        <v>0</v>
      </c>
      <c r="AD63" s="2071">
        <f t="shared" si="12"/>
        <v>0</v>
      </c>
      <c r="AE63" s="2104"/>
      <c r="AF63" s="2105"/>
      <c r="AG63" s="2019"/>
      <c r="AH63" s="1568"/>
    </row>
    <row r="64" spans="1:34" s="1254" customFormat="1" x14ac:dyDescent="0.25">
      <c r="A64" s="1254">
        <v>2</v>
      </c>
      <c r="B64" s="2013" t="str">
        <f t="shared" ca="1" si="95"/>
        <v>11.11</v>
      </c>
      <c r="C64" s="1487" t="s">
        <v>5991</v>
      </c>
      <c r="D64" s="1486" t="s">
        <v>832</v>
      </c>
      <c r="E64" s="1488">
        <v>1350</v>
      </c>
      <c r="F64" s="1991" t="str">
        <f ca="1">CONCATENATE("учтено в п.",$B$54,", ",$B$55)</f>
        <v>учтено в п.11.1, 11.2</v>
      </c>
      <c r="G64" s="1992"/>
      <c r="H64" s="1993"/>
      <c r="I64" s="1994"/>
      <c r="J64" s="1994"/>
      <c r="K64" s="1994"/>
      <c r="L64" s="1994">
        <f t="shared" si="59"/>
        <v>0</v>
      </c>
      <c r="M64" s="1993">
        <f t="shared" si="27"/>
        <v>0</v>
      </c>
      <c r="N64" s="1993">
        <f t="shared" si="60"/>
        <v>0</v>
      </c>
      <c r="O64" s="1995">
        <v>1</v>
      </c>
      <c r="P64" s="1995">
        <v>1</v>
      </c>
      <c r="Q64" s="1993">
        <f t="shared" si="110"/>
        <v>0</v>
      </c>
      <c r="R64" s="1995"/>
      <c r="S64" s="1995"/>
      <c r="T64" s="1995"/>
      <c r="U64" s="1993">
        <f t="shared" si="111"/>
        <v>0</v>
      </c>
      <c r="V64" s="1996">
        <f t="shared" si="31"/>
        <v>0</v>
      </c>
      <c r="W64" s="1997"/>
      <c r="X64" s="1998">
        <f t="shared" si="112"/>
        <v>0</v>
      </c>
      <c r="Y64" s="1999"/>
      <c r="Z64" s="1998">
        <f t="shared" si="113"/>
        <v>0</v>
      </c>
      <c r="AA64" s="1996">
        <f t="shared" si="34"/>
        <v>0</v>
      </c>
      <c r="AB64" s="2000"/>
      <c r="AC64" s="2001">
        <f t="shared" si="11"/>
        <v>0</v>
      </c>
      <c r="AD64" s="2071">
        <f t="shared" si="12"/>
        <v>0</v>
      </c>
      <c r="AE64" s="2104"/>
      <c r="AF64" s="2105"/>
      <c r="AG64" s="2019">
        <f t="shared" si="13"/>
        <v>0</v>
      </c>
      <c r="AH64" s="1568">
        <f t="shared" si="14"/>
        <v>0</v>
      </c>
    </row>
    <row r="65" spans="1:34" s="1254" customFormat="1" x14ac:dyDescent="0.25">
      <c r="A65" s="1254">
        <v>2</v>
      </c>
      <c r="B65" s="2013" t="str">
        <f t="shared" ca="1" si="95"/>
        <v>11.12</v>
      </c>
      <c r="C65" s="1487" t="s">
        <v>5992</v>
      </c>
      <c r="D65" s="1486" t="s">
        <v>832</v>
      </c>
      <c r="E65" s="1488">
        <v>145</v>
      </c>
      <c r="F65" s="1991" t="str">
        <f ca="1">CONCATENATE("учтено в п.",$B$54,", ",$B$55)</f>
        <v>учтено в п.11.1, 11.2</v>
      </c>
      <c r="G65" s="1992"/>
      <c r="H65" s="1993"/>
      <c r="I65" s="1994"/>
      <c r="J65" s="1994"/>
      <c r="K65" s="1994"/>
      <c r="L65" s="1994">
        <f t="shared" si="59"/>
        <v>0</v>
      </c>
      <c r="M65" s="1993">
        <f t="shared" si="27"/>
        <v>0</v>
      </c>
      <c r="N65" s="1993">
        <f t="shared" si="60"/>
        <v>0</v>
      </c>
      <c r="O65" s="1995">
        <v>1</v>
      </c>
      <c r="P65" s="1995">
        <v>1</v>
      </c>
      <c r="Q65" s="1993">
        <f t="shared" si="110"/>
        <v>0</v>
      </c>
      <c r="R65" s="1995"/>
      <c r="S65" s="1995"/>
      <c r="T65" s="1995"/>
      <c r="U65" s="1993">
        <f t="shared" si="111"/>
        <v>0</v>
      </c>
      <c r="V65" s="1996">
        <f t="shared" si="31"/>
        <v>0</v>
      </c>
      <c r="W65" s="1997"/>
      <c r="X65" s="1998">
        <f t="shared" si="112"/>
        <v>0</v>
      </c>
      <c r="Y65" s="1999"/>
      <c r="Z65" s="1998">
        <f t="shared" si="113"/>
        <v>0</v>
      </c>
      <c r="AA65" s="1996">
        <f t="shared" si="34"/>
        <v>0</v>
      </c>
      <c r="AB65" s="2000"/>
      <c r="AC65" s="2001">
        <f t="shared" si="11"/>
        <v>0</v>
      </c>
      <c r="AD65" s="2071">
        <f t="shared" si="12"/>
        <v>0</v>
      </c>
      <c r="AE65" s="2104"/>
      <c r="AF65" s="2105"/>
      <c r="AG65" s="2019">
        <f t="shared" si="13"/>
        <v>0</v>
      </c>
      <c r="AH65" s="1568">
        <f t="shared" si="14"/>
        <v>0</v>
      </c>
    </row>
    <row r="66" spans="1:34" s="1254" customFormat="1" ht="28.5" x14ac:dyDescent="0.25">
      <c r="A66" s="1254">
        <v>2</v>
      </c>
      <c r="B66" s="2013" t="str">
        <f t="shared" ca="1" si="95"/>
        <v>11.13</v>
      </c>
      <c r="C66" s="1487" t="s">
        <v>5993</v>
      </c>
      <c r="D66" s="1486" t="s">
        <v>832</v>
      </c>
      <c r="E66" s="1488">
        <v>135</v>
      </c>
      <c r="F66" s="1991" t="str">
        <f ca="1">CONCATENATE("учтено в п.",$B$54,", ",$B$55)</f>
        <v>учтено в п.11.1, 11.2</v>
      </c>
      <c r="G66" s="1992"/>
      <c r="H66" s="1993"/>
      <c r="I66" s="1994"/>
      <c r="J66" s="1994"/>
      <c r="K66" s="1994"/>
      <c r="L66" s="1994">
        <f t="shared" si="59"/>
        <v>0</v>
      </c>
      <c r="M66" s="1993">
        <f t="shared" si="27"/>
        <v>0</v>
      </c>
      <c r="N66" s="1993">
        <f t="shared" si="60"/>
        <v>0</v>
      </c>
      <c r="O66" s="1995">
        <v>1</v>
      </c>
      <c r="P66" s="1995">
        <v>1</v>
      </c>
      <c r="Q66" s="1993">
        <f t="shared" si="110"/>
        <v>0</v>
      </c>
      <c r="R66" s="1995"/>
      <c r="S66" s="1995"/>
      <c r="T66" s="1995"/>
      <c r="U66" s="1993">
        <f t="shared" si="111"/>
        <v>0</v>
      </c>
      <c r="V66" s="1996">
        <f t="shared" si="31"/>
        <v>0</v>
      </c>
      <c r="W66" s="1997"/>
      <c r="X66" s="1998">
        <f t="shared" si="112"/>
        <v>0</v>
      </c>
      <c r="Y66" s="1999"/>
      <c r="Z66" s="1998">
        <f t="shared" si="113"/>
        <v>0</v>
      </c>
      <c r="AA66" s="1996">
        <f t="shared" si="34"/>
        <v>0</v>
      </c>
      <c r="AB66" s="2000"/>
      <c r="AC66" s="2001">
        <f t="shared" si="11"/>
        <v>0</v>
      </c>
      <c r="AD66" s="2071">
        <f t="shared" si="12"/>
        <v>0</v>
      </c>
      <c r="AE66" s="2104"/>
      <c r="AF66" s="2105"/>
      <c r="AG66" s="2019">
        <f t="shared" si="13"/>
        <v>0</v>
      </c>
      <c r="AH66" s="1568">
        <f t="shared" si="14"/>
        <v>0</v>
      </c>
    </row>
    <row r="67" spans="1:34" s="1254" customFormat="1" x14ac:dyDescent="0.25">
      <c r="A67" s="1254">
        <v>2</v>
      </c>
      <c r="B67" s="2013" t="str">
        <f t="shared" ca="1" si="95"/>
        <v>11.14</v>
      </c>
      <c r="C67" s="1487" t="s">
        <v>6140</v>
      </c>
      <c r="D67" s="1486" t="s">
        <v>832</v>
      </c>
      <c r="E67" s="1488">
        <v>10</v>
      </c>
      <c r="F67" s="1991" t="str">
        <f ca="1">CONCATENATE("учтено в п.",$B$54,", ",$B$55)</f>
        <v>учтено в п.11.1, 11.2</v>
      </c>
      <c r="G67" s="1992"/>
      <c r="H67" s="1993"/>
      <c r="I67" s="1994"/>
      <c r="J67" s="1994"/>
      <c r="K67" s="1994"/>
      <c r="L67" s="1994">
        <f t="shared" si="59"/>
        <v>0</v>
      </c>
      <c r="M67" s="1993">
        <f t="shared" si="27"/>
        <v>0</v>
      </c>
      <c r="N67" s="1993">
        <f t="shared" si="60"/>
        <v>0</v>
      </c>
      <c r="O67" s="1995">
        <v>1</v>
      </c>
      <c r="P67" s="1995">
        <v>1</v>
      </c>
      <c r="Q67" s="1993">
        <f t="shared" si="110"/>
        <v>0</v>
      </c>
      <c r="R67" s="1995"/>
      <c r="S67" s="1995"/>
      <c r="T67" s="1995"/>
      <c r="U67" s="1993">
        <f t="shared" si="111"/>
        <v>0</v>
      </c>
      <c r="V67" s="1996">
        <f t="shared" si="31"/>
        <v>0</v>
      </c>
      <c r="W67" s="1997"/>
      <c r="X67" s="1998">
        <f t="shared" si="112"/>
        <v>0</v>
      </c>
      <c r="Y67" s="1999"/>
      <c r="Z67" s="1998">
        <f t="shared" si="113"/>
        <v>0</v>
      </c>
      <c r="AA67" s="1996">
        <f t="shared" si="34"/>
        <v>0</v>
      </c>
      <c r="AB67" s="2000"/>
      <c r="AC67" s="2001">
        <f t="shared" si="11"/>
        <v>0</v>
      </c>
      <c r="AD67" s="2071">
        <f t="shared" si="12"/>
        <v>0</v>
      </c>
      <c r="AE67" s="2104"/>
      <c r="AF67" s="2105"/>
      <c r="AG67" s="2019">
        <f t="shared" si="13"/>
        <v>0</v>
      </c>
      <c r="AH67" s="1568">
        <f t="shared" si="14"/>
        <v>0</v>
      </c>
    </row>
    <row r="68" spans="1:34" s="1254" customFormat="1" ht="28.5" x14ac:dyDescent="0.25">
      <c r="A68" s="1254">
        <v>2</v>
      </c>
      <c r="B68" s="2013" t="str">
        <f t="shared" ca="1" si="95"/>
        <v>11.15</v>
      </c>
      <c r="C68" s="1487" t="s">
        <v>5994</v>
      </c>
      <c r="D68" s="1486" t="s">
        <v>832</v>
      </c>
      <c r="E68" s="1488">
        <v>1205</v>
      </c>
      <c r="F68" s="1991" t="str">
        <f ca="1">CONCATENATE("учтено в п.",$B$54,", ",$B$55)</f>
        <v>учтено в п.11.1, 11.2</v>
      </c>
      <c r="G68" s="1992"/>
      <c r="H68" s="1993"/>
      <c r="I68" s="1994"/>
      <c r="J68" s="1994"/>
      <c r="K68" s="1994"/>
      <c r="L68" s="1994">
        <f t="shared" si="59"/>
        <v>0</v>
      </c>
      <c r="M68" s="1993">
        <f t="shared" si="27"/>
        <v>0</v>
      </c>
      <c r="N68" s="1993">
        <f t="shared" si="60"/>
        <v>0</v>
      </c>
      <c r="O68" s="1995">
        <v>1</v>
      </c>
      <c r="P68" s="1995">
        <v>1</v>
      </c>
      <c r="Q68" s="1993">
        <f t="shared" si="110"/>
        <v>0</v>
      </c>
      <c r="R68" s="1995"/>
      <c r="S68" s="1995"/>
      <c r="T68" s="1995"/>
      <c r="U68" s="1993">
        <f t="shared" si="111"/>
        <v>0</v>
      </c>
      <c r="V68" s="1996">
        <f t="shared" si="31"/>
        <v>0</v>
      </c>
      <c r="W68" s="1997"/>
      <c r="X68" s="1998">
        <f t="shared" si="112"/>
        <v>0</v>
      </c>
      <c r="Y68" s="1999"/>
      <c r="Z68" s="1998">
        <f t="shared" si="113"/>
        <v>0</v>
      </c>
      <c r="AA68" s="1996">
        <f t="shared" si="34"/>
        <v>0</v>
      </c>
      <c r="AB68" s="2000"/>
      <c r="AC68" s="2001">
        <f t="shared" si="11"/>
        <v>0</v>
      </c>
      <c r="AD68" s="2071">
        <f t="shared" si="12"/>
        <v>0</v>
      </c>
      <c r="AE68" s="2104"/>
      <c r="AF68" s="2105"/>
      <c r="AG68" s="2019">
        <f t="shared" si="13"/>
        <v>0</v>
      </c>
      <c r="AH68" s="1568">
        <f t="shared" si="14"/>
        <v>0</v>
      </c>
    </row>
    <row r="69" spans="1:34" s="1254" customFormat="1" x14ac:dyDescent="0.25">
      <c r="A69" s="1254">
        <v>2</v>
      </c>
      <c r="B69" s="2013" t="str">
        <f t="shared" ca="1" si="95"/>
        <v>11.16</v>
      </c>
      <c r="C69" s="1487" t="s">
        <v>5995</v>
      </c>
      <c r="D69" s="1486" t="s">
        <v>316</v>
      </c>
      <c r="E69" s="1488">
        <v>4</v>
      </c>
      <c r="F69" s="1991" t="s">
        <v>7942</v>
      </c>
      <c r="G69" s="1992"/>
      <c r="H69" s="1993"/>
      <c r="I69" s="1994"/>
      <c r="J69" s="1994"/>
      <c r="K69" s="1994"/>
      <c r="L69" s="1994">
        <f t="shared" si="59"/>
        <v>0</v>
      </c>
      <c r="M69" s="1993">
        <f t="shared" si="27"/>
        <v>0</v>
      </c>
      <c r="N69" s="1993">
        <f t="shared" si="60"/>
        <v>0</v>
      </c>
      <c r="O69" s="1995">
        <v>1</v>
      </c>
      <c r="P69" s="1995">
        <v>1</v>
      </c>
      <c r="Q69" s="1993">
        <f t="shared" si="110"/>
        <v>0</v>
      </c>
      <c r="R69" s="1995"/>
      <c r="S69" s="1995"/>
      <c r="T69" s="1995"/>
      <c r="U69" s="1993">
        <f t="shared" si="111"/>
        <v>0</v>
      </c>
      <c r="V69" s="1996">
        <f t="shared" si="31"/>
        <v>0</v>
      </c>
      <c r="W69" s="1997"/>
      <c r="X69" s="1998">
        <f t="shared" si="112"/>
        <v>0</v>
      </c>
      <c r="Y69" s="1999"/>
      <c r="Z69" s="1998">
        <f t="shared" si="113"/>
        <v>0</v>
      </c>
      <c r="AA69" s="1996">
        <f t="shared" si="34"/>
        <v>0</v>
      </c>
      <c r="AB69" s="2000"/>
      <c r="AC69" s="2001">
        <f t="shared" si="11"/>
        <v>0</v>
      </c>
      <c r="AD69" s="2071">
        <f t="shared" si="12"/>
        <v>0</v>
      </c>
      <c r="AE69" s="2104"/>
      <c r="AF69" s="2105"/>
      <c r="AG69" s="2019"/>
      <c r="AH69" s="1568"/>
    </row>
    <row r="70" spans="1:34" s="1516" customFormat="1" x14ac:dyDescent="0.25">
      <c r="A70" s="1516">
        <v>1</v>
      </c>
      <c r="B70" s="2014" t="str">
        <f t="shared" ca="1" si="95"/>
        <v>12</v>
      </c>
      <c r="C70" s="1485" t="s">
        <v>7055</v>
      </c>
      <c r="D70" s="1491" t="s">
        <v>432</v>
      </c>
      <c r="E70" s="1492">
        <v>1</v>
      </c>
      <c r="F70" s="2002"/>
      <c r="G70" s="2003"/>
      <c r="H70" s="1996"/>
      <c r="I70" s="2004"/>
      <c r="J70" s="2004"/>
      <c r="K70" s="2004"/>
      <c r="L70" s="2004">
        <f t="shared" si="59"/>
        <v>0</v>
      </c>
      <c r="M70" s="1996">
        <f t="shared" si="27"/>
        <v>0</v>
      </c>
      <c r="N70" s="1996">
        <f>N71+N72+N73+N74+N75+N76+N77+N78</f>
        <v>1222.94</v>
      </c>
      <c r="O70" s="2005"/>
      <c r="P70" s="2005"/>
      <c r="Q70" s="1996">
        <f>Q71+Q72+Q73+Q74+Q75+Q76+Q77+Q78</f>
        <v>1222.94</v>
      </c>
      <c r="R70" s="2005"/>
      <c r="S70" s="2005"/>
      <c r="T70" s="2005"/>
      <c r="U70" s="1996">
        <f>U71+U72+U73+U74+U75+U76+U77+U78</f>
        <v>970.77</v>
      </c>
      <c r="V70" s="1996">
        <f>V71+V72+V73+V74+V75+V76+V77+V78</f>
        <v>0</v>
      </c>
      <c r="W70" s="2006"/>
      <c r="X70" s="1996">
        <f>X71+X72+X73+X74+X75+X76+X77+X78</f>
        <v>992.61</v>
      </c>
      <c r="Y70" s="2008"/>
      <c r="Z70" s="1996">
        <f>Z71+Z72+Z73+Z74+Z75+Z76+Z77+Z78</f>
        <v>1026.3599999999999</v>
      </c>
      <c r="AA70" s="1996">
        <f>AA71+AA72+AA73+AA74+AA75+AA76+AA77+AA78</f>
        <v>0</v>
      </c>
      <c r="AB70" s="2009"/>
      <c r="AC70" s="2010">
        <f t="shared" si="11"/>
        <v>1252.1600000000001</v>
      </c>
      <c r="AD70" s="2020">
        <f t="shared" si="12"/>
        <v>0</v>
      </c>
      <c r="AE70" s="2106"/>
      <c r="AF70" s="2107"/>
      <c r="AG70" s="2101"/>
      <c r="AH70" s="2011"/>
    </row>
    <row r="71" spans="1:34" s="1254" customFormat="1" ht="110.25" x14ac:dyDescent="0.25">
      <c r="A71" s="1254">
        <v>2</v>
      </c>
      <c r="B71" s="2013" t="str">
        <f t="shared" ca="1" si="95"/>
        <v>12.1</v>
      </c>
      <c r="C71" s="1487" t="s">
        <v>5997</v>
      </c>
      <c r="D71" s="1486" t="s">
        <v>4131</v>
      </c>
      <c r="E71" s="1527">
        <f>200/1000</f>
        <v>0.2</v>
      </c>
      <c r="F71" s="1991" t="s">
        <v>6026</v>
      </c>
      <c r="G71" s="1992">
        <v>46023</v>
      </c>
      <c r="H71" s="1993">
        <f>6114.7</f>
        <v>6114.7</v>
      </c>
      <c r="I71" s="1994">
        <f>289.79*1000/1.02</f>
        <v>284107.84000000003</v>
      </c>
      <c r="J71" s="1994"/>
      <c r="K71" s="1994">
        <f>122.04*1000/1.02</f>
        <v>119647.06</v>
      </c>
      <c r="L71" s="1994">
        <f t="shared" si="59"/>
        <v>0</v>
      </c>
      <c r="M71" s="1993">
        <f t="shared" si="27"/>
        <v>-397640.2</v>
      </c>
      <c r="N71" s="1993">
        <f>E71*H71</f>
        <v>1222.94</v>
      </c>
      <c r="O71" s="1995">
        <v>1</v>
      </c>
      <c r="P71" s="1995">
        <v>1</v>
      </c>
      <c r="Q71" s="1993">
        <f t="shared" si="110"/>
        <v>1222.94</v>
      </c>
      <c r="R71" s="1995">
        <v>0.81</v>
      </c>
      <c r="S71" s="1995">
        <v>0.98</v>
      </c>
      <c r="T71" s="1995">
        <v>1</v>
      </c>
      <c r="U71" s="1993">
        <f t="shared" si="111"/>
        <v>970.77</v>
      </c>
      <c r="V71" s="1996">
        <f t="shared" si="31"/>
        <v>0</v>
      </c>
      <c r="W71" s="1997">
        <f>'Индексы Росстата'!$F$121</f>
        <v>1.0225</v>
      </c>
      <c r="X71" s="1998">
        <f t="shared" si="112"/>
        <v>992.61</v>
      </c>
      <c r="Y71" s="2012">
        <f>'Прогнозные индексы'!$K$64</f>
        <v>1.034</v>
      </c>
      <c r="Z71" s="1998">
        <f t="shared" si="113"/>
        <v>1026.3599999999999</v>
      </c>
      <c r="AA71" s="1996">
        <f t="shared" si="34"/>
        <v>0</v>
      </c>
      <c r="AB71" s="2000"/>
      <c r="AC71" s="2001">
        <f t="shared" si="11"/>
        <v>1252.1600000000001</v>
      </c>
      <c r="AD71" s="2071">
        <f t="shared" si="12"/>
        <v>0</v>
      </c>
      <c r="AE71" s="2104">
        <f>AC71/(E71*1000)</f>
        <v>6.26</v>
      </c>
      <c r="AF71" s="2105" t="s">
        <v>2647</v>
      </c>
      <c r="AG71" s="2019">
        <f t="shared" si="13"/>
        <v>58179.23</v>
      </c>
      <c r="AH71" s="1568">
        <f t="shared" si="14"/>
        <v>24501.17</v>
      </c>
    </row>
    <row r="72" spans="1:34" s="1254" customFormat="1" ht="28.5" x14ac:dyDescent="0.25">
      <c r="A72" s="1254">
        <v>2</v>
      </c>
      <c r="B72" s="2013" t="str">
        <f t="shared" ca="1" si="95"/>
        <v>12.2</v>
      </c>
      <c r="C72" s="1487" t="s">
        <v>5998</v>
      </c>
      <c r="D72" s="1486" t="s">
        <v>316</v>
      </c>
      <c r="E72" s="1488">
        <v>6</v>
      </c>
      <c r="F72" s="1991" t="str">
        <f t="shared" ref="F72:F78" ca="1" si="114">CONCATENATE("учтено в п.",$B$71)</f>
        <v>учтено в п.12.1</v>
      </c>
      <c r="G72" s="1992"/>
      <c r="H72" s="1993"/>
      <c r="I72" s="1994"/>
      <c r="J72" s="1994"/>
      <c r="K72" s="1994"/>
      <c r="L72" s="1994">
        <f t="shared" si="59"/>
        <v>0</v>
      </c>
      <c r="M72" s="1993">
        <f t="shared" si="27"/>
        <v>0</v>
      </c>
      <c r="N72" s="1993">
        <f t="shared" si="60"/>
        <v>0</v>
      </c>
      <c r="O72" s="1995">
        <v>1</v>
      </c>
      <c r="P72" s="1995">
        <v>1</v>
      </c>
      <c r="Q72" s="1993">
        <f t="shared" si="110"/>
        <v>0</v>
      </c>
      <c r="R72" s="1995"/>
      <c r="S72" s="1995"/>
      <c r="T72" s="1995"/>
      <c r="U72" s="1993">
        <f t="shared" si="111"/>
        <v>0</v>
      </c>
      <c r="V72" s="1996">
        <f t="shared" si="31"/>
        <v>0</v>
      </c>
      <c r="W72" s="1997"/>
      <c r="X72" s="1998">
        <f t="shared" si="112"/>
        <v>0</v>
      </c>
      <c r="Y72" s="1999"/>
      <c r="Z72" s="1998">
        <f t="shared" si="113"/>
        <v>0</v>
      </c>
      <c r="AA72" s="1996">
        <f t="shared" si="34"/>
        <v>0</v>
      </c>
      <c r="AB72" s="2000"/>
      <c r="AC72" s="2001">
        <f t="shared" si="11"/>
        <v>0</v>
      </c>
      <c r="AD72" s="2071">
        <f t="shared" si="12"/>
        <v>0</v>
      </c>
      <c r="AE72" s="2104">
        <f t="shared" ref="AE72:AE78" si="115">AC72*1.2/E72</f>
        <v>0</v>
      </c>
      <c r="AF72" s="2105"/>
      <c r="AG72" s="2019">
        <f t="shared" si="13"/>
        <v>0</v>
      </c>
      <c r="AH72" s="1568">
        <f t="shared" si="14"/>
        <v>0</v>
      </c>
    </row>
    <row r="73" spans="1:34" s="1254" customFormat="1" x14ac:dyDescent="0.25">
      <c r="A73" s="1254">
        <v>2</v>
      </c>
      <c r="B73" s="2013" t="str">
        <f t="shared" ca="1" si="95"/>
        <v>12.3</v>
      </c>
      <c r="C73" s="1487" t="s">
        <v>6022</v>
      </c>
      <c r="D73" s="1486" t="s">
        <v>316</v>
      </c>
      <c r="E73" s="1488">
        <v>2</v>
      </c>
      <c r="F73" s="1991" t="str">
        <f t="shared" ca="1" si="114"/>
        <v>учтено в п.12.1</v>
      </c>
      <c r="G73" s="1992"/>
      <c r="H73" s="1993"/>
      <c r="I73" s="1994"/>
      <c r="J73" s="1994"/>
      <c r="K73" s="1994"/>
      <c r="L73" s="1994">
        <f t="shared" si="59"/>
        <v>0</v>
      </c>
      <c r="M73" s="1993">
        <f t="shared" si="27"/>
        <v>0</v>
      </c>
      <c r="N73" s="1993">
        <f t="shared" si="60"/>
        <v>0</v>
      </c>
      <c r="O73" s="1995">
        <v>1</v>
      </c>
      <c r="P73" s="1995">
        <v>1</v>
      </c>
      <c r="Q73" s="1993">
        <f t="shared" si="110"/>
        <v>0</v>
      </c>
      <c r="R73" s="1995"/>
      <c r="S73" s="1995"/>
      <c r="T73" s="1995"/>
      <c r="U73" s="1993">
        <f t="shared" si="111"/>
        <v>0</v>
      </c>
      <c r="V73" s="1996">
        <f t="shared" si="31"/>
        <v>0</v>
      </c>
      <c r="W73" s="1997"/>
      <c r="X73" s="1998">
        <f t="shared" si="112"/>
        <v>0</v>
      </c>
      <c r="Y73" s="1999"/>
      <c r="Z73" s="1998">
        <f t="shared" si="113"/>
        <v>0</v>
      </c>
      <c r="AA73" s="1996">
        <f t="shared" si="34"/>
        <v>0</v>
      </c>
      <c r="AB73" s="2000"/>
      <c r="AC73" s="2001">
        <f t="shared" si="11"/>
        <v>0</v>
      </c>
      <c r="AD73" s="2071">
        <f t="shared" si="12"/>
        <v>0</v>
      </c>
      <c r="AE73" s="2104">
        <f t="shared" si="115"/>
        <v>0</v>
      </c>
      <c r="AF73" s="2105"/>
      <c r="AG73" s="2019">
        <f t="shared" si="13"/>
        <v>0</v>
      </c>
      <c r="AH73" s="1568">
        <f t="shared" si="14"/>
        <v>0</v>
      </c>
    </row>
    <row r="74" spans="1:34" s="1254" customFormat="1" x14ac:dyDescent="0.25">
      <c r="A74" s="1254">
        <v>2</v>
      </c>
      <c r="B74" s="2013" t="str">
        <f t="shared" ca="1" si="95"/>
        <v>12.4</v>
      </c>
      <c r="C74" s="1487" t="s">
        <v>5991</v>
      </c>
      <c r="D74" s="1486" t="s">
        <v>832</v>
      </c>
      <c r="E74" s="1488">
        <v>852</v>
      </c>
      <c r="F74" s="1991" t="str">
        <f t="shared" ca="1" si="114"/>
        <v>учтено в п.12.1</v>
      </c>
      <c r="G74" s="1992"/>
      <c r="H74" s="1993"/>
      <c r="I74" s="1994"/>
      <c r="J74" s="1994"/>
      <c r="K74" s="1994"/>
      <c r="L74" s="1994">
        <f t="shared" si="59"/>
        <v>0</v>
      </c>
      <c r="M74" s="1993">
        <f t="shared" si="27"/>
        <v>0</v>
      </c>
      <c r="N74" s="1993">
        <f t="shared" si="60"/>
        <v>0</v>
      </c>
      <c r="O74" s="1995">
        <v>1</v>
      </c>
      <c r="P74" s="1995">
        <v>1</v>
      </c>
      <c r="Q74" s="1993">
        <f t="shared" si="110"/>
        <v>0</v>
      </c>
      <c r="R74" s="1995"/>
      <c r="S74" s="1995"/>
      <c r="T74" s="1995"/>
      <c r="U74" s="1993">
        <f t="shared" si="111"/>
        <v>0</v>
      </c>
      <c r="V74" s="1996">
        <f t="shared" si="31"/>
        <v>0</v>
      </c>
      <c r="W74" s="1997"/>
      <c r="X74" s="1998">
        <f t="shared" si="112"/>
        <v>0</v>
      </c>
      <c r="Y74" s="1999"/>
      <c r="Z74" s="1998">
        <f t="shared" si="113"/>
        <v>0</v>
      </c>
      <c r="AA74" s="1996">
        <f t="shared" si="34"/>
        <v>0</v>
      </c>
      <c r="AB74" s="2000"/>
      <c r="AC74" s="2001">
        <f t="shared" si="11"/>
        <v>0</v>
      </c>
      <c r="AD74" s="2071">
        <f t="shared" si="12"/>
        <v>0</v>
      </c>
      <c r="AE74" s="2104">
        <f t="shared" si="115"/>
        <v>0</v>
      </c>
      <c r="AF74" s="2105"/>
      <c r="AG74" s="2019">
        <f t="shared" si="13"/>
        <v>0</v>
      </c>
      <c r="AH74" s="1568">
        <f t="shared" si="14"/>
        <v>0</v>
      </c>
    </row>
    <row r="75" spans="1:34" s="1254" customFormat="1" x14ac:dyDescent="0.25">
      <c r="A75" s="1254">
        <v>2</v>
      </c>
      <c r="B75" s="2013" t="str">
        <f t="shared" ca="1" si="95"/>
        <v>12.5</v>
      </c>
      <c r="C75" s="1487" t="s">
        <v>5992</v>
      </c>
      <c r="D75" s="1486" t="s">
        <v>832</v>
      </c>
      <c r="E75" s="1488">
        <v>134</v>
      </c>
      <c r="F75" s="1991" t="str">
        <f t="shared" ca="1" si="114"/>
        <v>учтено в п.12.1</v>
      </c>
      <c r="G75" s="1992"/>
      <c r="H75" s="1993"/>
      <c r="I75" s="1994"/>
      <c r="J75" s="1994"/>
      <c r="K75" s="1994"/>
      <c r="L75" s="1994">
        <f t="shared" si="59"/>
        <v>0</v>
      </c>
      <c r="M75" s="1993">
        <f t="shared" si="27"/>
        <v>0</v>
      </c>
      <c r="N75" s="1993">
        <f t="shared" si="60"/>
        <v>0</v>
      </c>
      <c r="O75" s="1995">
        <v>1</v>
      </c>
      <c r="P75" s="1995">
        <v>1</v>
      </c>
      <c r="Q75" s="1993">
        <f t="shared" si="110"/>
        <v>0</v>
      </c>
      <c r="R75" s="1995"/>
      <c r="S75" s="1995"/>
      <c r="T75" s="1995"/>
      <c r="U75" s="1993">
        <f t="shared" si="111"/>
        <v>0</v>
      </c>
      <c r="V75" s="1996">
        <f t="shared" si="31"/>
        <v>0</v>
      </c>
      <c r="W75" s="1997"/>
      <c r="X75" s="1998">
        <f t="shared" si="112"/>
        <v>0</v>
      </c>
      <c r="Y75" s="1999"/>
      <c r="Z75" s="1998">
        <f t="shared" si="113"/>
        <v>0</v>
      </c>
      <c r="AA75" s="1996">
        <f t="shared" si="34"/>
        <v>0</v>
      </c>
      <c r="AB75" s="2000"/>
      <c r="AC75" s="2001">
        <f t="shared" si="11"/>
        <v>0</v>
      </c>
      <c r="AD75" s="2071">
        <f t="shared" si="12"/>
        <v>0</v>
      </c>
      <c r="AE75" s="2104">
        <f t="shared" si="115"/>
        <v>0</v>
      </c>
      <c r="AF75" s="2105"/>
      <c r="AG75" s="2019">
        <f t="shared" si="13"/>
        <v>0</v>
      </c>
      <c r="AH75" s="1568">
        <f t="shared" si="14"/>
        <v>0</v>
      </c>
    </row>
    <row r="76" spans="1:34" s="1254" customFormat="1" ht="28.5" x14ac:dyDescent="0.25">
      <c r="A76" s="1254">
        <v>2</v>
      </c>
      <c r="B76" s="2013" t="str">
        <f t="shared" ca="1" si="95"/>
        <v>12.6</v>
      </c>
      <c r="C76" s="1487" t="s">
        <v>5993</v>
      </c>
      <c r="D76" s="1486" t="s">
        <v>832</v>
      </c>
      <c r="E76" s="1488">
        <v>110</v>
      </c>
      <c r="F76" s="1991" t="str">
        <f t="shared" ca="1" si="114"/>
        <v>учтено в п.12.1</v>
      </c>
      <c r="G76" s="1992"/>
      <c r="H76" s="1993"/>
      <c r="I76" s="1994"/>
      <c r="J76" s="1994"/>
      <c r="K76" s="1994"/>
      <c r="L76" s="1994">
        <f t="shared" si="59"/>
        <v>0</v>
      </c>
      <c r="M76" s="1993">
        <f t="shared" si="27"/>
        <v>0</v>
      </c>
      <c r="N76" s="1993">
        <f t="shared" si="60"/>
        <v>0</v>
      </c>
      <c r="O76" s="1995">
        <v>1</v>
      </c>
      <c r="P76" s="1995">
        <v>1</v>
      </c>
      <c r="Q76" s="1993">
        <f t="shared" si="110"/>
        <v>0</v>
      </c>
      <c r="R76" s="1995"/>
      <c r="S76" s="1995"/>
      <c r="T76" s="1995"/>
      <c r="U76" s="1993">
        <f t="shared" si="111"/>
        <v>0</v>
      </c>
      <c r="V76" s="1996">
        <f t="shared" si="31"/>
        <v>0</v>
      </c>
      <c r="W76" s="1997"/>
      <c r="X76" s="1998">
        <f t="shared" si="112"/>
        <v>0</v>
      </c>
      <c r="Y76" s="1999"/>
      <c r="Z76" s="1998">
        <f t="shared" si="113"/>
        <v>0</v>
      </c>
      <c r="AA76" s="1996">
        <f t="shared" si="34"/>
        <v>0</v>
      </c>
      <c r="AB76" s="2000"/>
      <c r="AC76" s="2001">
        <f t="shared" si="11"/>
        <v>0</v>
      </c>
      <c r="AD76" s="2071">
        <f t="shared" si="12"/>
        <v>0</v>
      </c>
      <c r="AE76" s="2104">
        <f t="shared" si="115"/>
        <v>0</v>
      </c>
      <c r="AF76" s="2105"/>
      <c r="AG76" s="2019">
        <f t="shared" si="13"/>
        <v>0</v>
      </c>
      <c r="AH76" s="1568">
        <f t="shared" si="14"/>
        <v>0</v>
      </c>
    </row>
    <row r="77" spans="1:34" s="1254" customFormat="1" ht="28.5" x14ac:dyDescent="0.25">
      <c r="A77" s="1254">
        <v>2</v>
      </c>
      <c r="B77" s="2013" t="str">
        <f t="shared" ca="1" si="95"/>
        <v>12.7</v>
      </c>
      <c r="C77" s="1487" t="s">
        <v>7904</v>
      </c>
      <c r="D77" s="1486" t="s">
        <v>832</v>
      </c>
      <c r="E77" s="1488">
        <v>24</v>
      </c>
      <c r="F77" s="1991" t="str">
        <f t="shared" ca="1" si="114"/>
        <v>учтено в п.12.1</v>
      </c>
      <c r="G77" s="1992"/>
      <c r="H77" s="1993"/>
      <c r="I77" s="1994"/>
      <c r="J77" s="1994"/>
      <c r="K77" s="1994"/>
      <c r="L77" s="1994">
        <f t="shared" si="59"/>
        <v>0</v>
      </c>
      <c r="M77" s="1993">
        <f t="shared" si="27"/>
        <v>0</v>
      </c>
      <c r="N77" s="1993">
        <f t="shared" si="60"/>
        <v>0</v>
      </c>
      <c r="O77" s="1995">
        <v>1</v>
      </c>
      <c r="P77" s="1995">
        <v>1</v>
      </c>
      <c r="Q77" s="1993">
        <f t="shared" si="110"/>
        <v>0</v>
      </c>
      <c r="R77" s="1995"/>
      <c r="S77" s="1995"/>
      <c r="T77" s="1995"/>
      <c r="U77" s="1993">
        <f t="shared" si="111"/>
        <v>0</v>
      </c>
      <c r="V77" s="1996">
        <f t="shared" si="31"/>
        <v>0</v>
      </c>
      <c r="W77" s="1997"/>
      <c r="X77" s="1998">
        <f t="shared" si="112"/>
        <v>0</v>
      </c>
      <c r="Y77" s="1999"/>
      <c r="Z77" s="1998">
        <f t="shared" si="113"/>
        <v>0</v>
      </c>
      <c r="AA77" s="1996">
        <f t="shared" si="34"/>
        <v>0</v>
      </c>
      <c r="AB77" s="2000"/>
      <c r="AC77" s="2001">
        <f t="shared" si="11"/>
        <v>0</v>
      </c>
      <c r="AD77" s="2071">
        <f t="shared" si="12"/>
        <v>0</v>
      </c>
      <c r="AE77" s="2104">
        <f t="shared" si="115"/>
        <v>0</v>
      </c>
      <c r="AF77" s="2105"/>
      <c r="AG77" s="2019">
        <f t="shared" si="13"/>
        <v>0</v>
      </c>
      <c r="AH77" s="1568">
        <f t="shared" si="14"/>
        <v>0</v>
      </c>
    </row>
    <row r="78" spans="1:34" s="1254" customFormat="1" ht="28.5" x14ac:dyDescent="0.25">
      <c r="A78" s="1254">
        <v>2</v>
      </c>
      <c r="B78" s="2013" t="str">
        <f t="shared" ca="1" si="95"/>
        <v>12.8</v>
      </c>
      <c r="C78" s="1487" t="s">
        <v>5994</v>
      </c>
      <c r="D78" s="1486" t="s">
        <v>832</v>
      </c>
      <c r="E78" s="1488">
        <v>718</v>
      </c>
      <c r="F78" s="1991" t="str">
        <f t="shared" ca="1" si="114"/>
        <v>учтено в п.12.1</v>
      </c>
      <c r="G78" s="1992"/>
      <c r="H78" s="1993"/>
      <c r="I78" s="1994"/>
      <c r="J78" s="1994"/>
      <c r="K78" s="1994"/>
      <c r="L78" s="1994">
        <f t="shared" si="59"/>
        <v>0</v>
      </c>
      <c r="M78" s="1993">
        <f t="shared" si="27"/>
        <v>0</v>
      </c>
      <c r="N78" s="1993">
        <f t="shared" si="60"/>
        <v>0</v>
      </c>
      <c r="O78" s="1995">
        <v>1</v>
      </c>
      <c r="P78" s="1995">
        <v>1</v>
      </c>
      <c r="Q78" s="1993">
        <f t="shared" si="110"/>
        <v>0</v>
      </c>
      <c r="R78" s="1995"/>
      <c r="S78" s="1995"/>
      <c r="T78" s="1995"/>
      <c r="U78" s="1993">
        <f t="shared" si="111"/>
        <v>0</v>
      </c>
      <c r="V78" s="1996">
        <f t="shared" si="31"/>
        <v>0</v>
      </c>
      <c r="W78" s="1997"/>
      <c r="X78" s="1998">
        <f t="shared" si="112"/>
        <v>0</v>
      </c>
      <c r="Y78" s="1999"/>
      <c r="Z78" s="1998">
        <f t="shared" si="113"/>
        <v>0</v>
      </c>
      <c r="AA78" s="1996">
        <f t="shared" si="34"/>
        <v>0</v>
      </c>
      <c r="AB78" s="2000"/>
      <c r="AC78" s="2001">
        <f t="shared" si="11"/>
        <v>0</v>
      </c>
      <c r="AD78" s="2071">
        <f t="shared" si="12"/>
        <v>0</v>
      </c>
      <c r="AE78" s="2104">
        <f t="shared" si="115"/>
        <v>0</v>
      </c>
      <c r="AF78" s="2105"/>
      <c r="AG78" s="2019">
        <f t="shared" si="13"/>
        <v>0</v>
      </c>
      <c r="AH78" s="1568">
        <f t="shared" si="14"/>
        <v>0</v>
      </c>
    </row>
    <row r="79" spans="1:34" s="1516" customFormat="1" x14ac:dyDescent="0.25">
      <c r="A79" s="1516">
        <v>1</v>
      </c>
      <c r="B79" s="2014" t="str">
        <f t="shared" ref="B79:B97" ca="1" si="116">IF(A79&gt;OFFSET(A79,-1,0),OFFSET(B79,-1,0)&amp;"."&amp;1,LEFT(OFFSET(B79,-1,0),SEARCH("^^",SUBSTITUTE("."&amp;OFFSET(B79,-1,0),".","^^",A79))-1)&amp;1--MID(OFFSET(B79,-1,0),SEARCH("^^",SUBSTITUTE("."&amp;OFFSET(B79,-1,0),".","^^",A79)),SEARCH("^^",SUBSTITUTE(OFFSET(B79,-1,0)&amp;".",".","^^",A79))-SEARCH("^^",SUBSTITUTE("."&amp;OFFSET(B79,-1,0),".","^^",A79))))</f>
        <v>13</v>
      </c>
      <c r="C79" s="1485" t="s">
        <v>7035</v>
      </c>
      <c r="D79" s="1491" t="s">
        <v>432</v>
      </c>
      <c r="E79" s="1492">
        <v>1</v>
      </c>
      <c r="F79" s="2002"/>
      <c r="G79" s="2003"/>
      <c r="H79" s="1996"/>
      <c r="I79" s="2004"/>
      <c r="J79" s="2004"/>
      <c r="K79" s="2004"/>
      <c r="L79" s="2004">
        <f t="shared" si="59"/>
        <v>0</v>
      </c>
      <c r="M79" s="1996">
        <f t="shared" ref="M79:M81" si="117">H79-I79-K79</f>
        <v>0</v>
      </c>
      <c r="N79" s="1996">
        <f>SUM(N80:N95)</f>
        <v>16548.22</v>
      </c>
      <c r="O79" s="2005"/>
      <c r="P79" s="2005"/>
      <c r="Q79" s="1996">
        <f>SUM(Q80:Q95)</f>
        <v>17195.41</v>
      </c>
      <c r="R79" s="2005"/>
      <c r="S79" s="2005"/>
      <c r="T79" s="2005"/>
      <c r="U79" s="1996">
        <f>SUM(U80:U95)</f>
        <v>15362.68</v>
      </c>
      <c r="V79" s="1996" t="e">
        <f>V110+V111+V112+V113+V114+V115+V116+V117</f>
        <v>#REF!</v>
      </c>
      <c r="W79" s="2006"/>
      <c r="X79" s="1996">
        <f>SUM(X80:X95)</f>
        <v>15645.62</v>
      </c>
      <c r="Y79" s="2008"/>
      <c r="Z79" s="1996">
        <f>SUM(Z80:Z95)</f>
        <v>16177.57</v>
      </c>
      <c r="AA79" s="1996" t="e">
        <f>AA110+AA111+AA112+AA113+AA114+AA115+AA116+AA117</f>
        <v>#REF!</v>
      </c>
      <c r="AB79" s="2009"/>
      <c r="AC79" s="1996">
        <f>SUM(AC80:AC95)</f>
        <v>19736.64</v>
      </c>
      <c r="AD79" s="2020" t="e">
        <f t="shared" ref="AD79:AD81" si="118">AA79*1.22</f>
        <v>#REF!</v>
      </c>
      <c r="AE79" s="2106"/>
      <c r="AF79" s="2107"/>
      <c r="AG79" s="2019"/>
      <c r="AH79" s="1568"/>
    </row>
    <row r="80" spans="1:34" s="1254" customFormat="1" ht="123.75" customHeight="1" x14ac:dyDescent="0.25">
      <c r="A80" s="1254">
        <v>2</v>
      </c>
      <c r="B80" s="2013" t="str">
        <f t="shared" ca="1" si="116"/>
        <v>13.1</v>
      </c>
      <c r="C80" s="1487" t="s">
        <v>7480</v>
      </c>
      <c r="D80" s="1486" t="s">
        <v>4131</v>
      </c>
      <c r="E80" s="1527">
        <f>350/1000</f>
        <v>0.35</v>
      </c>
      <c r="F80" s="1991" t="s">
        <v>7905</v>
      </c>
      <c r="G80" s="1992">
        <v>46023</v>
      </c>
      <c r="H80" s="1993">
        <f>9068.7</f>
        <v>9068.7000000000007</v>
      </c>
      <c r="I80" s="1994">
        <f>289.79*1000/1.02</f>
        <v>284107.84000000003</v>
      </c>
      <c r="J80" s="1994"/>
      <c r="K80" s="1994">
        <f>122.04*1000/1.02</f>
        <v>119647.06</v>
      </c>
      <c r="L80" s="1994">
        <f t="shared" si="59"/>
        <v>0</v>
      </c>
      <c r="M80" s="1993">
        <f t="shared" si="117"/>
        <v>-394686.2</v>
      </c>
      <c r="N80" s="1993">
        <f>E80*H80</f>
        <v>3174.05</v>
      </c>
      <c r="O80" s="1995">
        <v>1</v>
      </c>
      <c r="P80" s="1995">
        <v>1</v>
      </c>
      <c r="Q80" s="1993">
        <f t="shared" ref="Q80:Q81" si="119">N80*O80*P80</f>
        <v>3174.05</v>
      </c>
      <c r="R80" s="1995">
        <v>0.81</v>
      </c>
      <c r="S80" s="1995">
        <v>0.98</v>
      </c>
      <c r="T80" s="1995">
        <v>1</v>
      </c>
      <c r="U80" s="1993">
        <f t="shared" ref="U80:U81" si="120">Q80*R80*S80*T80</f>
        <v>2519.56</v>
      </c>
      <c r="V80" s="1996">
        <f t="shared" ref="V80:V81" si="121">E80*L80*O80*P80*R80*S80*T80</f>
        <v>0</v>
      </c>
      <c r="W80" s="1997">
        <f>'Индексы Росстата'!$F$121</f>
        <v>1.0225</v>
      </c>
      <c r="X80" s="1998">
        <f t="shared" ref="X80:X81" si="122">U80*W80</f>
        <v>2576.25</v>
      </c>
      <c r="Y80" s="2012">
        <f>'Прогнозные индексы'!$K$64</f>
        <v>1.034</v>
      </c>
      <c r="Z80" s="1998">
        <f t="shared" ref="Z80:Z81" si="123">X80*Y80</f>
        <v>2663.84</v>
      </c>
      <c r="AA80" s="1996">
        <f t="shared" ref="AA80:AA81" si="124">V80*W80*Y80</f>
        <v>0</v>
      </c>
      <c r="AB80" s="2000"/>
      <c r="AC80" s="2001">
        <f t="shared" ref="AC80:AC81" si="125">Z80*1.22</f>
        <v>3249.88</v>
      </c>
      <c r="AD80" s="2071">
        <f t="shared" si="118"/>
        <v>0</v>
      </c>
      <c r="AE80" s="2104">
        <f>AC80/(E80*1000)</f>
        <v>9.2899999999999991</v>
      </c>
      <c r="AF80" s="2105" t="s">
        <v>2647</v>
      </c>
      <c r="AG80" s="2019">
        <f t="shared" ref="AG80:AG81" si="126">I80*E80*O80*P80*R80*S80*T80*W80*Y80*1.22</f>
        <v>101813.66</v>
      </c>
      <c r="AH80" s="1568">
        <f t="shared" ref="AH80:AH81" si="127">K80*E80*O80*P80*R80*S80*T80*W80*Y80*1.22</f>
        <v>42877.05</v>
      </c>
    </row>
    <row r="81" spans="1:34" s="1254" customFormat="1" ht="28.5" x14ac:dyDescent="0.25">
      <c r="A81" s="1254">
        <v>2</v>
      </c>
      <c r="B81" s="2013" t="str">
        <f t="shared" ca="1" si="116"/>
        <v>13.2</v>
      </c>
      <c r="C81" s="1487" t="s">
        <v>7906</v>
      </c>
      <c r="D81" s="1486" t="s">
        <v>316</v>
      </c>
      <c r="E81" s="1488">
        <v>12</v>
      </c>
      <c r="F81" s="1991" t="str">
        <f ca="1">CONCATENATE("учтено в п.",$B$80)</f>
        <v>учтено в п.13.1</v>
      </c>
      <c r="G81" s="1992"/>
      <c r="H81" s="1993"/>
      <c r="I81" s="1994"/>
      <c r="J81" s="1994"/>
      <c r="K81" s="1994"/>
      <c r="L81" s="1994">
        <f t="shared" si="59"/>
        <v>0</v>
      </c>
      <c r="M81" s="1993">
        <f t="shared" si="117"/>
        <v>0</v>
      </c>
      <c r="N81" s="1993">
        <f t="shared" ref="N81" si="128">E81*M81</f>
        <v>0</v>
      </c>
      <c r="O81" s="1995">
        <v>1</v>
      </c>
      <c r="P81" s="1995">
        <v>1</v>
      </c>
      <c r="Q81" s="1993">
        <f t="shared" si="119"/>
        <v>0</v>
      </c>
      <c r="R81" s="1995"/>
      <c r="S81" s="1995"/>
      <c r="T81" s="1995"/>
      <c r="U81" s="1993">
        <f t="shared" si="120"/>
        <v>0</v>
      </c>
      <c r="V81" s="1996">
        <f t="shared" si="121"/>
        <v>0</v>
      </c>
      <c r="W81" s="1997"/>
      <c r="X81" s="1998">
        <f t="shared" si="122"/>
        <v>0</v>
      </c>
      <c r="Y81" s="1999"/>
      <c r="Z81" s="1998">
        <f t="shared" si="123"/>
        <v>0</v>
      </c>
      <c r="AA81" s="1996">
        <f t="shared" si="124"/>
        <v>0</v>
      </c>
      <c r="AB81" s="2000"/>
      <c r="AC81" s="2001">
        <f t="shared" si="125"/>
        <v>0</v>
      </c>
      <c r="AD81" s="2071">
        <f t="shared" si="118"/>
        <v>0</v>
      </c>
      <c r="AE81" s="2104">
        <f t="shared" ref="AE81" si="129">AC81*1.2/E81</f>
        <v>0</v>
      </c>
      <c r="AF81" s="2105"/>
      <c r="AG81" s="2019">
        <f t="shared" si="126"/>
        <v>0</v>
      </c>
      <c r="AH81" s="1568">
        <f t="shared" si="127"/>
        <v>0</v>
      </c>
    </row>
    <row r="82" spans="1:34" s="1254" customFormat="1" ht="121.5" customHeight="1" x14ac:dyDescent="0.25">
      <c r="A82" s="1254">
        <v>2</v>
      </c>
      <c r="B82" s="2013" t="str">
        <f t="shared" ca="1" si="116"/>
        <v>13.3</v>
      </c>
      <c r="C82" s="2016" t="s">
        <v>8992</v>
      </c>
      <c r="D82" s="2017" t="s">
        <v>7908</v>
      </c>
      <c r="E82" s="2018">
        <v>40</v>
      </c>
      <c r="F82" s="1991" t="s">
        <v>9001</v>
      </c>
      <c r="G82" s="1992">
        <v>46023</v>
      </c>
      <c r="H82" s="1993">
        <f>32.15</f>
        <v>32.15</v>
      </c>
      <c r="I82" s="1994"/>
      <c r="J82" s="1994"/>
      <c r="K82" s="1994"/>
      <c r="L82" s="1994"/>
      <c r="M82" s="1993"/>
      <c r="N82" s="1993">
        <f t="shared" ref="N82:N87" si="130">E82*H82</f>
        <v>1286</v>
      </c>
      <c r="O82" s="1995">
        <v>1</v>
      </c>
      <c r="P82" s="1995">
        <v>1</v>
      </c>
      <c r="Q82" s="1993">
        <f t="shared" ref="Q82:Q86" si="131">N82*O82*P82</f>
        <v>1286</v>
      </c>
      <c r="R82" s="1995">
        <v>0.9</v>
      </c>
      <c r="S82" s="1995">
        <v>1</v>
      </c>
      <c r="T82" s="1995">
        <v>1.03</v>
      </c>
      <c r="U82" s="1993">
        <f t="shared" ref="U82:U86" si="132">Q82*R82*S82*T82</f>
        <v>1192.1199999999999</v>
      </c>
      <c r="V82" s="1996">
        <f t="shared" ref="V82" si="133">E82*L82*O82*P82*R82*S82*T82</f>
        <v>0</v>
      </c>
      <c r="W82" s="1997">
        <f>'Индексы Росстата'!$F$121</f>
        <v>1.0225</v>
      </c>
      <c r="X82" s="1998">
        <f t="shared" ref="X82" si="134">U82*W82</f>
        <v>1218.94</v>
      </c>
      <c r="Y82" s="2012">
        <f>'Прогнозные индексы'!$K$64</f>
        <v>1.034</v>
      </c>
      <c r="Z82" s="1998">
        <f t="shared" ref="Z82" si="135">X82*Y82</f>
        <v>1260.3800000000001</v>
      </c>
      <c r="AA82" s="1996">
        <f t="shared" ref="AA82" si="136">V82*W82*Y82</f>
        <v>0</v>
      </c>
      <c r="AB82" s="2000"/>
      <c r="AC82" s="2001">
        <f t="shared" ref="AC82" si="137">Z82*1.22</f>
        <v>1537.66</v>
      </c>
      <c r="AD82" s="2071">
        <f t="shared" ref="AD82" si="138">AA82*1.22</f>
        <v>0</v>
      </c>
      <c r="AE82" s="2104">
        <f>AC82/(E82)</f>
        <v>38.44</v>
      </c>
      <c r="AF82" s="2105" t="s">
        <v>8970</v>
      </c>
      <c r="AG82" s="2019"/>
      <c r="AH82" s="1568"/>
    </row>
    <row r="83" spans="1:34" s="1254" customFormat="1" ht="78.75" x14ac:dyDescent="0.25">
      <c r="A83" s="1254">
        <v>2</v>
      </c>
      <c r="B83" s="2013" t="str">
        <f t="shared" ca="1" si="116"/>
        <v>13.4</v>
      </c>
      <c r="C83" s="2175" t="s">
        <v>7457</v>
      </c>
      <c r="D83" s="2176" t="s">
        <v>7930</v>
      </c>
      <c r="E83" s="2177">
        <f>0.01*3600</f>
        <v>36</v>
      </c>
      <c r="F83" s="1991" t="s">
        <v>7931</v>
      </c>
      <c r="G83" s="1992">
        <v>46023</v>
      </c>
      <c r="H83" s="1993">
        <f>272.72</f>
        <v>272.72000000000003</v>
      </c>
      <c r="I83" s="1988"/>
      <c r="J83" s="1988"/>
      <c r="K83" s="1988"/>
      <c r="L83" s="1988"/>
      <c r="M83" s="1987"/>
      <c r="N83" s="1993">
        <f t="shared" si="130"/>
        <v>9817.92</v>
      </c>
      <c r="O83" s="1995">
        <v>1</v>
      </c>
      <c r="P83" s="1995">
        <v>1</v>
      </c>
      <c r="Q83" s="1993">
        <f t="shared" si="131"/>
        <v>9817.92</v>
      </c>
      <c r="R83" s="1995">
        <v>0.9</v>
      </c>
      <c r="S83" s="1995">
        <v>0.99</v>
      </c>
      <c r="T83" s="1995">
        <v>1</v>
      </c>
      <c r="U83" s="1993">
        <f t="shared" si="132"/>
        <v>8747.77</v>
      </c>
      <c r="V83" s="1990"/>
      <c r="W83" s="1997">
        <f>'Индексы Росстата'!$F$121</f>
        <v>1.0225</v>
      </c>
      <c r="X83" s="1998">
        <f t="shared" ref="X83:X86" si="139">U83*W83</f>
        <v>8944.59</v>
      </c>
      <c r="Y83" s="2012">
        <f>'Прогнозные индексы'!$K$64</f>
        <v>1.034</v>
      </c>
      <c r="Z83" s="1998">
        <f t="shared" ref="Z83:Z84" si="140">X83*Y83</f>
        <v>9248.7099999999991</v>
      </c>
      <c r="AA83" s="1996">
        <f t="shared" ref="AA83" si="141">V83*W83*Y83</f>
        <v>0</v>
      </c>
      <c r="AB83" s="2000"/>
      <c r="AC83" s="2001">
        <f t="shared" ref="AC83:AC88" si="142">Z83*1.22</f>
        <v>11283.43</v>
      </c>
      <c r="AD83" s="2090"/>
      <c r="AE83" s="2104">
        <f>AC83/E83</f>
        <v>313.43</v>
      </c>
      <c r="AF83" s="2105" t="s">
        <v>4147</v>
      </c>
      <c r="AG83" s="2019"/>
      <c r="AH83" s="1568"/>
    </row>
    <row r="84" spans="1:34" s="1254" customFormat="1" ht="210" customHeight="1" x14ac:dyDescent="0.25">
      <c r="A84" s="1254">
        <v>2</v>
      </c>
      <c r="B84" s="2013" t="str">
        <f t="shared" ca="1" si="116"/>
        <v>13.5</v>
      </c>
      <c r="C84" s="1487" t="s">
        <v>7909</v>
      </c>
      <c r="D84" s="1486" t="s">
        <v>316</v>
      </c>
      <c r="E84" s="1488">
        <v>1</v>
      </c>
      <c r="F84" s="1991" t="s">
        <v>7933</v>
      </c>
      <c r="G84" s="1992">
        <v>46204</v>
      </c>
      <c r="H84" s="1993">
        <f>751332.28/1000</f>
        <v>751.33</v>
      </c>
      <c r="I84" s="1994"/>
      <c r="J84" s="1994"/>
      <c r="K84" s="1994"/>
      <c r="L84" s="1994"/>
      <c r="M84" s="1993"/>
      <c r="N84" s="1993">
        <f t="shared" si="130"/>
        <v>751.33</v>
      </c>
      <c r="O84" s="1995">
        <v>1</v>
      </c>
      <c r="P84" s="1995">
        <f>1.1*1.15</f>
        <v>1.27</v>
      </c>
      <c r="Q84" s="1993">
        <f t="shared" si="131"/>
        <v>954.19</v>
      </c>
      <c r="R84" s="1995">
        <v>1</v>
      </c>
      <c r="S84" s="1995">
        <v>1</v>
      </c>
      <c r="T84" s="1995">
        <v>1</v>
      </c>
      <c r="U84" s="1993">
        <f t="shared" si="132"/>
        <v>954.19</v>
      </c>
      <c r="V84" s="1996"/>
      <c r="W84" s="1997">
        <f>'Индексы Росстата'!$F$119</f>
        <v>1</v>
      </c>
      <c r="X84" s="1998">
        <f t="shared" si="139"/>
        <v>954.19</v>
      </c>
      <c r="Y84" s="2012">
        <f>'Прогнозные индексы'!$K$64</f>
        <v>1.034</v>
      </c>
      <c r="Z84" s="1998">
        <f t="shared" si="140"/>
        <v>986.63</v>
      </c>
      <c r="AA84" s="1996"/>
      <c r="AB84" s="2000" t="s">
        <v>7932</v>
      </c>
      <c r="AC84" s="2001">
        <f t="shared" si="142"/>
        <v>1203.69</v>
      </c>
      <c r="AD84" s="2090"/>
      <c r="AE84" s="2104">
        <f>AC84/(E84)</f>
        <v>1203.69</v>
      </c>
      <c r="AF84" s="2105" t="s">
        <v>269</v>
      </c>
      <c r="AG84" s="2019"/>
      <c r="AH84" s="1568"/>
    </row>
    <row r="85" spans="1:34" s="1254" customFormat="1" ht="63" x14ac:dyDescent="0.25">
      <c r="A85" s="1254">
        <v>2</v>
      </c>
      <c r="B85" s="2013" t="str">
        <f t="shared" ca="1" si="116"/>
        <v>13.6</v>
      </c>
      <c r="C85" s="1487" t="s">
        <v>7934</v>
      </c>
      <c r="D85" s="1486" t="s">
        <v>5954</v>
      </c>
      <c r="E85" s="1493">
        <f>3*6/100</f>
        <v>0.18</v>
      </c>
      <c r="F85" s="1991" t="s">
        <v>7935</v>
      </c>
      <c r="G85" s="1992">
        <v>46023</v>
      </c>
      <c r="H85" s="1993">
        <f>362.23</f>
        <v>362.23</v>
      </c>
      <c r="I85" s="1994"/>
      <c r="J85" s="1994"/>
      <c r="K85" s="1994"/>
      <c r="L85" s="1994"/>
      <c r="M85" s="1993"/>
      <c r="N85" s="1993">
        <f t="shared" si="130"/>
        <v>65.2</v>
      </c>
      <c r="O85" s="1995">
        <v>1</v>
      </c>
      <c r="P85" s="1995">
        <v>1</v>
      </c>
      <c r="Q85" s="1993">
        <f t="shared" si="131"/>
        <v>65.2</v>
      </c>
      <c r="R85" s="1995">
        <v>0.9</v>
      </c>
      <c r="S85" s="1995">
        <v>0.99</v>
      </c>
      <c r="T85" s="1995">
        <v>1</v>
      </c>
      <c r="U85" s="1993">
        <f t="shared" si="132"/>
        <v>58.09</v>
      </c>
      <c r="V85" s="1996"/>
      <c r="W85" s="1997">
        <f>'Индексы Росстата'!$F$121</f>
        <v>1.0225</v>
      </c>
      <c r="X85" s="1998">
        <f t="shared" si="139"/>
        <v>59.4</v>
      </c>
      <c r="Y85" s="2012">
        <f>'Прогнозные индексы'!$K$64</f>
        <v>1.034</v>
      </c>
      <c r="Z85" s="1998">
        <f t="shared" ref="Z85:Z86" si="143">X85*Y85</f>
        <v>61.42</v>
      </c>
      <c r="AA85" s="1996"/>
      <c r="AB85" s="2000"/>
      <c r="AC85" s="2001">
        <f t="shared" si="142"/>
        <v>74.930000000000007</v>
      </c>
      <c r="AD85" s="2090"/>
      <c r="AE85" s="2104">
        <f>AC85/(E85*100)</f>
        <v>4.16</v>
      </c>
      <c r="AF85" s="2105" t="s">
        <v>8967</v>
      </c>
      <c r="AG85" s="2019"/>
      <c r="AH85" s="1568"/>
    </row>
    <row r="86" spans="1:34" s="1254" customFormat="1" ht="283.5" customHeight="1" x14ac:dyDescent="0.25">
      <c r="A86" s="1254">
        <v>2</v>
      </c>
      <c r="B86" s="2013" t="str">
        <f t="shared" ca="1" si="116"/>
        <v>13.7</v>
      </c>
      <c r="C86" s="1487" t="s">
        <v>7910</v>
      </c>
      <c r="D86" s="1486" t="s">
        <v>316</v>
      </c>
      <c r="E86" s="1488">
        <v>1</v>
      </c>
      <c r="F86" s="1991" t="s">
        <v>8994</v>
      </c>
      <c r="G86" s="1992">
        <v>46239</v>
      </c>
      <c r="H86" s="1993">
        <f>1694000/1.22/1000</f>
        <v>1388.52</v>
      </c>
      <c r="I86" s="1994"/>
      <c r="J86" s="1994"/>
      <c r="K86" s="1994"/>
      <c r="L86" s="1994"/>
      <c r="M86" s="1993"/>
      <c r="N86" s="1993">
        <f t="shared" si="130"/>
        <v>1388.52</v>
      </c>
      <c r="O86" s="1995">
        <v>1</v>
      </c>
      <c r="P86" s="1995">
        <f>1.012*1.03*1.1*1.15</f>
        <v>1.32</v>
      </c>
      <c r="Q86" s="1993">
        <f t="shared" si="131"/>
        <v>1832.85</v>
      </c>
      <c r="R86" s="1995">
        <v>1</v>
      </c>
      <c r="S86" s="1995">
        <v>1</v>
      </c>
      <c r="T86" s="1995">
        <v>1</v>
      </c>
      <c r="U86" s="1993">
        <f t="shared" si="132"/>
        <v>1832.85</v>
      </c>
      <c r="V86" s="1990"/>
      <c r="W86" s="1997">
        <v>1</v>
      </c>
      <c r="X86" s="1998">
        <f t="shared" si="139"/>
        <v>1832.85</v>
      </c>
      <c r="Y86" s="2012">
        <f>'Прогнозные индексы'!$K$64</f>
        <v>1.034</v>
      </c>
      <c r="Z86" s="1998">
        <f t="shared" si="143"/>
        <v>1895.17</v>
      </c>
      <c r="AA86" s="1996"/>
      <c r="AB86" s="2000" t="s">
        <v>8995</v>
      </c>
      <c r="AC86" s="2001">
        <f t="shared" si="142"/>
        <v>2312.11</v>
      </c>
      <c r="AD86" s="2090"/>
      <c r="AE86" s="2104">
        <f>AC86/(E86)</f>
        <v>2312.11</v>
      </c>
      <c r="AF86" s="2105" t="s">
        <v>269</v>
      </c>
      <c r="AG86" s="2019"/>
      <c r="AH86" s="1568"/>
    </row>
    <row r="87" spans="1:34" s="1254" customFormat="1" ht="63" x14ac:dyDescent="0.25">
      <c r="A87" s="1254">
        <v>2</v>
      </c>
      <c r="B87" s="2013" t="str">
        <f t="shared" ref="B87" ca="1" si="144">IF(A87&gt;OFFSET(A87,-1,0),OFFSET(B87,-1,0)&amp;"."&amp;1,LEFT(OFFSET(B87,-1,0),SEARCH("^^",SUBSTITUTE("."&amp;OFFSET(B87,-1,0),".","^^",A87))-1)&amp;1--MID(OFFSET(B87,-1,0),SEARCH("^^",SUBSTITUTE("."&amp;OFFSET(B87,-1,0),".","^^",A87)),SEARCH("^^",SUBSTITUTE(OFFSET(B87,-1,0)&amp;".",".","^^",A87))-SEARCH("^^",SUBSTITUTE("."&amp;OFFSET(B87,-1,0),".","^^",A87))))</f>
        <v>13.8</v>
      </c>
      <c r="C87" s="1487" t="s">
        <v>7937</v>
      </c>
      <c r="D87" s="1486" t="s">
        <v>5954</v>
      </c>
      <c r="E87" s="1493">
        <f>3*3/100</f>
        <v>0.09</v>
      </c>
      <c r="F87" s="1991" t="s">
        <v>7935</v>
      </c>
      <c r="G87" s="1992">
        <v>46023</v>
      </c>
      <c r="H87" s="1993">
        <f>362.23</f>
        <v>362.23</v>
      </c>
      <c r="I87" s="1994"/>
      <c r="J87" s="1994"/>
      <c r="K87" s="1994"/>
      <c r="L87" s="1994"/>
      <c r="M87" s="1993"/>
      <c r="N87" s="1993">
        <f t="shared" si="130"/>
        <v>32.6</v>
      </c>
      <c r="O87" s="1995">
        <v>1</v>
      </c>
      <c r="P87" s="1995">
        <v>1</v>
      </c>
      <c r="Q87" s="1993">
        <f t="shared" ref="Q87" si="145">N87*O87*P87</f>
        <v>32.6</v>
      </c>
      <c r="R87" s="1995">
        <v>0.9</v>
      </c>
      <c r="S87" s="1995">
        <v>0.99</v>
      </c>
      <c r="T87" s="1995">
        <v>1</v>
      </c>
      <c r="U87" s="1993">
        <f t="shared" ref="U87" si="146">Q87*R87*S87*T87</f>
        <v>29.05</v>
      </c>
      <c r="V87" s="1996"/>
      <c r="W87" s="1997">
        <f>'Индексы Росстата'!$F$121</f>
        <v>1.0225</v>
      </c>
      <c r="X87" s="1998">
        <f t="shared" ref="X87" si="147">U87*W87</f>
        <v>29.7</v>
      </c>
      <c r="Y87" s="2012">
        <f>'Прогнозные индексы'!$K$64</f>
        <v>1.034</v>
      </c>
      <c r="Z87" s="1998">
        <f t="shared" ref="Z87" si="148">X87*Y87</f>
        <v>30.71</v>
      </c>
      <c r="AA87" s="1996"/>
      <c r="AB87" s="2000"/>
      <c r="AC87" s="2001">
        <f t="shared" ref="AC87" si="149">Z87*1.22</f>
        <v>37.47</v>
      </c>
      <c r="AD87" s="2090"/>
      <c r="AE87" s="2104">
        <f>AC87/(E87*100)</f>
        <v>4.16</v>
      </c>
      <c r="AF87" s="2105" t="s">
        <v>8967</v>
      </c>
      <c r="AG87" s="2019"/>
      <c r="AH87" s="1568"/>
    </row>
    <row r="88" spans="1:34" s="1254" customFormat="1" ht="42.75" x14ac:dyDescent="0.25">
      <c r="A88" s="1254">
        <v>2</v>
      </c>
      <c r="B88" s="2013" t="str">
        <f t="shared" ca="1" si="116"/>
        <v>13.9</v>
      </c>
      <c r="C88" s="1487" t="s">
        <v>7911</v>
      </c>
      <c r="D88" s="1486" t="s">
        <v>316</v>
      </c>
      <c r="E88" s="1488">
        <v>1</v>
      </c>
      <c r="F88" s="1991"/>
      <c r="G88" s="1992"/>
      <c r="H88" s="1993"/>
      <c r="I88" s="1994"/>
      <c r="J88" s="1994"/>
      <c r="K88" s="1994"/>
      <c r="L88" s="1994"/>
      <c r="M88" s="1993"/>
      <c r="N88" s="1993"/>
      <c r="O88" s="1995"/>
      <c r="P88" s="1995"/>
      <c r="Q88" s="1993"/>
      <c r="R88" s="1995"/>
      <c r="S88" s="1995"/>
      <c r="T88" s="1995"/>
      <c r="U88" s="1993"/>
      <c r="V88" s="1996"/>
      <c r="W88" s="1997"/>
      <c r="X88" s="1998"/>
      <c r="Y88" s="1999"/>
      <c r="Z88" s="1998"/>
      <c r="AA88" s="1996"/>
      <c r="AB88" s="2000"/>
      <c r="AC88" s="2001">
        <f t="shared" si="142"/>
        <v>0</v>
      </c>
      <c r="AD88" s="2090"/>
      <c r="AE88" s="2104"/>
      <c r="AF88" s="2105"/>
      <c r="AG88" s="2019"/>
      <c r="AH88" s="1568"/>
    </row>
    <row r="89" spans="1:34" s="1254" customFormat="1" ht="63" x14ac:dyDescent="0.25">
      <c r="A89" s="1254">
        <v>2</v>
      </c>
      <c r="B89" s="2013" t="str">
        <f t="shared" ca="1" si="116"/>
        <v>13.10</v>
      </c>
      <c r="C89" s="1487" t="s">
        <v>7938</v>
      </c>
      <c r="D89" s="1486" t="s">
        <v>5954</v>
      </c>
      <c r="E89" s="1493">
        <f>3*3/100</f>
        <v>0.09</v>
      </c>
      <c r="F89" s="1991" t="s">
        <v>7935</v>
      </c>
      <c r="G89" s="1992">
        <v>46023</v>
      </c>
      <c r="H89" s="1993">
        <f>362.23</f>
        <v>362.23</v>
      </c>
      <c r="I89" s="1994"/>
      <c r="J89" s="1994"/>
      <c r="K89" s="1994"/>
      <c r="L89" s="1994"/>
      <c r="M89" s="1993"/>
      <c r="N89" s="1993">
        <f>E89*H89</f>
        <v>32.6</v>
      </c>
      <c r="O89" s="1995">
        <v>1</v>
      </c>
      <c r="P89" s="1995">
        <v>1</v>
      </c>
      <c r="Q89" s="1993">
        <f t="shared" ref="Q89" si="150">N89*O89*P89</f>
        <v>32.6</v>
      </c>
      <c r="R89" s="1995">
        <v>0.9</v>
      </c>
      <c r="S89" s="1995">
        <v>0.99</v>
      </c>
      <c r="T89" s="1995">
        <v>1</v>
      </c>
      <c r="U89" s="1993">
        <f t="shared" ref="U89" si="151">Q89*R89*S89*T89</f>
        <v>29.05</v>
      </c>
      <c r="V89" s="1996"/>
      <c r="W89" s="1997">
        <f>'Индексы Росстата'!$F$121</f>
        <v>1.0225</v>
      </c>
      <c r="X89" s="1998">
        <f t="shared" ref="X89" si="152">U89*W89</f>
        <v>29.7</v>
      </c>
      <c r="Y89" s="2012">
        <f>'Прогнозные индексы'!$K$64</f>
        <v>1.034</v>
      </c>
      <c r="Z89" s="1998">
        <f t="shared" ref="Z89" si="153">X89*Y89</f>
        <v>30.71</v>
      </c>
      <c r="AA89" s="1996"/>
      <c r="AB89" s="2000"/>
      <c r="AC89" s="2001">
        <f t="shared" ref="AC89" si="154">Z89*1.22</f>
        <v>37.47</v>
      </c>
      <c r="AD89" s="2090"/>
      <c r="AE89" s="2104">
        <f>AC89/(E89*100)</f>
        <v>4.16</v>
      </c>
      <c r="AF89" s="2105" t="s">
        <v>8967</v>
      </c>
      <c r="AG89" s="2019"/>
      <c r="AH89" s="1568"/>
    </row>
    <row r="90" spans="1:34" s="1254" customFormat="1" x14ac:dyDescent="0.25">
      <c r="A90" s="1254">
        <v>2</v>
      </c>
      <c r="B90" s="2013" t="str">
        <f t="shared" ca="1" si="116"/>
        <v>13.11</v>
      </c>
      <c r="C90" s="1487" t="s">
        <v>7912</v>
      </c>
      <c r="D90" s="1486" t="s">
        <v>832</v>
      </c>
      <c r="E90" s="1488">
        <v>3220</v>
      </c>
      <c r="F90" s="1991" t="s">
        <v>7936</v>
      </c>
      <c r="G90" s="1992"/>
      <c r="H90" s="1993"/>
      <c r="I90" s="1994"/>
      <c r="J90" s="1994"/>
      <c r="K90" s="1994"/>
      <c r="L90" s="1994"/>
      <c r="M90" s="1993"/>
      <c r="N90" s="1993"/>
      <c r="O90" s="1995"/>
      <c r="P90" s="1995"/>
      <c r="Q90" s="1993"/>
      <c r="R90" s="1995"/>
      <c r="S90" s="1995"/>
      <c r="T90" s="1995"/>
      <c r="U90" s="1993"/>
      <c r="V90" s="1996"/>
      <c r="W90" s="1997"/>
      <c r="X90" s="1998"/>
      <c r="Y90" s="1999"/>
      <c r="Z90" s="1998"/>
      <c r="AA90" s="1996"/>
      <c r="AB90" s="2000"/>
      <c r="AC90" s="2001"/>
      <c r="AD90" s="2090"/>
      <c r="AE90" s="2104"/>
      <c r="AF90" s="2105"/>
      <c r="AG90" s="2019"/>
      <c r="AH90" s="1568"/>
    </row>
    <row r="91" spans="1:34" s="1254" customFormat="1" x14ac:dyDescent="0.25">
      <c r="A91" s="1254">
        <v>2</v>
      </c>
      <c r="B91" s="2013" t="str">
        <f t="shared" ca="1" si="116"/>
        <v>13.12</v>
      </c>
      <c r="C91" s="1487" t="s">
        <v>5991</v>
      </c>
      <c r="D91" s="1486" t="s">
        <v>832</v>
      </c>
      <c r="E91" s="1488">
        <v>1500</v>
      </c>
      <c r="F91" s="1991" t="s">
        <v>7936</v>
      </c>
      <c r="G91" s="1992"/>
      <c r="H91" s="1993"/>
      <c r="I91" s="1994"/>
      <c r="J91" s="1994"/>
      <c r="K91" s="1994"/>
      <c r="L91" s="1994"/>
      <c r="M91" s="1993"/>
      <c r="N91" s="1993"/>
      <c r="O91" s="1995"/>
      <c r="P91" s="1995"/>
      <c r="Q91" s="1993"/>
      <c r="R91" s="1995"/>
      <c r="S91" s="1995"/>
      <c r="T91" s="1995"/>
      <c r="U91" s="1993"/>
      <c r="V91" s="1996"/>
      <c r="W91" s="1997"/>
      <c r="X91" s="1998"/>
      <c r="Y91" s="1999"/>
      <c r="Z91" s="1998"/>
      <c r="AA91" s="1996"/>
      <c r="AB91" s="2000"/>
      <c r="AC91" s="2001"/>
      <c r="AD91" s="2090"/>
      <c r="AE91" s="2104"/>
      <c r="AF91" s="2105"/>
      <c r="AG91" s="2019"/>
      <c r="AH91" s="1568"/>
    </row>
    <row r="92" spans="1:34" s="1254" customFormat="1" x14ac:dyDescent="0.25">
      <c r="A92" s="1254">
        <v>2</v>
      </c>
      <c r="B92" s="2013" t="str">
        <f t="shared" ca="1" si="116"/>
        <v>13.13</v>
      </c>
      <c r="C92" s="1487" t="s">
        <v>5992</v>
      </c>
      <c r="D92" s="1486" t="s">
        <v>832</v>
      </c>
      <c r="E92" s="1488">
        <v>1677</v>
      </c>
      <c r="F92" s="1991" t="s">
        <v>7936</v>
      </c>
      <c r="G92" s="1992"/>
      <c r="H92" s="1993"/>
      <c r="I92" s="1994"/>
      <c r="J92" s="1994"/>
      <c r="K92" s="1994"/>
      <c r="L92" s="1994"/>
      <c r="M92" s="1993"/>
      <c r="N92" s="1993"/>
      <c r="O92" s="1995"/>
      <c r="P92" s="1995"/>
      <c r="Q92" s="1993"/>
      <c r="R92" s="1995"/>
      <c r="S92" s="1995"/>
      <c r="T92" s="1995"/>
      <c r="U92" s="1993"/>
      <c r="V92" s="1996"/>
      <c r="W92" s="1997"/>
      <c r="X92" s="1998"/>
      <c r="Y92" s="1999"/>
      <c r="Z92" s="1998"/>
      <c r="AA92" s="1996"/>
      <c r="AB92" s="2000"/>
      <c r="AC92" s="2001"/>
      <c r="AD92" s="2090"/>
      <c r="AE92" s="2104"/>
      <c r="AF92" s="2105"/>
      <c r="AG92" s="2019"/>
      <c r="AH92" s="1568"/>
    </row>
    <row r="93" spans="1:34" s="1254" customFormat="1" ht="28.5" x14ac:dyDescent="0.25">
      <c r="A93" s="1254">
        <v>2</v>
      </c>
      <c r="B93" s="2013" t="str">
        <f t="shared" ca="1" si="116"/>
        <v>13.14</v>
      </c>
      <c r="C93" s="1487" t="s">
        <v>5993</v>
      </c>
      <c r="D93" s="1486" t="s">
        <v>832</v>
      </c>
      <c r="E93" s="1488">
        <v>385</v>
      </c>
      <c r="F93" s="1991" t="s">
        <v>7936</v>
      </c>
      <c r="G93" s="1992"/>
      <c r="H93" s="1993"/>
      <c r="I93" s="1994"/>
      <c r="J93" s="1994"/>
      <c r="K93" s="1994"/>
      <c r="L93" s="1994"/>
      <c r="M93" s="1993"/>
      <c r="N93" s="1993"/>
      <c r="O93" s="1995"/>
      <c r="P93" s="1995"/>
      <c r="Q93" s="1993"/>
      <c r="R93" s="1995"/>
      <c r="S93" s="1995"/>
      <c r="T93" s="1995"/>
      <c r="U93" s="1993"/>
      <c r="V93" s="1996"/>
      <c r="W93" s="1997"/>
      <c r="X93" s="1998"/>
      <c r="Y93" s="1999"/>
      <c r="Z93" s="1998"/>
      <c r="AA93" s="1996"/>
      <c r="AB93" s="2000"/>
      <c r="AC93" s="2001"/>
      <c r="AD93" s="2090"/>
      <c r="AE93" s="2104"/>
      <c r="AF93" s="2105"/>
      <c r="AG93" s="2019"/>
      <c r="AH93" s="1568"/>
    </row>
    <row r="94" spans="1:34" s="1254" customFormat="1" ht="28.5" x14ac:dyDescent="0.25">
      <c r="A94" s="1254">
        <v>2</v>
      </c>
      <c r="B94" s="2013" t="str">
        <f t="shared" ca="1" si="116"/>
        <v>13.15</v>
      </c>
      <c r="C94" s="1487" t="s">
        <v>7904</v>
      </c>
      <c r="D94" s="1486" t="s">
        <v>832</v>
      </c>
      <c r="E94" s="1488">
        <v>72</v>
      </c>
      <c r="F94" s="1991" t="s">
        <v>7936</v>
      </c>
      <c r="G94" s="1992"/>
      <c r="H94" s="1993"/>
      <c r="I94" s="1994"/>
      <c r="J94" s="1994"/>
      <c r="K94" s="1994"/>
      <c r="L94" s="1994"/>
      <c r="M94" s="1993"/>
      <c r="N94" s="1993"/>
      <c r="O94" s="1995"/>
      <c r="P94" s="1995"/>
      <c r="Q94" s="1993"/>
      <c r="R94" s="1995"/>
      <c r="S94" s="1995"/>
      <c r="T94" s="1995"/>
      <c r="U94" s="1993"/>
      <c r="V94" s="1996"/>
      <c r="W94" s="1997"/>
      <c r="X94" s="1998"/>
      <c r="Y94" s="1999"/>
      <c r="Z94" s="1998"/>
      <c r="AA94" s="1996"/>
      <c r="AB94" s="2000"/>
      <c r="AC94" s="2001"/>
      <c r="AD94" s="2090"/>
      <c r="AE94" s="2104"/>
      <c r="AF94" s="2105"/>
      <c r="AG94" s="2019"/>
      <c r="AH94" s="1568"/>
    </row>
    <row r="95" spans="1:34" s="1254" customFormat="1" ht="28.5" x14ac:dyDescent="0.25">
      <c r="A95" s="1254">
        <v>2</v>
      </c>
      <c r="B95" s="2013" t="str">
        <f t="shared" ca="1" si="116"/>
        <v>13.16</v>
      </c>
      <c r="C95" s="1487" t="s">
        <v>5994</v>
      </c>
      <c r="D95" s="1486" t="s">
        <v>832</v>
      </c>
      <c r="E95" s="1488">
        <v>2586</v>
      </c>
      <c r="F95" s="1991" t="s">
        <v>7936</v>
      </c>
      <c r="G95" s="1992"/>
      <c r="H95" s="1993"/>
      <c r="I95" s="1994"/>
      <c r="J95" s="1994"/>
      <c r="K95" s="1994"/>
      <c r="L95" s="1994"/>
      <c r="M95" s="1993"/>
      <c r="N95" s="1993"/>
      <c r="O95" s="1995"/>
      <c r="P95" s="1995"/>
      <c r="Q95" s="1993"/>
      <c r="R95" s="1995"/>
      <c r="S95" s="1995"/>
      <c r="T95" s="1995"/>
      <c r="U95" s="1993"/>
      <c r="V95" s="1996"/>
      <c r="W95" s="1997"/>
      <c r="X95" s="1998"/>
      <c r="Y95" s="1999"/>
      <c r="Z95" s="1998"/>
      <c r="AA95" s="1996"/>
      <c r="AB95" s="2000"/>
      <c r="AC95" s="2001"/>
      <c r="AD95" s="2090"/>
      <c r="AE95" s="2104"/>
      <c r="AF95" s="2105"/>
      <c r="AG95" s="2019"/>
      <c r="AH95" s="1568"/>
    </row>
    <row r="96" spans="1:34" s="1516" customFormat="1" x14ac:dyDescent="0.25">
      <c r="A96" s="1516">
        <v>1</v>
      </c>
      <c r="B96" s="2014" t="str">
        <f t="shared" ca="1" si="116"/>
        <v>14</v>
      </c>
      <c r="C96" s="1485" t="s">
        <v>7913</v>
      </c>
      <c r="D96" s="1491"/>
      <c r="E96" s="1492"/>
      <c r="F96" s="2002"/>
      <c r="G96" s="2003"/>
      <c r="H96" s="1996"/>
      <c r="I96" s="2004"/>
      <c r="J96" s="2004"/>
      <c r="K96" s="2004"/>
      <c r="L96" s="2004"/>
      <c r="M96" s="1996"/>
      <c r="N96" s="1996"/>
      <c r="O96" s="2005"/>
      <c r="P96" s="2005"/>
      <c r="Q96" s="1996"/>
      <c r="R96" s="2005"/>
      <c r="S96" s="2005"/>
      <c r="T96" s="2005"/>
      <c r="U96" s="1993"/>
      <c r="V96" s="1996"/>
      <c r="W96" s="2006"/>
      <c r="X96" s="2007"/>
      <c r="Y96" s="2008"/>
      <c r="Z96" s="2007"/>
      <c r="AA96" s="1996"/>
      <c r="AB96" s="2009"/>
      <c r="AC96" s="2010"/>
      <c r="AD96" s="2091"/>
      <c r="AE96" s="2106"/>
      <c r="AF96" s="2107"/>
      <c r="AG96" s="2101"/>
      <c r="AH96" s="2011"/>
    </row>
    <row r="97" spans="1:34" s="1254" customFormat="1" ht="42.75" x14ac:dyDescent="0.25">
      <c r="A97" s="1254">
        <v>2</v>
      </c>
      <c r="B97" s="2013" t="str">
        <f t="shared" ca="1" si="116"/>
        <v>14.1</v>
      </c>
      <c r="C97" s="1487" t="s">
        <v>7925</v>
      </c>
      <c r="D97" s="1486" t="s">
        <v>316</v>
      </c>
      <c r="E97" s="1488">
        <v>4</v>
      </c>
      <c r="F97" s="1991" t="s">
        <v>7936</v>
      </c>
      <c r="G97" s="1992"/>
      <c r="H97" s="1993"/>
      <c r="I97" s="1994"/>
      <c r="J97" s="1994"/>
      <c r="K97" s="1994"/>
      <c r="L97" s="1994"/>
      <c r="M97" s="1993"/>
      <c r="N97" s="1993"/>
      <c r="O97" s="1995"/>
      <c r="P97" s="1995"/>
      <c r="Q97" s="1993"/>
      <c r="R97" s="1995"/>
      <c r="S97" s="1995"/>
      <c r="T97" s="1995"/>
      <c r="U97" s="1993"/>
      <c r="V97" s="1996"/>
      <c r="W97" s="1997"/>
      <c r="X97" s="1998"/>
      <c r="Y97" s="1999"/>
      <c r="Z97" s="1998"/>
      <c r="AA97" s="1996"/>
      <c r="AB97" s="2000"/>
      <c r="AC97" s="2001"/>
      <c r="AD97" s="2090"/>
      <c r="AE97" s="2104"/>
      <c r="AF97" s="2105"/>
      <c r="AG97" s="2019"/>
      <c r="AH97" s="1568"/>
    </row>
    <row r="98" spans="1:34" s="1516" customFormat="1" x14ac:dyDescent="0.25">
      <c r="A98" s="1516">
        <v>1</v>
      </c>
      <c r="B98" s="2014" t="str">
        <f t="shared" ref="B98:B101" ca="1" si="155">IF(A98&gt;OFFSET(A98,-1,0),OFFSET(B98,-1,0)&amp;"."&amp;1,LEFT(OFFSET(B98,-1,0),SEARCH("^^",SUBSTITUTE("."&amp;OFFSET(B98,-1,0),".","^^",A98))-1)&amp;1--MID(OFFSET(B98,-1,0),SEARCH("^^",SUBSTITUTE("."&amp;OFFSET(B98,-1,0),".","^^",A98)),SEARCH("^^",SUBSTITUTE(OFFSET(B98,-1,0)&amp;".",".","^^",A98))-SEARCH("^^",SUBSTITUTE("."&amp;OFFSET(B98,-1,0),".","^^",A98))))</f>
        <v>15</v>
      </c>
      <c r="C98" s="1485" t="s">
        <v>6936</v>
      </c>
      <c r="D98" s="1491" t="s">
        <v>432</v>
      </c>
      <c r="E98" s="1492">
        <v>1</v>
      </c>
      <c r="F98" s="2002"/>
      <c r="G98" s="2003"/>
      <c r="H98" s="1996"/>
      <c r="I98" s="2004"/>
      <c r="J98" s="2004"/>
      <c r="K98" s="2004"/>
      <c r="L98" s="2004"/>
      <c r="M98" s="1996"/>
      <c r="N98" s="1996">
        <f>N99+N100+N103+N104+N105+N106+N107</f>
        <v>50594.95</v>
      </c>
      <c r="O98" s="2005"/>
      <c r="P98" s="2005"/>
      <c r="Q98" s="1996">
        <f>Q99+Q100+Q103+Q104+Q105+Q106+Q107</f>
        <v>50594.95</v>
      </c>
      <c r="R98" s="2005"/>
      <c r="S98" s="2005"/>
      <c r="T98" s="2005"/>
      <c r="U98" s="1993">
        <f>U99+U100+U103+U104+U105+U106+U107</f>
        <v>50594.95</v>
      </c>
      <c r="V98" s="1996"/>
      <c r="W98" s="2006"/>
      <c r="X98" s="1996">
        <f>X99+X100+X103+X104+X105+X106+X107</f>
        <v>76822.5</v>
      </c>
      <c r="Y98" s="2008"/>
      <c r="Z98" s="1996">
        <f>Z99+Z100+Z103+Z104+Z105+Z106+Z107</f>
        <v>79434.48</v>
      </c>
      <c r="AA98" s="1996"/>
      <c r="AB98" s="2009"/>
      <c r="AC98" s="1996">
        <f>AC99+AC100+AC103+AC104+AC105+AC106+AC107</f>
        <v>96910.07</v>
      </c>
      <c r="AD98" s="2091"/>
      <c r="AE98" s="2106"/>
      <c r="AF98" s="2107"/>
      <c r="AG98" s="2101"/>
      <c r="AH98" s="2011"/>
    </row>
    <row r="99" spans="1:34" s="1254" customFormat="1" ht="168.75" customHeight="1" x14ac:dyDescent="0.25">
      <c r="A99" s="1254">
        <v>2</v>
      </c>
      <c r="B99" s="2013" t="str">
        <f t="shared" ca="1" si="155"/>
        <v>15.1</v>
      </c>
      <c r="C99" s="1487" t="s">
        <v>7914</v>
      </c>
      <c r="D99" s="1486" t="s">
        <v>5327</v>
      </c>
      <c r="E99" s="1488">
        <v>9</v>
      </c>
      <c r="F99" s="1991" t="s">
        <v>7941</v>
      </c>
      <c r="G99" s="1992">
        <v>43647</v>
      </c>
      <c r="H99" s="1993">
        <f>'КСБ Архыз'!$AJ$24/1.2</f>
        <v>30.82</v>
      </c>
      <c r="I99" s="2015">
        <f>'КСБ Архыз'!$V$22/'КСБ Архыз'!$AI$22*1000</f>
        <v>5080.3599999999997</v>
      </c>
      <c r="J99" s="2015"/>
      <c r="K99" s="2015">
        <f>'КСБ Архыз'!$W$22/'КСБ Архыз'!$AI$22*1000</f>
        <v>2156.35</v>
      </c>
      <c r="L99" s="2015">
        <f>'КСБ Архыз'!$J$22/'КСБ Архыз'!$AI$22*1000</f>
        <v>26240.36</v>
      </c>
      <c r="M99" s="1993">
        <f t="shared" ref="M99" si="156">H99-I99-K99</f>
        <v>-7205.89</v>
      </c>
      <c r="N99" s="1993">
        <f>E99*H99</f>
        <v>277.38</v>
      </c>
      <c r="O99" s="1995">
        <v>1</v>
      </c>
      <c r="P99" s="1995">
        <v>1</v>
      </c>
      <c r="Q99" s="1993">
        <f t="shared" ref="Q99" si="157">N99*O99*P99</f>
        <v>277.38</v>
      </c>
      <c r="R99" s="1995">
        <v>1</v>
      </c>
      <c r="S99" s="1995">
        <v>1</v>
      </c>
      <c r="T99" s="1995">
        <v>1</v>
      </c>
      <c r="U99" s="1993">
        <f t="shared" ref="U99" si="158">Q99*R99*S99*T99</f>
        <v>277.38</v>
      </c>
      <c r="V99" s="1996">
        <f t="shared" ref="V99" si="159">E99*L99*O99*P99*R99*S99*T99</f>
        <v>236163.24</v>
      </c>
      <c r="W99" s="1997">
        <f>'Индексы Росстата'!$F$125</f>
        <v>1.5247999999999999</v>
      </c>
      <c r="X99" s="1993">
        <f t="shared" ref="X99" si="160">U99*W99</f>
        <v>422.95</v>
      </c>
      <c r="Y99" s="2012">
        <f>'Прогнозные индексы'!$K$64</f>
        <v>1.034</v>
      </c>
      <c r="Z99" s="1993">
        <f t="shared" ref="Z99" si="161">X99*Y99</f>
        <v>437.33</v>
      </c>
      <c r="AA99" s="1996"/>
      <c r="AB99" s="2000"/>
      <c r="AC99" s="2001">
        <f>Z99*1.22</f>
        <v>533.54</v>
      </c>
      <c r="AD99" s="2090"/>
      <c r="AE99" s="2104">
        <f>AC99/E99</f>
        <v>59.28</v>
      </c>
      <c r="AF99" s="2105" t="s">
        <v>5327</v>
      </c>
      <c r="AG99" s="2019"/>
      <c r="AH99" s="1568"/>
    </row>
    <row r="100" spans="1:34" s="1254" customFormat="1" x14ac:dyDescent="0.25">
      <c r="A100" s="1254">
        <v>2</v>
      </c>
      <c r="B100" s="2013" t="str">
        <f t="shared" ca="1" si="155"/>
        <v>15.2</v>
      </c>
      <c r="C100" s="2016" t="s">
        <v>7915</v>
      </c>
      <c r="D100" s="2017" t="s">
        <v>432</v>
      </c>
      <c r="E100" s="2018">
        <v>1</v>
      </c>
      <c r="F100" s="1991"/>
      <c r="G100" s="1992"/>
      <c r="H100" s="1993"/>
      <c r="I100" s="1994"/>
      <c r="J100" s="1994"/>
      <c r="K100" s="1994"/>
      <c r="L100" s="1994"/>
      <c r="M100" s="1993"/>
      <c r="N100" s="1993">
        <f>N101+N102+N103</f>
        <v>8503.9500000000007</v>
      </c>
      <c r="O100" s="1995"/>
      <c r="P100" s="1995"/>
      <c r="Q100" s="1993">
        <f>Q101+Q102+Q103</f>
        <v>8503.9500000000007</v>
      </c>
      <c r="R100" s="1995"/>
      <c r="S100" s="1995"/>
      <c r="T100" s="1995"/>
      <c r="U100" s="1993">
        <f>U101+U102+U103</f>
        <v>8503.9500000000007</v>
      </c>
      <c r="V100" s="1996"/>
      <c r="W100" s="1997"/>
      <c r="X100" s="1993">
        <f>X101+X102+X103</f>
        <v>12966.83</v>
      </c>
      <c r="Y100" s="1999"/>
      <c r="Z100" s="1993">
        <f>Z101+Z102+Z103</f>
        <v>13407.71</v>
      </c>
      <c r="AA100" s="1996"/>
      <c r="AB100" s="2000"/>
      <c r="AC100" s="1993">
        <f>AC101+AC102+AC103</f>
        <v>16357.41</v>
      </c>
      <c r="AD100" s="2090"/>
      <c r="AE100" s="2104"/>
      <c r="AF100" s="2105"/>
      <c r="AG100" s="2019"/>
      <c r="AH100" s="1568"/>
    </row>
    <row r="101" spans="1:34" s="1254" customFormat="1" ht="153" customHeight="1" x14ac:dyDescent="0.25">
      <c r="A101" s="1254">
        <v>3</v>
      </c>
      <c r="B101" s="2013" t="str">
        <f t="shared" ca="1" si="155"/>
        <v>15.2.1</v>
      </c>
      <c r="C101" s="1487" t="s">
        <v>7916</v>
      </c>
      <c r="D101" s="1486" t="s">
        <v>316</v>
      </c>
      <c r="E101" s="1488">
        <v>40</v>
      </c>
      <c r="F101" s="1991" t="s">
        <v>5834</v>
      </c>
      <c r="G101" s="1992">
        <v>43647</v>
      </c>
      <c r="H101" s="1993">
        <f>'КСБ Архыз'!$AJ$22/1.2</f>
        <v>44.88</v>
      </c>
      <c r="I101" s="2015">
        <f>'КСБ Архыз'!$V$22/'КСБ Архыз'!$AI$22*1000</f>
        <v>5080.3599999999997</v>
      </c>
      <c r="J101" s="2015"/>
      <c r="K101" s="2015">
        <f>'КСБ Архыз'!$W$22/'КСБ Архыз'!$AI$22*1000</f>
        <v>2156.35</v>
      </c>
      <c r="L101" s="2015">
        <f>'КСБ Архыз'!$J$22/'КСБ Архыз'!$AI$22*1000</f>
        <v>26240.36</v>
      </c>
      <c r="M101" s="1993">
        <f t="shared" ref="M101" si="162">H101-I101-K101</f>
        <v>-7191.83</v>
      </c>
      <c r="N101" s="1993">
        <f t="shared" ref="N101:N106" si="163">E101*H101</f>
        <v>1795.2</v>
      </c>
      <c r="O101" s="1995">
        <v>1</v>
      </c>
      <c r="P101" s="1995">
        <v>1</v>
      </c>
      <c r="Q101" s="1993">
        <f t="shared" ref="Q101" si="164">N101*O101*P101</f>
        <v>1795.2</v>
      </c>
      <c r="R101" s="1995">
        <v>1</v>
      </c>
      <c r="S101" s="1995">
        <v>1</v>
      </c>
      <c r="T101" s="1995">
        <v>1</v>
      </c>
      <c r="U101" s="1993">
        <f t="shared" ref="U101" si="165">Q101*R101*S101*T101</f>
        <v>1795.2</v>
      </c>
      <c r="V101" s="1996">
        <f t="shared" ref="V101" si="166">E101*L101*O101*P101*R101*S101*T101</f>
        <v>1049614.3999999999</v>
      </c>
      <c r="W101" s="1997">
        <f>'Индексы Росстата'!$F$125</f>
        <v>1.5247999999999999</v>
      </c>
      <c r="X101" s="1993">
        <f t="shared" ref="X101" si="167">U101*W101</f>
        <v>2737.32</v>
      </c>
      <c r="Y101" s="2012">
        <f>'Прогнозные индексы'!$K$64</f>
        <v>1.034</v>
      </c>
      <c r="Z101" s="1993">
        <f t="shared" ref="Z101" si="168">X101*Y101</f>
        <v>2830.39</v>
      </c>
      <c r="AA101" s="1993">
        <f t="shared" ref="AA101" si="169">V101*W101*Y101</f>
        <v>1654867.41</v>
      </c>
      <c r="AB101" s="2000" t="s">
        <v>5835</v>
      </c>
      <c r="AC101" s="2001">
        <f t="shared" ref="AC101:AC106" si="170">Z101*1.22</f>
        <v>3453.08</v>
      </c>
      <c r="AD101" s="2090"/>
      <c r="AE101" s="2104">
        <f t="shared" ref="AE101:AE108" si="171">AC101/E101</f>
        <v>86.33</v>
      </c>
      <c r="AF101" s="2105" t="s">
        <v>269</v>
      </c>
      <c r="AG101" s="2019"/>
      <c r="AH101" s="1568"/>
    </row>
    <row r="102" spans="1:34" s="1254" customFormat="1" ht="141.75" x14ac:dyDescent="0.25">
      <c r="A102" s="1254">
        <v>3</v>
      </c>
      <c r="B102" s="2013" t="str">
        <f t="shared" ref="B102:B104" ca="1" si="172">IF(A102&gt;OFFSET(A102,-1,0),OFFSET(B102,-1,0)&amp;"."&amp;1,LEFT(OFFSET(B102,-1,0),SEARCH("^^",SUBSTITUTE("."&amp;OFFSET(B102,-1,0),".","^^",A102))-1)&amp;1--MID(OFFSET(B102,-1,0),SEARCH("^^",SUBSTITUTE("."&amp;OFFSET(B102,-1,0),".","^^",A102)),SEARCH("^^",SUBSTITUTE(OFFSET(B102,-1,0)&amp;".",".","^^",A102))-SEARCH("^^",SUBSTITUTE("."&amp;OFFSET(B102,-1,0),".","^^",A102))))</f>
        <v>15.2.2</v>
      </c>
      <c r="C102" s="1487" t="s">
        <v>7917</v>
      </c>
      <c r="D102" s="1486" t="s">
        <v>316</v>
      </c>
      <c r="E102" s="1488">
        <v>32</v>
      </c>
      <c r="F102" s="1991" t="s">
        <v>5834</v>
      </c>
      <c r="G102" s="1992">
        <v>43647</v>
      </c>
      <c r="H102" s="1993">
        <f>'КСБ Архыз'!$AJ$22/1.2</f>
        <v>44.88</v>
      </c>
      <c r="I102" s="2015">
        <f>'КСБ Архыз'!$V$22/'КСБ Архыз'!$AI$22*1000</f>
        <v>5080.3599999999997</v>
      </c>
      <c r="J102" s="2015"/>
      <c r="K102" s="2015">
        <f>'КСБ Архыз'!$W$22/'КСБ Архыз'!$AI$22*1000</f>
        <v>2156.35</v>
      </c>
      <c r="L102" s="2015">
        <f>'КСБ Архыз'!$J$22/'КСБ Архыз'!$AI$22*1000</f>
        <v>26240.36</v>
      </c>
      <c r="M102" s="1993">
        <f t="shared" ref="M102:M103" si="173">H102-I102-K102</f>
        <v>-7191.83</v>
      </c>
      <c r="N102" s="1993">
        <f t="shared" si="163"/>
        <v>1436.16</v>
      </c>
      <c r="O102" s="1995">
        <v>1</v>
      </c>
      <c r="P102" s="1995">
        <v>1</v>
      </c>
      <c r="Q102" s="1993">
        <f t="shared" ref="Q102:Q103" si="174">N102*O102*P102</f>
        <v>1436.16</v>
      </c>
      <c r="R102" s="1995">
        <v>1</v>
      </c>
      <c r="S102" s="1995">
        <v>1</v>
      </c>
      <c r="T102" s="1995">
        <v>1</v>
      </c>
      <c r="U102" s="1993">
        <f t="shared" ref="U102:U103" si="175">Q102*R102*S102*T102</f>
        <v>1436.16</v>
      </c>
      <c r="V102" s="1996">
        <f t="shared" ref="V102:V103" si="176">E102*L102*O102*P102*R102*S102*T102</f>
        <v>839691.52</v>
      </c>
      <c r="W102" s="1997">
        <f>'Индексы Росстата'!$F$125</f>
        <v>1.5247999999999999</v>
      </c>
      <c r="X102" s="1993">
        <f t="shared" ref="X102:X103" si="177">U102*W102</f>
        <v>2189.86</v>
      </c>
      <c r="Y102" s="2012">
        <f>'Прогнозные индексы'!$K$64</f>
        <v>1.034</v>
      </c>
      <c r="Z102" s="1993">
        <f t="shared" ref="Z102:Z103" si="178">X102*Y102</f>
        <v>2264.3200000000002</v>
      </c>
      <c r="AA102" s="1993">
        <f t="shared" ref="AA102:AA103" si="179">V102*W102*Y102</f>
        <v>1323893.93</v>
      </c>
      <c r="AB102" s="2000" t="s">
        <v>5835</v>
      </c>
      <c r="AC102" s="2001">
        <f t="shared" si="170"/>
        <v>2762.47</v>
      </c>
      <c r="AD102" s="2090"/>
      <c r="AE102" s="2104">
        <f t="shared" si="171"/>
        <v>86.33</v>
      </c>
      <c r="AF102" s="2105" t="s">
        <v>269</v>
      </c>
      <c r="AG102" s="2019"/>
      <c r="AH102" s="1568"/>
    </row>
    <row r="103" spans="1:34" s="1254" customFormat="1" ht="153" customHeight="1" x14ac:dyDescent="0.25">
      <c r="A103" s="1254">
        <v>2</v>
      </c>
      <c r="B103" s="2013" t="str">
        <f t="shared" ca="1" si="172"/>
        <v>15.3</v>
      </c>
      <c r="C103" s="1487" t="s">
        <v>7918</v>
      </c>
      <c r="D103" s="1486" t="s">
        <v>316</v>
      </c>
      <c r="E103" s="1488">
        <v>3</v>
      </c>
      <c r="F103" s="1991" t="s">
        <v>5838</v>
      </c>
      <c r="G103" s="1992">
        <v>43647</v>
      </c>
      <c r="H103" s="1993">
        <f>'КСБ Архыз'!$AJ$20/1.2</f>
        <v>1757.53</v>
      </c>
      <c r="I103" s="2015">
        <f>'КСБ Архыз'!$V$20/'КСБ Архыз'!$AI$20*1000</f>
        <v>145530</v>
      </c>
      <c r="J103" s="2015"/>
      <c r="K103" s="2015">
        <f>'КСБ Архыз'!$W$20/'КСБ Архыз'!$AI$20*1000</f>
        <v>84460</v>
      </c>
      <c r="L103" s="2015">
        <f>'КСБ Архыз'!$J$20/'КСБ Архыз'!$AI$20*1000</f>
        <v>1432584.29</v>
      </c>
      <c r="M103" s="1993">
        <f t="shared" si="173"/>
        <v>-228232.47</v>
      </c>
      <c r="N103" s="1993">
        <f t="shared" si="163"/>
        <v>5272.59</v>
      </c>
      <c r="O103" s="1995">
        <v>1</v>
      </c>
      <c r="P103" s="1995">
        <v>1</v>
      </c>
      <c r="Q103" s="1993">
        <f t="shared" si="174"/>
        <v>5272.59</v>
      </c>
      <c r="R103" s="1995">
        <v>1</v>
      </c>
      <c r="S103" s="1995">
        <v>1</v>
      </c>
      <c r="T103" s="1995">
        <v>1</v>
      </c>
      <c r="U103" s="1993">
        <f t="shared" si="175"/>
        <v>5272.59</v>
      </c>
      <c r="V103" s="1996">
        <f t="shared" si="176"/>
        <v>4297752.87</v>
      </c>
      <c r="W103" s="1997">
        <f>'Индексы Росстата'!$F$125</f>
        <v>1.5247999999999999</v>
      </c>
      <c r="X103" s="1993">
        <f t="shared" si="177"/>
        <v>8039.65</v>
      </c>
      <c r="Y103" s="2012">
        <f>'Прогнозные индексы'!$K$64</f>
        <v>1.034</v>
      </c>
      <c r="Z103" s="1993">
        <f t="shared" si="178"/>
        <v>8313</v>
      </c>
      <c r="AA103" s="1993">
        <f t="shared" si="179"/>
        <v>6776022.8399999999</v>
      </c>
      <c r="AB103" s="2000"/>
      <c r="AC103" s="2001">
        <f t="shared" si="170"/>
        <v>10141.86</v>
      </c>
      <c r="AD103" s="2090"/>
      <c r="AE103" s="2104">
        <f t="shared" si="171"/>
        <v>3380.62</v>
      </c>
      <c r="AF103" s="2105" t="s">
        <v>269</v>
      </c>
      <c r="AG103" s="2019"/>
      <c r="AH103" s="1568"/>
    </row>
    <row r="104" spans="1:34" s="1254" customFormat="1" ht="141.75" x14ac:dyDescent="0.25">
      <c r="A104" s="1254">
        <v>2</v>
      </c>
      <c r="B104" s="2013" t="str">
        <f t="shared" ca="1" si="172"/>
        <v>15.4</v>
      </c>
      <c r="C104" s="1487" t="s">
        <v>7919</v>
      </c>
      <c r="D104" s="1486" t="s">
        <v>130</v>
      </c>
      <c r="E104" s="1488">
        <v>2228</v>
      </c>
      <c r="F104" s="1991" t="s">
        <v>9002</v>
      </c>
      <c r="G104" s="1992">
        <v>45658</v>
      </c>
      <c r="H104" s="1993">
        <f>0.37/1.2</f>
        <v>0.31</v>
      </c>
      <c r="I104" s="1988"/>
      <c r="J104" s="1988"/>
      <c r="K104" s="1988"/>
      <c r="L104" s="1988"/>
      <c r="M104" s="1987"/>
      <c r="N104" s="1993">
        <f t="shared" si="163"/>
        <v>690.68</v>
      </c>
      <c r="O104" s="1995">
        <v>1</v>
      </c>
      <c r="P104" s="1995">
        <v>1</v>
      </c>
      <c r="Q104" s="1993">
        <f t="shared" ref="Q104" si="180">N104*O104*P104</f>
        <v>690.68</v>
      </c>
      <c r="R104" s="1995">
        <v>1</v>
      </c>
      <c r="S104" s="1995">
        <v>1</v>
      </c>
      <c r="T104" s="1995">
        <v>1</v>
      </c>
      <c r="U104" s="1993">
        <f t="shared" ref="U104" si="181">Q104*R104*S104*T104</f>
        <v>690.68</v>
      </c>
      <c r="V104" s="1990"/>
      <c r="W104" s="1997">
        <f>'Индексы Росстата'!$F$123</f>
        <v>1.0547</v>
      </c>
      <c r="X104" s="1993">
        <f t="shared" ref="X104:X105" si="182">U104*W104</f>
        <v>728.46</v>
      </c>
      <c r="Y104" s="2012">
        <f>'Прогнозные индексы'!$K$64</f>
        <v>1.034</v>
      </c>
      <c r="Z104" s="1993">
        <f t="shared" ref="Z104:Z105" si="183">X104*Y104</f>
        <v>753.23</v>
      </c>
      <c r="AA104" s="1996"/>
      <c r="AB104" s="2000"/>
      <c r="AC104" s="2001">
        <f t="shared" si="170"/>
        <v>918.94</v>
      </c>
      <c r="AD104" s="2090"/>
      <c r="AE104" s="2104">
        <f t="shared" si="171"/>
        <v>0.41</v>
      </c>
      <c r="AF104" s="2105" t="s">
        <v>130</v>
      </c>
      <c r="AG104" s="2019"/>
      <c r="AH104" s="1568"/>
    </row>
    <row r="105" spans="1:34" s="1254" customFormat="1" ht="150.75" customHeight="1" x14ac:dyDescent="0.25">
      <c r="A105" s="1254">
        <v>2</v>
      </c>
      <c r="B105" s="2013" t="str">
        <f t="shared" ref="B105:B109" ca="1" si="184">IF(A105&gt;OFFSET(A105,-1,0),OFFSET(B105,-1,0)&amp;"."&amp;1,LEFT(OFFSET(B105,-1,0),SEARCH("^^",SUBSTITUTE("."&amp;OFFSET(B105,-1,0),".","^^",A105))-1)&amp;1--MID(OFFSET(B105,-1,0),SEARCH("^^",SUBSTITUTE("."&amp;OFFSET(B105,-1,0),".","^^",A105)),SEARCH("^^",SUBSTITUTE(OFFSET(B105,-1,0)&amp;".",".","^^",A105))-SEARCH("^^",SUBSTITUTE("."&amp;OFFSET(B105,-1,0),".","^^",A105))))</f>
        <v>15.5</v>
      </c>
      <c r="C105" s="1487" t="s">
        <v>7920</v>
      </c>
      <c r="D105" s="1486" t="s">
        <v>5309</v>
      </c>
      <c r="E105" s="1488">
        <v>78</v>
      </c>
      <c r="F105" s="1991" t="s">
        <v>5839</v>
      </c>
      <c r="G105" s="1992">
        <v>43647</v>
      </c>
      <c r="H105" s="1993">
        <f>'КСБ Архыз'!$AJ$28/1.2</f>
        <v>403.96</v>
      </c>
      <c r="I105" s="2015">
        <f>'КСБ Архыз'!$V$28/'КСБ Архыз'!$AI$28*1000</f>
        <v>33772.61</v>
      </c>
      <c r="J105" s="2015"/>
      <c r="K105" s="2015">
        <f>'КСБ Архыз'!$W$28/'КСБ Архыз'!$AI$28*1000</f>
        <v>19412.61</v>
      </c>
      <c r="L105" s="2015">
        <f>'КСБ Архыз'!$J$28/'КСБ Архыз'!$AI$28*1000</f>
        <v>337439.77</v>
      </c>
      <c r="M105" s="1993">
        <f t="shared" ref="M105" si="185">H105-I105-K105</f>
        <v>-52781.26</v>
      </c>
      <c r="N105" s="1993">
        <f t="shared" si="163"/>
        <v>31508.880000000001</v>
      </c>
      <c r="O105" s="1995">
        <v>1</v>
      </c>
      <c r="P105" s="1995">
        <v>1</v>
      </c>
      <c r="Q105" s="1993">
        <f t="shared" ref="Q105" si="186">N105*O105*P105</f>
        <v>31508.880000000001</v>
      </c>
      <c r="R105" s="1995">
        <v>1</v>
      </c>
      <c r="S105" s="1995">
        <v>1</v>
      </c>
      <c r="T105" s="1995">
        <v>1</v>
      </c>
      <c r="U105" s="1993">
        <f t="shared" ref="U105" si="187">Q105*R105*S105*T105</f>
        <v>31508.880000000001</v>
      </c>
      <c r="V105" s="1996">
        <f t="shared" ref="V105" si="188">E105*L105*O105*P105*R105*S105*T105</f>
        <v>26320302.059999999</v>
      </c>
      <c r="W105" s="1997">
        <f>'Индексы Росстата'!$F$125</f>
        <v>1.5247999999999999</v>
      </c>
      <c r="X105" s="1993">
        <f t="shared" si="182"/>
        <v>48044.74</v>
      </c>
      <c r="Y105" s="2012">
        <f>'Прогнозные индексы'!$K$64</f>
        <v>1.034</v>
      </c>
      <c r="Z105" s="1993">
        <f t="shared" si="183"/>
        <v>49678.26</v>
      </c>
      <c r="AA105" s="1993">
        <f t="shared" ref="AA105" si="189">V105*W105*Y105</f>
        <v>41497725.259999998</v>
      </c>
      <c r="AB105" s="2000"/>
      <c r="AC105" s="2001">
        <f t="shared" si="170"/>
        <v>60607.48</v>
      </c>
      <c r="AD105" s="2090"/>
      <c r="AE105" s="2104">
        <f t="shared" si="171"/>
        <v>777.02</v>
      </c>
      <c r="AF105" s="2105" t="s">
        <v>5309</v>
      </c>
      <c r="AG105" s="2019"/>
      <c r="AH105" s="1568"/>
    </row>
    <row r="106" spans="1:34" s="1254" customFormat="1" ht="149.25" customHeight="1" x14ac:dyDescent="0.25">
      <c r="A106" s="1254">
        <v>2</v>
      </c>
      <c r="B106" s="2013" t="str">
        <f t="shared" ca="1" si="184"/>
        <v>15.6</v>
      </c>
      <c r="C106" s="1487" t="s">
        <v>7921</v>
      </c>
      <c r="D106" s="1486" t="s">
        <v>5316</v>
      </c>
      <c r="E106" s="1488">
        <v>1</v>
      </c>
      <c r="F106" s="1991" t="s">
        <v>7944</v>
      </c>
      <c r="G106" s="1992">
        <v>43647</v>
      </c>
      <c r="H106" s="1993">
        <f>'КСБ Архыз'!$AJ$26/1.2</f>
        <v>3.47</v>
      </c>
      <c r="I106" s="2015">
        <f>'КСБ Архыз'!$V$28/'КСБ Архыз'!$AI$28*1000</f>
        <v>33772.61</v>
      </c>
      <c r="J106" s="2015"/>
      <c r="K106" s="2015">
        <f>'КСБ Архыз'!$W$28/'КСБ Архыз'!$AI$28*1000</f>
        <v>19412.61</v>
      </c>
      <c r="L106" s="2015">
        <f>'КСБ Архыз'!$J$28/'КСБ Архыз'!$AI$28*1000</f>
        <v>337439.77</v>
      </c>
      <c r="M106" s="1993">
        <f t="shared" ref="M106" si="190">H106-I106-K106</f>
        <v>-53181.75</v>
      </c>
      <c r="N106" s="1993">
        <f t="shared" si="163"/>
        <v>3.47</v>
      </c>
      <c r="O106" s="1995">
        <v>1</v>
      </c>
      <c r="P106" s="1995">
        <v>1</v>
      </c>
      <c r="Q106" s="1993">
        <f t="shared" ref="Q106" si="191">N106*O106*P106</f>
        <v>3.47</v>
      </c>
      <c r="R106" s="1995">
        <v>1</v>
      </c>
      <c r="S106" s="1995">
        <v>1</v>
      </c>
      <c r="T106" s="1995">
        <v>1</v>
      </c>
      <c r="U106" s="1993">
        <f t="shared" ref="U106" si="192">Q106*R106*S106*T106</f>
        <v>3.47</v>
      </c>
      <c r="V106" s="1996">
        <f t="shared" ref="V106" si="193">E106*L106*O106*P106*R106*S106*T106</f>
        <v>337439.77</v>
      </c>
      <c r="W106" s="1997">
        <f>'Индексы Росстата'!$F$125</f>
        <v>1.5247999999999999</v>
      </c>
      <c r="X106" s="1993">
        <f t="shared" ref="X106" si="194">U106*W106</f>
        <v>5.29</v>
      </c>
      <c r="Y106" s="2012">
        <f>'Прогнозные индексы'!$K$64</f>
        <v>1.034</v>
      </c>
      <c r="Z106" s="1993">
        <f t="shared" ref="Z106" si="195">X106*Y106</f>
        <v>5.47</v>
      </c>
      <c r="AA106" s="1993">
        <f t="shared" ref="AA106" si="196">V106*W106*Y106</f>
        <v>532022.12</v>
      </c>
      <c r="AB106" s="2000"/>
      <c r="AC106" s="2001">
        <f t="shared" si="170"/>
        <v>6.67</v>
      </c>
      <c r="AD106" s="2090"/>
      <c r="AE106" s="2104">
        <f t="shared" si="171"/>
        <v>6.67</v>
      </c>
      <c r="AF106" s="2105" t="s">
        <v>5316</v>
      </c>
      <c r="AG106" s="2019"/>
      <c r="AH106" s="1568"/>
    </row>
    <row r="107" spans="1:34" s="1254" customFormat="1" x14ac:dyDescent="0.25">
      <c r="A107" s="1254">
        <v>2</v>
      </c>
      <c r="B107" s="2013" t="str">
        <f t="shared" ca="1" si="184"/>
        <v>15.7</v>
      </c>
      <c r="C107" s="2016" t="s">
        <v>7922</v>
      </c>
      <c r="D107" s="2017" t="s">
        <v>432</v>
      </c>
      <c r="E107" s="2018">
        <v>1</v>
      </c>
      <c r="F107" s="1991"/>
      <c r="G107" s="1992"/>
      <c r="H107" s="1993"/>
      <c r="I107" s="1994"/>
      <c r="J107" s="1994"/>
      <c r="K107" s="1994"/>
      <c r="L107" s="1994"/>
      <c r="M107" s="1993"/>
      <c r="N107" s="1993">
        <f>N108+N109</f>
        <v>4338</v>
      </c>
      <c r="O107" s="1995"/>
      <c r="P107" s="1995"/>
      <c r="Q107" s="1993">
        <f>Q108+Q109</f>
        <v>4338</v>
      </c>
      <c r="R107" s="1995"/>
      <c r="S107" s="1995"/>
      <c r="T107" s="1995"/>
      <c r="U107" s="1993">
        <f>U108+U109</f>
        <v>4338</v>
      </c>
      <c r="V107" s="1996"/>
      <c r="W107" s="1997"/>
      <c r="X107" s="1993">
        <f>X108+X109</f>
        <v>6614.58</v>
      </c>
      <c r="Y107" s="1999"/>
      <c r="Z107" s="1993">
        <f>Z108+Z109</f>
        <v>6839.48</v>
      </c>
      <c r="AA107" s="1996"/>
      <c r="AB107" s="2000"/>
      <c r="AC107" s="1993">
        <f>AC108+AC109</f>
        <v>8344.17</v>
      </c>
      <c r="AD107" s="2090"/>
      <c r="AE107" s="2104">
        <f t="shared" si="171"/>
        <v>8344.17</v>
      </c>
      <c r="AF107" s="2105"/>
      <c r="AG107" s="2019"/>
      <c r="AH107" s="1568"/>
    </row>
    <row r="108" spans="1:34" s="1254" customFormat="1" ht="151.5" customHeight="1" x14ac:dyDescent="0.25">
      <c r="A108" s="1254">
        <v>3</v>
      </c>
      <c r="B108" s="2013" t="str">
        <f t="shared" ca="1" si="184"/>
        <v>15.7.1</v>
      </c>
      <c r="C108" s="1487" t="s">
        <v>7923</v>
      </c>
      <c r="D108" s="1486" t="s">
        <v>316</v>
      </c>
      <c r="E108" s="1488">
        <v>36</v>
      </c>
      <c r="F108" s="1991" t="s">
        <v>5837</v>
      </c>
      <c r="G108" s="1992">
        <v>43647</v>
      </c>
      <c r="H108" s="1993">
        <f>'КСБ Архыз'!$AJ$25/1.2</f>
        <v>120.5</v>
      </c>
      <c r="I108" s="2015">
        <f>'КСБ Архыз'!$V$25/'КСБ Архыз'!$AI$25*1000</f>
        <v>10785.56</v>
      </c>
      <c r="J108" s="2015"/>
      <c r="K108" s="2015">
        <f>'КСБ Архыз'!$W$25/'КСБ Архыз'!$AI$25*1000</f>
        <v>5791.11</v>
      </c>
      <c r="L108" s="2015">
        <f>'КСБ Архыз'!$J$25/'КСБ Архыз'!$AI$25*1000</f>
        <v>94635.56</v>
      </c>
      <c r="M108" s="1993">
        <f t="shared" ref="M108" si="197">H108-I108-K108</f>
        <v>-16456.169999999998</v>
      </c>
      <c r="N108" s="1993">
        <f>E108*H108</f>
        <v>4338</v>
      </c>
      <c r="O108" s="1995">
        <v>1</v>
      </c>
      <c r="P108" s="1995">
        <v>1</v>
      </c>
      <c r="Q108" s="1993">
        <f t="shared" ref="Q108" si="198">N108*O108*P108</f>
        <v>4338</v>
      </c>
      <c r="R108" s="1995">
        <v>1</v>
      </c>
      <c r="S108" s="1995">
        <v>1</v>
      </c>
      <c r="T108" s="1995">
        <v>1</v>
      </c>
      <c r="U108" s="1993">
        <f t="shared" ref="U108" si="199">Q108*R108*S108*T108</f>
        <v>4338</v>
      </c>
      <c r="V108" s="1996">
        <f t="shared" ref="V108" si="200">E108*L108*O108*P108*R108*S108*T108</f>
        <v>3406880.16</v>
      </c>
      <c r="W108" s="1997">
        <f>'Индексы Росстата'!$F$125</f>
        <v>1.5247999999999999</v>
      </c>
      <c r="X108" s="1993">
        <f t="shared" ref="X108" si="201">U108*W108</f>
        <v>6614.58</v>
      </c>
      <c r="Y108" s="2012">
        <f>'Прогнозные индексы'!$K$64</f>
        <v>1.034</v>
      </c>
      <c r="Z108" s="1993">
        <f t="shared" ref="Z108" si="202">X108*Y108</f>
        <v>6839.48</v>
      </c>
      <c r="AA108" s="1996"/>
      <c r="AB108" s="2000"/>
      <c r="AC108" s="2001">
        <f>Z108*1.22</f>
        <v>8344.17</v>
      </c>
      <c r="AD108" s="2090"/>
      <c r="AE108" s="2104">
        <f t="shared" si="171"/>
        <v>231.78</v>
      </c>
      <c r="AF108" s="2105" t="s">
        <v>269</v>
      </c>
      <c r="AG108" s="2019"/>
      <c r="AH108" s="1568"/>
    </row>
    <row r="109" spans="1:34" s="1254" customFormat="1" x14ac:dyDescent="0.25">
      <c r="A109" s="1254">
        <v>3</v>
      </c>
      <c r="B109" s="2013" t="str">
        <f t="shared" ca="1" si="184"/>
        <v>15.7.2</v>
      </c>
      <c r="C109" s="1487" t="s">
        <v>7924</v>
      </c>
      <c r="D109" s="1486" t="s">
        <v>316</v>
      </c>
      <c r="E109" s="1488">
        <v>3</v>
      </c>
      <c r="F109" s="1991"/>
      <c r="G109" s="1992"/>
      <c r="H109" s="1993"/>
      <c r="I109" s="1994"/>
      <c r="J109" s="1994"/>
      <c r="K109" s="1994"/>
      <c r="L109" s="1994"/>
      <c r="M109" s="1993"/>
      <c r="N109" s="1993"/>
      <c r="O109" s="1995"/>
      <c r="P109" s="1995"/>
      <c r="Q109" s="1993"/>
      <c r="R109" s="1995"/>
      <c r="S109" s="1995"/>
      <c r="T109" s="1995"/>
      <c r="U109" s="1993"/>
      <c r="V109" s="1996"/>
      <c r="W109" s="1997"/>
      <c r="X109" s="1998"/>
      <c r="Y109" s="1999"/>
      <c r="Z109" s="1998"/>
      <c r="AA109" s="1996"/>
      <c r="AB109" s="2000"/>
      <c r="AC109" s="2001"/>
      <c r="AD109" s="2090"/>
      <c r="AE109" s="2104"/>
      <c r="AF109" s="2105"/>
      <c r="AG109" s="2019"/>
      <c r="AH109" s="1568"/>
    </row>
    <row r="110" spans="1:34" s="853" customFormat="1" x14ac:dyDescent="0.25">
      <c r="B110" s="2083"/>
      <c r="C110" s="2084" t="s">
        <v>521</v>
      </c>
      <c r="D110" s="2083"/>
      <c r="E110" s="2083"/>
      <c r="F110" s="2083"/>
      <c r="G110" s="2083"/>
      <c r="H110" s="1409"/>
      <c r="I110" s="1408"/>
      <c r="J110" s="1408"/>
      <c r="K110" s="1408"/>
      <c r="L110" s="1408"/>
      <c r="M110" s="1409"/>
      <c r="N110" s="1409">
        <f>N8+N9+N10+N11+N12+N17+N21+N25+N35+N41+N53+N70+N79+N96+N98</f>
        <v>512949.67</v>
      </c>
      <c r="O110" s="1320"/>
      <c r="P110" s="1320"/>
      <c r="Q110" s="1409">
        <f>Q8+Q9+Q10+Q11+Q12+Q17+Q21+Q25+Q35+Q41+Q53+Q70+Q79+Q96+Q98</f>
        <v>524394.26</v>
      </c>
      <c r="R110" s="1320"/>
      <c r="S110" s="1320"/>
      <c r="T110" s="1320"/>
      <c r="U110" s="1409">
        <f>U8+U9+U10+U11+U12+U17+U21+U25+U35+U41+U53+U70+U79+U96+U98</f>
        <v>515432.82</v>
      </c>
      <c r="V110" s="1409" t="e">
        <f>#REF!+#REF!</f>
        <v>#REF!</v>
      </c>
      <c r="W110" s="1323"/>
      <c r="X110" s="1409">
        <f>X8+X9+X10+X11+X12+X17+X21+X25+X35+X41+X53+X70+X79+X96+X98</f>
        <v>558779.77</v>
      </c>
      <c r="Y110" s="1323"/>
      <c r="Z110" s="1409">
        <f>Z8+Z9+Z10+Z11+Z12+Z17+Z21+Z25+Z35+Z41+Z53+Z70+Z79+Z96+Z98</f>
        <v>577778.31999999995</v>
      </c>
      <c r="AA110" s="1409" t="e">
        <f>#REF!+#REF!</f>
        <v>#REF!</v>
      </c>
      <c r="AB110" s="1322"/>
      <c r="AC110" s="1409"/>
      <c r="AD110" s="2092"/>
      <c r="AE110" s="2109"/>
      <c r="AF110" s="2110"/>
      <c r="AG110" s="2102"/>
      <c r="AH110" s="1569"/>
    </row>
    <row r="111" spans="1:34" x14ac:dyDescent="0.25">
      <c r="B111" s="1321"/>
      <c r="C111" s="2085" t="s">
        <v>6035</v>
      </c>
      <c r="D111" s="1321"/>
      <c r="E111" s="1321"/>
      <c r="F111" s="1321"/>
      <c r="G111" s="1321"/>
      <c r="H111" s="1338"/>
      <c r="I111" s="1411"/>
      <c r="J111" s="1411"/>
      <c r="K111" s="1411"/>
      <c r="L111" s="1411"/>
      <c r="M111" s="1338"/>
      <c r="N111" s="1338">
        <f>N110*22%</f>
        <v>112848.93</v>
      </c>
      <c r="O111" s="1321"/>
      <c r="P111" s="1321"/>
      <c r="Q111" s="1338">
        <f>Q110*22%</f>
        <v>115366.74</v>
      </c>
      <c r="R111" s="1321"/>
      <c r="S111" s="1321"/>
      <c r="T111" s="1321"/>
      <c r="U111" s="1338">
        <f>U110*22%</f>
        <v>113395.22</v>
      </c>
      <c r="V111" s="1338" t="e">
        <f>V110*22%</f>
        <v>#REF!</v>
      </c>
      <c r="W111" s="1321"/>
      <c r="X111" s="1338">
        <f>X110*22%</f>
        <v>122931.55</v>
      </c>
      <c r="Y111" s="1321"/>
      <c r="Z111" s="1338">
        <f>Z110*22%</f>
        <v>127111.23</v>
      </c>
      <c r="AA111" s="1338" t="e">
        <f>AA110*22%</f>
        <v>#REF!</v>
      </c>
      <c r="AB111" s="1321"/>
      <c r="AC111" s="1338"/>
      <c r="AD111" s="2093"/>
      <c r="AE111" s="2111"/>
      <c r="AF111" s="1559"/>
      <c r="AG111" s="2096"/>
      <c r="AH111" s="1560"/>
    </row>
    <row r="112" spans="1:34" s="853" customFormat="1" ht="63" x14ac:dyDescent="0.25">
      <c r="B112" s="1322"/>
      <c r="C112" s="2086" t="s">
        <v>6034</v>
      </c>
      <c r="D112" s="1322"/>
      <c r="E112" s="1322"/>
      <c r="F112" s="1322"/>
      <c r="G112" s="1322"/>
      <c r="H112" s="1339"/>
      <c r="I112" s="1408"/>
      <c r="J112" s="1408"/>
      <c r="K112" s="1408"/>
      <c r="L112" s="1408"/>
      <c r="M112" s="1339"/>
      <c r="N112" s="1339">
        <f>N110+N111</f>
        <v>625798.6</v>
      </c>
      <c r="O112" s="1322"/>
      <c r="P112" s="1322"/>
      <c r="Q112" s="1339">
        <f>Q110+Q111</f>
        <v>639761</v>
      </c>
      <c r="R112" s="1322"/>
      <c r="S112" s="1322"/>
      <c r="T112" s="1322"/>
      <c r="U112" s="1339">
        <f>U110+U111</f>
        <v>628828.04</v>
      </c>
      <c r="V112" s="1339" t="e">
        <f>V110+V111</f>
        <v>#REF!</v>
      </c>
      <c r="W112" s="1322"/>
      <c r="X112" s="1339">
        <f>X110+X111</f>
        <v>681711.32</v>
      </c>
      <c r="Y112" s="1322"/>
      <c r="Z112" s="1339">
        <f>Z110+Z111</f>
        <v>704889.55</v>
      </c>
      <c r="AA112" s="1339" t="e">
        <f>AA110+AA111</f>
        <v>#REF!</v>
      </c>
      <c r="AB112" s="1322"/>
      <c r="AC112" s="1339">
        <f>AC8+AC9+AC10+AC11+AC12+AC17+AC21+AC25+AC35+AC41+AC53+AC70+AC79+AC96+AC98</f>
        <v>704889.57</v>
      </c>
      <c r="AD112" s="2094" t="e">
        <f>#REF!+#REF!</f>
        <v>#REF!</v>
      </c>
      <c r="AE112" s="2112">
        <f>AC112/(1270*3+285+38)</f>
        <v>170.55</v>
      </c>
      <c r="AF112" s="2110" t="s">
        <v>8971</v>
      </c>
      <c r="AG112" s="2103" t="e">
        <f>#REF!+#REF!</f>
        <v>#REF!</v>
      </c>
      <c r="AH112" s="1570" t="e">
        <f>#REF!+#REF!</f>
        <v>#REF!</v>
      </c>
    </row>
    <row r="113" spans="1:34" x14ac:dyDescent="0.25">
      <c r="AG113" s="1560"/>
      <c r="AH113" s="1560"/>
    </row>
    <row r="114" spans="1:34" x14ac:dyDescent="0.25">
      <c r="AG114" s="1560"/>
      <c r="AH114" s="1560"/>
    </row>
    <row r="115" spans="1:34" ht="39" customHeight="1" x14ac:dyDescent="0.25">
      <c r="B115" s="1396" t="str">
        <f>Пояснительная!$A$29</f>
        <v>Заместитель директора департамента 
по ценообразованию и сметному регулированию 
Департамента развития инфраструктуры</v>
      </c>
      <c r="C115" s="1314"/>
      <c r="D115" s="1314"/>
      <c r="E115" s="1314"/>
      <c r="F115" s="1315"/>
      <c r="G115" s="1315"/>
      <c r="Q115" s="882" t="s">
        <v>567</v>
      </c>
      <c r="AG115" s="1560"/>
      <c r="AH115" s="1560"/>
    </row>
    <row r="119" spans="1:34" s="853" customFormat="1" ht="342.75" customHeight="1" x14ac:dyDescent="0.25">
      <c r="A119" s="853">
        <v>1</v>
      </c>
      <c r="B119" s="2192">
        <v>1</v>
      </c>
      <c r="C119" s="2181" t="s">
        <v>7830</v>
      </c>
      <c r="D119" s="2182" t="s">
        <v>5602</v>
      </c>
      <c r="E119" s="2183">
        <v>118</v>
      </c>
      <c r="F119" s="2182" t="s">
        <v>9118</v>
      </c>
      <c r="G119" s="2184">
        <v>46023</v>
      </c>
      <c r="H119" s="2185">
        <f>3015.67</f>
        <v>3015.67</v>
      </c>
      <c r="I119" s="2186"/>
      <c r="J119" s="2186"/>
      <c r="K119" s="2186"/>
      <c r="L119" s="2186"/>
      <c r="M119" s="2185">
        <f>2339.56-(500-36)*(2339.56-3716.9)/(500-28.3)</f>
        <v>3694.42</v>
      </c>
      <c r="N119" s="2185">
        <f t="shared" ref="N119:N124" si="203">E119*H119</f>
        <v>355849.06</v>
      </c>
      <c r="O119" s="2185">
        <v>1</v>
      </c>
      <c r="P119" s="2185">
        <v>1</v>
      </c>
      <c r="Q119" s="2185">
        <f>N119*O119*P119</f>
        <v>355849.06</v>
      </c>
      <c r="R119" s="2185">
        <v>0.85</v>
      </c>
      <c r="S119" s="2185">
        <v>0.99</v>
      </c>
      <c r="T119" s="2185">
        <v>1.03</v>
      </c>
      <c r="U119" s="2185">
        <f>Q119*R119*S119*T119</f>
        <v>308430.39</v>
      </c>
      <c r="V119" s="2185"/>
      <c r="W119" s="2006">
        <f>'Индексы Росстата'!$F$121</f>
        <v>1.0225</v>
      </c>
      <c r="X119" s="2185">
        <f>U119*W119</f>
        <v>315370.07</v>
      </c>
      <c r="Y119" s="2189">
        <f>'Прогнозные индексы'!$K$64</f>
        <v>1.034</v>
      </c>
      <c r="Z119" s="2185">
        <f>X119*Y119</f>
        <v>326092.65000000002</v>
      </c>
      <c r="AA119" s="2185"/>
      <c r="AB119" s="2191" t="s">
        <v>9119</v>
      </c>
      <c r="AC119" s="2210">
        <f>Z119*1.22</f>
        <v>397833.03</v>
      </c>
      <c r="AD119" s="2211"/>
      <c r="AE119" s="2212">
        <f>AC119/3840</f>
        <v>103.6</v>
      </c>
      <c r="AF119" s="2193" t="s">
        <v>130</v>
      </c>
      <c r="AG119" s="1558"/>
      <c r="AH119" s="1558"/>
    </row>
    <row r="120" spans="1:34" s="1254" customFormat="1" ht="155.25" customHeight="1" x14ac:dyDescent="0.25">
      <c r="A120" s="1254">
        <v>1</v>
      </c>
      <c r="B120" s="2013">
        <v>1</v>
      </c>
      <c r="C120" s="1487" t="s">
        <v>7830</v>
      </c>
      <c r="D120" s="1486" t="s">
        <v>7832</v>
      </c>
      <c r="E120" s="1486">
        <f>1270*3</f>
        <v>3810</v>
      </c>
      <c r="F120" s="1991" t="s">
        <v>7831</v>
      </c>
      <c r="G120" s="1992">
        <v>46023</v>
      </c>
      <c r="H120" s="1993">
        <f>46.26</f>
        <v>46.26</v>
      </c>
      <c r="I120" s="1994"/>
      <c r="J120" s="1994"/>
      <c r="K120" s="1994"/>
      <c r="L120" s="1994"/>
      <c r="M120" s="1993"/>
      <c r="N120" s="1993">
        <f t="shared" si="203"/>
        <v>176250.6</v>
      </c>
      <c r="O120" s="1995">
        <v>1</v>
      </c>
      <c r="P120" s="1995">
        <v>1</v>
      </c>
      <c r="Q120" s="1993">
        <f>N120*O120*P120</f>
        <v>176250.6</v>
      </c>
      <c r="R120" s="1995">
        <v>0.84</v>
      </c>
      <c r="S120" s="1995">
        <v>0.99</v>
      </c>
      <c r="T120" s="1995">
        <v>1.03</v>
      </c>
      <c r="U120" s="1993">
        <f t="shared" ref="U120" si="204">Q120*R120*S120*T120</f>
        <v>150967.1</v>
      </c>
      <c r="V120" s="1993"/>
      <c r="W120" s="1997">
        <f>'Индексы Росстата'!$F$121</f>
        <v>1.0225</v>
      </c>
      <c r="X120" s="1993">
        <f>U120*W120</f>
        <v>154363.85999999999</v>
      </c>
      <c r="Y120" s="2012">
        <f>'Прогнозные индексы'!$K$64</f>
        <v>1.034</v>
      </c>
      <c r="Z120" s="1993">
        <f>X120*Y120</f>
        <v>159612.23000000001</v>
      </c>
      <c r="AA120" s="1993"/>
      <c r="AB120" s="2000" t="s">
        <v>8973</v>
      </c>
      <c r="AC120" s="2237">
        <f>Z120*1.22</f>
        <v>194726.92</v>
      </c>
      <c r="AD120" s="2090"/>
      <c r="AE120" s="2238">
        <f>AC120/E120</f>
        <v>51.11</v>
      </c>
      <c r="AF120" s="2239" t="s">
        <v>8965</v>
      </c>
      <c r="AG120" s="2097"/>
      <c r="AH120" s="1565"/>
    </row>
    <row r="121" spans="1:34" ht="219" customHeight="1" x14ac:dyDescent="0.25">
      <c r="A121" s="854">
        <v>2</v>
      </c>
      <c r="B121" s="2180" t="str">
        <f ca="1">IF(A121&gt;OFFSET(A121,-1,0),OFFSET(B121,-1,0)&amp;"."&amp;1,LEFT(OFFSET(B121,-1,0),SEARCH("^^",SUBSTITUTE("."&amp;OFFSET(B121,-1,0),".","^^",A121))-1)&amp;1--MID(OFFSET(B121,-1,0),SEARCH("^^",SUBSTITUTE("."&amp;OFFSET(B121,-1,0),".","^^",A121)),SEARCH("^^",SUBSTITUTE(OFFSET(B121,-1,0)&amp;".",".","^^",A121))-SEARCH("^^",SUBSTITUTE("."&amp;OFFSET(B121,-1,0),".","^^",A121))))</f>
        <v>1.1</v>
      </c>
      <c r="C121" s="2181" t="s">
        <v>7830</v>
      </c>
      <c r="D121" s="2182" t="s">
        <v>7832</v>
      </c>
      <c r="E121" s="2183">
        <f>1270*3</f>
        <v>3810</v>
      </c>
      <c r="F121" s="2182" t="s">
        <v>8997</v>
      </c>
      <c r="G121" s="2184">
        <v>46023</v>
      </c>
      <c r="H121" s="2185">
        <f>122.49</f>
        <v>122.49</v>
      </c>
      <c r="I121" s="2186"/>
      <c r="J121" s="2186"/>
      <c r="K121" s="2186"/>
      <c r="L121" s="2186"/>
      <c r="M121" s="2185">
        <f>2339.56-(500-36)*(2339.56-3716.9)/(500-28.3)</f>
        <v>3694.42</v>
      </c>
      <c r="N121" s="2185">
        <f t="shared" si="203"/>
        <v>466686.9</v>
      </c>
      <c r="O121" s="2185">
        <v>1</v>
      </c>
      <c r="P121" s="2185">
        <v>1</v>
      </c>
      <c r="Q121" s="2185">
        <f>N121*O121*P121</f>
        <v>466686.9</v>
      </c>
      <c r="R121" s="2185">
        <v>0.9</v>
      </c>
      <c r="S121" s="2185">
        <v>1</v>
      </c>
      <c r="T121" s="2185">
        <v>1.03</v>
      </c>
      <c r="U121" s="2187">
        <f>Q121*R121*S121*T121</f>
        <v>432618.76</v>
      </c>
      <c r="V121" s="2185"/>
      <c r="W121" s="2188">
        <f>'Индексы Росстата'!$F$121</f>
        <v>1.0225</v>
      </c>
      <c r="X121" s="2185">
        <f>U121*W121</f>
        <v>442352.68</v>
      </c>
      <c r="Y121" s="2189">
        <f>'Прогнозные индексы'!$K$64</f>
        <v>1.034</v>
      </c>
      <c r="Z121" s="2190">
        <f>X121*Y121</f>
        <v>457392.67</v>
      </c>
      <c r="AA121" s="2185"/>
      <c r="AB121" s="2191" t="s">
        <v>8998</v>
      </c>
      <c r="AC121" s="2254">
        <f>Z121*1.22</f>
        <v>558019.06000000006</v>
      </c>
      <c r="AD121" s="2252"/>
      <c r="AE121" s="2255">
        <f>AC121/E121</f>
        <v>146.46</v>
      </c>
      <c r="AF121" s="2253" t="s">
        <v>130</v>
      </c>
    </row>
    <row r="122" spans="1:34" s="1254" customFormat="1" ht="63" x14ac:dyDescent="0.25">
      <c r="A122" s="1254">
        <v>2</v>
      </c>
      <c r="B122" s="2114" t="str">
        <f t="shared" ref="B122" ca="1" si="205">IF(A122&gt;OFFSET(A122,-1,0),OFFSET(B122,-1,0)&amp;"."&amp;1,LEFT(OFFSET(B122,-1,0),SEARCH("^^",SUBSTITUTE("."&amp;OFFSET(B122,-1,0),".","^^",A122))-1)&amp;1--MID(OFFSET(B122,-1,0),SEARCH("^^",SUBSTITUTE("."&amp;OFFSET(B122,-1,0),".","^^",A122)),SEARCH("^^",SUBSTITUTE(OFFSET(B122,-1,0)&amp;".",".","^^",A122))-SEARCH("^^",SUBSTITUTE("."&amp;OFFSET(B122,-1,0),".","^^",A122))))</f>
        <v>1.2</v>
      </c>
      <c r="C122" s="2116" t="s">
        <v>8993</v>
      </c>
      <c r="D122" s="2117" t="s">
        <v>5954</v>
      </c>
      <c r="E122" s="2118">
        <f>3*9/100</f>
        <v>0.27</v>
      </c>
      <c r="F122" s="1985" t="s">
        <v>7935</v>
      </c>
      <c r="G122" s="1986">
        <v>46023</v>
      </c>
      <c r="H122" s="1987">
        <f>362.23</f>
        <v>362.23</v>
      </c>
      <c r="I122" s="1988"/>
      <c r="J122" s="1988"/>
      <c r="K122" s="1988"/>
      <c r="L122" s="1988"/>
      <c r="M122" s="1987"/>
      <c r="N122" s="1987">
        <f t="shared" si="203"/>
        <v>97.8</v>
      </c>
      <c r="O122" s="1989">
        <v>1</v>
      </c>
      <c r="P122" s="1989">
        <v>1</v>
      </c>
      <c r="Q122" s="1987">
        <f t="shared" ref="Q122" si="206">N122*O122*P122</f>
        <v>97.8</v>
      </c>
      <c r="R122" s="1989">
        <v>0.9</v>
      </c>
      <c r="S122" s="1989">
        <v>0.99</v>
      </c>
      <c r="T122" s="1989">
        <v>1</v>
      </c>
      <c r="U122" s="1987">
        <f t="shared" ref="U122" si="207">Q122*R122*S122*T122</f>
        <v>87.14</v>
      </c>
      <c r="V122" s="1990"/>
      <c r="W122" s="2119">
        <f>'Индексы Росстата'!$F$121</f>
        <v>1.0225</v>
      </c>
      <c r="X122" s="1987">
        <f t="shared" ref="X122" si="208">U122*W122</f>
        <v>89.1</v>
      </c>
      <c r="Y122" s="2115">
        <f>'Прогнозные индексы'!$K$64</f>
        <v>1.034</v>
      </c>
      <c r="Z122" s="1987">
        <f t="shared" ref="Z122" si="209">X122*Y122</f>
        <v>92.13</v>
      </c>
      <c r="AA122" s="1996"/>
      <c r="AB122" s="2000"/>
      <c r="AC122" s="2001">
        <f t="shared" ref="AC122" si="210">Z122*1.22</f>
        <v>112.4</v>
      </c>
      <c r="AD122" s="2090"/>
      <c r="AE122" s="2104">
        <f>AC122/(E122*100)</f>
        <v>4.16</v>
      </c>
      <c r="AF122" s="2105" t="s">
        <v>8967</v>
      </c>
      <c r="AG122" s="2019"/>
      <c r="AH122" s="1568"/>
    </row>
    <row r="123" spans="1:34" s="1254" customFormat="1" ht="69" customHeight="1" x14ac:dyDescent="0.25">
      <c r="A123" s="1254">
        <v>2</v>
      </c>
      <c r="B123" s="2222" t="str">
        <f t="shared" ref="B123" ca="1" si="211">IF(A123&gt;OFFSET(A123,-1,0),OFFSET(B123,-1,0)&amp;"."&amp;1,LEFT(OFFSET(B123,-1,0),SEARCH("^^",SUBSTITUTE("."&amp;OFFSET(B123,-1,0),".","^^",A123))-1)&amp;1--MID(OFFSET(B123,-1,0),SEARCH("^^",SUBSTITUTE("."&amp;OFFSET(B123,-1,0),".","^^",A123)),SEARCH("^^",SUBSTITUTE(OFFSET(B123,-1,0)&amp;".",".","^^",A123))-SEARCH("^^",SUBSTITUTE("."&amp;OFFSET(B123,-1,0),".","^^",A123))))</f>
        <v>1.3</v>
      </c>
      <c r="C123" s="2223" t="s">
        <v>7472</v>
      </c>
      <c r="D123" s="2224" t="s">
        <v>7908</v>
      </c>
      <c r="E123" s="2225">
        <v>1000</v>
      </c>
      <c r="F123" s="2226" t="s">
        <v>7907</v>
      </c>
      <c r="G123" s="2227">
        <v>46023</v>
      </c>
      <c r="H123" s="2228">
        <f>20.45</f>
        <v>20.45</v>
      </c>
      <c r="I123" s="2229"/>
      <c r="J123" s="2229"/>
      <c r="K123" s="2229"/>
      <c r="L123" s="2229"/>
      <c r="M123" s="2228"/>
      <c r="N123" s="2228">
        <f t="shared" si="203"/>
        <v>20450</v>
      </c>
      <c r="O123" s="2230">
        <v>1</v>
      </c>
      <c r="P123" s="2230">
        <v>1</v>
      </c>
      <c r="Q123" s="2228">
        <f t="shared" ref="Q123" si="212">N123*O123*P123</f>
        <v>20450</v>
      </c>
      <c r="R123" s="2230">
        <v>0.9</v>
      </c>
      <c r="S123" s="2230">
        <v>0.99</v>
      </c>
      <c r="T123" s="2230">
        <v>1</v>
      </c>
      <c r="U123" s="2228">
        <f t="shared" ref="U123" si="213">Q123*R123*S123*T123</f>
        <v>18220.95</v>
      </c>
      <c r="V123" s="2231">
        <f t="shared" ref="V123" si="214">E123*L123*O123*P123*R123*S123*T123</f>
        <v>0</v>
      </c>
      <c r="W123" s="2232">
        <f>'Индексы Росстата'!$F$121</f>
        <v>1.0225</v>
      </c>
      <c r="X123" s="2233">
        <f t="shared" ref="X123" si="215">U123*W123</f>
        <v>18630.919999999998</v>
      </c>
      <c r="Y123" s="2234">
        <f>'Прогнозные индексы'!$K$64</f>
        <v>1.034</v>
      </c>
      <c r="Z123" s="2233">
        <f t="shared" ref="Z123" si="216">X123*Y123</f>
        <v>19264.37</v>
      </c>
      <c r="AA123" s="2235">
        <f t="shared" ref="AA123" si="217">V123*W123*Y123</f>
        <v>0</v>
      </c>
      <c r="AB123" s="2236"/>
      <c r="AC123" s="2237">
        <f t="shared" ref="AC123" si="218">Z123*1.22</f>
        <v>23502.53</v>
      </c>
      <c r="AD123" s="2090">
        <f t="shared" ref="AD123" si="219">AA123*1.22</f>
        <v>0</v>
      </c>
      <c r="AE123" s="2238">
        <f>AC123/(E123)</f>
        <v>23.5</v>
      </c>
      <c r="AF123" s="2239" t="s">
        <v>8970</v>
      </c>
      <c r="AG123" s="2019"/>
      <c r="AH123" s="1568"/>
    </row>
    <row r="124" spans="1:34" ht="197.25" customHeight="1" x14ac:dyDescent="0.25">
      <c r="A124" s="854">
        <v>2</v>
      </c>
      <c r="B124" s="2240" t="str">
        <f ca="1">IF(A124&gt;OFFSET(A124,-1,0),OFFSET(B124,-1,0)&amp;"."&amp;1,LEFT(OFFSET(B124,-1,0),SEARCH("^^",SUBSTITUTE("."&amp;OFFSET(B124,-1,0),".","^^",A124))-1)&amp;1--MID(OFFSET(B124,-1,0),SEARCH("^^",SUBSTITUTE("."&amp;OFFSET(B124,-1,0),".","^^",A124)),SEARCH("^^",SUBSTITUTE(OFFSET(B124,-1,0)&amp;".",".","^^",A124))-SEARCH("^^",SUBSTITUTE("."&amp;OFFSET(B124,-1,0),".","^^",A124))))</f>
        <v>1.4</v>
      </c>
      <c r="C124" s="2241" t="s">
        <v>5049</v>
      </c>
      <c r="D124" s="2242" t="s">
        <v>4147</v>
      </c>
      <c r="E124" s="2243">
        <v>36</v>
      </c>
      <c r="F124" s="2242" t="s">
        <v>7939</v>
      </c>
      <c r="G124" s="2244">
        <v>46023</v>
      </c>
      <c r="H124" s="2245">
        <f>2623.52-(500-36)*(2623.52-4188.74)/(500-28.3)</f>
        <v>4163.1899999999996</v>
      </c>
      <c r="I124" s="2246"/>
      <c r="J124" s="2246"/>
      <c r="K124" s="2246"/>
      <c r="L124" s="2246"/>
      <c r="M124" s="2245">
        <f>2339.56-(500-36)*(2339.56-3716.9)/(500-28.3)</f>
        <v>3694.42</v>
      </c>
      <c r="N124" s="2245">
        <f t="shared" si="203"/>
        <v>149874.84</v>
      </c>
      <c r="O124" s="2245">
        <v>1</v>
      </c>
      <c r="P124" s="2245">
        <v>1</v>
      </c>
      <c r="Q124" s="2245">
        <f>N124*O124*P124</f>
        <v>149874.84</v>
      </c>
      <c r="R124" s="2245">
        <v>0.9</v>
      </c>
      <c r="S124" s="2245">
        <v>0.99</v>
      </c>
      <c r="T124" s="2245">
        <v>1</v>
      </c>
      <c r="U124" s="2247">
        <f>Q124*R124*S124*T124</f>
        <v>133538.48000000001</v>
      </c>
      <c r="V124" s="2245"/>
      <c r="W124" s="2248">
        <f>'Индексы Росстата'!$F$121</f>
        <v>1.0225</v>
      </c>
      <c r="X124" s="2245">
        <f>U124*W124</f>
        <v>136543.1</v>
      </c>
      <c r="Y124" s="2249">
        <f>'Прогнозные индексы'!$K$64</f>
        <v>1.034</v>
      </c>
      <c r="Z124" s="2250">
        <f>X124*Y124</f>
        <v>141185.57</v>
      </c>
      <c r="AA124" s="2245"/>
      <c r="AB124" s="2251"/>
      <c r="AC124" s="2252"/>
      <c r="AD124" s="2252"/>
      <c r="AE124" s="2253"/>
      <c r="AF124" s="2253"/>
    </row>
  </sheetData>
  <autoFilter ref="A7:AB112"/>
  <mergeCells count="37">
    <mergeCell ref="AG4:AH4"/>
    <mergeCell ref="AB4:AB6"/>
    <mergeCell ref="X4:X6"/>
    <mergeCell ref="Y4:Y6"/>
    <mergeCell ref="Z4:Z6"/>
    <mergeCell ref="AE4:AF4"/>
    <mergeCell ref="AF5:AF6"/>
    <mergeCell ref="AE5:AE6"/>
    <mergeCell ref="H4:H6"/>
    <mergeCell ref="AC4:AC6"/>
    <mergeCell ref="AD4:AD6"/>
    <mergeCell ref="A4:A6"/>
    <mergeCell ref="B4:B6"/>
    <mergeCell ref="C4:C6"/>
    <mergeCell ref="D4:D6"/>
    <mergeCell ref="E4:E6"/>
    <mergeCell ref="K5:K6"/>
    <mergeCell ref="V4:V6"/>
    <mergeCell ref="AA4:AA6"/>
    <mergeCell ref="J5:J6"/>
    <mergeCell ref="I5:I6"/>
    <mergeCell ref="B1:AB1"/>
    <mergeCell ref="B2:AB2"/>
    <mergeCell ref="M4:M6"/>
    <mergeCell ref="T4:T6"/>
    <mergeCell ref="U4:U6"/>
    <mergeCell ref="W4:W6"/>
    <mergeCell ref="N4:N6"/>
    <mergeCell ref="O4:O6"/>
    <mergeCell ref="P4:P6"/>
    <mergeCell ref="Q4:Q6"/>
    <mergeCell ref="R4:R6"/>
    <mergeCell ref="S4:S6"/>
    <mergeCell ref="I4:L4"/>
    <mergeCell ref="L5:L6"/>
    <mergeCell ref="F4:F6"/>
    <mergeCell ref="G4:G6"/>
  </mergeCells>
  <hyperlinks>
    <hyperlink ref="F47" r:id="rId1"/>
  </hyperlinks>
  <pageMargins left="0.70866141732283472" right="0.70866141732283472" top="0.74803149606299213" bottom="0.74803149606299213" header="0.31496062992125984" footer="0.31496062992125984"/>
  <pageSetup paperSize="9" scale="10" orientation="landscape" horizontalDpi="4294967295" verticalDpi="4294967295"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O308"/>
  <sheetViews>
    <sheetView topLeftCell="A145" workbookViewId="0">
      <selection activeCell="I15" sqref="I15:N15"/>
    </sheetView>
  </sheetViews>
  <sheetFormatPr defaultColWidth="9.140625" defaultRowHeight="11.25" customHeight="1" x14ac:dyDescent="0.2"/>
  <cols>
    <col min="1" max="1" width="9.7109375" style="1713" customWidth="1"/>
    <col min="2" max="2" width="20.7109375" style="1713" customWidth="1"/>
    <col min="3" max="3" width="10.7109375" style="1713" customWidth="1"/>
    <col min="4" max="4" width="12.85546875" style="1713" customWidth="1"/>
    <col min="5" max="5" width="10.42578125" style="1713" customWidth="1"/>
    <col min="6" max="6" width="11.7109375" style="1713" customWidth="1"/>
    <col min="7" max="7" width="6.140625" style="1713" customWidth="1"/>
    <col min="8" max="8" width="9.28515625" style="1713" customWidth="1"/>
    <col min="9" max="9" width="10.7109375" style="1713" customWidth="1"/>
    <col min="10" max="10" width="12.42578125" style="1713" customWidth="1"/>
    <col min="11" max="11" width="13.28515625" style="1713" customWidth="1"/>
    <col min="12" max="12" width="17" style="1713" customWidth="1"/>
    <col min="13" max="13" width="11.5703125" style="1713" customWidth="1"/>
    <col min="14" max="14" width="17" style="1713" customWidth="1"/>
    <col min="15" max="15" width="12.85546875" style="1713" customWidth="1"/>
    <col min="16" max="16" width="17" style="1713" customWidth="1"/>
    <col min="17" max="17" width="75.28515625" style="1589" hidden="1" customWidth="1"/>
    <col min="18" max="18" width="126.5703125" style="1589" hidden="1" customWidth="1"/>
    <col min="19" max="27" width="9.140625" style="1713"/>
    <col min="28" max="33" width="76.140625" style="1864" hidden="1" customWidth="1"/>
    <col min="34" max="43" width="127.28515625" style="1714" hidden="1" customWidth="1"/>
    <col min="44" max="49" width="76.140625" style="1864" hidden="1" customWidth="1"/>
    <col min="50" max="59" width="127.28515625" style="1714" hidden="1" customWidth="1"/>
    <col min="60" max="65" width="76.140625" style="1864" hidden="1" customWidth="1"/>
    <col min="66" max="75" width="127.28515625" style="1714" hidden="1" customWidth="1"/>
    <col min="76" max="81" width="76.140625" style="1864" hidden="1" customWidth="1"/>
    <col min="82" max="91" width="127.28515625" style="1714" hidden="1" customWidth="1"/>
    <col min="92" max="97" width="76.140625" style="1864" hidden="1" customWidth="1"/>
    <col min="98" max="107" width="127.28515625" style="1714" hidden="1" customWidth="1"/>
    <col min="108" max="113" width="76.140625" style="1864" hidden="1" customWidth="1"/>
    <col min="114" max="123" width="127.28515625" style="1714" hidden="1" customWidth="1"/>
    <col min="124" max="129" width="76.140625" style="1864" hidden="1" customWidth="1"/>
    <col min="130" max="139" width="127.28515625" style="1714" hidden="1" customWidth="1"/>
    <col min="140" max="187" width="203.42578125" style="1715" hidden="1" customWidth="1"/>
    <col min="188" max="192" width="66.42578125" style="1714" hidden="1" customWidth="1"/>
    <col min="193" max="196" width="45.7109375" style="1716" hidden="1" customWidth="1"/>
    <col min="197" max="197" width="203.42578125" style="1702" hidden="1" customWidth="1"/>
    <col min="198" max="202" width="51.85546875" style="1864" hidden="1" customWidth="1"/>
    <col min="203" max="204" width="173" style="1864" hidden="1" customWidth="1"/>
    <col min="205" max="211" width="51.85546875" style="1864" hidden="1" customWidth="1"/>
    <col min="212" max="225" width="173" style="1864" hidden="1" customWidth="1"/>
    <col min="226" max="227" width="51.85546875" style="1864" hidden="1" customWidth="1"/>
    <col min="228" max="230" width="156" style="1680" hidden="1" customWidth="1"/>
    <col min="231" max="231" width="84.28515625" style="1680" hidden="1" customWidth="1"/>
    <col min="232" max="234" width="156" style="1680" hidden="1" customWidth="1"/>
    <col min="235" max="235" width="84.28515625" style="1680" hidden="1" customWidth="1"/>
    <col min="236" max="241" width="61.140625" style="1680" hidden="1" customWidth="1"/>
    <col min="242" max="247" width="82" style="1640" hidden="1" customWidth="1"/>
    <col min="248" max="253" width="61.140625" style="1680" hidden="1" customWidth="1"/>
    <col min="254" max="259" width="82" style="1640" hidden="1" customWidth="1"/>
    <col min="260" max="275" width="203.42578125" style="1714" hidden="1" customWidth="1"/>
    <col min="276" max="16384" width="9.140625" style="1713"/>
  </cols>
  <sheetData>
    <row r="1" spans="1:171" s="1484" customFormat="1" ht="15" x14ac:dyDescent="0.25">
      <c r="A1" s="1582"/>
      <c r="B1" s="1582"/>
      <c r="C1" s="1582"/>
      <c r="D1" s="1582"/>
      <c r="E1" s="1582"/>
      <c r="F1" s="1582"/>
      <c r="G1" s="1582"/>
      <c r="H1" s="1582"/>
      <c r="I1" s="1582"/>
      <c r="J1" s="1582"/>
      <c r="K1" s="1582"/>
      <c r="L1" s="1582"/>
      <c r="M1" s="1582"/>
      <c r="N1" s="1582"/>
      <c r="O1" s="1582"/>
      <c r="P1" s="1583" t="s">
        <v>757</v>
      </c>
    </row>
    <row r="2" spans="1:171" s="1484" customFormat="1" ht="11.25" customHeight="1" x14ac:dyDescent="0.25">
      <c r="A2" s="1584"/>
      <c r="B2" s="1584"/>
      <c r="C2" s="1584"/>
      <c r="D2" s="1584"/>
      <c r="E2" s="1584"/>
      <c r="F2" s="1584"/>
      <c r="G2" s="1584"/>
      <c r="H2" s="1584"/>
      <c r="I2" s="1584"/>
      <c r="J2" s="1584"/>
      <c r="K2" s="1584"/>
      <c r="L2" s="1584"/>
      <c r="M2" s="1584"/>
      <c r="P2" s="1583" t="s">
        <v>6051</v>
      </c>
    </row>
    <row r="3" spans="1:171" s="1484" customFormat="1" ht="15" x14ac:dyDescent="0.25">
      <c r="A3" s="1584"/>
      <c r="B3" s="1584"/>
      <c r="C3" s="1584"/>
      <c r="D3" s="1584"/>
      <c r="E3" s="1584"/>
      <c r="F3" s="1584"/>
      <c r="G3" s="1584"/>
      <c r="H3" s="1584"/>
      <c r="I3" s="1584"/>
      <c r="J3" s="1584"/>
      <c r="K3" s="1584"/>
      <c r="L3" s="1584"/>
      <c r="M3" s="1584"/>
      <c r="P3" s="1583"/>
    </row>
    <row r="4" spans="1:171" s="1484" customFormat="1" ht="12.75" customHeight="1" x14ac:dyDescent="0.25">
      <c r="A4" s="2807" t="s">
        <v>759</v>
      </c>
      <c r="B4" s="2807"/>
      <c r="C4" s="2807"/>
      <c r="D4" s="2807"/>
      <c r="E4" s="2807"/>
      <c r="F4" s="2807"/>
      <c r="G4" s="2836" t="s">
        <v>6052</v>
      </c>
      <c r="H4" s="2836"/>
      <c r="I4" s="2836"/>
      <c r="J4" s="2836"/>
      <c r="K4" s="2836"/>
      <c r="L4" s="2836"/>
      <c r="M4" s="2836"/>
      <c r="N4" s="2836"/>
      <c r="O4" s="2836"/>
      <c r="P4" s="2836"/>
    </row>
    <row r="5" spans="1:171" s="1484" customFormat="1" ht="68.25" x14ac:dyDescent="0.25">
      <c r="A5" s="2807" t="s">
        <v>761</v>
      </c>
      <c r="B5" s="2807"/>
      <c r="C5" s="2807"/>
      <c r="D5" s="2807"/>
      <c r="E5" s="2807"/>
      <c r="F5" s="2807"/>
      <c r="G5" s="2824" t="s">
        <v>7857</v>
      </c>
      <c r="H5" s="2824"/>
      <c r="I5" s="2824"/>
      <c r="J5" s="2824"/>
      <c r="K5" s="2824"/>
      <c r="L5" s="2824"/>
      <c r="M5" s="2824"/>
      <c r="N5" s="2824"/>
      <c r="O5" s="2824"/>
      <c r="P5" s="2824"/>
      <c r="AB5" s="1867" t="s">
        <v>761</v>
      </c>
      <c r="AC5" s="1867" t="s">
        <v>588</v>
      </c>
      <c r="AD5" s="1867" t="s">
        <v>588</v>
      </c>
      <c r="AE5" s="1867" t="s">
        <v>588</v>
      </c>
      <c r="AF5" s="1867" t="s">
        <v>588</v>
      </c>
      <c r="AG5" s="1867" t="s">
        <v>588</v>
      </c>
      <c r="AH5" s="1585" t="s">
        <v>7857</v>
      </c>
      <c r="AI5" s="1585" t="s">
        <v>588</v>
      </c>
      <c r="AJ5" s="1585" t="s">
        <v>588</v>
      </c>
      <c r="AK5" s="1585" t="s">
        <v>588</v>
      </c>
      <c r="AL5" s="1585" t="s">
        <v>588</v>
      </c>
      <c r="AM5" s="1585" t="s">
        <v>588</v>
      </c>
      <c r="AN5" s="1585" t="s">
        <v>588</v>
      </c>
      <c r="AO5" s="1585" t="s">
        <v>588</v>
      </c>
      <c r="AP5" s="1585" t="s">
        <v>588</v>
      </c>
      <c r="AQ5" s="1585" t="s">
        <v>588</v>
      </c>
    </row>
    <row r="6" spans="1:171" s="1484" customFormat="1" ht="90.75" x14ac:dyDescent="0.25">
      <c r="A6" s="2807" t="s">
        <v>763</v>
      </c>
      <c r="B6" s="2807"/>
      <c r="C6" s="2807"/>
      <c r="D6" s="2807"/>
      <c r="E6" s="2807"/>
      <c r="F6" s="2807"/>
      <c r="G6" s="2824" t="s">
        <v>7856</v>
      </c>
      <c r="H6" s="2824"/>
      <c r="I6" s="2824"/>
      <c r="J6" s="2824"/>
      <c r="K6" s="2824"/>
      <c r="L6" s="2824"/>
      <c r="M6" s="2824"/>
      <c r="N6" s="2824"/>
      <c r="O6" s="2824"/>
      <c r="P6" s="2824"/>
      <c r="AR6" s="1867" t="s">
        <v>763</v>
      </c>
      <c r="AS6" s="1867" t="s">
        <v>588</v>
      </c>
      <c r="AT6" s="1867" t="s">
        <v>588</v>
      </c>
      <c r="AU6" s="1867" t="s">
        <v>588</v>
      </c>
      <c r="AV6" s="1867" t="s">
        <v>588</v>
      </c>
      <c r="AW6" s="1867" t="s">
        <v>588</v>
      </c>
      <c r="AX6" s="1585" t="s">
        <v>7856</v>
      </c>
      <c r="AY6" s="1585" t="s">
        <v>588</v>
      </c>
      <c r="AZ6" s="1585" t="s">
        <v>588</v>
      </c>
      <c r="BA6" s="1585" t="s">
        <v>588</v>
      </c>
      <c r="BB6" s="1585" t="s">
        <v>588</v>
      </c>
      <c r="BC6" s="1585" t="s">
        <v>588</v>
      </c>
      <c r="BD6" s="1585" t="s">
        <v>588</v>
      </c>
      <c r="BE6" s="1585" t="s">
        <v>588</v>
      </c>
      <c r="BF6" s="1585" t="s">
        <v>588</v>
      </c>
      <c r="BG6" s="1585" t="s">
        <v>588</v>
      </c>
    </row>
    <row r="7" spans="1:171" s="1484" customFormat="1" ht="67.5" x14ac:dyDescent="0.25">
      <c r="A7" s="2823" t="s">
        <v>7855</v>
      </c>
      <c r="B7" s="2823"/>
      <c r="C7" s="2823"/>
      <c r="D7" s="2823"/>
      <c r="E7" s="2823"/>
      <c r="F7" s="2823"/>
      <c r="G7" s="2824" t="s">
        <v>7854</v>
      </c>
      <c r="H7" s="2824"/>
      <c r="I7" s="2824"/>
      <c r="J7" s="2824"/>
      <c r="K7" s="2824"/>
      <c r="L7" s="2824"/>
      <c r="M7" s="2824"/>
      <c r="N7" s="2824"/>
      <c r="O7" s="2824"/>
      <c r="P7" s="2824"/>
      <c r="Q7" s="1586" t="s">
        <v>765</v>
      </c>
      <c r="R7" s="1587" t="s">
        <v>7854</v>
      </c>
      <c r="S7" s="1588"/>
      <c r="T7" s="1588"/>
      <c r="U7" s="1588"/>
      <c r="V7" s="1588"/>
      <c r="W7" s="1588"/>
      <c r="X7" s="1588"/>
      <c r="Y7" s="1588"/>
      <c r="Z7" s="1588"/>
      <c r="AA7" s="1588"/>
      <c r="BH7" s="1867" t="s">
        <v>7855</v>
      </c>
      <c r="BI7" s="1867" t="s">
        <v>588</v>
      </c>
      <c r="BJ7" s="1867" t="s">
        <v>588</v>
      </c>
      <c r="BK7" s="1867" t="s">
        <v>588</v>
      </c>
      <c r="BL7" s="1867" t="s">
        <v>588</v>
      </c>
      <c r="BM7" s="1867" t="s">
        <v>588</v>
      </c>
      <c r="BN7" s="1585" t="s">
        <v>7854</v>
      </c>
      <c r="BO7" s="1585" t="s">
        <v>588</v>
      </c>
      <c r="BP7" s="1585" t="s">
        <v>588</v>
      </c>
      <c r="BQ7" s="1585" t="s">
        <v>588</v>
      </c>
      <c r="BR7" s="1585" t="s">
        <v>588</v>
      </c>
      <c r="BS7" s="1585" t="s">
        <v>588</v>
      </c>
      <c r="BT7" s="1585" t="s">
        <v>588</v>
      </c>
      <c r="BU7" s="1585" t="s">
        <v>588</v>
      </c>
      <c r="BV7" s="1585" t="s">
        <v>588</v>
      </c>
      <c r="BW7" s="1585" t="s">
        <v>588</v>
      </c>
    </row>
    <row r="8" spans="1:171" s="1484" customFormat="1" ht="33.75" x14ac:dyDescent="0.25">
      <c r="A8" s="2807" t="s">
        <v>767</v>
      </c>
      <c r="B8" s="2807"/>
      <c r="C8" s="2807"/>
      <c r="D8" s="2807"/>
      <c r="E8" s="2807"/>
      <c r="F8" s="2807"/>
      <c r="G8" s="2824" t="s">
        <v>7853</v>
      </c>
      <c r="H8" s="2824"/>
      <c r="I8" s="2824"/>
      <c r="J8" s="2824"/>
      <c r="K8" s="2824"/>
      <c r="L8" s="2824"/>
      <c r="M8" s="2824"/>
      <c r="N8" s="2824"/>
      <c r="O8" s="2824"/>
      <c r="P8" s="2824"/>
      <c r="Q8" s="1586" t="s">
        <v>767</v>
      </c>
      <c r="R8" s="1587" t="s">
        <v>7853</v>
      </c>
      <c r="S8" s="1588"/>
      <c r="T8" s="1588"/>
      <c r="U8" s="1588"/>
      <c r="V8" s="1588"/>
      <c r="W8" s="1588"/>
      <c r="X8" s="1588"/>
      <c r="Y8" s="1588"/>
      <c r="Z8" s="1588"/>
      <c r="AA8" s="1588"/>
      <c r="BX8" s="1867" t="s">
        <v>767</v>
      </c>
      <c r="BY8" s="1867" t="s">
        <v>588</v>
      </c>
      <c r="BZ8" s="1867" t="s">
        <v>588</v>
      </c>
      <c r="CA8" s="1867" t="s">
        <v>588</v>
      </c>
      <c r="CB8" s="1867" t="s">
        <v>588</v>
      </c>
      <c r="CC8" s="1867" t="s">
        <v>588</v>
      </c>
      <c r="CD8" s="1585" t="s">
        <v>7853</v>
      </c>
      <c r="CE8" s="1585" t="s">
        <v>588</v>
      </c>
      <c r="CF8" s="1585" t="s">
        <v>588</v>
      </c>
      <c r="CG8" s="1585" t="s">
        <v>588</v>
      </c>
      <c r="CH8" s="1585" t="s">
        <v>588</v>
      </c>
      <c r="CI8" s="1585" t="s">
        <v>588</v>
      </c>
      <c r="CJ8" s="1585" t="s">
        <v>588</v>
      </c>
      <c r="CK8" s="1585" t="s">
        <v>588</v>
      </c>
      <c r="CL8" s="1585" t="s">
        <v>588</v>
      </c>
      <c r="CM8" s="1585" t="s">
        <v>588</v>
      </c>
    </row>
    <row r="9" spans="1:171" s="1484" customFormat="1" ht="15" x14ac:dyDescent="0.25">
      <c r="A9" s="2807" t="s">
        <v>768</v>
      </c>
      <c r="B9" s="2807"/>
      <c r="C9" s="2807"/>
      <c r="D9" s="2807"/>
      <c r="E9" s="2807"/>
      <c r="F9" s="2807"/>
      <c r="G9" s="2824"/>
      <c r="H9" s="2824"/>
      <c r="I9" s="2824"/>
      <c r="J9" s="2824"/>
      <c r="K9" s="2824"/>
      <c r="L9" s="2824"/>
      <c r="M9" s="2824"/>
      <c r="N9" s="2824"/>
      <c r="O9" s="2824"/>
      <c r="P9" s="2824"/>
      <c r="CN9" s="1867" t="s">
        <v>768</v>
      </c>
      <c r="CO9" s="1867" t="s">
        <v>588</v>
      </c>
      <c r="CP9" s="1867" t="s">
        <v>588</v>
      </c>
      <c r="CQ9" s="1867" t="s">
        <v>588</v>
      </c>
      <c r="CR9" s="1867" t="s">
        <v>588</v>
      </c>
      <c r="CS9" s="1867" t="s">
        <v>588</v>
      </c>
      <c r="CT9" s="1585" t="s">
        <v>588</v>
      </c>
      <c r="CU9" s="1585" t="s">
        <v>588</v>
      </c>
      <c r="CV9" s="1585" t="s">
        <v>588</v>
      </c>
      <c r="CW9" s="1585" t="s">
        <v>588</v>
      </c>
      <c r="CX9" s="1585" t="s">
        <v>588</v>
      </c>
      <c r="CY9" s="1585" t="s">
        <v>588</v>
      </c>
      <c r="CZ9" s="1585" t="s">
        <v>588</v>
      </c>
      <c r="DA9" s="1585" t="s">
        <v>588</v>
      </c>
      <c r="DB9" s="1585" t="s">
        <v>588</v>
      </c>
      <c r="DC9" s="1585" t="s">
        <v>588</v>
      </c>
    </row>
    <row r="10" spans="1:171" s="1484" customFormat="1" ht="15" x14ac:dyDescent="0.25">
      <c r="A10" s="2807" t="s">
        <v>769</v>
      </c>
      <c r="B10" s="2807"/>
      <c r="C10" s="2807"/>
      <c r="D10" s="2807"/>
      <c r="E10" s="2807"/>
      <c r="F10" s="2807"/>
      <c r="G10" s="2824" t="s">
        <v>6053</v>
      </c>
      <c r="H10" s="2824"/>
      <c r="I10" s="2824"/>
      <c r="J10" s="2824"/>
      <c r="K10" s="2824"/>
      <c r="L10" s="2824"/>
      <c r="M10" s="2824"/>
      <c r="N10" s="2824"/>
      <c r="O10" s="2824"/>
      <c r="P10" s="2824"/>
      <c r="R10" s="1589" t="s">
        <v>6053</v>
      </c>
      <c r="DD10" s="1867" t="s">
        <v>769</v>
      </c>
      <c r="DE10" s="1867" t="s">
        <v>588</v>
      </c>
      <c r="DF10" s="1867" t="s">
        <v>588</v>
      </c>
      <c r="DG10" s="1867" t="s">
        <v>588</v>
      </c>
      <c r="DH10" s="1867" t="s">
        <v>588</v>
      </c>
      <c r="DI10" s="1867" t="s">
        <v>588</v>
      </c>
      <c r="DJ10" s="1585" t="s">
        <v>6053</v>
      </c>
      <c r="DK10" s="1585" t="s">
        <v>588</v>
      </c>
      <c r="DL10" s="1585" t="s">
        <v>588</v>
      </c>
      <c r="DM10" s="1585" t="s">
        <v>588</v>
      </c>
      <c r="DN10" s="1585" t="s">
        <v>588</v>
      </c>
      <c r="DO10" s="1585" t="s">
        <v>588</v>
      </c>
      <c r="DP10" s="1585" t="s">
        <v>588</v>
      </c>
      <c r="DQ10" s="1585" t="s">
        <v>588</v>
      </c>
      <c r="DR10" s="1585" t="s">
        <v>588</v>
      </c>
      <c r="DS10" s="1585" t="s">
        <v>588</v>
      </c>
    </row>
    <row r="11" spans="1:171" s="1484" customFormat="1" ht="15" x14ac:dyDescent="0.25">
      <c r="A11" s="2807" t="s">
        <v>771</v>
      </c>
      <c r="B11" s="2807"/>
      <c r="C11" s="2807"/>
      <c r="D11" s="2807"/>
      <c r="E11" s="2807"/>
      <c r="F11" s="2807"/>
      <c r="G11" s="2824" t="s">
        <v>6054</v>
      </c>
      <c r="H11" s="2824"/>
      <c r="I11" s="2824"/>
      <c r="J11" s="2824"/>
      <c r="K11" s="2824"/>
      <c r="L11" s="2824"/>
      <c r="M11" s="2824"/>
      <c r="N11" s="2824"/>
      <c r="O11" s="2824"/>
      <c r="P11" s="2824"/>
      <c r="R11" s="1589" t="s">
        <v>6054</v>
      </c>
      <c r="DT11" s="1867" t="s">
        <v>771</v>
      </c>
      <c r="DU11" s="1867" t="s">
        <v>588</v>
      </c>
      <c r="DV11" s="1867" t="s">
        <v>588</v>
      </c>
      <c r="DW11" s="1867" t="s">
        <v>588</v>
      </c>
      <c r="DX11" s="1867" t="s">
        <v>588</v>
      </c>
      <c r="DY11" s="1867" t="s">
        <v>588</v>
      </c>
      <c r="DZ11" s="1585" t="s">
        <v>6054</v>
      </c>
      <c r="EA11" s="1585" t="s">
        <v>588</v>
      </c>
      <c r="EB11" s="1585" t="s">
        <v>588</v>
      </c>
      <c r="EC11" s="1585" t="s">
        <v>588</v>
      </c>
      <c r="ED11" s="1585" t="s">
        <v>588</v>
      </c>
      <c r="EE11" s="1585" t="s">
        <v>588</v>
      </c>
      <c r="EF11" s="1585" t="s">
        <v>588</v>
      </c>
      <c r="EG11" s="1585" t="s">
        <v>588</v>
      </c>
      <c r="EH11" s="1585" t="s">
        <v>588</v>
      </c>
      <c r="EI11" s="1585" t="s">
        <v>588</v>
      </c>
    </row>
    <row r="12" spans="1:171" s="1484" customFormat="1" ht="6" customHeight="1" x14ac:dyDescent="0.25">
      <c r="A12" s="1590"/>
      <c r="B12" s="1584"/>
      <c r="C12" s="1584"/>
      <c r="D12" s="1584"/>
      <c r="E12" s="1584"/>
      <c r="F12" s="1591"/>
      <c r="G12" s="1592"/>
      <c r="H12" s="1592"/>
      <c r="I12" s="1592"/>
      <c r="J12" s="1592"/>
      <c r="K12" s="1592"/>
      <c r="L12" s="1592"/>
      <c r="M12" s="1592"/>
      <c r="N12" s="1592"/>
      <c r="O12" s="1592"/>
      <c r="P12" s="1592"/>
    </row>
    <row r="13" spans="1:171" s="1484" customFormat="1" ht="15" x14ac:dyDescent="0.25">
      <c r="A13" s="2822" t="s">
        <v>6055</v>
      </c>
      <c r="B13" s="2822"/>
      <c r="C13" s="2822"/>
      <c r="D13" s="2822"/>
      <c r="E13" s="2822"/>
      <c r="F13" s="2822"/>
      <c r="G13" s="2822"/>
      <c r="H13" s="2822"/>
      <c r="I13" s="2822"/>
      <c r="J13" s="2822"/>
      <c r="K13" s="2822"/>
      <c r="L13" s="2822"/>
      <c r="M13" s="2822"/>
      <c r="N13" s="2822"/>
      <c r="O13" s="2822"/>
      <c r="P13" s="2822"/>
      <c r="EJ13" s="1593" t="s">
        <v>6055</v>
      </c>
      <c r="EK13" s="1593" t="s">
        <v>588</v>
      </c>
      <c r="EL13" s="1593" t="s">
        <v>588</v>
      </c>
      <c r="EM13" s="1593" t="s">
        <v>588</v>
      </c>
      <c r="EN13" s="1593" t="s">
        <v>588</v>
      </c>
      <c r="EO13" s="1593" t="s">
        <v>588</v>
      </c>
      <c r="EP13" s="1593" t="s">
        <v>588</v>
      </c>
      <c r="EQ13" s="1593" t="s">
        <v>588</v>
      </c>
      <c r="ER13" s="1593" t="s">
        <v>588</v>
      </c>
      <c r="ES13" s="1593" t="s">
        <v>588</v>
      </c>
      <c r="ET13" s="1593" t="s">
        <v>588</v>
      </c>
      <c r="EU13" s="1593" t="s">
        <v>588</v>
      </c>
      <c r="EV13" s="1593" t="s">
        <v>588</v>
      </c>
      <c r="EW13" s="1593" t="s">
        <v>588</v>
      </c>
      <c r="EX13" s="1593" t="s">
        <v>588</v>
      </c>
      <c r="EY13" s="1593" t="s">
        <v>588</v>
      </c>
    </row>
    <row r="14" spans="1:171" s="1484" customFormat="1" ht="15" customHeight="1" x14ac:dyDescent="0.25">
      <c r="A14" s="2817" t="s">
        <v>675</v>
      </c>
      <c r="B14" s="2817"/>
      <c r="C14" s="2817"/>
      <c r="D14" s="2817"/>
      <c r="E14" s="2817"/>
      <c r="F14" s="2817"/>
      <c r="G14" s="2817"/>
      <c r="H14" s="2817"/>
      <c r="I14" s="2817"/>
      <c r="J14" s="2817"/>
      <c r="K14" s="2817"/>
      <c r="L14" s="2817"/>
      <c r="M14" s="2817"/>
      <c r="N14" s="2817"/>
      <c r="O14" s="2817"/>
      <c r="P14" s="2817"/>
    </row>
    <row r="15" spans="1:171" s="1484" customFormat="1" ht="6" customHeight="1" x14ac:dyDescent="0.25">
      <c r="A15" s="1594"/>
      <c r="B15" s="1594"/>
      <c r="C15" s="1594"/>
      <c r="D15" s="1594"/>
      <c r="E15" s="1594"/>
      <c r="F15" s="1594"/>
      <c r="G15" s="1594"/>
      <c r="H15" s="1594"/>
      <c r="I15" s="1594"/>
      <c r="J15" s="1594"/>
      <c r="K15" s="1594"/>
      <c r="L15" s="1594"/>
      <c r="M15" s="1594"/>
      <c r="N15" s="1594"/>
      <c r="O15" s="1594"/>
      <c r="P15" s="1594"/>
    </row>
    <row r="16" spans="1:171" s="1484" customFormat="1" ht="15" x14ac:dyDescent="0.25">
      <c r="A16" s="2822" t="s">
        <v>6056</v>
      </c>
      <c r="B16" s="2822"/>
      <c r="C16" s="2822"/>
      <c r="D16" s="2822"/>
      <c r="E16" s="2822"/>
      <c r="F16" s="2822"/>
      <c r="G16" s="2822"/>
      <c r="H16" s="2822"/>
      <c r="I16" s="2822"/>
      <c r="J16" s="2822"/>
      <c r="K16" s="2822"/>
      <c r="L16" s="2822"/>
      <c r="M16" s="2822"/>
      <c r="N16" s="2822"/>
      <c r="O16" s="2822"/>
      <c r="P16" s="2822"/>
      <c r="EZ16" s="1593" t="s">
        <v>6056</v>
      </c>
      <c r="FA16" s="1593" t="s">
        <v>588</v>
      </c>
      <c r="FB16" s="1593" t="s">
        <v>588</v>
      </c>
      <c r="FC16" s="1593" t="s">
        <v>588</v>
      </c>
      <c r="FD16" s="1593" t="s">
        <v>588</v>
      </c>
      <c r="FE16" s="1593" t="s">
        <v>588</v>
      </c>
      <c r="FF16" s="1593" t="s">
        <v>588</v>
      </c>
      <c r="FG16" s="1593" t="s">
        <v>588</v>
      </c>
      <c r="FH16" s="1593" t="s">
        <v>588</v>
      </c>
      <c r="FI16" s="1593" t="s">
        <v>588</v>
      </c>
      <c r="FJ16" s="1593" t="s">
        <v>588</v>
      </c>
      <c r="FK16" s="1593" t="s">
        <v>588</v>
      </c>
      <c r="FL16" s="1593" t="s">
        <v>588</v>
      </c>
      <c r="FM16" s="1593" t="s">
        <v>588</v>
      </c>
      <c r="FN16" s="1593" t="s">
        <v>588</v>
      </c>
      <c r="FO16" s="1593" t="s">
        <v>588</v>
      </c>
    </row>
    <row r="17" spans="1:196" s="1484" customFormat="1" ht="15" x14ac:dyDescent="0.25">
      <c r="A17" s="2817" t="s">
        <v>772</v>
      </c>
      <c r="B17" s="2817"/>
      <c r="C17" s="2817"/>
      <c r="D17" s="2817"/>
      <c r="E17" s="2817"/>
      <c r="F17" s="2817"/>
      <c r="G17" s="2817"/>
      <c r="H17" s="2817"/>
      <c r="I17" s="2817"/>
      <c r="J17" s="2817"/>
      <c r="K17" s="2817"/>
      <c r="L17" s="2817"/>
      <c r="M17" s="2817"/>
      <c r="N17" s="2817"/>
      <c r="O17" s="2817"/>
      <c r="P17" s="2817"/>
    </row>
    <row r="18" spans="1:196" s="1484" customFormat="1" ht="17.25" customHeight="1" x14ac:dyDescent="0.25">
      <c r="A18" s="2835" t="s">
        <v>6057</v>
      </c>
      <c r="B18" s="2835"/>
      <c r="C18" s="2835"/>
      <c r="D18" s="2835"/>
      <c r="E18" s="2835"/>
      <c r="F18" s="2835"/>
      <c r="G18" s="2835"/>
      <c r="H18" s="2835"/>
      <c r="I18" s="2835"/>
      <c r="J18" s="2835"/>
      <c r="K18" s="2835"/>
      <c r="L18" s="2835"/>
      <c r="M18" s="2835"/>
      <c r="N18" s="2835"/>
      <c r="O18" s="2835"/>
      <c r="P18" s="2835"/>
    </row>
    <row r="19" spans="1:196" s="1484" customFormat="1" ht="8.25" customHeight="1" x14ac:dyDescent="0.25">
      <c r="A19" s="1866"/>
      <c r="B19" s="1866"/>
      <c r="C19" s="1866"/>
      <c r="D19" s="1866"/>
      <c r="E19" s="1866"/>
      <c r="F19" s="1866"/>
      <c r="G19" s="1866"/>
      <c r="H19" s="1866"/>
      <c r="I19" s="1866"/>
      <c r="J19" s="1866"/>
      <c r="K19" s="1866"/>
      <c r="L19" s="1866"/>
      <c r="M19" s="1866"/>
      <c r="N19" s="1866"/>
      <c r="O19" s="1866"/>
      <c r="P19" s="1866"/>
    </row>
    <row r="20" spans="1:196" s="1484" customFormat="1" ht="15" x14ac:dyDescent="0.25">
      <c r="A20" s="2822" t="s">
        <v>6058</v>
      </c>
      <c r="B20" s="2822"/>
      <c r="C20" s="2822"/>
      <c r="D20" s="2822"/>
      <c r="E20" s="2822"/>
      <c r="F20" s="2822"/>
      <c r="G20" s="2822"/>
      <c r="H20" s="2822"/>
      <c r="I20" s="2822"/>
      <c r="J20" s="2822"/>
      <c r="K20" s="2822"/>
      <c r="L20" s="2822"/>
      <c r="M20" s="2822"/>
      <c r="N20" s="2822"/>
      <c r="O20" s="2822"/>
      <c r="P20" s="2822"/>
      <c r="FP20" s="1593" t="s">
        <v>6058</v>
      </c>
      <c r="FQ20" s="1593" t="s">
        <v>588</v>
      </c>
      <c r="FR20" s="1593" t="s">
        <v>588</v>
      </c>
      <c r="FS20" s="1593" t="s">
        <v>588</v>
      </c>
      <c r="FT20" s="1593" t="s">
        <v>588</v>
      </c>
      <c r="FU20" s="1593" t="s">
        <v>588</v>
      </c>
      <c r="FV20" s="1593" t="s">
        <v>588</v>
      </c>
      <c r="FW20" s="1593" t="s">
        <v>588</v>
      </c>
      <c r="FX20" s="1593" t="s">
        <v>588</v>
      </c>
      <c r="FY20" s="1593" t="s">
        <v>588</v>
      </c>
      <c r="FZ20" s="1593" t="s">
        <v>588</v>
      </c>
      <c r="GA20" s="1593" t="s">
        <v>588</v>
      </c>
      <c r="GB20" s="1593" t="s">
        <v>588</v>
      </c>
      <c r="GC20" s="1593" t="s">
        <v>588</v>
      </c>
      <c r="GD20" s="1593" t="s">
        <v>588</v>
      </c>
      <c r="GE20" s="1593" t="s">
        <v>588</v>
      </c>
    </row>
    <row r="21" spans="1:196" s="1484" customFormat="1" ht="11.25" customHeight="1" x14ac:dyDescent="0.25">
      <c r="A21" s="2817" t="s">
        <v>773</v>
      </c>
      <c r="B21" s="2817"/>
      <c r="C21" s="2817"/>
      <c r="D21" s="2817"/>
      <c r="E21" s="2817"/>
      <c r="F21" s="2817"/>
      <c r="G21" s="2817"/>
      <c r="H21" s="2817"/>
      <c r="I21" s="2817"/>
      <c r="J21" s="2817"/>
      <c r="K21" s="2817"/>
      <c r="L21" s="2817"/>
      <c r="M21" s="2817"/>
      <c r="N21" s="2817"/>
      <c r="O21" s="2817"/>
      <c r="P21" s="2817"/>
    </row>
    <row r="22" spans="1:196" s="1484" customFormat="1" ht="12" customHeight="1" x14ac:dyDescent="0.25">
      <c r="A22" s="1584" t="s">
        <v>774</v>
      </c>
      <c r="B22" s="1595" t="s">
        <v>775</v>
      </c>
      <c r="C22" s="1582" t="s">
        <v>776</v>
      </c>
      <c r="D22" s="1582"/>
      <c r="E22" s="1582"/>
      <c r="F22" s="1596"/>
      <c r="G22" s="1596"/>
      <c r="H22" s="1596"/>
      <c r="I22" s="1596"/>
      <c r="J22" s="1596"/>
      <c r="K22" s="1596"/>
      <c r="L22" s="1596"/>
      <c r="M22" s="1596"/>
      <c r="N22" s="1596"/>
      <c r="O22" s="1596"/>
      <c r="P22" s="1596"/>
    </row>
    <row r="23" spans="1:196" s="1484" customFormat="1" ht="15" x14ac:dyDescent="0.25">
      <c r="A23" s="1584" t="s">
        <v>630</v>
      </c>
      <c r="B23" s="2818"/>
      <c r="C23" s="2818"/>
      <c r="D23" s="2818"/>
      <c r="E23" s="2818"/>
      <c r="F23" s="2818"/>
      <c r="G23" s="1596"/>
      <c r="H23" s="1596"/>
      <c r="I23" s="1596"/>
      <c r="J23" s="1596"/>
      <c r="K23" s="1596"/>
      <c r="L23" s="1596"/>
      <c r="M23" s="1596"/>
      <c r="N23" s="1596"/>
      <c r="O23" s="1596"/>
      <c r="P23" s="1596"/>
      <c r="GF23" s="1585" t="s">
        <v>588</v>
      </c>
      <c r="GG23" s="1585" t="s">
        <v>588</v>
      </c>
      <c r="GH23" s="1585" t="s">
        <v>588</v>
      </c>
      <c r="GI23" s="1585" t="s">
        <v>588</v>
      </c>
      <c r="GJ23" s="1585" t="s">
        <v>588</v>
      </c>
    </row>
    <row r="24" spans="1:196" s="1484" customFormat="1" ht="10.5" customHeight="1" x14ac:dyDescent="0.25">
      <c r="A24" s="1584"/>
      <c r="B24" s="2819" t="s">
        <v>778</v>
      </c>
      <c r="C24" s="2819"/>
      <c r="D24" s="2819"/>
      <c r="E24" s="2819"/>
      <c r="F24" s="2819"/>
      <c r="G24" s="1597"/>
      <c r="H24" s="1597"/>
      <c r="I24" s="1597"/>
      <c r="J24" s="1597"/>
      <c r="K24" s="1597"/>
      <c r="L24" s="1597"/>
      <c r="M24" s="1597"/>
      <c r="N24" s="1597"/>
      <c r="O24" s="1598"/>
      <c r="P24" s="1597"/>
    </row>
    <row r="25" spans="1:196" s="1484" customFormat="1" ht="9.75" customHeight="1" x14ac:dyDescent="0.25">
      <c r="A25" s="1584"/>
      <c r="B25" s="1584"/>
      <c r="C25" s="1584"/>
      <c r="D25" s="1599"/>
      <c r="E25" s="1599"/>
      <c r="F25" s="1599"/>
      <c r="G25" s="1599"/>
      <c r="H25" s="1599"/>
      <c r="I25" s="1599"/>
      <c r="J25" s="1599"/>
      <c r="K25" s="1599"/>
      <c r="L25" s="1599"/>
      <c r="M25" s="1599"/>
      <c r="N25" s="1599"/>
      <c r="O25" s="1597"/>
      <c r="P25" s="1597"/>
    </row>
    <row r="26" spans="1:196" s="1484" customFormat="1" ht="15" x14ac:dyDescent="0.25">
      <c r="A26" s="1600" t="s">
        <v>779</v>
      </c>
      <c r="B26" s="1601"/>
      <c r="C26" s="2820" t="s">
        <v>7852</v>
      </c>
      <c r="D26" s="2820"/>
      <c r="E26" s="2820"/>
      <c r="F26" s="2820"/>
      <c r="G26" s="1588"/>
      <c r="H26" s="1588"/>
      <c r="I26" s="1588"/>
      <c r="J26" s="1588"/>
      <c r="K26" s="1588"/>
      <c r="L26" s="1588"/>
      <c r="M26" s="1588"/>
      <c r="N26" s="1588"/>
      <c r="O26" s="1588"/>
      <c r="P26" s="1588"/>
      <c r="GK26" s="1588" t="s">
        <v>7852</v>
      </c>
      <c r="GL26" s="1588" t="s">
        <v>588</v>
      </c>
      <c r="GM26" s="1588" t="s">
        <v>588</v>
      </c>
      <c r="GN26" s="1588" t="s">
        <v>588</v>
      </c>
    </row>
    <row r="27" spans="1:196" s="1484" customFormat="1" ht="9.75" customHeight="1" x14ac:dyDescent="0.25">
      <c r="A27" s="1584"/>
      <c r="B27" s="1601"/>
      <c r="C27" s="1602"/>
      <c r="D27" s="1603"/>
      <c r="E27" s="1603"/>
      <c r="F27" s="1603"/>
      <c r="G27" s="1604"/>
      <c r="H27" s="1604"/>
      <c r="I27" s="1604"/>
      <c r="J27" s="1604"/>
      <c r="K27" s="1604"/>
      <c r="L27" s="1604"/>
      <c r="M27" s="1604"/>
      <c r="N27" s="1604"/>
      <c r="O27" s="1604"/>
      <c r="P27" s="1604"/>
    </row>
    <row r="28" spans="1:196" s="1484" customFormat="1" ht="12" customHeight="1" x14ac:dyDescent="0.25">
      <c r="A28" s="1600" t="s">
        <v>781</v>
      </c>
      <c r="B28" s="1601"/>
      <c r="C28" s="1605"/>
      <c r="D28" s="1606">
        <v>17677.68</v>
      </c>
      <c r="E28" s="1607" t="s">
        <v>782</v>
      </c>
      <c r="G28" s="1601"/>
      <c r="H28" s="1601"/>
      <c r="I28" s="1601"/>
      <c r="J28" s="1601"/>
      <c r="K28" s="1601"/>
      <c r="L28" s="1601"/>
      <c r="M28" s="1601"/>
      <c r="N28" s="1608"/>
      <c r="O28" s="1608"/>
      <c r="P28" s="1601"/>
    </row>
    <row r="29" spans="1:196" s="1484" customFormat="1" ht="12" customHeight="1" x14ac:dyDescent="0.25">
      <c r="A29" s="1584"/>
      <c r="B29" s="1609" t="s">
        <v>783</v>
      </c>
      <c r="C29" s="1610"/>
      <c r="D29" s="1611"/>
      <c r="E29" s="1607"/>
      <c r="G29" s="1601"/>
    </row>
    <row r="30" spans="1:196" s="1484" customFormat="1" ht="12" customHeight="1" x14ac:dyDescent="0.25">
      <c r="A30" s="1584"/>
      <c r="B30" s="1612" t="s">
        <v>784</v>
      </c>
      <c r="C30" s="1605"/>
      <c r="D30" s="1606">
        <v>17677.68</v>
      </c>
      <c r="E30" s="1607" t="s">
        <v>782</v>
      </c>
      <c r="I30" s="1601"/>
      <c r="K30" s="1601" t="s">
        <v>785</v>
      </c>
      <c r="L30" s="1601"/>
      <c r="M30" s="1601"/>
      <c r="N30" s="1613"/>
      <c r="O30" s="1606">
        <v>872.77</v>
      </c>
      <c r="P30" s="1607" t="s">
        <v>782</v>
      </c>
    </row>
    <row r="31" spans="1:196" s="1484" customFormat="1" ht="12" customHeight="1" x14ac:dyDescent="0.25">
      <c r="A31" s="1584"/>
      <c r="B31" s="1612" t="s">
        <v>680</v>
      </c>
      <c r="C31" s="1614"/>
      <c r="D31" s="1615">
        <v>0</v>
      </c>
      <c r="E31" s="1607" t="s">
        <v>782</v>
      </c>
      <c r="I31" s="1601"/>
      <c r="K31" s="1601" t="s">
        <v>786</v>
      </c>
      <c r="L31" s="1601"/>
      <c r="M31" s="1601"/>
      <c r="N31" s="1613"/>
      <c r="O31" s="1606">
        <v>518.19000000000005</v>
      </c>
      <c r="P31" s="1607" t="s">
        <v>782</v>
      </c>
    </row>
    <row r="32" spans="1:196" s="1484" customFormat="1" ht="12" customHeight="1" x14ac:dyDescent="0.25">
      <c r="A32" s="1584"/>
      <c r="B32" s="1612" t="s">
        <v>681</v>
      </c>
      <c r="C32" s="1614"/>
      <c r="D32" s="1615">
        <v>0</v>
      </c>
      <c r="E32" s="1607" t="s">
        <v>782</v>
      </c>
      <c r="I32" s="1601"/>
      <c r="K32" s="1601" t="s">
        <v>787</v>
      </c>
      <c r="L32" s="1601"/>
      <c r="M32" s="1601"/>
      <c r="N32" s="1616"/>
      <c r="O32" s="1615">
        <v>2229.6</v>
      </c>
      <c r="P32" s="1617" t="s">
        <v>788</v>
      </c>
    </row>
    <row r="33" spans="1:209" s="1484" customFormat="1" ht="12" customHeight="1" x14ac:dyDescent="0.25">
      <c r="A33" s="1584"/>
      <c r="B33" s="1612" t="s">
        <v>682</v>
      </c>
      <c r="C33" s="1614"/>
      <c r="D33" s="1606">
        <v>0</v>
      </c>
      <c r="E33" s="1607" t="s">
        <v>782</v>
      </c>
      <c r="I33" s="1601"/>
      <c r="K33" s="1601" t="s">
        <v>789</v>
      </c>
      <c r="L33" s="1601"/>
      <c r="M33" s="1601"/>
      <c r="N33" s="1616"/>
      <c r="O33" s="1615">
        <v>910.04</v>
      </c>
      <c r="P33" s="1617" t="s">
        <v>788</v>
      </c>
    </row>
    <row r="34" spans="1:209" s="1484" customFormat="1" ht="9.75" customHeight="1" x14ac:dyDescent="0.25">
      <c r="A34" s="1584"/>
      <c r="B34" s="1601"/>
      <c r="D34" s="1618"/>
      <c r="E34" s="1607"/>
      <c r="H34" s="1601"/>
      <c r="I34" s="1601"/>
      <c r="J34" s="1601"/>
      <c r="K34" s="1601"/>
      <c r="L34" s="1601"/>
      <c r="M34" s="1601"/>
      <c r="N34" s="1604"/>
      <c r="O34" s="1604"/>
      <c r="P34" s="1601"/>
    </row>
    <row r="35" spans="1:209" s="1484" customFormat="1" ht="11.25" customHeight="1" x14ac:dyDescent="0.25">
      <c r="A35" s="2821" t="s">
        <v>5</v>
      </c>
      <c r="B35" s="2825" t="s">
        <v>665</v>
      </c>
      <c r="C35" s="2826" t="s">
        <v>527</v>
      </c>
      <c r="D35" s="2827"/>
      <c r="E35" s="2827"/>
      <c r="F35" s="2827"/>
      <c r="G35" s="2828"/>
      <c r="H35" s="2825" t="s">
        <v>455</v>
      </c>
      <c r="I35" s="2825" t="s">
        <v>790</v>
      </c>
      <c r="J35" s="2825"/>
      <c r="K35" s="2825"/>
      <c r="L35" s="2826" t="s">
        <v>791</v>
      </c>
      <c r="M35" s="2827"/>
      <c r="N35" s="2827"/>
      <c r="O35" s="2827"/>
      <c r="P35" s="2828"/>
    </row>
    <row r="36" spans="1:209" s="1484" customFormat="1" ht="11.25" customHeight="1" x14ac:dyDescent="0.25">
      <c r="A36" s="2821"/>
      <c r="B36" s="2825"/>
      <c r="C36" s="2829"/>
      <c r="D36" s="2830"/>
      <c r="E36" s="2830"/>
      <c r="F36" s="2830"/>
      <c r="G36" s="2831"/>
      <c r="H36" s="2825"/>
      <c r="I36" s="2825"/>
      <c r="J36" s="2825"/>
      <c r="K36" s="2825"/>
      <c r="L36" s="2832"/>
      <c r="M36" s="2833"/>
      <c r="N36" s="2833"/>
      <c r="O36" s="2833"/>
      <c r="P36" s="2834"/>
    </row>
    <row r="37" spans="1:209" s="1484" customFormat="1" ht="54" customHeight="1" x14ac:dyDescent="0.25">
      <c r="A37" s="2821"/>
      <c r="B37" s="2825"/>
      <c r="C37" s="2832"/>
      <c r="D37" s="2833"/>
      <c r="E37" s="2833"/>
      <c r="F37" s="2833"/>
      <c r="G37" s="2834"/>
      <c r="H37" s="2825"/>
      <c r="I37" s="1956" t="s">
        <v>792</v>
      </c>
      <c r="J37" s="1956" t="s">
        <v>793</v>
      </c>
      <c r="K37" s="1956" t="s">
        <v>794</v>
      </c>
      <c r="L37" s="1956" t="s">
        <v>795</v>
      </c>
      <c r="M37" s="1956" t="s">
        <v>796</v>
      </c>
      <c r="N37" s="1956" t="s">
        <v>797</v>
      </c>
      <c r="O37" s="1956" t="s">
        <v>793</v>
      </c>
      <c r="P37" s="1956" t="s">
        <v>798</v>
      </c>
    </row>
    <row r="38" spans="1:209" s="1484" customFormat="1" ht="13.5" customHeight="1" x14ac:dyDescent="0.25">
      <c r="A38" s="1955">
        <v>1</v>
      </c>
      <c r="B38" s="1954">
        <v>2</v>
      </c>
      <c r="C38" s="2814">
        <v>3</v>
      </c>
      <c r="D38" s="2815"/>
      <c r="E38" s="2815"/>
      <c r="F38" s="2815"/>
      <c r="G38" s="2816"/>
      <c r="H38" s="1954">
        <v>4</v>
      </c>
      <c r="I38" s="1954">
        <v>5</v>
      </c>
      <c r="J38" s="1954">
        <v>6</v>
      </c>
      <c r="K38" s="1954">
        <v>7</v>
      </c>
      <c r="L38" s="1954">
        <v>8</v>
      </c>
      <c r="M38" s="1954">
        <v>9</v>
      </c>
      <c r="N38" s="1954">
        <v>10</v>
      </c>
      <c r="O38" s="1954">
        <v>11</v>
      </c>
      <c r="P38" s="1954">
        <v>12</v>
      </c>
    </row>
    <row r="39" spans="1:209" s="1484" customFormat="1" ht="15" x14ac:dyDescent="0.25">
      <c r="A39" s="2811" t="s">
        <v>6059</v>
      </c>
      <c r="B39" s="2812"/>
      <c r="C39" s="2812"/>
      <c r="D39" s="2812"/>
      <c r="E39" s="2812"/>
      <c r="F39" s="2812"/>
      <c r="G39" s="2812"/>
      <c r="H39" s="2812"/>
      <c r="I39" s="2812"/>
      <c r="J39" s="2812"/>
      <c r="K39" s="2812"/>
      <c r="L39" s="2812"/>
      <c r="M39" s="2812"/>
      <c r="N39" s="2812"/>
      <c r="O39" s="2812"/>
      <c r="P39" s="2813"/>
      <c r="GO39" s="1619" t="s">
        <v>6059</v>
      </c>
    </row>
    <row r="40" spans="1:209" s="1484" customFormat="1" ht="33.75" x14ac:dyDescent="0.25">
      <c r="A40" s="1620" t="s">
        <v>190</v>
      </c>
      <c r="B40" s="1863" t="s">
        <v>6060</v>
      </c>
      <c r="C40" s="2804" t="s">
        <v>6061</v>
      </c>
      <c r="D40" s="2804"/>
      <c r="E40" s="2804"/>
      <c r="F40" s="2804"/>
      <c r="G40" s="2804"/>
      <c r="H40" s="1621" t="s">
        <v>2509</v>
      </c>
      <c r="I40" s="1622">
        <v>4.7</v>
      </c>
      <c r="J40" s="1623">
        <v>1</v>
      </c>
      <c r="K40" s="1624">
        <v>4.7</v>
      </c>
      <c r="L40" s="1625"/>
      <c r="M40" s="1622"/>
      <c r="N40" s="1626"/>
      <c r="O40" s="1622"/>
      <c r="P40" s="1627"/>
      <c r="GO40" s="1619"/>
      <c r="GP40" s="1628" t="s">
        <v>6061</v>
      </c>
      <c r="GQ40" s="1628" t="s">
        <v>588</v>
      </c>
      <c r="GR40" s="1628" t="s">
        <v>588</v>
      </c>
      <c r="GS40" s="1628" t="s">
        <v>588</v>
      </c>
      <c r="GT40" s="1628" t="s">
        <v>588</v>
      </c>
    </row>
    <row r="41" spans="1:209" s="1484" customFormat="1" ht="15" x14ac:dyDescent="0.25">
      <c r="A41" s="1629"/>
      <c r="B41" s="1862"/>
      <c r="C41" s="2805" t="s">
        <v>7851</v>
      </c>
      <c r="D41" s="2805"/>
      <c r="E41" s="2805"/>
      <c r="F41" s="2805"/>
      <c r="G41" s="2805"/>
      <c r="H41" s="2805"/>
      <c r="I41" s="2805"/>
      <c r="J41" s="2805"/>
      <c r="K41" s="2805"/>
      <c r="L41" s="2805"/>
      <c r="M41" s="2805"/>
      <c r="N41" s="2805"/>
      <c r="O41" s="2805"/>
      <c r="P41" s="2806"/>
      <c r="GO41" s="1619"/>
      <c r="GP41" s="1628"/>
      <c r="GQ41" s="1628"/>
      <c r="GR41" s="1628"/>
      <c r="GS41" s="1628"/>
      <c r="GT41" s="1628"/>
      <c r="GU41" s="1864" t="s">
        <v>7851</v>
      </c>
    </row>
    <row r="42" spans="1:209" s="1484" customFormat="1" ht="22.5" x14ac:dyDescent="0.25">
      <c r="A42" s="1630"/>
      <c r="B42" s="1631" t="s">
        <v>6062</v>
      </c>
      <c r="C42" s="2809" t="s">
        <v>6063</v>
      </c>
      <c r="D42" s="2809"/>
      <c r="E42" s="2809"/>
      <c r="F42" s="2809"/>
      <c r="G42" s="2809"/>
      <c r="H42" s="2809"/>
      <c r="I42" s="2809"/>
      <c r="J42" s="2809"/>
      <c r="K42" s="2809"/>
      <c r="L42" s="2809"/>
      <c r="M42" s="2809"/>
      <c r="N42" s="2809"/>
      <c r="O42" s="2809"/>
      <c r="P42" s="2810"/>
      <c r="GO42" s="1619"/>
      <c r="GP42" s="1628"/>
      <c r="GQ42" s="1628"/>
      <c r="GR42" s="1628"/>
      <c r="GS42" s="1628"/>
      <c r="GT42" s="1628"/>
      <c r="GV42" s="1864" t="s">
        <v>6063</v>
      </c>
    </row>
    <row r="43" spans="1:209" s="1484" customFormat="1" ht="15" x14ac:dyDescent="0.25">
      <c r="A43" s="1632"/>
      <c r="B43" s="1633" t="s">
        <v>639</v>
      </c>
      <c r="C43" s="2807" t="s">
        <v>697</v>
      </c>
      <c r="D43" s="2807"/>
      <c r="E43" s="2807"/>
      <c r="F43" s="2807"/>
      <c r="G43" s="2807"/>
      <c r="H43" s="1634"/>
      <c r="I43" s="1855"/>
      <c r="J43" s="1855"/>
      <c r="K43" s="1855"/>
      <c r="L43" s="1635"/>
      <c r="M43" s="1855"/>
      <c r="N43" s="1635"/>
      <c r="O43" s="1855"/>
      <c r="P43" s="1636">
        <v>275137.77</v>
      </c>
      <c r="GO43" s="1619"/>
      <c r="GP43" s="1628"/>
      <c r="GQ43" s="1628"/>
      <c r="GR43" s="1628"/>
      <c r="GS43" s="1628"/>
      <c r="GT43" s="1628"/>
      <c r="GW43" s="1867" t="s">
        <v>697</v>
      </c>
    </row>
    <row r="44" spans="1:209" s="1484" customFormat="1" ht="15" x14ac:dyDescent="0.25">
      <c r="A44" s="1632"/>
      <c r="B44" s="1633"/>
      <c r="C44" s="2807" t="s">
        <v>811</v>
      </c>
      <c r="D44" s="2807"/>
      <c r="E44" s="2807"/>
      <c r="F44" s="2807"/>
      <c r="G44" s="2807"/>
      <c r="H44" s="1634" t="s">
        <v>807</v>
      </c>
      <c r="I44" s="1855"/>
      <c r="J44" s="1855"/>
      <c r="K44" s="1637">
        <v>164.5</v>
      </c>
      <c r="L44" s="1635"/>
      <c r="M44" s="1855"/>
      <c r="N44" s="1635"/>
      <c r="O44" s="1855"/>
      <c r="P44" s="1636">
        <v>97665.71</v>
      </c>
      <c r="GO44" s="1619"/>
      <c r="GP44" s="1628"/>
      <c r="GQ44" s="1628"/>
      <c r="GR44" s="1628"/>
      <c r="GS44" s="1628"/>
      <c r="GT44" s="1628"/>
      <c r="GW44" s="1867" t="s">
        <v>811</v>
      </c>
    </row>
    <row r="45" spans="1:209" s="1484" customFormat="1" ht="22.5" x14ac:dyDescent="0.25">
      <c r="A45" s="1638"/>
      <c r="B45" s="1633" t="s">
        <v>4998</v>
      </c>
      <c r="C45" s="2807" t="s">
        <v>4999</v>
      </c>
      <c r="D45" s="2807"/>
      <c r="E45" s="2807"/>
      <c r="F45" s="2807"/>
      <c r="G45" s="2807"/>
      <c r="H45" s="1634" t="s">
        <v>4994</v>
      </c>
      <c r="I45" s="1639">
        <v>35</v>
      </c>
      <c r="J45" s="1855"/>
      <c r="K45" s="1637">
        <v>164.5</v>
      </c>
      <c r="L45" s="1657">
        <v>1327.44</v>
      </c>
      <c r="M45" s="1655">
        <v>1.26</v>
      </c>
      <c r="N45" s="1642">
        <v>1672.57</v>
      </c>
      <c r="O45" s="1855"/>
      <c r="P45" s="1636">
        <v>275137.77</v>
      </c>
      <c r="Q45" s="1643"/>
      <c r="R45" s="1643"/>
      <c r="GO45" s="1619"/>
      <c r="GP45" s="1628"/>
      <c r="GQ45" s="1628"/>
      <c r="GR45" s="1628"/>
      <c r="GS45" s="1628"/>
      <c r="GT45" s="1628"/>
      <c r="GW45" s="1867"/>
      <c r="GX45" s="1867" t="s">
        <v>4999</v>
      </c>
    </row>
    <row r="46" spans="1:209" s="1484" customFormat="1" ht="15" x14ac:dyDescent="0.25">
      <c r="A46" s="1644"/>
      <c r="B46" s="1633" t="s">
        <v>815</v>
      </c>
      <c r="C46" s="2807" t="s">
        <v>816</v>
      </c>
      <c r="D46" s="2807"/>
      <c r="E46" s="2807"/>
      <c r="F46" s="2807"/>
      <c r="G46" s="2807"/>
      <c r="H46" s="1634" t="s">
        <v>807</v>
      </c>
      <c r="I46" s="1639">
        <v>35</v>
      </c>
      <c r="J46" s="1855"/>
      <c r="K46" s="1637">
        <v>164.5</v>
      </c>
      <c r="L46" s="1635"/>
      <c r="M46" s="1855"/>
      <c r="N46" s="1645">
        <v>474.97</v>
      </c>
      <c r="O46" s="1646">
        <v>1.25</v>
      </c>
      <c r="P46" s="1636">
        <v>97665.71</v>
      </c>
      <c r="GO46" s="1619"/>
      <c r="GP46" s="1628"/>
      <c r="GQ46" s="1628"/>
      <c r="GR46" s="1628"/>
      <c r="GS46" s="1628"/>
      <c r="GT46" s="1628"/>
      <c r="GW46" s="1867"/>
      <c r="GX46" s="1867"/>
      <c r="GY46" s="1867" t="s">
        <v>816</v>
      </c>
    </row>
    <row r="47" spans="1:209" s="1484" customFormat="1" ht="15" x14ac:dyDescent="0.25">
      <c r="A47" s="1647"/>
      <c r="B47" s="1631"/>
      <c r="C47" s="2803" t="s">
        <v>866</v>
      </c>
      <c r="D47" s="2803"/>
      <c r="E47" s="2803"/>
      <c r="F47" s="2803"/>
      <c r="G47" s="2803"/>
      <c r="H47" s="1621"/>
      <c r="I47" s="1622"/>
      <c r="J47" s="1622"/>
      <c r="K47" s="1622"/>
      <c r="L47" s="1625"/>
      <c r="M47" s="1622"/>
      <c r="N47" s="1648"/>
      <c r="O47" s="1622"/>
      <c r="P47" s="1649">
        <v>372803.48</v>
      </c>
      <c r="Q47" s="1643"/>
      <c r="R47" s="1643"/>
      <c r="GO47" s="1619"/>
      <c r="GP47" s="1628"/>
      <c r="GQ47" s="1628"/>
      <c r="GR47" s="1628"/>
      <c r="GS47" s="1628"/>
      <c r="GT47" s="1628"/>
      <c r="GW47" s="1867"/>
      <c r="GX47" s="1867"/>
      <c r="GY47" s="1867"/>
      <c r="GZ47" s="1628" t="s">
        <v>866</v>
      </c>
    </row>
    <row r="48" spans="1:209" s="1484" customFormat="1" ht="15" x14ac:dyDescent="0.25">
      <c r="A48" s="1644"/>
      <c r="B48" s="1633"/>
      <c r="C48" s="2807" t="s">
        <v>867</v>
      </c>
      <c r="D48" s="2807"/>
      <c r="E48" s="2807"/>
      <c r="F48" s="2807"/>
      <c r="G48" s="2807"/>
      <c r="H48" s="1634"/>
      <c r="I48" s="1855"/>
      <c r="J48" s="1855"/>
      <c r="K48" s="1855"/>
      <c r="L48" s="1635"/>
      <c r="M48" s="1855"/>
      <c r="N48" s="1635"/>
      <c r="O48" s="1855"/>
      <c r="P48" s="1636">
        <v>97665.71</v>
      </c>
      <c r="GO48" s="1619"/>
      <c r="GP48" s="1628"/>
      <c r="GQ48" s="1628"/>
      <c r="GR48" s="1628"/>
      <c r="GS48" s="1628"/>
      <c r="GT48" s="1628"/>
      <c r="GW48" s="1867"/>
      <c r="GX48" s="1867"/>
      <c r="GY48" s="1867"/>
      <c r="GZ48" s="1628"/>
      <c r="HA48" s="1867" t="s">
        <v>867</v>
      </c>
    </row>
    <row r="49" spans="1:210" s="1484" customFormat="1" ht="22.5" x14ac:dyDescent="0.25">
      <c r="A49" s="1644"/>
      <c r="B49" s="1633" t="s">
        <v>2510</v>
      </c>
      <c r="C49" s="2807" t="s">
        <v>2511</v>
      </c>
      <c r="D49" s="2807"/>
      <c r="E49" s="2807"/>
      <c r="F49" s="2807"/>
      <c r="G49" s="2807"/>
      <c r="H49" s="1634" t="s">
        <v>636</v>
      </c>
      <c r="I49" s="1639">
        <v>92</v>
      </c>
      <c r="J49" s="1855"/>
      <c r="K49" s="1639">
        <v>92</v>
      </c>
      <c r="L49" s="1635"/>
      <c r="M49" s="1855"/>
      <c r="N49" s="1635"/>
      <c r="O49" s="1855"/>
      <c r="P49" s="1636">
        <v>89852.45</v>
      </c>
      <c r="GO49" s="1619"/>
      <c r="GP49" s="1628"/>
      <c r="GQ49" s="1628"/>
      <c r="GR49" s="1628"/>
      <c r="GS49" s="1628"/>
      <c r="GT49" s="1628"/>
      <c r="GW49" s="1867"/>
      <c r="GX49" s="1867"/>
      <c r="GY49" s="1867"/>
      <c r="GZ49" s="1628"/>
      <c r="HA49" s="1867" t="s">
        <v>2511</v>
      </c>
    </row>
    <row r="50" spans="1:210" s="1484" customFormat="1" ht="22.5" x14ac:dyDescent="0.25">
      <c r="A50" s="1644"/>
      <c r="B50" s="1633" t="s">
        <v>2512</v>
      </c>
      <c r="C50" s="2807" t="s">
        <v>2513</v>
      </c>
      <c r="D50" s="2807"/>
      <c r="E50" s="2807"/>
      <c r="F50" s="2807"/>
      <c r="G50" s="2807"/>
      <c r="H50" s="1634" t="s">
        <v>636</v>
      </c>
      <c r="I50" s="1639">
        <v>46</v>
      </c>
      <c r="J50" s="1855"/>
      <c r="K50" s="1639">
        <v>46</v>
      </c>
      <c r="L50" s="1635"/>
      <c r="M50" s="1855"/>
      <c r="N50" s="1635"/>
      <c r="O50" s="1855"/>
      <c r="P50" s="1636">
        <v>44926.23</v>
      </c>
      <c r="GO50" s="1619"/>
      <c r="GP50" s="1628"/>
      <c r="GQ50" s="1628"/>
      <c r="GR50" s="1628"/>
      <c r="GS50" s="1628"/>
      <c r="GT50" s="1628"/>
      <c r="GW50" s="1867"/>
      <c r="GX50" s="1867"/>
      <c r="GY50" s="1867"/>
      <c r="GZ50" s="1628"/>
      <c r="HA50" s="1867" t="s">
        <v>2513</v>
      </c>
    </row>
    <row r="51" spans="1:210" s="1484" customFormat="1" ht="15" x14ac:dyDescent="0.25">
      <c r="A51" s="1650"/>
      <c r="B51" s="1651"/>
      <c r="C51" s="2803" t="s">
        <v>872</v>
      </c>
      <c r="D51" s="2803"/>
      <c r="E51" s="2803"/>
      <c r="F51" s="2803"/>
      <c r="G51" s="2803"/>
      <c r="H51" s="1621"/>
      <c r="I51" s="1622"/>
      <c r="J51" s="1622"/>
      <c r="K51" s="1622"/>
      <c r="L51" s="1625"/>
      <c r="M51" s="1622"/>
      <c r="N51" s="1648">
        <v>107996.2</v>
      </c>
      <c r="O51" s="1622"/>
      <c r="P51" s="1649">
        <v>507582.16</v>
      </c>
      <c r="GO51" s="1619"/>
      <c r="GP51" s="1628"/>
      <c r="GQ51" s="1628"/>
      <c r="GR51" s="1628"/>
      <c r="GS51" s="1628"/>
      <c r="GT51" s="1628"/>
      <c r="GW51" s="1867"/>
      <c r="GX51" s="1867"/>
      <c r="GY51" s="1867"/>
      <c r="GZ51" s="1628"/>
      <c r="HA51" s="1867"/>
      <c r="HB51" s="1628" t="s">
        <v>872</v>
      </c>
    </row>
    <row r="52" spans="1:210" s="1484" customFormat="1" ht="67.5" x14ac:dyDescent="0.25">
      <c r="A52" s="1620" t="s">
        <v>639</v>
      </c>
      <c r="B52" s="1863" t="s">
        <v>7850</v>
      </c>
      <c r="C52" s="2804" t="s">
        <v>5045</v>
      </c>
      <c r="D52" s="2804"/>
      <c r="E52" s="2804"/>
      <c r="F52" s="2804"/>
      <c r="G52" s="2804"/>
      <c r="H52" s="1621" t="s">
        <v>5044</v>
      </c>
      <c r="I52" s="1622">
        <v>9400</v>
      </c>
      <c r="J52" s="1623">
        <v>1</v>
      </c>
      <c r="K52" s="1623">
        <v>9400</v>
      </c>
      <c r="L52" s="1625"/>
      <c r="M52" s="1622"/>
      <c r="N52" s="1652">
        <v>139.22999999999999</v>
      </c>
      <c r="O52" s="1622"/>
      <c r="P52" s="1649">
        <v>1308762</v>
      </c>
      <c r="GO52" s="1619"/>
      <c r="GP52" s="1628" t="s">
        <v>5045</v>
      </c>
      <c r="GQ52" s="1628" t="s">
        <v>588</v>
      </c>
      <c r="GR52" s="1628" t="s">
        <v>588</v>
      </c>
      <c r="GS52" s="1628" t="s">
        <v>588</v>
      </c>
      <c r="GT52" s="1628" t="s">
        <v>588</v>
      </c>
      <c r="GW52" s="1867"/>
      <c r="GX52" s="1867"/>
      <c r="GY52" s="1867"/>
      <c r="GZ52" s="1628"/>
      <c r="HA52" s="1867"/>
      <c r="HB52" s="1628"/>
    </row>
    <row r="53" spans="1:210" s="1484" customFormat="1" ht="15" x14ac:dyDescent="0.25">
      <c r="A53" s="1629"/>
      <c r="B53" s="1862"/>
      <c r="C53" s="2805" t="s">
        <v>7849</v>
      </c>
      <c r="D53" s="2805"/>
      <c r="E53" s="2805"/>
      <c r="F53" s="2805"/>
      <c r="G53" s="2805"/>
      <c r="H53" s="2805"/>
      <c r="I53" s="2805"/>
      <c r="J53" s="2805"/>
      <c r="K53" s="2805"/>
      <c r="L53" s="2805"/>
      <c r="M53" s="2805"/>
      <c r="N53" s="2805"/>
      <c r="O53" s="2805"/>
      <c r="P53" s="2806"/>
      <c r="GO53" s="1619"/>
      <c r="GP53" s="1628"/>
      <c r="GQ53" s="1628"/>
      <c r="GR53" s="1628"/>
      <c r="GS53" s="1628"/>
      <c r="GT53" s="1628"/>
      <c r="GU53" s="1864" t="s">
        <v>7849</v>
      </c>
      <c r="GW53" s="1867"/>
      <c r="GX53" s="1867"/>
      <c r="GY53" s="1867"/>
      <c r="GZ53" s="1628"/>
      <c r="HA53" s="1867"/>
      <c r="HB53" s="1628"/>
    </row>
    <row r="54" spans="1:210" s="1484" customFormat="1" ht="22.5" x14ac:dyDescent="0.25">
      <c r="A54" s="1630"/>
      <c r="B54" s="1631" t="s">
        <v>6062</v>
      </c>
      <c r="C54" s="2809" t="s">
        <v>6063</v>
      </c>
      <c r="D54" s="2809"/>
      <c r="E54" s="2809"/>
      <c r="F54" s="2809"/>
      <c r="G54" s="2809"/>
      <c r="H54" s="2809"/>
      <c r="I54" s="2809"/>
      <c r="J54" s="2809"/>
      <c r="K54" s="2809"/>
      <c r="L54" s="2809"/>
      <c r="M54" s="2809"/>
      <c r="N54" s="2809"/>
      <c r="O54" s="2809"/>
      <c r="P54" s="2810"/>
      <c r="GO54" s="1619"/>
      <c r="GP54" s="1628"/>
      <c r="GQ54" s="1628"/>
      <c r="GR54" s="1628"/>
      <c r="GS54" s="1628"/>
      <c r="GT54" s="1628"/>
      <c r="GV54" s="1864" t="s">
        <v>6063</v>
      </c>
      <c r="GW54" s="1867"/>
      <c r="GX54" s="1867"/>
      <c r="GY54" s="1867"/>
      <c r="GZ54" s="1628"/>
      <c r="HA54" s="1867"/>
      <c r="HB54" s="1628"/>
    </row>
    <row r="55" spans="1:210" s="1484" customFormat="1" ht="15" x14ac:dyDescent="0.25">
      <c r="A55" s="1650"/>
      <c r="B55" s="1651"/>
      <c r="C55" s="2803" t="s">
        <v>872</v>
      </c>
      <c r="D55" s="2803"/>
      <c r="E55" s="2803"/>
      <c r="F55" s="2803"/>
      <c r="G55" s="2803"/>
      <c r="H55" s="1621"/>
      <c r="I55" s="1622"/>
      <c r="J55" s="1622"/>
      <c r="K55" s="1622"/>
      <c r="L55" s="1625"/>
      <c r="M55" s="1622"/>
      <c r="N55" s="1625"/>
      <c r="O55" s="1622"/>
      <c r="P55" s="1649">
        <v>1308762</v>
      </c>
      <c r="GO55" s="1619"/>
      <c r="GP55" s="1628"/>
      <c r="GQ55" s="1628"/>
      <c r="GR55" s="1628"/>
      <c r="GS55" s="1628"/>
      <c r="GT55" s="1628"/>
      <c r="GW55" s="1867"/>
      <c r="GX55" s="1867"/>
      <c r="GY55" s="1867"/>
      <c r="GZ55" s="1628"/>
      <c r="HA55" s="1867"/>
      <c r="HB55" s="1628" t="s">
        <v>872</v>
      </c>
    </row>
    <row r="56" spans="1:210" s="1484" customFormat="1" ht="15" x14ac:dyDescent="0.25">
      <c r="A56" s="1620" t="s">
        <v>640</v>
      </c>
      <c r="B56" s="1863" t="s">
        <v>6064</v>
      </c>
      <c r="C56" s="2804" t="s">
        <v>6065</v>
      </c>
      <c r="D56" s="2804"/>
      <c r="E56" s="2804"/>
      <c r="F56" s="2804"/>
      <c r="G56" s="2804"/>
      <c r="H56" s="1621" t="s">
        <v>2509</v>
      </c>
      <c r="I56" s="1622">
        <v>4.7</v>
      </c>
      <c r="J56" s="1623">
        <v>1</v>
      </c>
      <c r="K56" s="1624">
        <v>4.7</v>
      </c>
      <c r="L56" s="1625"/>
      <c r="M56" s="1622"/>
      <c r="N56" s="1626"/>
      <c r="O56" s="1622"/>
      <c r="P56" s="1627"/>
      <c r="GO56" s="1619"/>
      <c r="GP56" s="1628" t="s">
        <v>6065</v>
      </c>
      <c r="GQ56" s="1628" t="s">
        <v>588</v>
      </c>
      <c r="GR56" s="1628" t="s">
        <v>588</v>
      </c>
      <c r="GS56" s="1628" t="s">
        <v>588</v>
      </c>
      <c r="GT56" s="1628" t="s">
        <v>588</v>
      </c>
      <c r="GW56" s="1867"/>
      <c r="GX56" s="1867"/>
      <c r="GY56" s="1867"/>
      <c r="GZ56" s="1628"/>
      <c r="HA56" s="1867"/>
      <c r="HB56" s="1628"/>
    </row>
    <row r="57" spans="1:210" s="1484" customFormat="1" ht="22.5" x14ac:dyDescent="0.25">
      <c r="A57" s="1630"/>
      <c r="B57" s="1631" t="s">
        <v>6062</v>
      </c>
      <c r="C57" s="2809" t="s">
        <v>6063</v>
      </c>
      <c r="D57" s="2809"/>
      <c r="E57" s="2809"/>
      <c r="F57" s="2809"/>
      <c r="G57" s="2809"/>
      <c r="H57" s="2809"/>
      <c r="I57" s="2809"/>
      <c r="J57" s="2809"/>
      <c r="K57" s="2809"/>
      <c r="L57" s="2809"/>
      <c r="M57" s="2809"/>
      <c r="N57" s="2809"/>
      <c r="O57" s="2809"/>
      <c r="P57" s="2810"/>
      <c r="GO57" s="1619"/>
      <c r="GP57" s="1628"/>
      <c r="GQ57" s="1628"/>
      <c r="GR57" s="1628"/>
      <c r="GS57" s="1628"/>
      <c r="GT57" s="1628"/>
      <c r="GV57" s="1864" t="s">
        <v>6063</v>
      </c>
      <c r="GW57" s="1867"/>
      <c r="GX57" s="1867"/>
      <c r="GY57" s="1867"/>
      <c r="GZ57" s="1628"/>
      <c r="HA57" s="1867"/>
      <c r="HB57" s="1628"/>
    </row>
    <row r="58" spans="1:210" s="1484" customFormat="1" ht="15" x14ac:dyDescent="0.25">
      <c r="A58" s="1632"/>
      <c r="B58" s="1633" t="s">
        <v>190</v>
      </c>
      <c r="C58" s="2807" t="s">
        <v>806</v>
      </c>
      <c r="D58" s="2807"/>
      <c r="E58" s="2807"/>
      <c r="F58" s="2807"/>
      <c r="G58" s="2807"/>
      <c r="H58" s="1634" t="s">
        <v>807</v>
      </c>
      <c r="I58" s="1855"/>
      <c r="J58" s="1855"/>
      <c r="K58" s="1653">
        <v>15.603999999999999</v>
      </c>
      <c r="L58" s="1635"/>
      <c r="M58" s="1855"/>
      <c r="N58" s="1635"/>
      <c r="O58" s="1855"/>
      <c r="P58" s="1636">
        <v>5610.03</v>
      </c>
      <c r="GO58" s="1619"/>
      <c r="GP58" s="1628"/>
      <c r="GQ58" s="1628"/>
      <c r="GR58" s="1628"/>
      <c r="GS58" s="1628"/>
      <c r="GT58" s="1628"/>
      <c r="GW58" s="1867" t="s">
        <v>806</v>
      </c>
      <c r="GX58" s="1867"/>
      <c r="GY58" s="1867"/>
      <c r="GZ58" s="1628"/>
      <c r="HA58" s="1867"/>
      <c r="HB58" s="1628"/>
    </row>
    <row r="59" spans="1:210" s="1484" customFormat="1" ht="15" x14ac:dyDescent="0.25">
      <c r="A59" s="1638"/>
      <c r="B59" s="1633" t="s">
        <v>5037</v>
      </c>
      <c r="C59" s="2807" t="s">
        <v>5038</v>
      </c>
      <c r="D59" s="2807"/>
      <c r="E59" s="2807"/>
      <c r="F59" s="2807"/>
      <c r="G59" s="2807"/>
      <c r="H59" s="1634" t="s">
        <v>807</v>
      </c>
      <c r="I59" s="1646">
        <v>3.32</v>
      </c>
      <c r="J59" s="1855"/>
      <c r="K59" s="1653">
        <v>15.603999999999999</v>
      </c>
      <c r="L59" s="1640"/>
      <c r="M59" s="1641"/>
      <c r="N59" s="1642">
        <v>287.62</v>
      </c>
      <c r="O59" s="1646">
        <v>1.25</v>
      </c>
      <c r="P59" s="1636">
        <v>5610.03</v>
      </c>
      <c r="Q59" s="1643"/>
      <c r="R59" s="1643"/>
      <c r="GO59" s="1619"/>
      <c r="GP59" s="1628"/>
      <c r="GQ59" s="1628"/>
      <c r="GR59" s="1628"/>
      <c r="GS59" s="1628"/>
      <c r="GT59" s="1628"/>
      <c r="GW59" s="1867"/>
      <c r="GX59" s="1867" t="s">
        <v>5038</v>
      </c>
      <c r="GY59" s="1867"/>
      <c r="GZ59" s="1628"/>
      <c r="HA59" s="1867"/>
      <c r="HB59" s="1628"/>
    </row>
    <row r="60" spans="1:210" s="1484" customFormat="1" ht="15" x14ac:dyDescent="0.25">
      <c r="A60" s="1632"/>
      <c r="B60" s="1633" t="s">
        <v>639</v>
      </c>
      <c r="C60" s="2807" t="s">
        <v>697</v>
      </c>
      <c r="D60" s="2807"/>
      <c r="E60" s="2807"/>
      <c r="F60" s="2807"/>
      <c r="G60" s="2807"/>
      <c r="H60" s="1634"/>
      <c r="I60" s="1855"/>
      <c r="J60" s="1855"/>
      <c r="K60" s="1855"/>
      <c r="L60" s="1635"/>
      <c r="M60" s="1855"/>
      <c r="N60" s="1635"/>
      <c r="O60" s="1855"/>
      <c r="P60" s="1636">
        <v>19865.95</v>
      </c>
      <c r="GO60" s="1619"/>
      <c r="GP60" s="1628"/>
      <c r="GQ60" s="1628"/>
      <c r="GR60" s="1628"/>
      <c r="GS60" s="1628"/>
      <c r="GT60" s="1628"/>
      <c r="GW60" s="1867" t="s">
        <v>697</v>
      </c>
      <c r="GX60" s="1867"/>
      <c r="GY60" s="1867"/>
      <c r="GZ60" s="1628"/>
      <c r="HA60" s="1867"/>
      <c r="HB60" s="1628"/>
    </row>
    <row r="61" spans="1:210" s="1484" customFormat="1" ht="15" x14ac:dyDescent="0.25">
      <c r="A61" s="1632"/>
      <c r="B61" s="1633"/>
      <c r="C61" s="2807" t="s">
        <v>811</v>
      </c>
      <c r="D61" s="2807"/>
      <c r="E61" s="2807"/>
      <c r="F61" s="2807"/>
      <c r="G61" s="2807"/>
      <c r="H61" s="1634" t="s">
        <v>807</v>
      </c>
      <c r="I61" s="1855"/>
      <c r="J61" s="1855"/>
      <c r="K61" s="1653">
        <v>17.343</v>
      </c>
      <c r="L61" s="1635"/>
      <c r="M61" s="1855"/>
      <c r="N61" s="1635"/>
      <c r="O61" s="1855"/>
      <c r="P61" s="1636">
        <v>10239.709999999999</v>
      </c>
      <c r="GO61" s="1619"/>
      <c r="GP61" s="1628"/>
      <c r="GQ61" s="1628"/>
      <c r="GR61" s="1628"/>
      <c r="GS61" s="1628"/>
      <c r="GT61" s="1628"/>
      <c r="GW61" s="1867" t="s">
        <v>811</v>
      </c>
      <c r="GX61" s="1867"/>
      <c r="GY61" s="1867"/>
      <c r="GZ61" s="1628"/>
      <c r="HA61" s="1867"/>
      <c r="HB61" s="1628"/>
    </row>
    <row r="62" spans="1:210" s="1484" customFormat="1" ht="15" x14ac:dyDescent="0.25">
      <c r="A62" s="1638"/>
      <c r="B62" s="1633" t="s">
        <v>1968</v>
      </c>
      <c r="C62" s="2807" t="s">
        <v>4995</v>
      </c>
      <c r="D62" s="2807"/>
      <c r="E62" s="2807"/>
      <c r="F62" s="2807"/>
      <c r="G62" s="2807"/>
      <c r="H62" s="1634" t="s">
        <v>4994</v>
      </c>
      <c r="I62" s="1646">
        <v>3.61</v>
      </c>
      <c r="J62" s="1855"/>
      <c r="K62" s="1653">
        <v>16.966999999999999</v>
      </c>
      <c r="L62" s="1654">
        <v>887.54</v>
      </c>
      <c r="M62" s="1953">
        <v>1.3</v>
      </c>
      <c r="N62" s="1642">
        <v>1153.8</v>
      </c>
      <c r="O62" s="1855"/>
      <c r="P62" s="1636">
        <v>19576.52</v>
      </c>
      <c r="Q62" s="1643"/>
      <c r="R62" s="1643"/>
      <c r="GO62" s="1619"/>
      <c r="GP62" s="1628"/>
      <c r="GQ62" s="1628"/>
      <c r="GR62" s="1628"/>
      <c r="GS62" s="1628"/>
      <c r="GT62" s="1628"/>
      <c r="GW62" s="1867"/>
      <c r="GX62" s="1867" t="s">
        <v>4995</v>
      </c>
      <c r="GY62" s="1867"/>
      <c r="GZ62" s="1628"/>
      <c r="HA62" s="1867"/>
      <c r="HB62" s="1628"/>
    </row>
    <row r="63" spans="1:210" s="1484" customFormat="1" ht="15" x14ac:dyDescent="0.25">
      <c r="A63" s="1644"/>
      <c r="B63" s="1633" t="s">
        <v>815</v>
      </c>
      <c r="C63" s="2807" t="s">
        <v>816</v>
      </c>
      <c r="D63" s="2807"/>
      <c r="E63" s="2807"/>
      <c r="F63" s="2807"/>
      <c r="G63" s="2807"/>
      <c r="H63" s="1634" t="s">
        <v>807</v>
      </c>
      <c r="I63" s="1646">
        <v>3.61</v>
      </c>
      <c r="J63" s="1855"/>
      <c r="K63" s="1653">
        <v>16.966999999999999</v>
      </c>
      <c r="L63" s="1635"/>
      <c r="M63" s="1855"/>
      <c r="N63" s="1645">
        <v>474.97</v>
      </c>
      <c r="O63" s="1646">
        <v>1.25</v>
      </c>
      <c r="P63" s="1636">
        <v>10073.52</v>
      </c>
      <c r="GO63" s="1619"/>
      <c r="GP63" s="1628"/>
      <c r="GQ63" s="1628"/>
      <c r="GR63" s="1628"/>
      <c r="GS63" s="1628"/>
      <c r="GT63" s="1628"/>
      <c r="GW63" s="1867"/>
      <c r="GX63" s="1867"/>
      <c r="GY63" s="1867" t="s">
        <v>816</v>
      </c>
      <c r="GZ63" s="1628"/>
      <c r="HA63" s="1867"/>
      <c r="HB63" s="1628"/>
    </row>
    <row r="64" spans="1:210" s="1484" customFormat="1" ht="15" x14ac:dyDescent="0.25">
      <c r="A64" s="1638"/>
      <c r="B64" s="1633" t="s">
        <v>3894</v>
      </c>
      <c r="C64" s="2807" t="s">
        <v>5024</v>
      </c>
      <c r="D64" s="2807"/>
      <c r="E64" s="2807"/>
      <c r="F64" s="2807"/>
      <c r="G64" s="2807"/>
      <c r="H64" s="1634" t="s">
        <v>4994</v>
      </c>
      <c r="I64" s="1646">
        <v>0.08</v>
      </c>
      <c r="J64" s="1855"/>
      <c r="K64" s="1653">
        <v>0.376</v>
      </c>
      <c r="L64" s="1654">
        <v>610.91999999999996</v>
      </c>
      <c r="M64" s="1655">
        <v>1.26</v>
      </c>
      <c r="N64" s="1642">
        <v>769.76</v>
      </c>
      <c r="O64" s="1855"/>
      <c r="P64" s="1636">
        <v>289.43</v>
      </c>
      <c r="Q64" s="1643"/>
      <c r="R64" s="1643"/>
      <c r="GO64" s="1619"/>
      <c r="GP64" s="1628"/>
      <c r="GQ64" s="1628"/>
      <c r="GR64" s="1628"/>
      <c r="GS64" s="1628"/>
      <c r="GT64" s="1628"/>
      <c r="GW64" s="1867"/>
      <c r="GX64" s="1867" t="s">
        <v>5024</v>
      </c>
      <c r="GY64" s="1867"/>
      <c r="GZ64" s="1628"/>
      <c r="HA64" s="1867"/>
      <c r="HB64" s="1628"/>
    </row>
    <row r="65" spans="1:210" s="1484" customFormat="1" ht="15" x14ac:dyDescent="0.25">
      <c r="A65" s="1644"/>
      <c r="B65" s="1633" t="s">
        <v>823</v>
      </c>
      <c r="C65" s="2807" t="s">
        <v>824</v>
      </c>
      <c r="D65" s="2807"/>
      <c r="E65" s="2807"/>
      <c r="F65" s="2807"/>
      <c r="G65" s="2807"/>
      <c r="H65" s="1634" t="s">
        <v>807</v>
      </c>
      <c r="I65" s="1646">
        <v>0.08</v>
      </c>
      <c r="J65" s="1855"/>
      <c r="K65" s="1653">
        <v>0.376</v>
      </c>
      <c r="L65" s="1635"/>
      <c r="M65" s="1855"/>
      <c r="N65" s="1645">
        <v>353.59</v>
      </c>
      <c r="O65" s="1646">
        <v>1.25</v>
      </c>
      <c r="P65" s="1656">
        <v>166.19</v>
      </c>
      <c r="GO65" s="1619"/>
      <c r="GP65" s="1628"/>
      <c r="GQ65" s="1628"/>
      <c r="GR65" s="1628"/>
      <c r="GS65" s="1628"/>
      <c r="GT65" s="1628"/>
      <c r="GW65" s="1867"/>
      <c r="GX65" s="1867"/>
      <c r="GY65" s="1867" t="s">
        <v>824</v>
      </c>
      <c r="GZ65" s="1628"/>
      <c r="HA65" s="1867"/>
      <c r="HB65" s="1628"/>
    </row>
    <row r="66" spans="1:210" s="1484" customFormat="1" ht="15" x14ac:dyDescent="0.25">
      <c r="A66" s="1632"/>
      <c r="B66" s="1633" t="s">
        <v>232</v>
      </c>
      <c r="C66" s="2807" t="s">
        <v>829</v>
      </c>
      <c r="D66" s="2807"/>
      <c r="E66" s="2807"/>
      <c r="F66" s="2807"/>
      <c r="G66" s="2807"/>
      <c r="H66" s="1634"/>
      <c r="I66" s="1855"/>
      <c r="J66" s="1855"/>
      <c r="K66" s="1855"/>
      <c r="L66" s="1635"/>
      <c r="M66" s="1855"/>
      <c r="N66" s="1635"/>
      <c r="O66" s="1855"/>
      <c r="P66" s="1656">
        <v>308.01</v>
      </c>
      <c r="GO66" s="1619"/>
      <c r="GP66" s="1628"/>
      <c r="GQ66" s="1628"/>
      <c r="GR66" s="1628"/>
      <c r="GS66" s="1628"/>
      <c r="GT66" s="1628"/>
      <c r="GW66" s="1867" t="s">
        <v>829</v>
      </c>
      <c r="GX66" s="1867"/>
      <c r="GY66" s="1867"/>
      <c r="GZ66" s="1628"/>
      <c r="HA66" s="1867"/>
      <c r="HB66" s="1628"/>
    </row>
    <row r="67" spans="1:210" s="1484" customFormat="1" ht="22.5" x14ac:dyDescent="0.25">
      <c r="A67" s="1638"/>
      <c r="B67" s="1633" t="s">
        <v>4927</v>
      </c>
      <c r="C67" s="2807" t="s">
        <v>4928</v>
      </c>
      <c r="D67" s="2807"/>
      <c r="E67" s="2807"/>
      <c r="F67" s="2807"/>
      <c r="G67" s="2807"/>
      <c r="H67" s="1634" t="s">
        <v>832</v>
      </c>
      <c r="I67" s="1646">
        <v>0.04</v>
      </c>
      <c r="J67" s="1855"/>
      <c r="K67" s="1653">
        <v>0.188</v>
      </c>
      <c r="L67" s="1657">
        <v>2184.44</v>
      </c>
      <c r="M67" s="1655">
        <v>0.75</v>
      </c>
      <c r="N67" s="1642">
        <v>1638.33</v>
      </c>
      <c r="O67" s="1855"/>
      <c r="P67" s="1636">
        <v>308.01</v>
      </c>
      <c r="Q67" s="1643"/>
      <c r="R67" s="1643"/>
      <c r="GO67" s="1619"/>
      <c r="GP67" s="1628"/>
      <c r="GQ67" s="1628"/>
      <c r="GR67" s="1628"/>
      <c r="GS67" s="1628"/>
      <c r="GT67" s="1628"/>
      <c r="GW67" s="1867"/>
      <c r="GX67" s="1867" t="s">
        <v>4928</v>
      </c>
      <c r="GY67" s="1867"/>
      <c r="GZ67" s="1628"/>
      <c r="HA67" s="1867"/>
      <c r="HB67" s="1628"/>
    </row>
    <row r="68" spans="1:210" s="1484" customFormat="1" ht="15" x14ac:dyDescent="0.25">
      <c r="A68" s="1647"/>
      <c r="B68" s="1631"/>
      <c r="C68" s="2803" t="s">
        <v>866</v>
      </c>
      <c r="D68" s="2803"/>
      <c r="E68" s="2803"/>
      <c r="F68" s="2803"/>
      <c r="G68" s="2803"/>
      <c r="H68" s="1621"/>
      <c r="I68" s="1622"/>
      <c r="J68" s="1622"/>
      <c r="K68" s="1622"/>
      <c r="L68" s="1625"/>
      <c r="M68" s="1622"/>
      <c r="N68" s="1648"/>
      <c r="O68" s="1622"/>
      <c r="P68" s="1649">
        <v>36023.699999999997</v>
      </c>
      <c r="Q68" s="1643"/>
      <c r="R68" s="1643"/>
      <c r="GO68" s="1619"/>
      <c r="GP68" s="1628"/>
      <c r="GQ68" s="1628"/>
      <c r="GR68" s="1628"/>
      <c r="GS68" s="1628"/>
      <c r="GT68" s="1628"/>
      <c r="GW68" s="1867"/>
      <c r="GX68" s="1867"/>
      <c r="GY68" s="1867"/>
      <c r="GZ68" s="1628" t="s">
        <v>866</v>
      </c>
      <c r="HA68" s="1867"/>
      <c r="HB68" s="1628"/>
    </row>
    <row r="69" spans="1:210" s="1484" customFormat="1" ht="15" x14ac:dyDescent="0.25">
      <c r="A69" s="1644"/>
      <c r="B69" s="1633"/>
      <c r="C69" s="2807" t="s">
        <v>867</v>
      </c>
      <c r="D69" s="2807"/>
      <c r="E69" s="2807"/>
      <c r="F69" s="2807"/>
      <c r="G69" s="2807"/>
      <c r="H69" s="1634"/>
      <c r="I69" s="1855"/>
      <c r="J69" s="1855"/>
      <c r="K69" s="1855"/>
      <c r="L69" s="1635"/>
      <c r="M69" s="1855"/>
      <c r="N69" s="1635"/>
      <c r="O69" s="1855"/>
      <c r="P69" s="1636">
        <v>15849.74</v>
      </c>
      <c r="GO69" s="1619"/>
      <c r="GP69" s="1628"/>
      <c r="GQ69" s="1628"/>
      <c r="GR69" s="1628"/>
      <c r="GS69" s="1628"/>
      <c r="GT69" s="1628"/>
      <c r="GW69" s="1867"/>
      <c r="GX69" s="1867"/>
      <c r="GY69" s="1867"/>
      <c r="GZ69" s="1628"/>
      <c r="HA69" s="1867" t="s">
        <v>867</v>
      </c>
      <c r="HB69" s="1628"/>
    </row>
    <row r="70" spans="1:210" s="1484" customFormat="1" ht="22.5" x14ac:dyDescent="0.25">
      <c r="A70" s="1644"/>
      <c r="B70" s="1633" t="s">
        <v>2510</v>
      </c>
      <c r="C70" s="2807" t="s">
        <v>2511</v>
      </c>
      <c r="D70" s="2807"/>
      <c r="E70" s="2807"/>
      <c r="F70" s="2807"/>
      <c r="G70" s="2807"/>
      <c r="H70" s="1634" t="s">
        <v>636</v>
      </c>
      <c r="I70" s="1639">
        <v>92</v>
      </c>
      <c r="J70" s="1855"/>
      <c r="K70" s="1639">
        <v>92</v>
      </c>
      <c r="L70" s="1635"/>
      <c r="M70" s="1855"/>
      <c r="N70" s="1635"/>
      <c r="O70" s="1855"/>
      <c r="P70" s="1636">
        <v>14581.76</v>
      </c>
      <c r="GO70" s="1619"/>
      <c r="GP70" s="1628"/>
      <c r="GQ70" s="1628"/>
      <c r="GR70" s="1628"/>
      <c r="GS70" s="1628"/>
      <c r="GT70" s="1628"/>
      <c r="GW70" s="1867"/>
      <c r="GX70" s="1867"/>
      <c r="GY70" s="1867"/>
      <c r="GZ70" s="1628"/>
      <c r="HA70" s="1867" t="s">
        <v>2511</v>
      </c>
      <c r="HB70" s="1628"/>
    </row>
    <row r="71" spans="1:210" s="1484" customFormat="1" ht="22.5" x14ac:dyDescent="0.25">
      <c r="A71" s="1644"/>
      <c r="B71" s="1633" t="s">
        <v>2512</v>
      </c>
      <c r="C71" s="2807" t="s">
        <v>2513</v>
      </c>
      <c r="D71" s="2807"/>
      <c r="E71" s="2807"/>
      <c r="F71" s="2807"/>
      <c r="G71" s="2807"/>
      <c r="H71" s="1634" t="s">
        <v>636</v>
      </c>
      <c r="I71" s="1639">
        <v>46</v>
      </c>
      <c r="J71" s="1855"/>
      <c r="K71" s="1639">
        <v>46</v>
      </c>
      <c r="L71" s="1635"/>
      <c r="M71" s="1855"/>
      <c r="N71" s="1635"/>
      <c r="O71" s="1855"/>
      <c r="P71" s="1636">
        <v>7290.88</v>
      </c>
      <c r="GO71" s="1619"/>
      <c r="GP71" s="1628"/>
      <c r="GQ71" s="1628"/>
      <c r="GR71" s="1628"/>
      <c r="GS71" s="1628"/>
      <c r="GT71" s="1628"/>
      <c r="GW71" s="1867"/>
      <c r="GX71" s="1867"/>
      <c r="GY71" s="1867"/>
      <c r="GZ71" s="1628"/>
      <c r="HA71" s="1867" t="s">
        <v>2513</v>
      </c>
      <c r="HB71" s="1628"/>
    </row>
    <row r="72" spans="1:210" s="1484" customFormat="1" ht="15" x14ac:dyDescent="0.25">
      <c r="A72" s="1650"/>
      <c r="B72" s="1651"/>
      <c r="C72" s="2803" t="s">
        <v>872</v>
      </c>
      <c r="D72" s="2803"/>
      <c r="E72" s="2803"/>
      <c r="F72" s="2803"/>
      <c r="G72" s="2803"/>
      <c r="H72" s="1621"/>
      <c r="I72" s="1622"/>
      <c r="J72" s="1622"/>
      <c r="K72" s="1622"/>
      <c r="L72" s="1625"/>
      <c r="M72" s="1622"/>
      <c r="N72" s="1648">
        <v>12318.37</v>
      </c>
      <c r="O72" s="1622"/>
      <c r="P72" s="1649">
        <v>57896.34</v>
      </c>
      <c r="GO72" s="1619"/>
      <c r="GP72" s="1628"/>
      <c r="GQ72" s="1628"/>
      <c r="GR72" s="1628"/>
      <c r="GS72" s="1628"/>
      <c r="GT72" s="1628"/>
      <c r="GW72" s="1867"/>
      <c r="GX72" s="1867"/>
      <c r="GY72" s="1867"/>
      <c r="GZ72" s="1628"/>
      <c r="HA72" s="1867"/>
      <c r="HB72" s="1628" t="s">
        <v>872</v>
      </c>
    </row>
    <row r="73" spans="1:210" s="1484" customFormat="1" ht="22.5" x14ac:dyDescent="0.25">
      <c r="A73" s="1620" t="s">
        <v>232</v>
      </c>
      <c r="B73" s="1863" t="s">
        <v>6066</v>
      </c>
      <c r="C73" s="2804" t="s">
        <v>6067</v>
      </c>
      <c r="D73" s="2804"/>
      <c r="E73" s="2804"/>
      <c r="F73" s="2804"/>
      <c r="G73" s="2804"/>
      <c r="H73" s="1621" t="s">
        <v>2499</v>
      </c>
      <c r="I73" s="1622">
        <v>20</v>
      </c>
      <c r="J73" s="1623">
        <v>1</v>
      </c>
      <c r="K73" s="1623">
        <v>20</v>
      </c>
      <c r="L73" s="1625"/>
      <c r="M73" s="1622"/>
      <c r="N73" s="1626"/>
      <c r="O73" s="1622"/>
      <c r="P73" s="1627"/>
      <c r="GO73" s="1619"/>
      <c r="GP73" s="1628" t="s">
        <v>6067</v>
      </c>
      <c r="GQ73" s="1628" t="s">
        <v>588</v>
      </c>
      <c r="GR73" s="1628" t="s">
        <v>588</v>
      </c>
      <c r="GS73" s="1628" t="s">
        <v>588</v>
      </c>
      <c r="GT73" s="1628" t="s">
        <v>588</v>
      </c>
      <c r="GW73" s="1867"/>
      <c r="GX73" s="1867"/>
      <c r="GY73" s="1867"/>
      <c r="GZ73" s="1628"/>
      <c r="HA73" s="1867"/>
      <c r="HB73" s="1628"/>
    </row>
    <row r="74" spans="1:210" s="1484" customFormat="1" ht="15" x14ac:dyDescent="0.25">
      <c r="A74" s="1629"/>
      <c r="B74" s="1862"/>
      <c r="C74" s="2805" t="s">
        <v>6068</v>
      </c>
      <c r="D74" s="2805"/>
      <c r="E74" s="2805"/>
      <c r="F74" s="2805"/>
      <c r="G74" s="2805"/>
      <c r="H74" s="2805"/>
      <c r="I74" s="2805"/>
      <c r="J74" s="2805"/>
      <c r="K74" s="2805"/>
      <c r="L74" s="2805"/>
      <c r="M74" s="2805"/>
      <c r="N74" s="2805"/>
      <c r="O74" s="2805"/>
      <c r="P74" s="2806"/>
      <c r="GO74" s="1619"/>
      <c r="GP74" s="1628"/>
      <c r="GQ74" s="1628"/>
      <c r="GR74" s="1628"/>
      <c r="GS74" s="1628"/>
      <c r="GT74" s="1628"/>
      <c r="GU74" s="1864" t="s">
        <v>6068</v>
      </c>
      <c r="GW74" s="1867"/>
      <c r="GX74" s="1867"/>
      <c r="GY74" s="1867"/>
      <c r="GZ74" s="1628"/>
      <c r="HA74" s="1867"/>
      <c r="HB74" s="1628"/>
    </row>
    <row r="75" spans="1:210" s="1484" customFormat="1" ht="22.5" x14ac:dyDescent="0.25">
      <c r="A75" s="1630"/>
      <c r="B75" s="1631" t="s">
        <v>6062</v>
      </c>
      <c r="C75" s="2809" t="s">
        <v>6063</v>
      </c>
      <c r="D75" s="2809"/>
      <c r="E75" s="2809"/>
      <c r="F75" s="2809"/>
      <c r="G75" s="2809"/>
      <c r="H75" s="2809"/>
      <c r="I75" s="2809"/>
      <c r="J75" s="2809"/>
      <c r="K75" s="2809"/>
      <c r="L75" s="2809"/>
      <c r="M75" s="2809"/>
      <c r="N75" s="2809"/>
      <c r="O75" s="2809"/>
      <c r="P75" s="2810"/>
      <c r="GO75" s="1619"/>
      <c r="GP75" s="1628"/>
      <c r="GQ75" s="1628"/>
      <c r="GR75" s="1628"/>
      <c r="GS75" s="1628"/>
      <c r="GT75" s="1628"/>
      <c r="GV75" s="1864" t="s">
        <v>6063</v>
      </c>
      <c r="GW75" s="1867"/>
      <c r="GX75" s="1867"/>
      <c r="GY75" s="1867"/>
      <c r="GZ75" s="1628"/>
      <c r="HA75" s="1867"/>
      <c r="HB75" s="1628"/>
    </row>
    <row r="76" spans="1:210" s="1484" customFormat="1" ht="15" x14ac:dyDescent="0.25">
      <c r="A76" s="1632"/>
      <c r="B76" s="1633" t="s">
        <v>190</v>
      </c>
      <c r="C76" s="2807" t="s">
        <v>806</v>
      </c>
      <c r="D76" s="2807"/>
      <c r="E76" s="2807"/>
      <c r="F76" s="2807"/>
      <c r="G76" s="2807"/>
      <c r="H76" s="1634" t="s">
        <v>807</v>
      </c>
      <c r="I76" s="1855"/>
      <c r="J76" s="1855"/>
      <c r="K76" s="1639">
        <v>288</v>
      </c>
      <c r="L76" s="1635"/>
      <c r="M76" s="1855"/>
      <c r="N76" s="1635"/>
      <c r="O76" s="1855"/>
      <c r="P76" s="1636">
        <v>106390.8</v>
      </c>
      <c r="GO76" s="1619"/>
      <c r="GP76" s="1628"/>
      <c r="GQ76" s="1628"/>
      <c r="GR76" s="1628"/>
      <c r="GS76" s="1628"/>
      <c r="GT76" s="1628"/>
      <c r="GW76" s="1867" t="s">
        <v>806</v>
      </c>
      <c r="GX76" s="1867"/>
      <c r="GY76" s="1867"/>
      <c r="GZ76" s="1628"/>
      <c r="HA76" s="1867"/>
      <c r="HB76" s="1628"/>
    </row>
    <row r="77" spans="1:210" s="1484" customFormat="1" ht="15" x14ac:dyDescent="0.25">
      <c r="A77" s="1638"/>
      <c r="B77" s="1633" t="s">
        <v>5039</v>
      </c>
      <c r="C77" s="2807" t="s">
        <v>5040</v>
      </c>
      <c r="D77" s="2807"/>
      <c r="E77" s="2807"/>
      <c r="F77" s="2807"/>
      <c r="G77" s="2807"/>
      <c r="H77" s="1634" t="s">
        <v>807</v>
      </c>
      <c r="I77" s="1637">
        <v>14.4</v>
      </c>
      <c r="J77" s="1855"/>
      <c r="K77" s="1639">
        <v>288</v>
      </c>
      <c r="L77" s="1640"/>
      <c r="M77" s="1641"/>
      <c r="N77" s="1642">
        <v>295.52999999999997</v>
      </c>
      <c r="O77" s="1646">
        <v>1.25</v>
      </c>
      <c r="P77" s="1636">
        <v>106390.8</v>
      </c>
      <c r="Q77" s="1643"/>
      <c r="R77" s="1643"/>
      <c r="GO77" s="1619"/>
      <c r="GP77" s="1628"/>
      <c r="GQ77" s="1628"/>
      <c r="GR77" s="1628"/>
      <c r="GS77" s="1628"/>
      <c r="GT77" s="1628"/>
      <c r="GW77" s="1867"/>
      <c r="GX77" s="1867" t="s">
        <v>5040</v>
      </c>
      <c r="GY77" s="1867"/>
      <c r="GZ77" s="1628"/>
      <c r="HA77" s="1867"/>
      <c r="HB77" s="1628"/>
    </row>
    <row r="78" spans="1:210" s="1484" customFormat="1" ht="15" x14ac:dyDescent="0.25">
      <c r="A78" s="1632"/>
      <c r="B78" s="1633" t="s">
        <v>639</v>
      </c>
      <c r="C78" s="2807" t="s">
        <v>697</v>
      </c>
      <c r="D78" s="2807"/>
      <c r="E78" s="2807"/>
      <c r="F78" s="2807"/>
      <c r="G78" s="2807"/>
      <c r="H78" s="1634"/>
      <c r="I78" s="1855"/>
      <c r="J78" s="1855"/>
      <c r="K78" s="1855"/>
      <c r="L78" s="1635"/>
      <c r="M78" s="1855"/>
      <c r="N78" s="1635"/>
      <c r="O78" s="1855"/>
      <c r="P78" s="1636">
        <v>742227.86</v>
      </c>
      <c r="GO78" s="1619"/>
      <c r="GP78" s="1628"/>
      <c r="GQ78" s="1628"/>
      <c r="GR78" s="1628"/>
      <c r="GS78" s="1628"/>
      <c r="GT78" s="1628"/>
      <c r="GW78" s="1867" t="s">
        <v>697</v>
      </c>
      <c r="GX78" s="1867"/>
      <c r="GY78" s="1867"/>
      <c r="GZ78" s="1628"/>
      <c r="HA78" s="1867"/>
      <c r="HB78" s="1628"/>
    </row>
    <row r="79" spans="1:210" s="1484" customFormat="1" ht="15" x14ac:dyDescent="0.25">
      <c r="A79" s="1632"/>
      <c r="B79" s="1633"/>
      <c r="C79" s="2807" t="s">
        <v>811</v>
      </c>
      <c r="D79" s="2807"/>
      <c r="E79" s="2807"/>
      <c r="F79" s="2807"/>
      <c r="G79" s="2807"/>
      <c r="H79" s="1634" t="s">
        <v>807</v>
      </c>
      <c r="I79" s="1855"/>
      <c r="J79" s="1855"/>
      <c r="K79" s="1637">
        <v>277.60000000000002</v>
      </c>
      <c r="L79" s="1635"/>
      <c r="M79" s="1855"/>
      <c r="N79" s="1635"/>
      <c r="O79" s="1855"/>
      <c r="P79" s="1636">
        <v>155210.64000000001</v>
      </c>
      <c r="GO79" s="1619"/>
      <c r="GP79" s="1628"/>
      <c r="GQ79" s="1628"/>
      <c r="GR79" s="1628"/>
      <c r="GS79" s="1628"/>
      <c r="GT79" s="1628"/>
      <c r="GW79" s="1867" t="s">
        <v>811</v>
      </c>
      <c r="GX79" s="1867"/>
      <c r="GY79" s="1867"/>
      <c r="GZ79" s="1628"/>
      <c r="HA79" s="1867"/>
      <c r="HB79" s="1628"/>
    </row>
    <row r="80" spans="1:210" s="1484" customFormat="1" ht="15" x14ac:dyDescent="0.25">
      <c r="A80" s="1638"/>
      <c r="B80" s="1633" t="s">
        <v>3917</v>
      </c>
      <c r="C80" s="2807" t="s">
        <v>4996</v>
      </c>
      <c r="D80" s="2807"/>
      <c r="E80" s="2807"/>
      <c r="F80" s="2807"/>
      <c r="G80" s="2807"/>
      <c r="H80" s="1634" t="s">
        <v>4994</v>
      </c>
      <c r="I80" s="1646">
        <v>1.77</v>
      </c>
      <c r="J80" s="1855"/>
      <c r="K80" s="1637">
        <v>35.4</v>
      </c>
      <c r="L80" s="1657">
        <v>1933</v>
      </c>
      <c r="M80" s="1655">
        <v>1.27</v>
      </c>
      <c r="N80" s="1642">
        <v>2454.91</v>
      </c>
      <c r="O80" s="1855"/>
      <c r="P80" s="1636">
        <v>86903.81</v>
      </c>
      <c r="Q80" s="1643"/>
      <c r="R80" s="1643"/>
      <c r="GO80" s="1619"/>
      <c r="GP80" s="1628"/>
      <c r="GQ80" s="1628"/>
      <c r="GR80" s="1628"/>
      <c r="GS80" s="1628"/>
      <c r="GT80" s="1628"/>
      <c r="GW80" s="1867"/>
      <c r="GX80" s="1867" t="s">
        <v>4996</v>
      </c>
      <c r="GY80" s="1867"/>
      <c r="GZ80" s="1628"/>
      <c r="HA80" s="1867"/>
      <c r="HB80" s="1628"/>
    </row>
    <row r="81" spans="1:211" s="1484" customFormat="1" ht="15" x14ac:dyDescent="0.25">
      <c r="A81" s="1644"/>
      <c r="B81" s="1633" t="s">
        <v>815</v>
      </c>
      <c r="C81" s="2807" t="s">
        <v>816</v>
      </c>
      <c r="D81" s="2807"/>
      <c r="E81" s="2807"/>
      <c r="F81" s="2807"/>
      <c r="G81" s="2807"/>
      <c r="H81" s="1634" t="s">
        <v>807</v>
      </c>
      <c r="I81" s="1646">
        <v>1.77</v>
      </c>
      <c r="J81" s="1855"/>
      <c r="K81" s="1637">
        <v>35.4</v>
      </c>
      <c r="L81" s="1635"/>
      <c r="M81" s="1855"/>
      <c r="N81" s="1645">
        <v>474.97</v>
      </c>
      <c r="O81" s="1646">
        <v>1.25</v>
      </c>
      <c r="P81" s="1636">
        <v>21017.42</v>
      </c>
      <c r="GO81" s="1619"/>
      <c r="GP81" s="1628"/>
      <c r="GQ81" s="1628"/>
      <c r="GR81" s="1628"/>
      <c r="GS81" s="1628"/>
      <c r="GT81" s="1628"/>
      <c r="GW81" s="1867"/>
      <c r="GX81" s="1867"/>
      <c r="GY81" s="1867" t="s">
        <v>816</v>
      </c>
      <c r="GZ81" s="1628"/>
      <c r="HA81" s="1867"/>
      <c r="HB81" s="1628"/>
    </row>
    <row r="82" spans="1:211" s="1484" customFormat="1" ht="33.75" x14ac:dyDescent="0.25">
      <c r="A82" s="1638"/>
      <c r="B82" s="1633" t="s">
        <v>1741</v>
      </c>
      <c r="C82" s="2807" t="s">
        <v>5006</v>
      </c>
      <c r="D82" s="2807"/>
      <c r="E82" s="2807"/>
      <c r="F82" s="2807"/>
      <c r="G82" s="2807"/>
      <c r="H82" s="1634" t="s">
        <v>4994</v>
      </c>
      <c r="I82" s="1646">
        <v>4.29</v>
      </c>
      <c r="J82" s="1855"/>
      <c r="K82" s="1637">
        <v>85.8</v>
      </c>
      <c r="L82" s="1640"/>
      <c r="M82" s="1641"/>
      <c r="N82" s="1642">
        <v>1591.13</v>
      </c>
      <c r="O82" s="1855"/>
      <c r="P82" s="1636">
        <v>136518.95000000001</v>
      </c>
      <c r="Q82" s="1643"/>
      <c r="R82" s="1643"/>
      <c r="GO82" s="1619"/>
      <c r="GP82" s="1628"/>
      <c r="GQ82" s="1628"/>
      <c r="GR82" s="1628"/>
      <c r="GS82" s="1628"/>
      <c r="GT82" s="1628"/>
      <c r="GW82" s="1867"/>
      <c r="GX82" s="1867" t="s">
        <v>5006</v>
      </c>
      <c r="GY82" s="1867"/>
      <c r="GZ82" s="1628"/>
      <c r="HA82" s="1867"/>
      <c r="HB82" s="1628"/>
    </row>
    <row r="83" spans="1:211" s="1484" customFormat="1" ht="15" x14ac:dyDescent="0.25">
      <c r="A83" s="1644"/>
      <c r="B83" s="1633" t="s">
        <v>5043</v>
      </c>
      <c r="C83" s="2807" t="s">
        <v>6069</v>
      </c>
      <c r="D83" s="2807"/>
      <c r="E83" s="2807"/>
      <c r="F83" s="2807"/>
      <c r="G83" s="2807"/>
      <c r="H83" s="1634" t="s">
        <v>807</v>
      </c>
      <c r="I83" s="1646">
        <v>4.29</v>
      </c>
      <c r="J83" s="1855"/>
      <c r="K83" s="1637">
        <v>85.8</v>
      </c>
      <c r="L83" s="1635"/>
      <c r="M83" s="1855"/>
      <c r="N83" s="1645">
        <v>406.36</v>
      </c>
      <c r="O83" s="1646">
        <v>1.25</v>
      </c>
      <c r="P83" s="1636">
        <v>43582.11</v>
      </c>
      <c r="GO83" s="1619"/>
      <c r="GP83" s="1628"/>
      <c r="GQ83" s="1628"/>
      <c r="GR83" s="1628"/>
      <c r="GS83" s="1628"/>
      <c r="GT83" s="1628"/>
      <c r="GW83" s="1867"/>
      <c r="GX83" s="1867"/>
      <c r="GY83" s="1867" t="s">
        <v>6069</v>
      </c>
      <c r="GZ83" s="1628"/>
      <c r="HA83" s="1867"/>
      <c r="HB83" s="1628"/>
    </row>
    <row r="84" spans="1:211" s="1484" customFormat="1" ht="15" x14ac:dyDescent="0.25">
      <c r="A84" s="1638"/>
      <c r="B84" s="1633" t="s">
        <v>3924</v>
      </c>
      <c r="C84" s="2807" t="s">
        <v>5018</v>
      </c>
      <c r="D84" s="2807"/>
      <c r="E84" s="2807"/>
      <c r="F84" s="2807"/>
      <c r="G84" s="2807"/>
      <c r="H84" s="1634" t="s">
        <v>4994</v>
      </c>
      <c r="I84" s="1646">
        <v>7.08</v>
      </c>
      <c r="J84" s="1855"/>
      <c r="K84" s="1637">
        <v>141.6</v>
      </c>
      <c r="L84" s="1657">
        <v>2391.6</v>
      </c>
      <c r="M84" s="1655">
        <v>1.47</v>
      </c>
      <c r="N84" s="1642">
        <v>3515.65</v>
      </c>
      <c r="O84" s="1855"/>
      <c r="P84" s="1636">
        <v>497816.04</v>
      </c>
      <c r="Q84" s="1643"/>
      <c r="R84" s="1643"/>
      <c r="GO84" s="1619"/>
      <c r="GP84" s="1628"/>
      <c r="GQ84" s="1628"/>
      <c r="GR84" s="1628"/>
      <c r="GS84" s="1628"/>
      <c r="GT84" s="1628"/>
      <c r="GW84" s="1867"/>
      <c r="GX84" s="1867" t="s">
        <v>5018</v>
      </c>
      <c r="GY84" s="1867"/>
      <c r="GZ84" s="1628"/>
      <c r="HA84" s="1867"/>
      <c r="HB84" s="1628"/>
    </row>
    <row r="85" spans="1:211" s="1484" customFormat="1" ht="15" x14ac:dyDescent="0.25">
      <c r="A85" s="1644"/>
      <c r="B85" s="1633" t="s">
        <v>815</v>
      </c>
      <c r="C85" s="2807" t="s">
        <v>816</v>
      </c>
      <c r="D85" s="2807"/>
      <c r="E85" s="2807"/>
      <c r="F85" s="2807"/>
      <c r="G85" s="2807"/>
      <c r="H85" s="1634" t="s">
        <v>807</v>
      </c>
      <c r="I85" s="1646">
        <v>7.08</v>
      </c>
      <c r="J85" s="1855"/>
      <c r="K85" s="1637">
        <v>141.6</v>
      </c>
      <c r="L85" s="1635"/>
      <c r="M85" s="1855"/>
      <c r="N85" s="1645">
        <v>474.97</v>
      </c>
      <c r="O85" s="1646">
        <v>1.25</v>
      </c>
      <c r="P85" s="1636">
        <v>84069.69</v>
      </c>
      <c r="GO85" s="1619"/>
      <c r="GP85" s="1628"/>
      <c r="GQ85" s="1628"/>
      <c r="GR85" s="1628"/>
      <c r="GS85" s="1628"/>
      <c r="GT85" s="1628"/>
      <c r="GW85" s="1867"/>
      <c r="GX85" s="1867"/>
      <c r="GY85" s="1867" t="s">
        <v>816</v>
      </c>
      <c r="GZ85" s="1628"/>
      <c r="HA85" s="1867"/>
      <c r="HB85" s="1628"/>
    </row>
    <row r="86" spans="1:211" s="1484" customFormat="1" ht="15" x14ac:dyDescent="0.25">
      <c r="A86" s="1638"/>
      <c r="B86" s="1633" t="s">
        <v>3220</v>
      </c>
      <c r="C86" s="2807" t="s">
        <v>5023</v>
      </c>
      <c r="D86" s="2807"/>
      <c r="E86" s="2807"/>
      <c r="F86" s="2807"/>
      <c r="G86" s="2807"/>
      <c r="H86" s="1634" t="s">
        <v>4994</v>
      </c>
      <c r="I86" s="1646">
        <v>0.74</v>
      </c>
      <c r="J86" s="1855"/>
      <c r="K86" s="1637">
        <v>14.8</v>
      </c>
      <c r="L86" s="1640"/>
      <c r="M86" s="1641"/>
      <c r="N86" s="1642">
        <v>1418.18</v>
      </c>
      <c r="O86" s="1855"/>
      <c r="P86" s="1636">
        <v>20989.06</v>
      </c>
      <c r="Q86" s="1643"/>
      <c r="R86" s="1643"/>
      <c r="GO86" s="1619"/>
      <c r="GP86" s="1628"/>
      <c r="GQ86" s="1628"/>
      <c r="GR86" s="1628"/>
      <c r="GS86" s="1628"/>
      <c r="GT86" s="1628"/>
      <c r="GW86" s="1867"/>
      <c r="GX86" s="1867" t="s">
        <v>5023</v>
      </c>
      <c r="GY86" s="1867"/>
      <c r="GZ86" s="1628"/>
      <c r="HA86" s="1867"/>
      <c r="HB86" s="1628"/>
    </row>
    <row r="87" spans="1:211" s="1484" customFormat="1" ht="15" x14ac:dyDescent="0.25">
      <c r="A87" s="1644"/>
      <c r="B87" s="1633" t="s">
        <v>823</v>
      </c>
      <c r="C87" s="2807" t="s">
        <v>824</v>
      </c>
      <c r="D87" s="2807"/>
      <c r="E87" s="2807"/>
      <c r="F87" s="2807"/>
      <c r="G87" s="2807"/>
      <c r="H87" s="1634" t="s">
        <v>807</v>
      </c>
      <c r="I87" s="1646">
        <v>0.74</v>
      </c>
      <c r="J87" s="1855"/>
      <c r="K87" s="1637">
        <v>14.8</v>
      </c>
      <c r="L87" s="1635"/>
      <c r="M87" s="1855"/>
      <c r="N87" s="1645">
        <v>353.59</v>
      </c>
      <c r="O87" s="1646">
        <v>1.25</v>
      </c>
      <c r="P87" s="1636">
        <v>6541.42</v>
      </c>
      <c r="GO87" s="1619"/>
      <c r="GP87" s="1628"/>
      <c r="GQ87" s="1628"/>
      <c r="GR87" s="1628"/>
      <c r="GS87" s="1628"/>
      <c r="GT87" s="1628"/>
      <c r="GW87" s="1867"/>
      <c r="GX87" s="1867"/>
      <c r="GY87" s="1867" t="s">
        <v>824</v>
      </c>
      <c r="GZ87" s="1628"/>
      <c r="HA87" s="1867"/>
      <c r="HB87" s="1628"/>
    </row>
    <row r="88" spans="1:211" s="1484" customFormat="1" ht="15" x14ac:dyDescent="0.25">
      <c r="A88" s="1632"/>
      <c r="B88" s="1633" t="s">
        <v>232</v>
      </c>
      <c r="C88" s="2807" t="s">
        <v>829</v>
      </c>
      <c r="D88" s="2807"/>
      <c r="E88" s="2807"/>
      <c r="F88" s="2807"/>
      <c r="G88" s="2807"/>
      <c r="H88" s="1634"/>
      <c r="I88" s="1855"/>
      <c r="J88" s="1855"/>
      <c r="K88" s="1855"/>
      <c r="L88" s="1635"/>
      <c r="M88" s="1855"/>
      <c r="N88" s="1635"/>
      <c r="O88" s="1855"/>
      <c r="P88" s="1636">
        <v>3964</v>
      </c>
      <c r="GO88" s="1619"/>
      <c r="GP88" s="1628"/>
      <c r="GQ88" s="1628"/>
      <c r="GR88" s="1628"/>
      <c r="GS88" s="1628"/>
      <c r="GT88" s="1628"/>
      <c r="GW88" s="1867" t="s">
        <v>829</v>
      </c>
      <c r="GX88" s="1867"/>
      <c r="GY88" s="1867"/>
      <c r="GZ88" s="1628"/>
      <c r="HA88" s="1867"/>
      <c r="HB88" s="1628"/>
    </row>
    <row r="89" spans="1:211" s="1484" customFormat="1" ht="15" x14ac:dyDescent="0.25">
      <c r="A89" s="1638"/>
      <c r="B89" s="1633" t="s">
        <v>1755</v>
      </c>
      <c r="C89" s="2807" t="s">
        <v>2634</v>
      </c>
      <c r="D89" s="2807"/>
      <c r="E89" s="2807"/>
      <c r="F89" s="2807"/>
      <c r="G89" s="2807"/>
      <c r="H89" s="1634" t="s">
        <v>832</v>
      </c>
      <c r="I89" s="1639">
        <v>5</v>
      </c>
      <c r="J89" s="1855"/>
      <c r="K89" s="1639">
        <v>100</v>
      </c>
      <c r="L89" s="1654">
        <v>35.71</v>
      </c>
      <c r="M89" s="1655">
        <v>1.1100000000000001</v>
      </c>
      <c r="N89" s="1642">
        <v>39.64</v>
      </c>
      <c r="O89" s="1855"/>
      <c r="P89" s="1636">
        <v>3964</v>
      </c>
      <c r="Q89" s="1643"/>
      <c r="R89" s="1643"/>
      <c r="GO89" s="1619"/>
      <c r="GP89" s="1628"/>
      <c r="GQ89" s="1628"/>
      <c r="GR89" s="1628"/>
      <c r="GS89" s="1628"/>
      <c r="GT89" s="1628"/>
      <c r="GW89" s="1867"/>
      <c r="GX89" s="1867" t="s">
        <v>2634</v>
      </c>
      <c r="GY89" s="1867"/>
      <c r="GZ89" s="1628"/>
      <c r="HA89" s="1867"/>
      <c r="HB89" s="1628"/>
    </row>
    <row r="90" spans="1:211" s="1484" customFormat="1" ht="15" x14ac:dyDescent="0.25">
      <c r="A90" s="1658" t="s">
        <v>860</v>
      </c>
      <c r="B90" s="1659" t="s">
        <v>2065</v>
      </c>
      <c r="C90" s="2808" t="s">
        <v>6070</v>
      </c>
      <c r="D90" s="2808"/>
      <c r="E90" s="2808"/>
      <c r="F90" s="2808"/>
      <c r="G90" s="2808"/>
      <c r="H90" s="1660" t="s">
        <v>832</v>
      </c>
      <c r="I90" s="1661">
        <v>0</v>
      </c>
      <c r="J90" s="1662"/>
      <c r="K90" s="1661">
        <v>0</v>
      </c>
      <c r="L90" s="1663"/>
      <c r="M90" s="1662"/>
      <c r="N90" s="1663"/>
      <c r="O90" s="1662"/>
      <c r="P90" s="1664"/>
      <c r="GO90" s="1619"/>
      <c r="GP90" s="1628"/>
      <c r="GQ90" s="1628"/>
      <c r="GR90" s="1628"/>
      <c r="GS90" s="1628"/>
      <c r="GT90" s="1628"/>
      <c r="GW90" s="1867"/>
      <c r="GX90" s="1867"/>
      <c r="GY90" s="1867"/>
      <c r="GZ90" s="1628"/>
      <c r="HA90" s="1867"/>
      <c r="HB90" s="1628"/>
      <c r="HC90" s="1665" t="s">
        <v>6070</v>
      </c>
    </row>
    <row r="91" spans="1:211" s="1484" customFormat="1" ht="15" x14ac:dyDescent="0.25">
      <c r="A91" s="1647"/>
      <c r="B91" s="1631"/>
      <c r="C91" s="2803" t="s">
        <v>866</v>
      </c>
      <c r="D91" s="2803"/>
      <c r="E91" s="2803"/>
      <c r="F91" s="2803"/>
      <c r="G91" s="2803"/>
      <c r="H91" s="1621"/>
      <c r="I91" s="1622"/>
      <c r="J91" s="1622"/>
      <c r="K91" s="1622"/>
      <c r="L91" s="1625"/>
      <c r="M91" s="1622"/>
      <c r="N91" s="1648"/>
      <c r="O91" s="1622"/>
      <c r="P91" s="1649">
        <v>1007793.3</v>
      </c>
      <c r="Q91" s="1643"/>
      <c r="R91" s="1643"/>
      <c r="GO91" s="1619"/>
      <c r="GP91" s="1628"/>
      <c r="GQ91" s="1628"/>
      <c r="GR91" s="1628"/>
      <c r="GS91" s="1628"/>
      <c r="GT91" s="1628"/>
      <c r="GW91" s="1867"/>
      <c r="GX91" s="1867"/>
      <c r="GY91" s="1867"/>
      <c r="GZ91" s="1628" t="s">
        <v>866</v>
      </c>
      <c r="HA91" s="1867"/>
      <c r="HB91" s="1628"/>
      <c r="HC91" s="1665"/>
    </row>
    <row r="92" spans="1:211" s="1484" customFormat="1" ht="15" x14ac:dyDescent="0.25">
      <c r="A92" s="1644"/>
      <c r="B92" s="1633"/>
      <c r="C92" s="2807" t="s">
        <v>867</v>
      </c>
      <c r="D92" s="2807"/>
      <c r="E92" s="2807"/>
      <c r="F92" s="2807"/>
      <c r="G92" s="2807"/>
      <c r="H92" s="1634"/>
      <c r="I92" s="1855"/>
      <c r="J92" s="1855"/>
      <c r="K92" s="1855"/>
      <c r="L92" s="1635"/>
      <c r="M92" s="1855"/>
      <c r="N92" s="1635"/>
      <c r="O92" s="1855"/>
      <c r="P92" s="1636">
        <v>261601.44</v>
      </c>
      <c r="GO92" s="1619"/>
      <c r="GP92" s="1628"/>
      <c r="GQ92" s="1628"/>
      <c r="GR92" s="1628"/>
      <c r="GS92" s="1628"/>
      <c r="GT92" s="1628"/>
      <c r="GW92" s="1867"/>
      <c r="GX92" s="1867"/>
      <c r="GY92" s="1867"/>
      <c r="GZ92" s="1628"/>
      <c r="HA92" s="1867" t="s">
        <v>867</v>
      </c>
      <c r="HB92" s="1628"/>
      <c r="HC92" s="1665"/>
    </row>
    <row r="93" spans="1:211" s="1484" customFormat="1" ht="15" x14ac:dyDescent="0.25">
      <c r="A93" s="1644"/>
      <c r="B93" s="1633" t="s">
        <v>6071</v>
      </c>
      <c r="C93" s="2807" t="s">
        <v>6072</v>
      </c>
      <c r="D93" s="2807"/>
      <c r="E93" s="2807"/>
      <c r="F93" s="2807"/>
      <c r="G93" s="2807"/>
      <c r="H93" s="1634" t="s">
        <v>636</v>
      </c>
      <c r="I93" s="1639">
        <v>147</v>
      </c>
      <c r="J93" s="1855"/>
      <c r="K93" s="1639">
        <v>147</v>
      </c>
      <c r="L93" s="1635"/>
      <c r="M93" s="1855"/>
      <c r="N93" s="1635"/>
      <c r="O93" s="1855"/>
      <c r="P93" s="1636">
        <v>384554.12</v>
      </c>
      <c r="GO93" s="1619"/>
      <c r="GP93" s="1628"/>
      <c r="GQ93" s="1628"/>
      <c r="GR93" s="1628"/>
      <c r="GS93" s="1628"/>
      <c r="GT93" s="1628"/>
      <c r="GW93" s="1867"/>
      <c r="GX93" s="1867"/>
      <c r="GY93" s="1867"/>
      <c r="GZ93" s="1628"/>
      <c r="HA93" s="1867" t="s">
        <v>6072</v>
      </c>
      <c r="HB93" s="1628"/>
      <c r="HC93" s="1665"/>
    </row>
    <row r="94" spans="1:211" s="1484" customFormat="1" ht="15" x14ac:dyDescent="0.25">
      <c r="A94" s="1644"/>
      <c r="B94" s="1633" t="s">
        <v>6073</v>
      </c>
      <c r="C94" s="2807" t="s">
        <v>6074</v>
      </c>
      <c r="D94" s="2807"/>
      <c r="E94" s="2807"/>
      <c r="F94" s="2807"/>
      <c r="G94" s="2807"/>
      <c r="H94" s="1634" t="s">
        <v>636</v>
      </c>
      <c r="I94" s="1639">
        <v>134</v>
      </c>
      <c r="J94" s="1855"/>
      <c r="K94" s="1639">
        <v>134</v>
      </c>
      <c r="L94" s="1635"/>
      <c r="M94" s="1855"/>
      <c r="N94" s="1635"/>
      <c r="O94" s="1855"/>
      <c r="P94" s="1636">
        <v>350545.93</v>
      </c>
      <c r="GO94" s="1619"/>
      <c r="GP94" s="1628"/>
      <c r="GQ94" s="1628"/>
      <c r="GR94" s="1628"/>
      <c r="GS94" s="1628"/>
      <c r="GT94" s="1628"/>
      <c r="GW94" s="1867"/>
      <c r="GX94" s="1867"/>
      <c r="GY94" s="1867"/>
      <c r="GZ94" s="1628"/>
      <c r="HA94" s="1867" t="s">
        <v>6074</v>
      </c>
      <c r="HB94" s="1628"/>
      <c r="HC94" s="1665"/>
    </row>
    <row r="95" spans="1:211" s="1484" customFormat="1" ht="15" x14ac:dyDescent="0.25">
      <c r="A95" s="1650"/>
      <c r="B95" s="1651"/>
      <c r="C95" s="2803" t="s">
        <v>872</v>
      </c>
      <c r="D95" s="2803"/>
      <c r="E95" s="2803"/>
      <c r="F95" s="2803"/>
      <c r="G95" s="2803"/>
      <c r="H95" s="1621"/>
      <c r="I95" s="1622"/>
      <c r="J95" s="1622"/>
      <c r="K95" s="1622"/>
      <c r="L95" s="1625"/>
      <c r="M95" s="1622"/>
      <c r="N95" s="1648">
        <v>87144.67</v>
      </c>
      <c r="O95" s="1622"/>
      <c r="P95" s="1649">
        <v>1742893.35</v>
      </c>
      <c r="GO95" s="1619"/>
      <c r="GP95" s="1628"/>
      <c r="GQ95" s="1628"/>
      <c r="GR95" s="1628"/>
      <c r="GS95" s="1628"/>
      <c r="GT95" s="1628"/>
      <c r="GW95" s="1867"/>
      <c r="GX95" s="1867"/>
      <c r="GY95" s="1867"/>
      <c r="GZ95" s="1628"/>
      <c r="HA95" s="1867"/>
      <c r="HB95" s="1628" t="s">
        <v>872</v>
      </c>
      <c r="HC95" s="1665"/>
    </row>
    <row r="96" spans="1:211" s="1484" customFormat="1" ht="56.25" x14ac:dyDescent="0.25">
      <c r="A96" s="1620" t="s">
        <v>233</v>
      </c>
      <c r="B96" s="1863" t="s">
        <v>7848</v>
      </c>
      <c r="C96" s="2804" t="s">
        <v>4930</v>
      </c>
      <c r="D96" s="2804"/>
      <c r="E96" s="2804"/>
      <c r="F96" s="2804"/>
      <c r="G96" s="2804"/>
      <c r="H96" s="1621" t="s">
        <v>832</v>
      </c>
      <c r="I96" s="1622">
        <v>2200</v>
      </c>
      <c r="J96" s="1623">
        <v>1</v>
      </c>
      <c r="K96" s="1623">
        <v>2200</v>
      </c>
      <c r="L96" s="1625"/>
      <c r="M96" s="1622"/>
      <c r="N96" s="1666">
        <v>1537.52</v>
      </c>
      <c r="O96" s="1622"/>
      <c r="P96" s="1649">
        <v>4003802</v>
      </c>
      <c r="GO96" s="1619"/>
      <c r="GP96" s="1628" t="s">
        <v>4930</v>
      </c>
      <c r="GQ96" s="1628" t="s">
        <v>588</v>
      </c>
      <c r="GR96" s="1628" t="s">
        <v>588</v>
      </c>
      <c r="GS96" s="1628" t="s">
        <v>588</v>
      </c>
      <c r="GT96" s="1628" t="s">
        <v>588</v>
      </c>
      <c r="GW96" s="1867"/>
      <c r="GX96" s="1867"/>
      <c r="GY96" s="1867"/>
      <c r="GZ96" s="1628"/>
      <c r="HA96" s="1867"/>
      <c r="HB96" s="1628"/>
      <c r="HC96" s="1665"/>
    </row>
    <row r="97" spans="1:227" s="1484" customFormat="1" ht="15" x14ac:dyDescent="0.25">
      <c r="A97" s="1650"/>
      <c r="B97" s="1651"/>
      <c r="C97" s="2805" t="s">
        <v>6075</v>
      </c>
      <c r="D97" s="2805"/>
      <c r="E97" s="2805"/>
      <c r="F97" s="2805"/>
      <c r="G97" s="2805"/>
      <c r="H97" s="2805"/>
      <c r="I97" s="2805"/>
      <c r="J97" s="2805"/>
      <c r="K97" s="2805"/>
      <c r="L97" s="2805"/>
      <c r="M97" s="2805"/>
      <c r="N97" s="2805"/>
      <c r="O97" s="2805"/>
      <c r="P97" s="2806"/>
      <c r="GO97" s="1619"/>
      <c r="GP97" s="1628"/>
      <c r="GQ97" s="1628"/>
      <c r="GR97" s="1628"/>
      <c r="GS97" s="1628"/>
      <c r="GT97" s="1628"/>
      <c r="GW97" s="1867"/>
      <c r="GX97" s="1867"/>
      <c r="GY97" s="1867"/>
      <c r="GZ97" s="1628"/>
      <c r="HA97" s="1867"/>
      <c r="HB97" s="1628"/>
      <c r="HC97" s="1665"/>
      <c r="HD97" s="1864" t="s">
        <v>6075</v>
      </c>
      <c r="HE97" s="1864" t="s">
        <v>588</v>
      </c>
      <c r="HF97" s="1864" t="s">
        <v>588</v>
      </c>
      <c r="HG97" s="1864" t="s">
        <v>588</v>
      </c>
      <c r="HH97" s="1864" t="s">
        <v>588</v>
      </c>
      <c r="HI97" s="1864" t="s">
        <v>588</v>
      </c>
      <c r="HJ97" s="1864" t="s">
        <v>588</v>
      </c>
      <c r="HK97" s="1864" t="s">
        <v>588</v>
      </c>
      <c r="HL97" s="1864" t="s">
        <v>588</v>
      </c>
      <c r="HM97" s="1864" t="s">
        <v>588</v>
      </c>
      <c r="HN97" s="1864" t="s">
        <v>588</v>
      </c>
      <c r="HO97" s="1864" t="s">
        <v>588</v>
      </c>
      <c r="HP97" s="1864" t="s">
        <v>588</v>
      </c>
      <c r="HQ97" s="1864" t="s">
        <v>588</v>
      </c>
    </row>
    <row r="98" spans="1:227" s="1484" customFormat="1" ht="15" x14ac:dyDescent="0.25">
      <c r="A98" s="1629"/>
      <c r="B98" s="1862"/>
      <c r="C98" s="2805" t="s">
        <v>6076</v>
      </c>
      <c r="D98" s="2805"/>
      <c r="E98" s="2805"/>
      <c r="F98" s="2805"/>
      <c r="G98" s="2805"/>
      <c r="H98" s="2805"/>
      <c r="I98" s="2805"/>
      <c r="J98" s="2805"/>
      <c r="K98" s="2805"/>
      <c r="L98" s="2805"/>
      <c r="M98" s="2805"/>
      <c r="N98" s="2805"/>
      <c r="O98" s="2805"/>
      <c r="P98" s="2806"/>
      <c r="GO98" s="1619"/>
      <c r="GP98" s="1628"/>
      <c r="GQ98" s="1628"/>
      <c r="GR98" s="1628"/>
      <c r="GS98" s="1628"/>
      <c r="GT98" s="1628"/>
      <c r="GU98" s="1864" t="s">
        <v>6076</v>
      </c>
      <c r="GW98" s="1867"/>
      <c r="GX98" s="1867"/>
      <c r="GY98" s="1867"/>
      <c r="GZ98" s="1628"/>
      <c r="HA98" s="1867"/>
      <c r="HB98" s="1628"/>
      <c r="HC98" s="1665"/>
    </row>
    <row r="99" spans="1:227" s="1484" customFormat="1" ht="15" x14ac:dyDescent="0.25">
      <c r="A99" s="1644" t="s">
        <v>233</v>
      </c>
      <c r="B99" s="1633" t="s">
        <v>6077</v>
      </c>
      <c r="C99" s="2807" t="s">
        <v>6078</v>
      </c>
      <c r="D99" s="2807"/>
      <c r="E99" s="2807"/>
      <c r="F99" s="2807"/>
      <c r="G99" s="2807"/>
      <c r="H99" s="1634" t="s">
        <v>832</v>
      </c>
      <c r="I99" s="1639">
        <v>2200</v>
      </c>
      <c r="J99" s="1855"/>
      <c r="K99" s="1639">
        <v>2200</v>
      </c>
      <c r="L99" s="1645">
        <v>573.70000000000005</v>
      </c>
      <c r="M99" s="1646">
        <v>2.68</v>
      </c>
      <c r="N99" s="1642">
        <v>1537.52</v>
      </c>
      <c r="O99" s="1855"/>
      <c r="P99" s="1636">
        <v>3382544</v>
      </c>
      <c r="GO99" s="1619"/>
      <c r="GP99" s="1628"/>
      <c r="GQ99" s="1628"/>
      <c r="GR99" s="1628"/>
      <c r="GS99" s="1628"/>
      <c r="GT99" s="1628"/>
      <c r="GW99" s="1867"/>
      <c r="GX99" s="1867"/>
      <c r="GY99" s="1867"/>
      <c r="GZ99" s="1628"/>
      <c r="HA99" s="1867"/>
      <c r="HB99" s="1628"/>
      <c r="HC99" s="1665"/>
      <c r="HR99" s="1867" t="s">
        <v>6078</v>
      </c>
    </row>
    <row r="100" spans="1:227" s="1484" customFormat="1" ht="56.25" x14ac:dyDescent="0.25">
      <c r="A100" s="1644" t="s">
        <v>4415</v>
      </c>
      <c r="B100" s="1633" t="s">
        <v>6079</v>
      </c>
      <c r="C100" s="2807" t="s">
        <v>6080</v>
      </c>
      <c r="D100" s="2807"/>
      <c r="E100" s="2807"/>
      <c r="F100" s="2807"/>
      <c r="G100" s="2807"/>
      <c r="H100" s="1634" t="s">
        <v>5044</v>
      </c>
      <c r="I100" s="1855"/>
      <c r="J100" s="1855"/>
      <c r="K100" s="1639">
        <v>3300</v>
      </c>
      <c r="L100" s="1635"/>
      <c r="M100" s="1855"/>
      <c r="N100" s="1645">
        <v>347.1</v>
      </c>
      <c r="O100" s="1639">
        <v>-1</v>
      </c>
      <c r="P100" s="1636">
        <v>-1145430</v>
      </c>
      <c r="GO100" s="1619"/>
      <c r="GP100" s="1628"/>
      <c r="GQ100" s="1628"/>
      <c r="GR100" s="1628"/>
      <c r="GS100" s="1628"/>
      <c r="GT100" s="1628"/>
      <c r="GW100" s="1867"/>
      <c r="GX100" s="1867"/>
      <c r="GY100" s="1867"/>
      <c r="GZ100" s="1628"/>
      <c r="HA100" s="1867"/>
      <c r="HB100" s="1628"/>
      <c r="HC100" s="1665"/>
      <c r="HR100" s="1867"/>
      <c r="HS100" s="1867" t="s">
        <v>6080</v>
      </c>
    </row>
    <row r="101" spans="1:227" s="1484" customFormat="1" ht="56.25" x14ac:dyDescent="0.25">
      <c r="A101" s="1644" t="s">
        <v>6132</v>
      </c>
      <c r="B101" s="1633" t="s">
        <v>6082</v>
      </c>
      <c r="C101" s="2807" t="s">
        <v>6083</v>
      </c>
      <c r="D101" s="2807"/>
      <c r="E101" s="2807"/>
      <c r="F101" s="2807"/>
      <c r="G101" s="2807"/>
      <c r="H101" s="1634" t="s">
        <v>5044</v>
      </c>
      <c r="I101" s="1855"/>
      <c r="J101" s="1855"/>
      <c r="K101" s="1639">
        <v>3300</v>
      </c>
      <c r="L101" s="1635"/>
      <c r="M101" s="1855"/>
      <c r="N101" s="1645">
        <v>535.36</v>
      </c>
      <c r="O101" s="1855"/>
      <c r="P101" s="1636">
        <v>1766688</v>
      </c>
      <c r="GO101" s="1619"/>
      <c r="GP101" s="1628"/>
      <c r="GQ101" s="1628"/>
      <c r="GR101" s="1628"/>
      <c r="GS101" s="1628"/>
      <c r="GT101" s="1628"/>
      <c r="GW101" s="1867"/>
      <c r="GX101" s="1867"/>
      <c r="GY101" s="1867"/>
      <c r="GZ101" s="1628"/>
      <c r="HA101" s="1867"/>
      <c r="HB101" s="1628"/>
      <c r="HC101" s="1665"/>
      <c r="HR101" s="1867"/>
      <c r="HS101" s="1867" t="s">
        <v>6083</v>
      </c>
    </row>
    <row r="102" spans="1:227" s="1484" customFormat="1" ht="15" x14ac:dyDescent="0.25">
      <c r="A102" s="1650"/>
      <c r="B102" s="1651"/>
      <c r="C102" s="2803" t="s">
        <v>872</v>
      </c>
      <c r="D102" s="2803"/>
      <c r="E102" s="2803"/>
      <c r="F102" s="2803"/>
      <c r="G102" s="2803"/>
      <c r="H102" s="1621"/>
      <c r="I102" s="1622"/>
      <c r="J102" s="1622"/>
      <c r="K102" s="1622"/>
      <c r="L102" s="1625"/>
      <c r="M102" s="1622"/>
      <c r="N102" s="1625"/>
      <c r="O102" s="1622"/>
      <c r="P102" s="1649">
        <v>4003802</v>
      </c>
      <c r="GO102" s="1619"/>
      <c r="GP102" s="1628"/>
      <c r="GQ102" s="1628"/>
      <c r="GR102" s="1628"/>
      <c r="GS102" s="1628"/>
      <c r="GT102" s="1628"/>
      <c r="GW102" s="1867"/>
      <c r="GX102" s="1867"/>
      <c r="GY102" s="1867"/>
      <c r="GZ102" s="1628"/>
      <c r="HA102" s="1867"/>
      <c r="HB102" s="1628" t="s">
        <v>872</v>
      </c>
      <c r="HC102" s="1665"/>
      <c r="HR102" s="1867"/>
      <c r="HS102" s="1867"/>
    </row>
    <row r="103" spans="1:227" s="1484" customFormat="1" ht="22.5" x14ac:dyDescent="0.25">
      <c r="A103" s="1620" t="s">
        <v>238</v>
      </c>
      <c r="B103" s="1863" t="s">
        <v>6084</v>
      </c>
      <c r="C103" s="2804" t="s">
        <v>6085</v>
      </c>
      <c r="D103" s="2804"/>
      <c r="E103" s="2804"/>
      <c r="F103" s="2804"/>
      <c r="G103" s="2804"/>
      <c r="H103" s="1621" t="s">
        <v>2499</v>
      </c>
      <c r="I103" s="1622">
        <v>20</v>
      </c>
      <c r="J103" s="1623">
        <v>1</v>
      </c>
      <c r="K103" s="1623">
        <v>20</v>
      </c>
      <c r="L103" s="1625"/>
      <c r="M103" s="1622"/>
      <c r="N103" s="1626"/>
      <c r="O103" s="1622"/>
      <c r="P103" s="1627"/>
      <c r="GO103" s="1619"/>
      <c r="GP103" s="1628" t="s">
        <v>6085</v>
      </c>
      <c r="GQ103" s="1628" t="s">
        <v>588</v>
      </c>
      <c r="GR103" s="1628" t="s">
        <v>588</v>
      </c>
      <c r="GS103" s="1628" t="s">
        <v>588</v>
      </c>
      <c r="GT103" s="1628" t="s">
        <v>588</v>
      </c>
      <c r="GW103" s="1867"/>
      <c r="GX103" s="1867"/>
      <c r="GY103" s="1867"/>
      <c r="GZ103" s="1628"/>
      <c r="HA103" s="1867"/>
      <c r="HB103" s="1628"/>
      <c r="HC103" s="1665"/>
      <c r="HR103" s="1867"/>
      <c r="HS103" s="1867"/>
    </row>
    <row r="104" spans="1:227" s="1484" customFormat="1" ht="15" x14ac:dyDescent="0.25">
      <c r="A104" s="1629"/>
      <c r="B104" s="1862"/>
      <c r="C104" s="2805" t="s">
        <v>6068</v>
      </c>
      <c r="D104" s="2805"/>
      <c r="E104" s="2805"/>
      <c r="F104" s="2805"/>
      <c r="G104" s="2805"/>
      <c r="H104" s="2805"/>
      <c r="I104" s="2805"/>
      <c r="J104" s="2805"/>
      <c r="K104" s="2805"/>
      <c r="L104" s="2805"/>
      <c r="M104" s="2805"/>
      <c r="N104" s="2805"/>
      <c r="O104" s="2805"/>
      <c r="P104" s="2806"/>
      <c r="GO104" s="1619"/>
      <c r="GP104" s="1628"/>
      <c r="GQ104" s="1628"/>
      <c r="GR104" s="1628"/>
      <c r="GS104" s="1628"/>
      <c r="GT104" s="1628"/>
      <c r="GU104" s="1864" t="s">
        <v>6068</v>
      </c>
      <c r="GW104" s="1867"/>
      <c r="GX104" s="1867"/>
      <c r="GY104" s="1867"/>
      <c r="GZ104" s="1628"/>
      <c r="HA104" s="1867"/>
      <c r="HB104" s="1628"/>
      <c r="HC104" s="1665"/>
      <c r="HR104" s="1867"/>
      <c r="HS104" s="1867"/>
    </row>
    <row r="105" spans="1:227" s="1484" customFormat="1" ht="22.5" x14ac:dyDescent="0.25">
      <c r="A105" s="1630"/>
      <c r="B105" s="1631" t="s">
        <v>6062</v>
      </c>
      <c r="C105" s="2809" t="s">
        <v>6063</v>
      </c>
      <c r="D105" s="2809"/>
      <c r="E105" s="2809"/>
      <c r="F105" s="2809"/>
      <c r="G105" s="2809"/>
      <c r="H105" s="2809"/>
      <c r="I105" s="2809"/>
      <c r="J105" s="2809"/>
      <c r="K105" s="2809"/>
      <c r="L105" s="2809"/>
      <c r="M105" s="2809"/>
      <c r="N105" s="2809"/>
      <c r="O105" s="2809"/>
      <c r="P105" s="2810"/>
      <c r="GO105" s="1619"/>
      <c r="GP105" s="1628"/>
      <c r="GQ105" s="1628"/>
      <c r="GR105" s="1628"/>
      <c r="GS105" s="1628"/>
      <c r="GT105" s="1628"/>
      <c r="GV105" s="1864" t="s">
        <v>6063</v>
      </c>
      <c r="GW105" s="1867"/>
      <c r="GX105" s="1867"/>
      <c r="GY105" s="1867"/>
      <c r="GZ105" s="1628"/>
      <c r="HA105" s="1867"/>
      <c r="HB105" s="1628"/>
      <c r="HC105" s="1665"/>
      <c r="HR105" s="1867"/>
      <c r="HS105" s="1867"/>
    </row>
    <row r="106" spans="1:227" s="1484" customFormat="1" ht="15" x14ac:dyDescent="0.25">
      <c r="A106" s="1632"/>
      <c r="B106" s="1633" t="s">
        <v>190</v>
      </c>
      <c r="C106" s="2807" t="s">
        <v>806</v>
      </c>
      <c r="D106" s="2807"/>
      <c r="E106" s="2807"/>
      <c r="F106" s="2807"/>
      <c r="G106" s="2807"/>
      <c r="H106" s="1634" t="s">
        <v>807</v>
      </c>
      <c r="I106" s="1855"/>
      <c r="J106" s="1855"/>
      <c r="K106" s="1639">
        <v>432</v>
      </c>
      <c r="L106" s="1635"/>
      <c r="M106" s="1855"/>
      <c r="N106" s="1635"/>
      <c r="O106" s="1855"/>
      <c r="P106" s="1636">
        <v>159586.20000000001</v>
      </c>
      <c r="GO106" s="1619"/>
      <c r="GP106" s="1628"/>
      <c r="GQ106" s="1628"/>
      <c r="GR106" s="1628"/>
      <c r="GS106" s="1628"/>
      <c r="GT106" s="1628"/>
      <c r="GW106" s="1867" t="s">
        <v>806</v>
      </c>
      <c r="GX106" s="1867"/>
      <c r="GY106" s="1867"/>
      <c r="GZ106" s="1628"/>
      <c r="HA106" s="1867"/>
      <c r="HB106" s="1628"/>
      <c r="HC106" s="1665"/>
      <c r="HR106" s="1867"/>
      <c r="HS106" s="1867"/>
    </row>
    <row r="107" spans="1:227" s="1484" customFormat="1" ht="15" x14ac:dyDescent="0.25">
      <c r="A107" s="1638"/>
      <c r="B107" s="1633" t="s">
        <v>5039</v>
      </c>
      <c r="C107" s="2807" t="s">
        <v>5040</v>
      </c>
      <c r="D107" s="2807"/>
      <c r="E107" s="2807"/>
      <c r="F107" s="2807"/>
      <c r="G107" s="2807"/>
      <c r="H107" s="1634" t="s">
        <v>807</v>
      </c>
      <c r="I107" s="1637">
        <v>21.6</v>
      </c>
      <c r="J107" s="1855"/>
      <c r="K107" s="1639">
        <v>432</v>
      </c>
      <c r="L107" s="1640"/>
      <c r="M107" s="1641"/>
      <c r="N107" s="1642">
        <v>295.52999999999997</v>
      </c>
      <c r="O107" s="1646">
        <v>1.25</v>
      </c>
      <c r="P107" s="1636">
        <v>159586.20000000001</v>
      </c>
      <c r="Q107" s="1643"/>
      <c r="R107" s="1643"/>
      <c r="GO107" s="1619"/>
      <c r="GP107" s="1628"/>
      <c r="GQ107" s="1628"/>
      <c r="GR107" s="1628"/>
      <c r="GS107" s="1628"/>
      <c r="GT107" s="1628"/>
      <c r="GW107" s="1867"/>
      <c r="GX107" s="1867" t="s">
        <v>5040</v>
      </c>
      <c r="GY107" s="1867"/>
      <c r="GZ107" s="1628"/>
      <c r="HA107" s="1867"/>
      <c r="HB107" s="1628"/>
      <c r="HC107" s="1665"/>
      <c r="HR107" s="1867"/>
      <c r="HS107" s="1867"/>
    </row>
    <row r="108" spans="1:227" s="1484" customFormat="1" ht="15" x14ac:dyDescent="0.25">
      <c r="A108" s="1632"/>
      <c r="B108" s="1633" t="s">
        <v>639</v>
      </c>
      <c r="C108" s="2807" t="s">
        <v>697</v>
      </c>
      <c r="D108" s="2807"/>
      <c r="E108" s="2807"/>
      <c r="F108" s="2807"/>
      <c r="G108" s="2807"/>
      <c r="H108" s="1634"/>
      <c r="I108" s="1855"/>
      <c r="J108" s="1855"/>
      <c r="K108" s="1855"/>
      <c r="L108" s="1635"/>
      <c r="M108" s="1855"/>
      <c r="N108" s="1635"/>
      <c r="O108" s="1855"/>
      <c r="P108" s="1636">
        <v>1138996.17</v>
      </c>
      <c r="GO108" s="1619"/>
      <c r="GP108" s="1628"/>
      <c r="GQ108" s="1628"/>
      <c r="GR108" s="1628"/>
      <c r="GS108" s="1628"/>
      <c r="GT108" s="1628"/>
      <c r="GW108" s="1867" t="s">
        <v>697</v>
      </c>
      <c r="GX108" s="1867"/>
      <c r="GY108" s="1867"/>
      <c r="GZ108" s="1628"/>
      <c r="HA108" s="1867"/>
      <c r="HB108" s="1628"/>
      <c r="HC108" s="1665"/>
      <c r="HR108" s="1867"/>
      <c r="HS108" s="1867"/>
    </row>
    <row r="109" spans="1:227" s="1484" customFormat="1" ht="15" x14ac:dyDescent="0.25">
      <c r="A109" s="1632"/>
      <c r="B109" s="1633"/>
      <c r="C109" s="2807" t="s">
        <v>811</v>
      </c>
      <c r="D109" s="2807"/>
      <c r="E109" s="2807"/>
      <c r="F109" s="2807"/>
      <c r="G109" s="2807"/>
      <c r="H109" s="1634" t="s">
        <v>807</v>
      </c>
      <c r="I109" s="1855"/>
      <c r="J109" s="1855"/>
      <c r="K109" s="1639">
        <v>412</v>
      </c>
      <c r="L109" s="1635"/>
      <c r="M109" s="1855"/>
      <c r="N109" s="1635"/>
      <c r="O109" s="1855"/>
      <c r="P109" s="1636">
        <v>237234.16</v>
      </c>
      <c r="GO109" s="1619"/>
      <c r="GP109" s="1628"/>
      <c r="GQ109" s="1628"/>
      <c r="GR109" s="1628"/>
      <c r="GS109" s="1628"/>
      <c r="GT109" s="1628"/>
      <c r="GW109" s="1867" t="s">
        <v>811</v>
      </c>
      <c r="GX109" s="1867"/>
      <c r="GY109" s="1867"/>
      <c r="GZ109" s="1628"/>
      <c r="HA109" s="1867"/>
      <c r="HB109" s="1628"/>
      <c r="HC109" s="1665"/>
      <c r="HR109" s="1867"/>
      <c r="HS109" s="1867"/>
    </row>
    <row r="110" spans="1:227" s="1484" customFormat="1" ht="15" x14ac:dyDescent="0.25">
      <c r="A110" s="1638"/>
      <c r="B110" s="1633" t="s">
        <v>1968</v>
      </c>
      <c r="C110" s="2807" t="s">
        <v>4995</v>
      </c>
      <c r="D110" s="2807"/>
      <c r="E110" s="2807"/>
      <c r="F110" s="2807"/>
      <c r="G110" s="2807"/>
      <c r="H110" s="1634" t="s">
        <v>4994</v>
      </c>
      <c r="I110" s="1646">
        <v>2.59</v>
      </c>
      <c r="J110" s="1855"/>
      <c r="K110" s="1637">
        <v>51.8</v>
      </c>
      <c r="L110" s="1654">
        <v>887.54</v>
      </c>
      <c r="M110" s="1953">
        <v>1.3</v>
      </c>
      <c r="N110" s="1642">
        <v>1153.8</v>
      </c>
      <c r="O110" s="1855"/>
      <c r="P110" s="1636">
        <v>59766.84</v>
      </c>
      <c r="Q110" s="1643"/>
      <c r="R110" s="1643"/>
      <c r="GO110" s="1619"/>
      <c r="GP110" s="1628"/>
      <c r="GQ110" s="1628"/>
      <c r="GR110" s="1628"/>
      <c r="GS110" s="1628"/>
      <c r="GT110" s="1628"/>
      <c r="GW110" s="1867"/>
      <c r="GX110" s="1867" t="s">
        <v>4995</v>
      </c>
      <c r="GY110" s="1867"/>
      <c r="GZ110" s="1628"/>
      <c r="HA110" s="1867"/>
      <c r="HB110" s="1628"/>
      <c r="HC110" s="1665"/>
      <c r="HR110" s="1867"/>
      <c r="HS110" s="1867"/>
    </row>
    <row r="111" spans="1:227" s="1484" customFormat="1" ht="15" x14ac:dyDescent="0.25">
      <c r="A111" s="1644"/>
      <c r="B111" s="1633" t="s">
        <v>815</v>
      </c>
      <c r="C111" s="2807" t="s">
        <v>816</v>
      </c>
      <c r="D111" s="2807"/>
      <c r="E111" s="2807"/>
      <c r="F111" s="2807"/>
      <c r="G111" s="2807"/>
      <c r="H111" s="1634" t="s">
        <v>807</v>
      </c>
      <c r="I111" s="1646">
        <v>2.59</v>
      </c>
      <c r="J111" s="1855"/>
      <c r="K111" s="1637">
        <v>51.8</v>
      </c>
      <c r="L111" s="1635"/>
      <c r="M111" s="1855"/>
      <c r="N111" s="1645">
        <v>474.97</v>
      </c>
      <c r="O111" s="1646">
        <v>1.25</v>
      </c>
      <c r="P111" s="1636">
        <v>30754.31</v>
      </c>
      <c r="GO111" s="1619"/>
      <c r="GP111" s="1628"/>
      <c r="GQ111" s="1628"/>
      <c r="GR111" s="1628"/>
      <c r="GS111" s="1628"/>
      <c r="GT111" s="1628"/>
      <c r="GW111" s="1867"/>
      <c r="GX111" s="1867"/>
      <c r="GY111" s="1867" t="s">
        <v>816</v>
      </c>
      <c r="GZ111" s="1628"/>
      <c r="HA111" s="1867"/>
      <c r="HB111" s="1628"/>
      <c r="HC111" s="1665"/>
      <c r="HR111" s="1867"/>
      <c r="HS111" s="1867"/>
    </row>
    <row r="112" spans="1:227" s="1484" customFormat="1" ht="15" x14ac:dyDescent="0.25">
      <c r="A112" s="1638"/>
      <c r="B112" s="1633" t="s">
        <v>3917</v>
      </c>
      <c r="C112" s="2807" t="s">
        <v>4996</v>
      </c>
      <c r="D112" s="2807"/>
      <c r="E112" s="2807"/>
      <c r="F112" s="2807"/>
      <c r="G112" s="2807"/>
      <c r="H112" s="1634" t="s">
        <v>4994</v>
      </c>
      <c r="I112" s="1637">
        <v>2.2999999999999998</v>
      </c>
      <c r="J112" s="1855"/>
      <c r="K112" s="1639">
        <v>46</v>
      </c>
      <c r="L112" s="1657">
        <v>1933</v>
      </c>
      <c r="M112" s="1655">
        <v>1.27</v>
      </c>
      <c r="N112" s="1642">
        <v>2454.91</v>
      </c>
      <c r="O112" s="1855"/>
      <c r="P112" s="1636">
        <v>112925.86</v>
      </c>
      <c r="Q112" s="1643"/>
      <c r="R112" s="1643"/>
      <c r="GO112" s="1619"/>
      <c r="GP112" s="1628"/>
      <c r="GQ112" s="1628"/>
      <c r="GR112" s="1628"/>
      <c r="GS112" s="1628"/>
      <c r="GT112" s="1628"/>
      <c r="GW112" s="1867"/>
      <c r="GX112" s="1867" t="s">
        <v>4996</v>
      </c>
      <c r="GY112" s="1867"/>
      <c r="GZ112" s="1628"/>
      <c r="HA112" s="1867"/>
      <c r="HB112" s="1628"/>
      <c r="HC112" s="1665"/>
      <c r="HR112" s="1867"/>
      <c r="HS112" s="1867"/>
    </row>
    <row r="113" spans="1:227" s="1484" customFormat="1" ht="15" x14ac:dyDescent="0.25">
      <c r="A113" s="1644"/>
      <c r="B113" s="1633" t="s">
        <v>815</v>
      </c>
      <c r="C113" s="2807" t="s">
        <v>816</v>
      </c>
      <c r="D113" s="2807"/>
      <c r="E113" s="2807"/>
      <c r="F113" s="2807"/>
      <c r="G113" s="2807"/>
      <c r="H113" s="1634" t="s">
        <v>807</v>
      </c>
      <c r="I113" s="1637">
        <v>2.2999999999999998</v>
      </c>
      <c r="J113" s="1855"/>
      <c r="K113" s="1639">
        <v>46</v>
      </c>
      <c r="L113" s="1635"/>
      <c r="M113" s="1855"/>
      <c r="N113" s="1645">
        <v>474.97</v>
      </c>
      <c r="O113" s="1646">
        <v>1.25</v>
      </c>
      <c r="P113" s="1636">
        <v>27310.78</v>
      </c>
      <c r="GO113" s="1619"/>
      <c r="GP113" s="1628"/>
      <c r="GQ113" s="1628"/>
      <c r="GR113" s="1628"/>
      <c r="GS113" s="1628"/>
      <c r="GT113" s="1628"/>
      <c r="GW113" s="1867"/>
      <c r="GX113" s="1867"/>
      <c r="GY113" s="1867" t="s">
        <v>816</v>
      </c>
      <c r="GZ113" s="1628"/>
      <c r="HA113" s="1867"/>
      <c r="HB113" s="1628"/>
      <c r="HC113" s="1665"/>
      <c r="HR113" s="1867"/>
      <c r="HS113" s="1867"/>
    </row>
    <row r="114" spans="1:227" s="1484" customFormat="1" ht="33.75" x14ac:dyDescent="0.25">
      <c r="A114" s="1638"/>
      <c r="B114" s="1633" t="s">
        <v>1741</v>
      </c>
      <c r="C114" s="2807" t="s">
        <v>5006</v>
      </c>
      <c r="D114" s="2807"/>
      <c r="E114" s="2807"/>
      <c r="F114" s="2807"/>
      <c r="G114" s="2807"/>
      <c r="H114" s="1634" t="s">
        <v>4994</v>
      </c>
      <c r="I114" s="1646">
        <v>2.46</v>
      </c>
      <c r="J114" s="1855"/>
      <c r="K114" s="1637">
        <v>49.2</v>
      </c>
      <c r="L114" s="1640"/>
      <c r="M114" s="1641"/>
      <c r="N114" s="1642">
        <v>1591.13</v>
      </c>
      <c r="O114" s="1855"/>
      <c r="P114" s="1636">
        <v>78283.600000000006</v>
      </c>
      <c r="Q114" s="1643"/>
      <c r="R114" s="1643"/>
      <c r="GO114" s="1619"/>
      <c r="GP114" s="1628"/>
      <c r="GQ114" s="1628"/>
      <c r="GR114" s="1628"/>
      <c r="GS114" s="1628"/>
      <c r="GT114" s="1628"/>
      <c r="GW114" s="1867"/>
      <c r="GX114" s="1867" t="s">
        <v>5006</v>
      </c>
      <c r="GY114" s="1867"/>
      <c r="GZ114" s="1628"/>
      <c r="HA114" s="1867"/>
      <c r="HB114" s="1628"/>
      <c r="HC114" s="1665"/>
      <c r="HR114" s="1867"/>
      <c r="HS114" s="1867"/>
    </row>
    <row r="115" spans="1:227" s="1484" customFormat="1" ht="15" x14ac:dyDescent="0.25">
      <c r="A115" s="1644"/>
      <c r="B115" s="1633" t="s">
        <v>5043</v>
      </c>
      <c r="C115" s="2807" t="s">
        <v>6069</v>
      </c>
      <c r="D115" s="2807"/>
      <c r="E115" s="2807"/>
      <c r="F115" s="2807"/>
      <c r="G115" s="2807"/>
      <c r="H115" s="1634" t="s">
        <v>807</v>
      </c>
      <c r="I115" s="1646">
        <v>2.46</v>
      </c>
      <c r="J115" s="1855"/>
      <c r="K115" s="1637">
        <v>49.2</v>
      </c>
      <c r="L115" s="1635"/>
      <c r="M115" s="1855"/>
      <c r="N115" s="1645">
        <v>406.36</v>
      </c>
      <c r="O115" s="1646">
        <v>1.25</v>
      </c>
      <c r="P115" s="1636">
        <v>24991.14</v>
      </c>
      <c r="GO115" s="1619"/>
      <c r="GP115" s="1628"/>
      <c r="GQ115" s="1628"/>
      <c r="GR115" s="1628"/>
      <c r="GS115" s="1628"/>
      <c r="GT115" s="1628"/>
      <c r="GW115" s="1867"/>
      <c r="GX115" s="1867"/>
      <c r="GY115" s="1867" t="s">
        <v>6069</v>
      </c>
      <c r="GZ115" s="1628"/>
      <c r="HA115" s="1867"/>
      <c r="HB115" s="1628"/>
      <c r="HC115" s="1665"/>
      <c r="HR115" s="1867"/>
      <c r="HS115" s="1867"/>
    </row>
    <row r="116" spans="1:227" s="1484" customFormat="1" ht="15" x14ac:dyDescent="0.25">
      <c r="A116" s="1638"/>
      <c r="B116" s="1633" t="s">
        <v>3924</v>
      </c>
      <c r="C116" s="2807" t="s">
        <v>5018</v>
      </c>
      <c r="D116" s="2807"/>
      <c r="E116" s="2807"/>
      <c r="F116" s="2807"/>
      <c r="G116" s="2807"/>
      <c r="H116" s="1634" t="s">
        <v>4994</v>
      </c>
      <c r="I116" s="1646">
        <v>12.21</v>
      </c>
      <c r="J116" s="1855"/>
      <c r="K116" s="1637">
        <v>244.2</v>
      </c>
      <c r="L116" s="1657">
        <v>2391.6</v>
      </c>
      <c r="M116" s="1655">
        <v>1.47</v>
      </c>
      <c r="N116" s="1642">
        <v>3515.65</v>
      </c>
      <c r="O116" s="1855"/>
      <c r="P116" s="1636">
        <v>858521.73</v>
      </c>
      <c r="Q116" s="1643"/>
      <c r="R116" s="1643"/>
      <c r="GO116" s="1619"/>
      <c r="GP116" s="1628"/>
      <c r="GQ116" s="1628"/>
      <c r="GR116" s="1628"/>
      <c r="GS116" s="1628"/>
      <c r="GT116" s="1628"/>
      <c r="GW116" s="1867"/>
      <c r="GX116" s="1867" t="s">
        <v>5018</v>
      </c>
      <c r="GY116" s="1867"/>
      <c r="GZ116" s="1628"/>
      <c r="HA116" s="1867"/>
      <c r="HB116" s="1628"/>
      <c r="HC116" s="1665"/>
      <c r="HR116" s="1867"/>
      <c r="HS116" s="1867"/>
    </row>
    <row r="117" spans="1:227" s="1484" customFormat="1" ht="15" x14ac:dyDescent="0.25">
      <c r="A117" s="1644"/>
      <c r="B117" s="1633" t="s">
        <v>815</v>
      </c>
      <c r="C117" s="2807" t="s">
        <v>816</v>
      </c>
      <c r="D117" s="2807"/>
      <c r="E117" s="2807"/>
      <c r="F117" s="2807"/>
      <c r="G117" s="2807"/>
      <c r="H117" s="1634" t="s">
        <v>807</v>
      </c>
      <c r="I117" s="1646">
        <v>12.21</v>
      </c>
      <c r="J117" s="1855"/>
      <c r="K117" s="1637">
        <v>244.2</v>
      </c>
      <c r="L117" s="1635"/>
      <c r="M117" s="1855"/>
      <c r="N117" s="1645">
        <v>474.97</v>
      </c>
      <c r="O117" s="1646">
        <v>1.25</v>
      </c>
      <c r="P117" s="1636">
        <v>144984.59</v>
      </c>
      <c r="GO117" s="1619"/>
      <c r="GP117" s="1628"/>
      <c r="GQ117" s="1628"/>
      <c r="GR117" s="1628"/>
      <c r="GS117" s="1628"/>
      <c r="GT117" s="1628"/>
      <c r="GW117" s="1867"/>
      <c r="GX117" s="1867"/>
      <c r="GY117" s="1867" t="s">
        <v>816</v>
      </c>
      <c r="GZ117" s="1628"/>
      <c r="HA117" s="1867"/>
      <c r="HB117" s="1628"/>
      <c r="HC117" s="1665"/>
      <c r="HR117" s="1867"/>
      <c r="HS117" s="1867"/>
    </row>
    <row r="118" spans="1:227" s="1484" customFormat="1" ht="15" x14ac:dyDescent="0.25">
      <c r="A118" s="1638"/>
      <c r="B118" s="1633" t="s">
        <v>3220</v>
      </c>
      <c r="C118" s="2807" t="s">
        <v>5023</v>
      </c>
      <c r="D118" s="2807"/>
      <c r="E118" s="2807"/>
      <c r="F118" s="2807"/>
      <c r="G118" s="2807"/>
      <c r="H118" s="1634" t="s">
        <v>4994</v>
      </c>
      <c r="I118" s="1646">
        <v>1.04</v>
      </c>
      <c r="J118" s="1855"/>
      <c r="K118" s="1637">
        <v>20.8</v>
      </c>
      <c r="L118" s="1640"/>
      <c r="M118" s="1641"/>
      <c r="N118" s="1642">
        <v>1418.18</v>
      </c>
      <c r="O118" s="1855"/>
      <c r="P118" s="1636">
        <v>29498.14</v>
      </c>
      <c r="Q118" s="1643"/>
      <c r="R118" s="1643"/>
      <c r="GO118" s="1619"/>
      <c r="GP118" s="1628"/>
      <c r="GQ118" s="1628"/>
      <c r="GR118" s="1628"/>
      <c r="GS118" s="1628"/>
      <c r="GT118" s="1628"/>
      <c r="GW118" s="1867"/>
      <c r="GX118" s="1867" t="s">
        <v>5023</v>
      </c>
      <c r="GY118" s="1867"/>
      <c r="GZ118" s="1628"/>
      <c r="HA118" s="1867"/>
      <c r="HB118" s="1628"/>
      <c r="HC118" s="1665"/>
      <c r="HR118" s="1867"/>
      <c r="HS118" s="1867"/>
    </row>
    <row r="119" spans="1:227" s="1484" customFormat="1" ht="15" x14ac:dyDescent="0.25">
      <c r="A119" s="1644"/>
      <c r="B119" s="1633" t="s">
        <v>823</v>
      </c>
      <c r="C119" s="2807" t="s">
        <v>824</v>
      </c>
      <c r="D119" s="2807"/>
      <c r="E119" s="2807"/>
      <c r="F119" s="2807"/>
      <c r="G119" s="2807"/>
      <c r="H119" s="1634" t="s">
        <v>807</v>
      </c>
      <c r="I119" s="1646">
        <v>1.04</v>
      </c>
      <c r="J119" s="1855"/>
      <c r="K119" s="1637">
        <v>20.8</v>
      </c>
      <c r="L119" s="1635"/>
      <c r="M119" s="1855"/>
      <c r="N119" s="1645">
        <v>353.59</v>
      </c>
      <c r="O119" s="1646">
        <v>1.25</v>
      </c>
      <c r="P119" s="1636">
        <v>9193.34</v>
      </c>
      <c r="GO119" s="1619"/>
      <c r="GP119" s="1628"/>
      <c r="GQ119" s="1628"/>
      <c r="GR119" s="1628"/>
      <c r="GS119" s="1628"/>
      <c r="GT119" s="1628"/>
      <c r="GW119" s="1867"/>
      <c r="GX119" s="1867"/>
      <c r="GY119" s="1867" t="s">
        <v>824</v>
      </c>
      <c r="GZ119" s="1628"/>
      <c r="HA119" s="1867"/>
      <c r="HB119" s="1628"/>
      <c r="HC119" s="1665"/>
      <c r="HR119" s="1867"/>
      <c r="HS119" s="1867"/>
    </row>
    <row r="120" spans="1:227" s="1484" customFormat="1" ht="15" x14ac:dyDescent="0.25">
      <c r="A120" s="1632"/>
      <c r="B120" s="1633" t="s">
        <v>232</v>
      </c>
      <c r="C120" s="2807" t="s">
        <v>829</v>
      </c>
      <c r="D120" s="2807"/>
      <c r="E120" s="2807"/>
      <c r="F120" s="2807"/>
      <c r="G120" s="2807"/>
      <c r="H120" s="1634"/>
      <c r="I120" s="1855"/>
      <c r="J120" s="1855"/>
      <c r="K120" s="1855"/>
      <c r="L120" s="1635"/>
      <c r="M120" s="1855"/>
      <c r="N120" s="1635"/>
      <c r="O120" s="1855"/>
      <c r="P120" s="1636">
        <v>5549.6</v>
      </c>
      <c r="GO120" s="1619"/>
      <c r="GP120" s="1628"/>
      <c r="GQ120" s="1628"/>
      <c r="GR120" s="1628"/>
      <c r="GS120" s="1628"/>
      <c r="GT120" s="1628"/>
      <c r="GW120" s="1867" t="s">
        <v>829</v>
      </c>
      <c r="GX120" s="1867"/>
      <c r="GY120" s="1867"/>
      <c r="GZ120" s="1628"/>
      <c r="HA120" s="1867"/>
      <c r="HB120" s="1628"/>
      <c r="HC120" s="1665"/>
      <c r="HR120" s="1867"/>
      <c r="HS120" s="1867"/>
    </row>
    <row r="121" spans="1:227" s="1484" customFormat="1" ht="15" x14ac:dyDescent="0.25">
      <c r="A121" s="1638"/>
      <c r="B121" s="1633" t="s">
        <v>1755</v>
      </c>
      <c r="C121" s="2807" t="s">
        <v>2634</v>
      </c>
      <c r="D121" s="2807"/>
      <c r="E121" s="2807"/>
      <c r="F121" s="2807"/>
      <c r="G121" s="2807"/>
      <c r="H121" s="1634" t="s">
        <v>832</v>
      </c>
      <c r="I121" s="1639">
        <v>7</v>
      </c>
      <c r="J121" s="1855"/>
      <c r="K121" s="1639">
        <v>140</v>
      </c>
      <c r="L121" s="1654">
        <v>35.71</v>
      </c>
      <c r="M121" s="1655">
        <v>1.1100000000000001</v>
      </c>
      <c r="N121" s="1642">
        <v>39.64</v>
      </c>
      <c r="O121" s="1855"/>
      <c r="P121" s="1636">
        <v>5549.6</v>
      </c>
      <c r="Q121" s="1643"/>
      <c r="R121" s="1643"/>
      <c r="GO121" s="1619"/>
      <c r="GP121" s="1628"/>
      <c r="GQ121" s="1628"/>
      <c r="GR121" s="1628"/>
      <c r="GS121" s="1628"/>
      <c r="GT121" s="1628"/>
      <c r="GW121" s="1867"/>
      <c r="GX121" s="1867" t="s">
        <v>2634</v>
      </c>
      <c r="GY121" s="1867"/>
      <c r="GZ121" s="1628"/>
      <c r="HA121" s="1867"/>
      <c r="HB121" s="1628"/>
      <c r="HC121" s="1665"/>
      <c r="HR121" s="1867"/>
      <c r="HS121" s="1867"/>
    </row>
    <row r="122" spans="1:227" s="1484" customFormat="1" ht="15" x14ac:dyDescent="0.25">
      <c r="A122" s="1658" t="s">
        <v>860</v>
      </c>
      <c r="B122" s="1659" t="s">
        <v>3238</v>
      </c>
      <c r="C122" s="2808" t="s">
        <v>6086</v>
      </c>
      <c r="D122" s="2808"/>
      <c r="E122" s="2808"/>
      <c r="F122" s="2808"/>
      <c r="G122" s="2808"/>
      <c r="H122" s="1660" t="s">
        <v>832</v>
      </c>
      <c r="I122" s="1661">
        <v>0</v>
      </c>
      <c r="J122" s="1662"/>
      <c r="K122" s="1661">
        <v>0</v>
      </c>
      <c r="L122" s="1663"/>
      <c r="M122" s="1662"/>
      <c r="N122" s="1663"/>
      <c r="O122" s="1662"/>
      <c r="P122" s="1664"/>
      <c r="GO122" s="1619"/>
      <c r="GP122" s="1628"/>
      <c r="GQ122" s="1628"/>
      <c r="GR122" s="1628"/>
      <c r="GS122" s="1628"/>
      <c r="GT122" s="1628"/>
      <c r="GW122" s="1867"/>
      <c r="GX122" s="1867"/>
      <c r="GY122" s="1867"/>
      <c r="GZ122" s="1628"/>
      <c r="HA122" s="1867"/>
      <c r="HB122" s="1628"/>
      <c r="HC122" s="1665" t="s">
        <v>6086</v>
      </c>
      <c r="HR122" s="1867"/>
      <c r="HS122" s="1867"/>
    </row>
    <row r="123" spans="1:227" s="1484" customFormat="1" ht="15" x14ac:dyDescent="0.25">
      <c r="A123" s="1647"/>
      <c r="B123" s="1631"/>
      <c r="C123" s="2803" t="s">
        <v>866</v>
      </c>
      <c r="D123" s="2803"/>
      <c r="E123" s="2803"/>
      <c r="F123" s="2803"/>
      <c r="G123" s="2803"/>
      <c r="H123" s="1621"/>
      <c r="I123" s="1622"/>
      <c r="J123" s="1622"/>
      <c r="K123" s="1622"/>
      <c r="L123" s="1625"/>
      <c r="M123" s="1622"/>
      <c r="N123" s="1648"/>
      <c r="O123" s="1622"/>
      <c r="P123" s="1649">
        <v>1541366.13</v>
      </c>
      <c r="Q123" s="1643"/>
      <c r="R123" s="1643"/>
      <c r="GO123" s="1619"/>
      <c r="GP123" s="1628"/>
      <c r="GQ123" s="1628"/>
      <c r="GR123" s="1628"/>
      <c r="GS123" s="1628"/>
      <c r="GT123" s="1628"/>
      <c r="GW123" s="1867"/>
      <c r="GX123" s="1867"/>
      <c r="GY123" s="1867"/>
      <c r="GZ123" s="1628" t="s">
        <v>866</v>
      </c>
      <c r="HA123" s="1867"/>
      <c r="HB123" s="1628"/>
      <c r="HC123" s="1665"/>
      <c r="HR123" s="1867"/>
      <c r="HS123" s="1867"/>
    </row>
    <row r="124" spans="1:227" s="1484" customFormat="1" ht="15" x14ac:dyDescent="0.25">
      <c r="A124" s="1644"/>
      <c r="B124" s="1633"/>
      <c r="C124" s="2807" t="s">
        <v>867</v>
      </c>
      <c r="D124" s="2807"/>
      <c r="E124" s="2807"/>
      <c r="F124" s="2807"/>
      <c r="G124" s="2807"/>
      <c r="H124" s="1634"/>
      <c r="I124" s="1855"/>
      <c r="J124" s="1855"/>
      <c r="K124" s="1855"/>
      <c r="L124" s="1635"/>
      <c r="M124" s="1855"/>
      <c r="N124" s="1635"/>
      <c r="O124" s="1855"/>
      <c r="P124" s="1636">
        <v>396820.36</v>
      </c>
      <c r="GO124" s="1619"/>
      <c r="GP124" s="1628"/>
      <c r="GQ124" s="1628"/>
      <c r="GR124" s="1628"/>
      <c r="GS124" s="1628"/>
      <c r="GT124" s="1628"/>
      <c r="GW124" s="1867"/>
      <c r="GX124" s="1867"/>
      <c r="GY124" s="1867"/>
      <c r="GZ124" s="1628"/>
      <c r="HA124" s="1867" t="s">
        <v>867</v>
      </c>
      <c r="HB124" s="1628"/>
      <c r="HC124" s="1665"/>
      <c r="HR124" s="1867"/>
      <c r="HS124" s="1867"/>
    </row>
    <row r="125" spans="1:227" s="1484" customFormat="1" ht="15" x14ac:dyDescent="0.25">
      <c r="A125" s="1644"/>
      <c r="B125" s="1633" t="s">
        <v>6071</v>
      </c>
      <c r="C125" s="2807" t="s">
        <v>6072</v>
      </c>
      <c r="D125" s="2807"/>
      <c r="E125" s="2807"/>
      <c r="F125" s="2807"/>
      <c r="G125" s="2807"/>
      <c r="H125" s="1634" t="s">
        <v>636</v>
      </c>
      <c r="I125" s="1639">
        <v>147</v>
      </c>
      <c r="J125" s="1855"/>
      <c r="K125" s="1639">
        <v>147</v>
      </c>
      <c r="L125" s="1635"/>
      <c r="M125" s="1855"/>
      <c r="N125" s="1635"/>
      <c r="O125" s="1855"/>
      <c r="P125" s="1636">
        <v>583325.93000000005</v>
      </c>
      <c r="GO125" s="1619"/>
      <c r="GP125" s="1628"/>
      <c r="GQ125" s="1628"/>
      <c r="GR125" s="1628"/>
      <c r="GS125" s="1628"/>
      <c r="GT125" s="1628"/>
      <c r="GW125" s="1867"/>
      <c r="GX125" s="1867"/>
      <c r="GY125" s="1867"/>
      <c r="GZ125" s="1628"/>
      <c r="HA125" s="1867" t="s">
        <v>6072</v>
      </c>
      <c r="HB125" s="1628"/>
      <c r="HC125" s="1665"/>
      <c r="HR125" s="1867"/>
      <c r="HS125" s="1867"/>
    </row>
    <row r="126" spans="1:227" s="1484" customFormat="1" ht="15" x14ac:dyDescent="0.25">
      <c r="A126" s="1644"/>
      <c r="B126" s="1633" t="s">
        <v>6073</v>
      </c>
      <c r="C126" s="2807" t="s">
        <v>6074</v>
      </c>
      <c r="D126" s="2807"/>
      <c r="E126" s="2807"/>
      <c r="F126" s="2807"/>
      <c r="G126" s="2807"/>
      <c r="H126" s="1634" t="s">
        <v>636</v>
      </c>
      <c r="I126" s="1639">
        <v>134</v>
      </c>
      <c r="J126" s="1855"/>
      <c r="K126" s="1639">
        <v>134</v>
      </c>
      <c r="L126" s="1635"/>
      <c r="M126" s="1855"/>
      <c r="N126" s="1635"/>
      <c r="O126" s="1855"/>
      <c r="P126" s="1636">
        <v>531739.28</v>
      </c>
      <c r="GO126" s="1619"/>
      <c r="GP126" s="1628"/>
      <c r="GQ126" s="1628"/>
      <c r="GR126" s="1628"/>
      <c r="GS126" s="1628"/>
      <c r="GT126" s="1628"/>
      <c r="GW126" s="1867"/>
      <c r="GX126" s="1867"/>
      <c r="GY126" s="1867"/>
      <c r="GZ126" s="1628"/>
      <c r="HA126" s="1867" t="s">
        <v>6074</v>
      </c>
      <c r="HB126" s="1628"/>
      <c r="HC126" s="1665"/>
      <c r="HR126" s="1867"/>
      <c r="HS126" s="1867"/>
    </row>
    <row r="127" spans="1:227" s="1484" customFormat="1" ht="15" x14ac:dyDescent="0.25">
      <c r="A127" s="1650"/>
      <c r="B127" s="1651"/>
      <c r="C127" s="2803" t="s">
        <v>872</v>
      </c>
      <c r="D127" s="2803"/>
      <c r="E127" s="2803"/>
      <c r="F127" s="2803"/>
      <c r="G127" s="2803"/>
      <c r="H127" s="1621"/>
      <c r="I127" s="1622"/>
      <c r="J127" s="1622"/>
      <c r="K127" s="1622"/>
      <c r="L127" s="1625"/>
      <c r="M127" s="1622"/>
      <c r="N127" s="1648">
        <v>132821.57</v>
      </c>
      <c r="O127" s="1622"/>
      <c r="P127" s="1649">
        <v>2656431.34</v>
      </c>
      <c r="GO127" s="1619"/>
      <c r="GP127" s="1628"/>
      <c r="GQ127" s="1628"/>
      <c r="GR127" s="1628"/>
      <c r="GS127" s="1628"/>
      <c r="GT127" s="1628"/>
      <c r="GW127" s="1867"/>
      <c r="GX127" s="1867"/>
      <c r="GY127" s="1867"/>
      <c r="GZ127" s="1628"/>
      <c r="HA127" s="1867"/>
      <c r="HB127" s="1628" t="s">
        <v>872</v>
      </c>
      <c r="HC127" s="1665"/>
      <c r="HR127" s="1867"/>
      <c r="HS127" s="1867"/>
    </row>
    <row r="128" spans="1:227" s="1484" customFormat="1" ht="56.25" x14ac:dyDescent="0.25">
      <c r="A128" s="1620" t="s">
        <v>641</v>
      </c>
      <c r="B128" s="1863" t="s">
        <v>7847</v>
      </c>
      <c r="C128" s="2804" t="s">
        <v>4929</v>
      </c>
      <c r="D128" s="2804"/>
      <c r="E128" s="2804"/>
      <c r="F128" s="2804"/>
      <c r="G128" s="2804"/>
      <c r="H128" s="1621" t="s">
        <v>832</v>
      </c>
      <c r="I128" s="1622">
        <v>2520</v>
      </c>
      <c r="J128" s="1623">
        <v>1</v>
      </c>
      <c r="K128" s="1623">
        <v>2520</v>
      </c>
      <c r="L128" s="1625"/>
      <c r="M128" s="1622"/>
      <c r="N128" s="1666">
        <v>1681.1</v>
      </c>
      <c r="O128" s="1622"/>
      <c r="P128" s="1649">
        <v>4995436.32</v>
      </c>
      <c r="GO128" s="1619"/>
      <c r="GP128" s="1628" t="s">
        <v>4929</v>
      </c>
      <c r="GQ128" s="1628" t="s">
        <v>588</v>
      </c>
      <c r="GR128" s="1628" t="s">
        <v>588</v>
      </c>
      <c r="GS128" s="1628" t="s">
        <v>588</v>
      </c>
      <c r="GT128" s="1628" t="s">
        <v>588</v>
      </c>
      <c r="GW128" s="1867"/>
      <c r="GX128" s="1867"/>
      <c r="GY128" s="1867"/>
      <c r="GZ128" s="1628"/>
      <c r="HA128" s="1867"/>
      <c r="HB128" s="1628"/>
      <c r="HC128" s="1665"/>
      <c r="HR128" s="1867"/>
      <c r="HS128" s="1867"/>
    </row>
    <row r="129" spans="1:229" s="1484" customFormat="1" ht="15" x14ac:dyDescent="0.25">
      <c r="A129" s="1650"/>
      <c r="B129" s="1651"/>
      <c r="C129" s="2805" t="s">
        <v>6075</v>
      </c>
      <c r="D129" s="2805"/>
      <c r="E129" s="2805"/>
      <c r="F129" s="2805"/>
      <c r="G129" s="2805"/>
      <c r="H129" s="2805"/>
      <c r="I129" s="2805"/>
      <c r="J129" s="2805"/>
      <c r="K129" s="2805"/>
      <c r="L129" s="2805"/>
      <c r="M129" s="2805"/>
      <c r="N129" s="2805"/>
      <c r="O129" s="2805"/>
      <c r="P129" s="2806"/>
      <c r="GO129" s="1619"/>
      <c r="GP129" s="1628"/>
      <c r="GQ129" s="1628"/>
      <c r="GR129" s="1628"/>
      <c r="GS129" s="1628"/>
      <c r="GT129" s="1628"/>
      <c r="GW129" s="1867"/>
      <c r="GX129" s="1867"/>
      <c r="GY129" s="1867"/>
      <c r="GZ129" s="1628"/>
      <c r="HA129" s="1867"/>
      <c r="HB129" s="1628"/>
      <c r="HC129" s="1665"/>
      <c r="HD129" s="1864" t="s">
        <v>6075</v>
      </c>
      <c r="HE129" s="1864" t="s">
        <v>588</v>
      </c>
      <c r="HF129" s="1864" t="s">
        <v>588</v>
      </c>
      <c r="HG129" s="1864" t="s">
        <v>588</v>
      </c>
      <c r="HH129" s="1864" t="s">
        <v>588</v>
      </c>
      <c r="HI129" s="1864" t="s">
        <v>588</v>
      </c>
      <c r="HJ129" s="1864" t="s">
        <v>588</v>
      </c>
      <c r="HK129" s="1864" t="s">
        <v>588</v>
      </c>
      <c r="HL129" s="1864" t="s">
        <v>588</v>
      </c>
      <c r="HM129" s="1864" t="s">
        <v>588</v>
      </c>
      <c r="HN129" s="1864" t="s">
        <v>588</v>
      </c>
      <c r="HO129" s="1864" t="s">
        <v>588</v>
      </c>
      <c r="HP129" s="1864" t="s">
        <v>588</v>
      </c>
      <c r="HQ129" s="1864" t="s">
        <v>588</v>
      </c>
      <c r="HR129" s="1867"/>
      <c r="HS129" s="1867"/>
    </row>
    <row r="130" spans="1:229" s="1484" customFormat="1" ht="15" x14ac:dyDescent="0.25">
      <c r="A130" s="1629"/>
      <c r="B130" s="1862"/>
      <c r="C130" s="2805" t="s">
        <v>6087</v>
      </c>
      <c r="D130" s="2805"/>
      <c r="E130" s="2805"/>
      <c r="F130" s="2805"/>
      <c r="G130" s="2805"/>
      <c r="H130" s="2805"/>
      <c r="I130" s="2805"/>
      <c r="J130" s="2805"/>
      <c r="K130" s="2805"/>
      <c r="L130" s="2805"/>
      <c r="M130" s="2805"/>
      <c r="N130" s="2805"/>
      <c r="O130" s="2805"/>
      <c r="P130" s="2806"/>
      <c r="GO130" s="1619"/>
      <c r="GP130" s="1628"/>
      <c r="GQ130" s="1628"/>
      <c r="GR130" s="1628"/>
      <c r="GS130" s="1628"/>
      <c r="GT130" s="1628"/>
      <c r="GU130" s="1864" t="s">
        <v>6087</v>
      </c>
      <c r="GW130" s="1867"/>
      <c r="GX130" s="1867"/>
      <c r="GY130" s="1867"/>
      <c r="GZ130" s="1628"/>
      <c r="HA130" s="1867"/>
      <c r="HB130" s="1628"/>
      <c r="HC130" s="1665"/>
      <c r="HR130" s="1867"/>
      <c r="HS130" s="1867"/>
    </row>
    <row r="131" spans="1:229" s="1484" customFormat="1" ht="22.5" x14ac:dyDescent="0.25">
      <c r="A131" s="1644" t="s">
        <v>641</v>
      </c>
      <c r="B131" s="1633" t="s">
        <v>6088</v>
      </c>
      <c r="C131" s="2807" t="s">
        <v>6089</v>
      </c>
      <c r="D131" s="2807"/>
      <c r="E131" s="2807"/>
      <c r="F131" s="2807"/>
      <c r="G131" s="2807"/>
      <c r="H131" s="1634" t="s">
        <v>832</v>
      </c>
      <c r="I131" s="1639">
        <v>2520</v>
      </c>
      <c r="J131" s="1855"/>
      <c r="K131" s="1639">
        <v>2520</v>
      </c>
      <c r="L131" s="1642">
        <v>2898.44</v>
      </c>
      <c r="M131" s="1646">
        <v>0.57999999999999996</v>
      </c>
      <c r="N131" s="1642">
        <v>1681.1</v>
      </c>
      <c r="O131" s="1855"/>
      <c r="P131" s="1636">
        <v>4236372</v>
      </c>
      <c r="GO131" s="1619"/>
      <c r="GP131" s="1628"/>
      <c r="GQ131" s="1628"/>
      <c r="GR131" s="1628"/>
      <c r="GS131" s="1628"/>
      <c r="GT131" s="1628"/>
      <c r="GW131" s="1867"/>
      <c r="GX131" s="1867"/>
      <c r="GY131" s="1867"/>
      <c r="GZ131" s="1628"/>
      <c r="HA131" s="1867"/>
      <c r="HB131" s="1628"/>
      <c r="HC131" s="1665"/>
      <c r="HR131" s="1867" t="s">
        <v>6089</v>
      </c>
      <c r="HS131" s="1867"/>
    </row>
    <row r="132" spans="1:229" s="1484" customFormat="1" ht="56.25" x14ac:dyDescent="0.25">
      <c r="A132" s="1644" t="s">
        <v>4425</v>
      </c>
      <c r="B132" s="1633" t="s">
        <v>6090</v>
      </c>
      <c r="C132" s="2807" t="s">
        <v>6080</v>
      </c>
      <c r="D132" s="2807"/>
      <c r="E132" s="2807"/>
      <c r="F132" s="2807"/>
      <c r="G132" s="2807"/>
      <c r="H132" s="1634" t="s">
        <v>5044</v>
      </c>
      <c r="I132" s="1855"/>
      <c r="J132" s="1855"/>
      <c r="K132" s="1639">
        <v>4032</v>
      </c>
      <c r="L132" s="1635"/>
      <c r="M132" s="1855"/>
      <c r="N132" s="1645">
        <v>347.1</v>
      </c>
      <c r="O132" s="1639">
        <v>-1</v>
      </c>
      <c r="P132" s="1636">
        <v>-1399507.2</v>
      </c>
      <c r="GO132" s="1619"/>
      <c r="GP132" s="1628"/>
      <c r="GQ132" s="1628"/>
      <c r="GR132" s="1628"/>
      <c r="GS132" s="1628"/>
      <c r="GT132" s="1628"/>
      <c r="GW132" s="1867"/>
      <c r="GX132" s="1867"/>
      <c r="GY132" s="1867"/>
      <c r="GZ132" s="1628"/>
      <c r="HA132" s="1867"/>
      <c r="HB132" s="1628"/>
      <c r="HC132" s="1665"/>
      <c r="HR132" s="1867"/>
      <c r="HS132" s="1867" t="s">
        <v>6080</v>
      </c>
    </row>
    <row r="133" spans="1:229" s="1484" customFormat="1" ht="56.25" x14ac:dyDescent="0.25">
      <c r="A133" s="1644" t="s">
        <v>6081</v>
      </c>
      <c r="B133" s="1633" t="s">
        <v>6091</v>
      </c>
      <c r="C133" s="2807" t="s">
        <v>6083</v>
      </c>
      <c r="D133" s="2807"/>
      <c r="E133" s="2807"/>
      <c r="F133" s="2807"/>
      <c r="G133" s="2807"/>
      <c r="H133" s="1634" t="s">
        <v>5044</v>
      </c>
      <c r="I133" s="1855"/>
      <c r="J133" s="1855"/>
      <c r="K133" s="1639">
        <v>4032</v>
      </c>
      <c r="L133" s="1635"/>
      <c r="M133" s="1855"/>
      <c r="N133" s="1645">
        <v>535.36</v>
      </c>
      <c r="O133" s="1855"/>
      <c r="P133" s="1636">
        <v>2158571.52</v>
      </c>
      <c r="GO133" s="1619"/>
      <c r="GP133" s="1628"/>
      <c r="GQ133" s="1628"/>
      <c r="GR133" s="1628"/>
      <c r="GS133" s="1628"/>
      <c r="GT133" s="1628"/>
      <c r="GW133" s="1867"/>
      <c r="GX133" s="1867"/>
      <c r="GY133" s="1867"/>
      <c r="GZ133" s="1628"/>
      <c r="HA133" s="1867"/>
      <c r="HB133" s="1628"/>
      <c r="HC133" s="1665"/>
      <c r="HR133" s="1867"/>
      <c r="HS133" s="1867" t="s">
        <v>6083</v>
      </c>
    </row>
    <row r="134" spans="1:229" s="1484" customFormat="1" ht="15" x14ac:dyDescent="0.25">
      <c r="A134" s="1650"/>
      <c r="B134" s="1651"/>
      <c r="C134" s="2803" t="s">
        <v>872</v>
      </c>
      <c r="D134" s="2803"/>
      <c r="E134" s="2803"/>
      <c r="F134" s="2803"/>
      <c r="G134" s="2803"/>
      <c r="H134" s="1621"/>
      <c r="I134" s="1622"/>
      <c r="J134" s="1622"/>
      <c r="K134" s="1622"/>
      <c r="L134" s="1625"/>
      <c r="M134" s="1622"/>
      <c r="N134" s="1625"/>
      <c r="O134" s="1622"/>
      <c r="P134" s="1649">
        <v>4995436.32</v>
      </c>
      <c r="GO134" s="1619"/>
      <c r="GP134" s="1628"/>
      <c r="GQ134" s="1628"/>
      <c r="GR134" s="1628"/>
      <c r="GS134" s="1628"/>
      <c r="GT134" s="1628"/>
      <c r="GW134" s="1867"/>
      <c r="GX134" s="1867"/>
      <c r="GY134" s="1867"/>
      <c r="GZ134" s="1628"/>
      <c r="HA134" s="1867"/>
      <c r="HB134" s="1628" t="s">
        <v>872</v>
      </c>
      <c r="HC134" s="1665"/>
      <c r="HR134" s="1867"/>
      <c r="HS134" s="1867"/>
    </row>
    <row r="135" spans="1:229" s="1484" customFormat="1" ht="1.5" customHeight="1" x14ac:dyDescent="0.25">
      <c r="A135" s="1667"/>
      <c r="B135" s="1668"/>
      <c r="C135" s="1668"/>
      <c r="D135" s="1668"/>
      <c r="E135" s="1668"/>
      <c r="F135" s="1669"/>
      <c r="G135" s="1669"/>
      <c r="H135" s="1669"/>
      <c r="I135" s="1669"/>
      <c r="J135" s="1670"/>
      <c r="K135" s="1669"/>
      <c r="L135" s="1670"/>
      <c r="M135" s="1671"/>
      <c r="N135" s="1670"/>
      <c r="O135" s="1672"/>
      <c r="P135" s="1673"/>
      <c r="Q135" s="1674"/>
      <c r="R135" s="1675"/>
      <c r="GO135" s="1619"/>
      <c r="GP135" s="1628"/>
      <c r="GQ135" s="1628"/>
      <c r="GR135" s="1628"/>
      <c r="GS135" s="1628"/>
      <c r="GT135" s="1628"/>
      <c r="GW135" s="1867"/>
      <c r="GX135" s="1867"/>
      <c r="GY135" s="1867"/>
      <c r="GZ135" s="1628"/>
      <c r="HA135" s="1867"/>
      <c r="HB135" s="1628"/>
      <c r="HC135" s="1665"/>
      <c r="HR135" s="1867"/>
      <c r="HS135" s="1867"/>
    </row>
    <row r="136" spans="1:229" s="1484" customFormat="1" ht="15" x14ac:dyDescent="0.25">
      <c r="A136" s="1647"/>
      <c r="B136" s="1676"/>
      <c r="C136" s="2802" t="s">
        <v>6092</v>
      </c>
      <c r="D136" s="2802"/>
      <c r="E136" s="2802"/>
      <c r="F136" s="2802"/>
      <c r="G136" s="2802"/>
      <c r="H136" s="2802"/>
      <c r="I136" s="2802"/>
      <c r="J136" s="2802"/>
      <c r="K136" s="2802"/>
      <c r="L136" s="2802"/>
      <c r="M136" s="2802"/>
      <c r="N136" s="2802"/>
      <c r="O136" s="2802"/>
      <c r="P136" s="1677"/>
      <c r="Q136" s="1674"/>
      <c r="R136" s="1675"/>
      <c r="GO136" s="1619"/>
      <c r="GP136" s="1628"/>
      <c r="GQ136" s="1628"/>
      <c r="GR136" s="1628"/>
      <c r="GS136" s="1628"/>
      <c r="GT136" s="1628"/>
      <c r="GW136" s="1867"/>
      <c r="GX136" s="1867"/>
      <c r="GY136" s="1867"/>
      <c r="GZ136" s="1628"/>
      <c r="HA136" s="1867"/>
      <c r="HB136" s="1628"/>
      <c r="HC136" s="1665"/>
      <c r="HR136" s="1867"/>
      <c r="HS136" s="1867"/>
      <c r="HT136" s="1678" t="s">
        <v>6092</v>
      </c>
    </row>
    <row r="137" spans="1:229" s="1484" customFormat="1" ht="15" x14ac:dyDescent="0.25">
      <c r="A137" s="1647"/>
      <c r="B137" s="1631"/>
      <c r="C137" s="2801" t="s">
        <v>922</v>
      </c>
      <c r="D137" s="2801"/>
      <c r="E137" s="2801"/>
      <c r="F137" s="2801"/>
      <c r="G137" s="2801"/>
      <c r="H137" s="2801"/>
      <c r="I137" s="2801"/>
      <c r="J137" s="2801"/>
      <c r="K137" s="2801"/>
      <c r="L137" s="2801"/>
      <c r="M137" s="2801"/>
      <c r="N137" s="2801"/>
      <c r="O137" s="2801"/>
      <c r="P137" s="1679">
        <v>13265986.93</v>
      </c>
      <c r="Q137" s="1674"/>
      <c r="R137" s="1675"/>
      <c r="GO137" s="1619"/>
      <c r="GP137" s="1628"/>
      <c r="GQ137" s="1628"/>
      <c r="GR137" s="1628"/>
      <c r="GS137" s="1628"/>
      <c r="GT137" s="1628"/>
      <c r="GW137" s="1867"/>
      <c r="GX137" s="1867"/>
      <c r="GY137" s="1867"/>
      <c r="GZ137" s="1628"/>
      <c r="HA137" s="1867"/>
      <c r="HB137" s="1628"/>
      <c r="HC137" s="1665"/>
      <c r="HR137" s="1867"/>
      <c r="HS137" s="1867"/>
      <c r="HT137" s="1678"/>
      <c r="HU137" s="1680" t="s">
        <v>922</v>
      </c>
    </row>
    <row r="138" spans="1:229" s="1484" customFormat="1" ht="15" x14ac:dyDescent="0.25">
      <c r="A138" s="1647"/>
      <c r="B138" s="1631"/>
      <c r="C138" s="2801" t="s">
        <v>891</v>
      </c>
      <c r="D138" s="2801"/>
      <c r="E138" s="2801"/>
      <c r="F138" s="2801"/>
      <c r="G138" s="2801"/>
      <c r="H138" s="2801"/>
      <c r="I138" s="2801"/>
      <c r="J138" s="2801"/>
      <c r="K138" s="2801"/>
      <c r="L138" s="2801"/>
      <c r="M138" s="2801"/>
      <c r="N138" s="2801"/>
      <c r="O138" s="2801"/>
      <c r="P138" s="1681"/>
      <c r="Q138" s="1674"/>
      <c r="R138" s="1675"/>
      <c r="GO138" s="1619"/>
      <c r="GP138" s="1628"/>
      <c r="GQ138" s="1628"/>
      <c r="GR138" s="1628"/>
      <c r="GS138" s="1628"/>
      <c r="GT138" s="1628"/>
      <c r="GW138" s="1867"/>
      <c r="GX138" s="1867"/>
      <c r="GY138" s="1867"/>
      <c r="GZ138" s="1628"/>
      <c r="HA138" s="1867"/>
      <c r="HB138" s="1628"/>
      <c r="HC138" s="1665"/>
      <c r="HR138" s="1867"/>
      <c r="HS138" s="1867"/>
      <c r="HT138" s="1678"/>
      <c r="HU138" s="1680" t="s">
        <v>891</v>
      </c>
    </row>
    <row r="139" spans="1:229" s="1484" customFormat="1" ht="15" x14ac:dyDescent="0.25">
      <c r="A139" s="1647"/>
      <c r="B139" s="1631"/>
      <c r="C139" s="2801" t="s">
        <v>892</v>
      </c>
      <c r="D139" s="2801"/>
      <c r="E139" s="2801"/>
      <c r="F139" s="2801"/>
      <c r="G139" s="2801"/>
      <c r="H139" s="2801"/>
      <c r="I139" s="2801"/>
      <c r="J139" s="2801"/>
      <c r="K139" s="2801"/>
      <c r="L139" s="2801"/>
      <c r="M139" s="2801"/>
      <c r="N139" s="2801"/>
      <c r="O139" s="2801"/>
      <c r="P139" s="1679">
        <v>271587.03000000003</v>
      </c>
      <c r="Q139" s="1674"/>
      <c r="R139" s="1675"/>
      <c r="GO139" s="1619"/>
      <c r="GP139" s="1628"/>
      <c r="GQ139" s="1628"/>
      <c r="GR139" s="1628"/>
      <c r="GS139" s="1628"/>
      <c r="GT139" s="1628"/>
      <c r="GW139" s="1867"/>
      <c r="GX139" s="1867"/>
      <c r="GY139" s="1867"/>
      <c r="GZ139" s="1628"/>
      <c r="HA139" s="1867"/>
      <c r="HB139" s="1628"/>
      <c r="HC139" s="1665"/>
      <c r="HR139" s="1867"/>
      <c r="HS139" s="1867"/>
      <c r="HT139" s="1678"/>
      <c r="HU139" s="1680" t="s">
        <v>892</v>
      </c>
    </row>
    <row r="140" spans="1:229" s="1484" customFormat="1" ht="15" x14ac:dyDescent="0.25">
      <c r="A140" s="1647"/>
      <c r="B140" s="1631"/>
      <c r="C140" s="2801" t="s">
        <v>893</v>
      </c>
      <c r="D140" s="2801"/>
      <c r="E140" s="2801"/>
      <c r="F140" s="2801"/>
      <c r="G140" s="2801"/>
      <c r="H140" s="2801"/>
      <c r="I140" s="2801"/>
      <c r="J140" s="2801"/>
      <c r="K140" s="2801"/>
      <c r="L140" s="2801"/>
      <c r="M140" s="2801"/>
      <c r="N140" s="2801"/>
      <c r="O140" s="2801"/>
      <c r="P140" s="1679">
        <v>2176227.75</v>
      </c>
      <c r="Q140" s="1674"/>
      <c r="R140" s="1675"/>
      <c r="GO140" s="1619"/>
      <c r="GP140" s="1628"/>
      <c r="GQ140" s="1628"/>
      <c r="GR140" s="1628"/>
      <c r="GS140" s="1628"/>
      <c r="GT140" s="1628"/>
      <c r="GW140" s="1867"/>
      <c r="GX140" s="1867"/>
      <c r="GY140" s="1867"/>
      <c r="GZ140" s="1628"/>
      <c r="HA140" s="1867"/>
      <c r="HB140" s="1628"/>
      <c r="HC140" s="1665"/>
      <c r="HR140" s="1867"/>
      <c r="HS140" s="1867"/>
      <c r="HT140" s="1678"/>
      <c r="HU140" s="1680" t="s">
        <v>893</v>
      </c>
    </row>
    <row r="141" spans="1:229" s="1484" customFormat="1" ht="15" x14ac:dyDescent="0.25">
      <c r="A141" s="1647"/>
      <c r="B141" s="1631"/>
      <c r="C141" s="2801" t="s">
        <v>894</v>
      </c>
      <c r="D141" s="2801"/>
      <c r="E141" s="2801"/>
      <c r="F141" s="2801"/>
      <c r="G141" s="2801"/>
      <c r="H141" s="2801"/>
      <c r="I141" s="2801"/>
      <c r="J141" s="2801"/>
      <c r="K141" s="2801"/>
      <c r="L141" s="2801"/>
      <c r="M141" s="2801"/>
      <c r="N141" s="2801"/>
      <c r="O141" s="2801"/>
      <c r="P141" s="1679">
        <v>500350.22</v>
      </c>
      <c r="Q141" s="1674"/>
      <c r="R141" s="1675"/>
      <c r="GO141" s="1619"/>
      <c r="GP141" s="1628"/>
      <c r="GQ141" s="1628"/>
      <c r="GR141" s="1628"/>
      <c r="GS141" s="1628"/>
      <c r="GT141" s="1628"/>
      <c r="GW141" s="1867"/>
      <c r="GX141" s="1867"/>
      <c r="GY141" s="1867"/>
      <c r="GZ141" s="1628"/>
      <c r="HA141" s="1867"/>
      <c r="HB141" s="1628"/>
      <c r="HC141" s="1665"/>
      <c r="HR141" s="1867"/>
      <c r="HS141" s="1867"/>
      <c r="HT141" s="1678"/>
      <c r="HU141" s="1680" t="s">
        <v>894</v>
      </c>
    </row>
    <row r="142" spans="1:229" s="1484" customFormat="1" ht="15" x14ac:dyDescent="0.25">
      <c r="A142" s="1647"/>
      <c r="B142" s="1631"/>
      <c r="C142" s="2801" t="s">
        <v>895</v>
      </c>
      <c r="D142" s="2801"/>
      <c r="E142" s="2801"/>
      <c r="F142" s="2801"/>
      <c r="G142" s="2801"/>
      <c r="H142" s="2801"/>
      <c r="I142" s="2801"/>
      <c r="J142" s="2801"/>
      <c r="K142" s="2801"/>
      <c r="L142" s="2801"/>
      <c r="M142" s="2801"/>
      <c r="N142" s="2801"/>
      <c r="O142" s="2801"/>
      <c r="P142" s="1679">
        <v>9009059.9299999997</v>
      </c>
      <c r="Q142" s="1674"/>
      <c r="R142" s="1675"/>
      <c r="GO142" s="1619"/>
      <c r="GP142" s="1628"/>
      <c r="GQ142" s="1628"/>
      <c r="GR142" s="1628"/>
      <c r="GS142" s="1628"/>
      <c r="GT142" s="1628"/>
      <c r="GW142" s="1867"/>
      <c r="GX142" s="1867"/>
      <c r="GY142" s="1867"/>
      <c r="GZ142" s="1628"/>
      <c r="HA142" s="1867"/>
      <c r="HB142" s="1628"/>
      <c r="HC142" s="1665"/>
      <c r="HR142" s="1867"/>
      <c r="HS142" s="1867"/>
      <c r="HT142" s="1678"/>
      <c r="HU142" s="1680" t="s">
        <v>895</v>
      </c>
    </row>
    <row r="143" spans="1:229" s="1484" customFormat="1" ht="15" x14ac:dyDescent="0.25">
      <c r="A143" s="1647"/>
      <c r="B143" s="1631"/>
      <c r="C143" s="2801" t="s">
        <v>896</v>
      </c>
      <c r="D143" s="2801"/>
      <c r="E143" s="2801"/>
      <c r="F143" s="2801"/>
      <c r="G143" s="2801"/>
      <c r="H143" s="2801"/>
      <c r="I143" s="2801"/>
      <c r="J143" s="2801"/>
      <c r="K143" s="2801"/>
      <c r="L143" s="2801"/>
      <c r="M143" s="2801"/>
      <c r="N143" s="2801"/>
      <c r="O143" s="2801"/>
      <c r="P143" s="1679">
        <v>1308762</v>
      </c>
      <c r="Q143" s="1674"/>
      <c r="R143" s="1675"/>
      <c r="GO143" s="1619"/>
      <c r="GP143" s="1628"/>
      <c r="GQ143" s="1628"/>
      <c r="GR143" s="1628"/>
      <c r="GS143" s="1628"/>
      <c r="GT143" s="1628"/>
      <c r="GW143" s="1867"/>
      <c r="GX143" s="1867"/>
      <c r="GY143" s="1867"/>
      <c r="GZ143" s="1628"/>
      <c r="HA143" s="1867"/>
      <c r="HB143" s="1628"/>
      <c r="HC143" s="1665"/>
      <c r="HR143" s="1867"/>
      <c r="HS143" s="1867"/>
      <c r="HT143" s="1678"/>
      <c r="HU143" s="1680" t="s">
        <v>896</v>
      </c>
    </row>
    <row r="144" spans="1:229" s="1484" customFormat="1" ht="15" x14ac:dyDescent="0.25">
      <c r="A144" s="1647"/>
      <c r="B144" s="1631"/>
      <c r="C144" s="2801" t="s">
        <v>897</v>
      </c>
      <c r="D144" s="2801"/>
      <c r="E144" s="2801"/>
      <c r="F144" s="2801"/>
      <c r="G144" s="2801"/>
      <c r="H144" s="2801"/>
      <c r="I144" s="2801"/>
      <c r="J144" s="2801"/>
      <c r="K144" s="2801"/>
      <c r="L144" s="2801"/>
      <c r="M144" s="2801"/>
      <c r="N144" s="2801"/>
      <c r="O144" s="2801"/>
      <c r="P144" s="1679">
        <v>15272803.51</v>
      </c>
      <c r="Q144" s="1674"/>
      <c r="R144" s="1675"/>
      <c r="GO144" s="1619"/>
      <c r="GP144" s="1628"/>
      <c r="GQ144" s="1628"/>
      <c r="GR144" s="1628"/>
      <c r="GS144" s="1628"/>
      <c r="GT144" s="1628"/>
      <c r="GW144" s="1867"/>
      <c r="GX144" s="1867"/>
      <c r="GY144" s="1867"/>
      <c r="GZ144" s="1628"/>
      <c r="HA144" s="1867"/>
      <c r="HB144" s="1628"/>
      <c r="HC144" s="1665"/>
      <c r="HR144" s="1867"/>
      <c r="HS144" s="1867"/>
      <c r="HT144" s="1678"/>
      <c r="HU144" s="1680" t="s">
        <v>897</v>
      </c>
    </row>
    <row r="145" spans="1:231" s="1484" customFormat="1" ht="15" x14ac:dyDescent="0.25">
      <c r="A145" s="1647"/>
      <c r="B145" s="1631"/>
      <c r="C145" s="2801" t="s">
        <v>898</v>
      </c>
      <c r="D145" s="2801"/>
      <c r="E145" s="2801"/>
      <c r="F145" s="2801"/>
      <c r="G145" s="2801"/>
      <c r="H145" s="2801"/>
      <c r="I145" s="2801"/>
      <c r="J145" s="2801"/>
      <c r="K145" s="2801"/>
      <c r="L145" s="2801"/>
      <c r="M145" s="2801"/>
      <c r="N145" s="2801"/>
      <c r="O145" s="2801"/>
      <c r="P145" s="1679">
        <v>13964041.51</v>
      </c>
      <c r="Q145" s="1674"/>
      <c r="R145" s="1675"/>
      <c r="GO145" s="1619"/>
      <c r="GP145" s="1628"/>
      <c r="GQ145" s="1628"/>
      <c r="GR145" s="1628"/>
      <c r="GS145" s="1628"/>
      <c r="GT145" s="1628"/>
      <c r="GW145" s="1867"/>
      <c r="GX145" s="1867"/>
      <c r="GY145" s="1867"/>
      <c r="GZ145" s="1628"/>
      <c r="HA145" s="1867"/>
      <c r="HB145" s="1628"/>
      <c r="HC145" s="1665"/>
      <c r="HR145" s="1867"/>
      <c r="HS145" s="1867"/>
      <c r="HT145" s="1678"/>
      <c r="HU145" s="1680" t="s">
        <v>898</v>
      </c>
    </row>
    <row r="146" spans="1:231" s="1484" customFormat="1" ht="15" x14ac:dyDescent="0.25">
      <c r="A146" s="1647"/>
      <c r="B146" s="1631"/>
      <c r="C146" s="2801" t="s">
        <v>899</v>
      </c>
      <c r="D146" s="2801"/>
      <c r="E146" s="2801"/>
      <c r="F146" s="2801"/>
      <c r="G146" s="2801"/>
      <c r="H146" s="2801"/>
      <c r="I146" s="2801"/>
      <c r="J146" s="2801"/>
      <c r="K146" s="2801"/>
      <c r="L146" s="2801"/>
      <c r="M146" s="2801"/>
      <c r="N146" s="2801"/>
      <c r="O146" s="2801"/>
      <c r="P146" s="1681"/>
      <c r="Q146" s="1674"/>
      <c r="R146" s="1675"/>
      <c r="GO146" s="1619"/>
      <c r="GP146" s="1628"/>
      <c r="GQ146" s="1628"/>
      <c r="GR146" s="1628"/>
      <c r="GS146" s="1628"/>
      <c r="GT146" s="1628"/>
      <c r="GW146" s="1867"/>
      <c r="GX146" s="1867"/>
      <c r="GY146" s="1867"/>
      <c r="GZ146" s="1628"/>
      <c r="HA146" s="1867"/>
      <c r="HB146" s="1628"/>
      <c r="HC146" s="1665"/>
      <c r="HR146" s="1867"/>
      <c r="HS146" s="1867"/>
      <c r="HT146" s="1678"/>
      <c r="HU146" s="1680" t="s">
        <v>899</v>
      </c>
    </row>
    <row r="147" spans="1:231" s="1484" customFormat="1" ht="15" x14ac:dyDescent="0.25">
      <c r="A147" s="1647"/>
      <c r="B147" s="1631"/>
      <c r="C147" s="2801" t="s">
        <v>900</v>
      </c>
      <c r="D147" s="2801"/>
      <c r="E147" s="2801"/>
      <c r="F147" s="2801"/>
      <c r="G147" s="2801"/>
      <c r="H147" s="2801"/>
      <c r="I147" s="2801"/>
      <c r="J147" s="2801"/>
      <c r="K147" s="2801"/>
      <c r="L147" s="2801"/>
      <c r="M147" s="2801"/>
      <c r="N147" s="2801"/>
      <c r="O147" s="2801"/>
      <c r="P147" s="1679">
        <v>271587.03000000003</v>
      </c>
      <c r="Q147" s="1674"/>
      <c r="R147" s="1675"/>
      <c r="GO147" s="1619"/>
      <c r="GP147" s="1628"/>
      <c r="GQ147" s="1628"/>
      <c r="GR147" s="1628"/>
      <c r="GS147" s="1628"/>
      <c r="GT147" s="1628"/>
      <c r="GW147" s="1867"/>
      <c r="GX147" s="1867"/>
      <c r="GY147" s="1867"/>
      <c r="GZ147" s="1628"/>
      <c r="HA147" s="1867"/>
      <c r="HB147" s="1628"/>
      <c r="HC147" s="1665"/>
      <c r="HR147" s="1867"/>
      <c r="HS147" s="1867"/>
      <c r="HT147" s="1678"/>
      <c r="HU147" s="1680" t="s">
        <v>900</v>
      </c>
    </row>
    <row r="148" spans="1:231" s="1484" customFormat="1" ht="15" x14ac:dyDescent="0.25">
      <c r="A148" s="1647"/>
      <c r="B148" s="1631"/>
      <c r="C148" s="2801" t="s">
        <v>901</v>
      </c>
      <c r="D148" s="2801"/>
      <c r="E148" s="2801"/>
      <c r="F148" s="2801"/>
      <c r="G148" s="2801"/>
      <c r="H148" s="2801"/>
      <c r="I148" s="2801"/>
      <c r="J148" s="2801"/>
      <c r="K148" s="2801"/>
      <c r="L148" s="2801"/>
      <c r="M148" s="2801"/>
      <c r="N148" s="2801"/>
      <c r="O148" s="2801"/>
      <c r="P148" s="1679">
        <v>2176227.75</v>
      </c>
      <c r="Q148" s="1674"/>
      <c r="R148" s="1675"/>
      <c r="GO148" s="1619"/>
      <c r="GP148" s="1628"/>
      <c r="GQ148" s="1628"/>
      <c r="GR148" s="1628"/>
      <c r="GS148" s="1628"/>
      <c r="GT148" s="1628"/>
      <c r="GW148" s="1867"/>
      <c r="GX148" s="1867"/>
      <c r="GY148" s="1867"/>
      <c r="GZ148" s="1628"/>
      <c r="HA148" s="1867"/>
      <c r="HB148" s="1628"/>
      <c r="HC148" s="1665"/>
      <c r="HR148" s="1867"/>
      <c r="HS148" s="1867"/>
      <c r="HT148" s="1678"/>
      <c r="HU148" s="1680" t="s">
        <v>901</v>
      </c>
    </row>
    <row r="149" spans="1:231" s="1484" customFormat="1" ht="15" x14ac:dyDescent="0.25">
      <c r="A149" s="1647"/>
      <c r="B149" s="1631"/>
      <c r="C149" s="2801" t="s">
        <v>902</v>
      </c>
      <c r="D149" s="2801"/>
      <c r="E149" s="2801"/>
      <c r="F149" s="2801"/>
      <c r="G149" s="2801"/>
      <c r="H149" s="2801"/>
      <c r="I149" s="2801"/>
      <c r="J149" s="2801"/>
      <c r="K149" s="2801"/>
      <c r="L149" s="2801"/>
      <c r="M149" s="2801"/>
      <c r="N149" s="2801"/>
      <c r="O149" s="2801"/>
      <c r="P149" s="1679">
        <v>500350.22</v>
      </c>
      <c r="Q149" s="1674"/>
      <c r="R149" s="1675"/>
      <c r="GO149" s="1619"/>
      <c r="GP149" s="1628"/>
      <c r="GQ149" s="1628"/>
      <c r="GR149" s="1628"/>
      <c r="GS149" s="1628"/>
      <c r="GT149" s="1628"/>
      <c r="GW149" s="1867"/>
      <c r="GX149" s="1867"/>
      <c r="GY149" s="1867"/>
      <c r="GZ149" s="1628"/>
      <c r="HA149" s="1867"/>
      <c r="HB149" s="1628"/>
      <c r="HC149" s="1665"/>
      <c r="HR149" s="1867"/>
      <c r="HS149" s="1867"/>
      <c r="HT149" s="1678"/>
      <c r="HU149" s="1680" t="s">
        <v>902</v>
      </c>
    </row>
    <row r="150" spans="1:231" s="1484" customFormat="1" ht="15" x14ac:dyDescent="0.25">
      <c r="A150" s="1647"/>
      <c r="B150" s="1631"/>
      <c r="C150" s="2801" t="s">
        <v>903</v>
      </c>
      <c r="D150" s="2801"/>
      <c r="E150" s="2801"/>
      <c r="F150" s="2801"/>
      <c r="G150" s="2801"/>
      <c r="H150" s="2801"/>
      <c r="I150" s="2801"/>
      <c r="J150" s="2801"/>
      <c r="K150" s="2801"/>
      <c r="L150" s="2801"/>
      <c r="M150" s="2801"/>
      <c r="N150" s="2801"/>
      <c r="O150" s="2801"/>
      <c r="P150" s="1679">
        <v>9009059.9299999997</v>
      </c>
      <c r="Q150" s="1674"/>
      <c r="R150" s="1675"/>
      <c r="GO150" s="1619"/>
      <c r="GP150" s="1628"/>
      <c r="GQ150" s="1628"/>
      <c r="GR150" s="1628"/>
      <c r="GS150" s="1628"/>
      <c r="GT150" s="1628"/>
      <c r="GW150" s="1867"/>
      <c r="GX150" s="1867"/>
      <c r="GY150" s="1867"/>
      <c r="GZ150" s="1628"/>
      <c r="HA150" s="1867"/>
      <c r="HB150" s="1628"/>
      <c r="HC150" s="1665"/>
      <c r="HR150" s="1867"/>
      <c r="HS150" s="1867"/>
      <c r="HT150" s="1678"/>
      <c r="HU150" s="1680" t="s">
        <v>903</v>
      </c>
    </row>
    <row r="151" spans="1:231" s="1484" customFormat="1" ht="15" x14ac:dyDescent="0.25">
      <c r="A151" s="1647"/>
      <c r="B151" s="1631"/>
      <c r="C151" s="2801" t="s">
        <v>904</v>
      </c>
      <c r="D151" s="2801"/>
      <c r="E151" s="2801"/>
      <c r="F151" s="2801"/>
      <c r="G151" s="2801"/>
      <c r="H151" s="2801"/>
      <c r="I151" s="2801"/>
      <c r="J151" s="2801"/>
      <c r="K151" s="2801"/>
      <c r="L151" s="2801"/>
      <c r="M151" s="2801"/>
      <c r="N151" s="2801"/>
      <c r="O151" s="2801"/>
      <c r="P151" s="1679">
        <v>1072314.26</v>
      </c>
      <c r="Q151" s="1674"/>
      <c r="R151" s="1675"/>
      <c r="GO151" s="1619"/>
      <c r="GP151" s="1628"/>
      <c r="GQ151" s="1628"/>
      <c r="GR151" s="1628"/>
      <c r="GS151" s="1628"/>
      <c r="GT151" s="1628"/>
      <c r="GW151" s="1867"/>
      <c r="GX151" s="1867"/>
      <c r="GY151" s="1867"/>
      <c r="GZ151" s="1628"/>
      <c r="HA151" s="1867"/>
      <c r="HB151" s="1628"/>
      <c r="HC151" s="1665"/>
      <c r="HR151" s="1867"/>
      <c r="HS151" s="1867"/>
      <c r="HT151" s="1678"/>
      <c r="HU151" s="1680" t="s">
        <v>904</v>
      </c>
    </row>
    <row r="152" spans="1:231" s="1484" customFormat="1" ht="15" x14ac:dyDescent="0.25">
      <c r="A152" s="1647"/>
      <c r="B152" s="1631"/>
      <c r="C152" s="2801" t="s">
        <v>905</v>
      </c>
      <c r="D152" s="2801"/>
      <c r="E152" s="2801"/>
      <c r="F152" s="2801"/>
      <c r="G152" s="2801"/>
      <c r="H152" s="2801"/>
      <c r="I152" s="2801"/>
      <c r="J152" s="2801"/>
      <c r="K152" s="2801"/>
      <c r="L152" s="2801"/>
      <c r="M152" s="2801"/>
      <c r="N152" s="2801"/>
      <c r="O152" s="2801"/>
      <c r="P152" s="1679">
        <v>934502.32</v>
      </c>
      <c r="Q152" s="1674"/>
      <c r="R152" s="1675"/>
      <c r="GO152" s="1619"/>
      <c r="GP152" s="1628"/>
      <c r="GQ152" s="1628"/>
      <c r="GR152" s="1628"/>
      <c r="GS152" s="1628"/>
      <c r="GT152" s="1628"/>
      <c r="GW152" s="1867"/>
      <c r="GX152" s="1867"/>
      <c r="GY152" s="1867"/>
      <c r="GZ152" s="1628"/>
      <c r="HA152" s="1867"/>
      <c r="HB152" s="1628"/>
      <c r="HC152" s="1665"/>
      <c r="HR152" s="1867"/>
      <c r="HS152" s="1867"/>
      <c r="HT152" s="1678"/>
      <c r="HU152" s="1680" t="s">
        <v>905</v>
      </c>
    </row>
    <row r="153" spans="1:231" s="1484" customFormat="1" ht="15" x14ac:dyDescent="0.25">
      <c r="A153" s="1647"/>
      <c r="B153" s="1631"/>
      <c r="C153" s="2801" t="s">
        <v>906</v>
      </c>
      <c r="D153" s="2801"/>
      <c r="E153" s="2801"/>
      <c r="F153" s="2801"/>
      <c r="G153" s="2801"/>
      <c r="H153" s="2801"/>
      <c r="I153" s="2801"/>
      <c r="J153" s="2801"/>
      <c r="K153" s="2801"/>
      <c r="L153" s="2801"/>
      <c r="M153" s="2801"/>
      <c r="N153" s="2801"/>
      <c r="O153" s="2801"/>
      <c r="P153" s="1679">
        <v>1308762</v>
      </c>
      <c r="Q153" s="1674"/>
      <c r="R153" s="1675"/>
      <c r="GO153" s="1619"/>
      <c r="GP153" s="1628"/>
      <c r="GQ153" s="1628"/>
      <c r="GR153" s="1628"/>
      <c r="GS153" s="1628"/>
      <c r="GT153" s="1628"/>
      <c r="GW153" s="1867"/>
      <c r="GX153" s="1867"/>
      <c r="GY153" s="1867"/>
      <c r="GZ153" s="1628"/>
      <c r="HA153" s="1867"/>
      <c r="HB153" s="1628"/>
      <c r="HC153" s="1665"/>
      <c r="HR153" s="1867"/>
      <c r="HS153" s="1867"/>
      <c r="HT153" s="1678"/>
      <c r="HU153" s="1680" t="s">
        <v>906</v>
      </c>
    </row>
    <row r="154" spans="1:231" s="1484" customFormat="1" ht="15" x14ac:dyDescent="0.25">
      <c r="A154" s="1647"/>
      <c r="B154" s="1631"/>
      <c r="C154" s="2801" t="s">
        <v>923</v>
      </c>
      <c r="D154" s="2801"/>
      <c r="E154" s="2801"/>
      <c r="F154" s="2801"/>
      <c r="G154" s="2801"/>
      <c r="H154" s="2801"/>
      <c r="I154" s="2801"/>
      <c r="J154" s="2801"/>
      <c r="K154" s="2801"/>
      <c r="L154" s="2801"/>
      <c r="M154" s="2801"/>
      <c r="N154" s="2801"/>
      <c r="O154" s="2801"/>
      <c r="P154" s="1679">
        <v>771937.25</v>
      </c>
      <c r="Q154" s="1674"/>
      <c r="R154" s="1675"/>
      <c r="GO154" s="1619"/>
      <c r="GP154" s="1628"/>
      <c r="GQ154" s="1628"/>
      <c r="GR154" s="1628"/>
      <c r="GS154" s="1628"/>
      <c r="GT154" s="1628"/>
      <c r="GW154" s="1867"/>
      <c r="GX154" s="1867"/>
      <c r="GY154" s="1867"/>
      <c r="GZ154" s="1628"/>
      <c r="HA154" s="1867"/>
      <c r="HB154" s="1628"/>
      <c r="HC154" s="1665"/>
      <c r="HR154" s="1867"/>
      <c r="HS154" s="1867"/>
      <c r="HT154" s="1678"/>
      <c r="HU154" s="1680" t="s">
        <v>923</v>
      </c>
    </row>
    <row r="155" spans="1:231" s="1484" customFormat="1" ht="15" x14ac:dyDescent="0.25">
      <c r="A155" s="1647"/>
      <c r="B155" s="1631"/>
      <c r="C155" s="2801" t="s">
        <v>924</v>
      </c>
      <c r="D155" s="2801"/>
      <c r="E155" s="2801"/>
      <c r="F155" s="2801"/>
      <c r="G155" s="2801"/>
      <c r="H155" s="2801"/>
      <c r="I155" s="2801"/>
      <c r="J155" s="2801"/>
      <c r="K155" s="2801"/>
      <c r="L155" s="2801"/>
      <c r="M155" s="2801"/>
      <c r="N155" s="2801"/>
      <c r="O155" s="2801"/>
      <c r="P155" s="1679">
        <v>1072314.26</v>
      </c>
      <c r="Q155" s="1674"/>
      <c r="R155" s="1675"/>
      <c r="GO155" s="1619"/>
      <c r="GP155" s="1628"/>
      <c r="GQ155" s="1628"/>
      <c r="GR155" s="1628"/>
      <c r="GS155" s="1628"/>
      <c r="GT155" s="1628"/>
      <c r="GW155" s="1867"/>
      <c r="GX155" s="1867"/>
      <c r="GY155" s="1867"/>
      <c r="GZ155" s="1628"/>
      <c r="HA155" s="1867"/>
      <c r="HB155" s="1628"/>
      <c r="HC155" s="1665"/>
      <c r="HR155" s="1867"/>
      <c r="HS155" s="1867"/>
      <c r="HT155" s="1678"/>
      <c r="HU155" s="1680" t="s">
        <v>924</v>
      </c>
    </row>
    <row r="156" spans="1:231" s="1484" customFormat="1" ht="15" x14ac:dyDescent="0.25">
      <c r="A156" s="1647"/>
      <c r="B156" s="1631"/>
      <c r="C156" s="2801" t="s">
        <v>925</v>
      </c>
      <c r="D156" s="2801"/>
      <c r="E156" s="2801"/>
      <c r="F156" s="2801"/>
      <c r="G156" s="2801"/>
      <c r="H156" s="2801"/>
      <c r="I156" s="2801"/>
      <c r="J156" s="2801"/>
      <c r="K156" s="2801"/>
      <c r="L156" s="2801"/>
      <c r="M156" s="2801"/>
      <c r="N156" s="2801"/>
      <c r="O156" s="2801"/>
      <c r="P156" s="1679">
        <v>934502.32</v>
      </c>
      <c r="Q156" s="1674"/>
      <c r="R156" s="1675"/>
      <c r="GO156" s="1619"/>
      <c r="GP156" s="1628"/>
      <c r="GQ156" s="1628"/>
      <c r="GR156" s="1628"/>
      <c r="GS156" s="1628"/>
      <c r="GT156" s="1628"/>
      <c r="GW156" s="1867"/>
      <c r="GX156" s="1867"/>
      <c r="GY156" s="1867"/>
      <c r="GZ156" s="1628"/>
      <c r="HA156" s="1867"/>
      <c r="HB156" s="1628"/>
      <c r="HC156" s="1665"/>
      <c r="HR156" s="1867"/>
      <c r="HS156" s="1867"/>
      <c r="HT156" s="1678"/>
      <c r="HU156" s="1680" t="s">
        <v>925</v>
      </c>
    </row>
    <row r="157" spans="1:231" s="1484" customFormat="1" ht="15" x14ac:dyDescent="0.25">
      <c r="A157" s="1647"/>
      <c r="B157" s="1676"/>
      <c r="C157" s="2802" t="s">
        <v>6093</v>
      </c>
      <c r="D157" s="2802"/>
      <c r="E157" s="2802"/>
      <c r="F157" s="2802"/>
      <c r="G157" s="2802"/>
      <c r="H157" s="2802"/>
      <c r="I157" s="2802"/>
      <c r="J157" s="2802"/>
      <c r="K157" s="2802"/>
      <c r="L157" s="2802"/>
      <c r="M157" s="2802"/>
      <c r="N157" s="2802"/>
      <c r="O157" s="2802"/>
      <c r="P157" s="1682">
        <v>15272803.51</v>
      </c>
      <c r="Q157" s="1674"/>
      <c r="R157" s="1675"/>
      <c r="GO157" s="1619"/>
      <c r="GP157" s="1628"/>
      <c r="GQ157" s="1628"/>
      <c r="GR157" s="1628"/>
      <c r="GS157" s="1628"/>
      <c r="GT157" s="1628"/>
      <c r="GW157" s="1867"/>
      <c r="GX157" s="1867"/>
      <c r="GY157" s="1867"/>
      <c r="GZ157" s="1628"/>
      <c r="HA157" s="1867"/>
      <c r="HB157" s="1628"/>
      <c r="HC157" s="1665"/>
      <c r="HR157" s="1867"/>
      <c r="HS157" s="1867"/>
      <c r="HT157" s="1678"/>
      <c r="HV157" s="1678" t="s">
        <v>6093</v>
      </c>
    </row>
    <row r="158" spans="1:231" s="1484" customFormat="1" ht="15" x14ac:dyDescent="0.25">
      <c r="A158" s="1647"/>
      <c r="B158" s="1631"/>
      <c r="C158" s="2801" t="s">
        <v>6094</v>
      </c>
      <c r="D158" s="2801"/>
      <c r="E158" s="2801"/>
      <c r="F158" s="2801"/>
      <c r="G158" s="2801"/>
      <c r="H158" s="2801"/>
      <c r="I158" s="2801"/>
      <c r="J158" s="2801"/>
      <c r="K158" s="2801"/>
      <c r="L158" s="2801"/>
      <c r="M158" s="2801"/>
      <c r="N158" s="2801"/>
      <c r="O158" s="2801"/>
      <c r="P158" s="1681"/>
      <c r="Q158" s="1674"/>
      <c r="R158" s="1675"/>
      <c r="GO158" s="1619"/>
      <c r="GP158" s="1628"/>
      <c r="GQ158" s="1628"/>
      <c r="GR158" s="1628"/>
      <c r="GS158" s="1628"/>
      <c r="GT158" s="1628"/>
      <c r="GW158" s="1867"/>
      <c r="GX158" s="1867"/>
      <c r="GY158" s="1867"/>
      <c r="GZ158" s="1628"/>
      <c r="HA158" s="1867"/>
      <c r="HB158" s="1628"/>
      <c r="HC158" s="1665"/>
      <c r="HR158" s="1867"/>
      <c r="HS158" s="1867"/>
      <c r="HT158" s="1678"/>
      <c r="HU158" s="1680" t="s">
        <v>6094</v>
      </c>
      <c r="HV158" s="1678"/>
    </row>
    <row r="159" spans="1:231" s="1484" customFormat="1" ht="15" x14ac:dyDescent="0.25">
      <c r="A159" s="1647"/>
      <c r="B159" s="1631"/>
      <c r="C159" s="2801" t="s">
        <v>6095</v>
      </c>
      <c r="D159" s="2801"/>
      <c r="E159" s="2801"/>
      <c r="F159" s="2801"/>
      <c r="G159" s="2801"/>
      <c r="H159" s="2801"/>
      <c r="I159" s="2801"/>
      <c r="J159" s="2801"/>
      <c r="K159" s="1683" t="s">
        <v>7846</v>
      </c>
      <c r="L159" s="1861"/>
      <c r="M159" s="1861"/>
      <c r="O159" s="1684"/>
      <c r="P159" s="1681"/>
      <c r="Q159" s="1674"/>
      <c r="R159" s="1675"/>
      <c r="GO159" s="1619"/>
      <c r="GP159" s="1628"/>
      <c r="GQ159" s="1628"/>
      <c r="GR159" s="1628"/>
      <c r="GS159" s="1628"/>
      <c r="GT159" s="1628"/>
      <c r="GW159" s="1867"/>
      <c r="GX159" s="1867"/>
      <c r="GY159" s="1867"/>
      <c r="GZ159" s="1628"/>
      <c r="HA159" s="1867"/>
      <c r="HB159" s="1628"/>
      <c r="HC159" s="1665"/>
      <c r="HR159" s="1867"/>
      <c r="HS159" s="1867"/>
      <c r="HT159" s="1678"/>
      <c r="HV159" s="1678"/>
      <c r="HW159" s="1680" t="s">
        <v>6095</v>
      </c>
    </row>
    <row r="160" spans="1:231" s="1484" customFormat="1" ht="15" x14ac:dyDescent="0.25">
      <c r="A160" s="1647"/>
      <c r="B160" s="1631"/>
      <c r="C160" s="2801" t="s">
        <v>6096</v>
      </c>
      <c r="D160" s="2801"/>
      <c r="E160" s="2801"/>
      <c r="F160" s="2801"/>
      <c r="G160" s="2801"/>
      <c r="H160" s="2801"/>
      <c r="I160" s="2801"/>
      <c r="J160" s="2801"/>
      <c r="K160" s="1683" t="s">
        <v>7845</v>
      </c>
      <c r="L160" s="1861"/>
      <c r="M160" s="1861"/>
      <c r="O160" s="1684"/>
      <c r="P160" s="1681"/>
      <c r="Q160" s="1674"/>
      <c r="R160" s="1675"/>
      <c r="GO160" s="1619"/>
      <c r="GP160" s="1628"/>
      <c r="GQ160" s="1628"/>
      <c r="GR160" s="1628"/>
      <c r="GS160" s="1628"/>
      <c r="GT160" s="1628"/>
      <c r="GW160" s="1867"/>
      <c r="GX160" s="1867"/>
      <c r="GY160" s="1867"/>
      <c r="GZ160" s="1628"/>
      <c r="HA160" s="1867"/>
      <c r="HB160" s="1628"/>
      <c r="HC160" s="1665"/>
      <c r="HR160" s="1867"/>
      <c r="HS160" s="1867"/>
      <c r="HT160" s="1678"/>
      <c r="HV160" s="1678"/>
      <c r="HW160" s="1680" t="s">
        <v>6096</v>
      </c>
    </row>
    <row r="161" spans="1:230" s="1484" customFormat="1" ht="15" x14ac:dyDescent="0.25">
      <c r="A161" s="2811" t="s">
        <v>6097</v>
      </c>
      <c r="B161" s="2812"/>
      <c r="C161" s="2812"/>
      <c r="D161" s="2812"/>
      <c r="E161" s="2812"/>
      <c r="F161" s="2812"/>
      <c r="G161" s="2812"/>
      <c r="H161" s="2812"/>
      <c r="I161" s="2812"/>
      <c r="J161" s="2812"/>
      <c r="K161" s="2812"/>
      <c r="L161" s="2812"/>
      <c r="M161" s="2812"/>
      <c r="N161" s="2812"/>
      <c r="O161" s="2812"/>
      <c r="P161" s="2813"/>
      <c r="GO161" s="1619" t="s">
        <v>6097</v>
      </c>
      <c r="GP161" s="1628"/>
      <c r="GQ161" s="1628"/>
      <c r="GR161" s="1628"/>
      <c r="GS161" s="1628"/>
      <c r="GT161" s="1628"/>
      <c r="GW161" s="1867"/>
      <c r="GX161" s="1867"/>
      <c r="GY161" s="1867"/>
      <c r="GZ161" s="1628"/>
      <c r="HA161" s="1867"/>
      <c r="HB161" s="1628"/>
      <c r="HC161" s="1665"/>
      <c r="HR161" s="1867"/>
      <c r="HS161" s="1867"/>
      <c r="HT161" s="1678"/>
      <c r="HV161" s="1678"/>
    </row>
    <row r="162" spans="1:230" s="1484" customFormat="1" ht="22.5" x14ac:dyDescent="0.25">
      <c r="A162" s="1620" t="s">
        <v>650</v>
      </c>
      <c r="B162" s="1863" t="s">
        <v>6098</v>
      </c>
      <c r="C162" s="2804" t="s">
        <v>6099</v>
      </c>
      <c r="D162" s="2804"/>
      <c r="E162" s="2804"/>
      <c r="F162" s="2804"/>
      <c r="G162" s="2804"/>
      <c r="H162" s="1621" t="s">
        <v>4886</v>
      </c>
      <c r="I162" s="1622">
        <v>20</v>
      </c>
      <c r="J162" s="1623">
        <v>1</v>
      </c>
      <c r="K162" s="1623">
        <v>20</v>
      </c>
      <c r="L162" s="1625"/>
      <c r="M162" s="1622"/>
      <c r="N162" s="1626"/>
      <c r="O162" s="1622"/>
      <c r="P162" s="1627"/>
      <c r="GO162" s="1619"/>
      <c r="GP162" s="1628" t="s">
        <v>6099</v>
      </c>
      <c r="GQ162" s="1628" t="s">
        <v>588</v>
      </c>
      <c r="GR162" s="1628" t="s">
        <v>588</v>
      </c>
      <c r="GS162" s="1628" t="s">
        <v>588</v>
      </c>
      <c r="GT162" s="1628" t="s">
        <v>588</v>
      </c>
      <c r="GW162" s="1867"/>
      <c r="GX162" s="1867"/>
      <c r="GY162" s="1867"/>
      <c r="GZ162" s="1628"/>
      <c r="HA162" s="1867"/>
      <c r="HB162" s="1628"/>
      <c r="HC162" s="1665"/>
      <c r="HR162" s="1867"/>
      <c r="HS162" s="1867"/>
      <c r="HT162" s="1678"/>
      <c r="HV162" s="1678"/>
    </row>
    <row r="163" spans="1:230" s="1484" customFormat="1" ht="15" x14ac:dyDescent="0.25">
      <c r="A163" s="1629"/>
      <c r="B163" s="1862"/>
      <c r="C163" s="2805" t="s">
        <v>6100</v>
      </c>
      <c r="D163" s="2805"/>
      <c r="E163" s="2805"/>
      <c r="F163" s="2805"/>
      <c r="G163" s="2805"/>
      <c r="H163" s="2805"/>
      <c r="I163" s="2805"/>
      <c r="J163" s="2805"/>
      <c r="K163" s="2805"/>
      <c r="L163" s="2805"/>
      <c r="M163" s="2805"/>
      <c r="N163" s="2805"/>
      <c r="O163" s="2805"/>
      <c r="P163" s="2806"/>
      <c r="GO163" s="1619"/>
      <c r="GP163" s="1628"/>
      <c r="GQ163" s="1628"/>
      <c r="GR163" s="1628"/>
      <c r="GS163" s="1628"/>
      <c r="GT163" s="1628"/>
      <c r="GU163" s="1864" t="s">
        <v>6100</v>
      </c>
      <c r="GW163" s="1867"/>
      <c r="GX163" s="1867"/>
      <c r="GY163" s="1867"/>
      <c r="GZ163" s="1628"/>
      <c r="HA163" s="1867"/>
      <c r="HB163" s="1628"/>
      <c r="HC163" s="1665"/>
      <c r="HR163" s="1867"/>
      <c r="HS163" s="1867"/>
      <c r="HT163" s="1678"/>
      <c r="HV163" s="1678"/>
    </row>
    <row r="164" spans="1:230" s="1484" customFormat="1" ht="22.5" x14ac:dyDescent="0.25">
      <c r="A164" s="1630"/>
      <c r="B164" s="1631" t="s">
        <v>6062</v>
      </c>
      <c r="C164" s="2809" t="s">
        <v>6063</v>
      </c>
      <c r="D164" s="2809"/>
      <c r="E164" s="2809"/>
      <c r="F164" s="2809"/>
      <c r="G164" s="2809"/>
      <c r="H164" s="2809"/>
      <c r="I164" s="2809"/>
      <c r="J164" s="2809"/>
      <c r="K164" s="2809"/>
      <c r="L164" s="2809"/>
      <c r="M164" s="2809"/>
      <c r="N164" s="2809"/>
      <c r="O164" s="2809"/>
      <c r="P164" s="2810"/>
      <c r="GO164" s="1619"/>
      <c r="GP164" s="1628"/>
      <c r="GQ164" s="1628"/>
      <c r="GR164" s="1628"/>
      <c r="GS164" s="1628"/>
      <c r="GT164" s="1628"/>
      <c r="GV164" s="1864" t="s">
        <v>6063</v>
      </c>
      <c r="GW164" s="1867"/>
      <c r="GX164" s="1867"/>
      <c r="GY164" s="1867"/>
      <c r="GZ164" s="1628"/>
      <c r="HA164" s="1867"/>
      <c r="HB164" s="1628"/>
      <c r="HC164" s="1665"/>
      <c r="HR164" s="1867"/>
      <c r="HS164" s="1867"/>
      <c r="HT164" s="1678"/>
      <c r="HV164" s="1678"/>
    </row>
    <row r="165" spans="1:230" s="1484" customFormat="1" ht="15" x14ac:dyDescent="0.25">
      <c r="A165" s="1632"/>
      <c r="B165" s="1633" t="s">
        <v>190</v>
      </c>
      <c r="C165" s="2807" t="s">
        <v>806</v>
      </c>
      <c r="D165" s="2807"/>
      <c r="E165" s="2807"/>
      <c r="F165" s="2807"/>
      <c r="G165" s="2807"/>
      <c r="H165" s="1634" t="s">
        <v>807</v>
      </c>
      <c r="I165" s="1855"/>
      <c r="J165" s="1855"/>
      <c r="K165" s="1639">
        <v>1494</v>
      </c>
      <c r="L165" s="1635"/>
      <c r="M165" s="1855"/>
      <c r="N165" s="1635"/>
      <c r="O165" s="1855"/>
      <c r="P165" s="1636">
        <v>601185.6</v>
      </c>
      <c r="GO165" s="1619"/>
      <c r="GP165" s="1628"/>
      <c r="GQ165" s="1628"/>
      <c r="GR165" s="1628"/>
      <c r="GS165" s="1628"/>
      <c r="GT165" s="1628"/>
      <c r="GW165" s="1867" t="s">
        <v>806</v>
      </c>
      <c r="GX165" s="1867"/>
      <c r="GY165" s="1867"/>
      <c r="GZ165" s="1628"/>
      <c r="HA165" s="1867"/>
      <c r="HB165" s="1628"/>
      <c r="HC165" s="1665"/>
      <c r="HR165" s="1867"/>
      <c r="HS165" s="1867"/>
      <c r="HT165" s="1678"/>
      <c r="HV165" s="1678"/>
    </row>
    <row r="166" spans="1:230" s="1484" customFormat="1" ht="15" x14ac:dyDescent="0.25">
      <c r="A166" s="1638"/>
      <c r="B166" s="1633" t="s">
        <v>5041</v>
      </c>
      <c r="C166" s="2807" t="s">
        <v>5042</v>
      </c>
      <c r="D166" s="2807"/>
      <c r="E166" s="2807"/>
      <c r="F166" s="2807"/>
      <c r="G166" s="2807"/>
      <c r="H166" s="1634" t="s">
        <v>807</v>
      </c>
      <c r="I166" s="1637">
        <v>74.7</v>
      </c>
      <c r="J166" s="1855"/>
      <c r="K166" s="1639">
        <v>1494</v>
      </c>
      <c r="L166" s="1640"/>
      <c r="M166" s="1641"/>
      <c r="N166" s="1642">
        <v>321.92</v>
      </c>
      <c r="O166" s="1646">
        <v>1.25</v>
      </c>
      <c r="P166" s="1636">
        <v>601185.6</v>
      </c>
      <c r="Q166" s="1643"/>
      <c r="R166" s="1643"/>
      <c r="GO166" s="1619"/>
      <c r="GP166" s="1628"/>
      <c r="GQ166" s="1628"/>
      <c r="GR166" s="1628"/>
      <c r="GS166" s="1628"/>
      <c r="GT166" s="1628"/>
      <c r="GW166" s="1867"/>
      <c r="GX166" s="1867" t="s">
        <v>5042</v>
      </c>
      <c r="GY166" s="1867"/>
      <c r="GZ166" s="1628"/>
      <c r="HA166" s="1867"/>
      <c r="HB166" s="1628"/>
      <c r="HC166" s="1665"/>
      <c r="HR166" s="1867"/>
      <c r="HS166" s="1867"/>
      <c r="HT166" s="1678"/>
      <c r="HV166" s="1678"/>
    </row>
    <row r="167" spans="1:230" s="1484" customFormat="1" ht="15" x14ac:dyDescent="0.25">
      <c r="A167" s="1632"/>
      <c r="B167" s="1633" t="s">
        <v>639</v>
      </c>
      <c r="C167" s="2807" t="s">
        <v>697</v>
      </c>
      <c r="D167" s="2807"/>
      <c r="E167" s="2807"/>
      <c r="F167" s="2807"/>
      <c r="G167" s="2807"/>
      <c r="H167" s="1634"/>
      <c r="I167" s="1855"/>
      <c r="J167" s="1855"/>
      <c r="K167" s="1855"/>
      <c r="L167" s="1635"/>
      <c r="M167" s="1855"/>
      <c r="N167" s="1635"/>
      <c r="O167" s="1855"/>
      <c r="P167" s="1636">
        <v>27400.01</v>
      </c>
      <c r="GO167" s="1619"/>
      <c r="GP167" s="1628"/>
      <c r="GQ167" s="1628"/>
      <c r="GR167" s="1628"/>
      <c r="GS167" s="1628"/>
      <c r="GT167" s="1628"/>
      <c r="GW167" s="1867" t="s">
        <v>697</v>
      </c>
      <c r="GX167" s="1867"/>
      <c r="GY167" s="1867"/>
      <c r="GZ167" s="1628"/>
      <c r="HA167" s="1867"/>
      <c r="HB167" s="1628"/>
      <c r="HC167" s="1665"/>
      <c r="HR167" s="1867"/>
      <c r="HS167" s="1867"/>
      <c r="HT167" s="1678"/>
      <c r="HV167" s="1678"/>
    </row>
    <row r="168" spans="1:230" s="1484" customFormat="1" ht="15" x14ac:dyDescent="0.25">
      <c r="A168" s="1632"/>
      <c r="B168" s="1633"/>
      <c r="C168" s="2807" t="s">
        <v>811</v>
      </c>
      <c r="D168" s="2807"/>
      <c r="E168" s="2807"/>
      <c r="F168" s="2807"/>
      <c r="G168" s="2807"/>
      <c r="H168" s="1634" t="s">
        <v>807</v>
      </c>
      <c r="I168" s="1855"/>
      <c r="J168" s="1855"/>
      <c r="K168" s="1637">
        <v>38.6</v>
      </c>
      <c r="L168" s="1635"/>
      <c r="M168" s="1855"/>
      <c r="N168" s="1635"/>
      <c r="O168" s="1855"/>
      <c r="P168" s="1636">
        <v>17836.47</v>
      </c>
      <c r="GO168" s="1619"/>
      <c r="GP168" s="1628"/>
      <c r="GQ168" s="1628"/>
      <c r="GR168" s="1628"/>
      <c r="GS168" s="1628"/>
      <c r="GT168" s="1628"/>
      <c r="GW168" s="1867" t="s">
        <v>811</v>
      </c>
      <c r="GX168" s="1867"/>
      <c r="GY168" s="1867"/>
      <c r="GZ168" s="1628"/>
      <c r="HA168" s="1867"/>
      <c r="HB168" s="1628"/>
      <c r="HC168" s="1665"/>
      <c r="HR168" s="1867"/>
      <c r="HS168" s="1867"/>
      <c r="HT168" s="1678"/>
      <c r="HV168" s="1678"/>
    </row>
    <row r="169" spans="1:230" s="1484" customFormat="1" ht="22.5" x14ac:dyDescent="0.25">
      <c r="A169" s="1638"/>
      <c r="B169" s="1633" t="s">
        <v>2431</v>
      </c>
      <c r="C169" s="2807" t="s">
        <v>4997</v>
      </c>
      <c r="D169" s="2807"/>
      <c r="E169" s="2807"/>
      <c r="F169" s="2807"/>
      <c r="G169" s="2807"/>
      <c r="H169" s="1634" t="s">
        <v>4994</v>
      </c>
      <c r="I169" s="1646">
        <v>0.12</v>
      </c>
      <c r="J169" s="1855"/>
      <c r="K169" s="1637">
        <v>2.4</v>
      </c>
      <c r="L169" s="1657">
        <v>1054.03</v>
      </c>
      <c r="M169" s="1655">
        <v>1.26</v>
      </c>
      <c r="N169" s="1642">
        <v>1328.08</v>
      </c>
      <c r="O169" s="1855"/>
      <c r="P169" s="1636">
        <v>3187.39</v>
      </c>
      <c r="Q169" s="1643"/>
      <c r="R169" s="1643"/>
      <c r="GO169" s="1619"/>
      <c r="GP169" s="1628"/>
      <c r="GQ169" s="1628"/>
      <c r="GR169" s="1628"/>
      <c r="GS169" s="1628"/>
      <c r="GT169" s="1628"/>
      <c r="GW169" s="1867"/>
      <c r="GX169" s="1867" t="s">
        <v>4997</v>
      </c>
      <c r="GY169" s="1867"/>
      <c r="GZ169" s="1628"/>
      <c r="HA169" s="1867"/>
      <c r="HB169" s="1628"/>
      <c r="HC169" s="1665"/>
      <c r="HR169" s="1867"/>
      <c r="HS169" s="1867"/>
      <c r="HT169" s="1678"/>
      <c r="HV169" s="1678"/>
    </row>
    <row r="170" spans="1:230" s="1484" customFormat="1" ht="15" x14ac:dyDescent="0.25">
      <c r="A170" s="1644"/>
      <c r="B170" s="1633" t="s">
        <v>815</v>
      </c>
      <c r="C170" s="2807" t="s">
        <v>816</v>
      </c>
      <c r="D170" s="2807"/>
      <c r="E170" s="2807"/>
      <c r="F170" s="2807"/>
      <c r="G170" s="2807"/>
      <c r="H170" s="1634" t="s">
        <v>807</v>
      </c>
      <c r="I170" s="1646">
        <v>0.12</v>
      </c>
      <c r="J170" s="1855"/>
      <c r="K170" s="1637">
        <v>2.4</v>
      </c>
      <c r="L170" s="1635"/>
      <c r="M170" s="1855"/>
      <c r="N170" s="1645">
        <v>474.97</v>
      </c>
      <c r="O170" s="1646">
        <v>1.25</v>
      </c>
      <c r="P170" s="1636">
        <v>1424.91</v>
      </c>
      <c r="GO170" s="1619"/>
      <c r="GP170" s="1628"/>
      <c r="GQ170" s="1628"/>
      <c r="GR170" s="1628"/>
      <c r="GS170" s="1628"/>
      <c r="GT170" s="1628"/>
      <c r="GW170" s="1867"/>
      <c r="GX170" s="1867"/>
      <c r="GY170" s="1867" t="s">
        <v>816</v>
      </c>
      <c r="GZ170" s="1628"/>
      <c r="HA170" s="1867"/>
      <c r="HB170" s="1628"/>
      <c r="HC170" s="1665"/>
      <c r="HR170" s="1867"/>
      <c r="HS170" s="1867"/>
      <c r="HT170" s="1678"/>
      <c r="HV170" s="1678"/>
    </row>
    <row r="171" spans="1:230" s="1484" customFormat="1" ht="15" x14ac:dyDescent="0.25">
      <c r="A171" s="1638"/>
      <c r="B171" s="1633" t="s">
        <v>817</v>
      </c>
      <c r="C171" s="2807" t="s">
        <v>818</v>
      </c>
      <c r="D171" s="2807"/>
      <c r="E171" s="2807"/>
      <c r="F171" s="2807"/>
      <c r="G171" s="2807"/>
      <c r="H171" s="1634" t="s">
        <v>4994</v>
      </c>
      <c r="I171" s="1646">
        <v>0.04</v>
      </c>
      <c r="J171" s="1855"/>
      <c r="K171" s="1637">
        <v>0.8</v>
      </c>
      <c r="L171" s="1640"/>
      <c r="M171" s="1641"/>
      <c r="N171" s="1642">
        <v>1577.91</v>
      </c>
      <c r="O171" s="1855"/>
      <c r="P171" s="1636">
        <v>1262.33</v>
      </c>
      <c r="Q171" s="1643"/>
      <c r="R171" s="1643"/>
      <c r="GO171" s="1619"/>
      <c r="GP171" s="1628"/>
      <c r="GQ171" s="1628"/>
      <c r="GR171" s="1628"/>
      <c r="GS171" s="1628"/>
      <c r="GT171" s="1628"/>
      <c r="GW171" s="1867"/>
      <c r="GX171" s="1867" t="s">
        <v>818</v>
      </c>
      <c r="GY171" s="1867"/>
      <c r="GZ171" s="1628"/>
      <c r="HA171" s="1867"/>
      <c r="HB171" s="1628"/>
      <c r="HC171" s="1665"/>
      <c r="HR171" s="1867"/>
      <c r="HS171" s="1867"/>
      <c r="HT171" s="1678"/>
      <c r="HV171" s="1678"/>
    </row>
    <row r="172" spans="1:230" s="1484" customFormat="1" ht="15" x14ac:dyDescent="0.25">
      <c r="A172" s="1644"/>
      <c r="B172" s="1633" t="s">
        <v>815</v>
      </c>
      <c r="C172" s="2807" t="s">
        <v>816</v>
      </c>
      <c r="D172" s="2807"/>
      <c r="E172" s="2807"/>
      <c r="F172" s="2807"/>
      <c r="G172" s="2807"/>
      <c r="H172" s="1634" t="s">
        <v>807</v>
      </c>
      <c r="I172" s="1646">
        <v>0.04</v>
      </c>
      <c r="J172" s="1855"/>
      <c r="K172" s="1637">
        <v>0.8</v>
      </c>
      <c r="L172" s="1635"/>
      <c r="M172" s="1855"/>
      <c r="N172" s="1645">
        <v>474.97</v>
      </c>
      <c r="O172" s="1646">
        <v>1.25</v>
      </c>
      <c r="P172" s="1656">
        <v>474.97</v>
      </c>
      <c r="GO172" s="1619"/>
      <c r="GP172" s="1628"/>
      <c r="GQ172" s="1628"/>
      <c r="GR172" s="1628"/>
      <c r="GS172" s="1628"/>
      <c r="GT172" s="1628"/>
      <c r="GW172" s="1867"/>
      <c r="GX172" s="1867"/>
      <c r="GY172" s="1867" t="s">
        <v>816</v>
      </c>
      <c r="GZ172" s="1628"/>
      <c r="HA172" s="1867"/>
      <c r="HB172" s="1628"/>
      <c r="HC172" s="1665"/>
      <c r="HR172" s="1867"/>
      <c r="HS172" s="1867"/>
      <c r="HT172" s="1678"/>
      <c r="HV172" s="1678"/>
    </row>
    <row r="173" spans="1:230" s="1484" customFormat="1" ht="33.75" x14ac:dyDescent="0.25">
      <c r="A173" s="1638"/>
      <c r="B173" s="1633" t="s">
        <v>1741</v>
      </c>
      <c r="C173" s="2807" t="s">
        <v>5006</v>
      </c>
      <c r="D173" s="2807"/>
      <c r="E173" s="2807"/>
      <c r="F173" s="2807"/>
      <c r="G173" s="2807"/>
      <c r="H173" s="1634" t="s">
        <v>4994</v>
      </c>
      <c r="I173" s="1646">
        <v>0.22</v>
      </c>
      <c r="J173" s="1855"/>
      <c r="K173" s="1637">
        <v>4.4000000000000004</v>
      </c>
      <c r="L173" s="1640"/>
      <c r="M173" s="1641"/>
      <c r="N173" s="1642">
        <v>1591.13</v>
      </c>
      <c r="O173" s="1855"/>
      <c r="P173" s="1636">
        <v>7000.97</v>
      </c>
      <c r="Q173" s="1643"/>
      <c r="R173" s="1643"/>
      <c r="GO173" s="1619"/>
      <c r="GP173" s="1628"/>
      <c r="GQ173" s="1628"/>
      <c r="GR173" s="1628"/>
      <c r="GS173" s="1628"/>
      <c r="GT173" s="1628"/>
      <c r="GW173" s="1867"/>
      <c r="GX173" s="1867" t="s">
        <v>5006</v>
      </c>
      <c r="GY173" s="1867"/>
      <c r="GZ173" s="1628"/>
      <c r="HA173" s="1867"/>
      <c r="HB173" s="1628"/>
      <c r="HC173" s="1665"/>
      <c r="HR173" s="1867"/>
      <c r="HS173" s="1867"/>
      <c r="HT173" s="1678"/>
      <c r="HV173" s="1678"/>
    </row>
    <row r="174" spans="1:230" s="1484" customFormat="1" ht="15" x14ac:dyDescent="0.25">
      <c r="A174" s="1644"/>
      <c r="B174" s="1633" t="s">
        <v>5043</v>
      </c>
      <c r="C174" s="2807" t="s">
        <v>6069</v>
      </c>
      <c r="D174" s="2807"/>
      <c r="E174" s="2807"/>
      <c r="F174" s="2807"/>
      <c r="G174" s="2807"/>
      <c r="H174" s="1634" t="s">
        <v>807</v>
      </c>
      <c r="I174" s="1646">
        <v>0.22</v>
      </c>
      <c r="J174" s="1855"/>
      <c r="K174" s="1637">
        <v>4.4000000000000004</v>
      </c>
      <c r="L174" s="1635"/>
      <c r="M174" s="1855"/>
      <c r="N174" s="1645">
        <v>406.36</v>
      </c>
      <c r="O174" s="1646">
        <v>1.25</v>
      </c>
      <c r="P174" s="1636">
        <v>2234.98</v>
      </c>
      <c r="GO174" s="1619"/>
      <c r="GP174" s="1628"/>
      <c r="GQ174" s="1628"/>
      <c r="GR174" s="1628"/>
      <c r="GS174" s="1628"/>
      <c r="GT174" s="1628"/>
      <c r="GW174" s="1867"/>
      <c r="GX174" s="1867"/>
      <c r="GY174" s="1867" t="s">
        <v>6069</v>
      </c>
      <c r="GZ174" s="1628"/>
      <c r="HA174" s="1867"/>
      <c r="HB174" s="1628"/>
      <c r="HC174" s="1665"/>
      <c r="HR174" s="1867"/>
      <c r="HS174" s="1867"/>
      <c r="HT174" s="1678"/>
      <c r="HV174" s="1678"/>
    </row>
    <row r="175" spans="1:230" s="1484" customFormat="1" ht="22.5" x14ac:dyDescent="0.25">
      <c r="A175" s="1638"/>
      <c r="B175" s="1633" t="s">
        <v>3215</v>
      </c>
      <c r="C175" s="2807" t="s">
        <v>5022</v>
      </c>
      <c r="D175" s="2807"/>
      <c r="E175" s="2807"/>
      <c r="F175" s="2807"/>
      <c r="G175" s="2807"/>
      <c r="H175" s="1634" t="s">
        <v>4994</v>
      </c>
      <c r="I175" s="1646">
        <v>2.56</v>
      </c>
      <c r="J175" s="1855"/>
      <c r="K175" s="1637">
        <v>51.2</v>
      </c>
      <c r="L175" s="1654">
        <v>2.41</v>
      </c>
      <c r="M175" s="1655">
        <v>1.03</v>
      </c>
      <c r="N175" s="1642">
        <v>2.48</v>
      </c>
      <c r="O175" s="1855"/>
      <c r="P175" s="1636">
        <v>126.98</v>
      </c>
      <c r="Q175" s="1643"/>
      <c r="R175" s="1643"/>
      <c r="GO175" s="1619"/>
      <c r="GP175" s="1628"/>
      <c r="GQ175" s="1628"/>
      <c r="GR175" s="1628"/>
      <c r="GS175" s="1628"/>
      <c r="GT175" s="1628"/>
      <c r="GW175" s="1867"/>
      <c r="GX175" s="1867" t="s">
        <v>5022</v>
      </c>
      <c r="GY175" s="1867"/>
      <c r="GZ175" s="1628"/>
      <c r="HA175" s="1867"/>
      <c r="HB175" s="1628"/>
      <c r="HC175" s="1665"/>
      <c r="HR175" s="1867"/>
      <c r="HS175" s="1867"/>
      <c r="HT175" s="1678"/>
      <c r="HV175" s="1678"/>
    </row>
    <row r="176" spans="1:230" s="1484" customFormat="1" ht="15" x14ac:dyDescent="0.25">
      <c r="A176" s="1638"/>
      <c r="B176" s="1633" t="s">
        <v>3220</v>
      </c>
      <c r="C176" s="2807" t="s">
        <v>5023</v>
      </c>
      <c r="D176" s="2807"/>
      <c r="E176" s="2807"/>
      <c r="F176" s="2807"/>
      <c r="G176" s="2807"/>
      <c r="H176" s="1634" t="s">
        <v>4994</v>
      </c>
      <c r="I176" s="1646">
        <v>0.11</v>
      </c>
      <c r="J176" s="1855"/>
      <c r="K176" s="1637">
        <v>2.2000000000000002</v>
      </c>
      <c r="L176" s="1640"/>
      <c r="M176" s="1641"/>
      <c r="N176" s="1642">
        <v>1418.18</v>
      </c>
      <c r="O176" s="1855"/>
      <c r="P176" s="1636">
        <v>3120</v>
      </c>
      <c r="Q176" s="1643"/>
      <c r="R176" s="1643"/>
      <c r="GO176" s="1619"/>
      <c r="GP176" s="1628"/>
      <c r="GQ176" s="1628"/>
      <c r="GR176" s="1628"/>
      <c r="GS176" s="1628"/>
      <c r="GT176" s="1628"/>
      <c r="GW176" s="1867"/>
      <c r="GX176" s="1867" t="s">
        <v>5023</v>
      </c>
      <c r="GY176" s="1867"/>
      <c r="GZ176" s="1628"/>
      <c r="HA176" s="1867"/>
      <c r="HB176" s="1628"/>
      <c r="HC176" s="1665"/>
      <c r="HR176" s="1867"/>
      <c r="HS176" s="1867"/>
      <c r="HT176" s="1678"/>
      <c r="HV176" s="1678"/>
    </row>
    <row r="177" spans="1:230" s="1484" customFormat="1" ht="15" x14ac:dyDescent="0.25">
      <c r="A177" s="1644"/>
      <c r="B177" s="1633" t="s">
        <v>823</v>
      </c>
      <c r="C177" s="2807" t="s">
        <v>824</v>
      </c>
      <c r="D177" s="2807"/>
      <c r="E177" s="2807"/>
      <c r="F177" s="2807"/>
      <c r="G177" s="2807"/>
      <c r="H177" s="1634" t="s">
        <v>807</v>
      </c>
      <c r="I177" s="1646">
        <v>0.11</v>
      </c>
      <c r="J177" s="1855"/>
      <c r="K177" s="1637">
        <v>2.2000000000000002</v>
      </c>
      <c r="L177" s="1635"/>
      <c r="M177" s="1855"/>
      <c r="N177" s="1645">
        <v>353.59</v>
      </c>
      <c r="O177" s="1646">
        <v>1.25</v>
      </c>
      <c r="P177" s="1656">
        <v>972.37</v>
      </c>
      <c r="GO177" s="1619"/>
      <c r="GP177" s="1628"/>
      <c r="GQ177" s="1628"/>
      <c r="GR177" s="1628"/>
      <c r="GS177" s="1628"/>
      <c r="GT177" s="1628"/>
      <c r="GW177" s="1867"/>
      <c r="GX177" s="1867"/>
      <c r="GY177" s="1867" t="s">
        <v>824</v>
      </c>
      <c r="GZ177" s="1628"/>
      <c r="HA177" s="1867"/>
      <c r="HB177" s="1628"/>
      <c r="HC177" s="1665"/>
      <c r="HR177" s="1867"/>
      <c r="HS177" s="1867"/>
      <c r="HT177" s="1678"/>
      <c r="HV177" s="1678"/>
    </row>
    <row r="178" spans="1:230" s="1484" customFormat="1" ht="15" x14ac:dyDescent="0.25">
      <c r="A178" s="1638"/>
      <c r="B178" s="1633" t="s">
        <v>821</v>
      </c>
      <c r="C178" s="2807" t="s">
        <v>822</v>
      </c>
      <c r="D178" s="2807"/>
      <c r="E178" s="2807"/>
      <c r="F178" s="2807"/>
      <c r="G178" s="2807"/>
      <c r="H178" s="1634" t="s">
        <v>4994</v>
      </c>
      <c r="I178" s="1646">
        <v>0.05</v>
      </c>
      <c r="J178" s="1855"/>
      <c r="K178" s="1639">
        <v>1</v>
      </c>
      <c r="L178" s="1640"/>
      <c r="M178" s="1641"/>
      <c r="N178" s="1642">
        <v>551.55999999999995</v>
      </c>
      <c r="O178" s="1855"/>
      <c r="P178" s="1636">
        <v>551.55999999999995</v>
      </c>
      <c r="Q178" s="1643"/>
      <c r="R178" s="1643"/>
      <c r="GO178" s="1619"/>
      <c r="GP178" s="1628"/>
      <c r="GQ178" s="1628"/>
      <c r="GR178" s="1628"/>
      <c r="GS178" s="1628"/>
      <c r="GT178" s="1628"/>
      <c r="GW178" s="1867"/>
      <c r="GX178" s="1867" t="s">
        <v>822</v>
      </c>
      <c r="GY178" s="1867"/>
      <c r="GZ178" s="1628"/>
      <c r="HA178" s="1867"/>
      <c r="HB178" s="1628"/>
      <c r="HC178" s="1665"/>
      <c r="HR178" s="1867"/>
      <c r="HS178" s="1867"/>
      <c r="HT178" s="1678"/>
      <c r="HV178" s="1678"/>
    </row>
    <row r="179" spans="1:230" s="1484" customFormat="1" ht="15" x14ac:dyDescent="0.25">
      <c r="A179" s="1644"/>
      <c r="B179" s="1633" t="s">
        <v>823</v>
      </c>
      <c r="C179" s="2807" t="s">
        <v>824</v>
      </c>
      <c r="D179" s="2807"/>
      <c r="E179" s="2807"/>
      <c r="F179" s="2807"/>
      <c r="G179" s="2807"/>
      <c r="H179" s="1634" t="s">
        <v>807</v>
      </c>
      <c r="I179" s="1646">
        <v>0.05</v>
      </c>
      <c r="J179" s="1855"/>
      <c r="K179" s="1639">
        <v>1</v>
      </c>
      <c r="L179" s="1635"/>
      <c r="M179" s="1855"/>
      <c r="N179" s="1645">
        <v>353.59</v>
      </c>
      <c r="O179" s="1646">
        <v>1.25</v>
      </c>
      <c r="P179" s="1656">
        <v>441.99</v>
      </c>
      <c r="GO179" s="1619"/>
      <c r="GP179" s="1628"/>
      <c r="GQ179" s="1628"/>
      <c r="GR179" s="1628"/>
      <c r="GS179" s="1628"/>
      <c r="GT179" s="1628"/>
      <c r="GW179" s="1867"/>
      <c r="GX179" s="1867"/>
      <c r="GY179" s="1867" t="s">
        <v>824</v>
      </c>
      <c r="GZ179" s="1628"/>
      <c r="HA179" s="1867"/>
      <c r="HB179" s="1628"/>
      <c r="HC179" s="1665"/>
      <c r="HR179" s="1867"/>
      <c r="HS179" s="1867"/>
      <c r="HT179" s="1678"/>
      <c r="HV179" s="1678"/>
    </row>
    <row r="180" spans="1:230" s="1484" customFormat="1" ht="15" x14ac:dyDescent="0.25">
      <c r="A180" s="1638"/>
      <c r="B180" s="1633" t="s">
        <v>3226</v>
      </c>
      <c r="C180" s="2807" t="s">
        <v>5025</v>
      </c>
      <c r="D180" s="2807"/>
      <c r="E180" s="2807"/>
      <c r="F180" s="2807"/>
      <c r="G180" s="2807"/>
      <c r="H180" s="1634" t="s">
        <v>4994</v>
      </c>
      <c r="I180" s="1646">
        <v>0.11</v>
      </c>
      <c r="J180" s="1855"/>
      <c r="K180" s="1637">
        <v>2.2000000000000002</v>
      </c>
      <c r="L180" s="1654">
        <v>730.78</v>
      </c>
      <c r="M180" s="1655">
        <v>1.26</v>
      </c>
      <c r="N180" s="1642">
        <v>920.78</v>
      </c>
      <c r="O180" s="1855"/>
      <c r="P180" s="1636">
        <v>2025.72</v>
      </c>
      <c r="Q180" s="1643"/>
      <c r="R180" s="1643"/>
      <c r="GO180" s="1619"/>
      <c r="GP180" s="1628"/>
      <c r="GQ180" s="1628"/>
      <c r="GR180" s="1628"/>
      <c r="GS180" s="1628"/>
      <c r="GT180" s="1628"/>
      <c r="GW180" s="1867"/>
      <c r="GX180" s="1867" t="s">
        <v>5025</v>
      </c>
      <c r="GY180" s="1867"/>
      <c r="GZ180" s="1628"/>
      <c r="HA180" s="1867"/>
      <c r="HB180" s="1628"/>
      <c r="HC180" s="1665"/>
      <c r="HR180" s="1867"/>
      <c r="HS180" s="1867"/>
      <c r="HT180" s="1678"/>
      <c r="HV180" s="1678"/>
    </row>
    <row r="181" spans="1:230" s="1484" customFormat="1" ht="15" x14ac:dyDescent="0.25">
      <c r="A181" s="1644"/>
      <c r="B181" s="1633" t="s">
        <v>823</v>
      </c>
      <c r="C181" s="2807" t="s">
        <v>824</v>
      </c>
      <c r="D181" s="2807"/>
      <c r="E181" s="2807"/>
      <c r="F181" s="2807"/>
      <c r="G181" s="2807"/>
      <c r="H181" s="1634" t="s">
        <v>807</v>
      </c>
      <c r="I181" s="1646">
        <v>0.11</v>
      </c>
      <c r="J181" s="1855"/>
      <c r="K181" s="1637">
        <v>2.2000000000000002</v>
      </c>
      <c r="L181" s="1635"/>
      <c r="M181" s="1855"/>
      <c r="N181" s="1645">
        <v>353.59</v>
      </c>
      <c r="O181" s="1646">
        <v>1.25</v>
      </c>
      <c r="P181" s="1656">
        <v>972.37</v>
      </c>
      <c r="GO181" s="1619"/>
      <c r="GP181" s="1628"/>
      <c r="GQ181" s="1628"/>
      <c r="GR181" s="1628"/>
      <c r="GS181" s="1628"/>
      <c r="GT181" s="1628"/>
      <c r="GW181" s="1867"/>
      <c r="GX181" s="1867"/>
      <c r="GY181" s="1867" t="s">
        <v>824</v>
      </c>
      <c r="GZ181" s="1628"/>
      <c r="HA181" s="1867"/>
      <c r="HB181" s="1628"/>
      <c r="HC181" s="1665"/>
      <c r="HR181" s="1867"/>
      <c r="HS181" s="1867"/>
      <c r="HT181" s="1678"/>
      <c r="HV181" s="1678"/>
    </row>
    <row r="182" spans="1:230" s="1484" customFormat="1" ht="33.75" x14ac:dyDescent="0.25">
      <c r="A182" s="1638"/>
      <c r="B182" s="1633" t="s">
        <v>1713</v>
      </c>
      <c r="C182" s="2807" t="s">
        <v>5027</v>
      </c>
      <c r="D182" s="2807"/>
      <c r="E182" s="2807"/>
      <c r="F182" s="2807"/>
      <c r="G182" s="2807"/>
      <c r="H182" s="1634" t="s">
        <v>4994</v>
      </c>
      <c r="I182" s="1646">
        <v>1.28</v>
      </c>
      <c r="J182" s="1855"/>
      <c r="K182" s="1637">
        <v>25.6</v>
      </c>
      <c r="L182" s="1640"/>
      <c r="M182" s="1641"/>
      <c r="N182" s="1642">
        <v>395.51</v>
      </c>
      <c r="O182" s="1855"/>
      <c r="P182" s="1636">
        <v>10125.06</v>
      </c>
      <c r="Q182" s="1643"/>
      <c r="R182" s="1643"/>
      <c r="GO182" s="1619"/>
      <c r="GP182" s="1628"/>
      <c r="GQ182" s="1628"/>
      <c r="GR182" s="1628"/>
      <c r="GS182" s="1628"/>
      <c r="GT182" s="1628"/>
      <c r="GW182" s="1867"/>
      <c r="GX182" s="1867" t="s">
        <v>5027</v>
      </c>
      <c r="GY182" s="1867"/>
      <c r="GZ182" s="1628"/>
      <c r="HA182" s="1867"/>
      <c r="HB182" s="1628"/>
      <c r="HC182" s="1665"/>
      <c r="HR182" s="1867"/>
      <c r="HS182" s="1867"/>
      <c r="HT182" s="1678"/>
      <c r="HV182" s="1678"/>
    </row>
    <row r="183" spans="1:230" s="1484" customFormat="1" ht="15" x14ac:dyDescent="0.25">
      <c r="A183" s="1644"/>
      <c r="B183" s="1633" t="s">
        <v>823</v>
      </c>
      <c r="C183" s="2807" t="s">
        <v>824</v>
      </c>
      <c r="D183" s="2807"/>
      <c r="E183" s="2807"/>
      <c r="F183" s="2807"/>
      <c r="G183" s="2807"/>
      <c r="H183" s="1634" t="s">
        <v>807</v>
      </c>
      <c r="I183" s="1646">
        <v>1.28</v>
      </c>
      <c r="J183" s="1855"/>
      <c r="K183" s="1637">
        <v>25.6</v>
      </c>
      <c r="L183" s="1635"/>
      <c r="M183" s="1855"/>
      <c r="N183" s="1645">
        <v>353.59</v>
      </c>
      <c r="O183" s="1646">
        <v>1.25</v>
      </c>
      <c r="P183" s="1636">
        <v>11314.88</v>
      </c>
      <c r="GO183" s="1619"/>
      <c r="GP183" s="1628"/>
      <c r="GQ183" s="1628"/>
      <c r="GR183" s="1628"/>
      <c r="GS183" s="1628"/>
      <c r="GT183" s="1628"/>
      <c r="GW183" s="1867"/>
      <c r="GX183" s="1867"/>
      <c r="GY183" s="1867" t="s">
        <v>824</v>
      </c>
      <c r="GZ183" s="1628"/>
      <c r="HA183" s="1867"/>
      <c r="HB183" s="1628"/>
      <c r="HC183" s="1665"/>
      <c r="HR183" s="1867"/>
      <c r="HS183" s="1867"/>
      <c r="HT183" s="1678"/>
      <c r="HV183" s="1678"/>
    </row>
    <row r="184" spans="1:230" s="1484" customFormat="1" ht="15" x14ac:dyDescent="0.25">
      <c r="A184" s="1632"/>
      <c r="B184" s="1633" t="s">
        <v>232</v>
      </c>
      <c r="C184" s="2807" t="s">
        <v>829</v>
      </c>
      <c r="D184" s="2807"/>
      <c r="E184" s="2807"/>
      <c r="F184" s="2807"/>
      <c r="G184" s="2807"/>
      <c r="H184" s="1634"/>
      <c r="I184" s="1855"/>
      <c r="J184" s="1855"/>
      <c r="K184" s="1855"/>
      <c r="L184" s="1635"/>
      <c r="M184" s="1855"/>
      <c r="N184" s="1635"/>
      <c r="O184" s="1855"/>
      <c r="P184" s="1636">
        <v>85590.19</v>
      </c>
      <c r="GO184" s="1619"/>
      <c r="GP184" s="1628"/>
      <c r="GQ184" s="1628"/>
      <c r="GR184" s="1628"/>
      <c r="GS184" s="1628"/>
      <c r="GT184" s="1628"/>
      <c r="GW184" s="1867" t="s">
        <v>829</v>
      </c>
      <c r="GX184" s="1867"/>
      <c r="GY184" s="1867"/>
      <c r="GZ184" s="1628"/>
      <c r="HA184" s="1867"/>
      <c r="HB184" s="1628"/>
      <c r="HC184" s="1665"/>
      <c r="HR184" s="1867"/>
      <c r="HS184" s="1867"/>
      <c r="HT184" s="1678"/>
      <c r="HV184" s="1678"/>
    </row>
    <row r="185" spans="1:230" s="1484" customFormat="1" ht="15" x14ac:dyDescent="0.25">
      <c r="A185" s="1638"/>
      <c r="B185" s="1633" t="s">
        <v>4871</v>
      </c>
      <c r="C185" s="2807" t="s">
        <v>4872</v>
      </c>
      <c r="D185" s="2807"/>
      <c r="E185" s="2807"/>
      <c r="F185" s="2807"/>
      <c r="G185" s="2807"/>
      <c r="H185" s="1634" t="s">
        <v>801</v>
      </c>
      <c r="I185" s="1685">
        <v>1E-4</v>
      </c>
      <c r="J185" s="1855"/>
      <c r="K185" s="1653">
        <v>2E-3</v>
      </c>
      <c r="L185" s="1640"/>
      <c r="M185" s="1641"/>
      <c r="N185" s="1642">
        <v>62126.68</v>
      </c>
      <c r="O185" s="1855"/>
      <c r="P185" s="1636">
        <v>124.25</v>
      </c>
      <c r="Q185" s="1643"/>
      <c r="R185" s="1643"/>
      <c r="GO185" s="1619"/>
      <c r="GP185" s="1628"/>
      <c r="GQ185" s="1628"/>
      <c r="GR185" s="1628"/>
      <c r="GS185" s="1628"/>
      <c r="GT185" s="1628"/>
      <c r="GW185" s="1867"/>
      <c r="GX185" s="1867" t="s">
        <v>4872</v>
      </c>
      <c r="GY185" s="1867"/>
      <c r="GZ185" s="1628"/>
      <c r="HA185" s="1867"/>
      <c r="HB185" s="1628"/>
      <c r="HC185" s="1665"/>
      <c r="HR185" s="1867"/>
      <c r="HS185" s="1867"/>
      <c r="HT185" s="1678"/>
      <c r="HV185" s="1678"/>
    </row>
    <row r="186" spans="1:230" s="1484" customFormat="1" ht="15" x14ac:dyDescent="0.25">
      <c r="A186" s="1638"/>
      <c r="B186" s="1633" t="s">
        <v>1755</v>
      </c>
      <c r="C186" s="2807" t="s">
        <v>2634</v>
      </c>
      <c r="D186" s="2807"/>
      <c r="E186" s="2807"/>
      <c r="F186" s="2807"/>
      <c r="G186" s="2807"/>
      <c r="H186" s="1634" t="s">
        <v>832</v>
      </c>
      <c r="I186" s="1653">
        <v>3.5000000000000003E-2</v>
      </c>
      <c r="J186" s="1855"/>
      <c r="K186" s="1637">
        <v>0.7</v>
      </c>
      <c r="L186" s="1654">
        <v>35.71</v>
      </c>
      <c r="M186" s="1655">
        <v>1.1100000000000001</v>
      </c>
      <c r="N186" s="1642">
        <v>39.64</v>
      </c>
      <c r="O186" s="1855"/>
      <c r="P186" s="1636">
        <v>27.75</v>
      </c>
      <c r="Q186" s="1643"/>
      <c r="R186" s="1643"/>
      <c r="GO186" s="1619"/>
      <c r="GP186" s="1628"/>
      <c r="GQ186" s="1628"/>
      <c r="GR186" s="1628"/>
      <c r="GS186" s="1628"/>
      <c r="GT186" s="1628"/>
      <c r="GW186" s="1867"/>
      <c r="GX186" s="1867" t="s">
        <v>2634</v>
      </c>
      <c r="GY186" s="1867"/>
      <c r="GZ186" s="1628"/>
      <c r="HA186" s="1867"/>
      <c r="HB186" s="1628"/>
      <c r="HC186" s="1665"/>
      <c r="HR186" s="1867"/>
      <c r="HS186" s="1867"/>
      <c r="HT186" s="1678"/>
      <c r="HV186" s="1678"/>
    </row>
    <row r="187" spans="1:230" s="1484" customFormat="1" ht="22.5" x14ac:dyDescent="0.25">
      <c r="A187" s="1638"/>
      <c r="B187" s="1633" t="s">
        <v>4899</v>
      </c>
      <c r="C187" s="2807" t="s">
        <v>4900</v>
      </c>
      <c r="D187" s="2807"/>
      <c r="E187" s="2807"/>
      <c r="F187" s="2807"/>
      <c r="G187" s="2807"/>
      <c r="H187" s="1634" t="s">
        <v>130</v>
      </c>
      <c r="I187" s="1637">
        <v>13.9</v>
      </c>
      <c r="J187" s="1855"/>
      <c r="K187" s="1639">
        <v>278</v>
      </c>
      <c r="L187" s="1654">
        <v>86.24</v>
      </c>
      <c r="M187" s="1655">
        <v>1.28</v>
      </c>
      <c r="N187" s="1642">
        <v>110.39</v>
      </c>
      <c r="O187" s="1855"/>
      <c r="P187" s="1636">
        <v>30688.42</v>
      </c>
      <c r="Q187" s="1643"/>
      <c r="R187" s="1643"/>
      <c r="GO187" s="1619"/>
      <c r="GP187" s="1628"/>
      <c r="GQ187" s="1628"/>
      <c r="GR187" s="1628"/>
      <c r="GS187" s="1628"/>
      <c r="GT187" s="1628"/>
      <c r="GW187" s="1867"/>
      <c r="GX187" s="1867" t="s">
        <v>4900</v>
      </c>
      <c r="GY187" s="1867"/>
      <c r="GZ187" s="1628"/>
      <c r="HA187" s="1867"/>
      <c r="HB187" s="1628"/>
      <c r="HC187" s="1665"/>
      <c r="HR187" s="1867"/>
      <c r="HS187" s="1867"/>
      <c r="HT187" s="1678"/>
      <c r="HV187" s="1678"/>
    </row>
    <row r="188" spans="1:230" s="1484" customFormat="1" ht="15" x14ac:dyDescent="0.25">
      <c r="A188" s="1638"/>
      <c r="B188" s="1633" t="s">
        <v>841</v>
      </c>
      <c r="C188" s="2807" t="s">
        <v>842</v>
      </c>
      <c r="D188" s="2807"/>
      <c r="E188" s="2807"/>
      <c r="F188" s="2807"/>
      <c r="G188" s="2807"/>
      <c r="H188" s="1634" t="s">
        <v>801</v>
      </c>
      <c r="I188" s="1685">
        <v>4.0000000000000002E-4</v>
      </c>
      <c r="J188" s="1855"/>
      <c r="K188" s="1653">
        <v>8.0000000000000002E-3</v>
      </c>
      <c r="L188" s="1657">
        <v>70296.2</v>
      </c>
      <c r="M188" s="1655">
        <v>1.37</v>
      </c>
      <c r="N188" s="1642">
        <v>96305.79</v>
      </c>
      <c r="O188" s="1855"/>
      <c r="P188" s="1636">
        <v>770.45</v>
      </c>
      <c r="Q188" s="1643"/>
      <c r="R188" s="1643"/>
      <c r="GO188" s="1619"/>
      <c r="GP188" s="1628"/>
      <c r="GQ188" s="1628"/>
      <c r="GR188" s="1628"/>
      <c r="GS188" s="1628"/>
      <c r="GT188" s="1628"/>
      <c r="GW188" s="1867"/>
      <c r="GX188" s="1867" t="s">
        <v>842</v>
      </c>
      <c r="GY188" s="1867"/>
      <c r="GZ188" s="1628"/>
      <c r="HA188" s="1867"/>
      <c r="HB188" s="1628"/>
      <c r="HC188" s="1665"/>
      <c r="HR188" s="1867"/>
      <c r="HS188" s="1867"/>
      <c r="HT188" s="1678"/>
      <c r="HV188" s="1678"/>
    </row>
    <row r="189" spans="1:230" s="1484" customFormat="1" ht="22.5" x14ac:dyDescent="0.25">
      <c r="A189" s="1638"/>
      <c r="B189" s="1633" t="s">
        <v>3242</v>
      </c>
      <c r="C189" s="2807" t="s">
        <v>4955</v>
      </c>
      <c r="D189" s="2807"/>
      <c r="E189" s="2807"/>
      <c r="F189" s="2807"/>
      <c r="G189" s="2807"/>
      <c r="H189" s="1634" t="s">
        <v>801</v>
      </c>
      <c r="I189" s="1686">
        <v>5.13E-3</v>
      </c>
      <c r="J189" s="1855"/>
      <c r="K189" s="1685">
        <v>0.1026</v>
      </c>
      <c r="L189" s="1657">
        <v>78269.7</v>
      </c>
      <c r="M189" s="1655">
        <v>0.84</v>
      </c>
      <c r="N189" s="1642">
        <v>65746.55</v>
      </c>
      <c r="O189" s="1855"/>
      <c r="P189" s="1636">
        <v>6745.6</v>
      </c>
      <c r="Q189" s="1643"/>
      <c r="R189" s="1643"/>
      <c r="GO189" s="1619"/>
      <c r="GP189" s="1628"/>
      <c r="GQ189" s="1628"/>
      <c r="GR189" s="1628"/>
      <c r="GS189" s="1628"/>
      <c r="GT189" s="1628"/>
      <c r="GW189" s="1867"/>
      <c r="GX189" s="1867" t="s">
        <v>4955</v>
      </c>
      <c r="GY189" s="1867"/>
      <c r="GZ189" s="1628"/>
      <c r="HA189" s="1867"/>
      <c r="HB189" s="1628"/>
      <c r="HC189" s="1665"/>
      <c r="HR189" s="1867"/>
      <c r="HS189" s="1867"/>
      <c r="HT189" s="1678"/>
      <c r="HV189" s="1678"/>
    </row>
    <row r="190" spans="1:230" s="1484" customFormat="1" ht="22.5" x14ac:dyDescent="0.25">
      <c r="A190" s="1638"/>
      <c r="B190" s="1633" t="s">
        <v>3245</v>
      </c>
      <c r="C190" s="2807" t="s">
        <v>4957</v>
      </c>
      <c r="D190" s="2807"/>
      <c r="E190" s="2807"/>
      <c r="F190" s="2807"/>
      <c r="G190" s="2807"/>
      <c r="H190" s="1634" t="s">
        <v>801</v>
      </c>
      <c r="I190" s="1685">
        <v>1.6400000000000001E-2</v>
      </c>
      <c r="J190" s="1855"/>
      <c r="K190" s="1653">
        <v>0.32800000000000001</v>
      </c>
      <c r="L190" s="1657">
        <v>64170.64</v>
      </c>
      <c r="M190" s="1655">
        <v>0.76</v>
      </c>
      <c r="N190" s="1642">
        <v>48769.69</v>
      </c>
      <c r="O190" s="1855"/>
      <c r="P190" s="1636">
        <v>15996.46</v>
      </c>
      <c r="Q190" s="1643"/>
      <c r="R190" s="1643"/>
      <c r="GO190" s="1619"/>
      <c r="GP190" s="1628"/>
      <c r="GQ190" s="1628"/>
      <c r="GR190" s="1628"/>
      <c r="GS190" s="1628"/>
      <c r="GT190" s="1628"/>
      <c r="GW190" s="1867"/>
      <c r="GX190" s="1867" t="s">
        <v>4957</v>
      </c>
      <c r="GY190" s="1867"/>
      <c r="GZ190" s="1628"/>
      <c r="HA190" s="1867"/>
      <c r="HB190" s="1628"/>
      <c r="HC190" s="1665"/>
      <c r="HR190" s="1867"/>
      <c r="HS190" s="1867"/>
      <c r="HT190" s="1678"/>
      <c r="HV190" s="1678"/>
    </row>
    <row r="191" spans="1:230" s="1484" customFormat="1" ht="33.75" x14ac:dyDescent="0.25">
      <c r="A191" s="1638"/>
      <c r="B191" s="1633" t="s">
        <v>4961</v>
      </c>
      <c r="C191" s="2807" t="s">
        <v>4962</v>
      </c>
      <c r="D191" s="2807"/>
      <c r="E191" s="2807"/>
      <c r="F191" s="2807"/>
      <c r="G191" s="2807"/>
      <c r="H191" s="1634" t="s">
        <v>832</v>
      </c>
      <c r="I191" s="1653">
        <v>3.4000000000000002E-2</v>
      </c>
      <c r="J191" s="1855"/>
      <c r="K191" s="1646">
        <v>0.68</v>
      </c>
      <c r="L191" s="1657">
        <v>16655</v>
      </c>
      <c r="M191" s="1953">
        <v>1.1000000000000001</v>
      </c>
      <c r="N191" s="1642">
        <v>18320.5</v>
      </c>
      <c r="O191" s="1855"/>
      <c r="P191" s="1636">
        <v>12457.94</v>
      </c>
      <c r="Q191" s="1643"/>
      <c r="R191" s="1643"/>
      <c r="GO191" s="1619"/>
      <c r="GP191" s="1628"/>
      <c r="GQ191" s="1628"/>
      <c r="GR191" s="1628"/>
      <c r="GS191" s="1628"/>
      <c r="GT191" s="1628"/>
      <c r="GW191" s="1867"/>
      <c r="GX191" s="1867" t="s">
        <v>4962</v>
      </c>
      <c r="GY191" s="1867"/>
      <c r="GZ191" s="1628"/>
      <c r="HA191" s="1867"/>
      <c r="HB191" s="1628"/>
      <c r="HC191" s="1665"/>
      <c r="HR191" s="1867"/>
      <c r="HS191" s="1867"/>
      <c r="HT191" s="1678"/>
      <c r="HV191" s="1678"/>
    </row>
    <row r="192" spans="1:230" s="1484" customFormat="1" ht="22.5" x14ac:dyDescent="0.25">
      <c r="A192" s="1638"/>
      <c r="B192" s="1633" t="s">
        <v>4964</v>
      </c>
      <c r="C192" s="2807" t="s">
        <v>4965</v>
      </c>
      <c r="D192" s="2807"/>
      <c r="E192" s="2807"/>
      <c r="F192" s="2807"/>
      <c r="G192" s="2807"/>
      <c r="H192" s="1634" t="s">
        <v>832</v>
      </c>
      <c r="I192" s="1653">
        <v>9.0999999999999998E-2</v>
      </c>
      <c r="J192" s="1855"/>
      <c r="K192" s="1646">
        <v>1.82</v>
      </c>
      <c r="L192" s="1657">
        <v>5764.42</v>
      </c>
      <c r="M192" s="1655">
        <v>1.79</v>
      </c>
      <c r="N192" s="1642">
        <v>10318.31</v>
      </c>
      <c r="O192" s="1855"/>
      <c r="P192" s="1636">
        <v>18779.32</v>
      </c>
      <c r="Q192" s="1643"/>
      <c r="R192" s="1643"/>
      <c r="GO192" s="1619"/>
      <c r="GP192" s="1628"/>
      <c r="GQ192" s="1628"/>
      <c r="GR192" s="1628"/>
      <c r="GS192" s="1628"/>
      <c r="GT192" s="1628"/>
      <c r="GW192" s="1867"/>
      <c r="GX192" s="1867" t="s">
        <v>4965</v>
      </c>
      <c r="GY192" s="1867"/>
      <c r="GZ192" s="1628"/>
      <c r="HA192" s="1867"/>
      <c r="HB192" s="1628"/>
      <c r="HC192" s="1665"/>
      <c r="HR192" s="1867"/>
      <c r="HS192" s="1867"/>
      <c r="HT192" s="1678"/>
      <c r="HV192" s="1678"/>
    </row>
    <row r="193" spans="1:230" s="1484" customFormat="1" ht="15" x14ac:dyDescent="0.25">
      <c r="A193" s="1658" t="s">
        <v>860</v>
      </c>
      <c r="B193" s="1659" t="s">
        <v>3878</v>
      </c>
      <c r="C193" s="2808" t="s">
        <v>6101</v>
      </c>
      <c r="D193" s="2808"/>
      <c r="E193" s="2808"/>
      <c r="F193" s="2808"/>
      <c r="G193" s="2808"/>
      <c r="H193" s="1660" t="s">
        <v>832</v>
      </c>
      <c r="I193" s="1661">
        <v>0</v>
      </c>
      <c r="J193" s="1662"/>
      <c r="K193" s="1661">
        <v>0</v>
      </c>
      <c r="L193" s="1663"/>
      <c r="M193" s="1662"/>
      <c r="N193" s="1663"/>
      <c r="O193" s="1662"/>
      <c r="P193" s="1664"/>
      <c r="GO193" s="1619"/>
      <c r="GP193" s="1628"/>
      <c r="GQ193" s="1628"/>
      <c r="GR193" s="1628"/>
      <c r="GS193" s="1628"/>
      <c r="GT193" s="1628"/>
      <c r="GW193" s="1867"/>
      <c r="GX193" s="1867"/>
      <c r="GY193" s="1867"/>
      <c r="GZ193" s="1628"/>
      <c r="HA193" s="1867"/>
      <c r="HB193" s="1628"/>
      <c r="HC193" s="1665" t="s">
        <v>6101</v>
      </c>
      <c r="HR193" s="1867"/>
      <c r="HS193" s="1867"/>
      <c r="HT193" s="1678"/>
      <c r="HV193" s="1678"/>
    </row>
    <row r="194" spans="1:230" s="1484" customFormat="1" ht="15" x14ac:dyDescent="0.25">
      <c r="A194" s="1658" t="s">
        <v>860</v>
      </c>
      <c r="B194" s="1659" t="s">
        <v>6102</v>
      </c>
      <c r="C194" s="2808" t="s">
        <v>6103</v>
      </c>
      <c r="D194" s="2808"/>
      <c r="E194" s="2808"/>
      <c r="F194" s="2808"/>
      <c r="G194" s="2808"/>
      <c r="H194" s="1660" t="s">
        <v>832</v>
      </c>
      <c r="I194" s="1661">
        <v>0</v>
      </c>
      <c r="J194" s="1662"/>
      <c r="K194" s="1661">
        <v>0</v>
      </c>
      <c r="L194" s="1663"/>
      <c r="M194" s="1662"/>
      <c r="N194" s="1663"/>
      <c r="O194" s="1662"/>
      <c r="P194" s="1664"/>
      <c r="GO194" s="1619"/>
      <c r="GP194" s="1628"/>
      <c r="GQ194" s="1628"/>
      <c r="GR194" s="1628"/>
      <c r="GS194" s="1628"/>
      <c r="GT194" s="1628"/>
      <c r="GW194" s="1867"/>
      <c r="GX194" s="1867"/>
      <c r="GY194" s="1867"/>
      <c r="GZ194" s="1628"/>
      <c r="HA194" s="1867"/>
      <c r="HB194" s="1628"/>
      <c r="HC194" s="1665" t="s">
        <v>6103</v>
      </c>
      <c r="HR194" s="1867"/>
      <c r="HS194" s="1867"/>
      <c r="HT194" s="1678"/>
      <c r="HV194" s="1678"/>
    </row>
    <row r="195" spans="1:230" s="1484" customFormat="1" ht="33.75" x14ac:dyDescent="0.25">
      <c r="A195" s="1658" t="s">
        <v>860</v>
      </c>
      <c r="B195" s="1659" t="s">
        <v>3240</v>
      </c>
      <c r="C195" s="2808" t="s">
        <v>4948</v>
      </c>
      <c r="D195" s="2808"/>
      <c r="E195" s="2808"/>
      <c r="F195" s="2808"/>
      <c r="G195" s="2808"/>
      <c r="H195" s="1660" t="s">
        <v>801</v>
      </c>
      <c r="I195" s="1661">
        <v>0</v>
      </c>
      <c r="J195" s="1662"/>
      <c r="K195" s="1661">
        <v>0</v>
      </c>
      <c r="L195" s="1663"/>
      <c r="M195" s="1662"/>
      <c r="N195" s="1663"/>
      <c r="O195" s="1662"/>
      <c r="P195" s="1664"/>
      <c r="GO195" s="1619"/>
      <c r="GP195" s="1628"/>
      <c r="GQ195" s="1628"/>
      <c r="GR195" s="1628"/>
      <c r="GS195" s="1628"/>
      <c r="GT195" s="1628"/>
      <c r="GW195" s="1867"/>
      <c r="GX195" s="1867"/>
      <c r="GY195" s="1867"/>
      <c r="GZ195" s="1628"/>
      <c r="HA195" s="1867"/>
      <c r="HB195" s="1628"/>
      <c r="HC195" s="1665" t="s">
        <v>4948</v>
      </c>
      <c r="HR195" s="1867"/>
      <c r="HS195" s="1867"/>
      <c r="HT195" s="1678"/>
      <c r="HV195" s="1678"/>
    </row>
    <row r="196" spans="1:230" s="1484" customFormat="1" ht="15" x14ac:dyDescent="0.25">
      <c r="A196" s="1647"/>
      <c r="B196" s="1631"/>
      <c r="C196" s="2803" t="s">
        <v>866</v>
      </c>
      <c r="D196" s="2803"/>
      <c r="E196" s="2803"/>
      <c r="F196" s="2803"/>
      <c r="G196" s="2803"/>
      <c r="H196" s="1621"/>
      <c r="I196" s="1622"/>
      <c r="J196" s="1622"/>
      <c r="K196" s="1622"/>
      <c r="L196" s="1625"/>
      <c r="M196" s="1622"/>
      <c r="N196" s="1648"/>
      <c r="O196" s="1622"/>
      <c r="P196" s="1649">
        <v>732012.27</v>
      </c>
      <c r="Q196" s="1643"/>
      <c r="R196" s="1643"/>
      <c r="GO196" s="1619"/>
      <c r="GP196" s="1628"/>
      <c r="GQ196" s="1628"/>
      <c r="GR196" s="1628"/>
      <c r="GS196" s="1628"/>
      <c r="GT196" s="1628"/>
      <c r="GW196" s="1867"/>
      <c r="GX196" s="1867"/>
      <c r="GY196" s="1867"/>
      <c r="GZ196" s="1628" t="s">
        <v>866</v>
      </c>
      <c r="HA196" s="1867"/>
      <c r="HB196" s="1628"/>
      <c r="HC196" s="1665"/>
      <c r="HR196" s="1867"/>
      <c r="HS196" s="1867"/>
      <c r="HT196" s="1678"/>
      <c r="HV196" s="1678"/>
    </row>
    <row r="197" spans="1:230" s="1484" customFormat="1" ht="15" x14ac:dyDescent="0.25">
      <c r="A197" s="1644"/>
      <c r="B197" s="1633"/>
      <c r="C197" s="2807" t="s">
        <v>867</v>
      </c>
      <c r="D197" s="2807"/>
      <c r="E197" s="2807"/>
      <c r="F197" s="2807"/>
      <c r="G197" s="2807"/>
      <c r="H197" s="1634"/>
      <c r="I197" s="1855"/>
      <c r="J197" s="1855"/>
      <c r="K197" s="1855"/>
      <c r="L197" s="1635"/>
      <c r="M197" s="1855"/>
      <c r="N197" s="1635"/>
      <c r="O197" s="1855"/>
      <c r="P197" s="1636">
        <v>619022.06999999995</v>
      </c>
      <c r="GO197" s="1619"/>
      <c r="GP197" s="1628"/>
      <c r="GQ197" s="1628"/>
      <c r="GR197" s="1628"/>
      <c r="GS197" s="1628"/>
      <c r="GT197" s="1628"/>
      <c r="GW197" s="1867"/>
      <c r="GX197" s="1867"/>
      <c r="GY197" s="1867"/>
      <c r="GZ197" s="1628"/>
      <c r="HA197" s="1867" t="s">
        <v>867</v>
      </c>
      <c r="HB197" s="1628"/>
      <c r="HC197" s="1665"/>
      <c r="HR197" s="1867"/>
      <c r="HS197" s="1867"/>
      <c r="HT197" s="1678"/>
      <c r="HV197" s="1678"/>
    </row>
    <row r="198" spans="1:230" s="1484" customFormat="1" ht="15" x14ac:dyDescent="0.25">
      <c r="A198" s="1644"/>
      <c r="B198" s="1633" t="s">
        <v>6104</v>
      </c>
      <c r="C198" s="2807" t="s">
        <v>6105</v>
      </c>
      <c r="D198" s="2807"/>
      <c r="E198" s="2807"/>
      <c r="F198" s="2807"/>
      <c r="G198" s="2807"/>
      <c r="H198" s="1634" t="s">
        <v>636</v>
      </c>
      <c r="I198" s="1639">
        <v>140</v>
      </c>
      <c r="J198" s="1855"/>
      <c r="K198" s="1639">
        <v>140</v>
      </c>
      <c r="L198" s="1635"/>
      <c r="M198" s="1855"/>
      <c r="N198" s="1635"/>
      <c r="O198" s="1855"/>
      <c r="P198" s="1636">
        <v>866630.9</v>
      </c>
      <c r="GO198" s="1619"/>
      <c r="GP198" s="1628"/>
      <c r="GQ198" s="1628"/>
      <c r="GR198" s="1628"/>
      <c r="GS198" s="1628"/>
      <c r="GT198" s="1628"/>
      <c r="GW198" s="1867"/>
      <c r="GX198" s="1867"/>
      <c r="GY198" s="1867"/>
      <c r="GZ198" s="1628"/>
      <c r="HA198" s="1867" t="s">
        <v>6105</v>
      </c>
      <c r="HB198" s="1628"/>
      <c r="HC198" s="1665"/>
      <c r="HR198" s="1867"/>
      <c r="HS198" s="1867"/>
      <c r="HT198" s="1678"/>
      <c r="HV198" s="1678"/>
    </row>
    <row r="199" spans="1:230" s="1484" customFormat="1" ht="15" x14ac:dyDescent="0.25">
      <c r="A199" s="1644"/>
      <c r="B199" s="1633" t="s">
        <v>6106</v>
      </c>
      <c r="C199" s="2807" t="s">
        <v>6107</v>
      </c>
      <c r="D199" s="2807"/>
      <c r="E199" s="2807"/>
      <c r="F199" s="2807"/>
      <c r="G199" s="2807"/>
      <c r="H199" s="1634" t="s">
        <v>636</v>
      </c>
      <c r="I199" s="1639">
        <v>93</v>
      </c>
      <c r="J199" s="1855"/>
      <c r="K199" s="1639">
        <v>93</v>
      </c>
      <c r="L199" s="1635"/>
      <c r="M199" s="1855"/>
      <c r="N199" s="1635"/>
      <c r="O199" s="1855"/>
      <c r="P199" s="1636">
        <v>575690.53</v>
      </c>
      <c r="GO199" s="1619"/>
      <c r="GP199" s="1628"/>
      <c r="GQ199" s="1628"/>
      <c r="GR199" s="1628"/>
      <c r="GS199" s="1628"/>
      <c r="GT199" s="1628"/>
      <c r="GW199" s="1867"/>
      <c r="GX199" s="1867"/>
      <c r="GY199" s="1867"/>
      <c r="GZ199" s="1628"/>
      <c r="HA199" s="1867" t="s">
        <v>6107</v>
      </c>
      <c r="HB199" s="1628"/>
      <c r="HC199" s="1665"/>
      <c r="HR199" s="1867"/>
      <c r="HS199" s="1867"/>
      <c r="HT199" s="1678"/>
      <c r="HV199" s="1678"/>
    </row>
    <row r="200" spans="1:230" s="1484" customFormat="1" ht="15" x14ac:dyDescent="0.25">
      <c r="A200" s="1650"/>
      <c r="B200" s="1651"/>
      <c r="C200" s="2803" t="s">
        <v>872</v>
      </c>
      <c r="D200" s="2803"/>
      <c r="E200" s="2803"/>
      <c r="F200" s="2803"/>
      <c r="G200" s="2803"/>
      <c r="H200" s="1621"/>
      <c r="I200" s="1622"/>
      <c r="J200" s="1622"/>
      <c r="K200" s="1622"/>
      <c r="L200" s="1625"/>
      <c r="M200" s="1622"/>
      <c r="N200" s="1648">
        <v>108716.69</v>
      </c>
      <c r="O200" s="1622"/>
      <c r="P200" s="1649">
        <v>2174333.7000000002</v>
      </c>
      <c r="GO200" s="1619"/>
      <c r="GP200" s="1628"/>
      <c r="GQ200" s="1628"/>
      <c r="GR200" s="1628"/>
      <c r="GS200" s="1628"/>
      <c r="GT200" s="1628"/>
      <c r="GW200" s="1867"/>
      <c r="GX200" s="1867"/>
      <c r="GY200" s="1867"/>
      <c r="GZ200" s="1628"/>
      <c r="HA200" s="1867"/>
      <c r="HB200" s="1628" t="s">
        <v>872</v>
      </c>
      <c r="HC200" s="1665"/>
      <c r="HR200" s="1867"/>
      <c r="HS200" s="1867"/>
      <c r="HT200" s="1678"/>
      <c r="HV200" s="1678"/>
    </row>
    <row r="201" spans="1:230" s="1484" customFormat="1" ht="56.25" x14ac:dyDescent="0.25">
      <c r="A201" s="1620" t="s">
        <v>651</v>
      </c>
      <c r="B201" s="1863" t="s">
        <v>7844</v>
      </c>
      <c r="C201" s="2804" t="s">
        <v>4925</v>
      </c>
      <c r="D201" s="2804"/>
      <c r="E201" s="2804"/>
      <c r="F201" s="2804"/>
      <c r="G201" s="2804"/>
      <c r="H201" s="1621" t="s">
        <v>832</v>
      </c>
      <c r="I201" s="1622">
        <v>37.4</v>
      </c>
      <c r="J201" s="1623">
        <v>1</v>
      </c>
      <c r="K201" s="1624">
        <v>37.4</v>
      </c>
      <c r="L201" s="1625"/>
      <c r="M201" s="1622"/>
      <c r="N201" s="1666">
        <v>1546.95</v>
      </c>
      <c r="O201" s="1622"/>
      <c r="P201" s="1649">
        <v>70529.600000000006</v>
      </c>
      <c r="GO201" s="1619"/>
      <c r="GP201" s="1628" t="s">
        <v>4925</v>
      </c>
      <c r="GQ201" s="1628" t="s">
        <v>588</v>
      </c>
      <c r="GR201" s="1628" t="s">
        <v>588</v>
      </c>
      <c r="GS201" s="1628" t="s">
        <v>588</v>
      </c>
      <c r="GT201" s="1628" t="s">
        <v>588</v>
      </c>
      <c r="GW201" s="1867"/>
      <c r="GX201" s="1867"/>
      <c r="GY201" s="1867"/>
      <c r="GZ201" s="1628"/>
      <c r="HA201" s="1867"/>
      <c r="HB201" s="1628"/>
      <c r="HC201" s="1665"/>
      <c r="HR201" s="1867"/>
      <c r="HS201" s="1867"/>
      <c r="HT201" s="1678"/>
      <c r="HV201" s="1678"/>
    </row>
    <row r="202" spans="1:230" s="1484" customFormat="1" ht="15" x14ac:dyDescent="0.25">
      <c r="A202" s="1650"/>
      <c r="B202" s="1651"/>
      <c r="C202" s="2805" t="s">
        <v>6075</v>
      </c>
      <c r="D202" s="2805"/>
      <c r="E202" s="2805"/>
      <c r="F202" s="2805"/>
      <c r="G202" s="2805"/>
      <c r="H202" s="2805"/>
      <c r="I202" s="2805"/>
      <c r="J202" s="2805"/>
      <c r="K202" s="2805"/>
      <c r="L202" s="2805"/>
      <c r="M202" s="2805"/>
      <c r="N202" s="2805"/>
      <c r="O202" s="2805"/>
      <c r="P202" s="2806"/>
      <c r="GO202" s="1619"/>
      <c r="GP202" s="1628"/>
      <c r="GQ202" s="1628"/>
      <c r="GR202" s="1628"/>
      <c r="GS202" s="1628"/>
      <c r="GT202" s="1628"/>
      <c r="GW202" s="1867"/>
      <c r="GX202" s="1867"/>
      <c r="GY202" s="1867"/>
      <c r="GZ202" s="1628"/>
      <c r="HA202" s="1867"/>
      <c r="HB202" s="1628"/>
      <c r="HC202" s="1665"/>
      <c r="HD202" s="1864" t="s">
        <v>6075</v>
      </c>
      <c r="HE202" s="1864" t="s">
        <v>588</v>
      </c>
      <c r="HF202" s="1864" t="s">
        <v>588</v>
      </c>
      <c r="HG202" s="1864" t="s">
        <v>588</v>
      </c>
      <c r="HH202" s="1864" t="s">
        <v>588</v>
      </c>
      <c r="HI202" s="1864" t="s">
        <v>588</v>
      </c>
      <c r="HJ202" s="1864" t="s">
        <v>588</v>
      </c>
      <c r="HK202" s="1864" t="s">
        <v>588</v>
      </c>
      <c r="HL202" s="1864" t="s">
        <v>588</v>
      </c>
      <c r="HM202" s="1864" t="s">
        <v>588</v>
      </c>
      <c r="HN202" s="1864" t="s">
        <v>588</v>
      </c>
      <c r="HO202" s="1864" t="s">
        <v>588</v>
      </c>
      <c r="HP202" s="1864" t="s">
        <v>588</v>
      </c>
      <c r="HQ202" s="1864" t="s">
        <v>588</v>
      </c>
      <c r="HR202" s="1867"/>
      <c r="HS202" s="1867"/>
      <c r="HT202" s="1678"/>
      <c r="HV202" s="1678"/>
    </row>
    <row r="203" spans="1:230" s="1484" customFormat="1" ht="15" x14ac:dyDescent="0.25">
      <c r="A203" s="1629"/>
      <c r="B203" s="1862"/>
      <c r="C203" s="2805" t="s">
        <v>6108</v>
      </c>
      <c r="D203" s="2805"/>
      <c r="E203" s="2805"/>
      <c r="F203" s="2805"/>
      <c r="G203" s="2805"/>
      <c r="H203" s="2805"/>
      <c r="I203" s="2805"/>
      <c r="J203" s="2805"/>
      <c r="K203" s="2805"/>
      <c r="L203" s="2805"/>
      <c r="M203" s="2805"/>
      <c r="N203" s="2805"/>
      <c r="O203" s="2805"/>
      <c r="P203" s="2806"/>
      <c r="GO203" s="1619"/>
      <c r="GP203" s="1628"/>
      <c r="GQ203" s="1628"/>
      <c r="GR203" s="1628"/>
      <c r="GS203" s="1628"/>
      <c r="GT203" s="1628"/>
      <c r="GU203" s="1864" t="s">
        <v>6108</v>
      </c>
      <c r="GW203" s="1867"/>
      <c r="GX203" s="1867"/>
      <c r="GY203" s="1867"/>
      <c r="GZ203" s="1628"/>
      <c r="HA203" s="1867"/>
      <c r="HB203" s="1628"/>
      <c r="HC203" s="1665"/>
      <c r="HR203" s="1867"/>
      <c r="HS203" s="1867"/>
      <c r="HT203" s="1678"/>
      <c r="HV203" s="1678"/>
    </row>
    <row r="204" spans="1:230" s="1484" customFormat="1" ht="15" x14ac:dyDescent="0.25">
      <c r="A204" s="1644" t="s">
        <v>651</v>
      </c>
      <c r="B204" s="1633" t="s">
        <v>6109</v>
      </c>
      <c r="C204" s="2807" t="s">
        <v>6110</v>
      </c>
      <c r="D204" s="2807"/>
      <c r="E204" s="2807"/>
      <c r="F204" s="2807"/>
      <c r="G204" s="2807"/>
      <c r="H204" s="1634" t="s">
        <v>832</v>
      </c>
      <c r="I204" s="1637">
        <v>37.4</v>
      </c>
      <c r="J204" s="1855"/>
      <c r="K204" s="1637">
        <v>37.4</v>
      </c>
      <c r="L204" s="1642">
        <v>2241.96</v>
      </c>
      <c r="M204" s="1646">
        <v>0.69</v>
      </c>
      <c r="N204" s="1642">
        <v>1546.95</v>
      </c>
      <c r="O204" s="1855"/>
      <c r="P204" s="1636">
        <v>57855.93</v>
      </c>
      <c r="GO204" s="1619"/>
      <c r="GP204" s="1628"/>
      <c r="GQ204" s="1628"/>
      <c r="GR204" s="1628"/>
      <c r="GS204" s="1628"/>
      <c r="GT204" s="1628"/>
      <c r="GW204" s="1867"/>
      <c r="GX204" s="1867"/>
      <c r="GY204" s="1867"/>
      <c r="GZ204" s="1628"/>
      <c r="HA204" s="1867"/>
      <c r="HB204" s="1628"/>
      <c r="HC204" s="1665"/>
      <c r="HR204" s="1867" t="s">
        <v>6110</v>
      </c>
      <c r="HS204" s="1867"/>
      <c r="HT204" s="1678"/>
      <c r="HV204" s="1678"/>
    </row>
    <row r="205" spans="1:230" s="1484" customFormat="1" ht="56.25" x14ac:dyDescent="0.25">
      <c r="A205" s="1644" t="s">
        <v>4436</v>
      </c>
      <c r="B205" s="1633" t="s">
        <v>6111</v>
      </c>
      <c r="C205" s="2807" t="s">
        <v>6080</v>
      </c>
      <c r="D205" s="2807"/>
      <c r="E205" s="2807"/>
      <c r="F205" s="2807"/>
      <c r="G205" s="2807"/>
      <c r="H205" s="1634" t="s">
        <v>5044</v>
      </c>
      <c r="I205" s="1855"/>
      <c r="J205" s="1855"/>
      <c r="K205" s="1646">
        <v>67.319999999999993</v>
      </c>
      <c r="L205" s="1635"/>
      <c r="M205" s="1855"/>
      <c r="N205" s="1645">
        <v>347.1</v>
      </c>
      <c r="O205" s="1639">
        <v>-1</v>
      </c>
      <c r="P205" s="1636">
        <v>-23366.77</v>
      </c>
      <c r="GO205" s="1619"/>
      <c r="GP205" s="1628"/>
      <c r="GQ205" s="1628"/>
      <c r="GR205" s="1628"/>
      <c r="GS205" s="1628"/>
      <c r="GT205" s="1628"/>
      <c r="GW205" s="1867"/>
      <c r="GX205" s="1867"/>
      <c r="GY205" s="1867"/>
      <c r="GZ205" s="1628"/>
      <c r="HA205" s="1867"/>
      <c r="HB205" s="1628"/>
      <c r="HC205" s="1665"/>
      <c r="HR205" s="1867"/>
      <c r="HS205" s="1867" t="s">
        <v>6080</v>
      </c>
      <c r="HT205" s="1678"/>
      <c r="HV205" s="1678"/>
    </row>
    <row r="206" spans="1:230" s="1484" customFormat="1" ht="56.25" x14ac:dyDescent="0.25">
      <c r="A206" s="1644" t="s">
        <v>6133</v>
      </c>
      <c r="B206" s="1633" t="s">
        <v>6113</v>
      </c>
      <c r="C206" s="2807" t="s">
        <v>6083</v>
      </c>
      <c r="D206" s="2807"/>
      <c r="E206" s="2807"/>
      <c r="F206" s="2807"/>
      <c r="G206" s="2807"/>
      <c r="H206" s="1634" t="s">
        <v>5044</v>
      </c>
      <c r="I206" s="1855"/>
      <c r="J206" s="1855"/>
      <c r="K206" s="1646">
        <v>67.319999999999993</v>
      </c>
      <c r="L206" s="1635"/>
      <c r="M206" s="1855"/>
      <c r="N206" s="1645">
        <v>535.36</v>
      </c>
      <c r="O206" s="1855"/>
      <c r="P206" s="1636">
        <v>36040.44</v>
      </c>
      <c r="GO206" s="1619"/>
      <c r="GP206" s="1628"/>
      <c r="GQ206" s="1628"/>
      <c r="GR206" s="1628"/>
      <c r="GS206" s="1628"/>
      <c r="GT206" s="1628"/>
      <c r="GW206" s="1867"/>
      <c r="GX206" s="1867"/>
      <c r="GY206" s="1867"/>
      <c r="GZ206" s="1628"/>
      <c r="HA206" s="1867"/>
      <c r="HB206" s="1628"/>
      <c r="HC206" s="1665"/>
      <c r="HR206" s="1867"/>
      <c r="HS206" s="1867" t="s">
        <v>6083</v>
      </c>
      <c r="HT206" s="1678"/>
      <c r="HV206" s="1678"/>
    </row>
    <row r="207" spans="1:230" s="1484" customFormat="1" ht="15" x14ac:dyDescent="0.25">
      <c r="A207" s="1650"/>
      <c r="B207" s="1651"/>
      <c r="C207" s="2803" t="s">
        <v>872</v>
      </c>
      <c r="D207" s="2803"/>
      <c r="E207" s="2803"/>
      <c r="F207" s="2803"/>
      <c r="G207" s="2803"/>
      <c r="H207" s="1621"/>
      <c r="I207" s="1622"/>
      <c r="J207" s="1622"/>
      <c r="K207" s="1622"/>
      <c r="L207" s="1625"/>
      <c r="M207" s="1622"/>
      <c r="N207" s="1625"/>
      <c r="O207" s="1622"/>
      <c r="P207" s="1649">
        <v>70529.600000000006</v>
      </c>
      <c r="GO207" s="1619"/>
      <c r="GP207" s="1628"/>
      <c r="GQ207" s="1628"/>
      <c r="GR207" s="1628"/>
      <c r="GS207" s="1628"/>
      <c r="GT207" s="1628"/>
      <c r="GW207" s="1867"/>
      <c r="GX207" s="1867"/>
      <c r="GY207" s="1867"/>
      <c r="GZ207" s="1628"/>
      <c r="HA207" s="1867"/>
      <c r="HB207" s="1628" t="s">
        <v>872</v>
      </c>
      <c r="HC207" s="1665"/>
      <c r="HR207" s="1867"/>
      <c r="HS207" s="1867"/>
      <c r="HT207" s="1678"/>
      <c r="HV207" s="1678"/>
    </row>
    <row r="208" spans="1:230" s="1484" customFormat="1" ht="56.25" x14ac:dyDescent="0.25">
      <c r="A208" s="1620" t="s">
        <v>652</v>
      </c>
      <c r="B208" s="1863" t="s">
        <v>7843</v>
      </c>
      <c r="C208" s="2804" t="s">
        <v>4926</v>
      </c>
      <c r="D208" s="2804"/>
      <c r="E208" s="2804"/>
      <c r="F208" s="2804"/>
      <c r="G208" s="2804"/>
      <c r="H208" s="1621" t="s">
        <v>832</v>
      </c>
      <c r="I208" s="1622">
        <v>24.4</v>
      </c>
      <c r="J208" s="1623">
        <v>1</v>
      </c>
      <c r="K208" s="1624">
        <v>24.4</v>
      </c>
      <c r="L208" s="1625"/>
      <c r="M208" s="1622"/>
      <c r="N208" s="1666">
        <v>1504.08</v>
      </c>
      <c r="O208" s="1622"/>
      <c r="P208" s="1649">
        <v>44049.22</v>
      </c>
      <c r="GO208" s="1619"/>
      <c r="GP208" s="1628" t="s">
        <v>4926</v>
      </c>
      <c r="GQ208" s="1628" t="s">
        <v>588</v>
      </c>
      <c r="GR208" s="1628" t="s">
        <v>588</v>
      </c>
      <c r="GS208" s="1628" t="s">
        <v>588</v>
      </c>
      <c r="GT208" s="1628" t="s">
        <v>588</v>
      </c>
      <c r="GW208" s="1867"/>
      <c r="GX208" s="1867"/>
      <c r="GY208" s="1867"/>
      <c r="GZ208" s="1628"/>
      <c r="HA208" s="1867"/>
      <c r="HB208" s="1628"/>
      <c r="HC208" s="1665"/>
      <c r="HR208" s="1867"/>
      <c r="HS208" s="1867"/>
      <c r="HT208" s="1678"/>
      <c r="HV208" s="1678"/>
    </row>
    <row r="209" spans="1:230" s="1484" customFormat="1" ht="15" x14ac:dyDescent="0.25">
      <c r="A209" s="1650"/>
      <c r="B209" s="1651"/>
      <c r="C209" s="2805" t="s">
        <v>6075</v>
      </c>
      <c r="D209" s="2805"/>
      <c r="E209" s="2805"/>
      <c r="F209" s="2805"/>
      <c r="G209" s="2805"/>
      <c r="H209" s="2805"/>
      <c r="I209" s="2805"/>
      <c r="J209" s="2805"/>
      <c r="K209" s="2805"/>
      <c r="L209" s="2805"/>
      <c r="M209" s="2805"/>
      <c r="N209" s="2805"/>
      <c r="O209" s="2805"/>
      <c r="P209" s="2806"/>
      <c r="GO209" s="1619"/>
      <c r="GP209" s="1628"/>
      <c r="GQ209" s="1628"/>
      <c r="GR209" s="1628"/>
      <c r="GS209" s="1628"/>
      <c r="GT209" s="1628"/>
      <c r="GW209" s="1867"/>
      <c r="GX209" s="1867"/>
      <c r="GY209" s="1867"/>
      <c r="GZ209" s="1628"/>
      <c r="HA209" s="1867"/>
      <c r="HB209" s="1628"/>
      <c r="HC209" s="1665"/>
      <c r="HD209" s="1864" t="s">
        <v>6075</v>
      </c>
      <c r="HE209" s="1864" t="s">
        <v>588</v>
      </c>
      <c r="HF209" s="1864" t="s">
        <v>588</v>
      </c>
      <c r="HG209" s="1864" t="s">
        <v>588</v>
      </c>
      <c r="HH209" s="1864" t="s">
        <v>588</v>
      </c>
      <c r="HI209" s="1864" t="s">
        <v>588</v>
      </c>
      <c r="HJ209" s="1864" t="s">
        <v>588</v>
      </c>
      <c r="HK209" s="1864" t="s">
        <v>588</v>
      </c>
      <c r="HL209" s="1864" t="s">
        <v>588</v>
      </c>
      <c r="HM209" s="1864" t="s">
        <v>588</v>
      </c>
      <c r="HN209" s="1864" t="s">
        <v>588</v>
      </c>
      <c r="HO209" s="1864" t="s">
        <v>588</v>
      </c>
      <c r="HP209" s="1864" t="s">
        <v>588</v>
      </c>
      <c r="HQ209" s="1864" t="s">
        <v>588</v>
      </c>
      <c r="HR209" s="1867"/>
      <c r="HS209" s="1867"/>
      <c r="HT209" s="1678"/>
      <c r="HV209" s="1678"/>
    </row>
    <row r="210" spans="1:230" s="1484" customFormat="1" ht="15" x14ac:dyDescent="0.25">
      <c r="A210" s="1629"/>
      <c r="B210" s="1862"/>
      <c r="C210" s="2805" t="s">
        <v>6114</v>
      </c>
      <c r="D210" s="2805"/>
      <c r="E210" s="2805"/>
      <c r="F210" s="2805"/>
      <c r="G210" s="2805"/>
      <c r="H210" s="2805"/>
      <c r="I210" s="2805"/>
      <c r="J210" s="2805"/>
      <c r="K210" s="2805"/>
      <c r="L210" s="2805"/>
      <c r="M210" s="2805"/>
      <c r="N210" s="2805"/>
      <c r="O210" s="2805"/>
      <c r="P210" s="2806"/>
      <c r="GO210" s="1619"/>
      <c r="GP210" s="1628"/>
      <c r="GQ210" s="1628"/>
      <c r="GR210" s="1628"/>
      <c r="GS210" s="1628"/>
      <c r="GT210" s="1628"/>
      <c r="GU210" s="1864" t="s">
        <v>6114</v>
      </c>
      <c r="GW210" s="1867"/>
      <c r="GX210" s="1867"/>
      <c r="GY210" s="1867"/>
      <c r="GZ210" s="1628"/>
      <c r="HA210" s="1867"/>
      <c r="HB210" s="1628"/>
      <c r="HC210" s="1665"/>
      <c r="HR210" s="1867"/>
      <c r="HS210" s="1867"/>
      <c r="HT210" s="1678"/>
      <c r="HV210" s="1678"/>
    </row>
    <row r="211" spans="1:230" s="1484" customFormat="1" ht="15" x14ac:dyDescent="0.25">
      <c r="A211" s="1644" t="s">
        <v>652</v>
      </c>
      <c r="B211" s="1633" t="s">
        <v>6115</v>
      </c>
      <c r="C211" s="2807" t="s">
        <v>6116</v>
      </c>
      <c r="D211" s="2807"/>
      <c r="E211" s="2807"/>
      <c r="F211" s="2807"/>
      <c r="G211" s="2807"/>
      <c r="H211" s="1634" t="s">
        <v>832</v>
      </c>
      <c r="I211" s="1637">
        <v>24.4</v>
      </c>
      <c r="J211" s="1855"/>
      <c r="K211" s="1637">
        <v>24.4</v>
      </c>
      <c r="L211" s="1645">
        <v>951.95</v>
      </c>
      <c r="M211" s="1646">
        <v>1.58</v>
      </c>
      <c r="N211" s="1642">
        <v>1504.08</v>
      </c>
      <c r="O211" s="1855"/>
      <c r="P211" s="1636">
        <v>36699.550000000003</v>
      </c>
      <c r="GO211" s="1619"/>
      <c r="GP211" s="1628"/>
      <c r="GQ211" s="1628"/>
      <c r="GR211" s="1628"/>
      <c r="GS211" s="1628"/>
      <c r="GT211" s="1628"/>
      <c r="GW211" s="1867"/>
      <c r="GX211" s="1867"/>
      <c r="GY211" s="1867"/>
      <c r="GZ211" s="1628"/>
      <c r="HA211" s="1867"/>
      <c r="HB211" s="1628"/>
      <c r="HC211" s="1665"/>
      <c r="HR211" s="1867" t="s">
        <v>6116</v>
      </c>
      <c r="HS211" s="1867"/>
      <c r="HT211" s="1678"/>
      <c r="HV211" s="1678"/>
    </row>
    <row r="212" spans="1:230" s="1484" customFormat="1" ht="56.25" x14ac:dyDescent="0.25">
      <c r="A212" s="1644" t="s">
        <v>4447</v>
      </c>
      <c r="B212" s="1633" t="s">
        <v>6117</v>
      </c>
      <c r="C212" s="2807" t="s">
        <v>6080</v>
      </c>
      <c r="D212" s="2807"/>
      <c r="E212" s="2807"/>
      <c r="F212" s="2807"/>
      <c r="G212" s="2807"/>
      <c r="H212" s="1634" t="s">
        <v>5044</v>
      </c>
      <c r="I212" s="1855"/>
      <c r="J212" s="1855"/>
      <c r="K212" s="1646">
        <v>39.04</v>
      </c>
      <c r="L212" s="1635"/>
      <c r="M212" s="1855"/>
      <c r="N212" s="1645">
        <v>347.1</v>
      </c>
      <c r="O212" s="1639">
        <v>-1</v>
      </c>
      <c r="P212" s="1636">
        <v>-13550.78</v>
      </c>
      <c r="GO212" s="1619"/>
      <c r="GP212" s="1628"/>
      <c r="GQ212" s="1628"/>
      <c r="GR212" s="1628"/>
      <c r="GS212" s="1628"/>
      <c r="GT212" s="1628"/>
      <c r="GW212" s="1867"/>
      <c r="GX212" s="1867"/>
      <c r="GY212" s="1867"/>
      <c r="GZ212" s="1628"/>
      <c r="HA212" s="1867"/>
      <c r="HB212" s="1628"/>
      <c r="HC212" s="1665"/>
      <c r="HR212" s="1867"/>
      <c r="HS212" s="1867" t="s">
        <v>6080</v>
      </c>
      <c r="HT212" s="1678"/>
      <c r="HV212" s="1678"/>
    </row>
    <row r="213" spans="1:230" s="1484" customFormat="1" ht="56.25" x14ac:dyDescent="0.25">
      <c r="A213" s="1644" t="s">
        <v>6112</v>
      </c>
      <c r="B213" s="1633" t="s">
        <v>6118</v>
      </c>
      <c r="C213" s="2807" t="s">
        <v>6083</v>
      </c>
      <c r="D213" s="2807"/>
      <c r="E213" s="2807"/>
      <c r="F213" s="2807"/>
      <c r="G213" s="2807"/>
      <c r="H213" s="1634" t="s">
        <v>5044</v>
      </c>
      <c r="I213" s="1855"/>
      <c r="J213" s="1855"/>
      <c r="K213" s="1646">
        <v>39.04</v>
      </c>
      <c r="L213" s="1635"/>
      <c r="M213" s="1855"/>
      <c r="N213" s="1645">
        <v>535.36</v>
      </c>
      <c r="O213" s="1855"/>
      <c r="P213" s="1636">
        <v>20900.45</v>
      </c>
      <c r="GO213" s="1619"/>
      <c r="GP213" s="1628"/>
      <c r="GQ213" s="1628"/>
      <c r="GR213" s="1628"/>
      <c r="GS213" s="1628"/>
      <c r="GT213" s="1628"/>
      <c r="GW213" s="1867"/>
      <c r="GX213" s="1867"/>
      <c r="GY213" s="1867"/>
      <c r="GZ213" s="1628"/>
      <c r="HA213" s="1867"/>
      <c r="HB213" s="1628"/>
      <c r="HC213" s="1665"/>
      <c r="HR213" s="1867"/>
      <c r="HS213" s="1867" t="s">
        <v>6083</v>
      </c>
      <c r="HT213" s="1678"/>
      <c r="HV213" s="1678"/>
    </row>
    <row r="214" spans="1:230" s="1484" customFormat="1" ht="15" x14ac:dyDescent="0.25">
      <c r="A214" s="1650"/>
      <c r="B214" s="1651"/>
      <c r="C214" s="2803" t="s">
        <v>872</v>
      </c>
      <c r="D214" s="2803"/>
      <c r="E214" s="2803"/>
      <c r="F214" s="2803"/>
      <c r="G214" s="2803"/>
      <c r="H214" s="1621"/>
      <c r="I214" s="1622"/>
      <c r="J214" s="1622"/>
      <c r="K214" s="1622"/>
      <c r="L214" s="1625"/>
      <c r="M214" s="1622"/>
      <c r="N214" s="1625"/>
      <c r="O214" s="1622"/>
      <c r="P214" s="1649">
        <v>44049.22</v>
      </c>
      <c r="GO214" s="1619"/>
      <c r="GP214" s="1628"/>
      <c r="GQ214" s="1628"/>
      <c r="GR214" s="1628"/>
      <c r="GS214" s="1628"/>
      <c r="GT214" s="1628"/>
      <c r="GW214" s="1867"/>
      <c r="GX214" s="1867"/>
      <c r="GY214" s="1867"/>
      <c r="GZ214" s="1628"/>
      <c r="HA214" s="1867"/>
      <c r="HB214" s="1628" t="s">
        <v>872</v>
      </c>
      <c r="HC214" s="1665"/>
      <c r="HR214" s="1867"/>
      <c r="HS214" s="1867"/>
      <c r="HT214" s="1678"/>
      <c r="HV214" s="1678"/>
    </row>
    <row r="215" spans="1:230" s="1484" customFormat="1" ht="56.25" x14ac:dyDescent="0.25">
      <c r="A215" s="1620" t="s">
        <v>653</v>
      </c>
      <c r="B215" s="1863" t="s">
        <v>7842</v>
      </c>
      <c r="C215" s="2804" t="s">
        <v>4948</v>
      </c>
      <c r="D215" s="2804"/>
      <c r="E215" s="2804"/>
      <c r="F215" s="2804"/>
      <c r="G215" s="2804"/>
      <c r="H215" s="1621" t="s">
        <v>801</v>
      </c>
      <c r="I215" s="1622">
        <v>0.8</v>
      </c>
      <c r="J215" s="1623">
        <v>1</v>
      </c>
      <c r="K215" s="1624">
        <v>0.8</v>
      </c>
      <c r="L215" s="1648">
        <v>144956.01</v>
      </c>
      <c r="M215" s="1623">
        <v>1</v>
      </c>
      <c r="N215" s="1666">
        <v>144956.01</v>
      </c>
      <c r="O215" s="1622"/>
      <c r="P215" s="1649">
        <v>115964.81</v>
      </c>
      <c r="GO215" s="1619"/>
      <c r="GP215" s="1628" t="s">
        <v>4948</v>
      </c>
      <c r="GQ215" s="1628" t="s">
        <v>588</v>
      </c>
      <c r="GR215" s="1628" t="s">
        <v>588</v>
      </c>
      <c r="GS215" s="1628" t="s">
        <v>588</v>
      </c>
      <c r="GT215" s="1628" t="s">
        <v>588</v>
      </c>
      <c r="GW215" s="1867"/>
      <c r="GX215" s="1867"/>
      <c r="GY215" s="1867"/>
      <c r="GZ215" s="1628"/>
      <c r="HA215" s="1867"/>
      <c r="HB215" s="1628"/>
      <c r="HC215" s="1665"/>
      <c r="HR215" s="1867"/>
      <c r="HS215" s="1867"/>
      <c r="HT215" s="1678"/>
      <c r="HV215" s="1678"/>
    </row>
    <row r="216" spans="1:230" s="1484" customFormat="1" ht="15" x14ac:dyDescent="0.25">
      <c r="A216" s="1650"/>
      <c r="B216" s="1651"/>
      <c r="C216" s="2805" t="s">
        <v>6075</v>
      </c>
      <c r="D216" s="2805"/>
      <c r="E216" s="2805"/>
      <c r="F216" s="2805"/>
      <c r="G216" s="2805"/>
      <c r="H216" s="2805"/>
      <c r="I216" s="2805"/>
      <c r="J216" s="2805"/>
      <c r="K216" s="2805"/>
      <c r="L216" s="2805"/>
      <c r="M216" s="2805"/>
      <c r="N216" s="2805"/>
      <c r="O216" s="2805"/>
      <c r="P216" s="2806"/>
      <c r="GO216" s="1619"/>
      <c r="GP216" s="1628"/>
      <c r="GQ216" s="1628"/>
      <c r="GR216" s="1628"/>
      <c r="GS216" s="1628"/>
      <c r="GT216" s="1628"/>
      <c r="GW216" s="1867"/>
      <c r="GX216" s="1867"/>
      <c r="GY216" s="1867"/>
      <c r="GZ216" s="1628"/>
      <c r="HA216" s="1867"/>
      <c r="HB216" s="1628"/>
      <c r="HC216" s="1665"/>
      <c r="HD216" s="1864" t="s">
        <v>6075</v>
      </c>
      <c r="HE216" s="1864" t="s">
        <v>588</v>
      </c>
      <c r="HF216" s="1864" t="s">
        <v>588</v>
      </c>
      <c r="HG216" s="1864" t="s">
        <v>588</v>
      </c>
      <c r="HH216" s="1864" t="s">
        <v>588</v>
      </c>
      <c r="HI216" s="1864" t="s">
        <v>588</v>
      </c>
      <c r="HJ216" s="1864" t="s">
        <v>588</v>
      </c>
      <c r="HK216" s="1864" t="s">
        <v>588</v>
      </c>
      <c r="HL216" s="1864" t="s">
        <v>588</v>
      </c>
      <c r="HM216" s="1864" t="s">
        <v>588</v>
      </c>
      <c r="HN216" s="1864" t="s">
        <v>588</v>
      </c>
      <c r="HO216" s="1864" t="s">
        <v>588</v>
      </c>
      <c r="HP216" s="1864" t="s">
        <v>588</v>
      </c>
      <c r="HQ216" s="1864" t="s">
        <v>588</v>
      </c>
      <c r="HR216" s="1867"/>
      <c r="HS216" s="1867"/>
      <c r="HT216" s="1678"/>
      <c r="HV216" s="1678"/>
    </row>
    <row r="217" spans="1:230" s="1484" customFormat="1" ht="15" x14ac:dyDescent="0.25">
      <c r="A217" s="1629"/>
      <c r="B217" s="1862"/>
      <c r="C217" s="2805" t="s">
        <v>6119</v>
      </c>
      <c r="D217" s="2805"/>
      <c r="E217" s="2805"/>
      <c r="F217" s="2805"/>
      <c r="G217" s="2805"/>
      <c r="H217" s="2805"/>
      <c r="I217" s="2805"/>
      <c r="J217" s="2805"/>
      <c r="K217" s="2805"/>
      <c r="L217" s="2805"/>
      <c r="M217" s="2805"/>
      <c r="N217" s="2805"/>
      <c r="O217" s="2805"/>
      <c r="P217" s="2806"/>
      <c r="GO217" s="1619"/>
      <c r="GP217" s="1628"/>
      <c r="GQ217" s="1628"/>
      <c r="GR217" s="1628"/>
      <c r="GS217" s="1628"/>
      <c r="GT217" s="1628"/>
      <c r="GU217" s="1864" t="s">
        <v>6119</v>
      </c>
      <c r="GW217" s="1867"/>
      <c r="GX217" s="1867"/>
      <c r="GY217" s="1867"/>
      <c r="GZ217" s="1628"/>
      <c r="HA217" s="1867"/>
      <c r="HB217" s="1628"/>
      <c r="HC217" s="1665"/>
      <c r="HR217" s="1867"/>
      <c r="HS217" s="1867"/>
      <c r="HT217" s="1678"/>
      <c r="HV217" s="1678"/>
    </row>
    <row r="218" spans="1:230" s="1484" customFormat="1" ht="15" x14ac:dyDescent="0.25">
      <c r="A218" s="1650"/>
      <c r="B218" s="1651"/>
      <c r="C218" s="2803" t="s">
        <v>872</v>
      </c>
      <c r="D218" s="2803"/>
      <c r="E218" s="2803"/>
      <c r="F218" s="2803"/>
      <c r="G218" s="2803"/>
      <c r="H218" s="1621"/>
      <c r="I218" s="1622"/>
      <c r="J218" s="1622"/>
      <c r="K218" s="1622"/>
      <c r="L218" s="1625"/>
      <c r="M218" s="1622"/>
      <c r="N218" s="1625"/>
      <c r="O218" s="1622"/>
      <c r="P218" s="1649">
        <v>115964.81</v>
      </c>
      <c r="GO218" s="1619"/>
      <c r="GP218" s="1628"/>
      <c r="GQ218" s="1628"/>
      <c r="GR218" s="1628"/>
      <c r="GS218" s="1628"/>
      <c r="GT218" s="1628"/>
      <c r="GW218" s="1867"/>
      <c r="GX218" s="1867"/>
      <c r="GY218" s="1867"/>
      <c r="GZ218" s="1628"/>
      <c r="HA218" s="1867"/>
      <c r="HB218" s="1628" t="s">
        <v>872</v>
      </c>
      <c r="HC218" s="1665"/>
      <c r="HR218" s="1867"/>
      <c r="HS218" s="1867"/>
      <c r="HT218" s="1678"/>
      <c r="HV218" s="1678"/>
    </row>
    <row r="219" spans="1:230" s="1484" customFormat="1" ht="1.5" customHeight="1" x14ac:dyDescent="0.25">
      <c r="A219" s="1667"/>
      <c r="B219" s="1668"/>
      <c r="C219" s="1668"/>
      <c r="D219" s="1668"/>
      <c r="E219" s="1668"/>
      <c r="F219" s="1669"/>
      <c r="G219" s="1669"/>
      <c r="H219" s="1669"/>
      <c r="I219" s="1669"/>
      <c r="J219" s="1670"/>
      <c r="K219" s="1669"/>
      <c r="L219" s="1670"/>
      <c r="M219" s="1671"/>
      <c r="N219" s="1670"/>
      <c r="O219" s="1672"/>
      <c r="P219" s="1673"/>
      <c r="Q219" s="1674"/>
      <c r="R219" s="1675"/>
      <c r="GO219" s="1619"/>
      <c r="GP219" s="1628"/>
      <c r="GQ219" s="1628"/>
      <c r="GR219" s="1628"/>
      <c r="GS219" s="1628"/>
      <c r="GT219" s="1628"/>
      <c r="GW219" s="1867"/>
      <c r="GX219" s="1867"/>
      <c r="GY219" s="1867"/>
      <c r="GZ219" s="1628"/>
      <c r="HA219" s="1867"/>
      <c r="HB219" s="1628"/>
      <c r="HC219" s="1665"/>
      <c r="HR219" s="1867"/>
      <c r="HS219" s="1867"/>
      <c r="HT219" s="1678"/>
      <c r="HV219" s="1678"/>
    </row>
    <row r="220" spans="1:230" s="1484" customFormat="1" ht="15" x14ac:dyDescent="0.25">
      <c r="A220" s="1647"/>
      <c r="B220" s="1676"/>
      <c r="C220" s="2802" t="s">
        <v>6120</v>
      </c>
      <c r="D220" s="2802"/>
      <c r="E220" s="2802"/>
      <c r="F220" s="2802"/>
      <c r="G220" s="2802"/>
      <c r="H220" s="2802"/>
      <c r="I220" s="2802"/>
      <c r="J220" s="2802"/>
      <c r="K220" s="2802"/>
      <c r="L220" s="2802"/>
      <c r="M220" s="2802"/>
      <c r="N220" s="2802"/>
      <c r="O220" s="2802"/>
      <c r="P220" s="1677"/>
      <c r="Q220" s="1674"/>
      <c r="R220" s="1675"/>
      <c r="GO220" s="1619"/>
      <c r="GP220" s="1628"/>
      <c r="GQ220" s="1628"/>
      <c r="GR220" s="1628"/>
      <c r="GS220" s="1628"/>
      <c r="GT220" s="1628"/>
      <c r="GW220" s="1867"/>
      <c r="GX220" s="1867"/>
      <c r="GY220" s="1867"/>
      <c r="GZ220" s="1628"/>
      <c r="HA220" s="1867"/>
      <c r="HB220" s="1628"/>
      <c r="HC220" s="1665"/>
      <c r="HR220" s="1867"/>
      <c r="HS220" s="1867"/>
      <c r="HT220" s="1678" t="s">
        <v>6120</v>
      </c>
      <c r="HV220" s="1678"/>
    </row>
    <row r="221" spans="1:230" s="1484" customFormat="1" ht="15" x14ac:dyDescent="0.25">
      <c r="A221" s="1647"/>
      <c r="B221" s="1631"/>
      <c r="C221" s="2801" t="s">
        <v>922</v>
      </c>
      <c r="D221" s="2801"/>
      <c r="E221" s="2801"/>
      <c r="F221" s="2801"/>
      <c r="G221" s="2801"/>
      <c r="H221" s="2801"/>
      <c r="I221" s="2801"/>
      <c r="J221" s="2801"/>
      <c r="K221" s="2801"/>
      <c r="L221" s="2801"/>
      <c r="M221" s="2801"/>
      <c r="N221" s="2801"/>
      <c r="O221" s="2801"/>
      <c r="P221" s="1679">
        <v>962555.9</v>
      </c>
      <c r="Q221" s="1674"/>
      <c r="R221" s="1675"/>
      <c r="GO221" s="1619"/>
      <c r="GP221" s="1628"/>
      <c r="GQ221" s="1628"/>
      <c r="GR221" s="1628"/>
      <c r="GS221" s="1628"/>
      <c r="GT221" s="1628"/>
      <c r="GW221" s="1867"/>
      <c r="GX221" s="1867"/>
      <c r="GY221" s="1867"/>
      <c r="GZ221" s="1628"/>
      <c r="HA221" s="1867"/>
      <c r="HB221" s="1628"/>
      <c r="HC221" s="1665"/>
      <c r="HR221" s="1867"/>
      <c r="HS221" s="1867"/>
      <c r="HT221" s="1678"/>
      <c r="HU221" s="1680" t="s">
        <v>922</v>
      </c>
      <c r="HV221" s="1678"/>
    </row>
    <row r="222" spans="1:230" s="1484" customFormat="1" ht="15" x14ac:dyDescent="0.25">
      <c r="A222" s="1647"/>
      <c r="B222" s="1631"/>
      <c r="C222" s="2801" t="s">
        <v>891</v>
      </c>
      <c r="D222" s="2801"/>
      <c r="E222" s="2801"/>
      <c r="F222" s="2801"/>
      <c r="G222" s="2801"/>
      <c r="H222" s="2801"/>
      <c r="I222" s="2801"/>
      <c r="J222" s="2801"/>
      <c r="K222" s="2801"/>
      <c r="L222" s="2801"/>
      <c r="M222" s="2801"/>
      <c r="N222" s="2801"/>
      <c r="O222" s="2801"/>
      <c r="P222" s="1681"/>
      <c r="Q222" s="1674"/>
      <c r="R222" s="1675"/>
      <c r="GO222" s="1619"/>
      <c r="GP222" s="1628"/>
      <c r="GQ222" s="1628"/>
      <c r="GR222" s="1628"/>
      <c r="GS222" s="1628"/>
      <c r="GT222" s="1628"/>
      <c r="GW222" s="1867"/>
      <c r="GX222" s="1867"/>
      <c r="GY222" s="1867"/>
      <c r="GZ222" s="1628"/>
      <c r="HA222" s="1867"/>
      <c r="HB222" s="1628"/>
      <c r="HC222" s="1665"/>
      <c r="HR222" s="1867"/>
      <c r="HS222" s="1867"/>
      <c r="HT222" s="1678"/>
      <c r="HU222" s="1680" t="s">
        <v>891</v>
      </c>
      <c r="HV222" s="1678"/>
    </row>
    <row r="223" spans="1:230" s="1484" customFormat="1" ht="15" x14ac:dyDescent="0.25">
      <c r="A223" s="1647"/>
      <c r="B223" s="1631"/>
      <c r="C223" s="2801" t="s">
        <v>892</v>
      </c>
      <c r="D223" s="2801"/>
      <c r="E223" s="2801"/>
      <c r="F223" s="2801"/>
      <c r="G223" s="2801"/>
      <c r="H223" s="2801"/>
      <c r="I223" s="2801"/>
      <c r="J223" s="2801"/>
      <c r="K223" s="2801"/>
      <c r="L223" s="2801"/>
      <c r="M223" s="2801"/>
      <c r="N223" s="2801"/>
      <c r="O223" s="2801"/>
      <c r="P223" s="1679">
        <v>601185.6</v>
      </c>
      <c r="Q223" s="1674"/>
      <c r="R223" s="1675"/>
      <c r="GO223" s="1619"/>
      <c r="GP223" s="1628"/>
      <c r="GQ223" s="1628"/>
      <c r="GR223" s="1628"/>
      <c r="GS223" s="1628"/>
      <c r="GT223" s="1628"/>
      <c r="GW223" s="1867"/>
      <c r="GX223" s="1867"/>
      <c r="GY223" s="1867"/>
      <c r="GZ223" s="1628"/>
      <c r="HA223" s="1867"/>
      <c r="HB223" s="1628"/>
      <c r="HC223" s="1665"/>
      <c r="HR223" s="1867"/>
      <c r="HS223" s="1867"/>
      <c r="HT223" s="1678"/>
      <c r="HU223" s="1680" t="s">
        <v>892</v>
      </c>
      <c r="HV223" s="1678"/>
    </row>
    <row r="224" spans="1:230" s="1484" customFormat="1" ht="15" x14ac:dyDescent="0.25">
      <c r="A224" s="1647"/>
      <c r="B224" s="1631"/>
      <c r="C224" s="2801" t="s">
        <v>893</v>
      </c>
      <c r="D224" s="2801"/>
      <c r="E224" s="2801"/>
      <c r="F224" s="2801"/>
      <c r="G224" s="2801"/>
      <c r="H224" s="2801"/>
      <c r="I224" s="2801"/>
      <c r="J224" s="2801"/>
      <c r="K224" s="2801"/>
      <c r="L224" s="2801"/>
      <c r="M224" s="2801"/>
      <c r="N224" s="2801"/>
      <c r="O224" s="2801"/>
      <c r="P224" s="1679">
        <v>27400.01</v>
      </c>
      <c r="Q224" s="1674"/>
      <c r="R224" s="1675"/>
      <c r="GO224" s="1619"/>
      <c r="GP224" s="1628"/>
      <c r="GQ224" s="1628"/>
      <c r="GR224" s="1628"/>
      <c r="GS224" s="1628"/>
      <c r="GT224" s="1628"/>
      <c r="GW224" s="1867"/>
      <c r="GX224" s="1867"/>
      <c r="GY224" s="1867"/>
      <c r="GZ224" s="1628"/>
      <c r="HA224" s="1867"/>
      <c r="HB224" s="1628"/>
      <c r="HC224" s="1665"/>
      <c r="HR224" s="1867"/>
      <c r="HS224" s="1867"/>
      <c r="HT224" s="1678"/>
      <c r="HU224" s="1680" t="s">
        <v>893</v>
      </c>
      <c r="HV224" s="1678"/>
    </row>
    <row r="225" spans="1:231" s="1484" customFormat="1" ht="15" x14ac:dyDescent="0.25">
      <c r="A225" s="1647"/>
      <c r="B225" s="1631"/>
      <c r="C225" s="2801" t="s">
        <v>894</v>
      </c>
      <c r="D225" s="2801"/>
      <c r="E225" s="2801"/>
      <c r="F225" s="2801"/>
      <c r="G225" s="2801"/>
      <c r="H225" s="2801"/>
      <c r="I225" s="2801"/>
      <c r="J225" s="2801"/>
      <c r="K225" s="2801"/>
      <c r="L225" s="2801"/>
      <c r="M225" s="2801"/>
      <c r="N225" s="2801"/>
      <c r="O225" s="2801"/>
      <c r="P225" s="1679">
        <v>17836.47</v>
      </c>
      <c r="Q225" s="1674"/>
      <c r="R225" s="1675"/>
      <c r="GO225" s="1619"/>
      <c r="GP225" s="1628"/>
      <c r="GQ225" s="1628"/>
      <c r="GR225" s="1628"/>
      <c r="GS225" s="1628"/>
      <c r="GT225" s="1628"/>
      <c r="GW225" s="1867"/>
      <c r="GX225" s="1867"/>
      <c r="GY225" s="1867"/>
      <c r="GZ225" s="1628"/>
      <c r="HA225" s="1867"/>
      <c r="HB225" s="1628"/>
      <c r="HC225" s="1665"/>
      <c r="HR225" s="1867"/>
      <c r="HS225" s="1867"/>
      <c r="HT225" s="1678"/>
      <c r="HU225" s="1680" t="s">
        <v>894</v>
      </c>
      <c r="HV225" s="1678"/>
    </row>
    <row r="226" spans="1:231" s="1484" customFormat="1" ht="15" x14ac:dyDescent="0.25">
      <c r="A226" s="1647"/>
      <c r="B226" s="1631"/>
      <c r="C226" s="2801" t="s">
        <v>895</v>
      </c>
      <c r="D226" s="2801"/>
      <c r="E226" s="2801"/>
      <c r="F226" s="2801"/>
      <c r="G226" s="2801"/>
      <c r="H226" s="2801"/>
      <c r="I226" s="2801"/>
      <c r="J226" s="2801"/>
      <c r="K226" s="2801"/>
      <c r="L226" s="2801"/>
      <c r="M226" s="2801"/>
      <c r="N226" s="2801"/>
      <c r="O226" s="2801"/>
      <c r="P226" s="1679">
        <v>316133.82</v>
      </c>
      <c r="Q226" s="1674"/>
      <c r="R226" s="1675"/>
      <c r="GO226" s="1619"/>
      <c r="GP226" s="1628"/>
      <c r="GQ226" s="1628"/>
      <c r="GR226" s="1628"/>
      <c r="GS226" s="1628"/>
      <c r="GT226" s="1628"/>
      <c r="GW226" s="1867"/>
      <c r="GX226" s="1867"/>
      <c r="GY226" s="1867"/>
      <c r="GZ226" s="1628"/>
      <c r="HA226" s="1867"/>
      <c r="HB226" s="1628"/>
      <c r="HC226" s="1665"/>
      <c r="HR226" s="1867"/>
      <c r="HS226" s="1867"/>
      <c r="HT226" s="1678"/>
      <c r="HU226" s="1680" t="s">
        <v>895</v>
      </c>
      <c r="HV226" s="1678"/>
    </row>
    <row r="227" spans="1:231" s="1484" customFormat="1" ht="15" x14ac:dyDescent="0.25">
      <c r="A227" s="1647"/>
      <c r="B227" s="1631"/>
      <c r="C227" s="2801" t="s">
        <v>897</v>
      </c>
      <c r="D227" s="2801"/>
      <c r="E227" s="2801"/>
      <c r="F227" s="2801"/>
      <c r="G227" s="2801"/>
      <c r="H227" s="2801"/>
      <c r="I227" s="2801"/>
      <c r="J227" s="2801"/>
      <c r="K227" s="2801"/>
      <c r="L227" s="2801"/>
      <c r="M227" s="2801"/>
      <c r="N227" s="2801"/>
      <c r="O227" s="2801"/>
      <c r="P227" s="1679">
        <v>2404877.33</v>
      </c>
      <c r="Q227" s="1674"/>
      <c r="R227" s="1675"/>
      <c r="GO227" s="1619"/>
      <c r="GP227" s="1628"/>
      <c r="GQ227" s="1628"/>
      <c r="GR227" s="1628"/>
      <c r="GS227" s="1628"/>
      <c r="GT227" s="1628"/>
      <c r="GW227" s="1867"/>
      <c r="GX227" s="1867"/>
      <c r="GY227" s="1867"/>
      <c r="GZ227" s="1628"/>
      <c r="HA227" s="1867"/>
      <c r="HB227" s="1628"/>
      <c r="HC227" s="1665"/>
      <c r="HR227" s="1867"/>
      <c r="HS227" s="1867"/>
      <c r="HT227" s="1678"/>
      <c r="HU227" s="1680" t="s">
        <v>897</v>
      </c>
      <c r="HV227" s="1678"/>
    </row>
    <row r="228" spans="1:231" s="1484" customFormat="1" ht="15" x14ac:dyDescent="0.25">
      <c r="A228" s="1647"/>
      <c r="B228" s="1631"/>
      <c r="C228" s="2801" t="s">
        <v>891</v>
      </c>
      <c r="D228" s="2801"/>
      <c r="E228" s="2801"/>
      <c r="F228" s="2801"/>
      <c r="G228" s="2801"/>
      <c r="H228" s="2801"/>
      <c r="I228" s="2801"/>
      <c r="J228" s="2801"/>
      <c r="K228" s="2801"/>
      <c r="L228" s="2801"/>
      <c r="M228" s="2801"/>
      <c r="N228" s="2801"/>
      <c r="O228" s="2801"/>
      <c r="P228" s="1681"/>
      <c r="Q228" s="1674"/>
      <c r="R228" s="1675"/>
      <c r="GO228" s="1619"/>
      <c r="GP228" s="1628"/>
      <c r="GQ228" s="1628"/>
      <c r="GR228" s="1628"/>
      <c r="GS228" s="1628"/>
      <c r="GT228" s="1628"/>
      <c r="GW228" s="1867"/>
      <c r="GX228" s="1867"/>
      <c r="GY228" s="1867"/>
      <c r="GZ228" s="1628"/>
      <c r="HA228" s="1867"/>
      <c r="HB228" s="1628"/>
      <c r="HC228" s="1665"/>
      <c r="HR228" s="1867"/>
      <c r="HS228" s="1867"/>
      <c r="HT228" s="1678"/>
      <c r="HU228" s="1680" t="s">
        <v>891</v>
      </c>
      <c r="HV228" s="1678"/>
    </row>
    <row r="229" spans="1:231" s="1484" customFormat="1" ht="15" x14ac:dyDescent="0.25">
      <c r="A229" s="1647"/>
      <c r="B229" s="1631"/>
      <c r="C229" s="2801" t="s">
        <v>6121</v>
      </c>
      <c r="D229" s="2801"/>
      <c r="E229" s="2801"/>
      <c r="F229" s="2801"/>
      <c r="G229" s="2801"/>
      <c r="H229" s="2801"/>
      <c r="I229" s="2801"/>
      <c r="J229" s="2801"/>
      <c r="K229" s="2801"/>
      <c r="L229" s="2801"/>
      <c r="M229" s="2801"/>
      <c r="N229" s="2801"/>
      <c r="O229" s="2801"/>
      <c r="P229" s="1679">
        <v>601185.6</v>
      </c>
      <c r="Q229" s="1674"/>
      <c r="R229" s="1675"/>
      <c r="GO229" s="1619"/>
      <c r="GP229" s="1628"/>
      <c r="GQ229" s="1628"/>
      <c r="GR229" s="1628"/>
      <c r="GS229" s="1628"/>
      <c r="GT229" s="1628"/>
      <c r="GW229" s="1867"/>
      <c r="GX229" s="1867"/>
      <c r="GY229" s="1867"/>
      <c r="GZ229" s="1628"/>
      <c r="HA229" s="1867"/>
      <c r="HB229" s="1628"/>
      <c r="HC229" s="1665"/>
      <c r="HR229" s="1867"/>
      <c r="HS229" s="1867"/>
      <c r="HT229" s="1678"/>
      <c r="HU229" s="1680" t="s">
        <v>6121</v>
      </c>
      <c r="HV229" s="1678"/>
    </row>
    <row r="230" spans="1:231" s="1484" customFormat="1" ht="15" x14ac:dyDescent="0.25">
      <c r="A230" s="1647"/>
      <c r="B230" s="1631"/>
      <c r="C230" s="2801" t="s">
        <v>6122</v>
      </c>
      <c r="D230" s="2801"/>
      <c r="E230" s="2801"/>
      <c r="F230" s="2801"/>
      <c r="G230" s="2801"/>
      <c r="H230" s="2801"/>
      <c r="I230" s="2801"/>
      <c r="J230" s="2801"/>
      <c r="K230" s="2801"/>
      <c r="L230" s="2801"/>
      <c r="M230" s="2801"/>
      <c r="N230" s="2801"/>
      <c r="O230" s="2801"/>
      <c r="P230" s="1679">
        <v>27400.01</v>
      </c>
      <c r="Q230" s="1674"/>
      <c r="R230" s="1675"/>
      <c r="GO230" s="1619"/>
      <c r="GP230" s="1628"/>
      <c r="GQ230" s="1628"/>
      <c r="GR230" s="1628"/>
      <c r="GS230" s="1628"/>
      <c r="GT230" s="1628"/>
      <c r="GW230" s="1867"/>
      <c r="GX230" s="1867"/>
      <c r="GY230" s="1867"/>
      <c r="GZ230" s="1628"/>
      <c r="HA230" s="1867"/>
      <c r="HB230" s="1628"/>
      <c r="HC230" s="1665"/>
      <c r="HR230" s="1867"/>
      <c r="HS230" s="1867"/>
      <c r="HT230" s="1678"/>
      <c r="HU230" s="1680" t="s">
        <v>6122</v>
      </c>
      <c r="HV230" s="1678"/>
    </row>
    <row r="231" spans="1:231" s="1484" customFormat="1" ht="15" x14ac:dyDescent="0.25">
      <c r="A231" s="1647"/>
      <c r="B231" s="1631"/>
      <c r="C231" s="2801" t="s">
        <v>6123</v>
      </c>
      <c r="D231" s="2801"/>
      <c r="E231" s="2801"/>
      <c r="F231" s="2801"/>
      <c r="G231" s="2801"/>
      <c r="H231" s="2801"/>
      <c r="I231" s="2801"/>
      <c r="J231" s="2801"/>
      <c r="K231" s="2801"/>
      <c r="L231" s="2801"/>
      <c r="M231" s="2801"/>
      <c r="N231" s="2801"/>
      <c r="O231" s="2801"/>
      <c r="P231" s="1679">
        <v>17836.47</v>
      </c>
      <c r="Q231" s="1674"/>
      <c r="R231" s="1675"/>
      <c r="GO231" s="1619"/>
      <c r="GP231" s="1628"/>
      <c r="GQ231" s="1628"/>
      <c r="GR231" s="1628"/>
      <c r="GS231" s="1628"/>
      <c r="GT231" s="1628"/>
      <c r="GW231" s="1867"/>
      <c r="GX231" s="1867"/>
      <c r="GY231" s="1867"/>
      <c r="GZ231" s="1628"/>
      <c r="HA231" s="1867"/>
      <c r="HB231" s="1628"/>
      <c r="HC231" s="1665"/>
      <c r="HR231" s="1867"/>
      <c r="HS231" s="1867"/>
      <c r="HT231" s="1678"/>
      <c r="HU231" s="1680" t="s">
        <v>6123</v>
      </c>
      <c r="HV231" s="1678"/>
    </row>
    <row r="232" spans="1:231" s="1484" customFormat="1" ht="15" x14ac:dyDescent="0.25">
      <c r="A232" s="1647"/>
      <c r="B232" s="1631"/>
      <c r="C232" s="2801" t="s">
        <v>6124</v>
      </c>
      <c r="D232" s="2801"/>
      <c r="E232" s="2801"/>
      <c r="F232" s="2801"/>
      <c r="G232" s="2801"/>
      <c r="H232" s="2801"/>
      <c r="I232" s="2801"/>
      <c r="J232" s="2801"/>
      <c r="K232" s="2801"/>
      <c r="L232" s="2801"/>
      <c r="M232" s="2801"/>
      <c r="N232" s="2801"/>
      <c r="O232" s="2801"/>
      <c r="P232" s="1679">
        <v>316133.82</v>
      </c>
      <c r="Q232" s="1674"/>
      <c r="R232" s="1675"/>
      <c r="GO232" s="1619"/>
      <c r="GP232" s="1628"/>
      <c r="GQ232" s="1628"/>
      <c r="GR232" s="1628"/>
      <c r="GS232" s="1628"/>
      <c r="GT232" s="1628"/>
      <c r="GW232" s="1867"/>
      <c r="GX232" s="1867"/>
      <c r="GY232" s="1867"/>
      <c r="GZ232" s="1628"/>
      <c r="HA232" s="1867"/>
      <c r="HB232" s="1628"/>
      <c r="HC232" s="1665"/>
      <c r="HR232" s="1867"/>
      <c r="HS232" s="1867"/>
      <c r="HT232" s="1678"/>
      <c r="HU232" s="1680" t="s">
        <v>6124</v>
      </c>
      <c r="HV232" s="1678"/>
    </row>
    <row r="233" spans="1:231" s="1484" customFormat="1" ht="15" x14ac:dyDescent="0.25">
      <c r="A233" s="1647"/>
      <c r="B233" s="1631"/>
      <c r="C233" s="2801" t="s">
        <v>6125</v>
      </c>
      <c r="D233" s="2801"/>
      <c r="E233" s="2801"/>
      <c r="F233" s="2801"/>
      <c r="G233" s="2801"/>
      <c r="H233" s="2801"/>
      <c r="I233" s="2801"/>
      <c r="J233" s="2801"/>
      <c r="K233" s="2801"/>
      <c r="L233" s="2801"/>
      <c r="M233" s="2801"/>
      <c r="N233" s="2801"/>
      <c r="O233" s="2801"/>
      <c r="P233" s="1679">
        <v>866630.9</v>
      </c>
      <c r="Q233" s="1674"/>
      <c r="R233" s="1675"/>
      <c r="GO233" s="1619"/>
      <c r="GP233" s="1628"/>
      <c r="GQ233" s="1628"/>
      <c r="GR233" s="1628"/>
      <c r="GS233" s="1628"/>
      <c r="GT233" s="1628"/>
      <c r="GW233" s="1867"/>
      <c r="GX233" s="1867"/>
      <c r="GY233" s="1867"/>
      <c r="GZ233" s="1628"/>
      <c r="HA233" s="1867"/>
      <c r="HB233" s="1628"/>
      <c r="HC233" s="1665"/>
      <c r="HR233" s="1867"/>
      <c r="HS233" s="1867"/>
      <c r="HT233" s="1678"/>
      <c r="HU233" s="1680" t="s">
        <v>6125</v>
      </c>
      <c r="HV233" s="1678"/>
    </row>
    <row r="234" spans="1:231" s="1484" customFormat="1" ht="15" x14ac:dyDescent="0.25">
      <c r="A234" s="1647"/>
      <c r="B234" s="1631"/>
      <c r="C234" s="2801" t="s">
        <v>6126</v>
      </c>
      <c r="D234" s="2801"/>
      <c r="E234" s="2801"/>
      <c r="F234" s="2801"/>
      <c r="G234" s="2801"/>
      <c r="H234" s="2801"/>
      <c r="I234" s="2801"/>
      <c r="J234" s="2801"/>
      <c r="K234" s="2801"/>
      <c r="L234" s="2801"/>
      <c r="M234" s="2801"/>
      <c r="N234" s="2801"/>
      <c r="O234" s="2801"/>
      <c r="P234" s="1679">
        <v>575690.53</v>
      </c>
      <c r="Q234" s="1674"/>
      <c r="R234" s="1675"/>
      <c r="GO234" s="1619"/>
      <c r="GP234" s="1628"/>
      <c r="GQ234" s="1628"/>
      <c r="GR234" s="1628"/>
      <c r="GS234" s="1628"/>
      <c r="GT234" s="1628"/>
      <c r="GW234" s="1867"/>
      <c r="GX234" s="1867"/>
      <c r="GY234" s="1867"/>
      <c r="GZ234" s="1628"/>
      <c r="HA234" s="1867"/>
      <c r="HB234" s="1628"/>
      <c r="HC234" s="1665"/>
      <c r="HR234" s="1867"/>
      <c r="HS234" s="1867"/>
      <c r="HT234" s="1678"/>
      <c r="HU234" s="1680" t="s">
        <v>6126</v>
      </c>
      <c r="HV234" s="1678"/>
    </row>
    <row r="235" spans="1:231" s="1484" customFormat="1" ht="15" x14ac:dyDescent="0.25">
      <c r="A235" s="1647"/>
      <c r="B235" s="1631"/>
      <c r="C235" s="2801" t="s">
        <v>923</v>
      </c>
      <c r="D235" s="2801"/>
      <c r="E235" s="2801"/>
      <c r="F235" s="2801"/>
      <c r="G235" s="2801"/>
      <c r="H235" s="2801"/>
      <c r="I235" s="2801"/>
      <c r="J235" s="2801"/>
      <c r="K235" s="2801"/>
      <c r="L235" s="2801"/>
      <c r="M235" s="2801"/>
      <c r="N235" s="2801"/>
      <c r="O235" s="2801"/>
      <c r="P235" s="1679">
        <v>619022.06999999995</v>
      </c>
      <c r="Q235" s="1674"/>
      <c r="R235" s="1675"/>
      <c r="GO235" s="1619"/>
      <c r="GP235" s="1628"/>
      <c r="GQ235" s="1628"/>
      <c r="GR235" s="1628"/>
      <c r="GS235" s="1628"/>
      <c r="GT235" s="1628"/>
      <c r="GW235" s="1867"/>
      <c r="GX235" s="1867"/>
      <c r="GY235" s="1867"/>
      <c r="GZ235" s="1628"/>
      <c r="HA235" s="1867"/>
      <c r="HB235" s="1628"/>
      <c r="HC235" s="1665"/>
      <c r="HR235" s="1867"/>
      <c r="HS235" s="1867"/>
      <c r="HT235" s="1678"/>
      <c r="HU235" s="1680" t="s">
        <v>923</v>
      </c>
      <c r="HV235" s="1678"/>
    </row>
    <row r="236" spans="1:231" s="1484" customFormat="1" ht="15" x14ac:dyDescent="0.25">
      <c r="A236" s="1647"/>
      <c r="B236" s="1631"/>
      <c r="C236" s="2801" t="s">
        <v>924</v>
      </c>
      <c r="D236" s="2801"/>
      <c r="E236" s="2801"/>
      <c r="F236" s="2801"/>
      <c r="G236" s="2801"/>
      <c r="H236" s="2801"/>
      <c r="I236" s="2801"/>
      <c r="J236" s="2801"/>
      <c r="K236" s="2801"/>
      <c r="L236" s="2801"/>
      <c r="M236" s="2801"/>
      <c r="N236" s="2801"/>
      <c r="O236" s="2801"/>
      <c r="P236" s="1679">
        <v>866630.9</v>
      </c>
      <c r="Q236" s="1674"/>
      <c r="R236" s="1675"/>
      <c r="GO236" s="1619"/>
      <c r="GP236" s="1628"/>
      <c r="GQ236" s="1628"/>
      <c r="GR236" s="1628"/>
      <c r="GS236" s="1628"/>
      <c r="GT236" s="1628"/>
      <c r="GW236" s="1867"/>
      <c r="GX236" s="1867"/>
      <c r="GY236" s="1867"/>
      <c r="GZ236" s="1628"/>
      <c r="HA236" s="1867"/>
      <c r="HB236" s="1628"/>
      <c r="HC236" s="1665"/>
      <c r="HR236" s="1867"/>
      <c r="HS236" s="1867"/>
      <c r="HT236" s="1678"/>
      <c r="HU236" s="1680" t="s">
        <v>924</v>
      </c>
      <c r="HV236" s="1678"/>
    </row>
    <row r="237" spans="1:231" s="1484" customFormat="1" ht="15" x14ac:dyDescent="0.25">
      <c r="A237" s="1647"/>
      <c r="B237" s="1631"/>
      <c r="C237" s="2801" t="s">
        <v>925</v>
      </c>
      <c r="D237" s="2801"/>
      <c r="E237" s="2801"/>
      <c r="F237" s="2801"/>
      <c r="G237" s="2801"/>
      <c r="H237" s="2801"/>
      <c r="I237" s="2801"/>
      <c r="J237" s="2801"/>
      <c r="K237" s="2801"/>
      <c r="L237" s="2801"/>
      <c r="M237" s="2801"/>
      <c r="N237" s="2801"/>
      <c r="O237" s="2801"/>
      <c r="P237" s="1679">
        <v>575690.53</v>
      </c>
      <c r="Q237" s="1674"/>
      <c r="R237" s="1675"/>
      <c r="GO237" s="1619"/>
      <c r="GP237" s="1628"/>
      <c r="GQ237" s="1628"/>
      <c r="GR237" s="1628"/>
      <c r="GS237" s="1628"/>
      <c r="GT237" s="1628"/>
      <c r="GW237" s="1867"/>
      <c r="GX237" s="1867"/>
      <c r="GY237" s="1867"/>
      <c r="GZ237" s="1628"/>
      <c r="HA237" s="1867"/>
      <c r="HB237" s="1628"/>
      <c r="HC237" s="1665"/>
      <c r="HR237" s="1867"/>
      <c r="HS237" s="1867"/>
      <c r="HT237" s="1678"/>
      <c r="HU237" s="1680" t="s">
        <v>925</v>
      </c>
      <c r="HV237" s="1678"/>
    </row>
    <row r="238" spans="1:231" s="1484" customFormat="1" ht="15" x14ac:dyDescent="0.25">
      <c r="A238" s="1647"/>
      <c r="B238" s="1676"/>
      <c r="C238" s="2802" t="s">
        <v>6127</v>
      </c>
      <c r="D238" s="2802"/>
      <c r="E238" s="2802"/>
      <c r="F238" s="2802"/>
      <c r="G238" s="2802"/>
      <c r="H238" s="2802"/>
      <c r="I238" s="2802"/>
      <c r="J238" s="2802"/>
      <c r="K238" s="2802"/>
      <c r="L238" s="2802"/>
      <c r="M238" s="2802"/>
      <c r="N238" s="2802"/>
      <c r="O238" s="2802"/>
      <c r="P238" s="1682">
        <v>2404877.33</v>
      </c>
      <c r="Q238" s="1674"/>
      <c r="R238" s="1675"/>
      <c r="GO238" s="1619"/>
      <c r="GP238" s="1628"/>
      <c r="GQ238" s="1628"/>
      <c r="GR238" s="1628"/>
      <c r="GS238" s="1628"/>
      <c r="GT238" s="1628"/>
      <c r="GW238" s="1867"/>
      <c r="GX238" s="1867"/>
      <c r="GY238" s="1867"/>
      <c r="GZ238" s="1628"/>
      <c r="HA238" s="1867"/>
      <c r="HB238" s="1628"/>
      <c r="HC238" s="1665"/>
      <c r="HR238" s="1867"/>
      <c r="HS238" s="1867"/>
      <c r="HT238" s="1678"/>
      <c r="HV238" s="1678" t="s">
        <v>6127</v>
      </c>
    </row>
    <row r="239" spans="1:231" s="1484" customFormat="1" ht="15" x14ac:dyDescent="0.25">
      <c r="A239" s="1647"/>
      <c r="B239" s="1631"/>
      <c r="C239" s="2801" t="s">
        <v>6094</v>
      </c>
      <c r="D239" s="2801"/>
      <c r="E239" s="2801"/>
      <c r="F239" s="2801"/>
      <c r="G239" s="2801"/>
      <c r="H239" s="2801"/>
      <c r="I239" s="2801"/>
      <c r="J239" s="2801"/>
      <c r="K239" s="2801"/>
      <c r="L239" s="2801"/>
      <c r="M239" s="2801"/>
      <c r="N239" s="2801"/>
      <c r="O239" s="2801"/>
      <c r="P239" s="1681"/>
      <c r="Q239" s="1674"/>
      <c r="R239" s="1675"/>
      <c r="GO239" s="1619"/>
      <c r="GP239" s="1628"/>
      <c r="GQ239" s="1628"/>
      <c r="GR239" s="1628"/>
      <c r="GS239" s="1628"/>
      <c r="GT239" s="1628"/>
      <c r="GW239" s="1867"/>
      <c r="GX239" s="1867"/>
      <c r="GY239" s="1867"/>
      <c r="GZ239" s="1628"/>
      <c r="HA239" s="1867"/>
      <c r="HB239" s="1628"/>
      <c r="HC239" s="1665"/>
      <c r="HR239" s="1867"/>
      <c r="HS239" s="1867"/>
      <c r="HT239" s="1678"/>
      <c r="HU239" s="1680" t="s">
        <v>6094</v>
      </c>
      <c r="HV239" s="1678"/>
    </row>
    <row r="240" spans="1:231" s="1484" customFormat="1" ht="15" x14ac:dyDescent="0.25">
      <c r="A240" s="1647"/>
      <c r="B240" s="1631"/>
      <c r="C240" s="2801" t="s">
        <v>6095</v>
      </c>
      <c r="D240" s="2801"/>
      <c r="E240" s="2801"/>
      <c r="F240" s="2801"/>
      <c r="G240" s="2801"/>
      <c r="H240" s="2801"/>
      <c r="I240" s="2801"/>
      <c r="J240" s="2801"/>
      <c r="K240" s="1683" t="s">
        <v>6128</v>
      </c>
      <c r="L240" s="1861"/>
      <c r="M240" s="1861"/>
      <c r="O240" s="1684"/>
      <c r="P240" s="1681"/>
      <c r="Q240" s="1674"/>
      <c r="R240" s="1675"/>
      <c r="GO240" s="1619"/>
      <c r="GP240" s="1628"/>
      <c r="GQ240" s="1628"/>
      <c r="GR240" s="1628"/>
      <c r="GS240" s="1628"/>
      <c r="GT240" s="1628"/>
      <c r="GW240" s="1867"/>
      <c r="GX240" s="1867"/>
      <c r="GY240" s="1867"/>
      <c r="GZ240" s="1628"/>
      <c r="HA240" s="1867"/>
      <c r="HB240" s="1628"/>
      <c r="HC240" s="1665"/>
      <c r="HR240" s="1867"/>
      <c r="HS240" s="1867"/>
      <c r="HT240" s="1678"/>
      <c r="HV240" s="1678"/>
      <c r="HW240" s="1680" t="s">
        <v>6095</v>
      </c>
    </row>
    <row r="241" spans="1:233" s="1484" customFormat="1" ht="15" x14ac:dyDescent="0.25">
      <c r="A241" s="1647"/>
      <c r="B241" s="1631"/>
      <c r="C241" s="2801" t="s">
        <v>6096</v>
      </c>
      <c r="D241" s="2801"/>
      <c r="E241" s="2801"/>
      <c r="F241" s="2801"/>
      <c r="G241" s="2801"/>
      <c r="H241" s="2801"/>
      <c r="I241" s="2801"/>
      <c r="J241" s="2801"/>
      <c r="K241" s="1683" t="s">
        <v>6129</v>
      </c>
      <c r="L241" s="1861"/>
      <c r="M241" s="1861"/>
      <c r="O241" s="1684"/>
      <c r="P241" s="1681"/>
      <c r="Q241" s="1674"/>
      <c r="R241" s="1675"/>
      <c r="GO241" s="1619"/>
      <c r="GP241" s="1628"/>
      <c r="GQ241" s="1628"/>
      <c r="GR241" s="1628"/>
      <c r="GS241" s="1628"/>
      <c r="GT241" s="1628"/>
      <c r="GW241" s="1867"/>
      <c r="GX241" s="1867"/>
      <c r="GY241" s="1867"/>
      <c r="GZ241" s="1628"/>
      <c r="HA241" s="1867"/>
      <c r="HB241" s="1628"/>
      <c r="HC241" s="1665"/>
      <c r="HR241" s="1867"/>
      <c r="HS241" s="1867"/>
      <c r="HT241" s="1678"/>
      <c r="HV241" s="1678"/>
      <c r="HW241" s="1680" t="s">
        <v>6096</v>
      </c>
    </row>
    <row r="242" spans="1:233" s="1484" customFormat="1" ht="1.5" customHeight="1" x14ac:dyDescent="0.25">
      <c r="A242" s="1688"/>
      <c r="B242" s="1689"/>
      <c r="C242" s="1689"/>
      <c r="D242" s="1689"/>
      <c r="E242" s="1689"/>
      <c r="F242" s="1689"/>
      <c r="G242" s="1689"/>
      <c r="H242" s="1689"/>
      <c r="I242" s="1689"/>
      <c r="J242" s="1689"/>
      <c r="K242" s="1689"/>
      <c r="L242" s="1689"/>
      <c r="M242" s="1689"/>
      <c r="N242" s="1605"/>
      <c r="O242" s="1690"/>
      <c r="P242" s="1691"/>
      <c r="Q242" s="1674"/>
      <c r="R242" s="1675"/>
    </row>
    <row r="243" spans="1:233" s="1484" customFormat="1" ht="15" x14ac:dyDescent="0.25">
      <c r="A243" s="1647"/>
      <c r="B243" s="1676"/>
      <c r="C243" s="2802" t="s">
        <v>921</v>
      </c>
      <c r="D243" s="2802"/>
      <c r="E243" s="2802"/>
      <c r="F243" s="2802"/>
      <c r="G243" s="2802"/>
      <c r="H243" s="2802"/>
      <c r="I243" s="2802"/>
      <c r="J243" s="2802"/>
      <c r="K243" s="2802"/>
      <c r="L243" s="2802"/>
      <c r="M243" s="2802"/>
      <c r="N243" s="2802"/>
      <c r="O243" s="2802"/>
      <c r="P243" s="1677"/>
      <c r="Q243" s="1674"/>
      <c r="R243" s="1675"/>
      <c r="HX243" s="1678" t="s">
        <v>921</v>
      </c>
    </row>
    <row r="244" spans="1:233" s="1484" customFormat="1" ht="15" x14ac:dyDescent="0.25">
      <c r="A244" s="1647"/>
      <c r="B244" s="1631"/>
      <c r="C244" s="2801" t="s">
        <v>922</v>
      </c>
      <c r="D244" s="2801"/>
      <c r="E244" s="2801"/>
      <c r="F244" s="2801"/>
      <c r="G244" s="2801"/>
      <c r="H244" s="2801"/>
      <c r="I244" s="2801"/>
      <c r="J244" s="2801"/>
      <c r="K244" s="2801"/>
      <c r="L244" s="2801"/>
      <c r="M244" s="2801"/>
      <c r="N244" s="2801"/>
      <c r="O244" s="2801"/>
      <c r="P244" s="1679">
        <v>14228542.83</v>
      </c>
      <c r="Q244" s="1692"/>
      <c r="R244" s="1693"/>
      <c r="HX244" s="1678"/>
      <c r="HY244" s="1680" t="s">
        <v>922</v>
      </c>
    </row>
    <row r="245" spans="1:233" s="1484" customFormat="1" ht="15" x14ac:dyDescent="0.25">
      <c r="A245" s="1647"/>
      <c r="B245" s="1631"/>
      <c r="C245" s="2801" t="s">
        <v>891</v>
      </c>
      <c r="D245" s="2801"/>
      <c r="E245" s="2801"/>
      <c r="F245" s="2801"/>
      <c r="G245" s="2801"/>
      <c r="H245" s="2801"/>
      <c r="I245" s="2801"/>
      <c r="J245" s="2801"/>
      <c r="K245" s="2801"/>
      <c r="L245" s="2801"/>
      <c r="M245" s="2801"/>
      <c r="N245" s="2801"/>
      <c r="O245" s="2801"/>
      <c r="P245" s="1681"/>
      <c r="Q245" s="1692"/>
      <c r="R245" s="1693"/>
      <c r="HX245" s="1678"/>
      <c r="HY245" s="1680" t="s">
        <v>891</v>
      </c>
    </row>
    <row r="246" spans="1:233" s="1484" customFormat="1" ht="15" x14ac:dyDescent="0.25">
      <c r="A246" s="1647"/>
      <c r="B246" s="1631"/>
      <c r="C246" s="2801" t="s">
        <v>892</v>
      </c>
      <c r="D246" s="2801"/>
      <c r="E246" s="2801"/>
      <c r="F246" s="2801"/>
      <c r="G246" s="2801"/>
      <c r="H246" s="2801"/>
      <c r="I246" s="2801"/>
      <c r="J246" s="2801"/>
      <c r="K246" s="2801"/>
      <c r="L246" s="2801"/>
      <c r="M246" s="2801"/>
      <c r="N246" s="2801"/>
      <c r="O246" s="2801"/>
      <c r="P246" s="1679">
        <v>872772.63</v>
      </c>
      <c r="Q246" s="1692"/>
      <c r="R246" s="1693"/>
      <c r="HX246" s="1678"/>
      <c r="HY246" s="1680" t="s">
        <v>892</v>
      </c>
    </row>
    <row r="247" spans="1:233" s="1484" customFormat="1" ht="15" x14ac:dyDescent="0.25">
      <c r="A247" s="1647"/>
      <c r="B247" s="1631"/>
      <c r="C247" s="2801" t="s">
        <v>893</v>
      </c>
      <c r="D247" s="2801"/>
      <c r="E247" s="2801"/>
      <c r="F247" s="2801"/>
      <c r="G247" s="2801"/>
      <c r="H247" s="2801"/>
      <c r="I247" s="2801"/>
      <c r="J247" s="2801"/>
      <c r="K247" s="2801"/>
      <c r="L247" s="2801"/>
      <c r="M247" s="2801"/>
      <c r="N247" s="2801"/>
      <c r="O247" s="2801"/>
      <c r="P247" s="1679">
        <v>2203627.7599999998</v>
      </c>
      <c r="Q247" s="1692"/>
      <c r="R247" s="1693"/>
      <c r="HX247" s="1678"/>
      <c r="HY247" s="1680" t="s">
        <v>893</v>
      </c>
    </row>
    <row r="248" spans="1:233" s="1484" customFormat="1" ht="15" x14ac:dyDescent="0.25">
      <c r="A248" s="1647"/>
      <c r="B248" s="1631"/>
      <c r="C248" s="2801" t="s">
        <v>894</v>
      </c>
      <c r="D248" s="2801"/>
      <c r="E248" s="2801"/>
      <c r="F248" s="2801"/>
      <c r="G248" s="2801"/>
      <c r="H248" s="2801"/>
      <c r="I248" s="2801"/>
      <c r="J248" s="2801"/>
      <c r="K248" s="2801"/>
      <c r="L248" s="2801"/>
      <c r="M248" s="2801"/>
      <c r="N248" s="2801"/>
      <c r="O248" s="2801"/>
      <c r="P248" s="1679">
        <v>518186.69</v>
      </c>
      <c r="Q248" s="1692"/>
      <c r="R248" s="1693"/>
      <c r="HX248" s="1678"/>
      <c r="HY248" s="1680" t="s">
        <v>894</v>
      </c>
    </row>
    <row r="249" spans="1:233" s="1484" customFormat="1" ht="15" x14ac:dyDescent="0.25">
      <c r="A249" s="1647"/>
      <c r="B249" s="1631"/>
      <c r="C249" s="2801" t="s">
        <v>895</v>
      </c>
      <c r="D249" s="2801"/>
      <c r="E249" s="2801"/>
      <c r="F249" s="2801"/>
      <c r="G249" s="2801"/>
      <c r="H249" s="2801"/>
      <c r="I249" s="2801"/>
      <c r="J249" s="2801"/>
      <c r="K249" s="2801"/>
      <c r="L249" s="2801"/>
      <c r="M249" s="2801"/>
      <c r="N249" s="2801"/>
      <c r="O249" s="2801"/>
      <c r="P249" s="1679">
        <v>9325193.75</v>
      </c>
      <c r="Q249" s="1692"/>
      <c r="R249" s="1693"/>
      <c r="HX249" s="1678"/>
      <c r="HY249" s="1680" t="s">
        <v>895</v>
      </c>
    </row>
    <row r="250" spans="1:233" s="1484" customFormat="1" ht="15" x14ac:dyDescent="0.25">
      <c r="A250" s="1647"/>
      <c r="B250" s="1631"/>
      <c r="C250" s="2801" t="s">
        <v>896</v>
      </c>
      <c r="D250" s="2801"/>
      <c r="E250" s="2801"/>
      <c r="F250" s="2801"/>
      <c r="G250" s="2801"/>
      <c r="H250" s="2801"/>
      <c r="I250" s="2801"/>
      <c r="J250" s="2801"/>
      <c r="K250" s="2801"/>
      <c r="L250" s="2801"/>
      <c r="M250" s="2801"/>
      <c r="N250" s="2801"/>
      <c r="O250" s="2801"/>
      <c r="P250" s="1679">
        <v>1308762</v>
      </c>
      <c r="Q250" s="1692"/>
      <c r="R250" s="1693"/>
      <c r="HX250" s="1678"/>
      <c r="HY250" s="1680" t="s">
        <v>896</v>
      </c>
    </row>
    <row r="251" spans="1:233" s="1484" customFormat="1" ht="15" x14ac:dyDescent="0.25">
      <c r="A251" s="1647"/>
      <c r="B251" s="1631"/>
      <c r="C251" s="2801" t="s">
        <v>897</v>
      </c>
      <c r="D251" s="2801"/>
      <c r="E251" s="2801"/>
      <c r="F251" s="2801"/>
      <c r="G251" s="2801"/>
      <c r="H251" s="2801"/>
      <c r="I251" s="2801"/>
      <c r="J251" s="2801"/>
      <c r="K251" s="2801"/>
      <c r="L251" s="2801"/>
      <c r="M251" s="2801"/>
      <c r="N251" s="2801"/>
      <c r="O251" s="2801"/>
      <c r="P251" s="1679">
        <v>17677680.84</v>
      </c>
      <c r="Q251" s="1692"/>
      <c r="R251" s="1693"/>
      <c r="HX251" s="1678"/>
      <c r="HY251" s="1680" t="s">
        <v>897</v>
      </c>
    </row>
    <row r="252" spans="1:233" s="1484" customFormat="1" ht="15" x14ac:dyDescent="0.25">
      <c r="A252" s="1647"/>
      <c r="B252" s="1631"/>
      <c r="C252" s="2801" t="s">
        <v>898</v>
      </c>
      <c r="D252" s="2801"/>
      <c r="E252" s="2801"/>
      <c r="F252" s="2801"/>
      <c r="G252" s="2801"/>
      <c r="H252" s="2801"/>
      <c r="I252" s="2801"/>
      <c r="J252" s="2801"/>
      <c r="K252" s="2801"/>
      <c r="L252" s="2801"/>
      <c r="M252" s="2801"/>
      <c r="N252" s="2801"/>
      <c r="O252" s="2801"/>
      <c r="P252" s="1679">
        <v>16368918.84</v>
      </c>
      <c r="Q252" s="1692"/>
      <c r="R252" s="1693"/>
      <c r="HX252" s="1678"/>
      <c r="HY252" s="1680" t="s">
        <v>898</v>
      </c>
    </row>
    <row r="253" spans="1:233" s="1484" customFormat="1" ht="15" x14ac:dyDescent="0.25">
      <c r="A253" s="1647"/>
      <c r="B253" s="1631"/>
      <c r="C253" s="2801" t="s">
        <v>899</v>
      </c>
      <c r="D253" s="2801"/>
      <c r="E253" s="2801"/>
      <c r="F253" s="2801"/>
      <c r="G253" s="2801"/>
      <c r="H253" s="2801"/>
      <c r="I253" s="2801"/>
      <c r="J253" s="2801"/>
      <c r="K253" s="2801"/>
      <c r="L253" s="2801"/>
      <c r="M253" s="2801"/>
      <c r="N253" s="2801"/>
      <c r="O253" s="2801"/>
      <c r="P253" s="1681"/>
      <c r="Q253" s="1692"/>
      <c r="R253" s="1693"/>
      <c r="HX253" s="1678"/>
      <c r="HY253" s="1680" t="s">
        <v>899</v>
      </c>
    </row>
    <row r="254" spans="1:233" s="1484" customFormat="1" ht="15" x14ac:dyDescent="0.25">
      <c r="A254" s="1647"/>
      <c r="B254" s="1631"/>
      <c r="C254" s="2801" t="s">
        <v>900</v>
      </c>
      <c r="D254" s="2801"/>
      <c r="E254" s="2801"/>
      <c r="F254" s="2801"/>
      <c r="G254" s="2801"/>
      <c r="H254" s="2801"/>
      <c r="I254" s="2801"/>
      <c r="J254" s="2801"/>
      <c r="K254" s="2801"/>
      <c r="L254" s="2801"/>
      <c r="M254" s="2801"/>
      <c r="N254" s="2801"/>
      <c r="O254" s="2801"/>
      <c r="P254" s="1679">
        <v>872772.63</v>
      </c>
      <c r="Q254" s="1692"/>
      <c r="R254" s="1693"/>
      <c r="HX254" s="1678"/>
      <c r="HY254" s="1680" t="s">
        <v>900</v>
      </c>
    </row>
    <row r="255" spans="1:233" s="1484" customFormat="1" ht="15" x14ac:dyDescent="0.25">
      <c r="A255" s="1647"/>
      <c r="B255" s="1631"/>
      <c r="C255" s="2801" t="s">
        <v>901</v>
      </c>
      <c r="D255" s="2801"/>
      <c r="E255" s="2801"/>
      <c r="F255" s="2801"/>
      <c r="G255" s="2801"/>
      <c r="H255" s="2801"/>
      <c r="I255" s="2801"/>
      <c r="J255" s="2801"/>
      <c r="K255" s="2801"/>
      <c r="L255" s="2801"/>
      <c r="M255" s="2801"/>
      <c r="N255" s="2801"/>
      <c r="O255" s="2801"/>
      <c r="P255" s="1679">
        <v>2203627.7599999998</v>
      </c>
      <c r="Q255" s="1692"/>
      <c r="R255" s="1693"/>
      <c r="HX255" s="1678"/>
      <c r="HY255" s="1680" t="s">
        <v>901</v>
      </c>
    </row>
    <row r="256" spans="1:233" s="1484" customFormat="1" ht="15" x14ac:dyDescent="0.25">
      <c r="A256" s="1647"/>
      <c r="B256" s="1631"/>
      <c r="C256" s="2801" t="s">
        <v>902</v>
      </c>
      <c r="D256" s="2801"/>
      <c r="E256" s="2801"/>
      <c r="F256" s="2801"/>
      <c r="G256" s="2801"/>
      <c r="H256" s="2801"/>
      <c r="I256" s="2801"/>
      <c r="J256" s="2801"/>
      <c r="K256" s="2801"/>
      <c r="L256" s="2801"/>
      <c r="M256" s="2801"/>
      <c r="N256" s="2801"/>
      <c r="O256" s="2801"/>
      <c r="P256" s="1679">
        <v>518186.69</v>
      </c>
      <c r="Q256" s="1692"/>
      <c r="R256" s="1693"/>
      <c r="HX256" s="1678"/>
      <c r="HY256" s="1680" t="s">
        <v>902</v>
      </c>
    </row>
    <row r="257" spans="1:275" s="1484" customFormat="1" ht="15" x14ac:dyDescent="0.25">
      <c r="A257" s="1647"/>
      <c r="B257" s="1631"/>
      <c r="C257" s="2801" t="s">
        <v>903</v>
      </c>
      <c r="D257" s="2801"/>
      <c r="E257" s="2801"/>
      <c r="F257" s="2801"/>
      <c r="G257" s="2801"/>
      <c r="H257" s="2801"/>
      <c r="I257" s="2801"/>
      <c r="J257" s="2801"/>
      <c r="K257" s="2801"/>
      <c r="L257" s="2801"/>
      <c r="M257" s="2801"/>
      <c r="N257" s="2801"/>
      <c r="O257" s="2801"/>
      <c r="P257" s="1679">
        <v>9325193.75</v>
      </c>
      <c r="Q257" s="1692"/>
      <c r="R257" s="1693"/>
      <c r="HX257" s="1678"/>
      <c r="HY257" s="1680" t="s">
        <v>903</v>
      </c>
    </row>
    <row r="258" spans="1:275" s="1484" customFormat="1" ht="15" x14ac:dyDescent="0.25">
      <c r="A258" s="1647"/>
      <c r="B258" s="1631"/>
      <c r="C258" s="2801" t="s">
        <v>904</v>
      </c>
      <c r="D258" s="2801"/>
      <c r="E258" s="2801"/>
      <c r="F258" s="2801"/>
      <c r="G258" s="2801"/>
      <c r="H258" s="2801"/>
      <c r="I258" s="2801"/>
      <c r="J258" s="2801"/>
      <c r="K258" s="2801"/>
      <c r="L258" s="2801"/>
      <c r="M258" s="2801"/>
      <c r="N258" s="2801"/>
      <c r="O258" s="2801"/>
      <c r="P258" s="1679">
        <v>1938945.16</v>
      </c>
      <c r="Q258" s="1692"/>
      <c r="R258" s="1693"/>
      <c r="HX258" s="1678"/>
      <c r="HY258" s="1680" t="s">
        <v>904</v>
      </c>
    </row>
    <row r="259" spans="1:275" s="1484" customFormat="1" ht="15" x14ac:dyDescent="0.25">
      <c r="A259" s="1647"/>
      <c r="B259" s="1631"/>
      <c r="C259" s="2801" t="s">
        <v>905</v>
      </c>
      <c r="D259" s="2801"/>
      <c r="E259" s="2801"/>
      <c r="F259" s="2801"/>
      <c r="G259" s="2801"/>
      <c r="H259" s="2801"/>
      <c r="I259" s="2801"/>
      <c r="J259" s="2801"/>
      <c r="K259" s="2801"/>
      <c r="L259" s="2801"/>
      <c r="M259" s="2801"/>
      <c r="N259" s="2801"/>
      <c r="O259" s="2801"/>
      <c r="P259" s="1679">
        <v>1510192.85</v>
      </c>
      <c r="Q259" s="1692"/>
      <c r="R259" s="1693"/>
      <c r="HX259" s="1678"/>
      <c r="HY259" s="1680" t="s">
        <v>905</v>
      </c>
    </row>
    <row r="260" spans="1:275" s="1484" customFormat="1" ht="15" x14ac:dyDescent="0.25">
      <c r="A260" s="1647"/>
      <c r="B260" s="1631"/>
      <c r="C260" s="2801" t="s">
        <v>906</v>
      </c>
      <c r="D260" s="2801"/>
      <c r="E260" s="2801"/>
      <c r="F260" s="2801"/>
      <c r="G260" s="2801"/>
      <c r="H260" s="2801"/>
      <c r="I260" s="2801"/>
      <c r="J260" s="2801"/>
      <c r="K260" s="2801"/>
      <c r="L260" s="2801"/>
      <c r="M260" s="2801"/>
      <c r="N260" s="2801"/>
      <c r="O260" s="2801"/>
      <c r="P260" s="1679">
        <v>1308762</v>
      </c>
      <c r="Q260" s="1692"/>
      <c r="R260" s="1693"/>
      <c r="HX260" s="1678"/>
      <c r="HY260" s="1680" t="s">
        <v>906</v>
      </c>
    </row>
    <row r="261" spans="1:275" s="1484" customFormat="1" ht="15" x14ac:dyDescent="0.25">
      <c r="A261" s="1647"/>
      <c r="B261" s="1631"/>
      <c r="C261" s="2801" t="s">
        <v>923</v>
      </c>
      <c r="D261" s="2801"/>
      <c r="E261" s="2801"/>
      <c r="F261" s="2801"/>
      <c r="G261" s="2801"/>
      <c r="H261" s="2801"/>
      <c r="I261" s="2801"/>
      <c r="J261" s="2801"/>
      <c r="K261" s="2801"/>
      <c r="L261" s="2801"/>
      <c r="M261" s="2801"/>
      <c r="N261" s="2801"/>
      <c r="O261" s="2801"/>
      <c r="P261" s="1679">
        <v>1390959.32</v>
      </c>
      <c r="Q261" s="1692"/>
      <c r="R261" s="1693"/>
      <c r="HX261" s="1678"/>
      <c r="HY261" s="1680" t="s">
        <v>923</v>
      </c>
    </row>
    <row r="262" spans="1:275" s="1484" customFormat="1" ht="15" x14ac:dyDescent="0.25">
      <c r="A262" s="1647"/>
      <c r="B262" s="1631"/>
      <c r="C262" s="2801" t="s">
        <v>924</v>
      </c>
      <c r="D262" s="2801"/>
      <c r="E262" s="2801"/>
      <c r="F262" s="2801"/>
      <c r="G262" s="2801"/>
      <c r="H262" s="2801"/>
      <c r="I262" s="2801"/>
      <c r="J262" s="2801"/>
      <c r="K262" s="2801"/>
      <c r="L262" s="2801"/>
      <c r="M262" s="2801"/>
      <c r="N262" s="2801"/>
      <c r="O262" s="2801"/>
      <c r="P262" s="1679">
        <v>1938945.16</v>
      </c>
      <c r="Q262" s="1692"/>
      <c r="R262" s="1693"/>
      <c r="HX262" s="1678"/>
      <c r="HY262" s="1680" t="s">
        <v>924</v>
      </c>
    </row>
    <row r="263" spans="1:275" s="1484" customFormat="1" ht="15" x14ac:dyDescent="0.25">
      <c r="A263" s="1647"/>
      <c r="B263" s="1631"/>
      <c r="C263" s="2801" t="s">
        <v>925</v>
      </c>
      <c r="D263" s="2801"/>
      <c r="E263" s="2801"/>
      <c r="F263" s="2801"/>
      <c r="G263" s="2801"/>
      <c r="H263" s="2801"/>
      <c r="I263" s="2801"/>
      <c r="J263" s="2801"/>
      <c r="K263" s="2801"/>
      <c r="L263" s="2801"/>
      <c r="M263" s="2801"/>
      <c r="N263" s="2801"/>
      <c r="O263" s="2801"/>
      <c r="P263" s="1679">
        <v>1510192.85</v>
      </c>
      <c r="Q263" s="1692"/>
      <c r="R263" s="1693"/>
      <c r="HX263" s="1678"/>
      <c r="HY263" s="1680" t="s">
        <v>925</v>
      </c>
    </row>
    <row r="264" spans="1:275" s="1484" customFormat="1" ht="15" x14ac:dyDescent="0.25">
      <c r="A264" s="1647"/>
      <c r="B264" s="1676"/>
      <c r="C264" s="2802" t="s">
        <v>612</v>
      </c>
      <c r="D264" s="2802"/>
      <c r="E264" s="2802"/>
      <c r="F264" s="2802"/>
      <c r="G264" s="2802"/>
      <c r="H264" s="2802"/>
      <c r="I264" s="2802"/>
      <c r="J264" s="2802"/>
      <c r="K264" s="2802"/>
      <c r="L264" s="2802"/>
      <c r="M264" s="2802"/>
      <c r="N264" s="2802"/>
      <c r="O264" s="2802"/>
      <c r="P264" s="1682">
        <v>17677680.84</v>
      </c>
      <c r="Q264" s="1692"/>
      <c r="R264" s="1694"/>
      <c r="HX264" s="1678"/>
      <c r="HZ264" s="1678" t="s">
        <v>612</v>
      </c>
    </row>
    <row r="265" spans="1:275" s="1484" customFormat="1" ht="15" x14ac:dyDescent="0.25">
      <c r="A265" s="1647"/>
      <c r="B265" s="1631"/>
      <c r="C265" s="2801" t="s">
        <v>6094</v>
      </c>
      <c r="D265" s="2801"/>
      <c r="E265" s="2801"/>
      <c r="F265" s="2801"/>
      <c r="G265" s="2801"/>
      <c r="H265" s="2801"/>
      <c r="I265" s="2801"/>
      <c r="J265" s="2801"/>
      <c r="K265" s="2801"/>
      <c r="L265" s="2801"/>
      <c r="M265" s="2801"/>
      <c r="N265" s="2801"/>
      <c r="O265" s="2801"/>
      <c r="P265" s="1681"/>
      <c r="Q265" s="1692"/>
      <c r="R265" s="1693"/>
      <c r="HX265" s="1678"/>
      <c r="HY265" s="1680" t="s">
        <v>6094</v>
      </c>
      <c r="HZ265" s="1678"/>
    </row>
    <row r="266" spans="1:275" s="1484" customFormat="1" ht="15" x14ac:dyDescent="0.25">
      <c r="A266" s="1647"/>
      <c r="B266" s="1631"/>
      <c r="C266" s="2801" t="s">
        <v>6095</v>
      </c>
      <c r="D266" s="2801"/>
      <c r="E266" s="2801"/>
      <c r="F266" s="2801"/>
      <c r="G266" s="2801"/>
      <c r="H266" s="2801"/>
      <c r="I266" s="2801"/>
      <c r="J266" s="2801"/>
      <c r="K266" s="1683" t="s">
        <v>7841</v>
      </c>
      <c r="L266" s="1861"/>
      <c r="M266" s="1861"/>
      <c r="O266" s="1684"/>
      <c r="P266" s="1681"/>
      <c r="Q266" s="1692"/>
      <c r="R266" s="1694"/>
      <c r="HX266" s="1678"/>
      <c r="HZ266" s="1678"/>
      <c r="IA266" s="1680" t="s">
        <v>6095</v>
      </c>
    </row>
    <row r="267" spans="1:275" s="1484" customFormat="1" ht="15" x14ac:dyDescent="0.25">
      <c r="A267" s="1647"/>
      <c r="B267" s="1631"/>
      <c r="C267" s="2801" t="s">
        <v>6096</v>
      </c>
      <c r="D267" s="2801"/>
      <c r="E267" s="2801"/>
      <c r="F267" s="2801"/>
      <c r="G267" s="2801"/>
      <c r="H267" s="2801"/>
      <c r="I267" s="2801"/>
      <c r="J267" s="2801"/>
      <c r="K267" s="1683" t="s">
        <v>7840</v>
      </c>
      <c r="L267" s="1861"/>
      <c r="M267" s="1861"/>
      <c r="O267" s="1684"/>
      <c r="P267" s="1681"/>
      <c r="Q267" s="1692"/>
      <c r="R267" s="1694"/>
      <c r="HX267" s="1678"/>
      <c r="HZ267" s="1678"/>
      <c r="IA267" s="1680" t="s">
        <v>6096</v>
      </c>
    </row>
    <row r="268" spans="1:275" s="1701" customFormat="1" ht="1.5" customHeight="1" x14ac:dyDescent="0.2">
      <c r="A268" s="1688"/>
      <c r="B268" s="1670"/>
      <c r="C268" s="1668"/>
      <c r="D268" s="1668"/>
      <c r="E268" s="1668"/>
      <c r="F268" s="1668"/>
      <c r="G268" s="1668"/>
      <c r="H268" s="1668"/>
      <c r="I268" s="1668"/>
      <c r="J268" s="1668"/>
      <c r="K268" s="1668"/>
      <c r="L268" s="1695"/>
      <c r="M268" s="1696"/>
      <c r="N268" s="1697"/>
      <c r="O268" s="1698"/>
      <c r="P268" s="1699"/>
      <c r="Q268" s="1700"/>
      <c r="R268" s="1700"/>
      <c r="AB268" s="1864"/>
      <c r="AC268" s="1864"/>
      <c r="AD268" s="1864"/>
      <c r="AE268" s="1864"/>
      <c r="AF268" s="1864"/>
      <c r="AG268" s="1864"/>
      <c r="AH268" s="1702"/>
      <c r="AI268" s="1702"/>
      <c r="AJ268" s="1702"/>
      <c r="AK268" s="1702"/>
      <c r="AL268" s="1702"/>
      <c r="AM268" s="1702"/>
      <c r="AN268" s="1702"/>
      <c r="AO268" s="1702"/>
      <c r="AP268" s="1702"/>
      <c r="AQ268" s="1702"/>
      <c r="AR268" s="1864"/>
      <c r="AS268" s="1864"/>
      <c r="AT268" s="1864"/>
      <c r="AU268" s="1864"/>
      <c r="AV268" s="1864"/>
      <c r="AW268" s="1864"/>
      <c r="AX268" s="1702"/>
      <c r="AY268" s="1702"/>
      <c r="AZ268" s="1702"/>
      <c r="BA268" s="1702"/>
      <c r="BB268" s="1702"/>
      <c r="BC268" s="1702"/>
      <c r="BD268" s="1702"/>
      <c r="BE268" s="1702"/>
      <c r="BF268" s="1702"/>
      <c r="BG268" s="1702"/>
      <c r="BH268" s="1864"/>
      <c r="BI268" s="1864"/>
      <c r="BJ268" s="1864"/>
      <c r="BK268" s="1864"/>
      <c r="BL268" s="1864"/>
      <c r="BM268" s="1864"/>
      <c r="BN268" s="1702"/>
      <c r="BO268" s="1702"/>
      <c r="BP268" s="1702"/>
      <c r="BQ268" s="1702"/>
      <c r="BR268" s="1702"/>
      <c r="BS268" s="1702"/>
      <c r="BT268" s="1702"/>
      <c r="BU268" s="1702"/>
      <c r="BV268" s="1702"/>
      <c r="BW268" s="1702"/>
      <c r="BX268" s="1864"/>
      <c r="BY268" s="1864"/>
      <c r="BZ268" s="1864"/>
      <c r="CA268" s="1864"/>
      <c r="CB268" s="1864"/>
      <c r="CC268" s="1864"/>
      <c r="CD268" s="1702"/>
      <c r="CE268" s="1702"/>
      <c r="CF268" s="1702"/>
      <c r="CG268" s="1702"/>
      <c r="CH268" s="1702"/>
      <c r="CI268" s="1702"/>
      <c r="CJ268" s="1702"/>
      <c r="CK268" s="1702"/>
      <c r="CL268" s="1702"/>
      <c r="CM268" s="1702"/>
      <c r="CN268" s="1864"/>
      <c r="CO268" s="1864"/>
      <c r="CP268" s="1864"/>
      <c r="CQ268" s="1864"/>
      <c r="CR268" s="1864"/>
      <c r="CS268" s="1864"/>
      <c r="CT268" s="1702"/>
      <c r="CU268" s="1702"/>
      <c r="CV268" s="1702"/>
      <c r="CW268" s="1702"/>
      <c r="CX268" s="1702"/>
      <c r="CY268" s="1702"/>
      <c r="CZ268" s="1702"/>
      <c r="DA268" s="1702"/>
      <c r="DB268" s="1702"/>
      <c r="DC268" s="1702"/>
      <c r="DD268" s="1864"/>
      <c r="DE268" s="1864"/>
      <c r="DF268" s="1864"/>
      <c r="DG268" s="1864"/>
      <c r="DH268" s="1864"/>
      <c r="DI268" s="1864"/>
      <c r="DJ268" s="1702"/>
      <c r="DK268" s="1702"/>
      <c r="DL268" s="1702"/>
      <c r="DM268" s="1702"/>
      <c r="DN268" s="1702"/>
      <c r="DO268" s="1702"/>
      <c r="DP268" s="1702"/>
      <c r="DQ268" s="1702"/>
      <c r="DR268" s="1702"/>
      <c r="DS268" s="1702"/>
      <c r="DT268" s="1864"/>
      <c r="DU268" s="1864"/>
      <c r="DV268" s="1864"/>
      <c r="DW268" s="1864"/>
      <c r="DX268" s="1864"/>
      <c r="DY268" s="1864"/>
      <c r="DZ268" s="1702"/>
      <c r="EA268" s="1702"/>
      <c r="EB268" s="1702"/>
      <c r="EC268" s="1702"/>
      <c r="ED268" s="1702"/>
      <c r="EE268" s="1702"/>
      <c r="EF268" s="1702"/>
      <c r="EG268" s="1702"/>
      <c r="EH268" s="1702"/>
      <c r="EI268" s="1702"/>
      <c r="EJ268" s="1865"/>
      <c r="EK268" s="1865"/>
      <c r="EL268" s="1865"/>
      <c r="EM268" s="1865"/>
      <c r="EN268" s="1865"/>
      <c r="EO268" s="1865"/>
      <c r="EP268" s="1865"/>
      <c r="EQ268" s="1865"/>
      <c r="ER268" s="1865"/>
      <c r="ES268" s="1865"/>
      <c r="ET268" s="1865"/>
      <c r="EU268" s="1865"/>
      <c r="EV268" s="1865"/>
      <c r="EW268" s="1865"/>
      <c r="EX268" s="1865"/>
      <c r="EY268" s="1865"/>
      <c r="EZ268" s="1865"/>
      <c r="FA268" s="1865"/>
      <c r="FB268" s="1865"/>
      <c r="FC268" s="1865"/>
      <c r="FD268" s="1865"/>
      <c r="FE268" s="1865"/>
      <c r="FF268" s="1865"/>
      <c r="FG268" s="1865"/>
      <c r="FH268" s="1865"/>
      <c r="FI268" s="1865"/>
      <c r="FJ268" s="1865"/>
      <c r="FK268" s="1865"/>
      <c r="FL268" s="1865"/>
      <c r="FM268" s="1865"/>
      <c r="FN268" s="1865"/>
      <c r="FO268" s="1865"/>
      <c r="FP268" s="1865"/>
      <c r="FQ268" s="1865"/>
      <c r="FR268" s="1865"/>
      <c r="FS268" s="1865"/>
      <c r="FT268" s="1865"/>
      <c r="FU268" s="1865"/>
      <c r="FV268" s="1865"/>
      <c r="FW268" s="1865"/>
      <c r="FX268" s="1865"/>
      <c r="FY268" s="1865"/>
      <c r="FZ268" s="1865"/>
      <c r="GA268" s="1865"/>
      <c r="GB268" s="1865"/>
      <c r="GC268" s="1865"/>
      <c r="GD268" s="1865"/>
      <c r="GE268" s="1865"/>
      <c r="GF268" s="1702"/>
      <c r="GG268" s="1702"/>
      <c r="GH268" s="1702"/>
      <c r="GI268" s="1702"/>
      <c r="GJ268" s="1702"/>
      <c r="GK268" s="1703"/>
      <c r="GL268" s="1703"/>
      <c r="GM268" s="1703"/>
      <c r="GN268" s="1703"/>
      <c r="GO268" s="1702"/>
      <c r="GP268" s="1864"/>
      <c r="GQ268" s="1864"/>
      <c r="GR268" s="1864"/>
      <c r="GS268" s="1864"/>
      <c r="GT268" s="1864"/>
      <c r="GU268" s="1864"/>
      <c r="GV268" s="1864"/>
      <c r="GW268" s="1864"/>
      <c r="GX268" s="1864"/>
      <c r="GY268" s="1864"/>
      <c r="GZ268" s="1864"/>
      <c r="HA268" s="1864"/>
      <c r="HB268" s="1864"/>
      <c r="HC268" s="1864"/>
      <c r="HD268" s="1864"/>
      <c r="HE268" s="1864"/>
      <c r="HF268" s="1864"/>
      <c r="HG268" s="1864"/>
      <c r="HH268" s="1864"/>
      <c r="HI268" s="1864"/>
      <c r="HJ268" s="1864"/>
      <c r="HK268" s="1864"/>
      <c r="HL268" s="1864"/>
      <c r="HM268" s="1864"/>
      <c r="HN268" s="1864"/>
      <c r="HO268" s="1864"/>
      <c r="HP268" s="1864"/>
      <c r="HQ268" s="1864"/>
      <c r="HR268" s="1864"/>
      <c r="HS268" s="1864"/>
      <c r="HT268" s="1680"/>
      <c r="HU268" s="1680"/>
      <c r="HV268" s="1680"/>
      <c r="HW268" s="1680"/>
      <c r="HX268" s="1680"/>
      <c r="HY268" s="1680"/>
      <c r="HZ268" s="1680"/>
      <c r="IA268" s="1680"/>
      <c r="IB268" s="1680"/>
      <c r="IC268" s="1680"/>
      <c r="ID268" s="1680"/>
      <c r="IE268" s="1680"/>
      <c r="IF268" s="1680"/>
      <c r="IG268" s="1680"/>
      <c r="IH268" s="1640"/>
      <c r="II268" s="1640"/>
      <c r="IJ268" s="1640"/>
      <c r="IK268" s="1640"/>
      <c r="IL268" s="1640"/>
      <c r="IM268" s="1640"/>
      <c r="IN268" s="1680"/>
      <c r="IO268" s="1680"/>
      <c r="IP268" s="1680"/>
      <c r="IQ268" s="1680"/>
      <c r="IR268" s="1680"/>
      <c r="IS268" s="1680"/>
      <c r="IT268" s="1640"/>
      <c r="IU268" s="1640"/>
      <c r="IV268" s="1640"/>
      <c r="IW268" s="1640"/>
      <c r="IX268" s="1640"/>
      <c r="IY268" s="1640"/>
      <c r="IZ268" s="1702"/>
      <c r="JA268" s="1702"/>
      <c r="JB268" s="1702"/>
      <c r="JC268" s="1702"/>
      <c r="JD268" s="1702"/>
      <c r="JE268" s="1702"/>
      <c r="JF268" s="1702"/>
      <c r="JG268" s="1702"/>
      <c r="JH268" s="1702"/>
      <c r="JI268" s="1702"/>
      <c r="JJ268" s="1702"/>
      <c r="JK268" s="1702"/>
      <c r="JL268" s="1702"/>
      <c r="JM268" s="1702"/>
      <c r="JN268" s="1702"/>
      <c r="JO268" s="1702"/>
    </row>
    <row r="269" spans="1:275" s="1701" customFormat="1" ht="14.25" customHeight="1" x14ac:dyDescent="0.2">
      <c r="A269" s="1582"/>
      <c r="B269" s="1704"/>
      <c r="C269" s="1628"/>
      <c r="D269" s="1628"/>
      <c r="E269" s="1628"/>
      <c r="F269" s="1628"/>
      <c r="G269" s="1628"/>
      <c r="H269" s="1628"/>
      <c r="I269" s="1628"/>
      <c r="J269" s="1628"/>
      <c r="K269" s="1628"/>
      <c r="L269" s="1705"/>
      <c r="M269" s="1706"/>
      <c r="N269" s="1707"/>
      <c r="O269" s="1582"/>
      <c r="P269" s="1582"/>
      <c r="Q269" s="1700"/>
      <c r="R269" s="1700"/>
      <c r="AB269" s="1864"/>
      <c r="AC269" s="1864"/>
      <c r="AD269" s="1864"/>
      <c r="AE269" s="1864"/>
      <c r="AF269" s="1864"/>
      <c r="AG269" s="1864"/>
      <c r="AH269" s="1702"/>
      <c r="AI269" s="1702"/>
      <c r="AJ269" s="1702"/>
      <c r="AK269" s="1702"/>
      <c r="AL269" s="1702"/>
      <c r="AM269" s="1702"/>
      <c r="AN269" s="1702"/>
      <c r="AO269" s="1702"/>
      <c r="AP269" s="1702"/>
      <c r="AQ269" s="1702"/>
      <c r="AR269" s="1864"/>
      <c r="AS269" s="1864"/>
      <c r="AT269" s="1864"/>
      <c r="AU269" s="1864"/>
      <c r="AV269" s="1864"/>
      <c r="AW269" s="1864"/>
      <c r="AX269" s="1702"/>
      <c r="AY269" s="1702"/>
      <c r="AZ269" s="1702"/>
      <c r="BA269" s="1702"/>
      <c r="BB269" s="1702"/>
      <c r="BC269" s="1702"/>
      <c r="BD269" s="1702"/>
      <c r="BE269" s="1702"/>
      <c r="BF269" s="1702"/>
      <c r="BG269" s="1702"/>
      <c r="BH269" s="1864"/>
      <c r="BI269" s="1864"/>
      <c r="BJ269" s="1864"/>
      <c r="BK269" s="1864"/>
      <c r="BL269" s="1864"/>
      <c r="BM269" s="1864"/>
      <c r="BN269" s="1702"/>
      <c r="BO269" s="1702"/>
      <c r="BP269" s="1702"/>
      <c r="BQ269" s="1702"/>
      <c r="BR269" s="1702"/>
      <c r="BS269" s="1702"/>
      <c r="BT269" s="1702"/>
      <c r="BU269" s="1702"/>
      <c r="BV269" s="1702"/>
      <c r="BW269" s="1702"/>
      <c r="BX269" s="1864"/>
      <c r="BY269" s="1864"/>
      <c r="BZ269" s="1864"/>
      <c r="CA269" s="1864"/>
      <c r="CB269" s="1864"/>
      <c r="CC269" s="1864"/>
      <c r="CD269" s="1702"/>
      <c r="CE269" s="1702"/>
      <c r="CF269" s="1702"/>
      <c r="CG269" s="1702"/>
      <c r="CH269" s="1702"/>
      <c r="CI269" s="1702"/>
      <c r="CJ269" s="1702"/>
      <c r="CK269" s="1702"/>
      <c r="CL269" s="1702"/>
      <c r="CM269" s="1702"/>
      <c r="CN269" s="1864"/>
      <c r="CO269" s="1864"/>
      <c r="CP269" s="1864"/>
      <c r="CQ269" s="1864"/>
      <c r="CR269" s="1864"/>
      <c r="CS269" s="1864"/>
      <c r="CT269" s="1702"/>
      <c r="CU269" s="1702"/>
      <c r="CV269" s="1702"/>
      <c r="CW269" s="1702"/>
      <c r="CX269" s="1702"/>
      <c r="CY269" s="1702"/>
      <c r="CZ269" s="1702"/>
      <c r="DA269" s="1702"/>
      <c r="DB269" s="1702"/>
      <c r="DC269" s="1702"/>
      <c r="DD269" s="1864"/>
      <c r="DE269" s="1864"/>
      <c r="DF269" s="1864"/>
      <c r="DG269" s="1864"/>
      <c r="DH269" s="1864"/>
      <c r="DI269" s="1864"/>
      <c r="DJ269" s="1702"/>
      <c r="DK269" s="1702"/>
      <c r="DL269" s="1702"/>
      <c r="DM269" s="1702"/>
      <c r="DN269" s="1702"/>
      <c r="DO269" s="1702"/>
      <c r="DP269" s="1702"/>
      <c r="DQ269" s="1702"/>
      <c r="DR269" s="1702"/>
      <c r="DS269" s="1702"/>
      <c r="DT269" s="1864"/>
      <c r="DU269" s="1864"/>
      <c r="DV269" s="1864"/>
      <c r="DW269" s="1864"/>
      <c r="DX269" s="1864"/>
      <c r="DY269" s="1864"/>
      <c r="DZ269" s="1702"/>
      <c r="EA269" s="1702"/>
      <c r="EB269" s="1702"/>
      <c r="EC269" s="1702"/>
      <c r="ED269" s="1702"/>
      <c r="EE269" s="1702"/>
      <c r="EF269" s="1702"/>
      <c r="EG269" s="1702"/>
      <c r="EH269" s="1702"/>
      <c r="EI269" s="1702"/>
      <c r="EJ269" s="1865"/>
      <c r="EK269" s="1865"/>
      <c r="EL269" s="1865"/>
      <c r="EM269" s="1865"/>
      <c r="EN269" s="1865"/>
      <c r="EO269" s="1865"/>
      <c r="EP269" s="1865"/>
      <c r="EQ269" s="1865"/>
      <c r="ER269" s="1865"/>
      <c r="ES269" s="1865"/>
      <c r="ET269" s="1865"/>
      <c r="EU269" s="1865"/>
      <c r="EV269" s="1865"/>
      <c r="EW269" s="1865"/>
      <c r="EX269" s="1865"/>
      <c r="EY269" s="1865"/>
      <c r="EZ269" s="1865"/>
      <c r="FA269" s="1865"/>
      <c r="FB269" s="1865"/>
      <c r="FC269" s="1865"/>
      <c r="FD269" s="1865"/>
      <c r="FE269" s="1865"/>
      <c r="FF269" s="1865"/>
      <c r="FG269" s="1865"/>
      <c r="FH269" s="1865"/>
      <c r="FI269" s="1865"/>
      <c r="FJ269" s="1865"/>
      <c r="FK269" s="1865"/>
      <c r="FL269" s="1865"/>
      <c r="FM269" s="1865"/>
      <c r="FN269" s="1865"/>
      <c r="FO269" s="1865"/>
      <c r="FP269" s="1865"/>
      <c r="FQ269" s="1865"/>
      <c r="FR269" s="1865"/>
      <c r="FS269" s="1865"/>
      <c r="FT269" s="1865"/>
      <c r="FU269" s="1865"/>
      <c r="FV269" s="1865"/>
      <c r="FW269" s="1865"/>
      <c r="FX269" s="1865"/>
      <c r="FY269" s="1865"/>
      <c r="FZ269" s="1865"/>
      <c r="GA269" s="1865"/>
      <c r="GB269" s="1865"/>
      <c r="GC269" s="1865"/>
      <c r="GD269" s="1865"/>
      <c r="GE269" s="1865"/>
      <c r="GF269" s="1702"/>
      <c r="GG269" s="1702"/>
      <c r="GH269" s="1702"/>
      <c r="GI269" s="1702"/>
      <c r="GJ269" s="1702"/>
      <c r="GK269" s="1703"/>
      <c r="GL269" s="1703"/>
      <c r="GM269" s="1703"/>
      <c r="GN269" s="1703"/>
      <c r="GO269" s="1702"/>
      <c r="GP269" s="1864"/>
      <c r="GQ269" s="1864"/>
      <c r="GR269" s="1864"/>
      <c r="GS269" s="1864"/>
      <c r="GT269" s="1864"/>
      <c r="GU269" s="1864"/>
      <c r="GV269" s="1864"/>
      <c r="GW269" s="1864"/>
      <c r="GX269" s="1864"/>
      <c r="GY269" s="1864"/>
      <c r="GZ269" s="1864"/>
      <c r="HA269" s="1864"/>
      <c r="HB269" s="1864"/>
      <c r="HC269" s="1864"/>
      <c r="HD269" s="1864"/>
      <c r="HE269" s="1864"/>
      <c r="HF269" s="1864"/>
      <c r="HG269" s="1864"/>
      <c r="HH269" s="1864"/>
      <c r="HI269" s="1864"/>
      <c r="HJ269" s="1864"/>
      <c r="HK269" s="1864"/>
      <c r="HL269" s="1864"/>
      <c r="HM269" s="1864"/>
      <c r="HN269" s="1864"/>
      <c r="HO269" s="1864"/>
      <c r="HP269" s="1864"/>
      <c r="HQ269" s="1864"/>
      <c r="HR269" s="1864"/>
      <c r="HS269" s="1864"/>
      <c r="HT269" s="1680"/>
      <c r="HU269" s="1680"/>
      <c r="HV269" s="1680"/>
      <c r="HW269" s="1680"/>
      <c r="HX269" s="1680"/>
      <c r="HY269" s="1680"/>
      <c r="HZ269" s="1680"/>
      <c r="IA269" s="1680"/>
      <c r="IB269" s="1680"/>
      <c r="IC269" s="1680"/>
      <c r="ID269" s="1680"/>
      <c r="IE269" s="1680"/>
      <c r="IF269" s="1680"/>
      <c r="IG269" s="1680"/>
      <c r="IH269" s="1640"/>
      <c r="II269" s="1640"/>
      <c r="IJ269" s="1640"/>
      <c r="IK269" s="1640"/>
      <c r="IL269" s="1640"/>
      <c r="IM269" s="1640"/>
      <c r="IN269" s="1680"/>
      <c r="IO269" s="1680"/>
      <c r="IP269" s="1680"/>
      <c r="IQ269" s="1680"/>
      <c r="IR269" s="1680"/>
      <c r="IS269" s="1680"/>
      <c r="IT269" s="1640"/>
      <c r="IU269" s="1640"/>
      <c r="IV269" s="1640"/>
      <c r="IW269" s="1640"/>
      <c r="IX269" s="1640"/>
      <c r="IY269" s="1640"/>
      <c r="IZ269" s="1702"/>
      <c r="JA269" s="1702"/>
      <c r="JB269" s="1702"/>
      <c r="JC269" s="1702"/>
      <c r="JD269" s="1702"/>
      <c r="JE269" s="1702"/>
      <c r="JF269" s="1702"/>
      <c r="JG269" s="1702"/>
      <c r="JH269" s="1702"/>
      <c r="JI269" s="1702"/>
      <c r="JJ269" s="1702"/>
      <c r="JK269" s="1702"/>
      <c r="JL269" s="1702"/>
      <c r="JM269" s="1702"/>
      <c r="JN269" s="1702"/>
      <c r="JO269" s="1702"/>
    </row>
    <row r="270" spans="1:275" s="1601" customFormat="1" ht="15" x14ac:dyDescent="0.25">
      <c r="A270" s="1584"/>
      <c r="B270" s="1708" t="s">
        <v>926</v>
      </c>
      <c r="C270" s="2797"/>
      <c r="D270" s="2797"/>
      <c r="E270" s="2797"/>
      <c r="F270" s="2797"/>
      <c r="G270" s="2797"/>
      <c r="H270" s="2797"/>
      <c r="I270" s="2798"/>
      <c r="J270" s="2798"/>
      <c r="K270" s="2798"/>
      <c r="L270" s="2798"/>
      <c r="M270" s="2798"/>
      <c r="N270" s="2798"/>
      <c r="O270" s="1484"/>
      <c r="P270" s="1484"/>
      <c r="Q270" s="1589"/>
      <c r="R270" s="1589"/>
      <c r="S270" s="1484"/>
      <c r="T270" s="1484"/>
      <c r="U270" s="1484"/>
      <c r="V270" s="1484"/>
      <c r="W270" s="1484"/>
      <c r="X270" s="1484"/>
      <c r="Y270" s="1484"/>
      <c r="Z270" s="1484"/>
      <c r="AA270" s="1484"/>
      <c r="AB270" s="1867"/>
      <c r="AC270" s="1867"/>
      <c r="AD270" s="1867"/>
      <c r="AE270" s="1867"/>
      <c r="AF270" s="1867"/>
      <c r="AG270" s="1867"/>
      <c r="AH270" s="1585"/>
      <c r="AI270" s="1585"/>
      <c r="AJ270" s="1585"/>
      <c r="AK270" s="1585"/>
      <c r="AL270" s="1585"/>
      <c r="AM270" s="1585"/>
      <c r="AN270" s="1585"/>
      <c r="AO270" s="1585"/>
      <c r="AP270" s="1585"/>
      <c r="AQ270" s="1585"/>
      <c r="AR270" s="1867"/>
      <c r="AS270" s="1867"/>
      <c r="AT270" s="1867"/>
      <c r="AU270" s="1867"/>
      <c r="AV270" s="1867"/>
      <c r="AW270" s="1867"/>
      <c r="AX270" s="1585"/>
      <c r="AY270" s="1585"/>
      <c r="AZ270" s="1585"/>
      <c r="BA270" s="1585"/>
      <c r="BB270" s="1585"/>
      <c r="BC270" s="1585"/>
      <c r="BD270" s="1585"/>
      <c r="BE270" s="1585"/>
      <c r="BF270" s="1585"/>
      <c r="BG270" s="1585"/>
      <c r="BH270" s="1867"/>
      <c r="BI270" s="1867"/>
      <c r="BJ270" s="1867"/>
      <c r="BK270" s="1867"/>
      <c r="BL270" s="1867"/>
      <c r="BM270" s="1867"/>
      <c r="BN270" s="1585"/>
      <c r="BO270" s="1585"/>
      <c r="BP270" s="1585"/>
      <c r="BQ270" s="1585"/>
      <c r="BR270" s="1585"/>
      <c r="BS270" s="1585"/>
      <c r="BT270" s="1585"/>
      <c r="BU270" s="1585"/>
      <c r="BV270" s="1585"/>
      <c r="BW270" s="1585"/>
      <c r="BX270" s="1867"/>
      <c r="BY270" s="1867"/>
      <c r="BZ270" s="1867"/>
      <c r="CA270" s="1867"/>
      <c r="CB270" s="1867"/>
      <c r="CC270" s="1867"/>
      <c r="CD270" s="1585"/>
      <c r="CE270" s="1585"/>
      <c r="CF270" s="1585"/>
      <c r="CG270" s="1585"/>
      <c r="CH270" s="1585"/>
      <c r="CI270" s="1585"/>
      <c r="CJ270" s="1585"/>
      <c r="CK270" s="1585"/>
      <c r="CL270" s="1585"/>
      <c r="CM270" s="1585"/>
      <c r="CN270" s="1867"/>
      <c r="CO270" s="1867"/>
      <c r="CP270" s="1867"/>
      <c r="CQ270" s="1867"/>
      <c r="CR270" s="1867"/>
      <c r="CS270" s="1867"/>
      <c r="CT270" s="1585"/>
      <c r="CU270" s="1585"/>
      <c r="CV270" s="1585"/>
      <c r="CW270" s="1585"/>
      <c r="CX270" s="1585"/>
      <c r="CY270" s="1585"/>
      <c r="CZ270" s="1585"/>
      <c r="DA270" s="1585"/>
      <c r="DB270" s="1585"/>
      <c r="DC270" s="1585"/>
      <c r="DD270" s="1867"/>
      <c r="DE270" s="1867"/>
      <c r="DF270" s="1867"/>
      <c r="DG270" s="1867"/>
      <c r="DH270" s="1867"/>
      <c r="DI270" s="1867"/>
      <c r="DJ270" s="1585"/>
      <c r="DK270" s="1585"/>
      <c r="DL270" s="1585"/>
      <c r="DM270" s="1585"/>
      <c r="DN270" s="1585"/>
      <c r="DO270" s="1585"/>
      <c r="DP270" s="1585"/>
      <c r="DQ270" s="1585"/>
      <c r="DR270" s="1585"/>
      <c r="DS270" s="1585"/>
      <c r="DT270" s="1867"/>
      <c r="DU270" s="1867"/>
      <c r="DV270" s="1867"/>
      <c r="DW270" s="1867"/>
      <c r="DX270" s="1867"/>
      <c r="DY270" s="1867"/>
      <c r="DZ270" s="1585"/>
      <c r="EA270" s="1585"/>
      <c r="EB270" s="1585"/>
      <c r="EC270" s="1585"/>
      <c r="ED270" s="1585"/>
      <c r="EE270" s="1585"/>
      <c r="EF270" s="1585"/>
      <c r="EG270" s="1585"/>
      <c r="EH270" s="1585"/>
      <c r="EI270" s="1585"/>
      <c r="EJ270" s="1593"/>
      <c r="EK270" s="1593"/>
      <c r="EL270" s="1593"/>
      <c r="EM270" s="1593"/>
      <c r="EN270" s="1593"/>
      <c r="EO270" s="1593"/>
      <c r="EP270" s="1593"/>
      <c r="EQ270" s="1593"/>
      <c r="ER270" s="1593"/>
      <c r="ES270" s="1593"/>
      <c r="ET270" s="1593"/>
      <c r="EU270" s="1593"/>
      <c r="EV270" s="1593"/>
      <c r="EW270" s="1593"/>
      <c r="EX270" s="1593"/>
      <c r="EY270" s="1593"/>
      <c r="EZ270" s="1593"/>
      <c r="FA270" s="1593"/>
      <c r="FB270" s="1593"/>
      <c r="FC270" s="1593"/>
      <c r="FD270" s="1593"/>
      <c r="FE270" s="1593"/>
      <c r="FF270" s="1593"/>
      <c r="FG270" s="1593"/>
      <c r="FH270" s="1593"/>
      <c r="FI270" s="1593"/>
      <c r="FJ270" s="1593"/>
      <c r="FK270" s="1593"/>
      <c r="FL270" s="1593"/>
      <c r="FM270" s="1593"/>
      <c r="FN270" s="1593"/>
      <c r="FO270" s="1593"/>
      <c r="FP270" s="1593"/>
      <c r="FQ270" s="1593"/>
      <c r="FR270" s="1593"/>
      <c r="FS270" s="1593"/>
      <c r="FT270" s="1593"/>
      <c r="FU270" s="1593"/>
      <c r="FV270" s="1593"/>
      <c r="FW270" s="1593"/>
      <c r="FX270" s="1593"/>
      <c r="FY270" s="1593"/>
      <c r="FZ270" s="1593"/>
      <c r="GA270" s="1593"/>
      <c r="GB270" s="1593"/>
      <c r="GC270" s="1593"/>
      <c r="GD270" s="1593"/>
      <c r="GE270" s="1593"/>
      <c r="GF270" s="1585"/>
      <c r="GG270" s="1585"/>
      <c r="GH270" s="1585"/>
      <c r="GI270" s="1585"/>
      <c r="GJ270" s="1585"/>
      <c r="GK270" s="1588"/>
      <c r="GL270" s="1588"/>
      <c r="GM270" s="1588"/>
      <c r="GN270" s="1588"/>
      <c r="GO270" s="1709"/>
      <c r="GP270" s="1867"/>
      <c r="GQ270" s="1867"/>
      <c r="GR270" s="1867"/>
      <c r="GS270" s="1867"/>
      <c r="GT270" s="1867"/>
      <c r="GU270" s="1867"/>
      <c r="GV270" s="1867"/>
      <c r="GW270" s="1867"/>
      <c r="GX270" s="1867"/>
      <c r="GY270" s="1867"/>
      <c r="GZ270" s="1867"/>
      <c r="HA270" s="1867"/>
      <c r="HB270" s="1867"/>
      <c r="HC270" s="1867"/>
      <c r="HD270" s="1867"/>
      <c r="HE270" s="1867"/>
      <c r="HF270" s="1867"/>
      <c r="HG270" s="1867"/>
      <c r="HH270" s="1867"/>
      <c r="HI270" s="1867"/>
      <c r="HJ270" s="1867"/>
      <c r="HK270" s="1867"/>
      <c r="HL270" s="1867"/>
      <c r="HM270" s="1867"/>
      <c r="HN270" s="1867"/>
      <c r="HO270" s="1867"/>
      <c r="HP270" s="1867"/>
      <c r="HQ270" s="1867"/>
      <c r="HR270" s="1867"/>
      <c r="HS270" s="1867"/>
      <c r="HT270" s="1710"/>
      <c r="HU270" s="1710"/>
      <c r="HV270" s="1710"/>
      <c r="HW270" s="1710"/>
      <c r="HX270" s="1710"/>
      <c r="HY270" s="1710"/>
      <c r="HZ270" s="1710"/>
      <c r="IA270" s="1710"/>
      <c r="IB270" s="1710" t="s">
        <v>588</v>
      </c>
      <c r="IC270" s="1710" t="s">
        <v>588</v>
      </c>
      <c r="ID270" s="1710" t="s">
        <v>588</v>
      </c>
      <c r="IE270" s="1710" t="s">
        <v>588</v>
      </c>
      <c r="IF270" s="1710" t="s">
        <v>588</v>
      </c>
      <c r="IG270" s="1710" t="s">
        <v>588</v>
      </c>
      <c r="IH270" s="1635" t="s">
        <v>588</v>
      </c>
      <c r="II270" s="1635" t="s">
        <v>588</v>
      </c>
      <c r="IJ270" s="1635" t="s">
        <v>588</v>
      </c>
      <c r="IK270" s="1635" t="s">
        <v>588</v>
      </c>
      <c r="IL270" s="1635" t="s">
        <v>588</v>
      </c>
      <c r="IM270" s="1635" t="s">
        <v>588</v>
      </c>
      <c r="IN270" s="1710"/>
      <c r="IO270" s="1710"/>
      <c r="IP270" s="1710"/>
      <c r="IQ270" s="1710"/>
      <c r="IR270" s="1710"/>
      <c r="IS270" s="1710"/>
      <c r="IT270" s="1635"/>
      <c r="IU270" s="1635"/>
      <c r="IV270" s="1635"/>
      <c r="IW270" s="1635"/>
      <c r="IX270" s="1635"/>
      <c r="IY270" s="1635"/>
      <c r="IZ270" s="1585"/>
      <c r="JA270" s="1585"/>
      <c r="JB270" s="1585"/>
      <c r="JC270" s="1585"/>
      <c r="JD270" s="1585"/>
      <c r="JE270" s="1585"/>
      <c r="JF270" s="1585"/>
      <c r="JG270" s="1585"/>
      <c r="JH270" s="1585"/>
      <c r="JI270" s="1585"/>
      <c r="JJ270" s="1585"/>
      <c r="JK270" s="1585"/>
      <c r="JL270" s="1585"/>
      <c r="JM270" s="1585"/>
      <c r="JN270" s="1585"/>
      <c r="JO270" s="1585"/>
    </row>
    <row r="271" spans="1:275" s="1711" customFormat="1" ht="16.5" customHeight="1" x14ac:dyDescent="0.25">
      <c r="A271" s="1591"/>
      <c r="B271" s="1708"/>
      <c r="C271" s="2799" t="s">
        <v>929</v>
      </c>
      <c r="D271" s="2799"/>
      <c r="E271" s="2799"/>
      <c r="F271" s="2799"/>
      <c r="G271" s="2799"/>
      <c r="H271" s="2799"/>
      <c r="I271" s="2799"/>
      <c r="J271" s="2799"/>
      <c r="K271" s="2799"/>
      <c r="L271" s="2799"/>
      <c r="M271" s="2799"/>
      <c r="N271" s="2799"/>
      <c r="Q271" s="1712"/>
      <c r="R271" s="1712"/>
      <c r="AB271" s="1867"/>
      <c r="AC271" s="1867"/>
      <c r="AD271" s="1867"/>
      <c r="AE271" s="1867"/>
      <c r="AF271" s="1867"/>
      <c r="AG271" s="1867"/>
      <c r="AH271" s="1867"/>
      <c r="AI271" s="1867"/>
      <c r="AJ271" s="1867"/>
      <c r="AK271" s="1867"/>
      <c r="AL271" s="1867"/>
      <c r="AM271" s="1867"/>
      <c r="AN271" s="1867"/>
      <c r="AO271" s="1867"/>
      <c r="AP271" s="1867"/>
      <c r="AQ271" s="1867"/>
      <c r="AR271" s="1867"/>
      <c r="AS271" s="1867"/>
      <c r="AT271" s="1867"/>
      <c r="AU271" s="1867"/>
      <c r="AV271" s="1867"/>
      <c r="AW271" s="1867"/>
      <c r="AX271" s="1867"/>
      <c r="AY271" s="1867"/>
      <c r="AZ271" s="1867"/>
      <c r="BA271" s="1867"/>
      <c r="BB271" s="1867"/>
      <c r="BC271" s="1867"/>
      <c r="BD271" s="1867"/>
      <c r="BE271" s="1867"/>
      <c r="BF271" s="1867"/>
      <c r="BG271" s="1867"/>
      <c r="BH271" s="1867"/>
      <c r="BI271" s="1867"/>
      <c r="BJ271" s="1867"/>
      <c r="BK271" s="1867"/>
      <c r="BL271" s="1867"/>
      <c r="BM271" s="1867"/>
      <c r="BN271" s="1867"/>
      <c r="BO271" s="1867"/>
      <c r="BP271" s="1867"/>
      <c r="BQ271" s="1867"/>
      <c r="BR271" s="1867"/>
      <c r="BS271" s="1867"/>
      <c r="BT271" s="1867"/>
      <c r="BU271" s="1867"/>
      <c r="BV271" s="1867"/>
      <c r="BW271" s="1867"/>
      <c r="BX271" s="1867"/>
      <c r="BY271" s="1867"/>
      <c r="BZ271" s="1867"/>
      <c r="CA271" s="1867"/>
      <c r="CB271" s="1867"/>
      <c r="CC271" s="1867"/>
      <c r="CD271" s="1867"/>
      <c r="CE271" s="1867"/>
      <c r="CF271" s="1867"/>
      <c r="CG271" s="1867"/>
      <c r="CH271" s="1867"/>
      <c r="CI271" s="1867"/>
      <c r="CJ271" s="1867"/>
      <c r="CK271" s="1867"/>
      <c r="CL271" s="1867"/>
      <c r="CM271" s="1867"/>
      <c r="CN271" s="1867"/>
      <c r="CO271" s="1867"/>
      <c r="CP271" s="1867"/>
      <c r="CQ271" s="1867"/>
      <c r="CR271" s="1867"/>
      <c r="CS271" s="1867"/>
      <c r="CT271" s="1867"/>
      <c r="CU271" s="1867"/>
      <c r="CV271" s="1867"/>
      <c r="CW271" s="1867"/>
      <c r="CX271" s="1867"/>
      <c r="CY271" s="1867"/>
      <c r="CZ271" s="1867"/>
      <c r="DA271" s="1867"/>
      <c r="DB271" s="1867"/>
      <c r="DC271" s="1867"/>
      <c r="DD271" s="1867"/>
      <c r="DE271" s="1867"/>
      <c r="DF271" s="1867"/>
      <c r="DG271" s="1867"/>
      <c r="DH271" s="1867"/>
      <c r="DI271" s="1867"/>
      <c r="DJ271" s="1867"/>
      <c r="DK271" s="1867"/>
      <c r="DL271" s="1867"/>
      <c r="DM271" s="1867"/>
      <c r="DN271" s="1867"/>
      <c r="DO271" s="1867"/>
      <c r="DP271" s="1867"/>
      <c r="DQ271" s="1867"/>
      <c r="DR271" s="1867"/>
      <c r="DS271" s="1867"/>
      <c r="DT271" s="1867"/>
      <c r="DU271" s="1867"/>
      <c r="DV271" s="1867"/>
      <c r="DW271" s="1867"/>
      <c r="DX271" s="1867"/>
      <c r="DY271" s="1867"/>
      <c r="DZ271" s="1867"/>
      <c r="EA271" s="1867"/>
      <c r="EB271" s="1867"/>
      <c r="EC271" s="1867"/>
      <c r="ED271" s="1867"/>
      <c r="EE271" s="1867"/>
      <c r="EF271" s="1867"/>
      <c r="EG271" s="1867"/>
      <c r="EH271" s="1867"/>
      <c r="EI271" s="1867"/>
      <c r="EJ271" s="1855"/>
      <c r="EK271" s="1855"/>
      <c r="EL271" s="1855"/>
      <c r="EM271" s="1855"/>
      <c r="EN271" s="1855"/>
      <c r="EO271" s="1855"/>
      <c r="EP271" s="1855"/>
      <c r="EQ271" s="1855"/>
      <c r="ER271" s="1855"/>
      <c r="ES271" s="1855"/>
      <c r="ET271" s="1855"/>
      <c r="EU271" s="1855"/>
      <c r="EV271" s="1855"/>
      <c r="EW271" s="1855"/>
      <c r="EX271" s="1855"/>
      <c r="EY271" s="1855"/>
      <c r="EZ271" s="1855"/>
      <c r="FA271" s="1855"/>
      <c r="FB271" s="1855"/>
      <c r="FC271" s="1855"/>
      <c r="FD271" s="1855"/>
      <c r="FE271" s="1855"/>
      <c r="FF271" s="1855"/>
      <c r="FG271" s="1855"/>
      <c r="FH271" s="1855"/>
      <c r="FI271" s="1855"/>
      <c r="FJ271" s="1855"/>
      <c r="FK271" s="1855"/>
      <c r="FL271" s="1855"/>
      <c r="FM271" s="1855"/>
      <c r="FN271" s="1855"/>
      <c r="FO271" s="1855"/>
      <c r="FP271" s="1855"/>
      <c r="FQ271" s="1855"/>
      <c r="FR271" s="1855"/>
      <c r="FS271" s="1855"/>
      <c r="FT271" s="1855"/>
      <c r="FU271" s="1855"/>
      <c r="FV271" s="1855"/>
      <c r="FW271" s="1855"/>
      <c r="FX271" s="1855"/>
      <c r="FY271" s="1855"/>
      <c r="FZ271" s="1855"/>
      <c r="GA271" s="1855"/>
      <c r="GB271" s="1855"/>
      <c r="GC271" s="1855"/>
      <c r="GD271" s="1855"/>
      <c r="GE271" s="1855"/>
      <c r="GF271" s="1867"/>
      <c r="GG271" s="1867"/>
      <c r="GH271" s="1867"/>
      <c r="GI271" s="1867"/>
      <c r="GJ271" s="1867"/>
      <c r="GK271" s="1710"/>
      <c r="GL271" s="1710"/>
      <c r="GM271" s="1710"/>
      <c r="GN271" s="1710"/>
      <c r="GO271" s="1709"/>
      <c r="GP271" s="1867"/>
      <c r="GQ271" s="1867"/>
      <c r="GR271" s="1867"/>
      <c r="GS271" s="1867"/>
      <c r="GT271" s="1867"/>
      <c r="GU271" s="1867"/>
      <c r="GV271" s="1867"/>
      <c r="GW271" s="1867"/>
      <c r="GX271" s="1867"/>
      <c r="GY271" s="1867"/>
      <c r="GZ271" s="1867"/>
      <c r="HA271" s="1867"/>
      <c r="HB271" s="1867"/>
      <c r="HC271" s="1867"/>
      <c r="HD271" s="1867"/>
      <c r="HE271" s="1867"/>
      <c r="HF271" s="1867"/>
      <c r="HG271" s="1867"/>
      <c r="HH271" s="1867"/>
      <c r="HI271" s="1867"/>
      <c r="HJ271" s="1867"/>
      <c r="HK271" s="1867"/>
      <c r="HL271" s="1867"/>
      <c r="HM271" s="1867"/>
      <c r="HN271" s="1867"/>
      <c r="HO271" s="1867"/>
      <c r="HP271" s="1867"/>
      <c r="HQ271" s="1867"/>
      <c r="HR271" s="1867"/>
      <c r="HS271" s="1867"/>
      <c r="HT271" s="1710"/>
      <c r="HU271" s="1710"/>
      <c r="HV271" s="1710"/>
      <c r="HW271" s="1710"/>
      <c r="HX271" s="1710"/>
      <c r="HY271" s="1710"/>
      <c r="HZ271" s="1710"/>
      <c r="IA271" s="1710"/>
      <c r="IB271" s="1710"/>
      <c r="IC271" s="1710"/>
      <c r="ID271" s="1710"/>
      <c r="IE271" s="1710"/>
      <c r="IF271" s="1710"/>
      <c r="IG271" s="1710"/>
      <c r="IH271" s="1635"/>
      <c r="II271" s="1635"/>
      <c r="IJ271" s="1635"/>
      <c r="IK271" s="1635"/>
      <c r="IL271" s="1635"/>
      <c r="IM271" s="1635"/>
      <c r="IN271" s="1710"/>
      <c r="IO271" s="1710"/>
      <c r="IP271" s="1710"/>
      <c r="IQ271" s="1710"/>
      <c r="IR271" s="1710"/>
      <c r="IS271" s="1710"/>
      <c r="IT271" s="1635"/>
      <c r="IU271" s="1635"/>
      <c r="IV271" s="1635"/>
      <c r="IW271" s="1635"/>
      <c r="IX271" s="1635"/>
      <c r="IY271" s="1635"/>
      <c r="IZ271" s="1867"/>
      <c r="JA271" s="1867"/>
      <c r="JB271" s="1867"/>
      <c r="JC271" s="1867"/>
      <c r="JD271" s="1867"/>
      <c r="JE271" s="1867"/>
      <c r="JF271" s="1867"/>
      <c r="JG271" s="1867"/>
      <c r="JH271" s="1867"/>
      <c r="JI271" s="1867"/>
      <c r="JJ271" s="1867"/>
      <c r="JK271" s="1867"/>
      <c r="JL271" s="1867"/>
      <c r="JM271" s="1867"/>
      <c r="JN271" s="1867"/>
      <c r="JO271" s="1867"/>
    </row>
    <row r="272" spans="1:275" s="1601" customFormat="1" ht="15" x14ac:dyDescent="0.25">
      <c r="A272" s="1584"/>
      <c r="B272" s="1708" t="s">
        <v>930</v>
      </c>
      <c r="C272" s="2797"/>
      <c r="D272" s="2797"/>
      <c r="E272" s="2797"/>
      <c r="F272" s="2797"/>
      <c r="G272" s="2797"/>
      <c r="H272" s="2797"/>
      <c r="I272" s="2798"/>
      <c r="J272" s="2798"/>
      <c r="K272" s="2798"/>
      <c r="L272" s="2798"/>
      <c r="M272" s="2798"/>
      <c r="N272" s="2798"/>
      <c r="O272" s="1484"/>
      <c r="P272" s="1484"/>
      <c r="Q272" s="1589"/>
      <c r="R272" s="1589"/>
      <c r="S272" s="1484"/>
      <c r="T272" s="1484"/>
      <c r="U272" s="1484"/>
      <c r="V272" s="1484"/>
      <c r="W272" s="1484"/>
      <c r="X272" s="1484"/>
      <c r="Y272" s="1484"/>
      <c r="Z272" s="1484"/>
      <c r="AA272" s="1484"/>
      <c r="AB272" s="1867"/>
      <c r="AC272" s="1867"/>
      <c r="AD272" s="1867"/>
      <c r="AE272" s="1867"/>
      <c r="AF272" s="1867"/>
      <c r="AG272" s="1867"/>
      <c r="AH272" s="1585"/>
      <c r="AI272" s="1585"/>
      <c r="AJ272" s="1585"/>
      <c r="AK272" s="1585"/>
      <c r="AL272" s="1585"/>
      <c r="AM272" s="1585"/>
      <c r="AN272" s="1585"/>
      <c r="AO272" s="1585"/>
      <c r="AP272" s="1585"/>
      <c r="AQ272" s="1585"/>
      <c r="AR272" s="1867"/>
      <c r="AS272" s="1867"/>
      <c r="AT272" s="1867"/>
      <c r="AU272" s="1867"/>
      <c r="AV272" s="1867"/>
      <c r="AW272" s="1867"/>
      <c r="AX272" s="1585"/>
      <c r="AY272" s="1585"/>
      <c r="AZ272" s="1585"/>
      <c r="BA272" s="1585"/>
      <c r="BB272" s="1585"/>
      <c r="BC272" s="1585"/>
      <c r="BD272" s="1585"/>
      <c r="BE272" s="1585"/>
      <c r="BF272" s="1585"/>
      <c r="BG272" s="1585"/>
      <c r="BH272" s="1867"/>
      <c r="BI272" s="1867"/>
      <c r="BJ272" s="1867"/>
      <c r="BK272" s="1867"/>
      <c r="BL272" s="1867"/>
      <c r="BM272" s="1867"/>
      <c r="BN272" s="1585"/>
      <c r="BO272" s="1585"/>
      <c r="BP272" s="1585"/>
      <c r="BQ272" s="1585"/>
      <c r="BR272" s="1585"/>
      <c r="BS272" s="1585"/>
      <c r="BT272" s="1585"/>
      <c r="BU272" s="1585"/>
      <c r="BV272" s="1585"/>
      <c r="BW272" s="1585"/>
      <c r="BX272" s="1867"/>
      <c r="BY272" s="1867"/>
      <c r="BZ272" s="1867"/>
      <c r="CA272" s="1867"/>
      <c r="CB272" s="1867"/>
      <c r="CC272" s="1867"/>
      <c r="CD272" s="1585"/>
      <c r="CE272" s="1585"/>
      <c r="CF272" s="1585"/>
      <c r="CG272" s="1585"/>
      <c r="CH272" s="1585"/>
      <c r="CI272" s="1585"/>
      <c r="CJ272" s="1585"/>
      <c r="CK272" s="1585"/>
      <c r="CL272" s="1585"/>
      <c r="CM272" s="1585"/>
      <c r="CN272" s="1867"/>
      <c r="CO272" s="1867"/>
      <c r="CP272" s="1867"/>
      <c r="CQ272" s="1867"/>
      <c r="CR272" s="1867"/>
      <c r="CS272" s="1867"/>
      <c r="CT272" s="1585"/>
      <c r="CU272" s="1585"/>
      <c r="CV272" s="1585"/>
      <c r="CW272" s="1585"/>
      <c r="CX272" s="1585"/>
      <c r="CY272" s="1585"/>
      <c r="CZ272" s="1585"/>
      <c r="DA272" s="1585"/>
      <c r="DB272" s="1585"/>
      <c r="DC272" s="1585"/>
      <c r="DD272" s="1867"/>
      <c r="DE272" s="1867"/>
      <c r="DF272" s="1867"/>
      <c r="DG272" s="1867"/>
      <c r="DH272" s="1867"/>
      <c r="DI272" s="1867"/>
      <c r="DJ272" s="1585"/>
      <c r="DK272" s="1585"/>
      <c r="DL272" s="1585"/>
      <c r="DM272" s="1585"/>
      <c r="DN272" s="1585"/>
      <c r="DO272" s="1585"/>
      <c r="DP272" s="1585"/>
      <c r="DQ272" s="1585"/>
      <c r="DR272" s="1585"/>
      <c r="DS272" s="1585"/>
      <c r="DT272" s="1867"/>
      <c r="DU272" s="1867"/>
      <c r="DV272" s="1867"/>
      <c r="DW272" s="1867"/>
      <c r="DX272" s="1867"/>
      <c r="DY272" s="1867"/>
      <c r="DZ272" s="1585"/>
      <c r="EA272" s="1585"/>
      <c r="EB272" s="1585"/>
      <c r="EC272" s="1585"/>
      <c r="ED272" s="1585"/>
      <c r="EE272" s="1585"/>
      <c r="EF272" s="1585"/>
      <c r="EG272" s="1585"/>
      <c r="EH272" s="1585"/>
      <c r="EI272" s="1585"/>
      <c r="EJ272" s="1593"/>
      <c r="EK272" s="1593"/>
      <c r="EL272" s="1593"/>
      <c r="EM272" s="1593"/>
      <c r="EN272" s="1593"/>
      <c r="EO272" s="1593"/>
      <c r="EP272" s="1593"/>
      <c r="EQ272" s="1593"/>
      <c r="ER272" s="1593"/>
      <c r="ES272" s="1593"/>
      <c r="ET272" s="1593"/>
      <c r="EU272" s="1593"/>
      <c r="EV272" s="1593"/>
      <c r="EW272" s="1593"/>
      <c r="EX272" s="1593"/>
      <c r="EY272" s="1593"/>
      <c r="EZ272" s="1593"/>
      <c r="FA272" s="1593"/>
      <c r="FB272" s="1593"/>
      <c r="FC272" s="1593"/>
      <c r="FD272" s="1593"/>
      <c r="FE272" s="1593"/>
      <c r="FF272" s="1593"/>
      <c r="FG272" s="1593"/>
      <c r="FH272" s="1593"/>
      <c r="FI272" s="1593"/>
      <c r="FJ272" s="1593"/>
      <c r="FK272" s="1593"/>
      <c r="FL272" s="1593"/>
      <c r="FM272" s="1593"/>
      <c r="FN272" s="1593"/>
      <c r="FO272" s="1593"/>
      <c r="FP272" s="1593"/>
      <c r="FQ272" s="1593"/>
      <c r="FR272" s="1593"/>
      <c r="FS272" s="1593"/>
      <c r="FT272" s="1593"/>
      <c r="FU272" s="1593"/>
      <c r="FV272" s="1593"/>
      <c r="FW272" s="1593"/>
      <c r="FX272" s="1593"/>
      <c r="FY272" s="1593"/>
      <c r="FZ272" s="1593"/>
      <c r="GA272" s="1593"/>
      <c r="GB272" s="1593"/>
      <c r="GC272" s="1593"/>
      <c r="GD272" s="1593"/>
      <c r="GE272" s="1593"/>
      <c r="GF272" s="1585"/>
      <c r="GG272" s="1585"/>
      <c r="GH272" s="1585"/>
      <c r="GI272" s="1585"/>
      <c r="GJ272" s="1585"/>
      <c r="GK272" s="1588"/>
      <c r="GL272" s="1588"/>
      <c r="GM272" s="1588"/>
      <c r="GN272" s="1588"/>
      <c r="GO272" s="1709"/>
      <c r="GP272" s="1867"/>
      <c r="GQ272" s="1867"/>
      <c r="GR272" s="1867"/>
      <c r="GS272" s="1867"/>
      <c r="GT272" s="1867"/>
      <c r="GU272" s="1867"/>
      <c r="GV272" s="1867"/>
      <c r="GW272" s="1867"/>
      <c r="GX272" s="1867"/>
      <c r="GY272" s="1867"/>
      <c r="GZ272" s="1867"/>
      <c r="HA272" s="1867"/>
      <c r="HB272" s="1867"/>
      <c r="HC272" s="1867"/>
      <c r="HD272" s="1867"/>
      <c r="HE272" s="1867"/>
      <c r="HF272" s="1867"/>
      <c r="HG272" s="1867"/>
      <c r="HH272" s="1867"/>
      <c r="HI272" s="1867"/>
      <c r="HJ272" s="1867"/>
      <c r="HK272" s="1867"/>
      <c r="HL272" s="1867"/>
      <c r="HM272" s="1867"/>
      <c r="HN272" s="1867"/>
      <c r="HO272" s="1867"/>
      <c r="HP272" s="1867"/>
      <c r="HQ272" s="1867"/>
      <c r="HR272" s="1867"/>
      <c r="HS272" s="1867"/>
      <c r="HT272" s="1710"/>
      <c r="HU272" s="1710"/>
      <c r="HV272" s="1710"/>
      <c r="HW272" s="1710"/>
      <c r="HX272" s="1710"/>
      <c r="HY272" s="1710"/>
      <c r="HZ272" s="1710"/>
      <c r="IA272" s="1710"/>
      <c r="IB272" s="1710"/>
      <c r="IC272" s="1710"/>
      <c r="ID272" s="1710"/>
      <c r="IE272" s="1710"/>
      <c r="IF272" s="1710"/>
      <c r="IG272" s="1710"/>
      <c r="IH272" s="1635"/>
      <c r="II272" s="1635"/>
      <c r="IJ272" s="1635"/>
      <c r="IK272" s="1635"/>
      <c r="IL272" s="1635"/>
      <c r="IM272" s="1635"/>
      <c r="IN272" s="1710" t="s">
        <v>588</v>
      </c>
      <c r="IO272" s="1710" t="s">
        <v>588</v>
      </c>
      <c r="IP272" s="1710" t="s">
        <v>588</v>
      </c>
      <c r="IQ272" s="1710" t="s">
        <v>588</v>
      </c>
      <c r="IR272" s="1710" t="s">
        <v>588</v>
      </c>
      <c r="IS272" s="1710" t="s">
        <v>588</v>
      </c>
      <c r="IT272" s="1635" t="s">
        <v>588</v>
      </c>
      <c r="IU272" s="1635" t="s">
        <v>588</v>
      </c>
      <c r="IV272" s="1635" t="s">
        <v>588</v>
      </c>
      <c r="IW272" s="1635" t="s">
        <v>588</v>
      </c>
      <c r="IX272" s="1635" t="s">
        <v>588</v>
      </c>
      <c r="IY272" s="1635" t="s">
        <v>588</v>
      </c>
      <c r="IZ272" s="1585"/>
      <c r="JA272" s="1585"/>
      <c r="JB272" s="1585"/>
      <c r="JC272" s="1585"/>
      <c r="JD272" s="1585"/>
      <c r="JE272" s="1585"/>
      <c r="JF272" s="1585"/>
      <c r="JG272" s="1585"/>
      <c r="JH272" s="1585"/>
      <c r="JI272" s="1585"/>
      <c r="JJ272" s="1585"/>
      <c r="JK272" s="1585"/>
      <c r="JL272" s="1585"/>
      <c r="JM272" s="1585"/>
      <c r="JN272" s="1585"/>
      <c r="JO272" s="1585"/>
    </row>
    <row r="273" spans="1:275" s="1711" customFormat="1" ht="16.5" customHeight="1" x14ac:dyDescent="0.25">
      <c r="A273" s="1591"/>
      <c r="C273" s="2799" t="s">
        <v>929</v>
      </c>
      <c r="D273" s="2799"/>
      <c r="E273" s="2799"/>
      <c r="F273" s="2799"/>
      <c r="G273" s="2799"/>
      <c r="H273" s="2799"/>
      <c r="I273" s="2799"/>
      <c r="J273" s="2799"/>
      <c r="K273" s="2799"/>
      <c r="L273" s="2799"/>
      <c r="M273" s="2799"/>
      <c r="N273" s="2799"/>
      <c r="Q273" s="1712"/>
      <c r="R273" s="1712"/>
      <c r="AB273" s="1867"/>
      <c r="AC273" s="1867"/>
      <c r="AD273" s="1867"/>
      <c r="AE273" s="1867"/>
      <c r="AF273" s="1867"/>
      <c r="AG273" s="1867"/>
      <c r="AH273" s="1867"/>
      <c r="AI273" s="1867"/>
      <c r="AJ273" s="1867"/>
      <c r="AK273" s="1867"/>
      <c r="AL273" s="1867"/>
      <c r="AM273" s="1867"/>
      <c r="AN273" s="1867"/>
      <c r="AO273" s="1867"/>
      <c r="AP273" s="1867"/>
      <c r="AQ273" s="1867"/>
      <c r="AR273" s="1867"/>
      <c r="AS273" s="1867"/>
      <c r="AT273" s="1867"/>
      <c r="AU273" s="1867"/>
      <c r="AV273" s="1867"/>
      <c r="AW273" s="1867"/>
      <c r="AX273" s="1867"/>
      <c r="AY273" s="1867"/>
      <c r="AZ273" s="1867"/>
      <c r="BA273" s="1867"/>
      <c r="BB273" s="1867"/>
      <c r="BC273" s="1867"/>
      <c r="BD273" s="1867"/>
      <c r="BE273" s="1867"/>
      <c r="BF273" s="1867"/>
      <c r="BG273" s="1867"/>
      <c r="BH273" s="1867"/>
      <c r="BI273" s="1867"/>
      <c r="BJ273" s="1867"/>
      <c r="BK273" s="1867"/>
      <c r="BL273" s="1867"/>
      <c r="BM273" s="1867"/>
      <c r="BN273" s="1867"/>
      <c r="BO273" s="1867"/>
      <c r="BP273" s="1867"/>
      <c r="BQ273" s="1867"/>
      <c r="BR273" s="1867"/>
      <c r="BS273" s="1867"/>
      <c r="BT273" s="1867"/>
      <c r="BU273" s="1867"/>
      <c r="BV273" s="1867"/>
      <c r="BW273" s="1867"/>
      <c r="BX273" s="1867"/>
      <c r="BY273" s="1867"/>
      <c r="BZ273" s="1867"/>
      <c r="CA273" s="1867"/>
      <c r="CB273" s="1867"/>
      <c r="CC273" s="1867"/>
      <c r="CD273" s="1867"/>
      <c r="CE273" s="1867"/>
      <c r="CF273" s="1867"/>
      <c r="CG273" s="1867"/>
      <c r="CH273" s="1867"/>
      <c r="CI273" s="1867"/>
      <c r="CJ273" s="1867"/>
      <c r="CK273" s="1867"/>
      <c r="CL273" s="1867"/>
      <c r="CM273" s="1867"/>
      <c r="CN273" s="1867"/>
      <c r="CO273" s="1867"/>
      <c r="CP273" s="1867"/>
      <c r="CQ273" s="1867"/>
      <c r="CR273" s="1867"/>
      <c r="CS273" s="1867"/>
      <c r="CT273" s="1867"/>
      <c r="CU273" s="1867"/>
      <c r="CV273" s="1867"/>
      <c r="CW273" s="1867"/>
      <c r="CX273" s="1867"/>
      <c r="CY273" s="1867"/>
      <c r="CZ273" s="1867"/>
      <c r="DA273" s="1867"/>
      <c r="DB273" s="1867"/>
      <c r="DC273" s="1867"/>
      <c r="DD273" s="1867"/>
      <c r="DE273" s="1867"/>
      <c r="DF273" s="1867"/>
      <c r="DG273" s="1867"/>
      <c r="DH273" s="1867"/>
      <c r="DI273" s="1867"/>
      <c r="DJ273" s="1867"/>
      <c r="DK273" s="1867"/>
      <c r="DL273" s="1867"/>
      <c r="DM273" s="1867"/>
      <c r="DN273" s="1867"/>
      <c r="DO273" s="1867"/>
      <c r="DP273" s="1867"/>
      <c r="DQ273" s="1867"/>
      <c r="DR273" s="1867"/>
      <c r="DS273" s="1867"/>
      <c r="DT273" s="1867"/>
      <c r="DU273" s="1867"/>
      <c r="DV273" s="1867"/>
      <c r="DW273" s="1867"/>
      <c r="DX273" s="1867"/>
      <c r="DY273" s="1867"/>
      <c r="DZ273" s="1867"/>
      <c r="EA273" s="1867"/>
      <c r="EB273" s="1867"/>
      <c r="EC273" s="1867"/>
      <c r="ED273" s="1867"/>
      <c r="EE273" s="1867"/>
      <c r="EF273" s="1867"/>
      <c r="EG273" s="1867"/>
      <c r="EH273" s="1867"/>
      <c r="EI273" s="1867"/>
      <c r="EJ273" s="1855"/>
      <c r="EK273" s="1855"/>
      <c r="EL273" s="1855"/>
      <c r="EM273" s="1855"/>
      <c r="EN273" s="1855"/>
      <c r="EO273" s="1855"/>
      <c r="EP273" s="1855"/>
      <c r="EQ273" s="1855"/>
      <c r="ER273" s="1855"/>
      <c r="ES273" s="1855"/>
      <c r="ET273" s="1855"/>
      <c r="EU273" s="1855"/>
      <c r="EV273" s="1855"/>
      <c r="EW273" s="1855"/>
      <c r="EX273" s="1855"/>
      <c r="EY273" s="1855"/>
      <c r="EZ273" s="1855"/>
      <c r="FA273" s="1855"/>
      <c r="FB273" s="1855"/>
      <c r="FC273" s="1855"/>
      <c r="FD273" s="1855"/>
      <c r="FE273" s="1855"/>
      <c r="FF273" s="1855"/>
      <c r="FG273" s="1855"/>
      <c r="FH273" s="1855"/>
      <c r="FI273" s="1855"/>
      <c r="FJ273" s="1855"/>
      <c r="FK273" s="1855"/>
      <c r="FL273" s="1855"/>
      <c r="FM273" s="1855"/>
      <c r="FN273" s="1855"/>
      <c r="FO273" s="1855"/>
      <c r="FP273" s="1855"/>
      <c r="FQ273" s="1855"/>
      <c r="FR273" s="1855"/>
      <c r="FS273" s="1855"/>
      <c r="FT273" s="1855"/>
      <c r="FU273" s="1855"/>
      <c r="FV273" s="1855"/>
      <c r="FW273" s="1855"/>
      <c r="FX273" s="1855"/>
      <c r="FY273" s="1855"/>
      <c r="FZ273" s="1855"/>
      <c r="GA273" s="1855"/>
      <c r="GB273" s="1855"/>
      <c r="GC273" s="1855"/>
      <c r="GD273" s="1855"/>
      <c r="GE273" s="1855"/>
      <c r="GF273" s="1867"/>
      <c r="GG273" s="1867"/>
      <c r="GH273" s="1867"/>
      <c r="GI273" s="1867"/>
      <c r="GJ273" s="1867"/>
      <c r="GK273" s="1710"/>
      <c r="GL273" s="1710"/>
      <c r="GM273" s="1710"/>
      <c r="GN273" s="1710"/>
      <c r="GO273" s="1709"/>
      <c r="GP273" s="1867"/>
      <c r="GQ273" s="1867"/>
      <c r="GR273" s="1867"/>
      <c r="GS273" s="1867"/>
      <c r="GT273" s="1867"/>
      <c r="GU273" s="1867"/>
      <c r="GV273" s="1867"/>
      <c r="GW273" s="1867"/>
      <c r="GX273" s="1867"/>
      <c r="GY273" s="1867"/>
      <c r="GZ273" s="1867"/>
      <c r="HA273" s="1867"/>
      <c r="HB273" s="1867"/>
      <c r="HC273" s="1867"/>
      <c r="HD273" s="1867"/>
      <c r="HE273" s="1867"/>
      <c r="HF273" s="1867"/>
      <c r="HG273" s="1867"/>
      <c r="HH273" s="1867"/>
      <c r="HI273" s="1867"/>
      <c r="HJ273" s="1867"/>
      <c r="HK273" s="1867"/>
      <c r="HL273" s="1867"/>
      <c r="HM273" s="1867"/>
      <c r="HN273" s="1867"/>
      <c r="HO273" s="1867"/>
      <c r="HP273" s="1867"/>
      <c r="HQ273" s="1867"/>
      <c r="HR273" s="1867"/>
      <c r="HS273" s="1867"/>
      <c r="HT273" s="1710"/>
      <c r="HU273" s="1710"/>
      <c r="HV273" s="1710"/>
      <c r="HW273" s="1710"/>
      <c r="HX273" s="1710"/>
      <c r="HY273" s="1710"/>
      <c r="HZ273" s="1710"/>
      <c r="IA273" s="1710"/>
      <c r="IB273" s="1710"/>
      <c r="IC273" s="1710"/>
      <c r="ID273" s="1710"/>
      <c r="IE273" s="1710"/>
      <c r="IF273" s="1710"/>
      <c r="IG273" s="1710"/>
      <c r="IH273" s="1635"/>
      <c r="II273" s="1635"/>
      <c r="IJ273" s="1635"/>
      <c r="IK273" s="1635"/>
      <c r="IL273" s="1635"/>
      <c r="IM273" s="1635"/>
      <c r="IN273" s="1710"/>
      <c r="IO273" s="1710"/>
      <c r="IP273" s="1710"/>
      <c r="IQ273" s="1710"/>
      <c r="IR273" s="1710"/>
      <c r="IS273" s="1710"/>
      <c r="IT273" s="1635"/>
      <c r="IU273" s="1635"/>
      <c r="IV273" s="1635"/>
      <c r="IW273" s="1635"/>
      <c r="IX273" s="1635"/>
      <c r="IY273" s="1635"/>
      <c r="IZ273" s="1867"/>
      <c r="JA273" s="1867"/>
      <c r="JB273" s="1867"/>
      <c r="JC273" s="1867"/>
      <c r="JD273" s="1867"/>
      <c r="JE273" s="1867"/>
      <c r="JF273" s="1867"/>
      <c r="JG273" s="1867"/>
      <c r="JH273" s="1867"/>
      <c r="JI273" s="1867"/>
      <c r="JJ273" s="1867"/>
      <c r="JK273" s="1867"/>
      <c r="JL273" s="1867"/>
      <c r="JM273" s="1867"/>
      <c r="JN273" s="1867"/>
      <c r="JO273" s="1867"/>
    </row>
    <row r="275" spans="1:275" s="1484" customFormat="1" ht="15" x14ac:dyDescent="0.25">
      <c r="A275" s="2800"/>
      <c r="B275" s="2800"/>
      <c r="C275" s="2800"/>
      <c r="D275" s="2800"/>
      <c r="E275" s="2800"/>
      <c r="F275" s="2800"/>
      <c r="G275" s="2800"/>
      <c r="H275" s="2800"/>
      <c r="I275" s="2800"/>
      <c r="J275" s="2800"/>
      <c r="K275" s="2800"/>
      <c r="L275" s="2800"/>
      <c r="M275" s="2800"/>
      <c r="N275" s="2800"/>
      <c r="O275" s="2800"/>
      <c r="P275" s="2800"/>
      <c r="IZ275" s="1714" t="s">
        <v>588</v>
      </c>
      <c r="JA275" s="1714" t="s">
        <v>588</v>
      </c>
      <c r="JB275" s="1714" t="s">
        <v>588</v>
      </c>
      <c r="JC275" s="1714" t="s">
        <v>588</v>
      </c>
      <c r="JD275" s="1714" t="s">
        <v>588</v>
      </c>
      <c r="JE275" s="1714" t="s">
        <v>588</v>
      </c>
      <c r="JF275" s="1714" t="s">
        <v>588</v>
      </c>
      <c r="JG275" s="1714" t="s">
        <v>588</v>
      </c>
      <c r="JH275" s="1714" t="s">
        <v>588</v>
      </c>
      <c r="JI275" s="1714" t="s">
        <v>588</v>
      </c>
      <c r="JJ275" s="1714" t="s">
        <v>588</v>
      </c>
      <c r="JK275" s="1714" t="s">
        <v>588</v>
      </c>
      <c r="JL275" s="1714" t="s">
        <v>588</v>
      </c>
      <c r="JM275" s="1714" t="s">
        <v>588</v>
      </c>
      <c r="JN275" s="1714" t="s">
        <v>588</v>
      </c>
      <c r="JO275" s="1714" t="s">
        <v>588</v>
      </c>
    </row>
    <row r="276" spans="1:275" s="1484" customFormat="1" ht="15" x14ac:dyDescent="0.25">
      <c r="A276" s="1582"/>
    </row>
    <row r="277" spans="1:275" s="1484" customFormat="1" ht="15" x14ac:dyDescent="0.25">
      <c r="A277" s="1582"/>
    </row>
    <row r="278" spans="1:275" s="1484" customFormat="1" ht="15" x14ac:dyDescent="0.25">
      <c r="A278" s="1582"/>
    </row>
    <row r="279" spans="1:275" s="1484" customFormat="1" ht="15" x14ac:dyDescent="0.25">
      <c r="A279" s="1582"/>
    </row>
    <row r="280" spans="1:275" s="1484" customFormat="1" ht="15" x14ac:dyDescent="0.25">
      <c r="A280" s="1582"/>
    </row>
    <row r="281" spans="1:275" s="1484" customFormat="1" ht="15" x14ac:dyDescent="0.25">
      <c r="A281" s="1582"/>
    </row>
    <row r="282" spans="1:275" s="1484" customFormat="1" ht="15" x14ac:dyDescent="0.25">
      <c r="A282" s="1582"/>
    </row>
    <row r="283" spans="1:275" s="1484" customFormat="1" ht="15" x14ac:dyDescent="0.25">
      <c r="A283" s="1582"/>
    </row>
    <row r="284" spans="1:275" s="1484" customFormat="1" ht="15" x14ac:dyDescent="0.25">
      <c r="A284" s="1582"/>
    </row>
    <row r="285" spans="1:275" s="1484" customFormat="1" ht="15" x14ac:dyDescent="0.25">
      <c r="A285" s="1582"/>
    </row>
    <row r="286" spans="1:275" s="1484" customFormat="1" ht="15" x14ac:dyDescent="0.25">
      <c r="A286" s="1582"/>
    </row>
    <row r="287" spans="1:275" s="1484" customFormat="1" ht="15" x14ac:dyDescent="0.25">
      <c r="A287" s="1582"/>
    </row>
    <row r="288" spans="1:275" s="1484" customFormat="1" ht="15" x14ac:dyDescent="0.25">
      <c r="A288" s="1582"/>
    </row>
    <row r="289" spans="1:1" s="1484" customFormat="1" ht="15" x14ac:dyDescent="0.25">
      <c r="A289" s="1582"/>
    </row>
    <row r="290" spans="1:1" s="1484" customFormat="1" ht="15" x14ac:dyDescent="0.25">
      <c r="A290" s="1582"/>
    </row>
    <row r="291" spans="1:1" s="1484" customFormat="1" ht="15" x14ac:dyDescent="0.25">
      <c r="A291" s="1582"/>
    </row>
    <row r="292" spans="1:1" s="1484" customFormat="1" ht="15" x14ac:dyDescent="0.25">
      <c r="A292" s="1582"/>
    </row>
    <row r="293" spans="1:1" s="1484" customFormat="1" ht="15" x14ac:dyDescent="0.25">
      <c r="A293" s="1582"/>
    </row>
    <row r="294" spans="1:1" s="1484" customFormat="1" ht="15" x14ac:dyDescent="0.25">
      <c r="A294" s="1582"/>
    </row>
    <row r="295" spans="1:1" s="1484" customFormat="1" ht="15" x14ac:dyDescent="0.25">
      <c r="A295" s="1582"/>
    </row>
    <row r="296" spans="1:1" s="1484" customFormat="1" ht="15" x14ac:dyDescent="0.25">
      <c r="A296" s="1582"/>
    </row>
    <row r="297" spans="1:1" s="1484" customFormat="1" ht="15" x14ac:dyDescent="0.25">
      <c r="A297" s="1582"/>
    </row>
    <row r="298" spans="1:1" s="1484" customFormat="1" ht="15" x14ac:dyDescent="0.25">
      <c r="A298" s="1582"/>
    </row>
    <row r="299" spans="1:1" s="1484" customFormat="1" ht="15" x14ac:dyDescent="0.25">
      <c r="A299" s="1582"/>
    </row>
    <row r="300" spans="1:1" s="1484" customFormat="1" ht="15" x14ac:dyDescent="0.25">
      <c r="A300" s="1582"/>
    </row>
    <row r="301" spans="1:1" s="1484" customFormat="1" ht="15" x14ac:dyDescent="0.25">
      <c r="A301" s="1582"/>
    </row>
    <row r="302" spans="1:1" s="1484" customFormat="1" ht="15" x14ac:dyDescent="0.25">
      <c r="A302" s="1582"/>
    </row>
    <row r="303" spans="1:1" s="1484" customFormat="1" ht="15" x14ac:dyDescent="0.25">
      <c r="A303" s="1582"/>
    </row>
    <row r="304" spans="1:1" s="1484" customFormat="1" ht="15" x14ac:dyDescent="0.25">
      <c r="A304" s="1582"/>
    </row>
    <row r="305" spans="1:1" s="1484" customFormat="1" ht="15" x14ac:dyDescent="0.25">
      <c r="A305" s="1582"/>
    </row>
    <row r="306" spans="1:1" s="1484" customFormat="1" ht="15" x14ac:dyDescent="0.25">
      <c r="A306" s="1582"/>
    </row>
    <row r="307" spans="1:1" s="1484" customFormat="1" ht="15" x14ac:dyDescent="0.25">
      <c r="A307" s="1582"/>
    </row>
    <row r="308" spans="1:1" s="1484" customFormat="1" ht="15" x14ac:dyDescent="0.25">
      <c r="A308" s="1582"/>
    </row>
  </sheetData>
  <mergeCells count="266">
    <mergeCell ref="A4:F4"/>
    <mergeCell ref="G4:P4"/>
    <mergeCell ref="A5:F5"/>
    <mergeCell ref="G5:P5"/>
    <mergeCell ref="A6:F6"/>
    <mergeCell ref="G6:P6"/>
    <mergeCell ref="A10:F10"/>
    <mergeCell ref="G10:P10"/>
    <mergeCell ref="A11:F11"/>
    <mergeCell ref="G11:P11"/>
    <mergeCell ref="A13:P13"/>
    <mergeCell ref="A7:F7"/>
    <mergeCell ref="G7:P7"/>
    <mergeCell ref="A8:F8"/>
    <mergeCell ref="G8:P8"/>
    <mergeCell ref="A9:F9"/>
    <mergeCell ref="B35:B37"/>
    <mergeCell ref="C35:G37"/>
    <mergeCell ref="H35:H37"/>
    <mergeCell ref="I35:K36"/>
    <mergeCell ref="L35:P36"/>
    <mergeCell ref="A14:P14"/>
    <mergeCell ref="A16:P16"/>
    <mergeCell ref="A17:P17"/>
    <mergeCell ref="A18:P18"/>
    <mergeCell ref="A20:P20"/>
    <mergeCell ref="G9:P9"/>
    <mergeCell ref="C38:G38"/>
    <mergeCell ref="A39:P39"/>
    <mergeCell ref="C40:G40"/>
    <mergeCell ref="C41:P41"/>
    <mergeCell ref="C42:P42"/>
    <mergeCell ref="A21:P21"/>
    <mergeCell ref="B23:F23"/>
    <mergeCell ref="B24:F24"/>
    <mergeCell ref="C26:F26"/>
    <mergeCell ref="A35:A37"/>
    <mergeCell ref="C48:G48"/>
    <mergeCell ref="C49:G49"/>
    <mergeCell ref="C50:G50"/>
    <mergeCell ref="C51:G51"/>
    <mergeCell ref="C52:G52"/>
    <mergeCell ref="C43:G43"/>
    <mergeCell ref="C44:G44"/>
    <mergeCell ref="C45:G45"/>
    <mergeCell ref="C46:G46"/>
    <mergeCell ref="C47:G47"/>
    <mergeCell ref="C58:G58"/>
    <mergeCell ref="C59:G59"/>
    <mergeCell ref="C60:G60"/>
    <mergeCell ref="C61:G61"/>
    <mergeCell ref="C62:G62"/>
    <mergeCell ref="C53:P53"/>
    <mergeCell ref="C54:P54"/>
    <mergeCell ref="C55:G55"/>
    <mergeCell ref="C56:G56"/>
    <mergeCell ref="C57:P57"/>
    <mergeCell ref="C68:G68"/>
    <mergeCell ref="C69:G69"/>
    <mergeCell ref="C70:G70"/>
    <mergeCell ref="C71:G71"/>
    <mergeCell ref="C72:G72"/>
    <mergeCell ref="C63:G63"/>
    <mergeCell ref="C64:G64"/>
    <mergeCell ref="C65:G65"/>
    <mergeCell ref="C66:G66"/>
    <mergeCell ref="C67:G67"/>
    <mergeCell ref="C78:G78"/>
    <mergeCell ref="C79:G79"/>
    <mergeCell ref="C80:G80"/>
    <mergeCell ref="C81:G81"/>
    <mergeCell ref="C82:G82"/>
    <mergeCell ref="C73:G73"/>
    <mergeCell ref="C74:P74"/>
    <mergeCell ref="C75:P75"/>
    <mergeCell ref="C76:G76"/>
    <mergeCell ref="C77:G77"/>
    <mergeCell ref="C88:G88"/>
    <mergeCell ref="C89:G89"/>
    <mergeCell ref="C90:G90"/>
    <mergeCell ref="C91:G91"/>
    <mergeCell ref="C92:G92"/>
    <mergeCell ref="C83:G83"/>
    <mergeCell ref="C84:G84"/>
    <mergeCell ref="C85:G85"/>
    <mergeCell ref="C86:G86"/>
    <mergeCell ref="C87:G87"/>
    <mergeCell ref="C98:P98"/>
    <mergeCell ref="C99:G99"/>
    <mergeCell ref="C100:G100"/>
    <mergeCell ref="C101:G101"/>
    <mergeCell ref="C102:G102"/>
    <mergeCell ref="C93:G93"/>
    <mergeCell ref="C94:G94"/>
    <mergeCell ref="C95:G95"/>
    <mergeCell ref="C96:G96"/>
    <mergeCell ref="C97:P97"/>
    <mergeCell ref="C108:G108"/>
    <mergeCell ref="C109:G109"/>
    <mergeCell ref="C110:G110"/>
    <mergeCell ref="C111:G111"/>
    <mergeCell ref="C112:G112"/>
    <mergeCell ref="C103:G103"/>
    <mergeCell ref="C104:P104"/>
    <mergeCell ref="C105:P105"/>
    <mergeCell ref="C106:G106"/>
    <mergeCell ref="C107:G107"/>
    <mergeCell ref="C118:G118"/>
    <mergeCell ref="C119:G119"/>
    <mergeCell ref="C120:G120"/>
    <mergeCell ref="C121:G121"/>
    <mergeCell ref="C122:G122"/>
    <mergeCell ref="C113:G113"/>
    <mergeCell ref="C114:G114"/>
    <mergeCell ref="C115:G115"/>
    <mergeCell ref="C116:G116"/>
    <mergeCell ref="C117:G117"/>
    <mergeCell ref="C128:G128"/>
    <mergeCell ref="C129:P129"/>
    <mergeCell ref="C130:P130"/>
    <mergeCell ref="C131:G131"/>
    <mergeCell ref="C132:G132"/>
    <mergeCell ref="C123:G123"/>
    <mergeCell ref="C124:G124"/>
    <mergeCell ref="C125:G125"/>
    <mergeCell ref="C126:G126"/>
    <mergeCell ref="C127:G127"/>
    <mergeCell ref="C139:O139"/>
    <mergeCell ref="C140:O140"/>
    <mergeCell ref="C141:O141"/>
    <mergeCell ref="C142:O142"/>
    <mergeCell ref="C143:O143"/>
    <mergeCell ref="C133:G133"/>
    <mergeCell ref="C134:G134"/>
    <mergeCell ref="C136:O136"/>
    <mergeCell ref="C137:O137"/>
    <mergeCell ref="C138:O138"/>
    <mergeCell ref="C149:O149"/>
    <mergeCell ref="C150:O150"/>
    <mergeCell ref="C151:O151"/>
    <mergeCell ref="C152:O152"/>
    <mergeCell ref="C153:O153"/>
    <mergeCell ref="C144:O144"/>
    <mergeCell ref="C145:O145"/>
    <mergeCell ref="C146:O146"/>
    <mergeCell ref="C147:O147"/>
    <mergeCell ref="C148:O148"/>
    <mergeCell ref="C159:J159"/>
    <mergeCell ref="C160:J160"/>
    <mergeCell ref="A161:P161"/>
    <mergeCell ref="C162:G162"/>
    <mergeCell ref="C163:P163"/>
    <mergeCell ref="C154:O154"/>
    <mergeCell ref="C155:O155"/>
    <mergeCell ref="C156:O156"/>
    <mergeCell ref="C157:O157"/>
    <mergeCell ref="C158:O158"/>
    <mergeCell ref="C169:G169"/>
    <mergeCell ref="C170:G170"/>
    <mergeCell ref="C171:G171"/>
    <mergeCell ref="C172:G172"/>
    <mergeCell ref="C173:G173"/>
    <mergeCell ref="C164:P164"/>
    <mergeCell ref="C165:G165"/>
    <mergeCell ref="C166:G166"/>
    <mergeCell ref="C167:G167"/>
    <mergeCell ref="C168:G168"/>
    <mergeCell ref="C179:G179"/>
    <mergeCell ref="C180:G180"/>
    <mergeCell ref="C181:G181"/>
    <mergeCell ref="C182:G182"/>
    <mergeCell ref="C183:G183"/>
    <mergeCell ref="C174:G174"/>
    <mergeCell ref="C175:G175"/>
    <mergeCell ref="C176:G176"/>
    <mergeCell ref="C177:G177"/>
    <mergeCell ref="C178:G178"/>
    <mergeCell ref="C189:G189"/>
    <mergeCell ref="C190:G190"/>
    <mergeCell ref="C191:G191"/>
    <mergeCell ref="C192:G192"/>
    <mergeCell ref="C193:G193"/>
    <mergeCell ref="C184:G184"/>
    <mergeCell ref="C185:G185"/>
    <mergeCell ref="C186:G186"/>
    <mergeCell ref="C187:G187"/>
    <mergeCell ref="C188:G188"/>
    <mergeCell ref="C199:G199"/>
    <mergeCell ref="C200:G200"/>
    <mergeCell ref="C201:G201"/>
    <mergeCell ref="C202:P202"/>
    <mergeCell ref="C203:P203"/>
    <mergeCell ref="C194:G194"/>
    <mergeCell ref="C195:G195"/>
    <mergeCell ref="C196:G196"/>
    <mergeCell ref="C197:G197"/>
    <mergeCell ref="C198:G198"/>
    <mergeCell ref="C209:P209"/>
    <mergeCell ref="C210:P210"/>
    <mergeCell ref="C211:G211"/>
    <mergeCell ref="C212:G212"/>
    <mergeCell ref="C213:G213"/>
    <mergeCell ref="C204:G204"/>
    <mergeCell ref="C205:G205"/>
    <mergeCell ref="C206:G206"/>
    <mergeCell ref="C207:G207"/>
    <mergeCell ref="C208:G208"/>
    <mergeCell ref="C220:O220"/>
    <mergeCell ref="C221:O221"/>
    <mergeCell ref="C222:O222"/>
    <mergeCell ref="C223:O223"/>
    <mergeCell ref="C224:O224"/>
    <mergeCell ref="C214:G214"/>
    <mergeCell ref="C215:G215"/>
    <mergeCell ref="C216:P216"/>
    <mergeCell ref="C217:P217"/>
    <mergeCell ref="C218:G218"/>
    <mergeCell ref="C230:O230"/>
    <mergeCell ref="C231:O231"/>
    <mergeCell ref="C232:O232"/>
    <mergeCell ref="C233:O233"/>
    <mergeCell ref="C234:O234"/>
    <mergeCell ref="C225:O225"/>
    <mergeCell ref="C226:O226"/>
    <mergeCell ref="C227:O227"/>
    <mergeCell ref="C228:O228"/>
    <mergeCell ref="C229:O229"/>
    <mergeCell ref="C240:J240"/>
    <mergeCell ref="C241:J241"/>
    <mergeCell ref="C243:O243"/>
    <mergeCell ref="C244:O244"/>
    <mergeCell ref="C245:O245"/>
    <mergeCell ref="C235:O235"/>
    <mergeCell ref="C236:O236"/>
    <mergeCell ref="C237:O237"/>
    <mergeCell ref="C238:O238"/>
    <mergeCell ref="C239:O239"/>
    <mergeCell ref="C251:O251"/>
    <mergeCell ref="C252:O252"/>
    <mergeCell ref="C253:O253"/>
    <mergeCell ref="C254:O254"/>
    <mergeCell ref="C255:O255"/>
    <mergeCell ref="C246:O246"/>
    <mergeCell ref="C247:O247"/>
    <mergeCell ref="C248:O248"/>
    <mergeCell ref="C249:O249"/>
    <mergeCell ref="C250:O250"/>
    <mergeCell ref="C261:O261"/>
    <mergeCell ref="C262:O262"/>
    <mergeCell ref="C263:O263"/>
    <mergeCell ref="C264:O264"/>
    <mergeCell ref="C265:O265"/>
    <mergeCell ref="C256:O256"/>
    <mergeCell ref="C257:O257"/>
    <mergeCell ref="C258:O258"/>
    <mergeCell ref="C259:O259"/>
    <mergeCell ref="C260:O260"/>
    <mergeCell ref="C272:H272"/>
    <mergeCell ref="I272:N272"/>
    <mergeCell ref="C273:N273"/>
    <mergeCell ref="A275:P275"/>
    <mergeCell ref="C266:J266"/>
    <mergeCell ref="C267:J267"/>
    <mergeCell ref="C270:H270"/>
    <mergeCell ref="I270:N270"/>
    <mergeCell ref="C271:N271"/>
  </mergeCells>
  <printOptions horizontalCentered="1"/>
  <pageMargins left="0.31496062874794001" right="0.31496062874794001" top="0.78740155696868896" bottom="0.31496062874794001" header="0.19685038924217199" footer="0.19685038924217199"/>
  <pageSetup paperSize="9" scale="69" fitToHeight="0" orientation="landscape" r:id="rId1"/>
  <headerFooter>
    <oddFooter>&amp;RСтраница &amp;P</oddFooter>
  </headerFooter>
  <rowBreaks count="1" manualBreakCount="1">
    <brk id="34" max="30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AI41"/>
  <sheetViews>
    <sheetView topLeftCell="A10" workbookViewId="0">
      <selection activeCell="N42" sqref="N42"/>
    </sheetView>
  </sheetViews>
  <sheetFormatPr defaultRowHeight="15" x14ac:dyDescent="0.25"/>
  <cols>
    <col min="1" max="1" width="14.5703125" style="1355" customWidth="1"/>
    <col min="2" max="2" width="17.5703125" style="1355" customWidth="1"/>
    <col min="3" max="3" width="15.140625" style="1355" customWidth="1"/>
    <col min="4" max="4" width="14.85546875" style="1355" customWidth="1"/>
    <col min="5" max="5" width="15.28515625" style="1355" customWidth="1"/>
    <col min="6" max="6" width="13.140625" style="1355" customWidth="1"/>
    <col min="7" max="7" width="11.28515625" style="1355" customWidth="1"/>
    <col min="8" max="16384" width="9.140625" style="1355"/>
  </cols>
  <sheetData>
    <row r="1" spans="1:35" ht="15.75" x14ac:dyDescent="0.25">
      <c r="A1" s="853" t="s">
        <v>5863</v>
      </c>
      <c r="B1" s="1354"/>
      <c r="C1" s="1354"/>
      <c r="D1" s="1354"/>
      <c r="E1" s="1354"/>
      <c r="F1" s="1354"/>
      <c r="G1" s="1354"/>
      <c r="H1" s="1354"/>
      <c r="I1" s="1354"/>
      <c r="J1" s="1354"/>
      <c r="K1" s="1354"/>
      <c r="L1" s="1354"/>
      <c r="M1" s="1354"/>
      <c r="N1" s="1354"/>
      <c r="O1" s="1354"/>
      <c r="P1" s="1354"/>
      <c r="Q1" s="1354"/>
      <c r="R1" s="1354"/>
      <c r="S1" s="1354"/>
      <c r="T1" s="1354"/>
      <c r="U1" s="1354"/>
      <c r="V1" s="1354"/>
      <c r="W1" s="1354"/>
      <c r="X1" s="1354"/>
      <c r="Y1" s="1354"/>
      <c r="Z1" s="1354"/>
      <c r="AA1" s="1354"/>
      <c r="AB1" s="1354"/>
      <c r="AC1" s="1354"/>
      <c r="AD1" s="1354"/>
      <c r="AE1" s="1354"/>
      <c r="AF1" s="1354"/>
      <c r="AG1" s="1354"/>
      <c r="AH1" s="1354"/>
      <c r="AI1" s="1354"/>
    </row>
    <row r="2" spans="1:35" x14ac:dyDescent="0.25">
      <c r="A2" s="1354"/>
      <c r="B2" s="1354"/>
      <c r="C2" s="1354"/>
      <c r="D2" s="1354"/>
      <c r="E2" s="1354"/>
      <c r="F2" s="1354"/>
      <c r="G2" s="1354"/>
      <c r="H2" s="1354"/>
      <c r="I2" s="1354"/>
      <c r="J2" s="1354"/>
      <c r="K2" s="1354"/>
      <c r="L2" s="1354"/>
      <c r="M2" s="1354"/>
      <c r="N2" s="1354"/>
      <c r="O2" s="1354"/>
      <c r="P2" s="1354"/>
      <c r="Q2" s="1354"/>
      <c r="R2" s="1354"/>
      <c r="S2" s="1354"/>
      <c r="T2" s="1354"/>
      <c r="U2" s="1354"/>
      <c r="V2" s="1354"/>
      <c r="W2" s="1354"/>
      <c r="X2" s="1354"/>
      <c r="Y2" s="1354"/>
      <c r="Z2" s="1354"/>
      <c r="AA2" s="1354"/>
      <c r="AB2" s="1354"/>
      <c r="AC2" s="1354"/>
      <c r="AD2" s="1354"/>
      <c r="AE2" s="1354"/>
      <c r="AF2" s="1354"/>
      <c r="AG2" s="1354"/>
      <c r="AH2" s="1354"/>
      <c r="AI2" s="1354"/>
    </row>
    <row r="3" spans="1:35" ht="15.75" x14ac:dyDescent="0.25">
      <c r="A3" s="1356" t="s">
        <v>5864</v>
      </c>
      <c r="B3" s="1354"/>
      <c r="C3" s="1354"/>
      <c r="D3" s="1354"/>
      <c r="E3" s="1354"/>
      <c r="F3" s="1354"/>
      <c r="G3" s="1354"/>
      <c r="H3" s="1354"/>
      <c r="I3" s="1354"/>
      <c r="J3" s="1354"/>
      <c r="K3" s="1354"/>
      <c r="L3" s="1354"/>
      <c r="M3" s="1354"/>
      <c r="N3" s="1354"/>
      <c r="O3" s="1354"/>
      <c r="P3" s="1354"/>
      <c r="Q3" s="1354"/>
      <c r="R3" s="1354"/>
      <c r="S3" s="1354"/>
      <c r="T3" s="1354"/>
      <c r="U3" s="1354"/>
      <c r="V3" s="1354"/>
      <c r="W3" s="1354"/>
      <c r="X3" s="1354"/>
      <c r="Y3" s="1354"/>
      <c r="Z3" s="1354"/>
      <c r="AA3" s="1354"/>
      <c r="AB3" s="1354"/>
      <c r="AC3" s="1354"/>
      <c r="AD3" s="1354"/>
      <c r="AE3" s="1354"/>
      <c r="AF3" s="1354"/>
      <c r="AG3" s="1354"/>
      <c r="AH3" s="1354"/>
      <c r="AI3" s="1354"/>
    </row>
    <row r="4" spans="1:35" ht="15.75" x14ac:dyDescent="0.25">
      <c r="A4" s="853"/>
      <c r="B4" s="1354"/>
      <c r="C4" s="1354"/>
      <c r="D4" s="1354"/>
      <c r="E4" s="1354"/>
      <c r="F4" s="1354"/>
      <c r="G4" s="1354"/>
      <c r="H4" s="1354"/>
      <c r="I4" s="1354"/>
      <c r="J4" s="1354"/>
      <c r="K4" s="1354"/>
      <c r="L4" s="1354"/>
      <c r="M4" s="1354"/>
      <c r="N4" s="1354"/>
      <c r="O4" s="1354"/>
      <c r="P4" s="1354"/>
      <c r="Q4" s="1354"/>
      <c r="R4" s="1354"/>
      <c r="S4" s="1354"/>
      <c r="T4" s="1354"/>
      <c r="U4" s="1354"/>
      <c r="V4" s="1354"/>
      <c r="W4" s="1354"/>
      <c r="X4" s="1354"/>
      <c r="Y4" s="1354"/>
      <c r="Z4" s="1354"/>
      <c r="AA4" s="1354"/>
      <c r="AB4" s="1354"/>
      <c r="AC4" s="1354"/>
      <c r="AD4" s="1354"/>
      <c r="AE4" s="1354"/>
      <c r="AF4" s="1354"/>
      <c r="AG4" s="1354"/>
      <c r="AH4" s="1354"/>
      <c r="AI4" s="1354"/>
    </row>
    <row r="5" spans="1:35" x14ac:dyDescent="0.25">
      <c r="A5" s="2848" t="s">
        <v>643</v>
      </c>
      <c r="B5" s="2848"/>
      <c r="C5" s="2848"/>
      <c r="D5" s="2848"/>
      <c r="E5" s="2848"/>
      <c r="F5" s="1357">
        <v>46113</v>
      </c>
    </row>
    <row r="6" spans="1:35" ht="15.75" x14ac:dyDescent="0.25">
      <c r="A6" s="2844" t="s">
        <v>534</v>
      </c>
      <c r="B6" s="2845"/>
      <c r="C6" s="2845"/>
      <c r="D6" s="2845"/>
      <c r="E6" s="2846"/>
      <c r="F6" s="1357" t="e">
        <f>#REF!</f>
        <v>#REF!</v>
      </c>
      <c r="G6" s="1358"/>
    </row>
    <row r="7" spans="1:35" ht="15.75" x14ac:dyDescent="0.25">
      <c r="A7" s="2844" t="s">
        <v>535</v>
      </c>
      <c r="B7" s="2845"/>
      <c r="C7" s="2845"/>
      <c r="D7" s="2845"/>
      <c r="E7" s="2846"/>
      <c r="F7" s="1357" t="e">
        <f>#REF!</f>
        <v>#REF!</v>
      </c>
      <c r="G7" s="1359"/>
    </row>
    <row r="8" spans="1:35" ht="15.75" x14ac:dyDescent="0.25">
      <c r="A8" s="2844" t="s">
        <v>5865</v>
      </c>
      <c r="B8" s="2845"/>
      <c r="C8" s="2845"/>
      <c r="D8" s="2845"/>
      <c r="E8" s="2846"/>
      <c r="F8" s="1360" t="e">
        <f>ROUNDUP((F7-F5)/30.5,1)</f>
        <v>#REF!</v>
      </c>
    </row>
    <row r="9" spans="1:35" ht="35.25" customHeight="1" x14ac:dyDescent="0.25">
      <c r="A9" s="2847" t="s">
        <v>5870</v>
      </c>
      <c r="B9" s="2847"/>
      <c r="C9" s="2847"/>
      <c r="D9" s="2847"/>
      <c r="E9" s="2847"/>
      <c r="F9" s="1361">
        <v>1.0529999999999999</v>
      </c>
      <c r="I9" s="1359"/>
    </row>
    <row r="10" spans="1:35" ht="15.75" x14ac:dyDescent="0.25">
      <c r="A10" s="2837" t="s">
        <v>540</v>
      </c>
      <c r="B10" s="2837"/>
      <c r="C10" s="2837"/>
      <c r="D10" s="1362">
        <f>F9</f>
        <v>1.0529999999999999</v>
      </c>
      <c r="E10" s="1363" t="s">
        <v>538</v>
      </c>
      <c r="F10" s="1364">
        <f>F9^(1/12)</f>
        <v>1.0043129</v>
      </c>
    </row>
    <row r="11" spans="1:35" ht="34.5" customHeight="1" x14ac:dyDescent="0.25">
      <c r="A11" s="2838" t="s">
        <v>539</v>
      </c>
      <c r="B11" s="2838"/>
      <c r="C11" s="2839" t="e">
        <f>CONCATENATE("(",F10,"^",ROUNDUP((F7-F5)/30.5,1),"-1)/2+1)")</f>
        <v>#REF!</v>
      </c>
      <c r="D11" s="2839"/>
      <c r="E11" s="2839"/>
      <c r="F11" s="1365" t="e">
        <f>(ROUND(((F10^ROUNDUP((F7-F5)/30.5,1)-1)/2)+1,4))</f>
        <v>#REF!</v>
      </c>
      <c r="H11" s="1366"/>
    </row>
    <row r="12" spans="1:35" ht="15.75" x14ac:dyDescent="0.25">
      <c r="A12" s="1367"/>
      <c r="B12" s="1367"/>
      <c r="C12" s="1368"/>
      <c r="D12" s="1368"/>
      <c r="E12" s="1368"/>
      <c r="F12" s="1369"/>
      <c r="H12" s="1366"/>
    </row>
    <row r="13" spans="1:35" ht="15.75" x14ac:dyDescent="0.25">
      <c r="A13" s="1370" t="s">
        <v>5866</v>
      </c>
      <c r="B13" s="1367"/>
      <c r="C13" s="1368"/>
      <c r="D13" s="1368"/>
      <c r="E13" s="1368"/>
      <c r="F13" s="1369"/>
      <c r="H13" s="1366"/>
    </row>
    <row r="14" spans="1:35" ht="15.75" x14ac:dyDescent="0.25">
      <c r="A14" s="1367"/>
      <c r="B14" s="1367"/>
      <c r="C14" s="1368"/>
      <c r="D14" s="1368"/>
      <c r="E14" s="1368"/>
      <c r="F14" s="1369"/>
      <c r="H14" s="1366"/>
    </row>
    <row r="15" spans="1:35" x14ac:dyDescent="0.25">
      <c r="A15" s="2848" t="s">
        <v>643</v>
      </c>
      <c r="B15" s="2848"/>
      <c r="C15" s="2848"/>
      <c r="D15" s="2848"/>
      <c r="E15" s="2848"/>
      <c r="F15" s="1357">
        <f>F5</f>
        <v>46113</v>
      </c>
    </row>
    <row r="16" spans="1:35" ht="15.75" x14ac:dyDescent="0.25">
      <c r="A16" s="2844" t="s">
        <v>534</v>
      </c>
      <c r="B16" s="2845"/>
      <c r="C16" s="2845"/>
      <c r="D16" s="2845"/>
      <c r="E16" s="2846"/>
      <c r="F16" s="1357" t="e">
        <f>#REF!</f>
        <v>#REF!</v>
      </c>
      <c r="G16" s="1358"/>
    </row>
    <row r="17" spans="1:9" ht="15.75" x14ac:dyDescent="0.25">
      <c r="A17" s="2844" t="s">
        <v>535</v>
      </c>
      <c r="B17" s="2845"/>
      <c r="C17" s="2845"/>
      <c r="D17" s="2845"/>
      <c r="E17" s="2846"/>
      <c r="F17" s="1357" t="e">
        <f>#REF!</f>
        <v>#REF!</v>
      </c>
      <c r="G17" s="1359"/>
    </row>
    <row r="18" spans="1:9" ht="15.75" x14ac:dyDescent="0.25">
      <c r="A18" s="2844" t="s">
        <v>5865</v>
      </c>
      <c r="B18" s="2845"/>
      <c r="C18" s="2845"/>
      <c r="D18" s="2845"/>
      <c r="E18" s="2846"/>
      <c r="F18" s="1360" t="e">
        <f>ROUNDUP((F17-F15)/30.5,1)</f>
        <v>#REF!</v>
      </c>
    </row>
    <row r="19" spans="1:9" ht="35.25" customHeight="1" x14ac:dyDescent="0.25">
      <c r="A19" s="2847" t="s">
        <v>5870</v>
      </c>
      <c r="B19" s="2847"/>
      <c r="C19" s="2847"/>
      <c r="D19" s="2847"/>
      <c r="E19" s="2847"/>
      <c r="F19" s="1361">
        <v>1.0529999999999999</v>
      </c>
      <c r="I19" s="1359"/>
    </row>
    <row r="20" spans="1:9" ht="15.75" x14ac:dyDescent="0.25">
      <c r="A20" s="2837" t="s">
        <v>540</v>
      </c>
      <c r="B20" s="2837"/>
      <c r="C20" s="2837"/>
      <c r="D20" s="1362">
        <f>F19</f>
        <v>1.0529999999999999</v>
      </c>
      <c r="E20" s="1363" t="s">
        <v>538</v>
      </c>
      <c r="F20" s="1364">
        <f>F19^(1/12)</f>
        <v>1.0043129</v>
      </c>
    </row>
    <row r="21" spans="1:9" ht="34.5" customHeight="1" x14ac:dyDescent="0.25">
      <c r="A21" s="2838" t="s">
        <v>539</v>
      </c>
      <c r="B21" s="2838"/>
      <c r="C21" s="2839" t="e">
        <f>CONCATENATE("((",F20,"^",ROUNDUP((F17-F15)/30.5,1),"-1)/2+1)")</f>
        <v>#REF!</v>
      </c>
      <c r="D21" s="2839"/>
      <c r="E21" s="2839"/>
      <c r="F21" s="1365" t="e">
        <f>(ROUND(((F20^ROUNDUP((F17-F15)/30.5,1)-1)/2)+1,4))</f>
        <v>#REF!</v>
      </c>
      <c r="H21" s="1366"/>
    </row>
    <row r="23" spans="1:9" ht="15.75" hidden="1" x14ac:dyDescent="0.25">
      <c r="A23" s="1370" t="s">
        <v>5867</v>
      </c>
      <c r="B23" s="1367"/>
      <c r="C23" s="1368"/>
      <c r="D23" s="1368"/>
      <c r="E23" s="1368"/>
      <c r="F23" s="1369"/>
      <c r="H23" s="1366"/>
    </row>
    <row r="24" spans="1:9" ht="15.75" hidden="1" x14ac:dyDescent="0.25">
      <c r="A24" s="1367"/>
      <c r="B24" s="1367"/>
      <c r="C24" s="1368"/>
      <c r="D24" s="1368"/>
      <c r="E24" s="1368"/>
      <c r="F24" s="1369"/>
      <c r="H24" s="1366"/>
    </row>
    <row r="25" spans="1:9" hidden="1" x14ac:dyDescent="0.25">
      <c r="A25" s="2848" t="s">
        <v>643</v>
      </c>
      <c r="B25" s="2848"/>
      <c r="C25" s="2848"/>
      <c r="D25" s="2848"/>
      <c r="E25" s="2848"/>
      <c r="F25" s="1357">
        <f>F5</f>
        <v>46113</v>
      </c>
    </row>
    <row r="26" spans="1:9" ht="15.75" hidden="1" x14ac:dyDescent="0.25">
      <c r="A26" s="2844" t="s">
        <v>534</v>
      </c>
      <c r="B26" s="2845"/>
      <c r="C26" s="2845"/>
      <c r="D26" s="2845"/>
      <c r="E26" s="2846"/>
      <c r="F26" s="1357" t="e">
        <f>#REF!</f>
        <v>#REF!</v>
      </c>
      <c r="G26" s="1358"/>
    </row>
    <row r="27" spans="1:9" ht="15.75" hidden="1" x14ac:dyDescent="0.25">
      <c r="A27" s="2844" t="s">
        <v>535</v>
      </c>
      <c r="B27" s="2845"/>
      <c r="C27" s="2845"/>
      <c r="D27" s="2845"/>
      <c r="E27" s="2846"/>
      <c r="F27" s="1357" t="e">
        <f>#REF!</f>
        <v>#REF!</v>
      </c>
      <c r="G27" s="1359"/>
    </row>
    <row r="28" spans="1:9" ht="15.75" hidden="1" x14ac:dyDescent="0.25">
      <c r="A28" s="2844" t="s">
        <v>5865</v>
      </c>
      <c r="B28" s="2845"/>
      <c r="C28" s="2845"/>
      <c r="D28" s="2845"/>
      <c r="E28" s="2846"/>
      <c r="F28" s="1360" t="e">
        <f>ROUNDUP((F27-F25)/30.5,1)</f>
        <v>#REF!</v>
      </c>
    </row>
    <row r="29" spans="1:9" ht="35.25" hidden="1" customHeight="1" x14ac:dyDescent="0.25">
      <c r="A29" s="2847" t="s">
        <v>5870</v>
      </c>
      <c r="B29" s="2847"/>
      <c r="C29" s="2847"/>
      <c r="D29" s="2847"/>
      <c r="E29" s="2847"/>
      <c r="F29" s="1361">
        <v>1.0529999999999999</v>
      </c>
      <c r="I29" s="1359"/>
    </row>
    <row r="30" spans="1:9" ht="15.75" hidden="1" x14ac:dyDescent="0.25">
      <c r="A30" s="2837" t="s">
        <v>540</v>
      </c>
      <c r="B30" s="2837"/>
      <c r="C30" s="2837"/>
      <c r="D30" s="1362">
        <f>F29</f>
        <v>1.0529999999999999</v>
      </c>
      <c r="E30" s="1363" t="s">
        <v>538</v>
      </c>
      <c r="F30" s="1364">
        <f>F29^(1/12)</f>
        <v>1.0043129</v>
      </c>
    </row>
    <row r="31" spans="1:9" ht="34.5" hidden="1" customHeight="1" x14ac:dyDescent="0.25">
      <c r="A31" s="2838" t="s">
        <v>539</v>
      </c>
      <c r="B31" s="2838"/>
      <c r="C31" s="2839" t="e">
        <f>CONCATENATE("((",F30,"^",ROUNDUP((F27-F25)/30.5,1),"-1)/2+1)")</f>
        <v>#REF!</v>
      </c>
      <c r="D31" s="2839"/>
      <c r="E31" s="2839"/>
      <c r="F31" s="1365" t="e">
        <f>(ROUND(((F30^ROUNDUP((F27-F25)/30.5,1)-1)/2)+1,4))</f>
        <v>#REF!</v>
      </c>
      <c r="H31" s="1366"/>
    </row>
    <row r="32" spans="1:9" hidden="1" x14ac:dyDescent="0.25"/>
    <row r="33" spans="1:9" ht="15.75" x14ac:dyDescent="0.25">
      <c r="A33" s="1370" t="s">
        <v>5868</v>
      </c>
      <c r="B33" s="1367"/>
      <c r="C33" s="1368"/>
      <c r="D33" s="1368"/>
      <c r="E33" s="1368"/>
      <c r="F33" s="1369"/>
      <c r="H33" s="1366"/>
    </row>
    <row r="35" spans="1:9" s="319" customFormat="1" x14ac:dyDescent="0.25">
      <c r="A35" s="2840" t="s">
        <v>643</v>
      </c>
      <c r="B35" s="2840"/>
      <c r="C35" s="2840"/>
      <c r="D35" s="2840"/>
      <c r="E35" s="2840"/>
      <c r="F35" s="1357">
        <f>$F$5</f>
        <v>46113</v>
      </c>
    </row>
    <row r="36" spans="1:9" s="319" customFormat="1" ht="15.75" x14ac:dyDescent="0.25">
      <c r="A36" s="2841" t="s">
        <v>534</v>
      </c>
      <c r="B36" s="2842"/>
      <c r="C36" s="2842"/>
      <c r="D36" s="2842"/>
      <c r="E36" s="2843"/>
      <c r="F36" s="1357" t="e">
        <f>#REF!</f>
        <v>#REF!</v>
      </c>
      <c r="G36" s="1371">
        <v>45657</v>
      </c>
      <c r="H36" s="319" t="s">
        <v>5872</v>
      </c>
    </row>
    <row r="37" spans="1:9" s="319" customFormat="1" ht="15.75" x14ac:dyDescent="0.25">
      <c r="A37" s="2841" t="s">
        <v>535</v>
      </c>
      <c r="B37" s="2842"/>
      <c r="C37" s="2842"/>
      <c r="D37" s="2842"/>
      <c r="E37" s="2843"/>
      <c r="F37" s="1357" t="e">
        <f>#REF!</f>
        <v>#REF!</v>
      </c>
      <c r="G37" s="1371">
        <v>45658</v>
      </c>
      <c r="H37" s="319" t="s">
        <v>5873</v>
      </c>
    </row>
    <row r="38" spans="1:9" ht="15.75" x14ac:dyDescent="0.25">
      <c r="A38" s="2844" t="s">
        <v>5865</v>
      </c>
      <c r="B38" s="2845"/>
      <c r="C38" s="2845"/>
      <c r="D38" s="2845"/>
      <c r="E38" s="2846"/>
      <c r="F38" s="1360" t="e">
        <f>ROUNDUP((F37-F35)/30.5,1)</f>
        <v>#REF!</v>
      </c>
    </row>
    <row r="39" spans="1:9" ht="35.25" customHeight="1" x14ac:dyDescent="0.25">
      <c r="A39" s="2847" t="s">
        <v>5870</v>
      </c>
      <c r="B39" s="2847"/>
      <c r="C39" s="2847"/>
      <c r="D39" s="2847"/>
      <c r="E39" s="2847"/>
      <c r="F39" s="1361">
        <v>1.0529999999999999</v>
      </c>
      <c r="I39" s="1359"/>
    </row>
    <row r="40" spans="1:9" ht="15.75" x14ac:dyDescent="0.25">
      <c r="A40" s="2837" t="s">
        <v>540</v>
      </c>
      <c r="B40" s="2837"/>
      <c r="C40" s="2837"/>
      <c r="D40" s="1362">
        <f>F39</f>
        <v>1.0529999999999999</v>
      </c>
      <c r="E40" s="1363" t="s">
        <v>538</v>
      </c>
      <c r="F40" s="1364">
        <f>F39^(1/12)</f>
        <v>1.0043129</v>
      </c>
    </row>
    <row r="41" spans="1:9" ht="34.5" customHeight="1" x14ac:dyDescent="0.25">
      <c r="A41" s="2838" t="s">
        <v>539</v>
      </c>
      <c r="B41" s="2838"/>
      <c r="C41" s="2839" t="e">
        <f>CONCATENATE("((",F40,"^",ROUNDUP((F37-F35)/30.5,1),"-1)/2+1)")</f>
        <v>#REF!</v>
      </c>
      <c r="D41" s="2839"/>
      <c r="E41" s="2839"/>
      <c r="F41" s="1372" t="e">
        <f>(ROUND(((F40^ROUNDUP((F37-F35)/30.5,1)-1)/2)+1,4))</f>
        <v>#REF!</v>
      </c>
      <c r="H41" s="1366"/>
    </row>
  </sheetData>
  <mergeCells count="32">
    <mergeCell ref="A10:C10"/>
    <mergeCell ref="A5:E5"/>
    <mergeCell ref="A6:E6"/>
    <mergeCell ref="A7:E7"/>
    <mergeCell ref="A8:E8"/>
    <mergeCell ref="A9:E9"/>
    <mergeCell ref="A26:E26"/>
    <mergeCell ref="A11:B11"/>
    <mergeCell ref="C11:E11"/>
    <mergeCell ref="A15:E15"/>
    <mergeCell ref="A16:E16"/>
    <mergeCell ref="A17:E17"/>
    <mergeCell ref="A18:E18"/>
    <mergeCell ref="A19:E19"/>
    <mergeCell ref="A20:C20"/>
    <mergeCell ref="A21:B21"/>
    <mergeCell ref="C21:E21"/>
    <mergeCell ref="A25:E25"/>
    <mergeCell ref="A27:E27"/>
    <mergeCell ref="A28:E28"/>
    <mergeCell ref="A29:E29"/>
    <mergeCell ref="A30:C30"/>
    <mergeCell ref="A31:B31"/>
    <mergeCell ref="C31:E31"/>
    <mergeCell ref="A40:C40"/>
    <mergeCell ref="A41:B41"/>
    <mergeCell ref="C41:E41"/>
    <mergeCell ref="A35:E35"/>
    <mergeCell ref="A36:E36"/>
    <mergeCell ref="A37:E37"/>
    <mergeCell ref="A38:E38"/>
    <mergeCell ref="A39:E39"/>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Z125"/>
  <sheetViews>
    <sheetView topLeftCell="A87" workbookViewId="0">
      <selection activeCell="E126" sqref="E126"/>
    </sheetView>
  </sheetViews>
  <sheetFormatPr defaultRowHeight="12.75" x14ac:dyDescent="0.2"/>
  <cols>
    <col min="1" max="1" width="5.42578125" style="1494" customWidth="1"/>
    <col min="2" max="2" width="61.85546875" style="1494" customWidth="1"/>
    <col min="3" max="3" width="18.7109375" style="1494" customWidth="1"/>
    <col min="4" max="4" width="9.42578125" style="1494" customWidth="1"/>
    <col min="5" max="5" width="23" style="1494" customWidth="1"/>
    <col min="6" max="256" width="9.140625" style="1494"/>
    <col min="257" max="257" width="5.42578125" style="1494" customWidth="1"/>
    <col min="258" max="258" width="61.85546875" style="1494" customWidth="1"/>
    <col min="259" max="259" width="18.7109375" style="1494" customWidth="1"/>
    <col min="260" max="260" width="9.42578125" style="1494" customWidth="1"/>
    <col min="261" max="261" width="23" style="1494" customWidth="1"/>
    <col min="262" max="512" width="9.140625" style="1494"/>
    <col min="513" max="513" width="5.42578125" style="1494" customWidth="1"/>
    <col min="514" max="514" width="61.85546875" style="1494" customWidth="1"/>
    <col min="515" max="515" width="18.7109375" style="1494" customWidth="1"/>
    <col min="516" max="516" width="9.42578125" style="1494" customWidth="1"/>
    <col min="517" max="517" width="23" style="1494" customWidth="1"/>
    <col min="518" max="768" width="9.140625" style="1494"/>
    <col min="769" max="769" width="5.42578125" style="1494" customWidth="1"/>
    <col min="770" max="770" width="61.85546875" style="1494" customWidth="1"/>
    <col min="771" max="771" width="18.7109375" style="1494" customWidth="1"/>
    <col min="772" max="772" width="9.42578125" style="1494" customWidth="1"/>
    <col min="773" max="773" width="23" style="1494" customWidth="1"/>
    <col min="774" max="1024" width="9.140625" style="1494"/>
    <col min="1025" max="1025" width="5.42578125" style="1494" customWidth="1"/>
    <col min="1026" max="1026" width="61.85546875" style="1494" customWidth="1"/>
    <col min="1027" max="1027" width="18.7109375" style="1494" customWidth="1"/>
    <col min="1028" max="1028" width="9.42578125" style="1494" customWidth="1"/>
    <col min="1029" max="1029" width="23" style="1494" customWidth="1"/>
    <col min="1030" max="1280" width="9.140625" style="1494"/>
    <col min="1281" max="1281" width="5.42578125" style="1494" customWidth="1"/>
    <col min="1282" max="1282" width="61.85546875" style="1494" customWidth="1"/>
    <col min="1283" max="1283" width="18.7109375" style="1494" customWidth="1"/>
    <col min="1284" max="1284" width="9.42578125" style="1494" customWidth="1"/>
    <col min="1285" max="1285" width="23" style="1494" customWidth="1"/>
    <col min="1286" max="1536" width="9.140625" style="1494"/>
    <col min="1537" max="1537" width="5.42578125" style="1494" customWidth="1"/>
    <col min="1538" max="1538" width="61.85546875" style="1494" customWidth="1"/>
    <col min="1539" max="1539" width="18.7109375" style="1494" customWidth="1"/>
    <col min="1540" max="1540" width="9.42578125" style="1494" customWidth="1"/>
    <col min="1541" max="1541" width="23" style="1494" customWidth="1"/>
    <col min="1542" max="1792" width="9.140625" style="1494"/>
    <col min="1793" max="1793" width="5.42578125" style="1494" customWidth="1"/>
    <col min="1794" max="1794" width="61.85546875" style="1494" customWidth="1"/>
    <col min="1795" max="1795" width="18.7109375" style="1494" customWidth="1"/>
    <col min="1796" max="1796" width="9.42578125" style="1494" customWidth="1"/>
    <col min="1797" max="1797" width="23" style="1494" customWidth="1"/>
    <col min="1798" max="2048" width="9.140625" style="1494"/>
    <col min="2049" max="2049" width="5.42578125" style="1494" customWidth="1"/>
    <col min="2050" max="2050" width="61.85546875" style="1494" customWidth="1"/>
    <col min="2051" max="2051" width="18.7109375" style="1494" customWidth="1"/>
    <col min="2052" max="2052" width="9.42578125" style="1494" customWidth="1"/>
    <col min="2053" max="2053" width="23" style="1494" customWidth="1"/>
    <col min="2054" max="2304" width="9.140625" style="1494"/>
    <col min="2305" max="2305" width="5.42578125" style="1494" customWidth="1"/>
    <col min="2306" max="2306" width="61.85546875" style="1494" customWidth="1"/>
    <col min="2307" max="2307" width="18.7109375" style="1494" customWidth="1"/>
    <col min="2308" max="2308" width="9.42578125" style="1494" customWidth="1"/>
    <col min="2309" max="2309" width="23" style="1494" customWidth="1"/>
    <col min="2310" max="2560" width="9.140625" style="1494"/>
    <col min="2561" max="2561" width="5.42578125" style="1494" customWidth="1"/>
    <col min="2562" max="2562" width="61.85546875" style="1494" customWidth="1"/>
    <col min="2563" max="2563" width="18.7109375" style="1494" customWidth="1"/>
    <col min="2564" max="2564" width="9.42578125" style="1494" customWidth="1"/>
    <col min="2565" max="2565" width="23" style="1494" customWidth="1"/>
    <col min="2566" max="2816" width="9.140625" style="1494"/>
    <col min="2817" max="2817" width="5.42578125" style="1494" customWidth="1"/>
    <col min="2818" max="2818" width="61.85546875" style="1494" customWidth="1"/>
    <col min="2819" max="2819" width="18.7109375" style="1494" customWidth="1"/>
    <col min="2820" max="2820" width="9.42578125" style="1494" customWidth="1"/>
    <col min="2821" max="2821" width="23" style="1494" customWidth="1"/>
    <col min="2822" max="3072" width="9.140625" style="1494"/>
    <col min="3073" max="3073" width="5.42578125" style="1494" customWidth="1"/>
    <col min="3074" max="3074" width="61.85546875" style="1494" customWidth="1"/>
    <col min="3075" max="3075" width="18.7109375" style="1494" customWidth="1"/>
    <col min="3076" max="3076" width="9.42578125" style="1494" customWidth="1"/>
    <col min="3077" max="3077" width="23" style="1494" customWidth="1"/>
    <col min="3078" max="3328" width="9.140625" style="1494"/>
    <col min="3329" max="3329" width="5.42578125" style="1494" customWidth="1"/>
    <col min="3330" max="3330" width="61.85546875" style="1494" customWidth="1"/>
    <col min="3331" max="3331" width="18.7109375" style="1494" customWidth="1"/>
    <col min="3332" max="3332" width="9.42578125" style="1494" customWidth="1"/>
    <col min="3333" max="3333" width="23" style="1494" customWidth="1"/>
    <col min="3334" max="3584" width="9.140625" style="1494"/>
    <col min="3585" max="3585" width="5.42578125" style="1494" customWidth="1"/>
    <col min="3586" max="3586" width="61.85546875" style="1494" customWidth="1"/>
    <col min="3587" max="3587" width="18.7109375" style="1494" customWidth="1"/>
    <col min="3588" max="3588" width="9.42578125" style="1494" customWidth="1"/>
    <col min="3589" max="3589" width="23" style="1494" customWidth="1"/>
    <col min="3590" max="3840" width="9.140625" style="1494"/>
    <col min="3841" max="3841" width="5.42578125" style="1494" customWidth="1"/>
    <col min="3842" max="3842" width="61.85546875" style="1494" customWidth="1"/>
    <col min="3843" max="3843" width="18.7109375" style="1494" customWidth="1"/>
    <col min="3844" max="3844" width="9.42578125" style="1494" customWidth="1"/>
    <col min="3845" max="3845" width="23" style="1494" customWidth="1"/>
    <col min="3846" max="4096" width="9.140625" style="1494"/>
    <col min="4097" max="4097" width="5.42578125" style="1494" customWidth="1"/>
    <col min="4098" max="4098" width="61.85546875" style="1494" customWidth="1"/>
    <col min="4099" max="4099" width="18.7109375" style="1494" customWidth="1"/>
    <col min="4100" max="4100" width="9.42578125" style="1494" customWidth="1"/>
    <col min="4101" max="4101" width="23" style="1494" customWidth="1"/>
    <col min="4102" max="4352" width="9.140625" style="1494"/>
    <col min="4353" max="4353" width="5.42578125" style="1494" customWidth="1"/>
    <col min="4354" max="4354" width="61.85546875" style="1494" customWidth="1"/>
    <col min="4355" max="4355" width="18.7109375" style="1494" customWidth="1"/>
    <col min="4356" max="4356" width="9.42578125" style="1494" customWidth="1"/>
    <col min="4357" max="4357" width="23" style="1494" customWidth="1"/>
    <col min="4358" max="4608" width="9.140625" style="1494"/>
    <col min="4609" max="4609" width="5.42578125" style="1494" customWidth="1"/>
    <col min="4610" max="4610" width="61.85546875" style="1494" customWidth="1"/>
    <col min="4611" max="4611" width="18.7109375" style="1494" customWidth="1"/>
    <col min="4612" max="4612" width="9.42578125" style="1494" customWidth="1"/>
    <col min="4613" max="4613" width="23" style="1494" customWidth="1"/>
    <col min="4614" max="4864" width="9.140625" style="1494"/>
    <col min="4865" max="4865" width="5.42578125" style="1494" customWidth="1"/>
    <col min="4866" max="4866" width="61.85546875" style="1494" customWidth="1"/>
    <col min="4867" max="4867" width="18.7109375" style="1494" customWidth="1"/>
    <col min="4868" max="4868" width="9.42578125" style="1494" customWidth="1"/>
    <col min="4869" max="4869" width="23" style="1494" customWidth="1"/>
    <col min="4870" max="5120" width="9.140625" style="1494"/>
    <col min="5121" max="5121" width="5.42578125" style="1494" customWidth="1"/>
    <col min="5122" max="5122" width="61.85546875" style="1494" customWidth="1"/>
    <col min="5123" max="5123" width="18.7109375" style="1494" customWidth="1"/>
    <col min="5124" max="5124" width="9.42578125" style="1494" customWidth="1"/>
    <col min="5125" max="5125" width="23" style="1494" customWidth="1"/>
    <col min="5126" max="5376" width="9.140625" style="1494"/>
    <col min="5377" max="5377" width="5.42578125" style="1494" customWidth="1"/>
    <col min="5378" max="5378" width="61.85546875" style="1494" customWidth="1"/>
    <col min="5379" max="5379" width="18.7109375" style="1494" customWidth="1"/>
    <col min="5380" max="5380" width="9.42578125" style="1494" customWidth="1"/>
    <col min="5381" max="5381" width="23" style="1494" customWidth="1"/>
    <col min="5382" max="5632" width="9.140625" style="1494"/>
    <col min="5633" max="5633" width="5.42578125" style="1494" customWidth="1"/>
    <col min="5634" max="5634" width="61.85546875" style="1494" customWidth="1"/>
    <col min="5635" max="5635" width="18.7109375" style="1494" customWidth="1"/>
    <col min="5636" max="5636" width="9.42578125" style="1494" customWidth="1"/>
    <col min="5637" max="5637" width="23" style="1494" customWidth="1"/>
    <col min="5638" max="5888" width="9.140625" style="1494"/>
    <col min="5889" max="5889" width="5.42578125" style="1494" customWidth="1"/>
    <col min="5890" max="5890" width="61.85546875" style="1494" customWidth="1"/>
    <col min="5891" max="5891" width="18.7109375" style="1494" customWidth="1"/>
    <col min="5892" max="5892" width="9.42578125" style="1494" customWidth="1"/>
    <col min="5893" max="5893" width="23" style="1494" customWidth="1"/>
    <col min="5894" max="6144" width="9.140625" style="1494"/>
    <col min="6145" max="6145" width="5.42578125" style="1494" customWidth="1"/>
    <col min="6146" max="6146" width="61.85546875" style="1494" customWidth="1"/>
    <col min="6147" max="6147" width="18.7109375" style="1494" customWidth="1"/>
    <col min="6148" max="6148" width="9.42578125" style="1494" customWidth="1"/>
    <col min="6149" max="6149" width="23" style="1494" customWidth="1"/>
    <col min="6150" max="6400" width="9.140625" style="1494"/>
    <col min="6401" max="6401" width="5.42578125" style="1494" customWidth="1"/>
    <col min="6402" max="6402" width="61.85546875" style="1494" customWidth="1"/>
    <col min="6403" max="6403" width="18.7109375" style="1494" customWidth="1"/>
    <col min="6404" max="6404" width="9.42578125" style="1494" customWidth="1"/>
    <col min="6405" max="6405" width="23" style="1494" customWidth="1"/>
    <col min="6406" max="6656" width="9.140625" style="1494"/>
    <col min="6657" max="6657" width="5.42578125" style="1494" customWidth="1"/>
    <col min="6658" max="6658" width="61.85546875" style="1494" customWidth="1"/>
    <col min="6659" max="6659" width="18.7109375" style="1494" customWidth="1"/>
    <col min="6660" max="6660" width="9.42578125" style="1494" customWidth="1"/>
    <col min="6661" max="6661" width="23" style="1494" customWidth="1"/>
    <col min="6662" max="6912" width="9.140625" style="1494"/>
    <col min="6913" max="6913" width="5.42578125" style="1494" customWidth="1"/>
    <col min="6914" max="6914" width="61.85546875" style="1494" customWidth="1"/>
    <col min="6915" max="6915" width="18.7109375" style="1494" customWidth="1"/>
    <col min="6916" max="6916" width="9.42578125" style="1494" customWidth="1"/>
    <col min="6917" max="6917" width="23" style="1494" customWidth="1"/>
    <col min="6918" max="7168" width="9.140625" style="1494"/>
    <col min="7169" max="7169" width="5.42578125" style="1494" customWidth="1"/>
    <col min="7170" max="7170" width="61.85546875" style="1494" customWidth="1"/>
    <col min="7171" max="7171" width="18.7109375" style="1494" customWidth="1"/>
    <col min="7172" max="7172" width="9.42578125" style="1494" customWidth="1"/>
    <col min="7173" max="7173" width="23" style="1494" customWidth="1"/>
    <col min="7174" max="7424" width="9.140625" style="1494"/>
    <col min="7425" max="7425" width="5.42578125" style="1494" customWidth="1"/>
    <col min="7426" max="7426" width="61.85546875" style="1494" customWidth="1"/>
    <col min="7427" max="7427" width="18.7109375" style="1494" customWidth="1"/>
    <col min="7428" max="7428" width="9.42578125" style="1494" customWidth="1"/>
    <col min="7429" max="7429" width="23" style="1494" customWidth="1"/>
    <col min="7430" max="7680" width="9.140625" style="1494"/>
    <col min="7681" max="7681" width="5.42578125" style="1494" customWidth="1"/>
    <col min="7682" max="7682" width="61.85546875" style="1494" customWidth="1"/>
    <col min="7683" max="7683" width="18.7109375" style="1494" customWidth="1"/>
    <col min="7684" max="7684" width="9.42578125" style="1494" customWidth="1"/>
    <col min="7685" max="7685" width="23" style="1494" customWidth="1"/>
    <col min="7686" max="7936" width="9.140625" style="1494"/>
    <col min="7937" max="7937" width="5.42578125" style="1494" customWidth="1"/>
    <col min="7938" max="7938" width="61.85546875" style="1494" customWidth="1"/>
    <col min="7939" max="7939" width="18.7109375" style="1494" customWidth="1"/>
    <col min="7940" max="7940" width="9.42578125" style="1494" customWidth="1"/>
    <col min="7941" max="7941" width="23" style="1494" customWidth="1"/>
    <col min="7942" max="8192" width="9.140625" style="1494"/>
    <col min="8193" max="8193" width="5.42578125" style="1494" customWidth="1"/>
    <col min="8194" max="8194" width="61.85546875" style="1494" customWidth="1"/>
    <col min="8195" max="8195" width="18.7109375" style="1494" customWidth="1"/>
    <col min="8196" max="8196" width="9.42578125" style="1494" customWidth="1"/>
    <col min="8197" max="8197" width="23" style="1494" customWidth="1"/>
    <col min="8198" max="8448" width="9.140625" style="1494"/>
    <col min="8449" max="8449" width="5.42578125" style="1494" customWidth="1"/>
    <col min="8450" max="8450" width="61.85546875" style="1494" customWidth="1"/>
    <col min="8451" max="8451" width="18.7109375" style="1494" customWidth="1"/>
    <col min="8452" max="8452" width="9.42578125" style="1494" customWidth="1"/>
    <col min="8453" max="8453" width="23" style="1494" customWidth="1"/>
    <col min="8454" max="8704" width="9.140625" style="1494"/>
    <col min="8705" max="8705" width="5.42578125" style="1494" customWidth="1"/>
    <col min="8706" max="8706" width="61.85546875" style="1494" customWidth="1"/>
    <col min="8707" max="8707" width="18.7109375" style="1494" customWidth="1"/>
    <col min="8708" max="8708" width="9.42578125" style="1494" customWidth="1"/>
    <col min="8709" max="8709" width="23" style="1494" customWidth="1"/>
    <col min="8710" max="8960" width="9.140625" style="1494"/>
    <col min="8961" max="8961" width="5.42578125" style="1494" customWidth="1"/>
    <col min="8962" max="8962" width="61.85546875" style="1494" customWidth="1"/>
    <col min="8963" max="8963" width="18.7109375" style="1494" customWidth="1"/>
    <col min="8964" max="8964" width="9.42578125" style="1494" customWidth="1"/>
    <col min="8965" max="8965" width="23" style="1494" customWidth="1"/>
    <col min="8966" max="9216" width="9.140625" style="1494"/>
    <col min="9217" max="9217" width="5.42578125" style="1494" customWidth="1"/>
    <col min="9218" max="9218" width="61.85546875" style="1494" customWidth="1"/>
    <col min="9219" max="9219" width="18.7109375" style="1494" customWidth="1"/>
    <col min="9220" max="9220" width="9.42578125" style="1494" customWidth="1"/>
    <col min="9221" max="9221" width="23" style="1494" customWidth="1"/>
    <col min="9222" max="9472" width="9.140625" style="1494"/>
    <col min="9473" max="9473" width="5.42578125" style="1494" customWidth="1"/>
    <col min="9474" max="9474" width="61.85546875" style="1494" customWidth="1"/>
    <col min="9475" max="9475" width="18.7109375" style="1494" customWidth="1"/>
    <col min="9476" max="9476" width="9.42578125" style="1494" customWidth="1"/>
    <col min="9477" max="9477" width="23" style="1494" customWidth="1"/>
    <col min="9478" max="9728" width="9.140625" style="1494"/>
    <col min="9729" max="9729" width="5.42578125" style="1494" customWidth="1"/>
    <col min="9730" max="9730" width="61.85546875" style="1494" customWidth="1"/>
    <col min="9731" max="9731" width="18.7109375" style="1494" customWidth="1"/>
    <col min="9732" max="9732" width="9.42578125" style="1494" customWidth="1"/>
    <col min="9733" max="9733" width="23" style="1494" customWidth="1"/>
    <col min="9734" max="9984" width="9.140625" style="1494"/>
    <col min="9985" max="9985" width="5.42578125" style="1494" customWidth="1"/>
    <col min="9986" max="9986" width="61.85546875" style="1494" customWidth="1"/>
    <col min="9987" max="9987" width="18.7109375" style="1494" customWidth="1"/>
    <col min="9988" max="9988" width="9.42578125" style="1494" customWidth="1"/>
    <col min="9989" max="9989" width="23" style="1494" customWidth="1"/>
    <col min="9990" max="10240" width="9.140625" style="1494"/>
    <col min="10241" max="10241" width="5.42578125" style="1494" customWidth="1"/>
    <col min="10242" max="10242" width="61.85546875" style="1494" customWidth="1"/>
    <col min="10243" max="10243" width="18.7109375" style="1494" customWidth="1"/>
    <col min="10244" max="10244" width="9.42578125" style="1494" customWidth="1"/>
    <col min="10245" max="10245" width="23" style="1494" customWidth="1"/>
    <col min="10246" max="10496" width="9.140625" style="1494"/>
    <col min="10497" max="10497" width="5.42578125" style="1494" customWidth="1"/>
    <col min="10498" max="10498" width="61.85546875" style="1494" customWidth="1"/>
    <col min="10499" max="10499" width="18.7109375" style="1494" customWidth="1"/>
    <col min="10500" max="10500" width="9.42578125" style="1494" customWidth="1"/>
    <col min="10501" max="10501" width="23" style="1494" customWidth="1"/>
    <col min="10502" max="10752" width="9.140625" style="1494"/>
    <col min="10753" max="10753" width="5.42578125" style="1494" customWidth="1"/>
    <col min="10754" max="10754" width="61.85546875" style="1494" customWidth="1"/>
    <col min="10755" max="10755" width="18.7109375" style="1494" customWidth="1"/>
    <col min="10756" max="10756" width="9.42578125" style="1494" customWidth="1"/>
    <col min="10757" max="10757" width="23" style="1494" customWidth="1"/>
    <col min="10758" max="11008" width="9.140625" style="1494"/>
    <col min="11009" max="11009" width="5.42578125" style="1494" customWidth="1"/>
    <col min="11010" max="11010" width="61.85546875" style="1494" customWidth="1"/>
    <col min="11011" max="11011" width="18.7109375" style="1494" customWidth="1"/>
    <col min="11012" max="11012" width="9.42578125" style="1494" customWidth="1"/>
    <col min="11013" max="11013" width="23" style="1494" customWidth="1"/>
    <col min="11014" max="11264" width="9.140625" style="1494"/>
    <col min="11265" max="11265" width="5.42578125" style="1494" customWidth="1"/>
    <col min="11266" max="11266" width="61.85546875" style="1494" customWidth="1"/>
    <col min="11267" max="11267" width="18.7109375" style="1494" customWidth="1"/>
    <col min="11268" max="11268" width="9.42578125" style="1494" customWidth="1"/>
    <col min="11269" max="11269" width="23" style="1494" customWidth="1"/>
    <col min="11270" max="11520" width="9.140625" style="1494"/>
    <col min="11521" max="11521" width="5.42578125" style="1494" customWidth="1"/>
    <col min="11522" max="11522" width="61.85546875" style="1494" customWidth="1"/>
    <col min="11523" max="11523" width="18.7109375" style="1494" customWidth="1"/>
    <col min="11524" max="11524" width="9.42578125" style="1494" customWidth="1"/>
    <col min="11525" max="11525" width="23" style="1494" customWidth="1"/>
    <col min="11526" max="11776" width="9.140625" style="1494"/>
    <col min="11777" max="11777" width="5.42578125" style="1494" customWidth="1"/>
    <col min="11778" max="11778" width="61.85546875" style="1494" customWidth="1"/>
    <col min="11779" max="11779" width="18.7109375" style="1494" customWidth="1"/>
    <col min="11780" max="11780" width="9.42578125" style="1494" customWidth="1"/>
    <col min="11781" max="11781" width="23" style="1494" customWidth="1"/>
    <col min="11782" max="12032" width="9.140625" style="1494"/>
    <col min="12033" max="12033" width="5.42578125" style="1494" customWidth="1"/>
    <col min="12034" max="12034" width="61.85546875" style="1494" customWidth="1"/>
    <col min="12035" max="12035" width="18.7109375" style="1494" customWidth="1"/>
    <col min="12036" max="12036" width="9.42578125" style="1494" customWidth="1"/>
    <col min="12037" max="12037" width="23" style="1494" customWidth="1"/>
    <col min="12038" max="12288" width="9.140625" style="1494"/>
    <col min="12289" max="12289" width="5.42578125" style="1494" customWidth="1"/>
    <col min="12290" max="12290" width="61.85546875" style="1494" customWidth="1"/>
    <col min="12291" max="12291" width="18.7109375" style="1494" customWidth="1"/>
    <col min="12292" max="12292" width="9.42578125" style="1494" customWidth="1"/>
    <col min="12293" max="12293" width="23" style="1494" customWidth="1"/>
    <col min="12294" max="12544" width="9.140625" style="1494"/>
    <col min="12545" max="12545" width="5.42578125" style="1494" customWidth="1"/>
    <col min="12546" max="12546" width="61.85546875" style="1494" customWidth="1"/>
    <col min="12547" max="12547" width="18.7109375" style="1494" customWidth="1"/>
    <col min="12548" max="12548" width="9.42578125" style="1494" customWidth="1"/>
    <col min="12549" max="12549" width="23" style="1494" customWidth="1"/>
    <col min="12550" max="12800" width="9.140625" style="1494"/>
    <col min="12801" max="12801" width="5.42578125" style="1494" customWidth="1"/>
    <col min="12802" max="12802" width="61.85546875" style="1494" customWidth="1"/>
    <col min="12803" max="12803" width="18.7109375" style="1494" customWidth="1"/>
    <col min="12804" max="12804" width="9.42578125" style="1494" customWidth="1"/>
    <col min="12805" max="12805" width="23" style="1494" customWidth="1"/>
    <col min="12806" max="13056" width="9.140625" style="1494"/>
    <col min="13057" max="13057" width="5.42578125" style="1494" customWidth="1"/>
    <col min="13058" max="13058" width="61.85546875" style="1494" customWidth="1"/>
    <col min="13059" max="13059" width="18.7109375" style="1494" customWidth="1"/>
    <col min="13060" max="13060" width="9.42578125" style="1494" customWidth="1"/>
    <col min="13061" max="13061" width="23" style="1494" customWidth="1"/>
    <col min="13062" max="13312" width="9.140625" style="1494"/>
    <col min="13313" max="13313" width="5.42578125" style="1494" customWidth="1"/>
    <col min="13314" max="13314" width="61.85546875" style="1494" customWidth="1"/>
    <col min="13315" max="13315" width="18.7109375" style="1494" customWidth="1"/>
    <col min="13316" max="13316" width="9.42578125" style="1494" customWidth="1"/>
    <col min="13317" max="13317" width="23" style="1494" customWidth="1"/>
    <col min="13318" max="13568" width="9.140625" style="1494"/>
    <col min="13569" max="13569" width="5.42578125" style="1494" customWidth="1"/>
    <col min="13570" max="13570" width="61.85546875" style="1494" customWidth="1"/>
    <col min="13571" max="13571" width="18.7109375" style="1494" customWidth="1"/>
    <col min="13572" max="13572" width="9.42578125" style="1494" customWidth="1"/>
    <col min="13573" max="13573" width="23" style="1494" customWidth="1"/>
    <col min="13574" max="13824" width="9.140625" style="1494"/>
    <col min="13825" max="13825" width="5.42578125" style="1494" customWidth="1"/>
    <col min="13826" max="13826" width="61.85546875" style="1494" customWidth="1"/>
    <col min="13827" max="13827" width="18.7109375" style="1494" customWidth="1"/>
    <col min="13828" max="13828" width="9.42578125" style="1494" customWidth="1"/>
    <col min="13829" max="13829" width="23" style="1494" customWidth="1"/>
    <col min="13830" max="14080" width="9.140625" style="1494"/>
    <col min="14081" max="14081" width="5.42578125" style="1494" customWidth="1"/>
    <col min="14082" max="14082" width="61.85546875" style="1494" customWidth="1"/>
    <col min="14083" max="14083" width="18.7109375" style="1494" customWidth="1"/>
    <col min="14084" max="14084" width="9.42578125" style="1494" customWidth="1"/>
    <col min="14085" max="14085" width="23" style="1494" customWidth="1"/>
    <col min="14086" max="14336" width="9.140625" style="1494"/>
    <col min="14337" max="14337" width="5.42578125" style="1494" customWidth="1"/>
    <col min="14338" max="14338" width="61.85546875" style="1494" customWidth="1"/>
    <col min="14339" max="14339" width="18.7109375" style="1494" customWidth="1"/>
    <col min="14340" max="14340" width="9.42578125" style="1494" customWidth="1"/>
    <col min="14341" max="14341" width="23" style="1494" customWidth="1"/>
    <col min="14342" max="14592" width="9.140625" style="1494"/>
    <col min="14593" max="14593" width="5.42578125" style="1494" customWidth="1"/>
    <col min="14594" max="14594" width="61.85546875" style="1494" customWidth="1"/>
    <col min="14595" max="14595" width="18.7109375" style="1494" customWidth="1"/>
    <col min="14596" max="14596" width="9.42578125" style="1494" customWidth="1"/>
    <col min="14597" max="14597" width="23" style="1494" customWidth="1"/>
    <col min="14598" max="14848" width="9.140625" style="1494"/>
    <col min="14849" max="14849" width="5.42578125" style="1494" customWidth="1"/>
    <col min="14850" max="14850" width="61.85546875" style="1494" customWidth="1"/>
    <col min="14851" max="14851" width="18.7109375" style="1494" customWidth="1"/>
    <col min="14852" max="14852" width="9.42578125" style="1494" customWidth="1"/>
    <col min="14853" max="14853" width="23" style="1494" customWidth="1"/>
    <col min="14854" max="15104" width="9.140625" style="1494"/>
    <col min="15105" max="15105" width="5.42578125" style="1494" customWidth="1"/>
    <col min="15106" max="15106" width="61.85546875" style="1494" customWidth="1"/>
    <col min="15107" max="15107" width="18.7109375" style="1494" customWidth="1"/>
    <col min="15108" max="15108" width="9.42578125" style="1494" customWidth="1"/>
    <col min="15109" max="15109" width="23" style="1494" customWidth="1"/>
    <col min="15110" max="15360" width="9.140625" style="1494"/>
    <col min="15361" max="15361" width="5.42578125" style="1494" customWidth="1"/>
    <col min="15362" max="15362" width="61.85546875" style="1494" customWidth="1"/>
    <col min="15363" max="15363" width="18.7109375" style="1494" customWidth="1"/>
    <col min="15364" max="15364" width="9.42578125" style="1494" customWidth="1"/>
    <col min="15365" max="15365" width="23" style="1494" customWidth="1"/>
    <col min="15366" max="15616" width="9.140625" style="1494"/>
    <col min="15617" max="15617" width="5.42578125" style="1494" customWidth="1"/>
    <col min="15618" max="15618" width="61.85546875" style="1494" customWidth="1"/>
    <col min="15619" max="15619" width="18.7109375" style="1494" customWidth="1"/>
    <col min="15620" max="15620" width="9.42578125" style="1494" customWidth="1"/>
    <col min="15621" max="15621" width="23" style="1494" customWidth="1"/>
    <col min="15622" max="15872" width="9.140625" style="1494"/>
    <col min="15873" max="15873" width="5.42578125" style="1494" customWidth="1"/>
    <col min="15874" max="15874" width="61.85546875" style="1494" customWidth="1"/>
    <col min="15875" max="15875" width="18.7109375" style="1494" customWidth="1"/>
    <col min="15876" max="15876" width="9.42578125" style="1494" customWidth="1"/>
    <col min="15877" max="15877" width="23" style="1494" customWidth="1"/>
    <col min="15878" max="16128" width="9.140625" style="1494"/>
    <col min="16129" max="16129" width="5.42578125" style="1494" customWidth="1"/>
    <col min="16130" max="16130" width="61.85546875" style="1494" customWidth="1"/>
    <col min="16131" max="16131" width="18.7109375" style="1494" customWidth="1"/>
    <col min="16132" max="16132" width="9.42578125" style="1494" customWidth="1"/>
    <col min="16133" max="16133" width="23" style="1494" customWidth="1"/>
    <col min="16134" max="16384" width="9.140625" style="1494"/>
  </cols>
  <sheetData>
    <row r="1" spans="1:26" ht="12.75" customHeight="1" x14ac:dyDescent="0.2">
      <c r="A1" s="2850" t="s">
        <v>6004</v>
      </c>
      <c r="B1" s="2851"/>
      <c r="C1" s="2851"/>
      <c r="D1" s="2851"/>
      <c r="E1" s="2851"/>
      <c r="F1" s="2851"/>
      <c r="G1" s="2851"/>
      <c r="H1" s="2851"/>
      <c r="I1" s="2851"/>
      <c r="J1" s="2851"/>
      <c r="K1" s="2851"/>
      <c r="L1" s="2851"/>
      <c r="M1" s="2851"/>
      <c r="N1" s="2851"/>
      <c r="O1" s="2851"/>
      <c r="P1" s="2851"/>
      <c r="Q1" s="2851"/>
      <c r="R1" s="2851"/>
      <c r="S1" s="2851"/>
      <c r="T1" s="2851"/>
      <c r="U1" s="2851"/>
      <c r="V1" s="2851"/>
      <c r="W1" s="2851"/>
      <c r="X1" s="2851"/>
      <c r="Y1" s="2851"/>
      <c r="Z1" s="2851"/>
    </row>
    <row r="2" spans="1:26" ht="12.75" customHeight="1" x14ac:dyDescent="0.2">
      <c r="A2" s="1494" t="s">
        <v>588</v>
      </c>
    </row>
    <row r="3" spans="1:26" ht="12.75" customHeight="1" x14ac:dyDescent="0.2">
      <c r="A3" s="2849" t="s">
        <v>588</v>
      </c>
      <c r="B3" s="2849" t="s">
        <v>588</v>
      </c>
      <c r="C3" s="2849" t="s">
        <v>588</v>
      </c>
      <c r="D3" s="2849" t="s">
        <v>588</v>
      </c>
      <c r="E3" s="1495" t="s">
        <v>6005</v>
      </c>
      <c r="F3" s="1496" t="s">
        <v>6006</v>
      </c>
    </row>
    <row r="4" spans="1:26" ht="12.75" customHeight="1" x14ac:dyDescent="0.2">
      <c r="A4" s="2849" t="s">
        <v>4136</v>
      </c>
      <c r="B4" s="2849" t="s">
        <v>4144</v>
      </c>
      <c r="C4" s="2849" t="s">
        <v>6007</v>
      </c>
      <c r="D4" s="1495" t="s">
        <v>547</v>
      </c>
      <c r="E4" s="1497">
        <v>100.19</v>
      </c>
      <c r="F4" s="1494">
        <f>E4/100</f>
        <v>1.0019</v>
      </c>
    </row>
    <row r="5" spans="1:26" ht="12.75" customHeight="1" x14ac:dyDescent="0.2">
      <c r="A5" s="2849" t="s">
        <v>4136</v>
      </c>
      <c r="B5" s="2849" t="s">
        <v>4144</v>
      </c>
      <c r="C5" s="2849" t="s">
        <v>6007</v>
      </c>
      <c r="D5" s="1495" t="s">
        <v>548</v>
      </c>
      <c r="E5" s="1497">
        <v>101.71</v>
      </c>
      <c r="F5" s="1494">
        <f t="shared" ref="F5:F68" si="0">E5/100</f>
        <v>1.0170999999999999</v>
      </c>
    </row>
    <row r="6" spans="1:26" ht="12.75" customHeight="1" x14ac:dyDescent="0.2">
      <c r="A6" s="2849" t="s">
        <v>4136</v>
      </c>
      <c r="B6" s="2849" t="s">
        <v>4144</v>
      </c>
      <c r="C6" s="2849" t="s">
        <v>6007</v>
      </c>
      <c r="D6" s="1495" t="s">
        <v>549</v>
      </c>
      <c r="E6" s="1497">
        <v>97.46</v>
      </c>
      <c r="F6" s="1494">
        <f t="shared" si="0"/>
        <v>0.97460000000000002</v>
      </c>
    </row>
    <row r="7" spans="1:26" ht="12.75" customHeight="1" x14ac:dyDescent="0.2">
      <c r="A7" s="2849" t="s">
        <v>4136</v>
      </c>
      <c r="B7" s="2849" t="s">
        <v>4144</v>
      </c>
      <c r="C7" s="2849" t="s">
        <v>6007</v>
      </c>
      <c r="D7" s="1495" t="s">
        <v>550</v>
      </c>
      <c r="E7" s="1498">
        <v>100.75</v>
      </c>
      <c r="F7" s="1496">
        <f t="shared" si="0"/>
        <v>1.0075000000000001</v>
      </c>
    </row>
    <row r="8" spans="1:26" ht="12.75" customHeight="1" x14ac:dyDescent="0.2">
      <c r="A8" s="2849" t="s">
        <v>4136</v>
      </c>
      <c r="B8" s="2849" t="s">
        <v>4144</v>
      </c>
      <c r="C8" s="2849" t="s">
        <v>6007</v>
      </c>
      <c r="D8" s="1495" t="s">
        <v>551</v>
      </c>
      <c r="E8" s="1498">
        <v>101.23</v>
      </c>
      <c r="F8" s="1496">
        <f t="shared" si="0"/>
        <v>1.0123</v>
      </c>
    </row>
    <row r="9" spans="1:26" ht="12.75" customHeight="1" x14ac:dyDescent="0.2">
      <c r="A9" s="2849" t="s">
        <v>4136</v>
      </c>
      <c r="B9" s="2849" t="s">
        <v>4144</v>
      </c>
      <c r="C9" s="2849" t="s">
        <v>6007</v>
      </c>
      <c r="D9" s="1495" t="s">
        <v>552</v>
      </c>
      <c r="E9" s="1498">
        <v>100.13</v>
      </c>
      <c r="F9" s="1496">
        <f t="shared" si="0"/>
        <v>1.0013000000000001</v>
      </c>
    </row>
    <row r="10" spans="1:26" ht="12.75" customHeight="1" x14ac:dyDescent="0.2">
      <c r="A10" s="2849" t="s">
        <v>4136</v>
      </c>
      <c r="B10" s="2849" t="s">
        <v>4144</v>
      </c>
      <c r="C10" s="2849" t="s">
        <v>6007</v>
      </c>
      <c r="D10" s="1495" t="s">
        <v>553</v>
      </c>
      <c r="E10" s="1498">
        <v>100.84</v>
      </c>
      <c r="F10" s="1496">
        <f t="shared" si="0"/>
        <v>1.0084</v>
      </c>
    </row>
    <row r="11" spans="1:26" ht="12.75" customHeight="1" x14ac:dyDescent="0.2">
      <c r="A11" s="2849" t="s">
        <v>4136</v>
      </c>
      <c r="B11" s="2849" t="s">
        <v>4144</v>
      </c>
      <c r="C11" s="2849" t="s">
        <v>6007</v>
      </c>
      <c r="D11" s="1495" t="s">
        <v>554</v>
      </c>
      <c r="E11" s="1498">
        <v>100.89</v>
      </c>
      <c r="F11" s="1496">
        <f t="shared" si="0"/>
        <v>1.0088999999999999</v>
      </c>
    </row>
    <row r="12" spans="1:26" ht="12.75" customHeight="1" x14ac:dyDescent="0.2">
      <c r="A12" s="2849" t="s">
        <v>4136</v>
      </c>
      <c r="B12" s="2849" t="s">
        <v>4144</v>
      </c>
      <c r="C12" s="2849" t="s">
        <v>6007</v>
      </c>
      <c r="D12" s="1495" t="s">
        <v>555</v>
      </c>
      <c r="E12" s="1498">
        <v>100.08</v>
      </c>
      <c r="F12" s="1496">
        <f t="shared" si="0"/>
        <v>1.0007999999999999</v>
      </c>
    </row>
    <row r="13" spans="1:26" ht="12.75" customHeight="1" x14ac:dyDescent="0.2">
      <c r="A13" s="2849" t="s">
        <v>4136</v>
      </c>
      <c r="B13" s="2849" t="s">
        <v>4144</v>
      </c>
      <c r="C13" s="2849" t="s">
        <v>6007</v>
      </c>
      <c r="D13" s="1495" t="s">
        <v>556</v>
      </c>
      <c r="E13" s="1498">
        <v>100.25</v>
      </c>
      <c r="F13" s="1496">
        <f t="shared" si="0"/>
        <v>1.0024999999999999</v>
      </c>
    </row>
    <row r="14" spans="1:26" ht="12.75" customHeight="1" x14ac:dyDescent="0.2">
      <c r="A14" s="2849" t="s">
        <v>4136</v>
      </c>
      <c r="B14" s="2849" t="s">
        <v>4144</v>
      </c>
      <c r="C14" s="2849" t="s">
        <v>6007</v>
      </c>
      <c r="D14" s="1495" t="s">
        <v>545</v>
      </c>
      <c r="E14" s="1498">
        <v>99.6</v>
      </c>
      <c r="F14" s="1496">
        <f t="shared" si="0"/>
        <v>0.996</v>
      </c>
    </row>
    <row r="15" spans="1:26" ht="12.75" customHeight="1" x14ac:dyDescent="0.2">
      <c r="A15" s="2849" t="s">
        <v>4136</v>
      </c>
      <c r="B15" s="2849" t="s">
        <v>4144</v>
      </c>
      <c r="C15" s="2849" t="s">
        <v>6007</v>
      </c>
      <c r="D15" s="1495" t="s">
        <v>546</v>
      </c>
      <c r="E15" s="1498">
        <v>100.32</v>
      </c>
      <c r="F15" s="1496">
        <f t="shared" si="0"/>
        <v>1.0032000000000001</v>
      </c>
    </row>
    <row r="16" spans="1:26" ht="12.75" customHeight="1" x14ac:dyDescent="0.2">
      <c r="A16" s="2849" t="s">
        <v>4137</v>
      </c>
      <c r="B16" s="2849" t="s">
        <v>4144</v>
      </c>
      <c r="C16" s="2849" t="s">
        <v>6007</v>
      </c>
      <c r="D16" s="1495" t="s">
        <v>547</v>
      </c>
      <c r="E16" s="1498">
        <v>99.85</v>
      </c>
      <c r="F16" s="1496">
        <f t="shared" si="0"/>
        <v>0.99850000000000005</v>
      </c>
    </row>
    <row r="17" spans="1:6" ht="12.75" customHeight="1" x14ac:dyDescent="0.2">
      <c r="A17" s="2849" t="s">
        <v>4137</v>
      </c>
      <c r="B17" s="2849" t="s">
        <v>4144</v>
      </c>
      <c r="C17" s="2849" t="s">
        <v>6007</v>
      </c>
      <c r="D17" s="1495" t="s">
        <v>548</v>
      </c>
      <c r="E17" s="1498">
        <v>100.1</v>
      </c>
      <c r="F17" s="1496">
        <f t="shared" si="0"/>
        <v>1.0009999999999999</v>
      </c>
    </row>
    <row r="18" spans="1:6" ht="12.75" customHeight="1" x14ac:dyDescent="0.2">
      <c r="A18" s="2849" t="s">
        <v>4137</v>
      </c>
      <c r="B18" s="2849" t="s">
        <v>4144</v>
      </c>
      <c r="C18" s="2849" t="s">
        <v>6007</v>
      </c>
      <c r="D18" s="1495" t="s">
        <v>549</v>
      </c>
      <c r="E18" s="1498">
        <v>100.51</v>
      </c>
      <c r="F18" s="1496">
        <f t="shared" si="0"/>
        <v>1.0051000000000001</v>
      </c>
    </row>
    <row r="19" spans="1:6" ht="12.75" customHeight="1" x14ac:dyDescent="0.2">
      <c r="A19" s="2849" t="s">
        <v>4137</v>
      </c>
      <c r="B19" s="2849" t="s">
        <v>4144</v>
      </c>
      <c r="C19" s="2849" t="s">
        <v>6007</v>
      </c>
      <c r="D19" s="1495" t="s">
        <v>550</v>
      </c>
      <c r="E19" s="1498">
        <v>100.71</v>
      </c>
      <c r="F19" s="1496">
        <f t="shared" si="0"/>
        <v>1.0071000000000001</v>
      </c>
    </row>
    <row r="20" spans="1:6" ht="12.75" customHeight="1" x14ac:dyDescent="0.2">
      <c r="A20" s="2849" t="s">
        <v>4137</v>
      </c>
      <c r="B20" s="2849" t="s">
        <v>4144</v>
      </c>
      <c r="C20" s="2849" t="s">
        <v>6007</v>
      </c>
      <c r="D20" s="1495" t="s">
        <v>551</v>
      </c>
      <c r="E20" s="1498">
        <v>100.46</v>
      </c>
      <c r="F20" s="1496">
        <f t="shared" si="0"/>
        <v>1.0045999999999999</v>
      </c>
    </row>
    <row r="21" spans="1:6" ht="12.75" customHeight="1" x14ac:dyDescent="0.2">
      <c r="A21" s="2849" t="s">
        <v>4137</v>
      </c>
      <c r="B21" s="2849" t="s">
        <v>4144</v>
      </c>
      <c r="C21" s="2849" t="s">
        <v>6007</v>
      </c>
      <c r="D21" s="1495" t="s">
        <v>552</v>
      </c>
      <c r="E21" s="1498">
        <v>100.44</v>
      </c>
      <c r="F21" s="1496">
        <f t="shared" si="0"/>
        <v>1.0044</v>
      </c>
    </row>
    <row r="22" spans="1:6" ht="12.75" customHeight="1" x14ac:dyDescent="0.2">
      <c r="A22" s="2849" t="s">
        <v>4137</v>
      </c>
      <c r="B22" s="2849" t="s">
        <v>4144</v>
      </c>
      <c r="C22" s="2849" t="s">
        <v>6007</v>
      </c>
      <c r="D22" s="1495" t="s">
        <v>553</v>
      </c>
      <c r="E22" s="1498">
        <v>100.5</v>
      </c>
      <c r="F22" s="1496">
        <f t="shared" si="0"/>
        <v>1.0049999999999999</v>
      </c>
    </row>
    <row r="23" spans="1:6" ht="12.75" customHeight="1" x14ac:dyDescent="0.2">
      <c r="A23" s="2849" t="s">
        <v>4137</v>
      </c>
      <c r="B23" s="2849" t="s">
        <v>4144</v>
      </c>
      <c r="C23" s="2849" t="s">
        <v>6007</v>
      </c>
      <c r="D23" s="1495" t="s">
        <v>554</v>
      </c>
      <c r="E23" s="1498">
        <v>100.77</v>
      </c>
      <c r="F23" s="1496">
        <f t="shared" si="0"/>
        <v>1.0077</v>
      </c>
    </row>
    <row r="24" spans="1:6" ht="12.75" customHeight="1" x14ac:dyDescent="0.2">
      <c r="A24" s="2849" t="s">
        <v>4137</v>
      </c>
      <c r="B24" s="2849" t="s">
        <v>4144</v>
      </c>
      <c r="C24" s="2849" t="s">
        <v>6007</v>
      </c>
      <c r="D24" s="1495" t="s">
        <v>555</v>
      </c>
      <c r="E24" s="1498">
        <v>100.62</v>
      </c>
      <c r="F24" s="1496">
        <f t="shared" si="0"/>
        <v>1.0062</v>
      </c>
    </row>
    <row r="25" spans="1:6" ht="12.75" customHeight="1" x14ac:dyDescent="0.2">
      <c r="A25" s="2849" t="s">
        <v>4137</v>
      </c>
      <c r="B25" s="2849" t="s">
        <v>4144</v>
      </c>
      <c r="C25" s="2849" t="s">
        <v>6007</v>
      </c>
      <c r="D25" s="1495" t="s">
        <v>556</v>
      </c>
      <c r="E25" s="1498">
        <v>100.28</v>
      </c>
      <c r="F25" s="1496">
        <f t="shared" si="0"/>
        <v>1.0027999999999999</v>
      </c>
    </row>
    <row r="26" spans="1:6" ht="12.75" customHeight="1" x14ac:dyDescent="0.2">
      <c r="A26" s="2849" t="s">
        <v>4137</v>
      </c>
      <c r="B26" s="2849" t="s">
        <v>4144</v>
      </c>
      <c r="C26" s="2849" t="s">
        <v>6007</v>
      </c>
      <c r="D26" s="1495" t="s">
        <v>545</v>
      </c>
      <c r="E26" s="1498">
        <v>100.59</v>
      </c>
      <c r="F26" s="1496">
        <f t="shared" si="0"/>
        <v>1.0059</v>
      </c>
    </row>
    <row r="27" spans="1:6" ht="12.75" customHeight="1" x14ac:dyDescent="0.2">
      <c r="A27" s="2849" t="s">
        <v>4137</v>
      </c>
      <c r="B27" s="2849" t="s">
        <v>4144</v>
      </c>
      <c r="C27" s="2849" t="s">
        <v>6007</v>
      </c>
      <c r="D27" s="1495" t="s">
        <v>546</v>
      </c>
      <c r="E27" s="1498">
        <v>100.65</v>
      </c>
      <c r="F27" s="1496">
        <f t="shared" si="0"/>
        <v>1.0065</v>
      </c>
    </row>
    <row r="28" spans="1:6" ht="12.75" customHeight="1" x14ac:dyDescent="0.2">
      <c r="A28" s="2849" t="s">
        <v>4138</v>
      </c>
      <c r="B28" s="2849" t="s">
        <v>4144</v>
      </c>
      <c r="C28" s="2849" t="s">
        <v>6007</v>
      </c>
      <c r="D28" s="1495" t="s">
        <v>547</v>
      </c>
      <c r="E28" s="1498">
        <v>100.81</v>
      </c>
      <c r="F28" s="1496">
        <f t="shared" si="0"/>
        <v>1.0081</v>
      </c>
    </row>
    <row r="29" spans="1:6" ht="12.75" customHeight="1" x14ac:dyDescent="0.2">
      <c r="A29" s="2849" t="s">
        <v>4138</v>
      </c>
      <c r="B29" s="2849" t="s">
        <v>4144</v>
      </c>
      <c r="C29" s="2849" t="s">
        <v>6007</v>
      </c>
      <c r="D29" s="1495" t="s">
        <v>548</v>
      </c>
      <c r="E29" s="1498">
        <v>100.27</v>
      </c>
      <c r="F29" s="1496">
        <f t="shared" si="0"/>
        <v>1.0026999999999999</v>
      </c>
    </row>
    <row r="30" spans="1:6" ht="12.75" customHeight="1" x14ac:dyDescent="0.2">
      <c r="A30" s="2849" t="s">
        <v>4138</v>
      </c>
      <c r="B30" s="2849" t="s">
        <v>4144</v>
      </c>
      <c r="C30" s="2849" t="s">
        <v>6007</v>
      </c>
      <c r="D30" s="1495" t="s">
        <v>549</v>
      </c>
      <c r="E30" s="1498">
        <v>100.31</v>
      </c>
      <c r="F30" s="1496">
        <f t="shared" si="0"/>
        <v>1.0031000000000001</v>
      </c>
    </row>
    <row r="31" spans="1:6" ht="12.75" customHeight="1" x14ac:dyDescent="0.2">
      <c r="A31" s="2849" t="s">
        <v>4138</v>
      </c>
      <c r="B31" s="2849" t="s">
        <v>4144</v>
      </c>
      <c r="C31" s="2849" t="s">
        <v>6007</v>
      </c>
      <c r="D31" s="1495" t="s">
        <v>550</v>
      </c>
      <c r="E31" s="1498">
        <v>100.32</v>
      </c>
      <c r="F31" s="1496">
        <f t="shared" si="0"/>
        <v>1.0032000000000001</v>
      </c>
    </row>
    <row r="32" spans="1:6" ht="12.75" customHeight="1" x14ac:dyDescent="0.2">
      <c r="A32" s="2849" t="s">
        <v>4138</v>
      </c>
      <c r="B32" s="2849" t="s">
        <v>4144</v>
      </c>
      <c r="C32" s="2849" t="s">
        <v>6007</v>
      </c>
      <c r="D32" s="1495" t="s">
        <v>551</v>
      </c>
      <c r="E32" s="1498">
        <v>100.39</v>
      </c>
      <c r="F32" s="1496">
        <f t="shared" si="0"/>
        <v>1.0039</v>
      </c>
    </row>
    <row r="33" spans="1:6" ht="12.75" customHeight="1" x14ac:dyDescent="0.2">
      <c r="A33" s="2849" t="s">
        <v>4138</v>
      </c>
      <c r="B33" s="2849" t="s">
        <v>4144</v>
      </c>
      <c r="C33" s="2849" t="s">
        <v>6007</v>
      </c>
      <c r="D33" s="1495" t="s">
        <v>552</v>
      </c>
      <c r="E33" s="1498">
        <v>100.33</v>
      </c>
      <c r="F33" s="1496">
        <f t="shared" si="0"/>
        <v>1.0033000000000001</v>
      </c>
    </row>
    <row r="34" spans="1:6" ht="12.75" customHeight="1" x14ac:dyDescent="0.2">
      <c r="A34" s="2849" t="s">
        <v>4138</v>
      </c>
      <c r="B34" s="2849" t="s">
        <v>4144</v>
      </c>
      <c r="C34" s="2849" t="s">
        <v>6007</v>
      </c>
      <c r="D34" s="1495" t="s">
        <v>553</v>
      </c>
      <c r="E34" s="1498">
        <v>100.34</v>
      </c>
      <c r="F34" s="1496">
        <f t="shared" si="0"/>
        <v>1.0034000000000001</v>
      </c>
    </row>
    <row r="35" spans="1:6" ht="12.75" customHeight="1" x14ac:dyDescent="0.2">
      <c r="A35" s="2849" t="s">
        <v>4138</v>
      </c>
      <c r="B35" s="2849" t="s">
        <v>4144</v>
      </c>
      <c r="C35" s="2849" t="s">
        <v>6007</v>
      </c>
      <c r="D35" s="1495" t="s">
        <v>554</v>
      </c>
      <c r="E35" s="1498">
        <v>100.64</v>
      </c>
      <c r="F35" s="1496">
        <f t="shared" si="0"/>
        <v>1.0064</v>
      </c>
    </row>
    <row r="36" spans="1:6" ht="12.75" customHeight="1" x14ac:dyDescent="0.2">
      <c r="A36" s="2849" t="s">
        <v>4138</v>
      </c>
      <c r="B36" s="2849" t="s">
        <v>4144</v>
      </c>
      <c r="C36" s="2849" t="s">
        <v>6007</v>
      </c>
      <c r="D36" s="1495" t="s">
        <v>555</v>
      </c>
      <c r="E36" s="1498">
        <v>100.3</v>
      </c>
      <c r="F36" s="1496">
        <f t="shared" si="0"/>
        <v>1.0029999999999999</v>
      </c>
    </row>
    <row r="37" spans="1:6" ht="12.75" customHeight="1" x14ac:dyDescent="0.2">
      <c r="A37" s="2849" t="s">
        <v>4138</v>
      </c>
      <c r="B37" s="2849" t="s">
        <v>4144</v>
      </c>
      <c r="C37" s="2849" t="s">
        <v>6007</v>
      </c>
      <c r="D37" s="1495" t="s">
        <v>556</v>
      </c>
      <c r="E37" s="1498">
        <v>100.22</v>
      </c>
      <c r="F37" s="1496">
        <f t="shared" si="0"/>
        <v>1.0022</v>
      </c>
    </row>
    <row r="38" spans="1:6" ht="12.75" customHeight="1" x14ac:dyDescent="0.2">
      <c r="A38" s="2849" t="s">
        <v>4138</v>
      </c>
      <c r="B38" s="2849" t="s">
        <v>4144</v>
      </c>
      <c r="C38" s="2849" t="s">
        <v>6007</v>
      </c>
      <c r="D38" s="1495" t="s">
        <v>545</v>
      </c>
      <c r="E38" s="1498">
        <v>100.25</v>
      </c>
      <c r="F38" s="1496">
        <f t="shared" si="0"/>
        <v>1.0024999999999999</v>
      </c>
    </row>
    <row r="39" spans="1:6" ht="12.75" customHeight="1" x14ac:dyDescent="0.2">
      <c r="A39" s="2849" t="s">
        <v>4138</v>
      </c>
      <c r="B39" s="2849" t="s">
        <v>4144</v>
      </c>
      <c r="C39" s="2849" t="s">
        <v>6007</v>
      </c>
      <c r="D39" s="1495" t="s">
        <v>546</v>
      </c>
      <c r="E39" s="1498">
        <v>100.08</v>
      </c>
      <c r="F39" s="1496">
        <f t="shared" si="0"/>
        <v>1.0007999999999999</v>
      </c>
    </row>
    <row r="40" spans="1:6" ht="12.75" customHeight="1" x14ac:dyDescent="0.2">
      <c r="A40" s="2849" t="s">
        <v>4139</v>
      </c>
      <c r="B40" s="2849" t="s">
        <v>4144</v>
      </c>
      <c r="C40" s="2849" t="s">
        <v>6007</v>
      </c>
      <c r="D40" s="1495" t="s">
        <v>547</v>
      </c>
      <c r="E40" s="1499">
        <v>100</v>
      </c>
      <c r="F40" s="1496">
        <f t="shared" si="0"/>
        <v>1</v>
      </c>
    </row>
    <row r="41" spans="1:6" ht="12.75" customHeight="1" x14ac:dyDescent="0.2">
      <c r="A41" s="2849" t="s">
        <v>4139</v>
      </c>
      <c r="B41" s="2849" t="s">
        <v>4144</v>
      </c>
      <c r="C41" s="2849" t="s">
        <v>6007</v>
      </c>
      <c r="D41" s="1495" t="s">
        <v>548</v>
      </c>
      <c r="E41" s="1498">
        <v>100.52</v>
      </c>
      <c r="F41" s="1496">
        <f t="shared" si="0"/>
        <v>1.0052000000000001</v>
      </c>
    </row>
    <row r="42" spans="1:6" ht="12.75" customHeight="1" x14ac:dyDescent="0.2">
      <c r="A42" s="2849" t="s">
        <v>4139</v>
      </c>
      <c r="B42" s="2849" t="s">
        <v>4144</v>
      </c>
      <c r="C42" s="2849" t="s">
        <v>6007</v>
      </c>
      <c r="D42" s="1495" t="s">
        <v>549</v>
      </c>
      <c r="E42" s="1498">
        <v>101.68</v>
      </c>
      <c r="F42" s="1496">
        <f t="shared" si="0"/>
        <v>1.0167999999999999</v>
      </c>
    </row>
    <row r="43" spans="1:6" ht="12.75" customHeight="1" x14ac:dyDescent="0.2">
      <c r="A43" s="2849" t="s">
        <v>4139</v>
      </c>
      <c r="B43" s="2849" t="s">
        <v>4144</v>
      </c>
      <c r="C43" s="2849" t="s">
        <v>6007</v>
      </c>
      <c r="D43" s="1495" t="s">
        <v>550</v>
      </c>
      <c r="E43" s="1498">
        <v>100.42</v>
      </c>
      <c r="F43" s="1496">
        <f t="shared" si="0"/>
        <v>1.0042</v>
      </c>
    </row>
    <row r="44" spans="1:6" ht="12.75" customHeight="1" x14ac:dyDescent="0.2">
      <c r="A44" s="2849" t="s">
        <v>4139</v>
      </c>
      <c r="B44" s="2849" t="s">
        <v>4144</v>
      </c>
      <c r="C44" s="2849" t="s">
        <v>6007</v>
      </c>
      <c r="D44" s="1495" t="s">
        <v>551</v>
      </c>
      <c r="E44" s="1498">
        <v>99.97</v>
      </c>
      <c r="F44" s="1496">
        <f t="shared" si="0"/>
        <v>0.99970000000000003</v>
      </c>
    </row>
    <row r="45" spans="1:6" ht="12.75" customHeight="1" x14ac:dyDescent="0.2">
      <c r="A45" s="2849" t="s">
        <v>4139</v>
      </c>
      <c r="B45" s="2849" t="s">
        <v>4144</v>
      </c>
      <c r="C45" s="2849" t="s">
        <v>6007</v>
      </c>
      <c r="D45" s="1495" t="s">
        <v>552</v>
      </c>
      <c r="E45" s="1498">
        <v>99.64</v>
      </c>
      <c r="F45" s="1496">
        <f t="shared" si="0"/>
        <v>0.99639999999999995</v>
      </c>
    </row>
    <row r="46" spans="1:6" ht="12.75" customHeight="1" x14ac:dyDescent="0.2">
      <c r="A46" s="2849" t="s">
        <v>4139</v>
      </c>
      <c r="B46" s="2849" t="s">
        <v>4144</v>
      </c>
      <c r="C46" s="2849" t="s">
        <v>6007</v>
      </c>
      <c r="D46" s="1495" t="s">
        <v>553</v>
      </c>
      <c r="E46" s="1498">
        <v>100.47</v>
      </c>
      <c r="F46" s="1496">
        <f t="shared" si="0"/>
        <v>1.0046999999999999</v>
      </c>
    </row>
    <row r="47" spans="1:6" ht="12.75" customHeight="1" x14ac:dyDescent="0.2">
      <c r="A47" s="2849" t="s">
        <v>4139</v>
      </c>
      <c r="B47" s="2849" t="s">
        <v>4144</v>
      </c>
      <c r="C47" s="2849" t="s">
        <v>6007</v>
      </c>
      <c r="D47" s="1495" t="s">
        <v>554</v>
      </c>
      <c r="E47" s="1498">
        <v>100.63</v>
      </c>
      <c r="F47" s="1496">
        <f t="shared" si="0"/>
        <v>1.0063</v>
      </c>
    </row>
    <row r="48" spans="1:6" ht="12.75" customHeight="1" x14ac:dyDescent="0.2">
      <c r="A48" s="2849" t="s">
        <v>4139</v>
      </c>
      <c r="B48" s="2849" t="s">
        <v>4144</v>
      </c>
      <c r="C48" s="2849" t="s">
        <v>6007</v>
      </c>
      <c r="D48" s="1495" t="s">
        <v>555</v>
      </c>
      <c r="E48" s="1498">
        <v>100.52</v>
      </c>
      <c r="F48" s="1496">
        <f t="shared" si="0"/>
        <v>1.0052000000000001</v>
      </c>
    </row>
    <row r="49" spans="1:6" ht="12.75" customHeight="1" x14ac:dyDescent="0.2">
      <c r="A49" s="2849" t="s">
        <v>4139</v>
      </c>
      <c r="B49" s="2849" t="s">
        <v>4144</v>
      </c>
      <c r="C49" s="2849" t="s">
        <v>6007</v>
      </c>
      <c r="D49" s="1495" t="s">
        <v>556</v>
      </c>
      <c r="E49" s="1498">
        <v>100.41</v>
      </c>
      <c r="F49" s="1496">
        <f t="shared" si="0"/>
        <v>1.0041</v>
      </c>
    </row>
    <row r="50" spans="1:6" ht="12.75" customHeight="1" x14ac:dyDescent="0.2">
      <c r="A50" s="2849" t="s">
        <v>4139</v>
      </c>
      <c r="B50" s="2849" t="s">
        <v>4144</v>
      </c>
      <c r="C50" s="2849" t="s">
        <v>6007</v>
      </c>
      <c r="D50" s="1495" t="s">
        <v>545</v>
      </c>
      <c r="E50" s="1498">
        <v>100.09</v>
      </c>
      <c r="F50" s="1496">
        <f t="shared" si="0"/>
        <v>1.0008999999999999</v>
      </c>
    </row>
    <row r="51" spans="1:6" ht="12.75" customHeight="1" x14ac:dyDescent="0.2">
      <c r="A51" s="2849" t="s">
        <v>4139</v>
      </c>
      <c r="B51" s="2849" t="s">
        <v>4144</v>
      </c>
      <c r="C51" s="2849" t="s">
        <v>6007</v>
      </c>
      <c r="D51" s="1495" t="s">
        <v>546</v>
      </c>
      <c r="E51" s="1498">
        <v>99.88</v>
      </c>
      <c r="F51" s="1496">
        <f t="shared" si="0"/>
        <v>0.99880000000000002</v>
      </c>
    </row>
    <row r="52" spans="1:6" ht="12.75" customHeight="1" x14ac:dyDescent="0.2">
      <c r="A52" s="2849" t="s">
        <v>4140</v>
      </c>
      <c r="B52" s="2849" t="s">
        <v>4144</v>
      </c>
      <c r="C52" s="2849" t="s">
        <v>6007</v>
      </c>
      <c r="D52" s="1495" t="s">
        <v>547</v>
      </c>
      <c r="E52" s="1498">
        <v>100.43</v>
      </c>
      <c r="F52" s="1496">
        <f t="shared" si="0"/>
        <v>1.0043</v>
      </c>
    </row>
    <row r="53" spans="1:6" ht="12.75" customHeight="1" x14ac:dyDescent="0.2">
      <c r="A53" s="2849" t="s">
        <v>4140</v>
      </c>
      <c r="B53" s="2849" t="s">
        <v>4144</v>
      </c>
      <c r="C53" s="2849" t="s">
        <v>6007</v>
      </c>
      <c r="D53" s="1495" t="s">
        <v>548</v>
      </c>
      <c r="E53" s="1498">
        <v>100.08</v>
      </c>
      <c r="F53" s="1496">
        <f t="shared" si="0"/>
        <v>1.0007999999999999</v>
      </c>
    </row>
    <row r="54" spans="1:6" ht="12.75" customHeight="1" x14ac:dyDescent="0.2">
      <c r="A54" s="2849" t="s">
        <v>4140</v>
      </c>
      <c r="B54" s="2849" t="s">
        <v>4144</v>
      </c>
      <c r="C54" s="2849" t="s">
        <v>6007</v>
      </c>
      <c r="D54" s="1495" t="s">
        <v>549</v>
      </c>
      <c r="E54" s="1498">
        <v>101.06</v>
      </c>
      <c r="F54" s="1496">
        <f t="shared" si="0"/>
        <v>1.0105999999999999</v>
      </c>
    </row>
    <row r="55" spans="1:6" ht="12.75" customHeight="1" x14ac:dyDescent="0.2">
      <c r="A55" s="2849" t="s">
        <v>4140</v>
      </c>
      <c r="B55" s="2849" t="s">
        <v>4144</v>
      </c>
      <c r="C55" s="2849" t="s">
        <v>6007</v>
      </c>
      <c r="D55" s="1495" t="s">
        <v>550</v>
      </c>
      <c r="E55" s="1498">
        <v>100.85</v>
      </c>
      <c r="F55" s="1496">
        <f t="shared" si="0"/>
        <v>1.0085</v>
      </c>
    </row>
    <row r="56" spans="1:6" ht="12.75" customHeight="1" x14ac:dyDescent="0.2">
      <c r="A56" s="2849" t="s">
        <v>4140</v>
      </c>
      <c r="B56" s="2849" t="s">
        <v>4144</v>
      </c>
      <c r="C56" s="2849" t="s">
        <v>6007</v>
      </c>
      <c r="D56" s="1495" t="s">
        <v>551</v>
      </c>
      <c r="E56" s="1498">
        <v>101.61</v>
      </c>
      <c r="F56" s="1496">
        <f t="shared" si="0"/>
        <v>1.0161</v>
      </c>
    </row>
    <row r="57" spans="1:6" ht="12.75" customHeight="1" x14ac:dyDescent="0.2">
      <c r="A57" s="2849" t="s">
        <v>4140</v>
      </c>
      <c r="B57" s="2849" t="s">
        <v>4144</v>
      </c>
      <c r="C57" s="2849" t="s">
        <v>6007</v>
      </c>
      <c r="D57" s="1495" t="s">
        <v>552</v>
      </c>
      <c r="E57" s="1498">
        <v>101.18</v>
      </c>
      <c r="F57" s="1496">
        <f t="shared" si="0"/>
        <v>1.0118</v>
      </c>
    </row>
    <row r="58" spans="1:6" ht="12.75" customHeight="1" x14ac:dyDescent="0.2">
      <c r="A58" s="2849" t="s">
        <v>4140</v>
      </c>
      <c r="B58" s="2849" t="s">
        <v>4144</v>
      </c>
      <c r="C58" s="2849" t="s">
        <v>6007</v>
      </c>
      <c r="D58" s="1495" t="s">
        <v>553</v>
      </c>
      <c r="E58" s="1498">
        <v>101.23</v>
      </c>
      <c r="F58" s="1496">
        <f t="shared" si="0"/>
        <v>1.0123</v>
      </c>
    </row>
    <row r="59" spans="1:6" ht="12.75" customHeight="1" x14ac:dyDescent="0.2">
      <c r="A59" s="2849" t="s">
        <v>4140</v>
      </c>
      <c r="B59" s="2849" t="s">
        <v>4144</v>
      </c>
      <c r="C59" s="2849" t="s">
        <v>6007</v>
      </c>
      <c r="D59" s="1495" t="s">
        <v>554</v>
      </c>
      <c r="E59" s="1498">
        <v>100.85</v>
      </c>
      <c r="F59" s="1496">
        <f t="shared" si="0"/>
        <v>1.0085</v>
      </c>
    </row>
    <row r="60" spans="1:6" ht="12.75" customHeight="1" x14ac:dyDescent="0.2">
      <c r="A60" s="2849" t="s">
        <v>4140</v>
      </c>
      <c r="B60" s="2849" t="s">
        <v>4144</v>
      </c>
      <c r="C60" s="2849" t="s">
        <v>6007</v>
      </c>
      <c r="D60" s="1495" t="s">
        <v>555</v>
      </c>
      <c r="E60" s="1498">
        <v>100.58</v>
      </c>
      <c r="F60" s="1496">
        <f t="shared" si="0"/>
        <v>1.0058</v>
      </c>
    </row>
    <row r="61" spans="1:6" ht="12.75" customHeight="1" x14ac:dyDescent="0.2">
      <c r="A61" s="2849" t="s">
        <v>4140</v>
      </c>
      <c r="B61" s="2849" t="s">
        <v>4144</v>
      </c>
      <c r="C61" s="2849" t="s">
        <v>6007</v>
      </c>
      <c r="D61" s="1495" t="s">
        <v>556</v>
      </c>
      <c r="E61" s="1498">
        <v>100.48</v>
      </c>
      <c r="F61" s="1496">
        <f t="shared" si="0"/>
        <v>1.0047999999999999</v>
      </c>
    </row>
    <row r="62" spans="1:6" ht="12.75" customHeight="1" x14ac:dyDescent="0.2">
      <c r="A62" s="2849" t="s">
        <v>4140</v>
      </c>
      <c r="B62" s="2849" t="s">
        <v>4144</v>
      </c>
      <c r="C62" s="2849" t="s">
        <v>6007</v>
      </c>
      <c r="D62" s="1495" t="s">
        <v>545</v>
      </c>
      <c r="E62" s="1498">
        <v>100.65</v>
      </c>
      <c r="F62" s="1496">
        <f t="shared" si="0"/>
        <v>1.0065</v>
      </c>
    </row>
    <row r="63" spans="1:6" ht="12.75" customHeight="1" x14ac:dyDescent="0.2">
      <c r="A63" s="2849" t="s">
        <v>4140</v>
      </c>
      <c r="B63" s="2849" t="s">
        <v>4144</v>
      </c>
      <c r="C63" s="2849" t="s">
        <v>6007</v>
      </c>
      <c r="D63" s="1495" t="s">
        <v>546</v>
      </c>
      <c r="E63" s="1498">
        <v>100.71</v>
      </c>
      <c r="F63" s="1496">
        <f t="shared" si="0"/>
        <v>1.0071000000000001</v>
      </c>
    </row>
    <row r="64" spans="1:6" ht="12.75" customHeight="1" x14ac:dyDescent="0.2">
      <c r="A64" s="2849" t="s">
        <v>4141</v>
      </c>
      <c r="B64" s="2849" t="s">
        <v>4144</v>
      </c>
      <c r="C64" s="2849" t="s">
        <v>6007</v>
      </c>
      <c r="D64" s="1495" t="s">
        <v>547</v>
      </c>
      <c r="E64" s="1498">
        <v>100.73</v>
      </c>
      <c r="F64" s="1496">
        <f t="shared" si="0"/>
        <v>1.0073000000000001</v>
      </c>
    </row>
    <row r="65" spans="1:6" ht="12.75" customHeight="1" x14ac:dyDescent="0.2">
      <c r="A65" s="2849" t="s">
        <v>4141</v>
      </c>
      <c r="B65" s="2849" t="s">
        <v>4144</v>
      </c>
      <c r="C65" s="2849" t="s">
        <v>6007</v>
      </c>
      <c r="D65" s="1495" t="s">
        <v>548</v>
      </c>
      <c r="E65" s="1498">
        <v>100.74</v>
      </c>
      <c r="F65" s="1496">
        <f t="shared" si="0"/>
        <v>1.0074000000000001</v>
      </c>
    </row>
    <row r="66" spans="1:6" ht="12.75" customHeight="1" x14ac:dyDescent="0.2">
      <c r="A66" s="2849" t="s">
        <v>4141</v>
      </c>
      <c r="B66" s="2849" t="s">
        <v>4144</v>
      </c>
      <c r="C66" s="2849" t="s">
        <v>6007</v>
      </c>
      <c r="D66" s="1495" t="s">
        <v>549</v>
      </c>
      <c r="E66" s="1498">
        <v>104.44</v>
      </c>
      <c r="F66" s="1496">
        <f t="shared" si="0"/>
        <v>1.0444</v>
      </c>
    </row>
    <row r="67" spans="1:6" ht="12.75" customHeight="1" x14ac:dyDescent="0.2">
      <c r="A67" s="2849" t="s">
        <v>4141</v>
      </c>
      <c r="B67" s="2849" t="s">
        <v>4144</v>
      </c>
      <c r="C67" s="2849" t="s">
        <v>6007</v>
      </c>
      <c r="D67" s="1495" t="s">
        <v>550</v>
      </c>
      <c r="E67" s="1498">
        <v>101.05</v>
      </c>
      <c r="F67" s="1496">
        <f t="shared" si="0"/>
        <v>1.0105</v>
      </c>
    </row>
    <row r="68" spans="1:6" ht="12.75" customHeight="1" x14ac:dyDescent="0.2">
      <c r="A68" s="2849" t="s">
        <v>4141</v>
      </c>
      <c r="B68" s="2849" t="s">
        <v>4144</v>
      </c>
      <c r="C68" s="2849" t="s">
        <v>6007</v>
      </c>
      <c r="D68" s="1495" t="s">
        <v>551</v>
      </c>
      <c r="E68" s="1498">
        <v>100.71</v>
      </c>
      <c r="F68" s="1496">
        <f t="shared" si="0"/>
        <v>1.0071000000000001</v>
      </c>
    </row>
    <row r="69" spans="1:6" ht="12.75" customHeight="1" x14ac:dyDescent="0.2">
      <c r="A69" s="2849" t="s">
        <v>4141</v>
      </c>
      <c r="B69" s="2849" t="s">
        <v>4144</v>
      </c>
      <c r="C69" s="2849" t="s">
        <v>6007</v>
      </c>
      <c r="D69" s="1495" t="s">
        <v>552</v>
      </c>
      <c r="E69" s="1498">
        <v>100.51</v>
      </c>
      <c r="F69" s="1496">
        <f t="shared" ref="F69:F114" si="1">E69/100</f>
        <v>1.0051000000000001</v>
      </c>
    </row>
    <row r="70" spans="1:6" ht="12.75" customHeight="1" x14ac:dyDescent="0.2">
      <c r="A70" s="2849" t="s">
        <v>4141</v>
      </c>
      <c r="B70" s="2849" t="s">
        <v>4144</v>
      </c>
      <c r="C70" s="2849" t="s">
        <v>6007</v>
      </c>
      <c r="D70" s="1495" t="s">
        <v>553</v>
      </c>
      <c r="E70" s="1499">
        <v>100</v>
      </c>
      <c r="F70" s="1496">
        <f t="shared" si="1"/>
        <v>1</v>
      </c>
    </row>
    <row r="71" spans="1:6" ht="12.75" customHeight="1" x14ac:dyDescent="0.2">
      <c r="A71" s="2849" t="s">
        <v>4141</v>
      </c>
      <c r="B71" s="2849" t="s">
        <v>4144</v>
      </c>
      <c r="C71" s="2849" t="s">
        <v>6007</v>
      </c>
      <c r="D71" s="1495" t="s">
        <v>554</v>
      </c>
      <c r="E71" s="1498">
        <v>100.37</v>
      </c>
      <c r="F71" s="1496">
        <f t="shared" si="1"/>
        <v>1.0037</v>
      </c>
    </row>
    <row r="72" spans="1:6" ht="12.75" customHeight="1" x14ac:dyDescent="0.2">
      <c r="A72" s="2849" t="s">
        <v>4141</v>
      </c>
      <c r="B72" s="2849" t="s">
        <v>4144</v>
      </c>
      <c r="C72" s="2849" t="s">
        <v>6007</v>
      </c>
      <c r="D72" s="1495" t="s">
        <v>555</v>
      </c>
      <c r="E72" s="1498">
        <v>100.17</v>
      </c>
      <c r="F72" s="1496">
        <f t="shared" si="1"/>
        <v>1.0017</v>
      </c>
    </row>
    <row r="73" spans="1:6" ht="12.75" customHeight="1" x14ac:dyDescent="0.2">
      <c r="A73" s="2849" t="s">
        <v>4141</v>
      </c>
      <c r="B73" s="2849" t="s">
        <v>4144</v>
      </c>
      <c r="C73" s="2849" t="s">
        <v>6007</v>
      </c>
      <c r="D73" s="1495" t="s">
        <v>556</v>
      </c>
      <c r="E73" s="1498">
        <v>100.32</v>
      </c>
      <c r="F73" s="1496">
        <f t="shared" si="1"/>
        <v>1.0032000000000001</v>
      </c>
    </row>
    <row r="74" spans="1:6" ht="12.75" customHeight="1" x14ac:dyDescent="0.2">
      <c r="A74" s="2849" t="s">
        <v>4141</v>
      </c>
      <c r="B74" s="2849" t="s">
        <v>4144</v>
      </c>
      <c r="C74" s="2849" t="s">
        <v>6007</v>
      </c>
      <c r="D74" s="1495" t="s">
        <v>545</v>
      </c>
      <c r="E74" s="1498">
        <v>100.74</v>
      </c>
      <c r="F74" s="1496">
        <f t="shared" si="1"/>
        <v>1.0074000000000001</v>
      </c>
    </row>
    <row r="75" spans="1:6" ht="12.75" customHeight="1" x14ac:dyDescent="0.2">
      <c r="A75" s="2849" t="s">
        <v>4141</v>
      </c>
      <c r="B75" s="2849" t="s">
        <v>4144</v>
      </c>
      <c r="C75" s="2849" t="s">
        <v>6007</v>
      </c>
      <c r="D75" s="1495" t="s">
        <v>546</v>
      </c>
      <c r="E75" s="1498">
        <v>100.13</v>
      </c>
      <c r="F75" s="1496">
        <f t="shared" si="1"/>
        <v>1.0013000000000001</v>
      </c>
    </row>
    <row r="76" spans="1:6" ht="12.75" customHeight="1" x14ac:dyDescent="0.2">
      <c r="A76" s="2849" t="s">
        <v>4142</v>
      </c>
      <c r="B76" s="2849" t="s">
        <v>6008</v>
      </c>
      <c r="C76" s="2849" t="s">
        <v>6007</v>
      </c>
      <c r="D76" s="1495" t="s">
        <v>547</v>
      </c>
      <c r="E76" s="1498">
        <v>100.31</v>
      </c>
      <c r="F76" s="1496">
        <f t="shared" si="1"/>
        <v>1.0031000000000001</v>
      </c>
    </row>
    <row r="77" spans="1:6" ht="12.75" customHeight="1" x14ac:dyDescent="0.2">
      <c r="A77" s="2849" t="s">
        <v>4142</v>
      </c>
      <c r="B77" s="2849" t="s">
        <v>6008</v>
      </c>
      <c r="C77" s="2849" t="s">
        <v>6007</v>
      </c>
      <c r="D77" s="1495" t="s">
        <v>548</v>
      </c>
      <c r="E77" s="1498">
        <v>100.9</v>
      </c>
      <c r="F77" s="1496">
        <f t="shared" si="1"/>
        <v>1.0089999999999999</v>
      </c>
    </row>
    <row r="78" spans="1:6" ht="12.75" customHeight="1" x14ac:dyDescent="0.2">
      <c r="A78" s="2849" t="s">
        <v>4142</v>
      </c>
      <c r="B78" s="2849" t="s">
        <v>6008</v>
      </c>
      <c r="C78" s="2849" t="s">
        <v>6007</v>
      </c>
      <c r="D78" s="1495" t="s">
        <v>549</v>
      </c>
      <c r="E78" s="1498">
        <v>99.77</v>
      </c>
      <c r="F78" s="1496">
        <f t="shared" si="1"/>
        <v>0.99770000000000003</v>
      </c>
    </row>
    <row r="79" spans="1:6" ht="12.75" customHeight="1" x14ac:dyDescent="0.2">
      <c r="A79" s="2849" t="s">
        <v>4142</v>
      </c>
      <c r="B79" s="2849" t="s">
        <v>6008</v>
      </c>
      <c r="C79" s="2849" t="s">
        <v>6007</v>
      </c>
      <c r="D79" s="1495" t="s">
        <v>550</v>
      </c>
      <c r="E79" s="1498">
        <v>100.8</v>
      </c>
      <c r="F79" s="1496">
        <f t="shared" si="1"/>
        <v>1.008</v>
      </c>
    </row>
    <row r="80" spans="1:6" ht="12.75" customHeight="1" x14ac:dyDescent="0.2">
      <c r="A80" s="2849" t="s">
        <v>4142</v>
      </c>
      <c r="B80" s="2849" t="s">
        <v>6008</v>
      </c>
      <c r="C80" s="2849" t="s">
        <v>6007</v>
      </c>
      <c r="D80" s="1495" t="s">
        <v>551</v>
      </c>
      <c r="E80" s="1498">
        <v>100.13</v>
      </c>
      <c r="F80" s="1496">
        <f t="shared" si="1"/>
        <v>1.0013000000000001</v>
      </c>
    </row>
    <row r="81" spans="1:6" ht="12.75" customHeight="1" x14ac:dyDescent="0.2">
      <c r="A81" s="2849" t="s">
        <v>4142</v>
      </c>
      <c r="B81" s="2849" t="s">
        <v>6008</v>
      </c>
      <c r="C81" s="2849" t="s">
        <v>6007</v>
      </c>
      <c r="D81" s="1495" t="s">
        <v>552</v>
      </c>
      <c r="E81" s="1498">
        <v>101.12</v>
      </c>
      <c r="F81" s="1496">
        <f t="shared" si="1"/>
        <v>1.0112000000000001</v>
      </c>
    </row>
    <row r="82" spans="1:6" ht="12.75" customHeight="1" x14ac:dyDescent="0.2">
      <c r="A82" s="2849" t="s">
        <v>4142</v>
      </c>
      <c r="B82" s="2849" t="s">
        <v>6008</v>
      </c>
      <c r="C82" s="2849" t="s">
        <v>6007</v>
      </c>
      <c r="D82" s="1495" t="s">
        <v>553</v>
      </c>
      <c r="E82" s="1498">
        <v>101.03</v>
      </c>
      <c r="F82" s="1496">
        <f t="shared" si="1"/>
        <v>1.0103</v>
      </c>
    </row>
    <row r="83" spans="1:6" ht="12.75" customHeight="1" x14ac:dyDescent="0.2">
      <c r="A83" s="2849" t="s">
        <v>4142</v>
      </c>
      <c r="B83" s="2849" t="s">
        <v>6008</v>
      </c>
      <c r="C83" s="2849" t="s">
        <v>6007</v>
      </c>
      <c r="D83" s="1495" t="s">
        <v>554</v>
      </c>
      <c r="E83" s="1498">
        <v>100.73</v>
      </c>
      <c r="F83" s="1496">
        <f t="shared" si="1"/>
        <v>1.0073000000000001</v>
      </c>
    </row>
    <row r="84" spans="1:6" ht="12.75" customHeight="1" x14ac:dyDescent="0.2">
      <c r="A84" s="2849" t="s">
        <v>4142</v>
      </c>
      <c r="B84" s="2849" t="s">
        <v>6008</v>
      </c>
      <c r="C84" s="2849" t="s">
        <v>6007</v>
      </c>
      <c r="D84" s="1495" t="s">
        <v>555</v>
      </c>
      <c r="E84" s="1498">
        <v>100.48</v>
      </c>
      <c r="F84" s="1496">
        <f t="shared" si="1"/>
        <v>1.0047999999999999</v>
      </c>
    </row>
    <row r="85" spans="1:6" ht="12.75" customHeight="1" x14ac:dyDescent="0.2">
      <c r="A85" s="2849" t="s">
        <v>4142</v>
      </c>
      <c r="B85" s="2849" t="s">
        <v>6008</v>
      </c>
      <c r="C85" s="2849" t="s">
        <v>6007</v>
      </c>
      <c r="D85" s="1495" t="s">
        <v>556</v>
      </c>
      <c r="E85" s="1498">
        <v>100.57</v>
      </c>
      <c r="F85" s="1496">
        <f t="shared" si="1"/>
        <v>1.0057</v>
      </c>
    </row>
    <row r="86" spans="1:6" ht="12.75" customHeight="1" x14ac:dyDescent="0.2">
      <c r="A86" s="2849" t="s">
        <v>4142</v>
      </c>
      <c r="B86" s="2849" t="s">
        <v>6008</v>
      </c>
      <c r="C86" s="2849" t="s">
        <v>6007</v>
      </c>
      <c r="D86" s="1495" t="s">
        <v>545</v>
      </c>
      <c r="E86" s="1498">
        <v>99.97</v>
      </c>
      <c r="F86" s="1496">
        <f t="shared" si="1"/>
        <v>0.99970000000000003</v>
      </c>
    </row>
    <row r="87" spans="1:6" ht="12.75" customHeight="1" x14ac:dyDescent="0.2">
      <c r="A87" s="2849" t="s">
        <v>4142</v>
      </c>
      <c r="B87" s="2849" t="s">
        <v>6008</v>
      </c>
      <c r="C87" s="2849" t="s">
        <v>6007</v>
      </c>
      <c r="D87" s="1495" t="s">
        <v>546</v>
      </c>
      <c r="E87" s="1498">
        <v>100.61</v>
      </c>
      <c r="F87" s="1496">
        <f t="shared" si="1"/>
        <v>1.0061</v>
      </c>
    </row>
    <row r="88" spans="1:6" ht="12.75" customHeight="1" x14ac:dyDescent="0.2">
      <c r="A88" s="2855" t="s">
        <v>4143</v>
      </c>
      <c r="B88" s="2849" t="s">
        <v>6008</v>
      </c>
      <c r="C88" s="2849" t="s">
        <v>6007</v>
      </c>
      <c r="D88" s="1495" t="s">
        <v>547</v>
      </c>
      <c r="E88" s="1498">
        <v>100.16</v>
      </c>
      <c r="F88" s="1496">
        <f t="shared" si="1"/>
        <v>1.0016</v>
      </c>
    </row>
    <row r="89" spans="1:6" ht="12.75" customHeight="1" x14ac:dyDescent="0.2">
      <c r="A89" s="2856"/>
      <c r="B89" s="2849" t="s">
        <v>6008</v>
      </c>
      <c r="C89" s="2849" t="s">
        <v>6007</v>
      </c>
      <c r="D89" s="1495" t="s">
        <v>548</v>
      </c>
      <c r="E89" s="1498">
        <v>100.59</v>
      </c>
      <c r="F89" s="1496">
        <f t="shared" si="1"/>
        <v>1.0059</v>
      </c>
    </row>
    <row r="90" spans="1:6" ht="12.75" customHeight="1" x14ac:dyDescent="0.2">
      <c r="A90" s="2856"/>
      <c r="B90" s="2849" t="s">
        <v>6008</v>
      </c>
      <c r="C90" s="2849" t="s">
        <v>6007</v>
      </c>
      <c r="D90" s="1495" t="s">
        <v>549</v>
      </c>
      <c r="E90" s="1498">
        <v>100.14</v>
      </c>
      <c r="F90" s="1496">
        <f t="shared" si="1"/>
        <v>1.0014000000000001</v>
      </c>
    </row>
    <row r="91" spans="1:6" ht="12.75" customHeight="1" x14ac:dyDescent="0.2">
      <c r="A91" s="2856"/>
      <c r="B91" s="2849" t="s">
        <v>6008</v>
      </c>
      <c r="C91" s="2849" t="s">
        <v>6007</v>
      </c>
      <c r="D91" s="1495" t="s">
        <v>550</v>
      </c>
      <c r="E91" s="1498">
        <v>100.42</v>
      </c>
      <c r="F91" s="1496">
        <f t="shared" si="1"/>
        <v>1.0042</v>
      </c>
    </row>
    <row r="92" spans="1:6" ht="12.75" customHeight="1" x14ac:dyDescent="0.2">
      <c r="A92" s="2856"/>
      <c r="B92" s="2849" t="s">
        <v>6008</v>
      </c>
      <c r="C92" s="2849" t="s">
        <v>6007</v>
      </c>
      <c r="D92" s="1495" t="s">
        <v>551</v>
      </c>
      <c r="E92" s="1498">
        <v>100.47</v>
      </c>
      <c r="F92" s="1496">
        <f t="shared" si="1"/>
        <v>1.0046999999999999</v>
      </c>
    </row>
    <row r="93" spans="1:6" ht="12.75" customHeight="1" x14ac:dyDescent="0.2">
      <c r="A93" s="2856"/>
      <c r="B93" s="2849" t="s">
        <v>6008</v>
      </c>
      <c r="C93" s="2849" t="s">
        <v>6007</v>
      </c>
      <c r="D93" s="1495" t="s">
        <v>552</v>
      </c>
      <c r="E93" s="1498">
        <v>100.21</v>
      </c>
      <c r="F93" s="1496">
        <f t="shared" si="1"/>
        <v>1.0021</v>
      </c>
    </row>
    <row r="94" spans="1:6" ht="12.75" customHeight="1" x14ac:dyDescent="0.2">
      <c r="A94" s="2856"/>
      <c r="B94" s="2849" t="s">
        <v>6008</v>
      </c>
      <c r="C94" s="2849" t="s">
        <v>6007</v>
      </c>
      <c r="D94" s="1495" t="s">
        <v>553</v>
      </c>
      <c r="E94" s="1498">
        <v>100.45</v>
      </c>
      <c r="F94" s="1496">
        <f t="shared" si="1"/>
        <v>1.0044999999999999</v>
      </c>
    </row>
    <row r="95" spans="1:6" ht="12.75" customHeight="1" x14ac:dyDescent="0.2">
      <c r="A95" s="2856"/>
      <c r="B95" s="2849" t="s">
        <v>6008</v>
      </c>
      <c r="C95" s="2849" t="s">
        <v>6007</v>
      </c>
      <c r="D95" s="1495" t="s">
        <v>554</v>
      </c>
      <c r="E95" s="1498">
        <v>100.32</v>
      </c>
      <c r="F95" s="1496">
        <f t="shared" si="1"/>
        <v>1.0032000000000001</v>
      </c>
    </row>
    <row r="96" spans="1:6" ht="12.75" customHeight="1" x14ac:dyDescent="0.2">
      <c r="A96" s="2856"/>
      <c r="B96" s="2849" t="s">
        <v>6008</v>
      </c>
      <c r="C96" s="2849" t="s">
        <v>6007</v>
      </c>
      <c r="D96" s="1495" t="s">
        <v>555</v>
      </c>
      <c r="E96" s="1498">
        <v>100.49</v>
      </c>
      <c r="F96" s="1496">
        <f t="shared" si="1"/>
        <v>1.0048999999999999</v>
      </c>
    </row>
    <row r="97" spans="1:6" ht="12.75" customHeight="1" x14ac:dyDescent="0.2">
      <c r="A97" s="2856"/>
      <c r="B97" s="2849" t="s">
        <v>6008</v>
      </c>
      <c r="C97" s="2849" t="s">
        <v>6007</v>
      </c>
      <c r="D97" s="1495" t="s">
        <v>556</v>
      </c>
      <c r="E97" s="1498">
        <v>100.64</v>
      </c>
      <c r="F97" s="1496">
        <f t="shared" si="1"/>
        <v>1.0064</v>
      </c>
    </row>
    <row r="98" spans="1:6" ht="12.75" customHeight="1" x14ac:dyDescent="0.2">
      <c r="A98" s="2856"/>
      <c r="B98" s="2849" t="s">
        <v>6008</v>
      </c>
      <c r="C98" s="2849" t="s">
        <v>6007</v>
      </c>
      <c r="D98" s="1495" t="s">
        <v>545</v>
      </c>
      <c r="E98" s="1498">
        <v>100.62</v>
      </c>
      <c r="F98" s="1496">
        <f t="shared" si="1"/>
        <v>1.0062</v>
      </c>
    </row>
    <row r="99" spans="1:6" ht="12.75" customHeight="1" x14ac:dyDescent="0.2">
      <c r="A99" s="2857"/>
      <c r="B99" s="2849" t="s">
        <v>6008</v>
      </c>
      <c r="C99" s="2849" t="s">
        <v>6007</v>
      </c>
      <c r="D99" s="1495" t="s">
        <v>546</v>
      </c>
      <c r="E99" s="1498">
        <v>100.48</v>
      </c>
      <c r="F99" s="1496">
        <f t="shared" si="1"/>
        <v>1.0047999999999999</v>
      </c>
    </row>
    <row r="100" spans="1:6" ht="12.75" customHeight="1" x14ac:dyDescent="0.2">
      <c r="A100" s="2849" t="s">
        <v>6009</v>
      </c>
      <c r="B100" s="2849" t="s">
        <v>6008</v>
      </c>
      <c r="C100" s="2849" t="s">
        <v>6007</v>
      </c>
      <c r="D100" s="1495" t="s">
        <v>547</v>
      </c>
      <c r="E100" s="1498">
        <v>100.36</v>
      </c>
      <c r="F100" s="1496">
        <f t="shared" si="1"/>
        <v>1.0036</v>
      </c>
    </row>
    <row r="101" spans="1:6" ht="12.75" customHeight="1" x14ac:dyDescent="0.2">
      <c r="A101" s="2849" t="s">
        <v>6009</v>
      </c>
      <c r="B101" s="2849" t="s">
        <v>6008</v>
      </c>
      <c r="C101" s="2849" t="s">
        <v>6007</v>
      </c>
      <c r="D101" s="1495" t="s">
        <v>548</v>
      </c>
      <c r="E101" s="1498">
        <v>99.08</v>
      </c>
      <c r="F101" s="1496">
        <f t="shared" si="1"/>
        <v>0.99080000000000001</v>
      </c>
    </row>
    <row r="102" spans="1:6" ht="12.75" customHeight="1" x14ac:dyDescent="0.2">
      <c r="A102" s="2849" t="s">
        <v>6009</v>
      </c>
      <c r="B102" s="2849" t="s">
        <v>6008</v>
      </c>
      <c r="C102" s="2849" t="s">
        <v>6007</v>
      </c>
      <c r="D102" s="1495" t="s">
        <v>549</v>
      </c>
      <c r="E102" s="1498">
        <v>99.87</v>
      </c>
      <c r="F102" s="1496">
        <f t="shared" si="1"/>
        <v>0.99870000000000003</v>
      </c>
    </row>
    <row r="103" spans="1:6" ht="12.75" customHeight="1" x14ac:dyDescent="0.2">
      <c r="A103" s="2849" t="s">
        <v>6009</v>
      </c>
      <c r="B103" s="2849" t="s">
        <v>6008</v>
      </c>
      <c r="C103" s="2849" t="s">
        <v>6007</v>
      </c>
      <c r="D103" s="1495" t="s">
        <v>550</v>
      </c>
      <c r="E103" s="1498">
        <v>98.37</v>
      </c>
      <c r="F103" s="1496">
        <f t="shared" si="1"/>
        <v>0.98370000000000002</v>
      </c>
    </row>
    <row r="104" spans="1:6" ht="12.75" customHeight="1" x14ac:dyDescent="0.2">
      <c r="A104" s="2849" t="s">
        <v>6009</v>
      </c>
      <c r="B104" s="2849" t="s">
        <v>6008</v>
      </c>
      <c r="C104" s="2849" t="s">
        <v>6007</v>
      </c>
      <c r="D104" s="1495" t="s">
        <v>551</v>
      </c>
      <c r="E104" s="1498">
        <v>101.01</v>
      </c>
      <c r="F104" s="1496">
        <f t="shared" si="1"/>
        <v>1.0101</v>
      </c>
    </row>
    <row r="105" spans="1:6" ht="12.75" customHeight="1" x14ac:dyDescent="0.2">
      <c r="A105" s="2849" t="s">
        <v>6009</v>
      </c>
      <c r="B105" s="2849" t="s">
        <v>6008</v>
      </c>
      <c r="C105" s="2849" t="s">
        <v>6007</v>
      </c>
      <c r="D105" s="1495" t="s">
        <v>552</v>
      </c>
      <c r="E105" s="1498">
        <v>102.25</v>
      </c>
      <c r="F105" s="1496">
        <f t="shared" si="1"/>
        <v>1.0225</v>
      </c>
    </row>
    <row r="106" spans="1:6" ht="12.75" customHeight="1" x14ac:dyDescent="0.2">
      <c r="A106" s="2849" t="s">
        <v>6009</v>
      </c>
      <c r="B106" s="2849" t="s">
        <v>6008</v>
      </c>
      <c r="C106" s="2849" t="s">
        <v>6007</v>
      </c>
      <c r="D106" s="1495" t="s">
        <v>553</v>
      </c>
      <c r="E106" s="1498">
        <v>100.18</v>
      </c>
      <c r="F106" s="1496">
        <f t="shared" si="1"/>
        <v>1.0018</v>
      </c>
    </row>
    <row r="107" spans="1:6" ht="12.75" customHeight="1" x14ac:dyDescent="0.2">
      <c r="A107" s="2849" t="s">
        <v>6009</v>
      </c>
      <c r="B107" s="2849" t="s">
        <v>6008</v>
      </c>
      <c r="C107" s="2849" t="s">
        <v>6007</v>
      </c>
      <c r="D107" s="1495" t="s">
        <v>554</v>
      </c>
      <c r="E107" s="1498">
        <v>99.81</v>
      </c>
      <c r="F107" s="1496">
        <f t="shared" si="1"/>
        <v>0.99809999999999999</v>
      </c>
    </row>
    <row r="108" spans="1:6" ht="12.75" customHeight="1" x14ac:dyDescent="0.2">
      <c r="A108" s="2849" t="s">
        <v>6009</v>
      </c>
      <c r="B108" s="2849" t="s">
        <v>6008</v>
      </c>
      <c r="C108" s="2849" t="s">
        <v>6007</v>
      </c>
      <c r="D108" s="1495" t="s">
        <v>555</v>
      </c>
      <c r="E108" s="1498">
        <v>101.28</v>
      </c>
      <c r="F108" s="1496">
        <f t="shared" si="1"/>
        <v>1.0127999999999999</v>
      </c>
    </row>
    <row r="109" spans="1:6" ht="12.75" customHeight="1" x14ac:dyDescent="0.2">
      <c r="A109" s="2849" t="s">
        <v>6009</v>
      </c>
      <c r="B109" s="2849" t="s">
        <v>6008</v>
      </c>
      <c r="C109" s="2849" t="s">
        <v>6007</v>
      </c>
      <c r="D109" s="1495" t="s">
        <v>556</v>
      </c>
      <c r="E109" s="1498">
        <v>100.18</v>
      </c>
      <c r="F109" s="1496">
        <f t="shared" si="1"/>
        <v>1.0018</v>
      </c>
    </row>
    <row r="110" spans="1:6" ht="12.75" customHeight="1" x14ac:dyDescent="0.2">
      <c r="A110" s="2849" t="s">
        <v>6009</v>
      </c>
      <c r="B110" s="2849" t="s">
        <v>6008</v>
      </c>
      <c r="C110" s="2849" t="s">
        <v>6007</v>
      </c>
      <c r="D110" s="1495" t="s">
        <v>545</v>
      </c>
      <c r="E110" s="1498">
        <v>100.67</v>
      </c>
      <c r="F110" s="1496">
        <f t="shared" si="1"/>
        <v>1.0066999999999999</v>
      </c>
    </row>
    <row r="111" spans="1:6" ht="12.75" customHeight="1" x14ac:dyDescent="0.2">
      <c r="A111" s="2849" t="s">
        <v>6009</v>
      </c>
      <c r="B111" s="2849" t="s">
        <v>6008</v>
      </c>
      <c r="C111" s="2849" t="s">
        <v>6007</v>
      </c>
      <c r="D111" s="1495" t="s">
        <v>546</v>
      </c>
      <c r="E111" s="1498">
        <v>100.1</v>
      </c>
      <c r="F111" s="1496">
        <f t="shared" si="1"/>
        <v>1.0009999999999999</v>
      </c>
    </row>
    <row r="112" spans="1:6" ht="12.75" customHeight="1" x14ac:dyDescent="0.2">
      <c r="A112" s="2852" t="s">
        <v>6010</v>
      </c>
      <c r="B112" s="2852" t="s">
        <v>6008</v>
      </c>
      <c r="C112" s="2852" t="s">
        <v>6007</v>
      </c>
      <c r="D112" s="1495" t="s">
        <v>547</v>
      </c>
      <c r="E112" s="1498">
        <v>100.72</v>
      </c>
      <c r="F112" s="1496">
        <f t="shared" si="1"/>
        <v>1.0072000000000001</v>
      </c>
    </row>
    <row r="113" spans="1:6" ht="12.75" customHeight="1" x14ac:dyDescent="0.2">
      <c r="A113" s="2853"/>
      <c r="B113" s="2853"/>
      <c r="C113" s="2853"/>
      <c r="D113" s="1941" t="s">
        <v>548</v>
      </c>
      <c r="E113" s="1498">
        <v>100.08</v>
      </c>
      <c r="F113" s="1496">
        <f t="shared" si="1"/>
        <v>1.0007999999999999</v>
      </c>
    </row>
    <row r="114" spans="1:6" s="1869" customFormat="1" ht="12.75" customHeight="1" x14ac:dyDescent="0.2">
      <c r="A114" s="2853"/>
      <c r="B114" s="2853"/>
      <c r="C114" s="2853"/>
      <c r="D114" s="1868" t="s">
        <v>549</v>
      </c>
      <c r="E114" s="1498">
        <v>101.7</v>
      </c>
      <c r="F114" s="1496">
        <f t="shared" si="1"/>
        <v>1.0169999999999999</v>
      </c>
    </row>
    <row r="115" spans="1:6" s="1869" customFormat="1" ht="12.75" customHeight="1" x14ac:dyDescent="0.2">
      <c r="A115" s="2853"/>
      <c r="B115" s="2853"/>
      <c r="C115" s="2853"/>
      <c r="D115" s="1868" t="s">
        <v>550</v>
      </c>
      <c r="E115" s="1498">
        <v>98.74</v>
      </c>
      <c r="F115" s="1496">
        <f t="shared" ref="F115:F116" si="2">E115/100</f>
        <v>0.98740000000000006</v>
      </c>
    </row>
    <row r="116" spans="1:6" s="1869" customFormat="1" ht="12.75" customHeight="1" x14ac:dyDescent="0.2">
      <c r="A116" s="2853"/>
      <c r="B116" s="2853"/>
      <c r="C116" s="2853"/>
      <c r="D116" s="1868" t="s">
        <v>551</v>
      </c>
      <c r="E116" s="1498">
        <v>100.13</v>
      </c>
      <c r="F116" s="1496">
        <f t="shared" si="2"/>
        <v>1.0013000000000001</v>
      </c>
    </row>
    <row r="117" spans="1:6" s="1869" customFormat="1" ht="12.75" customHeight="1" x14ac:dyDescent="0.2">
      <c r="A117" s="2853"/>
      <c r="B117" s="2853"/>
      <c r="C117" s="2853"/>
      <c r="D117" s="1868" t="s">
        <v>552</v>
      </c>
      <c r="E117" s="1498">
        <v>100.88</v>
      </c>
      <c r="F117" s="1496">
        <f t="shared" ref="F117:F118" si="3">E117/100</f>
        <v>1.0087999999999999</v>
      </c>
    </row>
    <row r="118" spans="1:6" s="1869" customFormat="1" ht="12.75" customHeight="1" thickBot="1" x14ac:dyDescent="0.25">
      <c r="A118" s="2854"/>
      <c r="B118" s="2854"/>
      <c r="C118" s="2854"/>
      <c r="D118" s="1952" t="s">
        <v>553</v>
      </c>
      <c r="E118" s="1950">
        <f>E117</f>
        <v>100.88</v>
      </c>
      <c r="F118" s="1951">
        <f t="shared" si="3"/>
        <v>1.0087999999999999</v>
      </c>
    </row>
    <row r="119" spans="1:6" s="1869" customFormat="1" x14ac:dyDescent="0.2">
      <c r="A119" s="1946"/>
      <c r="B119" s="1947" t="s">
        <v>9206</v>
      </c>
      <c r="C119" s="1946"/>
      <c r="D119" s="1948"/>
      <c r="E119" s="1946"/>
      <c r="F119" s="1949">
        <v>1</v>
      </c>
    </row>
    <row r="120" spans="1:6" s="1869" customFormat="1" x14ac:dyDescent="0.2">
      <c r="A120" s="1946"/>
      <c r="B120" s="1947" t="s">
        <v>9207</v>
      </c>
      <c r="C120" s="1946"/>
      <c r="D120" s="1948"/>
      <c r="E120" s="1946"/>
      <c r="F120" s="1949">
        <f>PRODUCT(F116:F117)</f>
        <v>1.0101</v>
      </c>
    </row>
    <row r="121" spans="1:6" x14ac:dyDescent="0.2">
      <c r="A121" s="1946"/>
      <c r="B121" s="1947" t="s">
        <v>9208</v>
      </c>
      <c r="C121" s="1946"/>
      <c r="D121" s="1948"/>
      <c r="E121" s="1946"/>
      <c r="F121" s="1949">
        <f>PRODUCT(F112:F117)</f>
        <v>1.0225</v>
      </c>
    </row>
    <row r="122" spans="1:6" s="1869" customFormat="1" x14ac:dyDescent="0.2">
      <c r="A122" s="1942"/>
      <c r="B122" s="1943" t="s">
        <v>9209</v>
      </c>
      <c r="C122" s="1942"/>
      <c r="D122" s="1944"/>
      <c r="E122" s="1942"/>
      <c r="F122" s="1945">
        <f>PRODUCT(F109:F117)</f>
        <v>1.0322</v>
      </c>
    </row>
    <row r="123" spans="1:6" s="1869" customFormat="1" x14ac:dyDescent="0.2">
      <c r="A123" s="1942"/>
      <c r="B123" s="1943" t="s">
        <v>9210</v>
      </c>
      <c r="C123" s="1942"/>
      <c r="D123" s="1944"/>
      <c r="E123" s="1942"/>
      <c r="F123" s="1945">
        <f>PRODUCT(F100:F117)</f>
        <v>1.0547</v>
      </c>
    </row>
    <row r="124" spans="1:6" x14ac:dyDescent="0.2">
      <c r="A124" s="1942"/>
      <c r="B124" s="1943" t="s">
        <v>9211</v>
      </c>
      <c r="C124" s="1942"/>
      <c r="D124" s="1944"/>
      <c r="E124" s="1942"/>
      <c r="F124" s="1945">
        <f>PRODUCT(F67:F117)</f>
        <v>1.2297</v>
      </c>
    </row>
    <row r="125" spans="1:6" s="1869" customFormat="1" x14ac:dyDescent="0.2">
      <c r="A125" s="1942"/>
      <c r="B125" s="1943" t="s">
        <v>9212</v>
      </c>
      <c r="C125" s="1942"/>
      <c r="D125" s="1944"/>
      <c r="E125" s="1942"/>
      <c r="F125" s="1945">
        <f>PRODUCT(F34:F117)</f>
        <v>1.5247999999999999</v>
      </c>
    </row>
  </sheetData>
  <mergeCells count="32">
    <mergeCell ref="A88:A99"/>
    <mergeCell ref="A76:A87"/>
    <mergeCell ref="B76:B87"/>
    <mergeCell ref="C76:C87"/>
    <mergeCell ref="B88:B99"/>
    <mergeCell ref="C88:C99"/>
    <mergeCell ref="A100:A111"/>
    <mergeCell ref="B100:B111"/>
    <mergeCell ref="C100:C111"/>
    <mergeCell ref="A112:A118"/>
    <mergeCell ref="B112:B118"/>
    <mergeCell ref="C112:C118"/>
    <mergeCell ref="A52:A63"/>
    <mergeCell ref="B52:B63"/>
    <mergeCell ref="C52:C63"/>
    <mergeCell ref="A64:A75"/>
    <mergeCell ref="B64:B75"/>
    <mergeCell ref="C64:C75"/>
    <mergeCell ref="A28:A39"/>
    <mergeCell ref="B28:B39"/>
    <mergeCell ref="C28:C39"/>
    <mergeCell ref="A40:A51"/>
    <mergeCell ref="B40:B51"/>
    <mergeCell ref="C40:C51"/>
    <mergeCell ref="A16:A27"/>
    <mergeCell ref="B16:B27"/>
    <mergeCell ref="C16:C27"/>
    <mergeCell ref="A1:Z1"/>
    <mergeCell ref="A3:D3"/>
    <mergeCell ref="A4:A15"/>
    <mergeCell ref="B4:B15"/>
    <mergeCell ref="C4:C15"/>
  </mergeCells>
  <pageMargins left="0.75" right="0.75" top="1" bottom="1" header="0.5" footer="0.5"/>
  <pageSetup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51:K116"/>
  <sheetViews>
    <sheetView topLeftCell="A44" zoomScaleNormal="100" workbookViewId="0">
      <selection activeCell="K64" sqref="K64"/>
    </sheetView>
  </sheetViews>
  <sheetFormatPr defaultRowHeight="12.75" outlineLevelRow="1" x14ac:dyDescent="0.2"/>
  <cols>
    <col min="1" max="1" width="25.7109375" style="883" customWidth="1"/>
    <col min="2" max="2" width="9.140625" style="883"/>
    <col min="3" max="3" width="14.140625" style="883" customWidth="1"/>
    <col min="4" max="5" width="17.85546875" style="883" customWidth="1"/>
    <col min="6" max="6" width="11.5703125" style="883" bestFit="1" customWidth="1"/>
    <col min="7" max="7" width="11.5703125" style="883" customWidth="1"/>
    <col min="8" max="10" width="10.140625" style="883" bestFit="1" customWidth="1"/>
    <col min="11" max="16384" width="9.140625" style="883"/>
  </cols>
  <sheetData>
    <row r="51" spans="1:11" ht="15.75" x14ac:dyDescent="0.2">
      <c r="A51" s="2889" t="s">
        <v>2678</v>
      </c>
      <c r="B51" s="2890"/>
      <c r="C51" s="2890"/>
      <c r="D51" s="2890"/>
      <c r="E51" s="2890"/>
      <c r="F51" s="2890"/>
      <c r="G51" s="2890"/>
      <c r="H51" s="2890"/>
      <c r="I51" s="2891"/>
      <c r="J51" s="1978">
        <v>2016</v>
      </c>
      <c r="K51" s="1979">
        <v>1.07</v>
      </c>
    </row>
    <row r="52" spans="1:11" ht="15.75" x14ac:dyDescent="0.2">
      <c r="A52" s="2889" t="s">
        <v>2679</v>
      </c>
      <c r="B52" s="2890"/>
      <c r="C52" s="2890"/>
      <c r="D52" s="2890"/>
      <c r="E52" s="2890"/>
      <c r="F52" s="2890"/>
      <c r="G52" s="2890"/>
      <c r="H52" s="2890"/>
      <c r="I52" s="2891"/>
      <c r="J52" s="1978">
        <v>2017</v>
      </c>
      <c r="K52" s="1979">
        <v>1.0369999999999999</v>
      </c>
    </row>
    <row r="53" spans="1:11" ht="15.75" x14ac:dyDescent="0.2">
      <c r="A53" s="2892" t="s">
        <v>2680</v>
      </c>
      <c r="B53" s="2892"/>
      <c r="C53" s="2892"/>
      <c r="D53" s="2892"/>
      <c r="E53" s="2892"/>
      <c r="F53" s="2892"/>
      <c r="G53" s="2892"/>
      <c r="H53" s="2892"/>
      <c r="I53" s="2893"/>
      <c r="J53" s="1980">
        <v>2018</v>
      </c>
      <c r="K53" s="1981">
        <v>1.0529999999999999</v>
      </c>
    </row>
    <row r="54" spans="1:11" ht="15.75" x14ac:dyDescent="0.2">
      <c r="A54" s="2892" t="s">
        <v>2681</v>
      </c>
      <c r="B54" s="2892"/>
      <c r="C54" s="2892"/>
      <c r="D54" s="2892"/>
      <c r="E54" s="2892"/>
      <c r="F54" s="2892"/>
      <c r="G54" s="2892"/>
      <c r="H54" s="2892"/>
      <c r="I54" s="2893"/>
      <c r="J54" s="1980">
        <v>2019</v>
      </c>
      <c r="K54" s="1981">
        <v>1.0680000000000001</v>
      </c>
    </row>
    <row r="55" spans="1:11" ht="15.75" x14ac:dyDescent="0.2">
      <c r="A55" s="2889" t="s">
        <v>2682</v>
      </c>
      <c r="B55" s="2890"/>
      <c r="C55" s="2890"/>
      <c r="D55" s="2890"/>
      <c r="E55" s="2890"/>
      <c r="F55" s="2890"/>
      <c r="G55" s="2890"/>
      <c r="H55" s="2890"/>
      <c r="I55" s="2891"/>
      <c r="J55" s="1978">
        <v>2020</v>
      </c>
      <c r="K55" s="1982">
        <v>1.056</v>
      </c>
    </row>
    <row r="56" spans="1:11" ht="15.75" x14ac:dyDescent="0.25">
      <c r="A56" s="2894" t="s">
        <v>2683</v>
      </c>
      <c r="B56" s="2892"/>
      <c r="C56" s="2892"/>
      <c r="D56" s="2892"/>
      <c r="E56" s="2892"/>
      <c r="F56" s="2892"/>
      <c r="G56" s="2892"/>
      <c r="H56" s="2892"/>
      <c r="I56" s="2893"/>
      <c r="J56" s="1978">
        <v>2021</v>
      </c>
      <c r="K56" s="1983">
        <v>1.0489999999999999</v>
      </c>
    </row>
    <row r="57" spans="1:11" ht="49.5" customHeight="1" x14ac:dyDescent="0.25">
      <c r="A57" s="2883" t="s">
        <v>2684</v>
      </c>
      <c r="B57" s="2884"/>
      <c r="C57" s="2884"/>
      <c r="D57" s="2884"/>
      <c r="E57" s="2884"/>
      <c r="F57" s="2884"/>
      <c r="G57" s="2884"/>
      <c r="H57" s="2884"/>
      <c r="I57" s="2885"/>
      <c r="J57" s="1978">
        <v>2022</v>
      </c>
      <c r="K57" s="1983">
        <v>1.1459999999999999</v>
      </c>
    </row>
    <row r="58" spans="1:11" ht="35.25" customHeight="1" x14ac:dyDescent="0.25">
      <c r="A58" s="2883" t="s">
        <v>7884</v>
      </c>
      <c r="B58" s="2884"/>
      <c r="C58" s="2884"/>
      <c r="D58" s="2884"/>
      <c r="E58" s="2884"/>
      <c r="F58" s="2884"/>
      <c r="G58" s="2884"/>
      <c r="H58" s="2884"/>
      <c r="I58" s="2885"/>
      <c r="J58" s="1978">
        <v>2023</v>
      </c>
      <c r="K58" s="1983">
        <v>1.091</v>
      </c>
    </row>
    <row r="59" spans="1:11" ht="15.75" customHeight="1" x14ac:dyDescent="0.25">
      <c r="A59" s="2895" t="s">
        <v>7883</v>
      </c>
      <c r="B59" s="2895"/>
      <c r="C59" s="2895"/>
      <c r="D59" s="2895"/>
      <c r="E59" s="2895"/>
      <c r="F59" s="2895"/>
      <c r="G59" s="2895"/>
      <c r="H59" s="2895"/>
      <c r="I59" s="2895"/>
      <c r="J59" s="2267">
        <v>2024</v>
      </c>
      <c r="K59" s="2268">
        <v>1.081</v>
      </c>
    </row>
    <row r="60" spans="1:11" ht="15.75" x14ac:dyDescent="0.25">
      <c r="A60" s="2895"/>
      <c r="B60" s="2895"/>
      <c r="C60" s="2895"/>
      <c r="D60" s="2895"/>
      <c r="E60" s="2895"/>
      <c r="F60" s="2895"/>
      <c r="G60" s="2895"/>
      <c r="H60" s="2895"/>
      <c r="I60" s="2895"/>
      <c r="J60" s="2267">
        <v>2025</v>
      </c>
      <c r="K60" s="2268">
        <v>1.0740000000000001</v>
      </c>
    </row>
    <row r="61" spans="1:11" ht="15.75" x14ac:dyDescent="0.2">
      <c r="A61" s="2895"/>
      <c r="B61" s="2895"/>
      <c r="C61" s="2895"/>
      <c r="D61" s="2895"/>
      <c r="E61" s="2895"/>
      <c r="F61" s="2895"/>
      <c r="G61" s="2895"/>
      <c r="H61" s="2895"/>
      <c r="I61" s="2895"/>
      <c r="J61" s="2269">
        <v>2026</v>
      </c>
      <c r="K61" s="2270">
        <v>1.0549999999999999</v>
      </c>
    </row>
    <row r="62" spans="1:11" ht="15.75" x14ac:dyDescent="0.2">
      <c r="A62" s="2895"/>
      <c r="B62" s="2895"/>
      <c r="C62" s="2895"/>
      <c r="D62" s="2895"/>
      <c r="E62" s="2895"/>
      <c r="F62" s="2895"/>
      <c r="G62" s="2895"/>
      <c r="H62" s="2895"/>
      <c r="I62" s="2895"/>
      <c r="J62" s="2269">
        <v>2027</v>
      </c>
      <c r="K62" s="2270">
        <v>1.0409999999999999</v>
      </c>
    </row>
    <row r="64" spans="1:11" x14ac:dyDescent="0.2">
      <c r="A64" s="1977" t="s">
        <v>9213</v>
      </c>
      <c r="B64" s="1977"/>
      <c r="C64" s="1977"/>
      <c r="D64" s="1977"/>
      <c r="E64" s="2886" t="str">
        <f>CONCATENATE($K$61,"^(6/12)*",$K$62,"^(2/12)")</f>
        <v>1,055^(6/12)*1,041^(2/12)</v>
      </c>
      <c r="F64" s="2887">
        <f t="shared" ref="F64:J64" si="0">$K$61^(5/12)</f>
        <v>1.0225593516632601</v>
      </c>
      <c r="G64" s="2887">
        <f t="shared" si="0"/>
        <v>1.0225593516632601</v>
      </c>
      <c r="H64" s="2887">
        <f t="shared" si="0"/>
        <v>1.0225593516632601</v>
      </c>
      <c r="I64" s="2887">
        <f t="shared" si="0"/>
        <v>1.0225593516632601</v>
      </c>
      <c r="J64" s="2888">
        <f t="shared" si="0"/>
        <v>1.0225593516632601</v>
      </c>
      <c r="K64" s="1976">
        <f>$K$61^(6/12)*$K$62^(2/12)</f>
        <v>1.034</v>
      </c>
    </row>
    <row r="68" spans="1:10" hidden="1" x14ac:dyDescent="0.2">
      <c r="A68" s="2859" t="s">
        <v>7866</v>
      </c>
      <c r="B68" s="2859"/>
      <c r="C68" s="2859"/>
      <c r="D68" s="2859"/>
      <c r="E68" s="2859"/>
      <c r="F68" s="2859"/>
    </row>
    <row r="69" spans="1:10" hidden="1" x14ac:dyDescent="0.2"/>
    <row r="70" spans="1:10" hidden="1" x14ac:dyDescent="0.2">
      <c r="A70" s="1957" t="s">
        <v>7867</v>
      </c>
    </row>
    <row r="71" spans="1:10" hidden="1" x14ac:dyDescent="0.2"/>
    <row r="72" spans="1:10" hidden="1" x14ac:dyDescent="0.2"/>
    <row r="73" spans="1:10" s="1930" customFormat="1" ht="15.75" hidden="1" x14ac:dyDescent="0.25">
      <c r="A73" s="2860" t="s">
        <v>643</v>
      </c>
      <c r="B73" s="2860"/>
      <c r="C73" s="2860"/>
      <c r="D73" s="2860"/>
      <c r="E73" s="2860"/>
      <c r="F73" s="1958">
        <v>46204</v>
      </c>
    </row>
    <row r="74" spans="1:10" s="1930" customFormat="1" ht="15.75" hidden="1" x14ac:dyDescent="0.25">
      <c r="A74" s="2841" t="s">
        <v>534</v>
      </c>
      <c r="B74" s="2861"/>
      <c r="C74" s="2861"/>
      <c r="D74" s="2861"/>
      <c r="E74" s="2843"/>
      <c r="F74" s="1959">
        <v>46235</v>
      </c>
      <c r="G74" s="1960" t="s">
        <v>557</v>
      </c>
    </row>
    <row r="75" spans="1:10" s="1930" customFormat="1" ht="15.75" hidden="1" x14ac:dyDescent="0.25">
      <c r="A75" s="2841" t="s">
        <v>535</v>
      </c>
      <c r="B75" s="2861"/>
      <c r="C75" s="2861"/>
      <c r="D75" s="2861"/>
      <c r="E75" s="2843"/>
      <c r="F75" s="1958">
        <f>F74+140</f>
        <v>46375</v>
      </c>
      <c r="G75" s="1931"/>
    </row>
    <row r="76" spans="1:10" s="1930" customFormat="1" ht="19.5" hidden="1" customHeight="1" x14ac:dyDescent="0.25">
      <c r="A76" s="2841" t="s">
        <v>5865</v>
      </c>
      <c r="B76" s="2861"/>
      <c r="C76" s="2861"/>
      <c r="D76" s="2861"/>
      <c r="E76" s="2843"/>
      <c r="F76" s="1932">
        <f>ROUNDUP((F75-F73)/30.5,1)</f>
        <v>5.7</v>
      </c>
    </row>
    <row r="77" spans="1:10" s="1930" customFormat="1" ht="35.25" hidden="1" customHeight="1" x14ac:dyDescent="0.25">
      <c r="A77" s="2858" t="s">
        <v>7828</v>
      </c>
      <c r="B77" s="2858"/>
      <c r="C77" s="2858"/>
      <c r="D77" s="2858"/>
      <c r="E77" s="2858"/>
      <c r="F77" s="1933">
        <v>1.0549999999999999</v>
      </c>
      <c r="I77" s="1931"/>
    </row>
    <row r="78" spans="1:10" s="1930" customFormat="1" ht="15.75" hidden="1" x14ac:dyDescent="0.25">
      <c r="A78" s="2862" t="s">
        <v>7829</v>
      </c>
      <c r="B78" s="2862"/>
      <c r="C78" s="2862"/>
      <c r="D78" s="1934">
        <f>F77</f>
        <v>1.0549999999999999</v>
      </c>
      <c r="E78" s="1935" t="s">
        <v>538</v>
      </c>
      <c r="F78" s="1936">
        <f>F77^(1/12)</f>
        <v>1.0044999999999999</v>
      </c>
    </row>
    <row r="79" spans="1:10" s="1930" customFormat="1" ht="34.5" hidden="1" customHeight="1" x14ac:dyDescent="0.25">
      <c r="A79" s="2863" t="s">
        <v>539</v>
      </c>
      <c r="B79" s="2864"/>
      <c r="C79" s="2865" t="str">
        <f>CONCATENATE("(",F78,"^",ROUNDUP((F75-F73)/30.5,1),"-1)/2+1")</f>
        <v>(1,0045^5,7-1)/2+1</v>
      </c>
      <c r="D79" s="2866"/>
      <c r="E79" s="2867"/>
      <c r="F79" s="1961">
        <f>(ROUND(((F78^ROUNDUP((F75-F73)/30.5,1)-1)/2)+1,4))</f>
        <v>1.0129999999999999</v>
      </c>
      <c r="H79" s="2868"/>
      <c r="I79" s="2868"/>
      <c r="J79" s="2868"/>
    </row>
    <row r="80" spans="1:10" hidden="1" x14ac:dyDescent="0.2"/>
    <row r="81" spans="1:8" hidden="1" x14ac:dyDescent="0.2"/>
    <row r="82" spans="1:8" hidden="1" x14ac:dyDescent="0.2">
      <c r="A82" s="1957" t="s">
        <v>7868</v>
      </c>
    </row>
    <row r="83" spans="1:8" hidden="1" x14ac:dyDescent="0.2"/>
    <row r="84" spans="1:8" hidden="1" x14ac:dyDescent="0.2"/>
    <row r="85" spans="1:8" s="1930" customFormat="1" ht="15.75" hidden="1" x14ac:dyDescent="0.25">
      <c r="A85" s="2860" t="s">
        <v>643</v>
      </c>
      <c r="B85" s="2860"/>
      <c r="C85" s="2860"/>
      <c r="D85" s="2860"/>
      <c r="E85" s="2860"/>
      <c r="F85" s="1958">
        <f>$F$73</f>
        <v>46204</v>
      </c>
      <c r="G85" s="1931">
        <v>46387</v>
      </c>
      <c r="H85" s="1930" t="s">
        <v>7869</v>
      </c>
    </row>
    <row r="86" spans="1:8" s="1930" customFormat="1" ht="15.75" hidden="1" x14ac:dyDescent="0.25">
      <c r="A86" s="2841" t="s">
        <v>7870</v>
      </c>
      <c r="B86" s="2861"/>
      <c r="C86" s="2861"/>
      <c r="D86" s="2861"/>
      <c r="E86" s="2843"/>
      <c r="F86" s="1932">
        <f>ROUNDUP((F88-F87)/30.5,1)</f>
        <v>1</v>
      </c>
    </row>
    <row r="87" spans="1:8" s="1930" customFormat="1" ht="15.75" hidden="1" x14ac:dyDescent="0.25">
      <c r="A87" s="2841" t="s">
        <v>534</v>
      </c>
      <c r="B87" s="2861"/>
      <c r="C87" s="2861"/>
      <c r="D87" s="2861"/>
      <c r="E87" s="2843"/>
      <c r="F87" s="1958">
        <f>$F$74+255</f>
        <v>46490</v>
      </c>
      <c r="G87" s="1962">
        <v>46388</v>
      </c>
      <c r="H87" s="1930" t="s">
        <v>7871</v>
      </c>
    </row>
    <row r="88" spans="1:8" s="1930" customFormat="1" ht="15.75" hidden="1" x14ac:dyDescent="0.25">
      <c r="A88" s="2841" t="s">
        <v>535</v>
      </c>
      <c r="B88" s="2861"/>
      <c r="C88" s="2861"/>
      <c r="D88" s="2861"/>
      <c r="E88" s="2843"/>
      <c r="F88" s="1958">
        <f>$F$74+285</f>
        <v>46520</v>
      </c>
      <c r="G88" s="1931"/>
    </row>
    <row r="89" spans="1:8" s="1930" customFormat="1" ht="35.25" hidden="1" customHeight="1" x14ac:dyDescent="0.25">
      <c r="A89" s="2858" t="s">
        <v>7828</v>
      </c>
      <c r="B89" s="2858"/>
      <c r="C89" s="2858"/>
      <c r="D89" s="2858"/>
      <c r="E89" s="2858"/>
      <c r="F89" s="1933">
        <v>1.0549999999999999</v>
      </c>
    </row>
    <row r="90" spans="1:8" s="1930" customFormat="1" ht="15.75" hidden="1" x14ac:dyDescent="0.25">
      <c r="A90" s="2862" t="s">
        <v>7829</v>
      </c>
      <c r="B90" s="2862"/>
      <c r="C90" s="2862"/>
      <c r="D90" s="1934">
        <f>F89</f>
        <v>1.0549999999999999</v>
      </c>
      <c r="E90" s="1935" t="s">
        <v>538</v>
      </c>
      <c r="F90" s="1936">
        <f>F89^(1/12)</f>
        <v>1.0044999999999999</v>
      </c>
    </row>
    <row r="91" spans="1:8" s="1930" customFormat="1" ht="33" hidden="1" customHeight="1" x14ac:dyDescent="0.25">
      <c r="A91" s="2858" t="s">
        <v>7872</v>
      </c>
      <c r="B91" s="2858"/>
      <c r="C91" s="2858"/>
      <c r="D91" s="2858"/>
      <c r="E91" s="2858"/>
      <c r="F91" s="1933">
        <v>1.0409999999999999</v>
      </c>
    </row>
    <row r="92" spans="1:8" s="1930" customFormat="1" ht="15.75" hidden="1" x14ac:dyDescent="0.25">
      <c r="A92" s="2862" t="s">
        <v>7873</v>
      </c>
      <c r="B92" s="2862"/>
      <c r="C92" s="2862"/>
      <c r="D92" s="1934">
        <f>F91</f>
        <v>1.0409999999999999</v>
      </c>
      <c r="E92" s="1935" t="s">
        <v>538</v>
      </c>
      <c r="F92" s="1936">
        <f>F91^(1/12)</f>
        <v>1.0034000000000001</v>
      </c>
    </row>
    <row r="93" spans="1:8" s="1930" customFormat="1" ht="34.5" hidden="1" customHeight="1" x14ac:dyDescent="0.25">
      <c r="A93" s="2863" t="s">
        <v>539</v>
      </c>
      <c r="B93" s="2864"/>
      <c r="C93" s="2869" t="str">
        <f>CONCATENATE(F90,"^",ROUNDUP((G85-F85)/30.5,1),"*",F92,"^",ROUNDUP((F87-G87)/30.5,1),"*((",F92,"^",ROUNDUP((F88-F87)/30.5,1),"-1)/2+1)")</f>
        <v>1,0045^6*1,0034^3,4*((1,0034^1-1)/2+1)</v>
      </c>
      <c r="D93" s="2870"/>
      <c r="E93" s="2871"/>
      <c r="F93" s="1961">
        <f>F90^ROUNDUP((G85-F85)/30.5,1)*F92^ROUNDUP((F87-G87)/30.5,1)*((F92^ROUNDUP((F88-F87)/30.5,1)-1)/2+1)</f>
        <v>1.0409999999999999</v>
      </c>
      <c r="H93" s="1963"/>
    </row>
    <row r="94" spans="1:8" hidden="1" x14ac:dyDescent="0.2"/>
    <row r="95" spans="1:8" hidden="1" x14ac:dyDescent="0.2"/>
    <row r="96" spans="1:8" hidden="1" x14ac:dyDescent="0.2">
      <c r="A96" s="1957" t="s">
        <v>7874</v>
      </c>
    </row>
    <row r="97" spans="1:8" hidden="1" x14ac:dyDescent="0.2"/>
    <row r="98" spans="1:8" hidden="1" x14ac:dyDescent="0.2"/>
    <row r="99" spans="1:8" s="1965" customFormat="1" ht="15.75" hidden="1" outlineLevel="1" x14ac:dyDescent="0.25">
      <c r="A99" s="2872" t="s">
        <v>643</v>
      </c>
      <c r="B99" s="2872"/>
      <c r="C99" s="2872"/>
      <c r="D99" s="2872"/>
      <c r="E99" s="2872"/>
      <c r="F99" s="1958">
        <f>$F$73</f>
        <v>46204</v>
      </c>
      <c r="G99" s="1964">
        <v>46387</v>
      </c>
      <c r="H99" s="1965" t="s">
        <v>5872</v>
      </c>
    </row>
    <row r="100" spans="1:8" s="1965" customFormat="1" ht="15.75" hidden="1" outlineLevel="1" x14ac:dyDescent="0.25">
      <c r="A100" s="2873" t="s">
        <v>534</v>
      </c>
      <c r="B100" s="2874"/>
      <c r="C100" s="2874"/>
      <c r="D100" s="2874"/>
      <c r="E100" s="2875"/>
      <c r="F100" s="1958">
        <f>$F$74+285</f>
        <v>46520</v>
      </c>
      <c r="G100" s="1966">
        <v>46752</v>
      </c>
      <c r="H100" s="1965" t="s">
        <v>7875</v>
      </c>
    </row>
    <row r="101" spans="1:8" s="1965" customFormat="1" ht="15.75" hidden="1" outlineLevel="1" x14ac:dyDescent="0.25">
      <c r="A101" s="2873" t="s">
        <v>535</v>
      </c>
      <c r="B101" s="2874"/>
      <c r="C101" s="2874"/>
      <c r="D101" s="2874"/>
      <c r="E101" s="2875"/>
      <c r="F101" s="1958">
        <f>$F$74+560</f>
        <v>46795</v>
      </c>
      <c r="G101" s="1966">
        <v>46753</v>
      </c>
      <c r="H101" s="1965" t="s">
        <v>7876</v>
      </c>
    </row>
    <row r="102" spans="1:8" s="1965" customFormat="1" ht="15.75" hidden="1" outlineLevel="1" x14ac:dyDescent="0.25">
      <c r="A102" s="2873" t="s">
        <v>7870</v>
      </c>
      <c r="B102" s="2874"/>
      <c r="C102" s="2874"/>
      <c r="D102" s="2874"/>
      <c r="E102" s="2875"/>
      <c r="F102" s="1967">
        <f>(F101-F100)/30.5</f>
        <v>9</v>
      </c>
    </row>
    <row r="103" spans="1:8" s="1965" customFormat="1" ht="15.75" hidden="1" outlineLevel="1" x14ac:dyDescent="0.25">
      <c r="A103" s="2876" t="s">
        <v>7877</v>
      </c>
      <c r="B103" s="2876"/>
      <c r="C103" s="2876"/>
      <c r="D103" s="2876"/>
      <c r="E103" s="2876"/>
      <c r="F103" s="1968">
        <f>(G100-F100)/30.5/F102</f>
        <v>0.85</v>
      </c>
    </row>
    <row r="104" spans="1:8" s="1965" customFormat="1" ht="15.75" hidden="1" outlineLevel="1" x14ac:dyDescent="0.25">
      <c r="A104" s="2877" t="s">
        <v>7878</v>
      </c>
      <c r="B104" s="2877"/>
      <c r="C104" s="2877"/>
      <c r="D104" s="2877"/>
      <c r="E104" s="2877"/>
      <c r="F104" s="1968">
        <f>1-F103</f>
        <v>0.15</v>
      </c>
    </row>
    <row r="105" spans="1:8" s="1965" customFormat="1" ht="35.25" hidden="1" customHeight="1" outlineLevel="1" x14ac:dyDescent="0.25">
      <c r="A105" s="2858" t="s">
        <v>7828</v>
      </c>
      <c r="B105" s="2858"/>
      <c r="C105" s="2858"/>
      <c r="D105" s="2858"/>
      <c r="E105" s="2858"/>
      <c r="F105" s="1933">
        <v>1.0549999999999999</v>
      </c>
    </row>
    <row r="106" spans="1:8" s="1965" customFormat="1" ht="15.75" hidden="1" outlineLevel="1" x14ac:dyDescent="0.25">
      <c r="A106" s="2862" t="s">
        <v>7829</v>
      </c>
      <c r="B106" s="2862"/>
      <c r="C106" s="2862"/>
      <c r="D106" s="1934">
        <f>F105</f>
        <v>1.0549999999999999</v>
      </c>
      <c r="E106" s="1935" t="s">
        <v>538</v>
      </c>
      <c r="F106" s="1936">
        <f>F105^(1/12)</f>
        <v>1.0044999999999999</v>
      </c>
    </row>
    <row r="107" spans="1:8" s="1965" customFormat="1" ht="35.25" hidden="1" customHeight="1" outlineLevel="1" x14ac:dyDescent="0.25">
      <c r="A107" s="2858" t="s">
        <v>7872</v>
      </c>
      <c r="B107" s="2858"/>
      <c r="C107" s="2858"/>
      <c r="D107" s="2858"/>
      <c r="E107" s="2858"/>
      <c r="F107" s="1969">
        <v>1.0409999999999999</v>
      </c>
    </row>
    <row r="108" spans="1:8" s="1965" customFormat="1" ht="15.75" hidden="1" outlineLevel="1" x14ac:dyDescent="0.25">
      <c r="A108" s="2862" t="s">
        <v>7873</v>
      </c>
      <c r="B108" s="2862"/>
      <c r="C108" s="2862"/>
      <c r="D108" s="1934">
        <f>F107</f>
        <v>1.0409999999999999</v>
      </c>
      <c r="E108" s="1935" t="s">
        <v>538</v>
      </c>
      <c r="F108" s="1970">
        <f>F107^(1/12)</f>
        <v>1.0034000000000001</v>
      </c>
    </row>
    <row r="109" spans="1:8" s="1965" customFormat="1" ht="33" hidden="1" customHeight="1" outlineLevel="1" x14ac:dyDescent="0.25">
      <c r="A109" s="2858" t="s">
        <v>7879</v>
      </c>
      <c r="B109" s="2858"/>
      <c r="C109" s="2858"/>
      <c r="D109" s="2858"/>
      <c r="E109" s="2858"/>
      <c r="F109" s="1969">
        <v>1.0409999999999999</v>
      </c>
    </row>
    <row r="110" spans="1:8" s="1965" customFormat="1" ht="15.75" hidden="1" outlineLevel="1" x14ac:dyDescent="0.25">
      <c r="A110" s="2862" t="s">
        <v>7880</v>
      </c>
      <c r="B110" s="2862"/>
      <c r="C110" s="2862"/>
      <c r="D110" s="1934">
        <f>F109</f>
        <v>1.0409999999999999</v>
      </c>
      <c r="E110" s="1935" t="s">
        <v>538</v>
      </c>
      <c r="F110" s="1970">
        <f>F109^(1/12)</f>
        <v>1.0034000000000001</v>
      </c>
    </row>
    <row r="111" spans="1:8" s="1965" customFormat="1" ht="38.25" hidden="1" customHeight="1" outlineLevel="1" x14ac:dyDescent="0.25">
      <c r="A111" s="1971" t="s">
        <v>7881</v>
      </c>
      <c r="B111" s="2878" t="str">
        <f>CONCATENATE(F106,"^",ROUND((G99-F99)/30.5,1),"*",F108,"^",ROUND((F100-G99)/30.5,1),"*(1+",F108,"^",ROUND((G100-F100)/30.5,1),")/2")</f>
        <v>1,0045^6*1,0034^4,4*(1+1,0034^7,6)/2</v>
      </c>
      <c r="C111" s="2879"/>
      <c r="D111" s="2879"/>
      <c r="E111" s="2880"/>
      <c r="F111" s="1972">
        <f>F106^ROUND((G99-F99)/30.5,1)*F108^ROUND((F100-G99)/30.5,1)*(1+F108^ROUND((G100-F100)/30.5,1))/2</f>
        <v>1.0564</v>
      </c>
      <c r="H111" s="1973"/>
    </row>
    <row r="112" spans="1:8" s="1965" customFormat="1" ht="40.5" hidden="1" customHeight="1" outlineLevel="1" x14ac:dyDescent="0.25">
      <c r="A112" s="1971" t="s">
        <v>7882</v>
      </c>
      <c r="B112" s="2878" t="str">
        <f>CONCATENATE(F106,"^",ROUND((G99-F99)/30.5,1),"*",F108,"^12*(1+",F110,"^",ROUND((F101-G101)/30.5,1),")/2")</f>
        <v>1,0045^6*1,0034^12*(1+1,0034^1,4)/2</v>
      </c>
      <c r="C112" s="2879"/>
      <c r="D112" s="2879"/>
      <c r="E112" s="2880"/>
      <c r="F112" s="1972">
        <f>F106^ROUND((G99-F99)/30.5,1)*F108^12*(1+F110^ROUND((F101-G101)/30.5,1))/2</f>
        <v>1.0726</v>
      </c>
      <c r="H112" s="1973"/>
    </row>
    <row r="113" spans="1:8" s="1965" customFormat="1" ht="34.5" hidden="1" customHeight="1" outlineLevel="1" x14ac:dyDescent="0.25">
      <c r="A113" s="2881" t="s">
        <v>539</v>
      </c>
      <c r="B113" s="2882"/>
      <c r="C113" s="2878" t="str">
        <f>CONCATENATE(F103,"*",F111,"+",F104,"*",F112)</f>
        <v>0,85*1,0564+0,15*1,0726</v>
      </c>
      <c r="D113" s="2879"/>
      <c r="E113" s="2880"/>
      <c r="F113" s="1974">
        <f>F103*F111+F104*F112</f>
        <v>1.0588</v>
      </c>
      <c r="H113" s="1975"/>
    </row>
    <row r="114" spans="1:8" hidden="1" x14ac:dyDescent="0.2"/>
    <row r="115" spans="1:8" hidden="1" x14ac:dyDescent="0.2"/>
    <row r="116" spans="1:8" hidden="1" x14ac:dyDescent="0.2"/>
  </sheetData>
  <mergeCells count="46">
    <mergeCell ref="A57:I57"/>
    <mergeCell ref="A58:I58"/>
    <mergeCell ref="E64:J64"/>
    <mergeCell ref="A51:I51"/>
    <mergeCell ref="A52:I52"/>
    <mergeCell ref="A53:I53"/>
    <mergeCell ref="A54:I54"/>
    <mergeCell ref="A55:I55"/>
    <mergeCell ref="A56:I56"/>
    <mergeCell ref="A59:I62"/>
    <mergeCell ref="A109:E109"/>
    <mergeCell ref="A110:C110"/>
    <mergeCell ref="B111:E111"/>
    <mergeCell ref="B112:E112"/>
    <mergeCell ref="A113:B113"/>
    <mergeCell ref="C113:E113"/>
    <mergeCell ref="A108:C108"/>
    <mergeCell ref="A93:B93"/>
    <mergeCell ref="C93:E93"/>
    <mergeCell ref="A99:E99"/>
    <mergeCell ref="A100:E100"/>
    <mergeCell ref="A101:E101"/>
    <mergeCell ref="A102:E102"/>
    <mergeCell ref="A103:E103"/>
    <mergeCell ref="A104:E104"/>
    <mergeCell ref="A105:E105"/>
    <mergeCell ref="A106:C106"/>
    <mergeCell ref="A107:E107"/>
    <mergeCell ref="A92:C92"/>
    <mergeCell ref="A78:C78"/>
    <mergeCell ref="A79:B79"/>
    <mergeCell ref="C79:E79"/>
    <mergeCell ref="H79:J79"/>
    <mergeCell ref="A85:E85"/>
    <mergeCell ref="A86:E86"/>
    <mergeCell ref="A87:E87"/>
    <mergeCell ref="A88:E88"/>
    <mergeCell ref="A89:E89"/>
    <mergeCell ref="A90:C90"/>
    <mergeCell ref="A91:E91"/>
    <mergeCell ref="A77:E77"/>
    <mergeCell ref="A68:F68"/>
    <mergeCell ref="A73:E73"/>
    <mergeCell ref="A74:E74"/>
    <mergeCell ref="A75:E75"/>
    <mergeCell ref="A76:E76"/>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
  <sheetViews>
    <sheetView workbookViewId="0">
      <selection activeCell="R32" sqref="R32"/>
    </sheetView>
  </sheetViews>
  <sheetFormatPr defaultRowHeight="15" x14ac:dyDescent="0.25"/>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pageSetUpPr autoPageBreaks="0" fitToPage="1"/>
  </sheetPr>
  <dimension ref="A1:AK141"/>
  <sheetViews>
    <sheetView showGridLines="0" topLeftCell="A5" zoomScale="80" zoomScaleNormal="80" workbookViewId="0">
      <selection activeCell="AT21" sqref="AT21"/>
    </sheetView>
  </sheetViews>
  <sheetFormatPr defaultColWidth="9.140625" defaultRowHeight="12.75" outlineLevelRow="1" outlineLevelCol="1" x14ac:dyDescent="0.2"/>
  <cols>
    <col min="1" max="1" width="5" style="592" customWidth="1"/>
    <col min="2" max="2" width="19.28515625" style="1061" customWidth="1"/>
    <col min="3" max="3" width="51.28515625" style="1061" customWidth="1"/>
    <col min="4" max="4" width="13.140625" style="1062" customWidth="1" outlineLevel="1"/>
    <col min="5" max="5" width="16.140625" style="1062" customWidth="1" outlineLevel="1"/>
    <col min="6" max="6" width="13.42578125" style="1062" customWidth="1" outlineLevel="1"/>
    <col min="7" max="7" width="12.5703125" style="1062" customWidth="1" outlineLevel="1"/>
    <col min="8" max="8" width="13.85546875" style="1062" customWidth="1" outlineLevel="1"/>
    <col min="9" max="9" width="12.7109375" style="578" customWidth="1" outlineLevel="1"/>
    <col min="10" max="10" width="13.85546875" style="578" customWidth="1" outlineLevel="1"/>
    <col min="11" max="11" width="12.28515625" style="578" customWidth="1" outlineLevel="1"/>
    <col min="12" max="12" width="11.28515625" style="578" customWidth="1" outlineLevel="1"/>
    <col min="13" max="13" width="15" style="578" customWidth="1" outlineLevel="1"/>
    <col min="14" max="14" width="10.5703125" style="578" customWidth="1" outlineLevel="1"/>
    <col min="15" max="15" width="13.140625" style="578" customWidth="1" outlineLevel="1"/>
    <col min="16" max="16" width="9.140625" style="578" customWidth="1" outlineLevel="1"/>
    <col min="17" max="17" width="12.85546875" style="578" customWidth="1" outlineLevel="1"/>
    <col min="18" max="18" width="9.140625" style="578" customWidth="1" outlineLevel="1"/>
    <col min="19" max="22" width="10.5703125" style="578" customWidth="1" outlineLevel="1"/>
    <col min="23" max="24" width="23.85546875" style="578" customWidth="1" outlineLevel="1"/>
    <col min="25" max="25" width="10.85546875" style="578" customWidth="1" outlineLevel="1"/>
    <col min="26" max="26" width="10.85546875" style="578" customWidth="1" outlineLevel="1" collapsed="1"/>
    <col min="27" max="27" width="10.85546875" style="578" customWidth="1" outlineLevel="1"/>
    <col min="28" max="28" width="10.85546875" style="578" customWidth="1"/>
    <col min="29" max="29" width="10" style="578" customWidth="1"/>
    <col min="30" max="30" width="10" style="578" hidden="1" customWidth="1"/>
    <col min="31" max="31" width="10.28515625" style="578" hidden="1" customWidth="1"/>
    <col min="32" max="32" width="16.42578125" style="578" hidden="1" customWidth="1"/>
    <col min="33" max="33" width="14.85546875" style="578" hidden="1" customWidth="1"/>
    <col min="34" max="34" width="13.7109375" style="578" customWidth="1"/>
    <col min="35" max="35" width="15.140625" style="578" customWidth="1"/>
    <col min="36" max="36" width="14.140625" style="578" customWidth="1"/>
    <col min="37" max="16384" width="9.140625" style="578"/>
  </cols>
  <sheetData>
    <row r="1" spans="1:36" x14ac:dyDescent="0.2">
      <c r="G1" s="1063"/>
      <c r="H1" s="1063"/>
    </row>
    <row r="2" spans="1:36" x14ac:dyDescent="0.2">
      <c r="A2" s="1064" t="s">
        <v>5250</v>
      </c>
      <c r="B2" s="1065"/>
      <c r="C2" s="1065"/>
      <c r="D2" s="1065"/>
      <c r="E2" s="1065"/>
      <c r="F2" s="1065"/>
      <c r="G2" s="1065"/>
      <c r="H2" s="1065"/>
    </row>
    <row r="3" spans="1:36" x14ac:dyDescent="0.2">
      <c r="D3" s="1066"/>
      <c r="F3" s="1063"/>
      <c r="G3" s="1063"/>
      <c r="H3" s="1063"/>
    </row>
    <row r="4" spans="1:36" ht="27.95" customHeight="1" x14ac:dyDescent="0.2">
      <c r="A4" s="1067" t="s">
        <v>5251</v>
      </c>
      <c r="B4" s="1068"/>
      <c r="C4" s="1068"/>
      <c r="D4" s="1068"/>
      <c r="E4" s="1068"/>
      <c r="F4" s="1068"/>
      <c r="G4" s="1068"/>
      <c r="H4" s="1068"/>
    </row>
    <row r="5" spans="1:36" x14ac:dyDescent="0.2">
      <c r="D5" s="1063"/>
      <c r="E5" s="1063"/>
      <c r="F5" s="1063"/>
      <c r="G5" s="1063"/>
      <c r="H5" s="1063"/>
      <c r="I5" s="1069" t="s">
        <v>5252</v>
      </c>
      <c r="J5" s="1069"/>
      <c r="K5" s="1069"/>
      <c r="L5" s="1069"/>
      <c r="M5" s="1069"/>
      <c r="N5" s="1069"/>
      <c r="O5" s="1069"/>
      <c r="P5" s="1069"/>
      <c r="Q5" s="1069"/>
      <c r="R5" s="1069"/>
      <c r="S5" s="1069"/>
      <c r="T5" s="1069"/>
      <c r="U5" s="1069"/>
      <c r="V5" s="1069"/>
      <c r="W5" s="1069"/>
      <c r="X5" s="1069"/>
      <c r="Y5" s="1069"/>
      <c r="Z5" s="1069"/>
      <c r="AA5" s="1069"/>
      <c r="AB5" s="1069"/>
      <c r="AC5" s="1069"/>
      <c r="AD5" s="1069"/>
      <c r="AE5" s="1069"/>
      <c r="AF5" s="1070"/>
    </row>
    <row r="6" spans="1:36" ht="12.75" customHeight="1" x14ac:dyDescent="0.2">
      <c r="A6" s="2899" t="s">
        <v>512</v>
      </c>
      <c r="B6" s="2902" t="s">
        <v>5253</v>
      </c>
      <c r="C6" s="2902" t="s">
        <v>5254</v>
      </c>
      <c r="D6" s="1071" t="s">
        <v>678</v>
      </c>
      <c r="E6" s="1072"/>
      <c r="F6" s="1072"/>
      <c r="G6" s="1072"/>
      <c r="H6" s="1073" t="s">
        <v>5255</v>
      </c>
      <c r="I6" s="2896" t="s">
        <v>5256</v>
      </c>
      <c r="J6" s="2896" t="s">
        <v>5257</v>
      </c>
      <c r="K6" s="2896" t="s">
        <v>5258</v>
      </c>
      <c r="L6" s="2896" t="s">
        <v>5259</v>
      </c>
      <c r="M6" s="2896" t="s">
        <v>5260</v>
      </c>
      <c r="N6" s="2896" t="s">
        <v>5261</v>
      </c>
      <c r="O6" s="2896" t="s">
        <v>5262</v>
      </c>
      <c r="P6" s="2896" t="s">
        <v>5263</v>
      </c>
      <c r="Q6" s="2896" t="s">
        <v>5264</v>
      </c>
      <c r="R6" s="2896" t="s">
        <v>4117</v>
      </c>
      <c r="S6" s="2896" t="s">
        <v>4118</v>
      </c>
      <c r="T6" s="2896" t="s">
        <v>429</v>
      </c>
      <c r="U6" s="2896" t="s">
        <v>5265</v>
      </c>
      <c r="V6" s="2896" t="s">
        <v>5266</v>
      </c>
      <c r="W6" s="2896" t="s">
        <v>5267</v>
      </c>
      <c r="X6" s="2896" t="s">
        <v>193</v>
      </c>
      <c r="Y6" s="2896" t="s">
        <v>5268</v>
      </c>
      <c r="Z6" s="2908" t="s">
        <v>5269</v>
      </c>
      <c r="AA6" s="2908" t="s">
        <v>4134</v>
      </c>
      <c r="AB6" s="2908" t="s">
        <v>5270</v>
      </c>
      <c r="AC6" s="2905" t="s">
        <v>5271</v>
      </c>
      <c r="AD6" s="2896" t="s">
        <v>5272</v>
      </c>
      <c r="AE6" s="2896" t="s">
        <v>5269</v>
      </c>
      <c r="AF6" s="2896" t="s">
        <v>5273</v>
      </c>
      <c r="AG6" s="2896" t="s">
        <v>5274</v>
      </c>
      <c r="AH6" s="2899" t="s">
        <v>5275</v>
      </c>
      <c r="AI6" s="2914" t="s">
        <v>188</v>
      </c>
      <c r="AJ6" s="2911" t="s">
        <v>5276</v>
      </c>
    </row>
    <row r="7" spans="1:36" ht="12.75" customHeight="1" x14ac:dyDescent="0.2">
      <c r="A7" s="2900"/>
      <c r="B7" s="2903"/>
      <c r="C7" s="2903"/>
      <c r="D7" s="1073" t="s">
        <v>5277</v>
      </c>
      <c r="E7" s="1073" t="s">
        <v>680</v>
      </c>
      <c r="F7" s="1073" t="s">
        <v>5278</v>
      </c>
      <c r="G7" s="1073" t="s">
        <v>5279</v>
      </c>
      <c r="H7" s="1073"/>
      <c r="I7" s="2897"/>
      <c r="J7" s="2897"/>
      <c r="K7" s="2897"/>
      <c r="L7" s="2897"/>
      <c r="M7" s="2897"/>
      <c r="N7" s="2897"/>
      <c r="O7" s="2897"/>
      <c r="P7" s="2897"/>
      <c r="Q7" s="2897"/>
      <c r="R7" s="2897"/>
      <c r="S7" s="2897"/>
      <c r="T7" s="2897"/>
      <c r="U7" s="2897"/>
      <c r="V7" s="2897"/>
      <c r="W7" s="2897"/>
      <c r="X7" s="2897"/>
      <c r="Y7" s="2897"/>
      <c r="Z7" s="2909"/>
      <c r="AA7" s="2909"/>
      <c r="AB7" s="2909"/>
      <c r="AC7" s="2906"/>
      <c r="AD7" s="2897"/>
      <c r="AE7" s="2897"/>
      <c r="AF7" s="2897"/>
      <c r="AG7" s="2897"/>
      <c r="AH7" s="2900"/>
      <c r="AI7" s="2915"/>
      <c r="AJ7" s="2912"/>
    </row>
    <row r="8" spans="1:36" x14ac:dyDescent="0.2">
      <c r="A8" s="2900"/>
      <c r="B8" s="2903"/>
      <c r="C8" s="2903"/>
      <c r="D8" s="1073"/>
      <c r="E8" s="1073"/>
      <c r="F8" s="1073"/>
      <c r="G8" s="1073"/>
      <c r="H8" s="1073"/>
      <c r="I8" s="2897"/>
      <c r="J8" s="2897"/>
      <c r="K8" s="2897"/>
      <c r="L8" s="2897"/>
      <c r="M8" s="2897"/>
      <c r="N8" s="2897"/>
      <c r="O8" s="2897"/>
      <c r="P8" s="2897"/>
      <c r="Q8" s="2897"/>
      <c r="R8" s="2897"/>
      <c r="S8" s="2897"/>
      <c r="T8" s="2897"/>
      <c r="U8" s="2897"/>
      <c r="V8" s="2897"/>
      <c r="W8" s="2897"/>
      <c r="X8" s="2897"/>
      <c r="Y8" s="2897"/>
      <c r="Z8" s="2909"/>
      <c r="AA8" s="2909"/>
      <c r="AB8" s="2909"/>
      <c r="AC8" s="2906"/>
      <c r="AD8" s="2897"/>
      <c r="AE8" s="2897"/>
      <c r="AF8" s="2897"/>
      <c r="AG8" s="2897"/>
      <c r="AH8" s="2900"/>
      <c r="AI8" s="2915"/>
      <c r="AJ8" s="2912"/>
    </row>
    <row r="9" spans="1:36" ht="25.15" customHeight="1" x14ac:dyDescent="0.2">
      <c r="A9" s="2901"/>
      <c r="B9" s="2904"/>
      <c r="C9" s="2904"/>
      <c r="D9" s="1073"/>
      <c r="E9" s="1073"/>
      <c r="F9" s="1073"/>
      <c r="G9" s="1073"/>
      <c r="H9" s="1073"/>
      <c r="I9" s="2898"/>
      <c r="J9" s="2898"/>
      <c r="K9" s="2898"/>
      <c r="L9" s="2898"/>
      <c r="M9" s="2898"/>
      <c r="N9" s="2898"/>
      <c r="O9" s="2898"/>
      <c r="P9" s="2898"/>
      <c r="Q9" s="2898"/>
      <c r="R9" s="2898"/>
      <c r="S9" s="2898"/>
      <c r="T9" s="2898"/>
      <c r="U9" s="2898"/>
      <c r="V9" s="2898"/>
      <c r="W9" s="2898"/>
      <c r="X9" s="2898"/>
      <c r="Y9" s="2898"/>
      <c r="Z9" s="2910"/>
      <c r="AA9" s="2910"/>
      <c r="AB9" s="2910"/>
      <c r="AC9" s="2907"/>
      <c r="AD9" s="2898"/>
      <c r="AE9" s="2898"/>
      <c r="AF9" s="2898"/>
      <c r="AG9" s="2898"/>
      <c r="AH9" s="2901"/>
      <c r="AI9" s="2916"/>
      <c r="AJ9" s="2913"/>
    </row>
    <row r="10" spans="1:36" x14ac:dyDescent="0.2">
      <c r="A10" s="1074">
        <v>1</v>
      </c>
      <c r="B10" s="1075">
        <v>2</v>
      </c>
      <c r="C10" s="1075">
        <v>3</v>
      </c>
      <c r="D10" s="1074">
        <v>4</v>
      </c>
      <c r="E10" s="1074">
        <v>5</v>
      </c>
      <c r="F10" s="1074">
        <v>6</v>
      </c>
      <c r="G10" s="1074">
        <v>7</v>
      </c>
      <c r="H10" s="1074">
        <v>8</v>
      </c>
      <c r="I10" s="1076"/>
      <c r="J10" s="1076"/>
      <c r="K10" s="1076"/>
      <c r="L10" s="1076"/>
      <c r="M10" s="1076"/>
      <c r="N10" s="1076"/>
      <c r="O10" s="1076"/>
      <c r="P10" s="1076"/>
      <c r="Q10" s="1076"/>
      <c r="R10" s="1076"/>
      <c r="S10" s="1076"/>
      <c r="T10" s="1076"/>
      <c r="U10" s="1076"/>
      <c r="V10" s="1076"/>
      <c r="W10" s="1076"/>
      <c r="X10" s="1076"/>
      <c r="Y10" s="1076"/>
      <c r="Z10" s="1077"/>
      <c r="AA10" s="1077"/>
      <c r="AB10" s="1077"/>
      <c r="AC10" s="1078"/>
      <c r="AD10" s="1076"/>
      <c r="AE10" s="1076"/>
      <c r="AF10" s="1076"/>
      <c r="AG10" s="1079"/>
      <c r="AH10" s="1080"/>
      <c r="AI10" s="1080"/>
      <c r="AJ10" s="1081"/>
    </row>
    <row r="11" spans="1:36" ht="12.75" hidden="1" customHeight="1" x14ac:dyDescent="0.2">
      <c r="A11" s="1082" t="s">
        <v>5280</v>
      </c>
      <c r="B11" s="1083"/>
      <c r="C11" s="1083"/>
      <c r="D11" s="1083"/>
      <c r="E11" s="1083"/>
      <c r="F11" s="1083"/>
      <c r="G11" s="1083"/>
      <c r="H11" s="1083"/>
      <c r="I11" s="1076"/>
      <c r="J11" s="1076"/>
      <c r="K11" s="1076"/>
      <c r="L11" s="1076"/>
      <c r="M11" s="1076"/>
      <c r="N11" s="1076"/>
      <c r="O11" s="1076"/>
      <c r="P11" s="1076"/>
      <c r="Q11" s="1076"/>
      <c r="R11" s="1076"/>
      <c r="S11" s="1076"/>
      <c r="T11" s="1076"/>
      <c r="U11" s="1076"/>
      <c r="V11" s="1076"/>
      <c r="W11" s="1076"/>
      <c r="X11" s="1076"/>
      <c r="Y11" s="1076"/>
      <c r="Z11" s="1077"/>
      <c r="AA11" s="1077"/>
      <c r="AB11" s="1077"/>
      <c r="AC11" s="1078"/>
      <c r="AD11" s="1076"/>
      <c r="AE11" s="1076"/>
      <c r="AF11" s="1076"/>
      <c r="AG11" s="1079"/>
      <c r="AH11" s="1080"/>
      <c r="AI11" s="1080"/>
      <c r="AJ11" s="1081"/>
    </row>
    <row r="12" spans="1:36" ht="25.5" hidden="1" customHeight="1" x14ac:dyDescent="0.2">
      <c r="A12" s="1084">
        <v>1</v>
      </c>
      <c r="B12" s="1085" t="s">
        <v>5281</v>
      </c>
      <c r="C12" s="1085" t="s">
        <v>5282</v>
      </c>
      <c r="D12" s="1086"/>
      <c r="E12" s="1086"/>
      <c r="F12" s="1086"/>
      <c r="G12" s="1087">
        <v>29.1</v>
      </c>
      <c r="H12" s="1087">
        <f>SUM(D12:G12)</f>
        <v>29.1</v>
      </c>
      <c r="I12" s="1076"/>
      <c r="J12" s="1076"/>
      <c r="K12" s="1076"/>
      <c r="L12" s="1076"/>
      <c r="M12" s="1076"/>
      <c r="N12" s="1088">
        <f>G12*1.266*4.23</f>
        <v>155.84</v>
      </c>
      <c r="O12" s="1076"/>
      <c r="P12" s="1076"/>
      <c r="Q12" s="1076"/>
      <c r="R12" s="1076"/>
      <c r="S12" s="1076"/>
      <c r="T12" s="1076"/>
      <c r="U12" s="1076"/>
      <c r="V12" s="1076"/>
      <c r="W12" s="1076"/>
      <c r="X12" s="1076"/>
      <c r="Y12" s="1088">
        <f>N12*0.02</f>
        <v>3.12</v>
      </c>
      <c r="Z12" s="1089"/>
      <c r="AA12" s="1089"/>
      <c r="AB12" s="1089"/>
      <c r="AC12" s="1078"/>
      <c r="AD12" s="1090">
        <f>N12</f>
        <v>155.84</v>
      </c>
      <c r="AE12" s="1090">
        <f>N12+Y12</f>
        <v>158.96</v>
      </c>
      <c r="AF12" s="1091">
        <f>AD12*F135*1000</f>
        <v>160749</v>
      </c>
      <c r="AG12" s="1091">
        <f>AE12*F135*1000</f>
        <v>163967</v>
      </c>
      <c r="AH12" s="1080"/>
      <c r="AI12" s="1080"/>
      <c r="AJ12" s="1081"/>
    </row>
    <row r="13" spans="1:36" ht="12.75" hidden="1" customHeight="1" x14ac:dyDescent="0.2">
      <c r="A13" s="1084">
        <v>2</v>
      </c>
      <c r="B13" s="1085" t="s">
        <v>5283</v>
      </c>
      <c r="C13" s="1085" t="s">
        <v>5284</v>
      </c>
      <c r="D13" s="1092">
        <v>78.95</v>
      </c>
      <c r="E13" s="1086"/>
      <c r="F13" s="1086"/>
      <c r="G13" s="1086"/>
      <c r="H13" s="1092">
        <f t="shared" ref="H13:H14" si="0">SUM(D13:G13)</f>
        <v>78.95</v>
      </c>
      <c r="I13" s="1076">
        <f>(D13+E13)*7</f>
        <v>552.65</v>
      </c>
      <c r="J13" s="1076"/>
      <c r="K13" s="1088">
        <f>I13*0.023</f>
        <v>12.71</v>
      </c>
      <c r="L13" s="1088">
        <f>(I13+K13)*0.006*1.1</f>
        <v>3.73</v>
      </c>
      <c r="M13" s="1088"/>
      <c r="N13" s="1076"/>
      <c r="O13" s="1088"/>
      <c r="P13" s="1076"/>
      <c r="Q13" s="1076"/>
      <c r="R13" s="1076"/>
      <c r="S13" s="1076"/>
      <c r="T13" s="1076"/>
      <c r="U13" s="1076"/>
      <c r="V13" s="1076"/>
      <c r="W13" s="1076"/>
      <c r="X13" s="1076"/>
      <c r="Y13" s="1088">
        <f>(I13+J13+K13+L13+O13+P13+S13)*0.02</f>
        <v>11.38</v>
      </c>
      <c r="Z13" s="1089"/>
      <c r="AA13" s="1089"/>
      <c r="AB13" s="1089"/>
      <c r="AC13" s="1093">
        <f>-K13*0.15</f>
        <v>-1.91</v>
      </c>
      <c r="AD13" s="1088">
        <f>I13+J13+K13+L13+O13+P13+S13+AC13</f>
        <v>567.17999999999995</v>
      </c>
      <c r="AE13" s="1088">
        <f>I13+J13+K13+L13+O13+P13+S13+Y13+AC13</f>
        <v>578.55999999999995</v>
      </c>
      <c r="AF13" s="1091">
        <f>AD13*1000*$F$135</f>
        <v>585046</v>
      </c>
      <c r="AG13" s="1094">
        <f>AE13*1000*$F$135</f>
        <v>596785</v>
      </c>
      <c r="AH13" s="1080"/>
      <c r="AI13" s="1080"/>
      <c r="AJ13" s="1081"/>
    </row>
    <row r="14" spans="1:36" ht="27.95" hidden="1" customHeight="1" x14ac:dyDescent="0.2">
      <c r="A14" s="1095"/>
      <c r="B14" s="1096" t="s">
        <v>5285</v>
      </c>
      <c r="C14" s="1097"/>
      <c r="D14" s="1098">
        <f>SUM(D12:D13)</f>
        <v>78.95</v>
      </c>
      <c r="E14" s="1098">
        <f t="shared" ref="E14:G14" si="1">SUM(E12:E13)</f>
        <v>0</v>
      </c>
      <c r="F14" s="1098">
        <f t="shared" si="1"/>
        <v>0</v>
      </c>
      <c r="G14" s="1099">
        <f t="shared" si="1"/>
        <v>29.1</v>
      </c>
      <c r="H14" s="1098">
        <f t="shared" si="0"/>
        <v>108.05</v>
      </c>
      <c r="I14" s="1076"/>
      <c r="J14" s="1076"/>
      <c r="K14" s="1076"/>
      <c r="L14" s="1076"/>
      <c r="M14" s="1076"/>
      <c r="N14" s="1076"/>
      <c r="O14" s="1076"/>
      <c r="P14" s="1076"/>
      <c r="Q14" s="1076"/>
      <c r="R14" s="1076"/>
      <c r="S14" s="1076"/>
      <c r="T14" s="1076"/>
      <c r="U14" s="1076"/>
      <c r="V14" s="1076"/>
      <c r="W14" s="1076"/>
      <c r="X14" s="1076"/>
      <c r="Y14" s="1076"/>
      <c r="Z14" s="1077"/>
      <c r="AA14" s="1077"/>
      <c r="AB14" s="1077"/>
      <c r="AC14" s="1078"/>
      <c r="AD14" s="1076"/>
      <c r="AE14" s="1076"/>
      <c r="AF14" s="1076"/>
      <c r="AG14" s="1079"/>
      <c r="AH14" s="1080"/>
      <c r="AI14" s="1080"/>
      <c r="AJ14" s="1081"/>
    </row>
    <row r="15" spans="1:36" ht="12.75" customHeight="1" x14ac:dyDescent="0.2">
      <c r="A15" s="1100" t="s">
        <v>5286</v>
      </c>
      <c r="B15" s="1083"/>
      <c r="C15" s="1083"/>
      <c r="D15" s="1083"/>
      <c r="E15" s="1083"/>
      <c r="F15" s="1083"/>
      <c r="G15" s="1083"/>
      <c r="H15" s="1083"/>
      <c r="I15" s="1076"/>
      <c r="J15" s="1076"/>
      <c r="K15" s="1076"/>
      <c r="L15" s="1076"/>
      <c r="M15" s="1076"/>
      <c r="N15" s="1076"/>
      <c r="O15" s="1076"/>
      <c r="P15" s="1076"/>
      <c r="Q15" s="1076"/>
      <c r="R15" s="1076"/>
      <c r="S15" s="1076"/>
      <c r="T15" s="1076"/>
      <c r="U15" s="1076"/>
      <c r="V15" s="1076"/>
      <c r="W15" s="1076"/>
      <c r="X15" s="1076"/>
      <c r="Y15" s="1076"/>
      <c r="Z15" s="1077"/>
      <c r="AA15" s="1077"/>
      <c r="AB15" s="1077"/>
      <c r="AC15" s="1078"/>
      <c r="AD15" s="1076"/>
      <c r="AE15" s="1076"/>
      <c r="AF15" s="1076"/>
      <c r="AG15" s="1079"/>
      <c r="AH15" s="1080"/>
      <c r="AI15" s="1080"/>
      <c r="AJ15" s="1081"/>
    </row>
    <row r="16" spans="1:36" x14ac:dyDescent="0.2">
      <c r="A16" s="1084">
        <v>3</v>
      </c>
      <c r="B16" s="1085" t="s">
        <v>5287</v>
      </c>
      <c r="C16" s="1085" t="s">
        <v>5288</v>
      </c>
      <c r="D16" s="1087">
        <f>SUM(D17:D33)</f>
        <v>537.80999999999995</v>
      </c>
      <c r="E16" s="1087">
        <f t="shared" ref="E16:F16" si="2">SUM(E17:E33)</f>
        <v>1231.3599999999999</v>
      </c>
      <c r="F16" s="1087">
        <f t="shared" si="2"/>
        <v>17480.759999999998</v>
      </c>
      <c r="G16" s="1101"/>
      <c r="H16" s="1087">
        <f>SUM(D16:G16)</f>
        <v>19249.93</v>
      </c>
      <c r="I16" s="1088"/>
      <c r="J16" s="1076"/>
      <c r="K16" s="1076"/>
      <c r="L16" s="1076"/>
      <c r="M16" s="1076"/>
      <c r="N16" s="1076"/>
      <c r="O16" s="1076"/>
      <c r="P16" s="1076"/>
      <c r="Q16" s="1076"/>
      <c r="R16" s="1076"/>
      <c r="S16" s="1076"/>
      <c r="T16" s="1076"/>
      <c r="U16" s="1076"/>
      <c r="V16" s="1076"/>
      <c r="W16" s="1076"/>
      <c r="X16" s="1076"/>
      <c r="Y16" s="1076"/>
      <c r="Z16" s="1077"/>
      <c r="AA16" s="1077"/>
      <c r="AB16" s="1077"/>
      <c r="AC16" s="1078"/>
      <c r="AD16" s="1076"/>
      <c r="AE16" s="1076"/>
      <c r="AF16" s="1076"/>
      <c r="AG16" s="1079"/>
      <c r="AH16" s="1080"/>
      <c r="AI16" s="1080"/>
      <c r="AJ16" s="1081"/>
    </row>
    <row r="17" spans="1:37" ht="38.25" x14ac:dyDescent="0.2">
      <c r="A17" s="1084"/>
      <c r="B17" s="1102" t="s">
        <v>5289</v>
      </c>
      <c r="C17" s="1102" t="s">
        <v>5290</v>
      </c>
      <c r="D17" s="1103">
        <v>137.46</v>
      </c>
      <c r="E17" s="1103">
        <v>38.75</v>
      </c>
      <c r="F17" s="1104"/>
      <c r="G17" s="1104"/>
      <c r="H17" s="1103">
        <f t="shared" ref="H17:H54" si="3">SUM(D17:G17)</f>
        <v>176.21</v>
      </c>
      <c r="I17" s="1076">
        <f t="shared" ref="I17:I33" si="4">(D17+E17)*7</f>
        <v>1233.47</v>
      </c>
      <c r="J17" s="1088">
        <f>F17*3.98</f>
        <v>0</v>
      </c>
      <c r="K17" s="1088">
        <f>I17*0.023</f>
        <v>28.37</v>
      </c>
      <c r="L17" s="1088">
        <f>(I17+K17)*0.006*1.1</f>
        <v>8.33</v>
      </c>
      <c r="M17" s="1088">
        <f>($I$13+$K$13+$L$13)/SUM($I$17:$I$33)*$I17</f>
        <v>56.68</v>
      </c>
      <c r="N17" s="1088">
        <f>$N$12/SUM($I$17:$I$33)*$I17</f>
        <v>15.52</v>
      </c>
      <c r="O17" s="1088">
        <f>$O$47/SUM($I$17:$I$33)*$I17</f>
        <v>0.26</v>
      </c>
      <c r="P17" s="1076"/>
      <c r="Q17" s="1076">
        <f>SUM(I17:P17)</f>
        <v>1342.63</v>
      </c>
      <c r="R17" s="1088">
        <f>$Q17/$Q$63*$R$54</f>
        <v>47.85</v>
      </c>
      <c r="S17" s="1088">
        <f>$Q17/$Q$63*$S$55</f>
        <v>73.61</v>
      </c>
      <c r="T17" s="1088">
        <f>$T$56/SUM($I$17:$I$33)*$I17</f>
        <v>169.98</v>
      </c>
      <c r="U17" s="1088">
        <f>(R17+T17)/($R$54+$T$56)*$U$57</f>
        <v>34.99</v>
      </c>
      <c r="V17" s="1088">
        <f>SUM(R17:U17)</f>
        <v>326.43</v>
      </c>
      <c r="W17" s="1088">
        <f>(Q17+V17)/(SUM($Q$17:$Q$33)+SUM($V$17:$V$33))*$W$51</f>
        <v>86.03</v>
      </c>
      <c r="X17" s="1088">
        <f>Q17+V17+W17</f>
        <v>1755.09</v>
      </c>
      <c r="Y17" s="1088">
        <f>X17*2%</f>
        <v>35.1</v>
      </c>
      <c r="Z17" s="1105">
        <f>X17+Y17</f>
        <v>1790.19</v>
      </c>
      <c r="AA17" s="1089">
        <f>Z17*20%</f>
        <v>358.04</v>
      </c>
      <c r="AB17" s="1089">
        <f>Z17+AA17</f>
        <v>2148.23</v>
      </c>
      <c r="AC17" s="1093">
        <f>-K17*0.15*1.2</f>
        <v>-5.1100000000000003</v>
      </c>
      <c r="AD17" s="1088">
        <f t="shared" ref="AD17:AD33" si="5">I17+J17+K17+L17+O17+P17+S17+AC17</f>
        <v>1338.93</v>
      </c>
      <c r="AE17" s="1088">
        <f t="shared" ref="AE17:AE33" si="6">I17+J17+K17+L17+O17+P17+S17+Y17+AC17</f>
        <v>1374.03</v>
      </c>
      <c r="AF17" s="1091">
        <f t="shared" ref="AF17:AG33" si="7">AD17*1000*$F$135</f>
        <v>1381106</v>
      </c>
      <c r="AG17" s="1091">
        <f t="shared" si="7"/>
        <v>1417312</v>
      </c>
      <c r="AH17" s="1080"/>
      <c r="AI17" s="1080"/>
      <c r="AJ17" s="1081" t="e">
        <f>AB17/AI17</f>
        <v>#DIV/0!</v>
      </c>
    </row>
    <row r="18" spans="1:37" ht="25.5" x14ac:dyDescent="0.2">
      <c r="A18" s="1084"/>
      <c r="B18" s="1102" t="s">
        <v>5291</v>
      </c>
      <c r="C18" s="1102" t="s">
        <v>5292</v>
      </c>
      <c r="D18" s="1103">
        <v>260.83999999999997</v>
      </c>
      <c r="E18" s="1104"/>
      <c r="F18" s="1104"/>
      <c r="G18" s="1104"/>
      <c r="H18" s="1103">
        <f t="shared" si="3"/>
        <v>260.83999999999997</v>
      </c>
      <c r="I18" s="1076">
        <f t="shared" si="4"/>
        <v>1825.88</v>
      </c>
      <c r="J18" s="1088">
        <f t="shared" ref="J18:J33" si="8">F18*3.98</f>
        <v>0</v>
      </c>
      <c r="K18" s="1088">
        <f>I18*0.023</f>
        <v>42</v>
      </c>
      <c r="L18" s="1088">
        <f>(I18+K18)*0.006*1.1</f>
        <v>12.33</v>
      </c>
      <c r="M18" s="1088">
        <f t="shared" ref="M18:M33" si="9">($I$13+$K$13+$L$13)/SUM($I$17:$I$33)*$I18</f>
        <v>83.9</v>
      </c>
      <c r="N18" s="1088">
        <f t="shared" ref="N18:N33" si="10">$N$12/SUM($I$17:$I$33)*$I18</f>
        <v>22.98</v>
      </c>
      <c r="O18" s="1088">
        <f t="shared" ref="O18:O33" si="11">$O$47/SUM($I$17:$I$33)*$I18</f>
        <v>0.39</v>
      </c>
      <c r="P18" s="1076"/>
      <c r="Q18" s="1076">
        <f t="shared" ref="Q18:Q33" si="12">SUM(I18:P18)</f>
        <v>1987.48</v>
      </c>
      <c r="R18" s="1088">
        <f t="shared" ref="R18:R33" si="13">$Q18/$Q$63*$R$54</f>
        <v>70.83</v>
      </c>
      <c r="S18" s="1088">
        <f t="shared" ref="S18:S33" si="14">$Q18/$Q$63*$S$55</f>
        <v>108.96</v>
      </c>
      <c r="T18" s="1088">
        <f t="shared" ref="T18:T33" si="15">$T$56/SUM($I$17:$I$33)*$I18</f>
        <v>251.61</v>
      </c>
      <c r="U18" s="1088">
        <f t="shared" ref="U18:U33" si="16">(R18+T18)/($R$54+$T$56)*$U$57</f>
        <v>51.8</v>
      </c>
      <c r="V18" s="1088">
        <f t="shared" ref="V18:V33" si="17">SUM(R18:U18)</f>
        <v>483.2</v>
      </c>
      <c r="W18" s="1088">
        <f t="shared" ref="W18:W33" si="18">(Q18+V18)/(SUM($Q$17:$Q$33)+SUM($V$17:$V$33))*$W$51</f>
        <v>127.35</v>
      </c>
      <c r="X18" s="1088">
        <f t="shared" ref="X18:X33" si="19">Q18+V18+W18</f>
        <v>2598.0300000000002</v>
      </c>
      <c r="Y18" s="1088">
        <f t="shared" ref="Y18:Y33" si="20">X18*2%</f>
        <v>51.96</v>
      </c>
      <c r="Z18" s="1105">
        <f t="shared" ref="Z18:Z33" si="21">X18+Y18</f>
        <v>2649.99</v>
      </c>
      <c r="AA18" s="1089">
        <f t="shared" ref="AA18:AA33" si="22">Z18*20%</f>
        <v>530</v>
      </c>
      <c r="AB18" s="1089">
        <f t="shared" ref="AB18:AB33" si="23">Z18+AA18</f>
        <v>3179.99</v>
      </c>
      <c r="AC18" s="1093">
        <f t="shared" ref="AC18:AC33" si="24">-K18*0.15*1.2</f>
        <v>-7.56</v>
      </c>
      <c r="AD18" s="1088">
        <f t="shared" si="5"/>
        <v>1982</v>
      </c>
      <c r="AE18" s="1088">
        <f t="shared" si="6"/>
        <v>2033.96</v>
      </c>
      <c r="AF18" s="1091">
        <f t="shared" si="7"/>
        <v>2044433</v>
      </c>
      <c r="AG18" s="1091">
        <f t="shared" si="7"/>
        <v>2098030</v>
      </c>
      <c r="AH18" s="1080"/>
      <c r="AI18" s="1080"/>
      <c r="AJ18" s="1081" t="e">
        <f t="shared" ref="AJ18:AJ33" si="25">AB18/AI18</f>
        <v>#DIV/0!</v>
      </c>
    </row>
    <row r="19" spans="1:37" ht="25.5" x14ac:dyDescent="0.2">
      <c r="A19" s="1084"/>
      <c r="B19" s="1102" t="s">
        <v>5293</v>
      </c>
      <c r="C19" s="1102" t="s">
        <v>5294</v>
      </c>
      <c r="D19" s="1103">
        <v>28.2</v>
      </c>
      <c r="E19" s="1103">
        <v>431.89</v>
      </c>
      <c r="F19" s="1103">
        <v>2476.2199999999998</v>
      </c>
      <c r="G19" s="1104"/>
      <c r="H19" s="1103">
        <f t="shared" si="3"/>
        <v>2936.31</v>
      </c>
      <c r="I19" s="1076">
        <f>(D19+E19)*7-0.02</f>
        <v>3220.61</v>
      </c>
      <c r="J19" s="1088">
        <f t="shared" si="8"/>
        <v>9855.36</v>
      </c>
      <c r="K19" s="1088">
        <f>I19*0.023+0.01</f>
        <v>74.08</v>
      </c>
      <c r="L19" s="1088">
        <f>(I19+K19)*0.006*1.1-0.08</f>
        <v>21.66</v>
      </c>
      <c r="M19" s="1088">
        <f t="shared" si="9"/>
        <v>148</v>
      </c>
      <c r="N19" s="1088">
        <f>$N$12/SUM($I$17:$I$33)*$I19+0.01</f>
        <v>40.54</v>
      </c>
      <c r="O19" s="1088">
        <f>$O$47/SUM($I$17:$I$33)*$I19+0.01</f>
        <v>0.69</v>
      </c>
      <c r="P19" s="1088">
        <f>P43</f>
        <v>96.51</v>
      </c>
      <c r="Q19" s="1076">
        <f t="shared" si="12"/>
        <v>13457.45</v>
      </c>
      <c r="R19" s="1088">
        <f t="shared" si="13"/>
        <v>479.6</v>
      </c>
      <c r="S19" s="1088">
        <f t="shared" si="14"/>
        <v>737.8</v>
      </c>
      <c r="T19" s="1088">
        <f t="shared" si="15"/>
        <v>443.81</v>
      </c>
      <c r="U19" s="1088">
        <f t="shared" si="16"/>
        <v>148.34</v>
      </c>
      <c r="V19" s="1088">
        <f t="shared" si="17"/>
        <v>1809.55</v>
      </c>
      <c r="W19" s="1088">
        <f t="shared" si="18"/>
        <v>786.92</v>
      </c>
      <c r="X19" s="1088">
        <f t="shared" si="19"/>
        <v>16053.92</v>
      </c>
      <c r="Y19" s="1088">
        <f t="shared" si="20"/>
        <v>321.08</v>
      </c>
      <c r="Z19" s="1105">
        <f t="shared" si="21"/>
        <v>16375</v>
      </c>
      <c r="AA19" s="1089">
        <f t="shared" si="22"/>
        <v>3275</v>
      </c>
      <c r="AB19" s="1089">
        <f t="shared" si="23"/>
        <v>19650</v>
      </c>
      <c r="AC19" s="1093">
        <f>-K19*0.15*1.2-0.39</f>
        <v>-13.72</v>
      </c>
      <c r="AD19" s="1088">
        <f t="shared" si="5"/>
        <v>13992.99</v>
      </c>
      <c r="AE19" s="1088">
        <f t="shared" si="6"/>
        <v>14314.07</v>
      </c>
      <c r="AF19" s="1091">
        <f t="shared" si="7"/>
        <v>14433770</v>
      </c>
      <c r="AG19" s="1091">
        <f t="shared" si="7"/>
        <v>14764964</v>
      </c>
      <c r="AH19" s="1080"/>
      <c r="AI19" s="1080"/>
      <c r="AJ19" s="1081" t="e">
        <f t="shared" si="25"/>
        <v>#DIV/0!</v>
      </c>
    </row>
    <row r="20" spans="1:37" ht="25.5" x14ac:dyDescent="0.2">
      <c r="A20" s="1084"/>
      <c r="B20" s="1102" t="s">
        <v>5295</v>
      </c>
      <c r="C20" s="1102" t="s">
        <v>5296</v>
      </c>
      <c r="D20" s="1103">
        <v>1.03</v>
      </c>
      <c r="E20" s="1103">
        <v>10.94</v>
      </c>
      <c r="F20" s="1103">
        <v>2519.62</v>
      </c>
      <c r="G20" s="1104"/>
      <c r="H20" s="1103">
        <f t="shared" si="3"/>
        <v>2531.59</v>
      </c>
      <c r="I20" s="1076">
        <f t="shared" si="4"/>
        <v>83.79</v>
      </c>
      <c r="J20" s="1088">
        <f t="shared" si="8"/>
        <v>10028.09</v>
      </c>
      <c r="K20" s="1088">
        <f t="shared" ref="K20:K33" si="26">I20*0.023</f>
        <v>1.93</v>
      </c>
      <c r="L20" s="1088">
        <f t="shared" ref="L20:L33" si="27">(I20+K20)*0.006*1.1</f>
        <v>0.56999999999999995</v>
      </c>
      <c r="M20" s="1088">
        <f t="shared" si="9"/>
        <v>3.85</v>
      </c>
      <c r="N20" s="1088">
        <f t="shared" si="10"/>
        <v>1.05</v>
      </c>
      <c r="O20" s="1088">
        <f t="shared" si="11"/>
        <v>0.02</v>
      </c>
      <c r="P20" s="1088">
        <f>P44-0.01</f>
        <v>332.23</v>
      </c>
      <c r="Q20" s="1076">
        <f t="shared" si="12"/>
        <v>10451.530000000001</v>
      </c>
      <c r="R20" s="1088">
        <f t="shared" si="13"/>
        <v>372.47</v>
      </c>
      <c r="S20" s="1088">
        <f t="shared" si="14"/>
        <v>573</v>
      </c>
      <c r="T20" s="1088">
        <f t="shared" si="15"/>
        <v>11.55</v>
      </c>
      <c r="U20" s="1088">
        <f t="shared" si="16"/>
        <v>61.69</v>
      </c>
      <c r="V20" s="1088">
        <f t="shared" si="17"/>
        <v>1018.71</v>
      </c>
      <c r="W20" s="1088">
        <f t="shared" si="18"/>
        <v>591.22</v>
      </c>
      <c r="X20" s="1088">
        <f t="shared" si="19"/>
        <v>12061.46</v>
      </c>
      <c r="Y20" s="1088">
        <f t="shared" si="20"/>
        <v>241.23</v>
      </c>
      <c r="Z20" s="1105">
        <f>X20+Y20</f>
        <v>12302.69</v>
      </c>
      <c r="AA20" s="1089">
        <f t="shared" si="22"/>
        <v>2460.54</v>
      </c>
      <c r="AB20" s="1089">
        <f t="shared" si="23"/>
        <v>14763.23</v>
      </c>
      <c r="AC20" s="1093">
        <f t="shared" si="24"/>
        <v>-0.35</v>
      </c>
      <c r="AD20" s="1088">
        <f t="shared" si="5"/>
        <v>11019.28</v>
      </c>
      <c r="AE20" s="1088">
        <f t="shared" si="6"/>
        <v>11260.51</v>
      </c>
      <c r="AF20" s="1091">
        <f t="shared" si="7"/>
        <v>11366388</v>
      </c>
      <c r="AG20" s="1091">
        <f t="shared" si="7"/>
        <v>11615217</v>
      </c>
      <c r="AH20" s="1072" t="s">
        <v>5243</v>
      </c>
      <c r="AI20" s="1072">
        <v>7</v>
      </c>
      <c r="AJ20" s="1106">
        <f t="shared" si="25"/>
        <v>2109.0300000000002</v>
      </c>
    </row>
    <row r="21" spans="1:37" ht="25.5" x14ac:dyDescent="0.2">
      <c r="A21" s="1084"/>
      <c r="B21" s="1102" t="s">
        <v>5297</v>
      </c>
      <c r="C21" s="1102" t="s">
        <v>5298</v>
      </c>
      <c r="D21" s="1104"/>
      <c r="E21" s="1103">
        <v>176.01</v>
      </c>
      <c r="F21" s="1103">
        <v>444.91</v>
      </c>
      <c r="G21" s="1104"/>
      <c r="H21" s="1103">
        <f t="shared" si="3"/>
        <v>620.91999999999996</v>
      </c>
      <c r="I21" s="1076">
        <f t="shared" si="4"/>
        <v>1232.07</v>
      </c>
      <c r="J21" s="1088">
        <f t="shared" si="8"/>
        <v>1770.74</v>
      </c>
      <c r="K21" s="1088">
        <f t="shared" si="26"/>
        <v>28.34</v>
      </c>
      <c r="L21" s="1088">
        <f t="shared" si="27"/>
        <v>8.32</v>
      </c>
      <c r="M21" s="1088">
        <f t="shared" si="9"/>
        <v>56.62</v>
      </c>
      <c r="N21" s="1088">
        <f t="shared" si="10"/>
        <v>15.5</v>
      </c>
      <c r="O21" s="1088">
        <f t="shared" si="11"/>
        <v>0.26</v>
      </c>
      <c r="P21" s="1076"/>
      <c r="Q21" s="1076">
        <f t="shared" si="12"/>
        <v>3111.85</v>
      </c>
      <c r="R21" s="1088">
        <f t="shared" si="13"/>
        <v>110.9</v>
      </c>
      <c r="S21" s="1088">
        <f t="shared" si="14"/>
        <v>170.61</v>
      </c>
      <c r="T21" s="1088">
        <f t="shared" si="15"/>
        <v>169.78</v>
      </c>
      <c r="U21" s="1088">
        <f t="shared" si="16"/>
        <v>45.09</v>
      </c>
      <c r="V21" s="1088">
        <f t="shared" si="17"/>
        <v>496.38</v>
      </c>
      <c r="W21" s="1088">
        <f t="shared" si="18"/>
        <v>185.98</v>
      </c>
      <c r="X21" s="1088">
        <f t="shared" si="19"/>
        <v>3794.21</v>
      </c>
      <c r="Y21" s="1088">
        <f t="shared" si="20"/>
        <v>75.88</v>
      </c>
      <c r="Z21" s="1105">
        <f t="shared" si="21"/>
        <v>3870.09</v>
      </c>
      <c r="AA21" s="1089">
        <f t="shared" si="22"/>
        <v>774.02</v>
      </c>
      <c r="AB21" s="1089">
        <f t="shared" si="23"/>
        <v>4644.1099999999997</v>
      </c>
      <c r="AC21" s="1093">
        <f t="shared" si="24"/>
        <v>-5.0999999999999996</v>
      </c>
      <c r="AD21" s="1088">
        <f t="shared" si="5"/>
        <v>3205.24</v>
      </c>
      <c r="AE21" s="1088">
        <f t="shared" si="6"/>
        <v>3281.12</v>
      </c>
      <c r="AF21" s="1091">
        <f t="shared" si="7"/>
        <v>3306205</v>
      </c>
      <c r="AG21" s="1091">
        <f t="shared" si="7"/>
        <v>3384475</v>
      </c>
      <c r="AH21" s="1073" t="s">
        <v>5535</v>
      </c>
      <c r="AI21" s="1232">
        <f>141+121+38+20</f>
        <v>320</v>
      </c>
      <c r="AJ21" s="1233">
        <f t="shared" si="25"/>
        <v>14.51</v>
      </c>
      <c r="AK21" s="578" t="s">
        <v>5299</v>
      </c>
    </row>
    <row r="22" spans="1:37" ht="25.5" x14ac:dyDescent="0.2">
      <c r="A22" s="1084"/>
      <c r="B22" s="1102" t="s">
        <v>5300</v>
      </c>
      <c r="C22" s="1102" t="s">
        <v>5301</v>
      </c>
      <c r="D22" s="1103">
        <v>7.72</v>
      </c>
      <c r="E22" s="1103">
        <v>222.73</v>
      </c>
      <c r="F22" s="1103">
        <v>1101.04</v>
      </c>
      <c r="G22" s="1104"/>
      <c r="H22" s="1103">
        <f t="shared" si="3"/>
        <v>1331.49</v>
      </c>
      <c r="I22" s="1076">
        <f t="shared" si="4"/>
        <v>1613.15</v>
      </c>
      <c r="J22" s="1088">
        <f t="shared" si="8"/>
        <v>4382.1400000000003</v>
      </c>
      <c r="K22" s="1088">
        <f t="shared" si="26"/>
        <v>37.1</v>
      </c>
      <c r="L22" s="1088">
        <f t="shared" si="27"/>
        <v>10.89</v>
      </c>
      <c r="M22" s="1088">
        <f t="shared" si="9"/>
        <v>74.13</v>
      </c>
      <c r="N22" s="1088">
        <f t="shared" si="10"/>
        <v>20.3</v>
      </c>
      <c r="O22" s="1088">
        <f t="shared" si="11"/>
        <v>0.34</v>
      </c>
      <c r="P22" s="1076"/>
      <c r="Q22" s="1076">
        <f t="shared" si="12"/>
        <v>6138.05</v>
      </c>
      <c r="R22" s="1088">
        <f t="shared" si="13"/>
        <v>218.75</v>
      </c>
      <c r="S22" s="1088">
        <f t="shared" si="14"/>
        <v>336.52</v>
      </c>
      <c r="T22" s="1088">
        <f t="shared" si="15"/>
        <v>222.3</v>
      </c>
      <c r="U22" s="1088">
        <f t="shared" si="16"/>
        <v>70.849999999999994</v>
      </c>
      <c r="V22" s="1088">
        <f t="shared" si="17"/>
        <v>848.42</v>
      </c>
      <c r="W22" s="1088">
        <f t="shared" si="18"/>
        <v>360.11</v>
      </c>
      <c r="X22" s="1088">
        <f t="shared" si="19"/>
        <v>7346.58</v>
      </c>
      <c r="Y22" s="1088">
        <f t="shared" si="20"/>
        <v>146.93</v>
      </c>
      <c r="Z22" s="1105">
        <f t="shared" si="21"/>
        <v>7493.51</v>
      </c>
      <c r="AA22" s="1089">
        <f t="shared" si="22"/>
        <v>1498.7</v>
      </c>
      <c r="AB22" s="1089">
        <f t="shared" si="23"/>
        <v>8992.2099999999991</v>
      </c>
      <c r="AC22" s="1093">
        <f t="shared" si="24"/>
        <v>-6.68</v>
      </c>
      <c r="AD22" s="1088">
        <f t="shared" si="5"/>
        <v>6373.46</v>
      </c>
      <c r="AE22" s="1088">
        <f t="shared" si="6"/>
        <v>6520.39</v>
      </c>
      <c r="AF22" s="1091">
        <f t="shared" si="7"/>
        <v>6574224</v>
      </c>
      <c r="AG22" s="1091">
        <f t="shared" si="7"/>
        <v>6725783</v>
      </c>
      <c r="AH22" s="1072" t="s">
        <v>5302</v>
      </c>
      <c r="AI22" s="1072">
        <f>12+41+114</f>
        <v>167</v>
      </c>
      <c r="AJ22" s="1106">
        <f t="shared" si="25"/>
        <v>53.85</v>
      </c>
    </row>
    <row r="23" spans="1:37" ht="38.25" x14ac:dyDescent="0.2">
      <c r="A23" s="1084"/>
      <c r="B23" s="1102" t="s">
        <v>5303</v>
      </c>
      <c r="C23" s="1102" t="s">
        <v>5304</v>
      </c>
      <c r="D23" s="1103">
        <v>0.22</v>
      </c>
      <c r="E23" s="1103">
        <v>40.94</v>
      </c>
      <c r="F23" s="1103">
        <v>217.58</v>
      </c>
      <c r="G23" s="1104"/>
      <c r="H23" s="1103">
        <f t="shared" si="3"/>
        <v>258.74</v>
      </c>
      <c r="I23" s="1076">
        <f t="shared" si="4"/>
        <v>288.12</v>
      </c>
      <c r="J23" s="1088">
        <f t="shared" si="8"/>
        <v>865.97</v>
      </c>
      <c r="K23" s="1088">
        <f t="shared" si="26"/>
        <v>6.63</v>
      </c>
      <c r="L23" s="1088">
        <f t="shared" si="27"/>
        <v>1.95</v>
      </c>
      <c r="M23" s="1088">
        <f t="shared" si="9"/>
        <v>13.24</v>
      </c>
      <c r="N23" s="1088">
        <f t="shared" si="10"/>
        <v>3.63</v>
      </c>
      <c r="O23" s="1088">
        <f t="shared" si="11"/>
        <v>0.06</v>
      </c>
      <c r="P23" s="1076"/>
      <c r="Q23" s="1076">
        <f t="shared" si="12"/>
        <v>1179.5999999999999</v>
      </c>
      <c r="R23" s="1088">
        <f t="shared" si="13"/>
        <v>42.04</v>
      </c>
      <c r="S23" s="1088">
        <f t="shared" si="14"/>
        <v>64.67</v>
      </c>
      <c r="T23" s="1088">
        <f t="shared" si="15"/>
        <v>39.700000000000003</v>
      </c>
      <c r="U23" s="1088">
        <f t="shared" si="16"/>
        <v>13.13</v>
      </c>
      <c r="V23" s="1088">
        <f t="shared" si="17"/>
        <v>159.54</v>
      </c>
      <c r="W23" s="1088">
        <f t="shared" si="18"/>
        <v>69.02</v>
      </c>
      <c r="X23" s="1088">
        <f t="shared" si="19"/>
        <v>1408.16</v>
      </c>
      <c r="Y23" s="1088">
        <f t="shared" si="20"/>
        <v>28.16</v>
      </c>
      <c r="Z23" s="1105">
        <f t="shared" si="21"/>
        <v>1436.32</v>
      </c>
      <c r="AA23" s="1089">
        <f t="shared" si="22"/>
        <v>287.26</v>
      </c>
      <c r="AB23" s="1089">
        <f t="shared" si="23"/>
        <v>1723.58</v>
      </c>
      <c r="AC23" s="1093">
        <f t="shared" si="24"/>
        <v>-1.19</v>
      </c>
      <c r="AD23" s="1088">
        <f t="shared" si="5"/>
        <v>1226.21</v>
      </c>
      <c r="AE23" s="1088">
        <f t="shared" si="6"/>
        <v>1254.3699999999999</v>
      </c>
      <c r="AF23" s="1091">
        <f t="shared" si="7"/>
        <v>1264836</v>
      </c>
      <c r="AG23" s="1091">
        <f t="shared" si="7"/>
        <v>1293883</v>
      </c>
      <c r="AH23" s="1072" t="s">
        <v>5305</v>
      </c>
      <c r="AI23" s="1072">
        <v>2</v>
      </c>
      <c r="AJ23" s="1106">
        <f t="shared" si="25"/>
        <v>861.79</v>
      </c>
      <c r="AK23" s="578" t="s">
        <v>5306</v>
      </c>
    </row>
    <row r="24" spans="1:37" ht="38.25" x14ac:dyDescent="0.2">
      <c r="A24" s="1084"/>
      <c r="B24" s="1102" t="s">
        <v>5307</v>
      </c>
      <c r="C24" s="1102" t="s">
        <v>5308</v>
      </c>
      <c r="D24" s="1103">
        <v>2.06</v>
      </c>
      <c r="E24" s="1103">
        <v>74.28</v>
      </c>
      <c r="F24" s="1103">
        <v>163.5</v>
      </c>
      <c r="G24" s="1104"/>
      <c r="H24" s="1103">
        <f t="shared" si="3"/>
        <v>239.84</v>
      </c>
      <c r="I24" s="1076">
        <f t="shared" si="4"/>
        <v>534.38</v>
      </c>
      <c r="J24" s="1088">
        <f t="shared" si="8"/>
        <v>650.73</v>
      </c>
      <c r="K24" s="1088">
        <f t="shared" si="26"/>
        <v>12.29</v>
      </c>
      <c r="L24" s="1088">
        <f t="shared" si="27"/>
        <v>3.61</v>
      </c>
      <c r="M24" s="1088">
        <f t="shared" si="9"/>
        <v>24.56</v>
      </c>
      <c r="N24" s="1088">
        <f t="shared" si="10"/>
        <v>6.72</v>
      </c>
      <c r="O24" s="1088">
        <f t="shared" si="11"/>
        <v>0.11</v>
      </c>
      <c r="P24" s="1076"/>
      <c r="Q24" s="1076">
        <f t="shared" si="12"/>
        <v>1232.4000000000001</v>
      </c>
      <c r="R24" s="1088">
        <f t="shared" si="13"/>
        <v>43.92</v>
      </c>
      <c r="S24" s="1088">
        <f t="shared" si="14"/>
        <v>67.569999999999993</v>
      </c>
      <c r="T24" s="1088">
        <f t="shared" si="15"/>
        <v>73.64</v>
      </c>
      <c r="U24" s="1088">
        <f t="shared" si="16"/>
        <v>18.89</v>
      </c>
      <c r="V24" s="1088">
        <f t="shared" si="17"/>
        <v>204.02</v>
      </c>
      <c r="W24" s="1088">
        <f t="shared" si="18"/>
        <v>74.040000000000006</v>
      </c>
      <c r="X24" s="1088">
        <f t="shared" si="19"/>
        <v>1510.46</v>
      </c>
      <c r="Y24" s="1088">
        <f t="shared" si="20"/>
        <v>30.21</v>
      </c>
      <c r="Z24" s="1105">
        <f t="shared" si="21"/>
        <v>1540.67</v>
      </c>
      <c r="AA24" s="1089">
        <f t="shared" si="22"/>
        <v>308.13</v>
      </c>
      <c r="AB24" s="1089">
        <f t="shared" si="23"/>
        <v>1848.8</v>
      </c>
      <c r="AC24" s="1093">
        <f t="shared" si="24"/>
        <v>-2.21</v>
      </c>
      <c r="AD24" s="1088">
        <f t="shared" si="5"/>
        <v>1266.48</v>
      </c>
      <c r="AE24" s="1088">
        <f t="shared" si="6"/>
        <v>1296.69</v>
      </c>
      <c r="AF24" s="1091">
        <f t="shared" si="7"/>
        <v>1306374</v>
      </c>
      <c r="AG24" s="1091">
        <f t="shared" si="7"/>
        <v>1337536</v>
      </c>
      <c r="AH24" s="1072" t="s">
        <v>5309</v>
      </c>
      <c r="AI24" s="1072">
        <v>50</v>
      </c>
      <c r="AJ24" s="1106">
        <f t="shared" si="25"/>
        <v>36.979999999999997</v>
      </c>
      <c r="AK24" s="1108" t="s">
        <v>5310</v>
      </c>
    </row>
    <row r="25" spans="1:37" ht="25.5" x14ac:dyDescent="0.2">
      <c r="A25" s="1084"/>
      <c r="B25" s="1102" t="s">
        <v>5311</v>
      </c>
      <c r="C25" s="1102" t="s">
        <v>5312</v>
      </c>
      <c r="D25" s="1103">
        <v>4.5599999999999996</v>
      </c>
      <c r="E25" s="1103">
        <v>3.62</v>
      </c>
      <c r="F25" s="1103">
        <v>214</v>
      </c>
      <c r="G25" s="1104"/>
      <c r="H25" s="1103">
        <f t="shared" si="3"/>
        <v>222.18</v>
      </c>
      <c r="I25" s="1076">
        <f t="shared" si="4"/>
        <v>57.26</v>
      </c>
      <c r="J25" s="1088">
        <f t="shared" si="8"/>
        <v>851.72</v>
      </c>
      <c r="K25" s="1088">
        <f t="shared" si="26"/>
        <v>1.32</v>
      </c>
      <c r="L25" s="1088">
        <f t="shared" si="27"/>
        <v>0.39</v>
      </c>
      <c r="M25" s="1088">
        <f t="shared" si="9"/>
        <v>2.63</v>
      </c>
      <c r="N25" s="1088">
        <f t="shared" si="10"/>
        <v>0.72</v>
      </c>
      <c r="O25" s="1088">
        <f t="shared" si="11"/>
        <v>0.01</v>
      </c>
      <c r="P25" s="1076"/>
      <c r="Q25" s="1076">
        <f t="shared" si="12"/>
        <v>914.05</v>
      </c>
      <c r="R25" s="1088">
        <f t="shared" si="13"/>
        <v>32.57</v>
      </c>
      <c r="S25" s="1088">
        <f t="shared" si="14"/>
        <v>50.11</v>
      </c>
      <c r="T25" s="1088">
        <f t="shared" si="15"/>
        <v>7.89</v>
      </c>
      <c r="U25" s="1088">
        <f t="shared" si="16"/>
        <v>6.5</v>
      </c>
      <c r="V25" s="1088">
        <f t="shared" si="17"/>
        <v>97.07</v>
      </c>
      <c r="W25" s="1088">
        <f t="shared" si="18"/>
        <v>52.12</v>
      </c>
      <c r="X25" s="1088">
        <f t="shared" si="19"/>
        <v>1063.24</v>
      </c>
      <c r="Y25" s="1088">
        <f t="shared" si="20"/>
        <v>21.26</v>
      </c>
      <c r="Z25" s="1109">
        <f t="shared" si="21"/>
        <v>1084.5</v>
      </c>
      <c r="AA25" s="1089">
        <f t="shared" si="22"/>
        <v>216.9</v>
      </c>
      <c r="AB25" s="1089">
        <f t="shared" si="23"/>
        <v>1301.4000000000001</v>
      </c>
      <c r="AC25" s="1093">
        <f t="shared" si="24"/>
        <v>-0.24</v>
      </c>
      <c r="AD25" s="1088">
        <f t="shared" si="5"/>
        <v>960.57</v>
      </c>
      <c r="AE25" s="1088">
        <f t="shared" si="6"/>
        <v>981.83</v>
      </c>
      <c r="AF25" s="1091">
        <f t="shared" si="7"/>
        <v>990828</v>
      </c>
      <c r="AG25" s="1091">
        <f t="shared" si="7"/>
        <v>1012758</v>
      </c>
      <c r="AH25" s="1073" t="s">
        <v>5313</v>
      </c>
      <c r="AI25" s="1072">
        <f>4+5</f>
        <v>9</v>
      </c>
      <c r="AJ25" s="1106">
        <f t="shared" si="25"/>
        <v>144.6</v>
      </c>
    </row>
    <row r="26" spans="1:37" ht="25.5" x14ac:dyDescent="0.2">
      <c r="A26" s="1084"/>
      <c r="B26" s="1102" t="s">
        <v>5314</v>
      </c>
      <c r="C26" s="1102" t="s">
        <v>5315</v>
      </c>
      <c r="D26" s="1104"/>
      <c r="E26" s="1103">
        <v>0.16</v>
      </c>
      <c r="F26" s="1103">
        <v>3.36</v>
      </c>
      <c r="G26" s="1104"/>
      <c r="H26" s="1103">
        <f t="shared" si="3"/>
        <v>3.52</v>
      </c>
      <c r="I26" s="1076">
        <f t="shared" si="4"/>
        <v>1.1200000000000001</v>
      </c>
      <c r="J26" s="1088">
        <f t="shared" si="8"/>
        <v>13.37</v>
      </c>
      <c r="K26" s="1088">
        <f t="shared" si="26"/>
        <v>0.03</v>
      </c>
      <c r="L26" s="1088">
        <f t="shared" si="27"/>
        <v>0.01</v>
      </c>
      <c r="M26" s="1088">
        <f t="shared" si="9"/>
        <v>0.05</v>
      </c>
      <c r="N26" s="1088">
        <f t="shared" si="10"/>
        <v>0.01</v>
      </c>
      <c r="O26" s="1088">
        <f t="shared" si="11"/>
        <v>0</v>
      </c>
      <c r="P26" s="1076"/>
      <c r="Q26" s="1076">
        <f t="shared" si="12"/>
        <v>14.59</v>
      </c>
      <c r="R26" s="1088">
        <f t="shared" si="13"/>
        <v>0.52</v>
      </c>
      <c r="S26" s="1088">
        <f t="shared" si="14"/>
        <v>0.8</v>
      </c>
      <c r="T26" s="1088">
        <f t="shared" si="15"/>
        <v>0.15</v>
      </c>
      <c r="U26" s="1088">
        <f t="shared" si="16"/>
        <v>0.11</v>
      </c>
      <c r="V26" s="1088">
        <f t="shared" si="17"/>
        <v>1.58</v>
      </c>
      <c r="W26" s="1088">
        <f t="shared" si="18"/>
        <v>0.83</v>
      </c>
      <c r="X26" s="1088">
        <f t="shared" si="19"/>
        <v>17</v>
      </c>
      <c r="Y26" s="1088">
        <f t="shared" si="20"/>
        <v>0.34</v>
      </c>
      <c r="Z26" s="1105">
        <f t="shared" si="21"/>
        <v>17.34</v>
      </c>
      <c r="AA26" s="1089">
        <f t="shared" si="22"/>
        <v>3.47</v>
      </c>
      <c r="AB26" s="1089">
        <f t="shared" si="23"/>
        <v>20.81</v>
      </c>
      <c r="AC26" s="1093">
        <f t="shared" si="24"/>
        <v>-0.01</v>
      </c>
      <c r="AD26" s="1088">
        <f t="shared" si="5"/>
        <v>15.32</v>
      </c>
      <c r="AE26" s="1088">
        <f t="shared" si="6"/>
        <v>15.66</v>
      </c>
      <c r="AF26" s="1091">
        <f t="shared" si="7"/>
        <v>15803</v>
      </c>
      <c r="AG26" s="1091">
        <f t="shared" si="7"/>
        <v>16153</v>
      </c>
      <c r="AH26" s="1073" t="s">
        <v>5316</v>
      </c>
      <c r="AI26" s="1072">
        <v>5</v>
      </c>
      <c r="AJ26" s="1106">
        <f t="shared" si="25"/>
        <v>4.16</v>
      </c>
    </row>
    <row r="27" spans="1:37" ht="25.5" x14ac:dyDescent="0.2">
      <c r="A27" s="1084"/>
      <c r="B27" s="1102" t="s">
        <v>5317</v>
      </c>
      <c r="C27" s="1102" t="s">
        <v>5318</v>
      </c>
      <c r="D27" s="1103">
        <v>0.61</v>
      </c>
      <c r="E27" s="1103">
        <v>3.17</v>
      </c>
      <c r="F27" s="1103">
        <v>394.21</v>
      </c>
      <c r="G27" s="1104"/>
      <c r="H27" s="1103">
        <f t="shared" si="3"/>
        <v>397.99</v>
      </c>
      <c r="I27" s="1076">
        <f t="shared" si="4"/>
        <v>26.46</v>
      </c>
      <c r="J27" s="1088">
        <f t="shared" si="8"/>
        <v>1568.96</v>
      </c>
      <c r="K27" s="1088">
        <f t="shared" si="26"/>
        <v>0.61</v>
      </c>
      <c r="L27" s="1088">
        <f t="shared" si="27"/>
        <v>0.18</v>
      </c>
      <c r="M27" s="1088">
        <f t="shared" si="9"/>
        <v>1.22</v>
      </c>
      <c r="N27" s="1088">
        <f t="shared" si="10"/>
        <v>0.33</v>
      </c>
      <c r="O27" s="1088">
        <f t="shared" si="11"/>
        <v>0.01</v>
      </c>
      <c r="P27" s="1088">
        <f>P45</f>
        <v>6.67</v>
      </c>
      <c r="Q27" s="1076">
        <f t="shared" si="12"/>
        <v>1604.44</v>
      </c>
      <c r="R27" s="1088">
        <f t="shared" si="13"/>
        <v>57.18</v>
      </c>
      <c r="S27" s="1088">
        <f t="shared" si="14"/>
        <v>87.96</v>
      </c>
      <c r="T27" s="1088">
        <f t="shared" si="15"/>
        <v>3.65</v>
      </c>
      <c r="U27" s="1088">
        <f t="shared" si="16"/>
        <v>9.77</v>
      </c>
      <c r="V27" s="1088">
        <f t="shared" si="17"/>
        <v>158.56</v>
      </c>
      <c r="W27" s="1088">
        <f t="shared" si="18"/>
        <v>90.87</v>
      </c>
      <c r="X27" s="1088">
        <f t="shared" si="19"/>
        <v>1853.87</v>
      </c>
      <c r="Y27" s="1088">
        <f t="shared" si="20"/>
        <v>37.08</v>
      </c>
      <c r="Z27" s="1105">
        <f t="shared" si="21"/>
        <v>1890.95</v>
      </c>
      <c r="AA27" s="1089">
        <f t="shared" si="22"/>
        <v>378.19</v>
      </c>
      <c r="AB27" s="1089">
        <f t="shared" si="23"/>
        <v>2269.14</v>
      </c>
      <c r="AC27" s="1093">
        <f t="shared" si="24"/>
        <v>-0.11</v>
      </c>
      <c r="AD27" s="1088">
        <f t="shared" si="5"/>
        <v>1690.74</v>
      </c>
      <c r="AE27" s="1088">
        <f t="shared" si="6"/>
        <v>1727.82</v>
      </c>
      <c r="AF27" s="1091">
        <f t="shared" si="7"/>
        <v>1743998</v>
      </c>
      <c r="AG27" s="1091">
        <f t="shared" si="7"/>
        <v>1782246</v>
      </c>
      <c r="AH27" s="1073" t="s">
        <v>5319</v>
      </c>
      <c r="AI27" s="1072">
        <v>4</v>
      </c>
      <c r="AJ27" s="1106">
        <f t="shared" si="25"/>
        <v>567.29</v>
      </c>
      <c r="AK27" s="578" t="s">
        <v>5320</v>
      </c>
    </row>
    <row r="28" spans="1:37" ht="25.5" x14ac:dyDescent="0.2">
      <c r="A28" s="1084"/>
      <c r="B28" s="1102" t="s">
        <v>5321</v>
      </c>
      <c r="C28" s="1102" t="s">
        <v>5322</v>
      </c>
      <c r="D28" s="1104"/>
      <c r="E28" s="1103">
        <v>62.47</v>
      </c>
      <c r="F28" s="1103">
        <v>7460.98</v>
      </c>
      <c r="G28" s="1104"/>
      <c r="H28" s="1103">
        <f t="shared" si="3"/>
        <v>7523.45</v>
      </c>
      <c r="I28" s="1076">
        <f t="shared" si="4"/>
        <v>437.29</v>
      </c>
      <c r="J28" s="1088">
        <f t="shared" si="8"/>
        <v>29694.7</v>
      </c>
      <c r="K28" s="1088">
        <f t="shared" si="26"/>
        <v>10.06</v>
      </c>
      <c r="L28" s="1088">
        <f t="shared" si="27"/>
        <v>2.95</v>
      </c>
      <c r="M28" s="1088">
        <f t="shared" si="9"/>
        <v>20.09</v>
      </c>
      <c r="N28" s="1088">
        <f t="shared" si="10"/>
        <v>5.5</v>
      </c>
      <c r="O28" s="1088">
        <f t="shared" si="11"/>
        <v>0.09</v>
      </c>
      <c r="P28" s="1076"/>
      <c r="Q28" s="1076">
        <f t="shared" si="12"/>
        <v>30170.68</v>
      </c>
      <c r="R28" s="1088">
        <f>$Q28/$Q$63*$R$54-0.01</f>
        <v>1075.21</v>
      </c>
      <c r="S28" s="1088">
        <f>$Q28/$Q$63*$S$55+0.01</f>
        <v>1654.11</v>
      </c>
      <c r="T28" s="1088">
        <f t="shared" si="15"/>
        <v>60.26</v>
      </c>
      <c r="U28" s="1088">
        <f t="shared" si="16"/>
        <v>182.41</v>
      </c>
      <c r="V28" s="1088">
        <f t="shared" si="17"/>
        <v>2971.99</v>
      </c>
      <c r="W28" s="1088">
        <f t="shared" si="18"/>
        <v>1708.31</v>
      </c>
      <c r="X28" s="1088">
        <f t="shared" si="19"/>
        <v>34850.980000000003</v>
      </c>
      <c r="Y28" s="1088">
        <f t="shared" si="20"/>
        <v>697.02</v>
      </c>
      <c r="Z28" s="1105">
        <f t="shared" si="21"/>
        <v>35548</v>
      </c>
      <c r="AA28" s="1089">
        <f t="shared" si="22"/>
        <v>7109.6</v>
      </c>
      <c r="AB28" s="1089">
        <f t="shared" si="23"/>
        <v>42657.599999999999</v>
      </c>
      <c r="AC28" s="1093">
        <f t="shared" si="24"/>
        <v>-1.81</v>
      </c>
      <c r="AD28" s="1088">
        <f t="shared" si="5"/>
        <v>31797.39</v>
      </c>
      <c r="AE28" s="1088">
        <f t="shared" si="6"/>
        <v>32494.41</v>
      </c>
      <c r="AF28" s="1091">
        <f t="shared" si="7"/>
        <v>32799010</v>
      </c>
      <c r="AG28" s="1091">
        <f t="shared" si="7"/>
        <v>33517986</v>
      </c>
      <c r="AH28" s="1072" t="s">
        <v>5323</v>
      </c>
      <c r="AI28" s="1107">
        <v>88</v>
      </c>
      <c r="AJ28" s="1106">
        <f t="shared" si="25"/>
        <v>484.75</v>
      </c>
      <c r="AK28" s="1108" t="s">
        <v>5324</v>
      </c>
    </row>
    <row r="29" spans="1:37" ht="25.5" x14ac:dyDescent="0.2">
      <c r="A29" s="1084"/>
      <c r="B29" s="1102" t="s">
        <v>5325</v>
      </c>
      <c r="C29" s="1102" t="s">
        <v>5326</v>
      </c>
      <c r="D29" s="1103">
        <v>95.07</v>
      </c>
      <c r="E29" s="1103">
        <v>108.23</v>
      </c>
      <c r="F29" s="1103">
        <v>1106.98</v>
      </c>
      <c r="G29" s="1104"/>
      <c r="H29" s="1103">
        <f t="shared" si="3"/>
        <v>1310.28</v>
      </c>
      <c r="I29" s="1076">
        <f t="shared" si="4"/>
        <v>1423.1</v>
      </c>
      <c r="J29" s="1088">
        <f t="shared" si="8"/>
        <v>4405.78</v>
      </c>
      <c r="K29" s="1088">
        <f t="shared" si="26"/>
        <v>32.729999999999997</v>
      </c>
      <c r="L29" s="1088">
        <f t="shared" si="27"/>
        <v>9.61</v>
      </c>
      <c r="M29" s="1088">
        <f t="shared" si="9"/>
        <v>65.400000000000006</v>
      </c>
      <c r="N29" s="1088">
        <f t="shared" si="10"/>
        <v>17.91</v>
      </c>
      <c r="O29" s="1088">
        <f t="shared" si="11"/>
        <v>0.3</v>
      </c>
      <c r="P29" s="1076"/>
      <c r="Q29" s="1076">
        <f t="shared" si="12"/>
        <v>5954.83</v>
      </c>
      <c r="R29" s="1088">
        <f t="shared" si="13"/>
        <v>212.22</v>
      </c>
      <c r="S29" s="1088">
        <f t="shared" si="14"/>
        <v>326.47000000000003</v>
      </c>
      <c r="T29" s="1088">
        <f t="shared" si="15"/>
        <v>196.11</v>
      </c>
      <c r="U29" s="1088">
        <f t="shared" si="16"/>
        <v>65.599999999999994</v>
      </c>
      <c r="V29" s="1088">
        <f t="shared" si="17"/>
        <v>800.4</v>
      </c>
      <c r="W29" s="1088">
        <f t="shared" si="18"/>
        <v>348.19</v>
      </c>
      <c r="X29" s="1088">
        <f t="shared" si="19"/>
        <v>7103.42</v>
      </c>
      <c r="Y29" s="1088">
        <f t="shared" si="20"/>
        <v>142.07</v>
      </c>
      <c r="Z29" s="1105">
        <f t="shared" si="21"/>
        <v>7245.49</v>
      </c>
      <c r="AA29" s="1089">
        <f t="shared" si="22"/>
        <v>1449.1</v>
      </c>
      <c r="AB29" s="1089">
        <f t="shared" si="23"/>
        <v>8694.59</v>
      </c>
      <c r="AC29" s="1093">
        <f t="shared" si="24"/>
        <v>-5.89</v>
      </c>
      <c r="AD29" s="1088">
        <f t="shared" si="5"/>
        <v>6192.1</v>
      </c>
      <c r="AE29" s="1088">
        <f t="shared" si="6"/>
        <v>6334.17</v>
      </c>
      <c r="AF29" s="1091">
        <f t="shared" si="7"/>
        <v>6387152</v>
      </c>
      <c r="AG29" s="1091">
        <f t="shared" si="7"/>
        <v>6533697</v>
      </c>
      <c r="AH29" s="1072" t="s">
        <v>5327</v>
      </c>
      <c r="AI29" s="1072">
        <v>81</v>
      </c>
      <c r="AJ29" s="1106">
        <f t="shared" si="25"/>
        <v>107.34</v>
      </c>
    </row>
    <row r="30" spans="1:37" ht="25.5" x14ac:dyDescent="0.2">
      <c r="A30" s="1084"/>
      <c r="B30" s="1102" t="s">
        <v>5328</v>
      </c>
      <c r="C30" s="1102" t="s">
        <v>5329</v>
      </c>
      <c r="D30" s="1104"/>
      <c r="E30" s="1103">
        <v>51.55</v>
      </c>
      <c r="F30" s="1103">
        <v>261.87</v>
      </c>
      <c r="G30" s="1104"/>
      <c r="H30" s="1103">
        <f t="shared" si="3"/>
        <v>313.42</v>
      </c>
      <c r="I30" s="1076">
        <f t="shared" si="4"/>
        <v>360.85</v>
      </c>
      <c r="J30" s="1088">
        <f t="shared" si="8"/>
        <v>1042.24</v>
      </c>
      <c r="K30" s="1088">
        <f t="shared" si="26"/>
        <v>8.3000000000000007</v>
      </c>
      <c r="L30" s="1088">
        <f t="shared" si="27"/>
        <v>2.44</v>
      </c>
      <c r="M30" s="1088">
        <f t="shared" si="9"/>
        <v>16.579999999999998</v>
      </c>
      <c r="N30" s="1088">
        <f t="shared" si="10"/>
        <v>4.54</v>
      </c>
      <c r="O30" s="1088">
        <f t="shared" si="11"/>
        <v>0.08</v>
      </c>
      <c r="P30" s="1076"/>
      <c r="Q30" s="1076">
        <f t="shared" si="12"/>
        <v>1435.03</v>
      </c>
      <c r="R30" s="1088">
        <f t="shared" si="13"/>
        <v>51.14</v>
      </c>
      <c r="S30" s="1088">
        <f t="shared" si="14"/>
        <v>78.680000000000007</v>
      </c>
      <c r="T30" s="1088">
        <f t="shared" si="15"/>
        <v>49.73</v>
      </c>
      <c r="U30" s="1088">
        <f t="shared" si="16"/>
        <v>16.2</v>
      </c>
      <c r="V30" s="1088">
        <f t="shared" si="17"/>
        <v>195.75</v>
      </c>
      <c r="W30" s="1088">
        <f t="shared" si="18"/>
        <v>84.06</v>
      </c>
      <c r="X30" s="1088">
        <f t="shared" si="19"/>
        <v>1714.84</v>
      </c>
      <c r="Y30" s="1088">
        <f t="shared" si="20"/>
        <v>34.299999999999997</v>
      </c>
      <c r="Z30" s="1105">
        <f t="shared" si="21"/>
        <v>1749.14</v>
      </c>
      <c r="AA30" s="1089">
        <f t="shared" si="22"/>
        <v>349.83</v>
      </c>
      <c r="AB30" s="1089">
        <f t="shared" si="23"/>
        <v>2098.9699999999998</v>
      </c>
      <c r="AC30" s="1093">
        <f t="shared" si="24"/>
        <v>-1.49</v>
      </c>
      <c r="AD30" s="1088">
        <f t="shared" si="5"/>
        <v>1491.1</v>
      </c>
      <c r="AE30" s="1088">
        <f t="shared" si="6"/>
        <v>1525.4</v>
      </c>
      <c r="AF30" s="1091">
        <f t="shared" si="7"/>
        <v>1538070</v>
      </c>
      <c r="AG30" s="1091">
        <f t="shared" si="7"/>
        <v>1573450</v>
      </c>
      <c r="AH30" s="1072" t="s">
        <v>5330</v>
      </c>
      <c r="AI30" s="1072">
        <v>76</v>
      </c>
      <c r="AJ30" s="1106">
        <f t="shared" si="25"/>
        <v>27.62</v>
      </c>
    </row>
    <row r="31" spans="1:37" ht="25.5" x14ac:dyDescent="0.2">
      <c r="A31" s="1084"/>
      <c r="B31" s="1102" t="s">
        <v>5331</v>
      </c>
      <c r="C31" s="1102" t="s">
        <v>5332</v>
      </c>
      <c r="D31" s="1104"/>
      <c r="E31" s="1103">
        <v>2.87</v>
      </c>
      <c r="F31" s="1103">
        <v>637.17999999999995</v>
      </c>
      <c r="G31" s="1104"/>
      <c r="H31" s="1103">
        <f t="shared" si="3"/>
        <v>640.04999999999995</v>
      </c>
      <c r="I31" s="1076">
        <f t="shared" si="4"/>
        <v>20.09</v>
      </c>
      <c r="J31" s="1088">
        <f t="shared" si="8"/>
        <v>2535.98</v>
      </c>
      <c r="K31" s="1088">
        <f t="shared" si="26"/>
        <v>0.46</v>
      </c>
      <c r="L31" s="1088">
        <f t="shared" si="27"/>
        <v>0.14000000000000001</v>
      </c>
      <c r="M31" s="1088">
        <f t="shared" si="9"/>
        <v>0.92</v>
      </c>
      <c r="N31" s="1088">
        <f t="shared" si="10"/>
        <v>0.25</v>
      </c>
      <c r="O31" s="1088">
        <f t="shared" si="11"/>
        <v>0</v>
      </c>
      <c r="P31" s="1088">
        <f>P46</f>
        <v>25.6</v>
      </c>
      <c r="Q31" s="1076">
        <f t="shared" si="12"/>
        <v>2583.44</v>
      </c>
      <c r="R31" s="1088">
        <f t="shared" si="13"/>
        <v>92.07</v>
      </c>
      <c r="S31" s="1088">
        <f t="shared" si="14"/>
        <v>141.63999999999999</v>
      </c>
      <c r="T31" s="1088">
        <f t="shared" si="15"/>
        <v>2.77</v>
      </c>
      <c r="U31" s="1088">
        <f t="shared" si="16"/>
        <v>15.24</v>
      </c>
      <c r="V31" s="1088">
        <f t="shared" si="17"/>
        <v>251.72</v>
      </c>
      <c r="W31" s="1088">
        <f t="shared" si="18"/>
        <v>146.13999999999999</v>
      </c>
      <c r="X31" s="1088">
        <f t="shared" si="19"/>
        <v>2981.3</v>
      </c>
      <c r="Y31" s="1088">
        <f t="shared" si="20"/>
        <v>59.63</v>
      </c>
      <c r="Z31" s="1105">
        <f t="shared" si="21"/>
        <v>3040.93</v>
      </c>
      <c r="AA31" s="1089">
        <f t="shared" si="22"/>
        <v>608.19000000000005</v>
      </c>
      <c r="AB31" s="1089">
        <f t="shared" si="23"/>
        <v>3649.12</v>
      </c>
      <c r="AC31" s="1093">
        <f t="shared" si="24"/>
        <v>-0.08</v>
      </c>
      <c r="AD31" s="1088">
        <f t="shared" si="5"/>
        <v>2723.83</v>
      </c>
      <c r="AE31" s="1088">
        <f t="shared" si="6"/>
        <v>2783.46</v>
      </c>
      <c r="AF31" s="1091">
        <f t="shared" si="7"/>
        <v>2809631</v>
      </c>
      <c r="AG31" s="1091">
        <f t="shared" si="7"/>
        <v>2871139</v>
      </c>
      <c r="AH31" s="1072" t="s">
        <v>5333</v>
      </c>
      <c r="AI31" s="1072">
        <v>2</v>
      </c>
      <c r="AJ31" s="1106">
        <f t="shared" si="25"/>
        <v>1824.56</v>
      </c>
    </row>
    <row r="32" spans="1:37" ht="38.25" x14ac:dyDescent="0.2">
      <c r="A32" s="1084"/>
      <c r="B32" s="1102" t="s">
        <v>5334</v>
      </c>
      <c r="C32" s="1102" t="s">
        <v>5335</v>
      </c>
      <c r="D32" s="1103">
        <v>0.04</v>
      </c>
      <c r="E32" s="1103">
        <v>3.75</v>
      </c>
      <c r="F32" s="1103">
        <v>28.66</v>
      </c>
      <c r="G32" s="1104"/>
      <c r="H32" s="1103">
        <f t="shared" si="3"/>
        <v>32.450000000000003</v>
      </c>
      <c r="I32" s="1076">
        <f t="shared" si="4"/>
        <v>26.53</v>
      </c>
      <c r="J32" s="1088">
        <f t="shared" si="8"/>
        <v>114.07</v>
      </c>
      <c r="K32" s="1088">
        <f t="shared" si="26"/>
        <v>0.61</v>
      </c>
      <c r="L32" s="1088">
        <f t="shared" si="27"/>
        <v>0.18</v>
      </c>
      <c r="M32" s="1088">
        <f t="shared" si="9"/>
        <v>1.22</v>
      </c>
      <c r="N32" s="1088">
        <f t="shared" si="10"/>
        <v>0.33</v>
      </c>
      <c r="O32" s="1088">
        <f t="shared" si="11"/>
        <v>0.01</v>
      </c>
      <c r="P32" s="1076"/>
      <c r="Q32" s="1076">
        <f t="shared" si="12"/>
        <v>142.94999999999999</v>
      </c>
      <c r="R32" s="1088">
        <f t="shared" si="13"/>
        <v>5.09</v>
      </c>
      <c r="S32" s="1088">
        <f t="shared" si="14"/>
        <v>7.84</v>
      </c>
      <c r="T32" s="1088">
        <f t="shared" si="15"/>
        <v>3.66</v>
      </c>
      <c r="U32" s="1088">
        <f t="shared" si="16"/>
        <v>1.41</v>
      </c>
      <c r="V32" s="1088">
        <f t="shared" si="17"/>
        <v>18</v>
      </c>
      <c r="W32" s="1088">
        <f t="shared" si="18"/>
        <v>8.3000000000000007</v>
      </c>
      <c r="X32" s="1088">
        <f t="shared" si="19"/>
        <v>169.25</v>
      </c>
      <c r="Y32" s="1088">
        <f t="shared" si="20"/>
        <v>3.39</v>
      </c>
      <c r="Z32" s="1105">
        <f t="shared" si="21"/>
        <v>172.64</v>
      </c>
      <c r="AA32" s="1089">
        <f t="shared" si="22"/>
        <v>34.53</v>
      </c>
      <c r="AB32" s="1089">
        <f t="shared" si="23"/>
        <v>207.17</v>
      </c>
      <c r="AC32" s="1093">
        <f t="shared" si="24"/>
        <v>-0.11</v>
      </c>
      <c r="AD32" s="1088">
        <f t="shared" si="5"/>
        <v>149.13</v>
      </c>
      <c r="AE32" s="1088">
        <f t="shared" si="6"/>
        <v>152.52000000000001</v>
      </c>
      <c r="AF32" s="1091">
        <f t="shared" si="7"/>
        <v>153828</v>
      </c>
      <c r="AG32" s="1091">
        <f t="shared" si="7"/>
        <v>157324</v>
      </c>
      <c r="AH32" s="1080"/>
      <c r="AI32" s="1080"/>
      <c r="AJ32" s="1081" t="e">
        <f t="shared" si="25"/>
        <v>#DIV/0!</v>
      </c>
    </row>
    <row r="33" spans="1:36" ht="25.5" x14ac:dyDescent="0.2">
      <c r="A33" s="1084"/>
      <c r="B33" s="1102" t="s">
        <v>5336</v>
      </c>
      <c r="C33" s="1102" t="s">
        <v>5337</v>
      </c>
      <c r="D33" s="1104"/>
      <c r="E33" s="1104"/>
      <c r="F33" s="1103">
        <v>450.65</v>
      </c>
      <c r="G33" s="1104"/>
      <c r="H33" s="1103">
        <f t="shared" si="3"/>
        <v>450.65</v>
      </c>
      <c r="I33" s="1076">
        <f t="shared" si="4"/>
        <v>0</v>
      </c>
      <c r="J33" s="1088">
        <f t="shared" si="8"/>
        <v>1793.59</v>
      </c>
      <c r="K33" s="1088">
        <f t="shared" si="26"/>
        <v>0</v>
      </c>
      <c r="L33" s="1088">
        <f t="shared" si="27"/>
        <v>0</v>
      </c>
      <c r="M33" s="1088">
        <f t="shared" si="9"/>
        <v>0</v>
      </c>
      <c r="N33" s="1088">
        <f t="shared" si="10"/>
        <v>0</v>
      </c>
      <c r="O33" s="1088">
        <f t="shared" si="11"/>
        <v>0</v>
      </c>
      <c r="P33" s="1076"/>
      <c r="Q33" s="1076">
        <f t="shared" si="12"/>
        <v>1793.59</v>
      </c>
      <c r="R33" s="1088">
        <f t="shared" si="13"/>
        <v>63.92</v>
      </c>
      <c r="S33" s="1088">
        <f t="shared" si="14"/>
        <v>98.33</v>
      </c>
      <c r="T33" s="1088">
        <f t="shared" si="15"/>
        <v>0</v>
      </c>
      <c r="U33" s="1088">
        <f t="shared" si="16"/>
        <v>10.27</v>
      </c>
      <c r="V33" s="1088">
        <f t="shared" si="17"/>
        <v>172.52</v>
      </c>
      <c r="W33" s="1088">
        <f t="shared" si="18"/>
        <v>101.34</v>
      </c>
      <c r="X33" s="1088">
        <f t="shared" si="19"/>
        <v>2067.4499999999998</v>
      </c>
      <c r="Y33" s="1088">
        <f t="shared" si="20"/>
        <v>41.35</v>
      </c>
      <c r="Z33" s="1105">
        <f t="shared" si="21"/>
        <v>2108.8000000000002</v>
      </c>
      <c r="AA33" s="1089">
        <f t="shared" si="22"/>
        <v>421.76</v>
      </c>
      <c r="AB33" s="1089">
        <f t="shared" si="23"/>
        <v>2530.56</v>
      </c>
      <c r="AC33" s="1093">
        <f t="shared" si="24"/>
        <v>0</v>
      </c>
      <c r="AD33" s="1088">
        <f t="shared" si="5"/>
        <v>1891.92</v>
      </c>
      <c r="AE33" s="1088">
        <f t="shared" si="6"/>
        <v>1933.27</v>
      </c>
      <c r="AF33" s="1091">
        <f t="shared" si="7"/>
        <v>1951516</v>
      </c>
      <c r="AG33" s="1091">
        <f t="shared" si="7"/>
        <v>1994168</v>
      </c>
      <c r="AH33" s="1080"/>
      <c r="AI33" s="1080"/>
      <c r="AJ33" s="1081" t="e">
        <f t="shared" si="25"/>
        <v>#DIV/0!</v>
      </c>
    </row>
    <row r="34" spans="1:36" ht="27.95" hidden="1" customHeight="1" x14ac:dyDescent="0.2">
      <c r="A34" s="1095"/>
      <c r="B34" s="1096" t="s">
        <v>5338</v>
      </c>
      <c r="C34" s="1097"/>
      <c r="D34" s="1099">
        <f>SUM(D17:D33)</f>
        <v>537.80999999999995</v>
      </c>
      <c r="E34" s="1099">
        <f t="shared" ref="E34:G34" si="28">SUM(E17:E33)</f>
        <v>1231.3599999999999</v>
      </c>
      <c r="F34" s="1099">
        <f t="shared" si="28"/>
        <v>17480.759999999998</v>
      </c>
      <c r="G34" s="1099">
        <f t="shared" si="28"/>
        <v>0</v>
      </c>
      <c r="H34" s="1099">
        <f t="shared" si="3"/>
        <v>19249.93</v>
      </c>
      <c r="I34" s="1076"/>
      <c r="J34" s="1110"/>
      <c r="K34" s="1110"/>
      <c r="L34" s="1110"/>
      <c r="M34" s="1110"/>
      <c r="N34" s="1110"/>
      <c r="O34" s="1110"/>
      <c r="P34" s="1110"/>
      <c r="Q34" s="1076"/>
      <c r="R34" s="1110"/>
      <c r="S34" s="1110"/>
      <c r="T34" s="1110"/>
      <c r="U34" s="1110"/>
      <c r="V34" s="1110"/>
      <c r="W34" s="1110"/>
      <c r="X34" s="1110"/>
      <c r="Y34" s="1110"/>
      <c r="Z34" s="1110"/>
      <c r="AA34" s="1110"/>
      <c r="AB34" s="1110"/>
      <c r="AC34" s="1111"/>
      <c r="AD34" s="1111"/>
      <c r="AE34" s="1111"/>
      <c r="AF34" s="1111"/>
      <c r="AG34" s="1079"/>
      <c r="AH34" s="1080"/>
      <c r="AI34" s="1080"/>
      <c r="AJ34" s="1081"/>
    </row>
    <row r="35" spans="1:36" ht="12.75" hidden="1" customHeight="1" x14ac:dyDescent="0.2">
      <c r="A35" s="1095"/>
      <c r="B35" s="1112" t="s">
        <v>714</v>
      </c>
      <c r="C35" s="1113"/>
      <c r="D35" s="1099">
        <f>D14+D34</f>
        <v>616.76</v>
      </c>
      <c r="E35" s="1099">
        <f t="shared" ref="E35:G35" si="29">E14+E34</f>
        <v>1231.3599999999999</v>
      </c>
      <c r="F35" s="1099">
        <f t="shared" si="29"/>
        <v>17480.759999999998</v>
      </c>
      <c r="G35" s="1099">
        <f t="shared" si="29"/>
        <v>29.1</v>
      </c>
      <c r="H35" s="1099">
        <f t="shared" si="3"/>
        <v>19357.98</v>
      </c>
      <c r="I35" s="1088"/>
      <c r="J35" s="1076"/>
      <c r="K35" s="1076"/>
      <c r="L35" s="1076"/>
      <c r="M35" s="1076"/>
      <c r="N35" s="1076"/>
      <c r="O35" s="1076"/>
      <c r="P35" s="1076"/>
      <c r="Q35" s="1076"/>
      <c r="R35" s="1076"/>
      <c r="S35" s="1076"/>
      <c r="T35" s="1076"/>
      <c r="U35" s="1076"/>
      <c r="V35" s="1076"/>
      <c r="W35" s="1076"/>
      <c r="X35" s="1076"/>
      <c r="Y35" s="1076"/>
      <c r="Z35" s="1076"/>
      <c r="AA35" s="1076"/>
      <c r="AB35" s="1076"/>
      <c r="AC35" s="1076"/>
      <c r="AD35" s="1076"/>
      <c r="AE35" s="1076"/>
      <c r="AF35" s="1076"/>
      <c r="AG35" s="1079"/>
      <c r="AH35" s="1080"/>
      <c r="AI35" s="1080"/>
      <c r="AJ35" s="1081"/>
    </row>
    <row r="36" spans="1:36" ht="12.75" hidden="1" customHeight="1" x14ac:dyDescent="0.2">
      <c r="A36" s="1082" t="s">
        <v>715</v>
      </c>
      <c r="B36" s="1083"/>
      <c r="C36" s="1083"/>
      <c r="D36" s="1083"/>
      <c r="E36" s="1083"/>
      <c r="F36" s="1083"/>
      <c r="G36" s="1083"/>
      <c r="H36" s="1083"/>
      <c r="I36" s="1076"/>
      <c r="J36" s="1076"/>
      <c r="K36" s="1076"/>
      <c r="L36" s="1076"/>
      <c r="M36" s="1076"/>
      <c r="N36" s="1076"/>
      <c r="O36" s="1076"/>
      <c r="P36" s="1076"/>
      <c r="Q36" s="1076"/>
      <c r="R36" s="1076"/>
      <c r="S36" s="1076"/>
      <c r="T36" s="1076"/>
      <c r="U36" s="1076"/>
      <c r="V36" s="1076"/>
      <c r="W36" s="1076"/>
      <c r="X36" s="1076"/>
      <c r="Y36" s="1076"/>
      <c r="Z36" s="1076"/>
      <c r="AA36" s="1076"/>
      <c r="AB36" s="1076"/>
      <c r="AC36" s="1076"/>
      <c r="AD36" s="1076"/>
      <c r="AE36" s="1076"/>
      <c r="AF36" s="1076"/>
      <c r="AG36" s="1079"/>
      <c r="AH36" s="1080"/>
      <c r="AI36" s="1080"/>
      <c r="AJ36" s="1081"/>
    </row>
    <row r="37" spans="1:36" ht="25.5" hidden="1" customHeight="1" x14ac:dyDescent="0.2">
      <c r="A37" s="1084">
        <v>4</v>
      </c>
      <c r="B37" s="1085" t="s">
        <v>5339</v>
      </c>
      <c r="C37" s="1085" t="s">
        <v>5340</v>
      </c>
      <c r="D37" s="1087">
        <f>D35*2.3%</f>
        <v>14.19</v>
      </c>
      <c r="E37" s="1087">
        <f>E35*2.3%</f>
        <v>28.32</v>
      </c>
      <c r="F37" s="1101"/>
      <c r="G37" s="1101"/>
      <c r="H37" s="1087">
        <f t="shared" si="3"/>
        <v>42.51</v>
      </c>
      <c r="I37" s="1076"/>
      <c r="J37" s="1076"/>
      <c r="K37" s="1076"/>
      <c r="L37" s="1076"/>
      <c r="M37" s="1076"/>
      <c r="N37" s="1076"/>
      <c r="O37" s="1076"/>
      <c r="P37" s="1076"/>
      <c r="Q37" s="1076"/>
      <c r="R37" s="1076"/>
      <c r="S37" s="1076"/>
      <c r="T37" s="1076"/>
      <c r="U37" s="1076"/>
      <c r="V37" s="1076"/>
      <c r="W37" s="1076"/>
      <c r="X37" s="1076"/>
      <c r="Y37" s="1076"/>
      <c r="Z37" s="1076"/>
      <c r="AA37" s="1076"/>
      <c r="AB37" s="1076"/>
      <c r="AC37" s="1076"/>
      <c r="AD37" s="1076"/>
      <c r="AE37" s="1076"/>
      <c r="AF37" s="1076"/>
      <c r="AG37" s="1079"/>
      <c r="AH37" s="1080"/>
      <c r="AI37" s="1080"/>
      <c r="AJ37" s="1081"/>
    </row>
    <row r="38" spans="1:36" ht="12.75" hidden="1" customHeight="1" x14ac:dyDescent="0.2">
      <c r="A38" s="1095"/>
      <c r="B38" s="1096" t="s">
        <v>719</v>
      </c>
      <c r="C38" s="1097"/>
      <c r="D38" s="1099">
        <v>14.19</v>
      </c>
      <c r="E38" s="1099">
        <v>28.32</v>
      </c>
      <c r="F38" s="1114"/>
      <c r="G38" s="1114"/>
      <c r="H38" s="1099">
        <f t="shared" si="3"/>
        <v>42.51</v>
      </c>
      <c r="I38" s="1076"/>
      <c r="J38" s="1076"/>
      <c r="K38" s="1076"/>
      <c r="L38" s="1076"/>
      <c r="M38" s="1076"/>
      <c r="N38" s="1076"/>
      <c r="O38" s="1076"/>
      <c r="P38" s="1076"/>
      <c r="Q38" s="1076"/>
      <c r="R38" s="1076"/>
      <c r="S38" s="1076"/>
      <c r="T38" s="1076"/>
      <c r="U38" s="1076"/>
      <c r="V38" s="1076"/>
      <c r="W38" s="1076"/>
      <c r="X38" s="1076"/>
      <c r="Y38" s="1076"/>
      <c r="Z38" s="1076"/>
      <c r="AA38" s="1076"/>
      <c r="AB38" s="1076"/>
      <c r="AC38" s="1076"/>
      <c r="AD38" s="1076"/>
      <c r="AE38" s="1076"/>
      <c r="AF38" s="1076"/>
      <c r="AG38" s="1079"/>
      <c r="AH38" s="1080"/>
      <c r="AI38" s="1080"/>
      <c r="AJ38" s="1081"/>
    </row>
    <row r="39" spans="1:36" ht="12.75" hidden="1" customHeight="1" x14ac:dyDescent="0.2">
      <c r="A39" s="1095"/>
      <c r="B39" s="1096" t="s">
        <v>720</v>
      </c>
      <c r="C39" s="1097"/>
      <c r="D39" s="1099">
        <f>D35+D38</f>
        <v>630.95000000000005</v>
      </c>
      <c r="E39" s="1099">
        <f t="shared" ref="E39:G39" si="30">E35+E38</f>
        <v>1259.68</v>
      </c>
      <c r="F39" s="1099">
        <f t="shared" si="30"/>
        <v>17480.759999999998</v>
      </c>
      <c r="G39" s="1099">
        <f t="shared" si="30"/>
        <v>29.1</v>
      </c>
      <c r="H39" s="1099">
        <f t="shared" si="3"/>
        <v>19400.490000000002</v>
      </c>
      <c r="I39" s="1088"/>
      <c r="J39" s="1076"/>
      <c r="K39" s="1076"/>
      <c r="L39" s="1076"/>
      <c r="M39" s="1076"/>
      <c r="N39" s="1076"/>
      <c r="O39" s="1076"/>
      <c r="P39" s="1076"/>
      <c r="Q39" s="1076"/>
      <c r="R39" s="1076"/>
      <c r="S39" s="1076"/>
      <c r="T39" s="1076"/>
      <c r="U39" s="1076"/>
      <c r="V39" s="1076"/>
      <c r="W39" s="1076"/>
      <c r="X39" s="1076"/>
      <c r="Y39" s="1076"/>
      <c r="Z39" s="1076"/>
      <c r="AA39" s="1076"/>
      <c r="AB39" s="1076"/>
      <c r="AC39" s="1076"/>
      <c r="AD39" s="1076"/>
      <c r="AE39" s="1076"/>
      <c r="AF39" s="1076"/>
      <c r="AG39" s="1079"/>
      <c r="AH39" s="1080"/>
      <c r="AI39" s="1080"/>
      <c r="AJ39" s="1081"/>
    </row>
    <row r="40" spans="1:36" ht="12.75" hidden="1" customHeight="1" x14ac:dyDescent="0.2">
      <c r="A40" s="1082" t="s">
        <v>721</v>
      </c>
      <c r="B40" s="1083"/>
      <c r="C40" s="1083"/>
      <c r="D40" s="1083"/>
      <c r="E40" s="1083"/>
      <c r="F40" s="1083"/>
      <c r="G40" s="1083"/>
      <c r="H40" s="1083"/>
      <c r="I40" s="1076"/>
      <c r="J40" s="1076"/>
      <c r="K40" s="1076"/>
      <c r="L40" s="1076"/>
      <c r="M40" s="1076"/>
      <c r="N40" s="1076"/>
      <c r="O40" s="1076"/>
      <c r="P40" s="1076"/>
      <c r="Q40" s="1076"/>
      <c r="R40" s="1076"/>
      <c r="S40" s="1076"/>
      <c r="T40" s="1076"/>
      <c r="U40" s="1076"/>
      <c r="V40" s="1076"/>
      <c r="W40" s="1076"/>
      <c r="X40" s="1076"/>
      <c r="Y40" s="1076"/>
      <c r="Z40" s="1076"/>
      <c r="AA40" s="1076"/>
      <c r="AB40" s="1076"/>
      <c r="AC40" s="1076"/>
      <c r="AD40" s="1076"/>
      <c r="AE40" s="1076"/>
      <c r="AF40" s="1076"/>
      <c r="AG40" s="1079"/>
      <c r="AH40" s="1080"/>
      <c r="AI40" s="1080"/>
      <c r="AJ40" s="1081"/>
    </row>
    <row r="41" spans="1:36" ht="38.25" hidden="1" customHeight="1" x14ac:dyDescent="0.2">
      <c r="A41" s="1084">
        <v>5</v>
      </c>
      <c r="B41" s="1085" t="s">
        <v>5341</v>
      </c>
      <c r="C41" s="1085" t="s">
        <v>5342</v>
      </c>
      <c r="D41" s="1087">
        <f>D39*0.66%</f>
        <v>4.16</v>
      </c>
      <c r="E41" s="1087">
        <f>E39*0.66%</f>
        <v>8.31</v>
      </c>
      <c r="F41" s="1101"/>
      <c r="G41" s="1101"/>
      <c r="H41" s="1087">
        <f t="shared" si="3"/>
        <v>12.47</v>
      </c>
      <c r="I41" s="1076"/>
      <c r="J41" s="1076"/>
      <c r="K41" s="1076"/>
      <c r="L41" s="1076"/>
      <c r="M41" s="1076"/>
      <c r="N41" s="1076"/>
      <c r="O41" s="1076"/>
      <c r="P41" s="1076"/>
      <c r="Q41" s="1076"/>
      <c r="R41" s="1076"/>
      <c r="S41" s="1076"/>
      <c r="T41" s="1076"/>
      <c r="U41" s="1076"/>
      <c r="V41" s="1076"/>
      <c r="W41" s="1076"/>
      <c r="X41" s="1076"/>
      <c r="Y41" s="1076"/>
      <c r="Z41" s="1076"/>
      <c r="AA41" s="1076"/>
      <c r="AB41" s="1076"/>
      <c r="AC41" s="1076"/>
      <c r="AD41" s="1076"/>
      <c r="AE41" s="1076"/>
      <c r="AF41" s="1076"/>
      <c r="AG41" s="1079"/>
      <c r="AH41" s="1080"/>
      <c r="AI41" s="1080"/>
      <c r="AJ41" s="1081"/>
    </row>
    <row r="42" spans="1:36" ht="12.75" hidden="1" customHeight="1" x14ac:dyDescent="0.2">
      <c r="A42" s="1084">
        <v>6</v>
      </c>
      <c r="B42" s="1085" t="s">
        <v>5343</v>
      </c>
      <c r="C42" s="1085" t="s">
        <v>5344</v>
      </c>
      <c r="D42" s="1101"/>
      <c r="E42" s="1101"/>
      <c r="F42" s="1101"/>
      <c r="G42" s="1087">
        <f>SUM(G43:G46)</f>
        <v>30.43</v>
      </c>
      <c r="H42" s="1087">
        <f t="shared" si="3"/>
        <v>30.43</v>
      </c>
      <c r="I42" s="1088"/>
      <c r="J42" s="1076"/>
      <c r="K42" s="1076"/>
      <c r="L42" s="1076"/>
      <c r="M42" s="1076"/>
      <c r="N42" s="1076"/>
      <c r="O42" s="1076"/>
      <c r="P42" s="1076"/>
      <c r="Q42" s="1076"/>
      <c r="R42" s="1076"/>
      <c r="S42" s="1076"/>
      <c r="T42" s="1076"/>
      <c r="U42" s="1076"/>
      <c r="V42" s="1076"/>
      <c r="W42" s="1076"/>
      <c r="X42" s="1076"/>
      <c r="Y42" s="1076"/>
      <c r="Z42" s="1076"/>
      <c r="AA42" s="1076"/>
      <c r="AB42" s="1076"/>
      <c r="AC42" s="1076"/>
      <c r="AD42" s="1076"/>
      <c r="AE42" s="1076"/>
      <c r="AF42" s="1076"/>
      <c r="AG42" s="1079"/>
      <c r="AH42" s="1080"/>
      <c r="AI42" s="1080"/>
      <c r="AJ42" s="1081"/>
    </row>
    <row r="43" spans="1:36" ht="25.5" hidden="1" customHeight="1" x14ac:dyDescent="0.2">
      <c r="A43" s="1084"/>
      <c r="B43" s="1102" t="s">
        <v>5345</v>
      </c>
      <c r="C43" s="1102" t="s">
        <v>5346</v>
      </c>
      <c r="D43" s="1104"/>
      <c r="E43" s="1104"/>
      <c r="F43" s="1104"/>
      <c r="G43" s="1115">
        <f>7.96*0.8</f>
        <v>6.37</v>
      </c>
      <c r="H43" s="1087">
        <f t="shared" si="3"/>
        <v>6.37</v>
      </c>
      <c r="I43" s="1076"/>
      <c r="J43" s="1076"/>
      <c r="K43" s="1076"/>
      <c r="L43" s="1076"/>
      <c r="M43" s="1076"/>
      <c r="N43" s="1076"/>
      <c r="O43" s="1076"/>
      <c r="P43" s="1088">
        <f>H43*15.15</f>
        <v>96.51</v>
      </c>
      <c r="Q43" s="1076"/>
      <c r="R43" s="1088"/>
      <c r="S43" s="1076"/>
      <c r="T43" s="1076"/>
      <c r="U43" s="1076"/>
      <c r="V43" s="1076"/>
      <c r="W43" s="1088"/>
      <c r="X43" s="1088"/>
      <c r="Y43" s="1088">
        <f>P43*0.02</f>
        <v>1.93</v>
      </c>
      <c r="Z43" s="1088"/>
      <c r="AA43" s="1088"/>
      <c r="AB43" s="1088"/>
      <c r="AC43" s="1076"/>
      <c r="AD43" s="1088">
        <f>I43+J43+K43+L43+O43+P43+S43+AC43</f>
        <v>96.51</v>
      </c>
      <c r="AE43" s="1088">
        <f>I43+J43+K43+L43+O43+P43+S43+Y43+AC43</f>
        <v>98.44</v>
      </c>
      <c r="AF43" s="1091">
        <f t="shared" ref="AF43:AG46" si="31">AD43*1000*$F$135</f>
        <v>99550</v>
      </c>
      <c r="AG43" s="1091">
        <f t="shared" si="31"/>
        <v>101541</v>
      </c>
      <c r="AH43" s="1080"/>
      <c r="AI43" s="1080"/>
      <c r="AJ43" s="1081"/>
    </row>
    <row r="44" spans="1:36" ht="25.5" hidden="1" customHeight="1" x14ac:dyDescent="0.2">
      <c r="A44" s="1084"/>
      <c r="B44" s="1102" t="s">
        <v>5347</v>
      </c>
      <c r="C44" s="1102" t="s">
        <v>5348</v>
      </c>
      <c r="D44" s="1104"/>
      <c r="E44" s="1104"/>
      <c r="F44" s="1104"/>
      <c r="G44" s="1115">
        <f>27.42*0.8-0.01</f>
        <v>21.93</v>
      </c>
      <c r="H44" s="1087">
        <f t="shared" si="3"/>
        <v>21.93</v>
      </c>
      <c r="I44" s="1076"/>
      <c r="J44" s="1076"/>
      <c r="K44" s="1076"/>
      <c r="L44" s="1076"/>
      <c r="M44" s="1076"/>
      <c r="N44" s="1076"/>
      <c r="O44" s="1076"/>
      <c r="P44" s="1088">
        <f>H44*15.15</f>
        <v>332.24</v>
      </c>
      <c r="Q44" s="1076"/>
      <c r="R44" s="1088"/>
      <c r="S44" s="1076"/>
      <c r="T44" s="1076"/>
      <c r="U44" s="1076"/>
      <c r="V44" s="1076"/>
      <c r="W44" s="1088"/>
      <c r="X44" s="1088"/>
      <c r="Y44" s="1088">
        <f>P44*0.02</f>
        <v>6.64</v>
      </c>
      <c r="Z44" s="1088"/>
      <c r="AA44" s="1088"/>
      <c r="AB44" s="1088"/>
      <c r="AC44" s="1076"/>
      <c r="AD44" s="1088">
        <f>I44+J44+K44+L44+O44+P44+S44+AC44</f>
        <v>332.24</v>
      </c>
      <c r="AE44" s="1088">
        <f>I44+J44+K44+L44+O44+P44+S44+Y44+AC44</f>
        <v>338.88</v>
      </c>
      <c r="AF44" s="1091">
        <f t="shared" si="31"/>
        <v>342706</v>
      </c>
      <c r="AG44" s="1091">
        <f t="shared" si="31"/>
        <v>349555</v>
      </c>
      <c r="AH44" s="1080"/>
      <c r="AI44" s="1080"/>
      <c r="AJ44" s="1081"/>
    </row>
    <row r="45" spans="1:36" ht="25.5" hidden="1" customHeight="1" x14ac:dyDescent="0.2">
      <c r="A45" s="1084"/>
      <c r="B45" s="1102" t="s">
        <v>5349</v>
      </c>
      <c r="C45" s="1102" t="s">
        <v>5350</v>
      </c>
      <c r="D45" s="1104"/>
      <c r="E45" s="1104"/>
      <c r="F45" s="1104"/>
      <c r="G45" s="1103">
        <f>0.55*0.8</f>
        <v>0.44</v>
      </c>
      <c r="H45" s="1087">
        <f t="shared" si="3"/>
        <v>0.44</v>
      </c>
      <c r="I45" s="1076"/>
      <c r="J45" s="1076"/>
      <c r="K45" s="1076"/>
      <c r="L45" s="1076"/>
      <c r="M45" s="1076"/>
      <c r="N45" s="1076"/>
      <c r="O45" s="1076"/>
      <c r="P45" s="1088">
        <f>H45*15.15</f>
        <v>6.67</v>
      </c>
      <c r="Q45" s="1076"/>
      <c r="R45" s="1088"/>
      <c r="S45" s="1076"/>
      <c r="T45" s="1076"/>
      <c r="U45" s="1076"/>
      <c r="V45" s="1076"/>
      <c r="W45" s="1088"/>
      <c r="X45" s="1088"/>
      <c r="Y45" s="1088">
        <f>P45*0.02</f>
        <v>0.13</v>
      </c>
      <c r="Z45" s="1088"/>
      <c r="AA45" s="1088"/>
      <c r="AB45" s="1088"/>
      <c r="AC45" s="1076"/>
      <c r="AD45" s="1088">
        <f>I45+J45+K45+L45+O45+P45+S45+AC45</f>
        <v>6.67</v>
      </c>
      <c r="AE45" s="1088">
        <f>I45+J45+K45+L45+O45+P45+S45+Y45+AC45</f>
        <v>6.8</v>
      </c>
      <c r="AF45" s="1091">
        <f t="shared" si="31"/>
        <v>6880</v>
      </c>
      <c r="AG45" s="1091">
        <f t="shared" si="31"/>
        <v>7014</v>
      </c>
      <c r="AH45" s="1080"/>
      <c r="AI45" s="1080"/>
      <c r="AJ45" s="1081"/>
    </row>
    <row r="46" spans="1:36" ht="25.5" hidden="1" customHeight="1" x14ac:dyDescent="0.2">
      <c r="A46" s="1084"/>
      <c r="B46" s="1102" t="s">
        <v>5351</v>
      </c>
      <c r="C46" s="1102" t="s">
        <v>5352</v>
      </c>
      <c r="D46" s="1104"/>
      <c r="E46" s="1104"/>
      <c r="F46" s="1104"/>
      <c r="G46" s="1115">
        <f>2.11*0.8</f>
        <v>1.69</v>
      </c>
      <c r="H46" s="1087">
        <f t="shared" si="3"/>
        <v>1.69</v>
      </c>
      <c r="I46" s="1076"/>
      <c r="J46" s="1076"/>
      <c r="K46" s="1076"/>
      <c r="L46" s="1076"/>
      <c r="M46" s="1076"/>
      <c r="N46" s="1076"/>
      <c r="O46" s="1076"/>
      <c r="P46" s="1088">
        <f>H46*15.15</f>
        <v>25.6</v>
      </c>
      <c r="Q46" s="1076"/>
      <c r="R46" s="1088"/>
      <c r="S46" s="1076"/>
      <c r="T46" s="1076"/>
      <c r="U46" s="1076"/>
      <c r="V46" s="1076"/>
      <c r="W46" s="1088"/>
      <c r="X46" s="1088"/>
      <c r="Y46" s="1088">
        <f>P46*0.02</f>
        <v>0.51</v>
      </c>
      <c r="Z46" s="1088"/>
      <c r="AA46" s="1088"/>
      <c r="AB46" s="1088"/>
      <c r="AC46" s="1076"/>
      <c r="AD46" s="1088">
        <f>I46+J46+K46+L46+O46+P46+S46+AC46</f>
        <v>25.6</v>
      </c>
      <c r="AE46" s="1088">
        <f>I46+J46+K46+L46+O46+P46+S46+Y46+AC46</f>
        <v>26.11</v>
      </c>
      <c r="AF46" s="1091">
        <f t="shared" si="31"/>
        <v>26406</v>
      </c>
      <c r="AG46" s="1091">
        <f t="shared" si="31"/>
        <v>26932</v>
      </c>
      <c r="AH46" s="1080"/>
      <c r="AI46" s="1080"/>
      <c r="AJ46" s="1081"/>
    </row>
    <row r="47" spans="1:36" ht="12.75" hidden="1" customHeight="1" x14ac:dyDescent="0.2">
      <c r="A47" s="1084">
        <v>7</v>
      </c>
      <c r="B47" s="1085" t="s">
        <v>5353</v>
      </c>
      <c r="C47" s="1085" t="s">
        <v>5354</v>
      </c>
      <c r="D47" s="1101"/>
      <c r="E47" s="1101"/>
      <c r="F47" s="1101"/>
      <c r="G47" s="1087">
        <v>0.25</v>
      </c>
      <c r="H47" s="1087">
        <f t="shared" si="3"/>
        <v>0.25</v>
      </c>
      <c r="I47" s="1076"/>
      <c r="J47" s="1076"/>
      <c r="K47" s="1076"/>
      <c r="L47" s="1076"/>
      <c r="M47" s="1076"/>
      <c r="N47" s="1076"/>
      <c r="O47" s="1088">
        <f>G47*10.51</f>
        <v>2.63</v>
      </c>
      <c r="P47" s="1076"/>
      <c r="Q47" s="1076"/>
      <c r="R47" s="1076"/>
      <c r="S47" s="1076"/>
      <c r="T47" s="1076"/>
      <c r="U47" s="1076"/>
      <c r="V47" s="1076"/>
      <c r="W47" s="1076"/>
      <c r="X47" s="1076"/>
      <c r="Y47" s="1076"/>
      <c r="Z47" s="1076"/>
      <c r="AA47" s="1076"/>
      <c r="AB47" s="1076"/>
      <c r="AC47" s="1076"/>
      <c r="AD47" s="1076"/>
      <c r="AE47" s="1076"/>
      <c r="AF47" s="1076"/>
      <c r="AG47" s="1079"/>
      <c r="AH47" s="1080"/>
      <c r="AI47" s="1080"/>
      <c r="AJ47" s="1081"/>
    </row>
    <row r="48" spans="1:36" ht="12.75" hidden="1" customHeight="1" x14ac:dyDescent="0.2">
      <c r="A48" s="1095"/>
      <c r="B48" s="1096" t="s">
        <v>728</v>
      </c>
      <c r="C48" s="1097"/>
      <c r="D48" s="1099">
        <f>D41+D42+D47</f>
        <v>4.16</v>
      </c>
      <c r="E48" s="1099">
        <f t="shared" ref="E48:G48" si="32">E41+E42+E47</f>
        <v>8.31</v>
      </c>
      <c r="F48" s="1099">
        <f t="shared" si="32"/>
        <v>0</v>
      </c>
      <c r="G48" s="1099">
        <f t="shared" si="32"/>
        <v>30.68</v>
      </c>
      <c r="H48" s="1099">
        <f t="shared" si="3"/>
        <v>43.15</v>
      </c>
      <c r="I48" s="1076"/>
      <c r="J48" s="1076"/>
      <c r="K48" s="1076"/>
      <c r="L48" s="1076"/>
      <c r="M48" s="1076"/>
      <c r="N48" s="1076"/>
      <c r="O48" s="1076"/>
      <c r="P48" s="1076"/>
      <c r="Q48" s="1076"/>
      <c r="R48" s="1076"/>
      <c r="S48" s="1076"/>
      <c r="T48" s="1076"/>
      <c r="U48" s="1076"/>
      <c r="V48" s="1076"/>
      <c r="W48" s="1076"/>
      <c r="X48" s="1076"/>
      <c r="Y48" s="1076"/>
      <c r="Z48" s="1076"/>
      <c r="AA48" s="1076"/>
      <c r="AB48" s="1076"/>
      <c r="AC48" s="1076"/>
      <c r="AD48" s="1076"/>
      <c r="AE48" s="1076"/>
      <c r="AF48" s="1076"/>
      <c r="AG48" s="1079"/>
      <c r="AH48" s="1080"/>
      <c r="AI48" s="1080"/>
      <c r="AJ48" s="1081"/>
    </row>
    <row r="49" spans="1:36" ht="12.75" hidden="1" customHeight="1" x14ac:dyDescent="0.2">
      <c r="A49" s="1095"/>
      <c r="B49" s="1096" t="s">
        <v>729</v>
      </c>
      <c r="C49" s="1097"/>
      <c r="D49" s="1099">
        <f>D39+D48</f>
        <v>635.11</v>
      </c>
      <c r="E49" s="1099">
        <f t="shared" ref="E49:G49" si="33">E39+E48</f>
        <v>1267.99</v>
      </c>
      <c r="F49" s="1099">
        <f t="shared" si="33"/>
        <v>17480.759999999998</v>
      </c>
      <c r="G49" s="1099">
        <f t="shared" si="33"/>
        <v>59.78</v>
      </c>
      <c r="H49" s="1099">
        <f t="shared" si="3"/>
        <v>19443.64</v>
      </c>
      <c r="I49" s="1088"/>
      <c r="J49" s="1076"/>
      <c r="K49" s="1076"/>
      <c r="L49" s="1076"/>
      <c r="M49" s="1076"/>
      <c r="N49" s="1076"/>
      <c r="O49" s="1076"/>
      <c r="P49" s="1076"/>
      <c r="Q49" s="1076"/>
      <c r="R49" s="1076"/>
      <c r="S49" s="1076"/>
      <c r="T49" s="1076"/>
      <c r="U49" s="1076"/>
      <c r="V49" s="1076"/>
      <c r="W49" s="1076"/>
      <c r="X49" s="1076"/>
      <c r="Y49" s="1076"/>
      <c r="Z49" s="1076"/>
      <c r="AA49" s="1076"/>
      <c r="AB49" s="1076"/>
      <c r="AC49" s="1076"/>
      <c r="AD49" s="1076"/>
      <c r="AE49" s="1076"/>
      <c r="AF49" s="1076"/>
      <c r="AG49" s="1079"/>
      <c r="AH49" s="1080"/>
      <c r="AI49" s="1080"/>
      <c r="AJ49" s="1081"/>
    </row>
    <row r="50" spans="1:36" ht="12.75" hidden="1" customHeight="1" x14ac:dyDescent="0.2">
      <c r="A50" s="1082" t="s">
        <v>730</v>
      </c>
      <c r="B50" s="1083"/>
      <c r="C50" s="1083"/>
      <c r="D50" s="1083"/>
      <c r="E50" s="1083"/>
      <c r="F50" s="1083"/>
      <c r="G50" s="1083"/>
      <c r="H50" s="1083"/>
      <c r="I50" s="1076"/>
      <c r="J50" s="1076"/>
      <c r="K50" s="1076"/>
      <c r="L50" s="1076"/>
      <c r="M50" s="1076"/>
      <c r="N50" s="1076"/>
      <c r="O50" s="1076"/>
      <c r="P50" s="1076"/>
      <c r="Q50" s="1076"/>
      <c r="R50" s="1076"/>
      <c r="S50" s="1076"/>
      <c r="T50" s="1076"/>
      <c r="U50" s="1076"/>
      <c r="V50" s="1076"/>
      <c r="W50" s="1076"/>
      <c r="X50" s="1076"/>
      <c r="Y50" s="1076"/>
      <c r="Z50" s="1076"/>
      <c r="AA50" s="1076"/>
      <c r="AB50" s="1076"/>
      <c r="AC50" s="1076"/>
      <c r="AD50" s="1076"/>
      <c r="AE50" s="1076"/>
      <c r="AF50" s="1076"/>
      <c r="AG50" s="1079"/>
      <c r="AH50" s="1080"/>
      <c r="AI50" s="1080"/>
      <c r="AJ50" s="1081"/>
    </row>
    <row r="51" spans="1:36" ht="38.25" hidden="1" customHeight="1" x14ac:dyDescent="0.2">
      <c r="A51" s="1084">
        <v>8</v>
      </c>
      <c r="B51" s="1085" t="s">
        <v>5355</v>
      </c>
      <c r="C51" s="1085" t="s">
        <v>5267</v>
      </c>
      <c r="D51" s="1086"/>
      <c r="E51" s="1086"/>
      <c r="F51" s="1086"/>
      <c r="G51" s="1087">
        <f>(H49+H58)*2.14%</f>
        <v>458.69</v>
      </c>
      <c r="H51" s="1087">
        <f t="shared" si="3"/>
        <v>458.69</v>
      </c>
      <c r="I51" s="1076"/>
      <c r="J51" s="1076"/>
      <c r="K51" s="1076"/>
      <c r="L51" s="1076"/>
      <c r="M51" s="1076"/>
      <c r="N51" s="1076"/>
      <c r="O51" s="1076"/>
      <c r="P51" s="1076"/>
      <c r="Q51" s="1076"/>
      <c r="R51" s="1076"/>
      <c r="S51" s="1076"/>
      <c r="T51" s="1076"/>
      <c r="U51" s="1076"/>
      <c r="V51" s="1076"/>
      <c r="W51" s="1088">
        <f>G51*10.51</f>
        <v>4820.83</v>
      </c>
      <c r="X51" s="1088"/>
      <c r="Y51" s="1076"/>
      <c r="Z51" s="1076"/>
      <c r="AA51" s="1076"/>
      <c r="AB51" s="1076"/>
      <c r="AC51" s="1076"/>
      <c r="AD51" s="1076"/>
      <c r="AE51" s="1076"/>
      <c r="AF51" s="1076"/>
      <c r="AG51" s="1079"/>
      <c r="AH51" s="1080"/>
      <c r="AI51" s="1080"/>
      <c r="AJ51" s="1081"/>
    </row>
    <row r="52" spans="1:36" ht="27.95" hidden="1" customHeight="1" x14ac:dyDescent="0.2">
      <c r="A52" s="1095"/>
      <c r="B52" s="1096" t="s">
        <v>732</v>
      </c>
      <c r="C52" s="1097"/>
      <c r="D52" s="1116">
        <f>D51</f>
        <v>0</v>
      </c>
      <c r="E52" s="1116">
        <f t="shared" ref="E52:G52" si="34">E51</f>
        <v>0</v>
      </c>
      <c r="F52" s="1116">
        <f t="shared" si="34"/>
        <v>0</v>
      </c>
      <c r="G52" s="1116">
        <f t="shared" si="34"/>
        <v>458.69</v>
      </c>
      <c r="H52" s="1098">
        <f t="shared" si="3"/>
        <v>458.69</v>
      </c>
      <c r="I52" s="1076"/>
      <c r="J52" s="1076"/>
      <c r="K52" s="1076"/>
      <c r="L52" s="1076"/>
      <c r="M52" s="1076"/>
      <c r="N52" s="1076"/>
      <c r="O52" s="1076"/>
      <c r="P52" s="1076"/>
      <c r="Q52" s="1076"/>
      <c r="R52" s="1076"/>
      <c r="S52" s="1076"/>
      <c r="T52" s="1076"/>
      <c r="U52" s="1076"/>
      <c r="V52" s="1076"/>
      <c r="W52" s="1076"/>
      <c r="X52" s="1076"/>
      <c r="Y52" s="1076"/>
      <c r="Z52" s="1076"/>
      <c r="AA52" s="1076"/>
      <c r="AB52" s="1076"/>
      <c r="AC52" s="1076"/>
      <c r="AD52" s="1076"/>
      <c r="AE52" s="1076"/>
      <c r="AF52" s="1076"/>
      <c r="AG52" s="1079"/>
      <c r="AH52" s="1080"/>
      <c r="AI52" s="1080"/>
      <c r="AJ52" s="1081"/>
    </row>
    <row r="53" spans="1:36" ht="12.75" hidden="1" customHeight="1" x14ac:dyDescent="0.2">
      <c r="A53" s="1082" t="s">
        <v>5356</v>
      </c>
      <c r="B53" s="1083"/>
      <c r="C53" s="1083"/>
      <c r="D53" s="1083"/>
      <c r="E53" s="1083"/>
      <c r="F53" s="1083"/>
      <c r="G53" s="1083"/>
      <c r="H53" s="1083"/>
      <c r="I53" s="1076"/>
      <c r="J53" s="1076"/>
      <c r="K53" s="1076"/>
      <c r="L53" s="1076"/>
      <c r="M53" s="1076"/>
      <c r="N53" s="1076"/>
      <c r="O53" s="1076"/>
      <c r="P53" s="1076"/>
      <c r="Q53" s="1076"/>
      <c r="R53" s="1076"/>
      <c r="S53" s="1076"/>
      <c r="T53" s="1076"/>
      <c r="U53" s="1076"/>
      <c r="V53" s="1076"/>
      <c r="W53" s="1076"/>
      <c r="X53" s="1076"/>
      <c r="Y53" s="1076"/>
      <c r="Z53" s="1076"/>
      <c r="AA53" s="1076"/>
      <c r="AB53" s="1076"/>
      <c r="AC53" s="1076"/>
      <c r="AD53" s="1076"/>
      <c r="AE53" s="1076"/>
      <c r="AF53" s="1076"/>
      <c r="AG53" s="1079"/>
      <c r="AH53" s="1080"/>
      <c r="AI53" s="1080"/>
      <c r="AJ53" s="1081"/>
    </row>
    <row r="54" spans="1:36" ht="12.75" hidden="1" customHeight="1" x14ac:dyDescent="0.2">
      <c r="A54" s="1084">
        <v>9</v>
      </c>
      <c r="B54" s="1085" t="s">
        <v>5357</v>
      </c>
      <c r="C54" s="1085" t="s">
        <v>5358</v>
      </c>
      <c r="D54" s="1086"/>
      <c r="E54" s="1086"/>
      <c r="F54" s="1086"/>
      <c r="G54" s="1087">
        <v>602.66999999999996</v>
      </c>
      <c r="H54" s="1087">
        <f t="shared" si="3"/>
        <v>602.66999999999996</v>
      </c>
      <c r="I54" s="1076"/>
      <c r="J54" s="1076"/>
      <c r="K54" s="1076"/>
      <c r="L54" s="1076"/>
      <c r="M54" s="1076"/>
      <c r="N54" s="1076"/>
      <c r="O54" s="1076"/>
      <c r="P54" s="1076"/>
      <c r="Q54" s="1076"/>
      <c r="R54" s="1088">
        <f>G54*1.19*4.15</f>
        <v>2976.29</v>
      </c>
      <c r="S54" s="1076"/>
      <c r="T54" s="1076"/>
      <c r="U54" s="1076"/>
      <c r="V54" s="1076"/>
      <c r="W54" s="1076"/>
      <c r="X54" s="1076"/>
      <c r="Y54" s="1076"/>
      <c r="Z54" s="1076"/>
      <c r="AA54" s="1076"/>
      <c r="AB54" s="1076"/>
      <c r="AC54" s="1076"/>
      <c r="AD54" s="1076"/>
      <c r="AE54" s="1076"/>
      <c r="AF54" s="1076"/>
      <c r="AG54" s="1079"/>
      <c r="AH54" s="1080"/>
      <c r="AI54" s="1080"/>
      <c r="AJ54" s="1081"/>
    </row>
    <row r="55" spans="1:36" ht="12.75" hidden="1" customHeight="1" x14ac:dyDescent="0.2">
      <c r="A55" s="1084">
        <v>10</v>
      </c>
      <c r="B55" s="1085" t="s">
        <v>5359</v>
      </c>
      <c r="C55" s="1085" t="s">
        <v>5360</v>
      </c>
      <c r="D55" s="1086"/>
      <c r="E55" s="1086"/>
      <c r="F55" s="1086"/>
      <c r="G55" s="1087">
        <v>927.14</v>
      </c>
      <c r="H55" s="1087">
        <f t="shared" ref="H55:H76" si="35">SUM(D55:G55)</f>
        <v>927.14</v>
      </c>
      <c r="I55" s="1076"/>
      <c r="J55" s="1076"/>
      <c r="K55" s="1076"/>
      <c r="L55" s="1076"/>
      <c r="M55" s="1076"/>
      <c r="N55" s="1088"/>
      <c r="O55" s="1076"/>
      <c r="P55" s="1076"/>
      <c r="Q55" s="1076"/>
      <c r="R55" s="1076"/>
      <c r="S55" s="1088">
        <f>H55*1.19*4.15</f>
        <v>4578.68</v>
      </c>
      <c r="T55" s="1088"/>
      <c r="U55" s="1088"/>
      <c r="V55" s="1088"/>
      <c r="W55" s="1076"/>
      <c r="X55" s="1076"/>
      <c r="Y55" s="1088">
        <f>S55*0.02</f>
        <v>91.57</v>
      </c>
      <c r="Z55" s="1088"/>
      <c r="AA55" s="1088"/>
      <c r="AB55" s="1088"/>
      <c r="AC55" s="1076"/>
      <c r="AD55" s="1088">
        <f>I55+J55+K55+L55+O55+P55+S55+AC55</f>
        <v>4578.68</v>
      </c>
      <c r="AE55" s="1088">
        <f>I55+J55+K55+L55+O55+P55+S55+Y55+AC55</f>
        <v>4670.25</v>
      </c>
      <c r="AF55" s="1091">
        <f>AD55*1000*$F$107</f>
        <v>4655600</v>
      </c>
      <c r="AG55" s="1091">
        <f>AE55*1000*F107</f>
        <v>4748708</v>
      </c>
      <c r="AH55" s="1080"/>
      <c r="AI55" s="1080"/>
      <c r="AJ55" s="1081"/>
    </row>
    <row r="56" spans="1:36" ht="12.75" hidden="1" customHeight="1" x14ac:dyDescent="0.2">
      <c r="A56" s="1084">
        <v>11</v>
      </c>
      <c r="B56" s="1085" t="s">
        <v>5357</v>
      </c>
      <c r="C56" s="1085" t="s">
        <v>429</v>
      </c>
      <c r="D56" s="1086"/>
      <c r="E56" s="1086"/>
      <c r="F56" s="1086"/>
      <c r="G56" s="1087">
        <v>318.68</v>
      </c>
      <c r="H56" s="1087">
        <f t="shared" si="35"/>
        <v>318.68</v>
      </c>
      <c r="I56" s="1076"/>
      <c r="J56" s="1076"/>
      <c r="K56" s="1076"/>
      <c r="L56" s="1076"/>
      <c r="M56" s="1076"/>
      <c r="N56" s="1076"/>
      <c r="O56" s="1076"/>
      <c r="P56" s="1076"/>
      <c r="Q56" s="1076"/>
      <c r="R56" s="1076"/>
      <c r="S56" s="1076"/>
      <c r="T56" s="1088">
        <f>G56*1.266*4.23</f>
        <v>1706.59</v>
      </c>
      <c r="U56" s="1088"/>
      <c r="V56" s="1088"/>
      <c r="W56" s="1076"/>
      <c r="X56" s="1076"/>
      <c r="Y56" s="1076"/>
      <c r="Z56" s="1076"/>
      <c r="AA56" s="1076"/>
      <c r="AB56" s="1076"/>
      <c r="AC56" s="1076"/>
      <c r="AD56" s="1076"/>
      <c r="AE56" s="1076"/>
      <c r="AF56" s="1076"/>
      <c r="AG56" s="1079"/>
      <c r="AH56" s="1080"/>
      <c r="AI56" s="1080"/>
      <c r="AJ56" s="1081"/>
    </row>
    <row r="57" spans="1:36" ht="25.5" hidden="1" customHeight="1" x14ac:dyDescent="0.2">
      <c r="A57" s="1084">
        <v>12</v>
      </c>
      <c r="B57" s="1085" t="s">
        <v>5361</v>
      </c>
      <c r="C57" s="1085" t="s">
        <v>5362</v>
      </c>
      <c r="D57" s="1086"/>
      <c r="E57" s="1086"/>
      <c r="F57" s="1086"/>
      <c r="G57" s="1087">
        <v>142.21</v>
      </c>
      <c r="H57" s="1087">
        <f t="shared" si="35"/>
        <v>142.21</v>
      </c>
      <c r="I57" s="1076"/>
      <c r="J57" s="1076"/>
      <c r="K57" s="1076"/>
      <c r="L57" s="1076"/>
      <c r="M57" s="1076"/>
      <c r="N57" s="1076"/>
      <c r="O57" s="1076"/>
      <c r="P57" s="1076"/>
      <c r="Q57" s="1076"/>
      <c r="R57" s="1076"/>
      <c r="S57" s="1076"/>
      <c r="T57" s="1076"/>
      <c r="U57" s="1088">
        <f>G57*5.29</f>
        <v>752.29</v>
      </c>
      <c r="V57" s="1076"/>
      <c r="W57" s="1076"/>
      <c r="X57" s="1076"/>
      <c r="Y57" s="1076"/>
      <c r="Z57" s="1076"/>
      <c r="AA57" s="1076"/>
      <c r="AB57" s="1076"/>
      <c r="AC57" s="1076"/>
      <c r="AD57" s="1076"/>
      <c r="AE57" s="1076"/>
      <c r="AF57" s="1076"/>
      <c r="AG57" s="1079"/>
      <c r="AH57" s="1080"/>
      <c r="AI57" s="1080"/>
      <c r="AJ57" s="1081"/>
    </row>
    <row r="58" spans="1:36" ht="27.95" hidden="1" customHeight="1" x14ac:dyDescent="0.2">
      <c r="A58" s="1095"/>
      <c r="B58" s="1096" t="s">
        <v>5363</v>
      </c>
      <c r="C58" s="1097"/>
      <c r="D58" s="1116"/>
      <c r="E58" s="1116"/>
      <c r="F58" s="1116"/>
      <c r="G58" s="1099">
        <f>SUM(G54:G57)</f>
        <v>1990.7</v>
      </c>
      <c r="H58" s="1099">
        <f t="shared" si="35"/>
        <v>1990.7</v>
      </c>
      <c r="I58" s="1076"/>
      <c r="J58" s="1076"/>
      <c r="K58" s="1076"/>
      <c r="L58" s="1076"/>
      <c r="M58" s="1076"/>
      <c r="N58" s="1076"/>
      <c r="O58" s="1076"/>
      <c r="P58" s="1076"/>
      <c r="Q58" s="1076"/>
      <c r="R58" s="1076"/>
      <c r="S58" s="1076"/>
      <c r="T58" s="1076"/>
      <c r="U58" s="1076"/>
      <c r="V58" s="1076"/>
      <c r="W58" s="1076"/>
      <c r="X58" s="1076"/>
      <c r="Y58" s="1076"/>
      <c r="Z58" s="1076"/>
      <c r="AA58" s="1076"/>
      <c r="AB58" s="1076"/>
      <c r="AC58" s="1076"/>
      <c r="AD58" s="1076"/>
      <c r="AE58" s="1076"/>
      <c r="AF58" s="1076"/>
      <c r="AG58" s="1079"/>
      <c r="AH58" s="1080"/>
      <c r="AI58" s="1080"/>
      <c r="AJ58" s="1081"/>
    </row>
    <row r="59" spans="1:36" ht="27.6" hidden="1" customHeight="1" x14ac:dyDescent="0.2">
      <c r="A59" s="1095"/>
      <c r="B59" s="1096" t="s">
        <v>743</v>
      </c>
      <c r="C59" s="1097"/>
      <c r="D59" s="1099">
        <f>D49+D52+D58</f>
        <v>635.11</v>
      </c>
      <c r="E59" s="1099">
        <f t="shared" ref="E59:G59" si="36">E49+E52+E58</f>
        <v>1267.99</v>
      </c>
      <c r="F59" s="1099">
        <f t="shared" si="36"/>
        <v>17480.759999999998</v>
      </c>
      <c r="G59" s="1099">
        <f t="shared" si="36"/>
        <v>2509.17</v>
      </c>
      <c r="H59" s="1099">
        <f t="shared" si="35"/>
        <v>21893.03</v>
      </c>
      <c r="I59" s="1088"/>
      <c r="J59" s="1076"/>
      <c r="K59" s="1076"/>
      <c r="L59" s="1076"/>
      <c r="M59" s="1076"/>
      <c r="N59" s="1076"/>
      <c r="O59" s="1076"/>
      <c r="P59" s="1076"/>
      <c r="Q59" s="1076"/>
      <c r="R59" s="1076"/>
      <c r="S59" s="1076"/>
      <c r="T59" s="1076"/>
      <c r="U59" s="1076"/>
      <c r="V59" s="1076"/>
      <c r="W59" s="1076"/>
      <c r="X59" s="1076"/>
      <c r="Y59" s="1076"/>
      <c r="Z59" s="1076"/>
      <c r="AA59" s="1076"/>
      <c r="AB59" s="1076"/>
      <c r="AC59" s="1076"/>
      <c r="AD59" s="1076"/>
      <c r="AE59" s="1076"/>
      <c r="AF59" s="1076"/>
      <c r="AG59" s="1079"/>
      <c r="AH59" s="1080"/>
      <c r="AI59" s="1080"/>
      <c r="AJ59" s="1081"/>
    </row>
    <row r="60" spans="1:36" ht="12.75" hidden="1" customHeight="1" x14ac:dyDescent="0.2">
      <c r="A60" s="1082" t="s">
        <v>744</v>
      </c>
      <c r="B60" s="1083"/>
      <c r="C60" s="1083"/>
      <c r="D60" s="1083"/>
      <c r="E60" s="1083"/>
      <c r="F60" s="1083"/>
      <c r="G60" s="1083"/>
      <c r="H60" s="1083"/>
      <c r="I60" s="1076"/>
      <c r="J60" s="1076"/>
      <c r="K60" s="1076"/>
      <c r="L60" s="1076"/>
      <c r="M60" s="1076"/>
      <c r="N60" s="1076"/>
      <c r="O60" s="1076"/>
      <c r="P60" s="1076"/>
      <c r="Q60" s="1076"/>
      <c r="R60" s="1076"/>
      <c r="S60" s="1076"/>
      <c r="T60" s="1076"/>
      <c r="U60" s="1076"/>
      <c r="V60" s="1076"/>
      <c r="W60" s="1076"/>
      <c r="X60" s="1076"/>
      <c r="Y60" s="1076"/>
      <c r="Z60" s="1076"/>
      <c r="AA60" s="1076"/>
      <c r="AB60" s="1076"/>
      <c r="AC60" s="1076"/>
      <c r="AD60" s="1076"/>
      <c r="AE60" s="1076"/>
      <c r="AF60" s="1076"/>
      <c r="AG60" s="1079"/>
      <c r="AH60" s="1080"/>
      <c r="AI60" s="1080"/>
      <c r="AJ60" s="1081"/>
    </row>
    <row r="61" spans="1:36" ht="25.5" hidden="1" customHeight="1" x14ac:dyDescent="0.2">
      <c r="A61" s="1084">
        <v>13</v>
      </c>
      <c r="B61" s="1085" t="s">
        <v>5364</v>
      </c>
      <c r="C61" s="1085" t="s">
        <v>5365</v>
      </c>
      <c r="D61" s="1087">
        <f>D59*0.02</f>
        <v>12.7</v>
      </c>
      <c r="E61" s="1087">
        <f>E59*0.02</f>
        <v>25.36</v>
      </c>
      <c r="F61" s="1087">
        <f>F59*0.02</f>
        <v>349.62</v>
      </c>
      <c r="G61" s="1087">
        <f>G59*0.02</f>
        <v>50.18</v>
      </c>
      <c r="H61" s="1087">
        <f t="shared" si="35"/>
        <v>437.86</v>
      </c>
      <c r="I61" s="1088"/>
      <c r="J61" s="1076"/>
      <c r="K61" s="1076"/>
      <c r="L61" s="1076"/>
      <c r="M61" s="1076"/>
      <c r="N61" s="1076"/>
      <c r="O61" s="1076"/>
      <c r="P61" s="1076"/>
      <c r="Q61" s="1076"/>
      <c r="R61" s="1076"/>
      <c r="S61" s="1076"/>
      <c r="T61" s="1076"/>
      <c r="U61" s="1076"/>
      <c r="V61" s="1076"/>
      <c r="W61" s="1076"/>
      <c r="X61" s="1076"/>
      <c r="Y61" s="1076"/>
      <c r="Z61" s="1076"/>
      <c r="AA61" s="1076"/>
      <c r="AB61" s="1076"/>
      <c r="AC61" s="1076"/>
      <c r="AD61" s="1076"/>
      <c r="AE61" s="1076"/>
      <c r="AF61" s="1076"/>
      <c r="AG61" s="1079"/>
      <c r="AH61" s="1080"/>
      <c r="AI61" s="1080"/>
      <c r="AJ61" s="1081"/>
    </row>
    <row r="62" spans="1:36" ht="22.15" hidden="1" customHeight="1" x14ac:dyDescent="0.2">
      <c r="A62" s="1095"/>
      <c r="B62" s="1096" t="s">
        <v>747</v>
      </c>
      <c r="C62" s="1097"/>
      <c r="D62" s="1099">
        <f>D61</f>
        <v>12.7</v>
      </c>
      <c r="E62" s="1099">
        <f>E61</f>
        <v>25.36</v>
      </c>
      <c r="F62" s="1099">
        <f>F61</f>
        <v>349.62</v>
      </c>
      <c r="G62" s="1099">
        <f>G61</f>
        <v>50.18</v>
      </c>
      <c r="H62" s="1099">
        <f t="shared" si="35"/>
        <v>437.86</v>
      </c>
      <c r="I62" s="1076"/>
      <c r="J62" s="1076"/>
      <c r="K62" s="1076"/>
      <c r="L62" s="1076"/>
      <c r="M62" s="1076"/>
      <c r="N62" s="1076"/>
      <c r="O62" s="1076"/>
      <c r="P62" s="1076"/>
      <c r="Q62" s="1076"/>
      <c r="R62" s="1076"/>
      <c r="S62" s="1076"/>
      <c r="T62" s="1076"/>
      <c r="U62" s="1076"/>
      <c r="V62" s="1076"/>
      <c r="W62" s="1076"/>
      <c r="X62" s="1076"/>
      <c r="Y62" s="1076"/>
      <c r="Z62" s="1076"/>
      <c r="AA62" s="1076"/>
      <c r="AB62" s="1076"/>
      <c r="AC62" s="1076"/>
      <c r="AD62" s="1076"/>
      <c r="AE62" s="1076"/>
      <c r="AF62" s="1076"/>
      <c r="AG62" s="1079"/>
      <c r="AH62" s="1080"/>
      <c r="AI62" s="1080"/>
      <c r="AJ62" s="1081"/>
    </row>
    <row r="63" spans="1:36" ht="41.25" customHeight="1" x14ac:dyDescent="0.2">
      <c r="A63" s="1095"/>
      <c r="B63" s="1117" t="s">
        <v>5366</v>
      </c>
      <c r="C63" s="1097"/>
      <c r="D63" s="1099">
        <f>D59+D62</f>
        <v>647.80999999999995</v>
      </c>
      <c r="E63" s="1099">
        <f>E59+E62</f>
        <v>1293.3499999999999</v>
      </c>
      <c r="F63" s="1099">
        <f>F59+F62</f>
        <v>17830.38</v>
      </c>
      <c r="G63" s="1099">
        <f>G59+G62</f>
        <v>2559.35</v>
      </c>
      <c r="H63" s="1099">
        <f t="shared" si="35"/>
        <v>22330.89</v>
      </c>
      <c r="I63" s="1118">
        <f t="shared" ref="I63:AC63" si="37">SUM(I13:I62)</f>
        <v>12936.82</v>
      </c>
      <c r="J63" s="1118">
        <f t="shared" si="37"/>
        <v>69573.440000000002</v>
      </c>
      <c r="K63" s="1118">
        <f t="shared" si="37"/>
        <v>297.57</v>
      </c>
      <c r="L63" s="1118">
        <f t="shared" si="37"/>
        <v>87.29</v>
      </c>
      <c r="M63" s="1118">
        <f t="shared" ref="M63:AB63" si="38">M17+M18+M19+M20+M21+M22+M23+M24+M25+M26+M27+M28+M29+M30+M31+M32+M33</f>
        <v>569.09</v>
      </c>
      <c r="N63" s="1118">
        <f t="shared" si="38"/>
        <v>155.83000000000001</v>
      </c>
      <c r="O63" s="1118">
        <f t="shared" si="38"/>
        <v>2.63</v>
      </c>
      <c r="P63" s="1118">
        <f t="shared" si="38"/>
        <v>461.01</v>
      </c>
      <c r="Q63" s="1118">
        <f t="shared" si="38"/>
        <v>83514.59</v>
      </c>
      <c r="R63" s="1118">
        <f t="shared" si="38"/>
        <v>2976.28</v>
      </c>
      <c r="S63" s="1118">
        <f t="shared" si="38"/>
        <v>4578.68</v>
      </c>
      <c r="T63" s="1118">
        <f t="shared" si="38"/>
        <v>1706.59</v>
      </c>
      <c r="U63" s="1118">
        <f t="shared" si="38"/>
        <v>752.29</v>
      </c>
      <c r="V63" s="1118">
        <f t="shared" si="38"/>
        <v>10013.84</v>
      </c>
      <c r="W63" s="1118">
        <f t="shared" si="38"/>
        <v>4820.83</v>
      </c>
      <c r="X63" s="1118">
        <f t="shared" si="38"/>
        <v>98349.26</v>
      </c>
      <c r="Y63" s="1118">
        <f t="shared" si="38"/>
        <v>1966.99</v>
      </c>
      <c r="Z63" s="1118">
        <f t="shared" si="38"/>
        <v>100316.25</v>
      </c>
      <c r="AA63" s="1118">
        <f t="shared" si="38"/>
        <v>20063.259999999998</v>
      </c>
      <c r="AB63" s="1118">
        <f t="shared" si="38"/>
        <v>120379.51</v>
      </c>
      <c r="AC63" s="1118">
        <f t="shared" si="37"/>
        <v>-53.57</v>
      </c>
      <c r="AD63" s="1118">
        <f>SUM(AD12:AD62)</f>
        <v>93079.41</v>
      </c>
      <c r="AE63" s="1118">
        <f>SUM(AE12:AE62)</f>
        <v>95161.68</v>
      </c>
      <c r="AF63" s="1119">
        <f>SUM(AF12:AF62)</f>
        <v>95944109</v>
      </c>
      <c r="AG63" s="1119">
        <f>SUM(AG12:AG62)</f>
        <v>98090623</v>
      </c>
      <c r="AH63" s="1080"/>
      <c r="AI63" s="1080"/>
      <c r="AJ63" s="1081"/>
    </row>
    <row r="64" spans="1:36" ht="40.5" customHeight="1" outlineLevel="1" x14ac:dyDescent="0.2">
      <c r="A64" s="1120" t="s">
        <v>5367</v>
      </c>
      <c r="B64" s="1121"/>
      <c r="C64" s="1121"/>
      <c r="D64" s="1121"/>
      <c r="E64" s="1121"/>
      <c r="F64" s="1121"/>
      <c r="G64" s="1121"/>
      <c r="H64" s="1122"/>
      <c r="I64" s="1123">
        <f t="shared" ref="I64:W64" si="39">I63*1.02</f>
        <v>13195.56</v>
      </c>
      <c r="J64" s="1123">
        <f t="shared" si="39"/>
        <v>70964.91</v>
      </c>
      <c r="K64" s="1123">
        <f t="shared" si="39"/>
        <v>303.52</v>
      </c>
      <c r="L64" s="1123">
        <f t="shared" si="39"/>
        <v>89.04</v>
      </c>
      <c r="M64" s="1123">
        <f t="shared" si="39"/>
        <v>580.47</v>
      </c>
      <c r="N64" s="1123">
        <f t="shared" si="39"/>
        <v>158.94999999999999</v>
      </c>
      <c r="O64" s="1123">
        <f t="shared" si="39"/>
        <v>2.68</v>
      </c>
      <c r="P64" s="1123">
        <f t="shared" si="39"/>
        <v>470.23</v>
      </c>
      <c r="Q64" s="1123">
        <f t="shared" si="39"/>
        <v>85184.88</v>
      </c>
      <c r="R64" s="1123">
        <f t="shared" si="39"/>
        <v>3035.81</v>
      </c>
      <c r="S64" s="1123">
        <f t="shared" si="39"/>
        <v>4670.25</v>
      </c>
      <c r="T64" s="1123">
        <f t="shared" si="39"/>
        <v>1740.72</v>
      </c>
      <c r="U64" s="1123">
        <f t="shared" si="39"/>
        <v>767.34</v>
      </c>
      <c r="V64" s="1123">
        <f t="shared" si="39"/>
        <v>10214.120000000001</v>
      </c>
      <c r="W64" s="1123">
        <f t="shared" si="39"/>
        <v>4917.25</v>
      </c>
      <c r="X64" s="1124"/>
      <c r="Y64" s="1124"/>
      <c r="Z64" s="1124"/>
      <c r="AA64" s="1124"/>
      <c r="AB64" s="1124"/>
      <c r="AC64" s="1123"/>
      <c r="AD64" s="1123"/>
      <c r="AE64" s="1124"/>
      <c r="AF64" s="1124"/>
      <c r="AG64" s="1080"/>
    </row>
    <row r="65" spans="1:33" ht="58.5" customHeight="1" outlineLevel="1" x14ac:dyDescent="0.2">
      <c r="A65" s="1073">
        <v>14</v>
      </c>
      <c r="B65" s="1125" t="s">
        <v>5368</v>
      </c>
      <c r="C65" s="1125" t="s">
        <v>5282</v>
      </c>
      <c r="D65" s="1125"/>
      <c r="E65" s="1125"/>
      <c r="F65" s="1125"/>
      <c r="G65" s="1126">
        <f>ROUND(G12*4.23*1.266*1.02,2)</f>
        <v>158.94999999999999</v>
      </c>
      <c r="H65" s="1126">
        <f t="shared" si="35"/>
        <v>158.94999999999999</v>
      </c>
      <c r="I65" s="1127"/>
      <c r="J65" s="1127"/>
      <c r="K65" s="1124"/>
      <c r="L65" s="1124"/>
      <c r="M65" s="1124"/>
      <c r="N65" s="1124"/>
      <c r="O65" s="1124"/>
      <c r="P65" s="1124"/>
      <c r="Q65" s="1124"/>
      <c r="R65" s="1124"/>
      <c r="S65" s="1124"/>
      <c r="T65" s="1124"/>
      <c r="U65" s="1124"/>
      <c r="V65" s="1124"/>
      <c r="W65" s="1124"/>
      <c r="X65" s="1124"/>
      <c r="Y65" s="1124"/>
      <c r="Z65" s="1124"/>
      <c r="AA65" s="1124"/>
      <c r="AB65" s="1124"/>
      <c r="AC65" s="1124"/>
      <c r="AD65" s="1124"/>
      <c r="AE65" s="1124"/>
      <c r="AF65" s="1124"/>
      <c r="AG65" s="1080"/>
    </row>
    <row r="66" spans="1:33" ht="49.5" customHeight="1" outlineLevel="1" x14ac:dyDescent="0.2">
      <c r="A66" s="1073">
        <v>15</v>
      </c>
      <c r="B66" s="1125" t="s">
        <v>5368</v>
      </c>
      <c r="C66" s="1125" t="s">
        <v>5369</v>
      </c>
      <c r="D66" s="1125">
        <f>ROUND(D63*7,2)</f>
        <v>4534.67</v>
      </c>
      <c r="E66" s="1125"/>
      <c r="F66" s="1125"/>
      <c r="G66" s="1125"/>
      <c r="H66" s="1126">
        <f t="shared" si="35"/>
        <v>4534.67</v>
      </c>
      <c r="I66" s="1127"/>
      <c r="J66" s="1127"/>
      <c r="K66" s="1124"/>
      <c r="L66" s="1124"/>
      <c r="M66" s="1124"/>
      <c r="N66" s="1124"/>
      <c r="O66" s="1124"/>
      <c r="P66" s="1124"/>
      <c r="Q66" s="1124"/>
      <c r="R66" s="1124"/>
      <c r="S66" s="1124"/>
      <c r="T66" s="1124"/>
      <c r="U66" s="1124"/>
      <c r="V66" s="1124"/>
      <c r="W66" s="1124"/>
      <c r="X66" s="1124"/>
      <c r="Y66" s="1124"/>
      <c r="Z66" s="1124"/>
      <c r="AA66" s="1124"/>
      <c r="AB66" s="1124"/>
      <c r="AC66" s="1124"/>
      <c r="AD66" s="1124"/>
      <c r="AE66" s="1124"/>
      <c r="AF66" s="1124"/>
      <c r="AG66" s="1080"/>
    </row>
    <row r="67" spans="1:33" ht="51" outlineLevel="1" x14ac:dyDescent="0.2">
      <c r="A67" s="1073">
        <v>16</v>
      </c>
      <c r="B67" s="1125" t="s">
        <v>5368</v>
      </c>
      <c r="C67" s="1125" t="s">
        <v>5370</v>
      </c>
      <c r="D67" s="1125"/>
      <c r="E67" s="1125">
        <f>ROUND(E63*7,2)</f>
        <v>9053.4500000000007</v>
      </c>
      <c r="F67" s="1125"/>
      <c r="G67" s="1125"/>
      <c r="H67" s="1126">
        <f t="shared" si="35"/>
        <v>9053.4500000000007</v>
      </c>
      <c r="I67" s="1124"/>
      <c r="J67" s="1124"/>
      <c r="K67" s="1124"/>
      <c r="L67" s="1124"/>
      <c r="M67" s="1124"/>
      <c r="N67" s="1124"/>
      <c r="O67" s="1124"/>
      <c r="P67" s="1124"/>
      <c r="Q67" s="1124"/>
      <c r="R67" s="1124"/>
      <c r="S67" s="1124"/>
      <c r="T67" s="1124"/>
      <c r="U67" s="1124"/>
      <c r="V67" s="1124"/>
      <c r="W67" s="1124"/>
      <c r="X67" s="1124"/>
      <c r="Y67" s="1124"/>
      <c r="Z67" s="1124"/>
      <c r="AA67" s="1124"/>
      <c r="AB67" s="1124"/>
      <c r="AC67" s="1124"/>
      <c r="AD67" s="1124"/>
      <c r="AE67" s="1124"/>
      <c r="AF67" s="1124"/>
      <c r="AG67" s="1080"/>
    </row>
    <row r="68" spans="1:33" ht="51" outlineLevel="1" x14ac:dyDescent="0.2">
      <c r="A68" s="1073">
        <v>17</v>
      </c>
      <c r="B68" s="1085" t="s">
        <v>5371</v>
      </c>
      <c r="C68" s="1125" t="s">
        <v>5372</v>
      </c>
      <c r="D68" s="1125"/>
      <c r="E68" s="1125"/>
      <c r="F68" s="1126">
        <f>ROUND(F63*3.98,2)</f>
        <v>70964.91</v>
      </c>
      <c r="G68" s="1125"/>
      <c r="H68" s="1126">
        <f t="shared" si="35"/>
        <v>70964.91</v>
      </c>
      <c r="I68" s="1124"/>
      <c r="J68" s="1124"/>
      <c r="K68" s="1124"/>
      <c r="L68" s="1124"/>
      <c r="M68" s="1124"/>
      <c r="N68" s="1124"/>
      <c r="O68" s="1124"/>
      <c r="P68" s="1124"/>
      <c r="Q68" s="1124"/>
      <c r="R68" s="1124"/>
      <c r="S68" s="1124"/>
      <c r="T68" s="1124"/>
      <c r="U68" s="1124"/>
      <c r="V68" s="1124"/>
      <c r="W68" s="1124"/>
      <c r="X68" s="1124"/>
      <c r="Y68" s="1124"/>
      <c r="Z68" s="1124"/>
      <c r="AA68" s="1124"/>
      <c r="AB68" s="1124"/>
      <c r="AC68" s="1124"/>
      <c r="AD68" s="1124"/>
      <c r="AE68" s="1124"/>
      <c r="AF68" s="1124"/>
      <c r="AG68" s="1080"/>
    </row>
    <row r="69" spans="1:33" ht="12.75" customHeight="1" outlineLevel="1" x14ac:dyDescent="0.2">
      <c r="A69" s="1073">
        <v>18</v>
      </c>
      <c r="B69" s="1085" t="s">
        <v>5371</v>
      </c>
      <c r="C69" s="1085" t="s">
        <v>5373</v>
      </c>
      <c r="D69" s="1128"/>
      <c r="E69" s="1128"/>
      <c r="F69" s="1128"/>
      <c r="G69" s="1126">
        <f>ROUND(G47*10.51*1.02,2)</f>
        <v>2.68</v>
      </c>
      <c r="H69" s="1126">
        <f t="shared" si="35"/>
        <v>2.68</v>
      </c>
      <c r="I69" s="1127"/>
      <c r="J69" s="1127"/>
      <c r="K69" s="1124"/>
      <c r="L69" s="1124"/>
      <c r="M69" s="1124"/>
      <c r="N69" s="1124"/>
      <c r="O69" s="1124"/>
      <c r="P69" s="1124"/>
      <c r="Q69" s="1124"/>
      <c r="R69" s="1124"/>
      <c r="S69" s="1124"/>
      <c r="T69" s="1124"/>
      <c r="U69" s="1124"/>
      <c r="V69" s="1124"/>
      <c r="W69" s="1124"/>
      <c r="X69" s="1124"/>
      <c r="Y69" s="1124"/>
      <c r="Z69" s="1124"/>
      <c r="AA69" s="1124"/>
      <c r="AB69" s="1124"/>
      <c r="AC69" s="1124"/>
      <c r="AD69" s="1124"/>
      <c r="AE69" s="1124"/>
      <c r="AF69" s="1124"/>
      <c r="AG69" s="1080"/>
    </row>
    <row r="70" spans="1:33" ht="51" outlineLevel="1" x14ac:dyDescent="0.2">
      <c r="A70" s="1073">
        <v>19</v>
      </c>
      <c r="B70" s="1085" t="s">
        <v>5371</v>
      </c>
      <c r="C70" s="1129" t="s">
        <v>5374</v>
      </c>
      <c r="D70" s="1128"/>
      <c r="E70" s="1128"/>
      <c r="F70" s="1128"/>
      <c r="G70" s="1130">
        <f>G51*10.51*1.02</f>
        <v>4917.25</v>
      </c>
      <c r="H70" s="1126">
        <f t="shared" si="35"/>
        <v>4917.25</v>
      </c>
      <c r="I70" s="1124"/>
      <c r="J70" s="1124"/>
      <c r="K70" s="1124"/>
      <c r="L70" s="1124"/>
      <c r="M70" s="1124"/>
      <c r="N70" s="1124"/>
      <c r="O70" s="1124"/>
      <c r="P70" s="1124"/>
      <c r="Q70" s="1124"/>
      <c r="R70" s="1124"/>
      <c r="S70" s="1124"/>
      <c r="T70" s="1124"/>
      <c r="U70" s="1124"/>
      <c r="V70" s="1124"/>
      <c r="W70" s="1124"/>
      <c r="X70" s="1124"/>
      <c r="Y70" s="1124"/>
      <c r="Z70" s="1124"/>
      <c r="AA70" s="1124"/>
      <c r="AB70" s="1124"/>
      <c r="AC70" s="1124"/>
      <c r="AD70" s="1124"/>
      <c r="AE70" s="1124"/>
      <c r="AF70" s="1124"/>
      <c r="AG70" s="1080"/>
    </row>
    <row r="71" spans="1:33" ht="38.25" outlineLevel="1" x14ac:dyDescent="0.2">
      <c r="A71" s="1073">
        <v>20</v>
      </c>
      <c r="B71" s="1085" t="s">
        <v>5375</v>
      </c>
      <c r="C71" s="1129" t="s">
        <v>5376</v>
      </c>
      <c r="D71" s="1128"/>
      <c r="E71" s="1128"/>
      <c r="F71" s="1128"/>
      <c r="G71" s="1130">
        <f>G54*1.19*4.15*1.02</f>
        <v>3035.81</v>
      </c>
      <c r="H71" s="1126">
        <f t="shared" si="35"/>
        <v>3035.81</v>
      </c>
      <c r="I71" s="1124"/>
      <c r="J71" s="1124"/>
      <c r="K71" s="1124"/>
      <c r="L71" s="1124"/>
      <c r="M71" s="1124"/>
      <c r="N71" s="1124"/>
      <c r="O71" s="1124"/>
      <c r="P71" s="1124"/>
      <c r="Q71" s="1124"/>
      <c r="R71" s="1124"/>
      <c r="S71" s="1124"/>
      <c r="T71" s="1124"/>
      <c r="U71" s="1124"/>
      <c r="V71" s="1124"/>
      <c r="W71" s="1124"/>
      <c r="X71" s="1124"/>
      <c r="Y71" s="1124"/>
      <c r="Z71" s="1124"/>
      <c r="AA71" s="1124"/>
      <c r="AB71" s="1124"/>
      <c r="AC71" s="1124"/>
      <c r="AD71" s="1124"/>
      <c r="AE71" s="1124"/>
      <c r="AF71" s="1124"/>
      <c r="AG71" s="1080"/>
    </row>
    <row r="72" spans="1:33" ht="28.15" customHeight="1" outlineLevel="1" x14ac:dyDescent="0.2">
      <c r="A72" s="1073">
        <v>21</v>
      </c>
      <c r="B72" s="1085" t="s">
        <v>5375</v>
      </c>
      <c r="C72" s="1129" t="s">
        <v>5377</v>
      </c>
      <c r="D72" s="1128"/>
      <c r="E72" s="1128"/>
      <c r="F72" s="1128"/>
      <c r="G72" s="1130">
        <f>G55*1.19*4.15*1.02</f>
        <v>4670.25</v>
      </c>
      <c r="H72" s="1131">
        <f t="shared" si="35"/>
        <v>4670.25</v>
      </c>
      <c r="I72" s="1127"/>
      <c r="J72" s="1127"/>
      <c r="K72" s="1124"/>
      <c r="L72" s="1124"/>
      <c r="M72" s="1124"/>
      <c r="N72" s="1124"/>
      <c r="O72" s="1124"/>
      <c r="P72" s="1124"/>
      <c r="Q72" s="1124"/>
      <c r="R72" s="1124"/>
      <c r="S72" s="1124"/>
      <c r="T72" s="1124"/>
      <c r="U72" s="1124"/>
      <c r="V72" s="1124"/>
      <c r="W72" s="1124"/>
      <c r="X72" s="1124"/>
      <c r="Y72" s="1124"/>
      <c r="Z72" s="1124"/>
      <c r="AA72" s="1124"/>
      <c r="AB72" s="1124"/>
      <c r="AC72" s="1124"/>
      <c r="AD72" s="1124"/>
      <c r="AE72" s="1124"/>
      <c r="AF72" s="1124"/>
      <c r="AG72" s="1080"/>
    </row>
    <row r="73" spans="1:33" ht="38.25" outlineLevel="1" x14ac:dyDescent="0.2">
      <c r="A73" s="1073">
        <v>22</v>
      </c>
      <c r="B73" s="1085" t="s">
        <v>5375</v>
      </c>
      <c r="C73" s="1129" t="s">
        <v>5378</v>
      </c>
      <c r="D73" s="1128"/>
      <c r="E73" s="1128"/>
      <c r="F73" s="1128"/>
      <c r="G73" s="1130">
        <f>G56*1.266*4.23*1.02</f>
        <v>1740.72</v>
      </c>
      <c r="H73" s="1126">
        <f t="shared" si="35"/>
        <v>1740.72</v>
      </c>
      <c r="I73" s="1124"/>
      <c r="J73" s="1124"/>
      <c r="K73" s="1124"/>
      <c r="L73" s="1124"/>
      <c r="M73" s="1124"/>
      <c r="N73" s="1124"/>
      <c r="O73" s="1124"/>
      <c r="P73" s="1124"/>
      <c r="Q73" s="1124"/>
      <c r="R73" s="1124"/>
      <c r="S73" s="1124"/>
      <c r="T73" s="1124"/>
      <c r="U73" s="1124"/>
      <c r="V73" s="1124"/>
      <c r="W73" s="1124"/>
      <c r="X73" s="1124"/>
      <c r="Y73" s="1124"/>
      <c r="Z73" s="1124"/>
      <c r="AA73" s="1124"/>
      <c r="AB73" s="1124"/>
      <c r="AC73" s="1124"/>
      <c r="AD73" s="1124"/>
      <c r="AE73" s="1124"/>
      <c r="AF73" s="1124"/>
      <c r="AG73" s="1080"/>
    </row>
    <row r="74" spans="1:33" ht="42" customHeight="1" outlineLevel="1" x14ac:dyDescent="0.2">
      <c r="A74" s="1073">
        <v>23</v>
      </c>
      <c r="B74" s="1085" t="s">
        <v>5361</v>
      </c>
      <c r="C74" s="1129" t="s">
        <v>5379</v>
      </c>
      <c r="D74" s="1128"/>
      <c r="E74" s="1128"/>
      <c r="F74" s="1128"/>
      <c r="G74" s="1130">
        <f>G57*5.29*1.02</f>
        <v>767.34</v>
      </c>
      <c r="H74" s="1126">
        <f t="shared" si="35"/>
        <v>767.34</v>
      </c>
      <c r="I74" s="1127"/>
      <c r="J74" s="1127"/>
      <c r="K74" s="1124"/>
      <c r="L74" s="1124"/>
      <c r="M74" s="1124"/>
      <c r="N74" s="1124"/>
      <c r="O74" s="1124"/>
      <c r="P74" s="1124"/>
      <c r="Q74" s="1124"/>
      <c r="R74" s="1124"/>
      <c r="S74" s="1124"/>
      <c r="T74" s="1124"/>
      <c r="U74" s="1124"/>
      <c r="V74" s="1124"/>
      <c r="W74" s="1124"/>
      <c r="X74" s="1124"/>
      <c r="Y74" s="1124"/>
      <c r="Z74" s="1124"/>
      <c r="AA74" s="1124"/>
      <c r="AB74" s="1124"/>
      <c r="AC74" s="1124"/>
      <c r="AD74" s="1124"/>
      <c r="AE74" s="1124"/>
      <c r="AF74" s="1124"/>
      <c r="AG74" s="1080"/>
    </row>
    <row r="75" spans="1:33" ht="51" outlineLevel="1" x14ac:dyDescent="0.2">
      <c r="A75" s="1073">
        <v>24</v>
      </c>
      <c r="B75" s="1085" t="s">
        <v>5368</v>
      </c>
      <c r="C75" s="1129" t="s">
        <v>5380</v>
      </c>
      <c r="D75" s="1128"/>
      <c r="E75" s="1128"/>
      <c r="F75" s="1128"/>
      <c r="G75" s="1130">
        <f>ROUND(30.43*15.15*1.02,2)</f>
        <v>470.23</v>
      </c>
      <c r="H75" s="1126">
        <f t="shared" si="35"/>
        <v>470.23</v>
      </c>
      <c r="I75" s="1124"/>
      <c r="J75" s="1124"/>
      <c r="K75" s="1124"/>
      <c r="L75" s="1124"/>
      <c r="M75" s="1124"/>
      <c r="N75" s="1124"/>
      <c r="O75" s="1124"/>
      <c r="P75" s="1124"/>
      <c r="Q75" s="1124"/>
      <c r="R75" s="1124"/>
      <c r="S75" s="1124"/>
      <c r="T75" s="1124"/>
      <c r="U75" s="1124"/>
      <c r="V75" s="1124"/>
      <c r="W75" s="1124"/>
      <c r="X75" s="1124"/>
      <c r="Y75" s="1124"/>
      <c r="Z75" s="1124"/>
      <c r="AA75" s="1124"/>
      <c r="AB75" s="1124"/>
      <c r="AC75" s="1124"/>
      <c r="AD75" s="1124"/>
      <c r="AE75" s="1124"/>
      <c r="AF75" s="1124"/>
      <c r="AG75" s="1080"/>
    </row>
    <row r="76" spans="1:33" ht="28.15" customHeight="1" outlineLevel="1" x14ac:dyDescent="0.2">
      <c r="A76" s="1132">
        <v>25</v>
      </c>
      <c r="B76" s="1133" t="s">
        <v>4339</v>
      </c>
      <c r="C76" s="1133" t="s">
        <v>5381</v>
      </c>
      <c r="D76" s="1099">
        <f>SUM(D65:D75)</f>
        <v>4534.67</v>
      </c>
      <c r="E76" s="1099">
        <f t="shared" ref="E76:F76" si="40">SUM(E65:E75)</f>
        <v>9053.4500000000007</v>
      </c>
      <c r="F76" s="1099">
        <f t="shared" si="40"/>
        <v>70964.91</v>
      </c>
      <c r="G76" s="1099">
        <f>SUM(G65:G75)</f>
        <v>15763.23</v>
      </c>
      <c r="H76" s="1099">
        <f t="shared" si="35"/>
        <v>100316.26</v>
      </c>
      <c r="I76" s="1134"/>
      <c r="J76" s="1134"/>
      <c r="K76" s="1124"/>
      <c r="L76" s="1124"/>
      <c r="M76" s="1124"/>
      <c r="N76" s="1124"/>
      <c r="O76" s="1124"/>
      <c r="P76" s="1124"/>
      <c r="Q76" s="1124"/>
      <c r="R76" s="1124"/>
      <c r="S76" s="1124"/>
      <c r="T76" s="1124"/>
      <c r="U76" s="1124"/>
      <c r="V76" s="1124"/>
      <c r="W76" s="1124"/>
      <c r="X76" s="1124"/>
      <c r="Y76" s="1124"/>
      <c r="Z76" s="1124"/>
      <c r="AA76" s="1124"/>
      <c r="AB76" s="1124"/>
      <c r="AC76" s="1124"/>
      <c r="AD76" s="1124"/>
      <c r="AE76" s="1124"/>
      <c r="AF76" s="1124"/>
      <c r="AG76" s="1080"/>
    </row>
    <row r="77" spans="1:33" ht="142.5" customHeight="1" outlineLevel="1" x14ac:dyDescent="0.2">
      <c r="A77" s="1132">
        <v>26</v>
      </c>
      <c r="B77" s="1085" t="s">
        <v>5382</v>
      </c>
      <c r="C77" s="1085" t="s">
        <v>751</v>
      </c>
      <c r="D77" s="1087">
        <f>ROUND(D76*0.2,2)</f>
        <v>906.93</v>
      </c>
      <c r="E77" s="1087">
        <f t="shared" ref="E77:G77" si="41">ROUND(E76*0.2,2)</f>
        <v>1810.69</v>
      </c>
      <c r="F77" s="1087">
        <f t="shared" si="41"/>
        <v>14192.98</v>
      </c>
      <c r="G77" s="1087">
        <f t="shared" si="41"/>
        <v>3152.65</v>
      </c>
      <c r="H77" s="1087">
        <f>SUM(D77:G77)</f>
        <v>20063.25</v>
      </c>
      <c r="I77" s="1134"/>
      <c r="J77" s="1134"/>
      <c r="K77" s="1124"/>
      <c r="L77" s="1124"/>
      <c r="M77" s="1124"/>
      <c r="N77" s="1124"/>
      <c r="O77" s="1124"/>
      <c r="P77" s="1124"/>
      <c r="Q77" s="1124"/>
      <c r="R77" s="1124"/>
      <c r="S77" s="1124"/>
      <c r="T77" s="1124"/>
      <c r="U77" s="1124"/>
      <c r="V77" s="1124"/>
      <c r="W77" s="1124"/>
      <c r="X77" s="1124"/>
      <c r="Y77" s="1124"/>
      <c r="Z77" s="1124"/>
      <c r="AA77" s="1124"/>
      <c r="AB77" s="1124"/>
      <c r="AC77" s="1124"/>
      <c r="AD77" s="1124"/>
      <c r="AE77" s="1124"/>
      <c r="AF77" s="1124"/>
      <c r="AG77" s="1080"/>
    </row>
    <row r="78" spans="1:33" outlineLevel="1" x14ac:dyDescent="0.2">
      <c r="A78" s="1135">
        <v>27</v>
      </c>
      <c r="B78" s="1136" t="s">
        <v>4339</v>
      </c>
      <c r="C78" s="1136" t="s">
        <v>753</v>
      </c>
      <c r="D78" s="1137">
        <f>D76+D77</f>
        <v>5441.6</v>
      </c>
      <c r="E78" s="1137">
        <f t="shared" ref="E78:G78" si="42">E76+E77</f>
        <v>10864.14</v>
      </c>
      <c r="F78" s="1137">
        <f t="shared" si="42"/>
        <v>85157.89</v>
      </c>
      <c r="G78" s="1137">
        <f t="shared" si="42"/>
        <v>18915.88</v>
      </c>
      <c r="H78" s="1137">
        <f>SUM(D78:G78)</f>
        <v>120379.51</v>
      </c>
      <c r="I78" s="1134"/>
      <c r="J78" s="1134"/>
      <c r="K78" s="1124"/>
      <c r="L78" s="1124"/>
      <c r="M78" s="1124"/>
      <c r="N78" s="1124"/>
      <c r="O78" s="1124"/>
      <c r="P78" s="1124"/>
      <c r="Q78" s="1124"/>
      <c r="R78" s="1124"/>
      <c r="S78" s="1124"/>
      <c r="T78" s="1124"/>
      <c r="U78" s="1124"/>
      <c r="V78" s="1124"/>
      <c r="W78" s="1124"/>
      <c r="X78" s="1124"/>
      <c r="Y78" s="1124"/>
      <c r="Z78" s="1124"/>
      <c r="AA78" s="1124"/>
      <c r="AB78" s="1124"/>
      <c r="AC78" s="1124"/>
      <c r="AD78" s="1124"/>
      <c r="AE78" s="1124"/>
      <c r="AF78" s="1124"/>
      <c r="AG78" s="1080"/>
    </row>
    <row r="79" spans="1:33" ht="12.75" customHeight="1" outlineLevel="1" x14ac:dyDescent="0.2">
      <c r="A79" s="1138" t="s">
        <v>5383</v>
      </c>
      <c r="B79" s="1125"/>
      <c r="C79" s="1125"/>
      <c r="D79" s="1125"/>
      <c r="E79" s="1125"/>
      <c r="F79" s="1125"/>
      <c r="G79" s="1125"/>
      <c r="H79" s="1125"/>
      <c r="I79" s="1125"/>
      <c r="J79" s="1125"/>
      <c r="K79" s="1080"/>
      <c r="L79" s="1080"/>
      <c r="M79" s="1080"/>
      <c r="N79" s="1080"/>
      <c r="O79" s="1080"/>
      <c r="P79" s="1080"/>
      <c r="Q79" s="1080"/>
      <c r="R79" s="1080"/>
      <c r="S79" s="1080"/>
      <c r="T79" s="1080"/>
      <c r="U79" s="1080"/>
      <c r="V79" s="1080"/>
      <c r="W79" s="1080"/>
      <c r="X79" s="1080"/>
      <c r="Y79" s="1080"/>
      <c r="Z79" s="1080"/>
      <c r="AA79" s="1080"/>
      <c r="AB79" s="1080"/>
      <c r="AC79" s="1080"/>
      <c r="AD79" s="1080"/>
      <c r="AE79" s="1080"/>
      <c r="AF79" s="1080"/>
      <c r="AG79" s="1080"/>
    </row>
    <row r="80" spans="1:33" ht="25.5" outlineLevel="1" x14ac:dyDescent="0.2">
      <c r="A80" s="1084">
        <v>28</v>
      </c>
      <c r="B80" s="1085" t="s">
        <v>5384</v>
      </c>
      <c r="C80" s="1085" t="s">
        <v>5385</v>
      </c>
      <c r="D80" s="1087">
        <f>ROUND(0.15*7*D37,2)</f>
        <v>14.9</v>
      </c>
      <c r="E80" s="1092">
        <f>ROUND(0.15*7*E37,2)</f>
        <v>29.74</v>
      </c>
      <c r="F80" s="1086"/>
      <c r="G80" s="1086"/>
      <c r="H80" s="1092">
        <f>E80+D80</f>
        <v>44.64</v>
      </c>
      <c r="I80" s="1139"/>
      <c r="J80" s="1139"/>
      <c r="K80" s="1080"/>
      <c r="L80" s="1080"/>
      <c r="M80" s="1080"/>
      <c r="N80" s="1080"/>
      <c r="O80" s="1080"/>
      <c r="P80" s="1080"/>
      <c r="Q80" s="1080"/>
      <c r="R80" s="1080"/>
      <c r="S80" s="1080"/>
      <c r="T80" s="1080"/>
      <c r="U80" s="1080"/>
      <c r="V80" s="1080"/>
      <c r="W80" s="1080"/>
      <c r="X80" s="1080"/>
      <c r="Y80" s="1080"/>
      <c r="Z80" s="1080"/>
      <c r="AA80" s="1080"/>
      <c r="AB80" s="1080"/>
      <c r="AC80" s="1080"/>
      <c r="AD80" s="1080"/>
      <c r="AE80" s="1080"/>
      <c r="AF80" s="1080"/>
      <c r="AG80" s="1080"/>
    </row>
    <row r="81" spans="1:8" outlineLevel="1" x14ac:dyDescent="0.2">
      <c r="A81" s="578"/>
      <c r="B81" s="578"/>
      <c r="C81" s="578"/>
      <c r="D81" s="578"/>
      <c r="E81" s="578"/>
      <c r="F81" s="578"/>
      <c r="G81" s="578"/>
      <c r="H81" s="578"/>
    </row>
    <row r="82" spans="1:8" outlineLevel="1" x14ac:dyDescent="0.2">
      <c r="A82" s="578"/>
      <c r="B82" s="578"/>
      <c r="C82" s="578"/>
      <c r="D82" s="578"/>
      <c r="E82" s="578"/>
      <c r="F82" s="578"/>
      <c r="G82" s="578"/>
      <c r="H82" s="578"/>
    </row>
    <row r="83" spans="1:8" ht="13.15" customHeight="1" outlineLevel="1" x14ac:dyDescent="0.2">
      <c r="A83" s="578"/>
      <c r="B83" s="578"/>
      <c r="C83" s="578"/>
      <c r="D83" s="578"/>
      <c r="E83" s="578"/>
      <c r="F83" s="578"/>
      <c r="G83" s="578"/>
      <c r="H83" s="578"/>
    </row>
    <row r="84" spans="1:8" ht="15.75" outlineLevel="1" x14ac:dyDescent="0.2">
      <c r="A84" s="590" t="s">
        <v>5386</v>
      </c>
      <c r="B84" s="590"/>
      <c r="C84" s="590"/>
      <c r="D84" s="590"/>
      <c r="E84" s="590"/>
      <c r="F84" s="590"/>
      <c r="G84" s="590"/>
      <c r="H84" s="590"/>
    </row>
    <row r="85" spans="1:8" outlineLevel="1" x14ac:dyDescent="0.2">
      <c r="A85" s="1140"/>
      <c r="B85" s="1141"/>
      <c r="C85" s="1141"/>
      <c r="D85" s="1142"/>
      <c r="E85" s="1142"/>
      <c r="F85" s="1142"/>
      <c r="G85" s="1142"/>
      <c r="H85" s="1142"/>
    </row>
    <row r="86" spans="1:8" ht="15.75" outlineLevel="1" x14ac:dyDescent="0.25">
      <c r="A86" s="1143" t="s">
        <v>5387</v>
      </c>
      <c r="B86" s="1143"/>
      <c r="C86" s="1143"/>
      <c r="D86" s="1143" t="s">
        <v>5388</v>
      </c>
      <c r="E86" s="1143"/>
      <c r="F86" s="1144"/>
      <c r="G86" s="1142"/>
      <c r="H86" s="1142"/>
    </row>
    <row r="87" spans="1:8" ht="15.75" outlineLevel="1" x14ac:dyDescent="0.25">
      <c r="A87" s="1143" t="s">
        <v>446</v>
      </c>
      <c r="B87" s="1143"/>
      <c r="C87" s="1143"/>
      <c r="D87" s="1145" t="s">
        <v>5389</v>
      </c>
      <c r="E87" s="1143"/>
      <c r="F87" s="1144"/>
      <c r="G87" s="1142"/>
      <c r="H87" s="1142"/>
    </row>
    <row r="88" spans="1:8" ht="15.75" outlineLevel="1" x14ac:dyDescent="0.25">
      <c r="A88" s="1143" t="s">
        <v>447</v>
      </c>
      <c r="B88" s="1143"/>
      <c r="C88" s="1143"/>
      <c r="D88" s="1145" t="s">
        <v>5390</v>
      </c>
      <c r="E88" s="1145"/>
      <c r="F88" s="1144"/>
      <c r="G88" s="1142"/>
      <c r="H88" s="1142"/>
    </row>
    <row r="89" spans="1:8" ht="15" outlineLevel="1" x14ac:dyDescent="0.25">
      <c r="A89" s="139"/>
      <c r="B89" s="139"/>
      <c r="C89" s="139"/>
      <c r="D89" s="139"/>
      <c r="E89" s="139"/>
      <c r="F89" s="1144"/>
      <c r="G89" s="1142"/>
      <c r="H89" s="1142"/>
    </row>
    <row r="90" spans="1:8" ht="15" outlineLevel="1" x14ac:dyDescent="0.25">
      <c r="A90" s="1146" t="s">
        <v>5391</v>
      </c>
      <c r="B90" s="1147"/>
      <c r="C90" s="1147"/>
      <c r="D90" s="1147"/>
      <c r="E90" s="1148"/>
      <c r="F90" s="1144"/>
      <c r="G90" s="1142"/>
      <c r="H90" s="1142"/>
    </row>
    <row r="91" spans="1:8" ht="15" outlineLevel="1" x14ac:dyDescent="0.25">
      <c r="A91" s="1149" t="s">
        <v>5392</v>
      </c>
      <c r="B91" s="1150"/>
      <c r="C91" s="1150"/>
      <c r="D91" s="1150"/>
      <c r="E91" s="1151"/>
      <c r="F91" s="1152"/>
      <c r="G91" s="1142"/>
      <c r="H91" s="1142"/>
    </row>
    <row r="92" spans="1:8" ht="60" outlineLevel="1" x14ac:dyDescent="0.25">
      <c r="A92" s="1153"/>
      <c r="B92" s="1154" t="s">
        <v>5393</v>
      </c>
      <c r="C92" s="1155" t="s">
        <v>5394</v>
      </c>
      <c r="D92" s="1155" t="s">
        <v>5395</v>
      </c>
      <c r="E92" s="1154" t="s">
        <v>5396</v>
      </c>
      <c r="F92" s="1152"/>
      <c r="G92" s="1142"/>
      <c r="H92" s="1142"/>
    </row>
    <row r="93" spans="1:8" ht="15" outlineLevel="1" x14ac:dyDescent="0.25">
      <c r="A93" s="1156">
        <v>1</v>
      </c>
      <c r="B93" s="1156">
        <v>105</v>
      </c>
      <c r="C93" s="1157">
        <v>3.5</v>
      </c>
      <c r="D93" s="1158">
        <f>(B93-100)/100*C93/12</f>
        <v>1.4999999999999999E-2</v>
      </c>
      <c r="E93" s="1159">
        <f>1+D93</f>
        <v>1.0149999999999999</v>
      </c>
      <c r="F93" s="1152"/>
      <c r="G93" s="1142"/>
      <c r="H93" s="1142"/>
    </row>
    <row r="94" spans="1:8" ht="15" outlineLevel="1" x14ac:dyDescent="0.25">
      <c r="A94" s="1149" t="s">
        <v>5392</v>
      </c>
      <c r="B94" s="1150"/>
      <c r="C94" s="1150"/>
      <c r="D94" s="1150"/>
      <c r="E94" s="1151"/>
      <c r="F94" s="1152"/>
      <c r="G94" s="1142"/>
      <c r="H94" s="1142"/>
    </row>
    <row r="95" spans="1:8" ht="60" outlineLevel="1" x14ac:dyDescent="0.25">
      <c r="A95" s="1153"/>
      <c r="B95" s="1154" t="s">
        <v>5397</v>
      </c>
      <c r="C95" s="1155" t="s">
        <v>5398</v>
      </c>
      <c r="D95" s="1155" t="s">
        <v>5399</v>
      </c>
      <c r="E95" s="1154" t="s">
        <v>5400</v>
      </c>
      <c r="F95" s="1152"/>
      <c r="G95" s="1142"/>
      <c r="H95" s="1142"/>
    </row>
    <row r="96" spans="1:8" ht="15" outlineLevel="1" x14ac:dyDescent="0.25">
      <c r="A96" s="1156">
        <v>2</v>
      </c>
      <c r="B96" s="1156">
        <v>105</v>
      </c>
      <c r="C96" s="1157">
        <v>2.5</v>
      </c>
      <c r="D96" s="1158">
        <f>(B96-100)/100*C96/12</f>
        <v>0.01</v>
      </c>
      <c r="E96" s="1159">
        <f>1+D96</f>
        <v>1.01</v>
      </c>
      <c r="F96" s="1152"/>
      <c r="G96" s="1142"/>
      <c r="H96" s="1142"/>
    </row>
    <row r="97" spans="1:8" ht="15" outlineLevel="1" x14ac:dyDescent="0.25">
      <c r="A97" s="1149" t="s">
        <v>5401</v>
      </c>
      <c r="B97" s="1150"/>
      <c r="C97" s="1150"/>
      <c r="D97" s="1150"/>
      <c r="E97" s="1151"/>
      <c r="F97" s="1152"/>
      <c r="G97" s="1142"/>
      <c r="H97" s="1142"/>
    </row>
    <row r="98" spans="1:8" ht="60" outlineLevel="1" x14ac:dyDescent="0.25">
      <c r="A98" s="1153"/>
      <c r="B98" s="1154" t="s">
        <v>5397</v>
      </c>
      <c r="C98" s="1155" t="s">
        <v>5402</v>
      </c>
      <c r="D98" s="1155" t="s">
        <v>5403</v>
      </c>
      <c r="E98" s="1160" t="s">
        <v>5404</v>
      </c>
      <c r="F98" s="1152"/>
      <c r="G98" s="1142"/>
      <c r="H98" s="1142"/>
    </row>
    <row r="99" spans="1:8" ht="15" outlineLevel="1" x14ac:dyDescent="0.25">
      <c r="A99" s="1156">
        <v>3</v>
      </c>
      <c r="B99" s="1156">
        <v>105.1</v>
      </c>
      <c r="C99" s="1157">
        <v>1.6</v>
      </c>
      <c r="D99" s="1158">
        <f>(B99-100)/100*C99/12</f>
        <v>7.0000000000000001E-3</v>
      </c>
      <c r="E99" s="1159">
        <f>1+0.5*D99</f>
        <v>1.004</v>
      </c>
      <c r="F99" s="1152"/>
      <c r="G99" s="1142"/>
      <c r="H99" s="1142"/>
    </row>
    <row r="100" spans="1:8" ht="33" customHeight="1" outlineLevel="1" x14ac:dyDescent="0.25">
      <c r="A100" s="1156">
        <v>4</v>
      </c>
      <c r="B100" s="1161" t="s">
        <v>5405</v>
      </c>
      <c r="C100" s="1162"/>
      <c r="D100" s="1154" t="s">
        <v>5406</v>
      </c>
      <c r="E100" s="1163" t="s">
        <v>5407</v>
      </c>
      <c r="F100" s="1152"/>
      <c r="G100" s="1142"/>
      <c r="H100" s="1142"/>
    </row>
    <row r="101" spans="1:8" ht="15" outlineLevel="1" x14ac:dyDescent="0.25">
      <c r="A101" s="1164"/>
      <c r="B101" s="1165"/>
      <c r="C101" s="1162"/>
      <c r="D101" s="1166">
        <f>D96+D99</f>
        <v>1.7000000000000001E-2</v>
      </c>
      <c r="E101" s="1163">
        <f>1+0.5*D101</f>
        <v>1.0089999999999999</v>
      </c>
      <c r="F101" s="1152"/>
      <c r="G101" s="1142"/>
      <c r="H101" s="1142"/>
    </row>
    <row r="102" spans="1:8" ht="15" outlineLevel="1" x14ac:dyDescent="0.25">
      <c r="A102" s="1167">
        <v>5</v>
      </c>
      <c r="B102" s="1162" t="s">
        <v>5408</v>
      </c>
      <c r="C102" s="1162"/>
      <c r="D102" s="1160" t="s">
        <v>5409</v>
      </c>
      <c r="E102" s="1163">
        <f>E93*E101</f>
        <v>1.024</v>
      </c>
      <c r="F102" s="1152"/>
      <c r="G102" s="1142"/>
      <c r="H102" s="1142"/>
    </row>
    <row r="103" spans="1:8" ht="15" outlineLevel="1" x14ac:dyDescent="0.25">
      <c r="A103" s="1168" t="s">
        <v>5410</v>
      </c>
      <c r="B103" s="1169"/>
      <c r="C103" s="1169"/>
      <c r="D103" s="1169"/>
      <c r="E103" s="1170"/>
      <c r="F103" s="1152"/>
      <c r="G103" s="1142"/>
      <c r="H103" s="1142"/>
    </row>
    <row r="104" spans="1:8" ht="15" outlineLevel="1" x14ac:dyDescent="0.25">
      <c r="A104" s="1171" t="s">
        <v>5411</v>
      </c>
      <c r="B104" s="1172"/>
      <c r="C104" s="1173"/>
      <c r="D104" s="1174"/>
      <c r="E104" s="1175">
        <f>S63</f>
        <v>4578.68</v>
      </c>
      <c r="F104" s="1152"/>
      <c r="G104" s="1142"/>
      <c r="H104" s="1142"/>
    </row>
    <row r="105" spans="1:8" ht="15" outlineLevel="1" x14ac:dyDescent="0.25">
      <c r="A105" s="1176" t="s">
        <v>5412</v>
      </c>
      <c r="B105" s="1177"/>
      <c r="C105" s="1178"/>
      <c r="D105" s="1174"/>
      <c r="E105" s="1179">
        <f>E102</f>
        <v>1.024</v>
      </c>
      <c r="F105" s="1152"/>
      <c r="G105" s="1142"/>
      <c r="H105" s="1142"/>
    </row>
    <row r="106" spans="1:8" ht="15" outlineLevel="1" x14ac:dyDescent="0.25">
      <c r="A106" s="1180" t="s">
        <v>5413</v>
      </c>
      <c r="B106" s="1181"/>
      <c r="C106" s="1182"/>
      <c r="D106" s="1139"/>
      <c r="E106" s="1183">
        <f>E104*E105</f>
        <v>4688.57</v>
      </c>
      <c r="F106" s="1152"/>
      <c r="G106" s="1142"/>
      <c r="H106" s="1142"/>
    </row>
    <row r="107" spans="1:8" ht="15" customHeight="1" outlineLevel="1" x14ac:dyDescent="0.25">
      <c r="A107" s="1184" t="s">
        <v>5414</v>
      </c>
      <c r="B107" s="1185"/>
      <c r="C107" s="1186" t="s">
        <v>5415</v>
      </c>
      <c r="D107" s="1186"/>
      <c r="E107" s="1187">
        <f>E104+(E106-E104)*(1-30/100)</f>
        <v>4655.6000000000004</v>
      </c>
      <c r="F107" s="1152">
        <f>E107/E104</f>
        <v>1.0167996016319101</v>
      </c>
      <c r="G107" s="1142"/>
      <c r="H107" s="1142"/>
    </row>
    <row r="108" spans="1:8" outlineLevel="1" x14ac:dyDescent="0.2">
      <c r="A108" s="1188"/>
      <c r="B108" s="1188"/>
      <c r="C108" s="1189" t="s">
        <v>5416</v>
      </c>
      <c r="D108" s="1190"/>
      <c r="E108" s="1191">
        <f>E107-E104</f>
        <v>76.92</v>
      </c>
      <c r="F108" s="1192"/>
      <c r="G108" s="1142"/>
      <c r="H108" s="1142"/>
    </row>
    <row r="109" spans="1:8" outlineLevel="1" x14ac:dyDescent="0.2">
      <c r="A109" s="1140"/>
      <c r="B109" s="1141"/>
      <c r="C109" s="1141"/>
      <c r="D109" s="1142"/>
      <c r="E109" s="1142"/>
      <c r="F109" s="1142"/>
      <c r="G109" s="1142"/>
      <c r="H109" s="1142"/>
    </row>
    <row r="110" spans="1:8" outlineLevel="1" x14ac:dyDescent="0.2">
      <c r="A110" s="1140"/>
      <c r="B110" s="1141"/>
      <c r="C110" s="1141"/>
      <c r="D110" s="1142"/>
      <c r="E110" s="1142"/>
      <c r="F110" s="1142"/>
      <c r="G110" s="1142"/>
      <c r="H110" s="1142"/>
    </row>
    <row r="111" spans="1:8" outlineLevel="1" x14ac:dyDescent="0.2">
      <c r="A111" s="1140"/>
      <c r="B111" s="1141"/>
      <c r="C111" s="1141"/>
      <c r="D111" s="1142"/>
      <c r="E111" s="1142"/>
      <c r="F111" s="1142"/>
      <c r="G111" s="1142"/>
      <c r="H111" s="1142"/>
    </row>
    <row r="112" spans="1:8" outlineLevel="1" x14ac:dyDescent="0.2">
      <c r="A112" s="1140"/>
      <c r="B112" s="1141"/>
      <c r="C112" s="1141"/>
      <c r="D112" s="1142"/>
      <c r="E112" s="1142"/>
      <c r="F112" s="1142"/>
      <c r="G112" s="1142"/>
      <c r="H112" s="1142"/>
    </row>
    <row r="113" spans="1:8" outlineLevel="1" x14ac:dyDescent="0.2">
      <c r="A113" s="1140"/>
      <c r="B113" s="1141"/>
      <c r="C113" s="1141"/>
      <c r="D113" s="1142"/>
      <c r="E113" s="1142"/>
      <c r="F113" s="1142"/>
      <c r="G113" s="1142"/>
      <c r="H113" s="1142"/>
    </row>
    <row r="114" spans="1:8" outlineLevel="1" x14ac:dyDescent="0.2">
      <c r="A114" s="1140"/>
      <c r="B114" s="1141"/>
      <c r="C114" s="1141"/>
      <c r="D114" s="1142"/>
      <c r="E114" s="1142"/>
      <c r="F114" s="1142"/>
      <c r="G114" s="1142"/>
      <c r="H114" s="1142"/>
    </row>
    <row r="115" spans="1:8" outlineLevel="1" x14ac:dyDescent="0.2">
      <c r="A115" s="1140"/>
      <c r="B115" s="1141"/>
      <c r="C115" s="1141"/>
      <c r="D115" s="1142"/>
      <c r="E115" s="1142"/>
      <c r="F115" s="1142"/>
      <c r="G115" s="1142"/>
      <c r="H115" s="1142"/>
    </row>
    <row r="116" spans="1:8" ht="15.75" outlineLevel="1" x14ac:dyDescent="0.25">
      <c r="A116" s="1143" t="s">
        <v>5387</v>
      </c>
      <c r="B116" s="1143"/>
      <c r="C116" s="1143"/>
      <c r="D116" s="1143">
        <v>3.5</v>
      </c>
      <c r="E116" s="1143" t="s">
        <v>5417</v>
      </c>
      <c r="F116" s="1144"/>
      <c r="G116" s="1142"/>
      <c r="H116" s="1142"/>
    </row>
    <row r="117" spans="1:8" ht="15.75" outlineLevel="1" x14ac:dyDescent="0.25">
      <c r="A117" s="1143" t="s">
        <v>446</v>
      </c>
      <c r="B117" s="1143"/>
      <c r="C117" s="1143"/>
      <c r="D117" s="1145" t="s">
        <v>5418</v>
      </c>
      <c r="E117" s="1143"/>
      <c r="F117" s="1144"/>
      <c r="G117" s="1142"/>
      <c r="H117" s="1142"/>
    </row>
    <row r="118" spans="1:8" ht="15.75" outlineLevel="1" x14ac:dyDescent="0.25">
      <c r="A118" s="1143" t="s">
        <v>447</v>
      </c>
      <c r="B118" s="1143"/>
      <c r="C118" s="1143"/>
      <c r="D118" s="1145" t="s">
        <v>5419</v>
      </c>
      <c r="E118" s="1145"/>
      <c r="F118" s="1144"/>
      <c r="G118" s="1142"/>
      <c r="H118" s="1142"/>
    </row>
    <row r="119" spans="1:8" ht="15" outlineLevel="1" x14ac:dyDescent="0.25">
      <c r="A119" s="139"/>
      <c r="B119" s="139"/>
      <c r="C119" s="139"/>
      <c r="D119" s="139"/>
      <c r="E119" s="139"/>
      <c r="F119" s="1144"/>
      <c r="G119" s="1142"/>
      <c r="H119" s="1142"/>
    </row>
    <row r="120" spans="1:8" ht="15" outlineLevel="1" x14ac:dyDescent="0.25">
      <c r="A120" s="1146" t="s">
        <v>5420</v>
      </c>
      <c r="B120" s="1147"/>
      <c r="C120" s="1147"/>
      <c r="D120" s="1147"/>
      <c r="E120" s="1148"/>
      <c r="F120" s="1144"/>
      <c r="G120" s="1142"/>
      <c r="H120" s="1142"/>
    </row>
    <row r="121" spans="1:8" ht="15" outlineLevel="1" x14ac:dyDescent="0.25">
      <c r="A121" s="1149" t="s">
        <v>5392</v>
      </c>
      <c r="B121" s="1150"/>
      <c r="C121" s="1150"/>
      <c r="D121" s="1150"/>
      <c r="E121" s="1151"/>
      <c r="F121" s="1152"/>
      <c r="G121" s="1142"/>
      <c r="H121" s="1142"/>
    </row>
    <row r="122" spans="1:8" ht="60" outlineLevel="1" x14ac:dyDescent="0.25">
      <c r="A122" s="1153"/>
      <c r="B122" s="1154" t="s">
        <v>5393</v>
      </c>
      <c r="C122" s="1155" t="s">
        <v>5421</v>
      </c>
      <c r="D122" s="1155" t="s">
        <v>5395</v>
      </c>
      <c r="E122" s="1154" t="s">
        <v>5396</v>
      </c>
      <c r="F122" s="1152"/>
      <c r="G122" s="1142"/>
      <c r="H122" s="1142"/>
    </row>
    <row r="123" spans="1:8" ht="15" outlineLevel="1" x14ac:dyDescent="0.25">
      <c r="A123" s="1156">
        <v>1</v>
      </c>
      <c r="B123" s="1156">
        <v>105</v>
      </c>
      <c r="C123" s="1157">
        <v>6</v>
      </c>
      <c r="D123" s="1158">
        <f>(B123-100)/100*C123/12</f>
        <v>2.5000000000000001E-2</v>
      </c>
      <c r="E123" s="1159">
        <f>1+D123</f>
        <v>1.0249999999999999</v>
      </c>
      <c r="F123" s="1152"/>
      <c r="G123" s="1142"/>
      <c r="H123" s="1142"/>
    </row>
    <row r="124" spans="1:8" ht="15" outlineLevel="1" x14ac:dyDescent="0.25">
      <c r="A124" s="1149" t="s">
        <v>5401</v>
      </c>
      <c r="B124" s="1150"/>
      <c r="C124" s="1150"/>
      <c r="D124" s="1150"/>
      <c r="E124" s="1151"/>
      <c r="F124" s="1152"/>
      <c r="G124" s="1142"/>
      <c r="H124" s="1142"/>
    </row>
    <row r="125" spans="1:8" ht="60" outlineLevel="1" x14ac:dyDescent="0.25">
      <c r="A125" s="1153"/>
      <c r="B125" s="1154" t="s">
        <v>5397</v>
      </c>
      <c r="C125" s="1155" t="s">
        <v>5422</v>
      </c>
      <c r="D125" s="1155" t="s">
        <v>5399</v>
      </c>
      <c r="E125" s="1154" t="s">
        <v>5400</v>
      </c>
      <c r="F125" s="1152"/>
      <c r="G125" s="1142"/>
      <c r="H125" s="1142"/>
    </row>
    <row r="126" spans="1:8" ht="15" outlineLevel="1" x14ac:dyDescent="0.25">
      <c r="A126" s="1156">
        <v>2</v>
      </c>
      <c r="B126" s="1156">
        <v>105.1</v>
      </c>
      <c r="C126" s="1157">
        <v>2.5</v>
      </c>
      <c r="D126" s="1158">
        <f>(B126-100)/100*C126/12</f>
        <v>1.0999999999999999E-2</v>
      </c>
      <c r="E126" s="1159">
        <f>1+D126</f>
        <v>1.0109999999999999</v>
      </c>
      <c r="F126" s="1152"/>
      <c r="G126" s="1142"/>
      <c r="H126" s="1142"/>
    </row>
    <row r="127" spans="1:8" ht="15" outlineLevel="1" x14ac:dyDescent="0.25">
      <c r="A127" s="1149" t="s">
        <v>5401</v>
      </c>
      <c r="B127" s="1150"/>
      <c r="C127" s="1150"/>
      <c r="D127" s="1150"/>
      <c r="E127" s="1151"/>
      <c r="F127" s="1152"/>
      <c r="G127" s="1142"/>
      <c r="H127" s="1142"/>
    </row>
    <row r="128" spans="1:8" ht="60" outlineLevel="1" x14ac:dyDescent="0.25">
      <c r="A128" s="1153"/>
      <c r="B128" s="1154" t="s">
        <v>5397</v>
      </c>
      <c r="C128" s="1155" t="s">
        <v>5423</v>
      </c>
      <c r="D128" s="1155" t="s">
        <v>5403</v>
      </c>
      <c r="E128" s="1160" t="s">
        <v>5404</v>
      </c>
      <c r="F128" s="1152"/>
      <c r="G128" s="1142"/>
      <c r="H128" s="1142"/>
    </row>
    <row r="129" spans="1:9" ht="15" outlineLevel="1" x14ac:dyDescent="0.25">
      <c r="A129" s="1156">
        <v>3</v>
      </c>
      <c r="B129" s="1156">
        <v>105.1</v>
      </c>
      <c r="C129" s="1157">
        <v>3.5</v>
      </c>
      <c r="D129" s="1158">
        <f>(B129-100)/100*C129/12</f>
        <v>1.4999999999999999E-2</v>
      </c>
      <c r="E129" s="1159">
        <f>1+0.5*D129</f>
        <v>1.008</v>
      </c>
      <c r="F129" s="1152"/>
      <c r="G129" s="1142"/>
      <c r="H129" s="1142"/>
    </row>
    <row r="130" spans="1:9" ht="30" outlineLevel="1" x14ac:dyDescent="0.25">
      <c r="A130" s="1167">
        <v>5</v>
      </c>
      <c r="B130" s="1162" t="s">
        <v>5408</v>
      </c>
      <c r="C130" s="1162"/>
      <c r="D130" s="1160" t="s">
        <v>5424</v>
      </c>
      <c r="E130" s="1163">
        <f>E123*E126*E129</f>
        <v>1.0449999999999999</v>
      </c>
      <c r="F130" s="1152"/>
      <c r="G130" s="1142"/>
      <c r="H130" s="1142"/>
    </row>
    <row r="131" spans="1:9" ht="15" outlineLevel="1" x14ac:dyDescent="0.25">
      <c r="A131" s="1168" t="s">
        <v>5410</v>
      </c>
      <c r="B131" s="1169"/>
      <c r="C131" s="1169"/>
      <c r="D131" s="1169"/>
      <c r="E131" s="1170"/>
      <c r="F131" s="1152"/>
      <c r="G131" s="1142"/>
      <c r="H131" s="1142"/>
    </row>
    <row r="132" spans="1:9" ht="15" outlineLevel="1" x14ac:dyDescent="0.25">
      <c r="A132" s="1176" t="s">
        <v>5425</v>
      </c>
      <c r="B132" s="1177"/>
      <c r="C132" s="1178"/>
      <c r="D132" s="1174"/>
      <c r="E132" s="1175">
        <f>AE63-S63</f>
        <v>90583</v>
      </c>
      <c r="F132" s="1152"/>
      <c r="G132" s="1142"/>
      <c r="H132" s="1142"/>
    </row>
    <row r="133" spans="1:9" ht="15" outlineLevel="1" x14ac:dyDescent="0.25">
      <c r="A133" s="1176" t="s">
        <v>5412</v>
      </c>
      <c r="B133" s="1177"/>
      <c r="C133" s="1178"/>
      <c r="D133" s="1174"/>
      <c r="E133" s="1179">
        <f>E130</f>
        <v>1.0449999999999999</v>
      </c>
      <c r="F133" s="1152"/>
      <c r="G133" s="1142"/>
      <c r="H133" s="1142"/>
    </row>
    <row r="134" spans="1:9" ht="15" outlineLevel="1" x14ac:dyDescent="0.25">
      <c r="A134" s="1180" t="s">
        <v>5413</v>
      </c>
      <c r="B134" s="1181"/>
      <c r="C134" s="1182"/>
      <c r="D134" s="1139"/>
      <c r="E134" s="1183">
        <f>E132*E133</f>
        <v>94659.24</v>
      </c>
      <c r="F134" s="1152"/>
      <c r="G134" s="1142"/>
      <c r="H134" s="1142"/>
    </row>
    <row r="135" spans="1:9" ht="15" customHeight="1" outlineLevel="1" x14ac:dyDescent="0.25">
      <c r="A135" s="1184" t="s">
        <v>5414</v>
      </c>
      <c r="B135" s="1185"/>
      <c r="C135" s="1186" t="s">
        <v>5415</v>
      </c>
      <c r="D135" s="1186"/>
      <c r="E135" s="1187">
        <f>E132+(E134-E132)*(1-30/100)</f>
        <v>93436.37</v>
      </c>
      <c r="F135" s="1152">
        <f>E135/E132</f>
        <v>1.03150006071779</v>
      </c>
      <c r="G135" s="1142"/>
      <c r="H135" s="1142"/>
    </row>
    <row r="136" spans="1:9" outlineLevel="1" x14ac:dyDescent="0.2">
      <c r="A136" s="1188"/>
      <c r="B136" s="1188"/>
      <c r="C136" s="1189" t="s">
        <v>5416</v>
      </c>
      <c r="D136" s="1190"/>
      <c r="E136" s="1191">
        <f>E135-E132</f>
        <v>2853.37</v>
      </c>
      <c r="F136" s="1192"/>
      <c r="G136" s="1142"/>
      <c r="H136" s="1142"/>
    </row>
    <row r="141" spans="1:9" x14ac:dyDescent="0.2">
      <c r="G141" s="1193"/>
      <c r="I141" s="1194"/>
    </row>
  </sheetData>
  <mergeCells count="31">
    <mergeCell ref="AJ6:AJ9"/>
    <mergeCell ref="AD6:AD9"/>
    <mergeCell ref="AE6:AE9"/>
    <mergeCell ref="AF6:AF9"/>
    <mergeCell ref="AG6:AG9"/>
    <mergeCell ref="AH6:AH9"/>
    <mergeCell ref="AI6:AI9"/>
    <mergeCell ref="AC6:AC9"/>
    <mergeCell ref="R6:R9"/>
    <mergeCell ref="S6:S9"/>
    <mergeCell ref="T6:T9"/>
    <mergeCell ref="U6:U9"/>
    <mergeCell ref="V6:V9"/>
    <mergeCell ref="W6:W9"/>
    <mergeCell ref="X6:X9"/>
    <mergeCell ref="Y6:Y9"/>
    <mergeCell ref="Z6:Z9"/>
    <mergeCell ref="AA6:AA9"/>
    <mergeCell ref="AB6:AB9"/>
    <mergeCell ref="Q6:Q9"/>
    <mergeCell ref="A6:A9"/>
    <mergeCell ref="B6:B9"/>
    <mergeCell ref="C6:C9"/>
    <mergeCell ref="I6:I9"/>
    <mergeCell ref="J6:J9"/>
    <mergeCell ref="K6:K9"/>
    <mergeCell ref="L6:L9"/>
    <mergeCell ref="M6:M9"/>
    <mergeCell ref="N6:N9"/>
    <mergeCell ref="O6:O9"/>
    <mergeCell ref="P6:P9"/>
  </mergeCells>
  <pageMargins left="0.42" right="0.25" top="0.5" bottom="0.52" header="0.3" footer="0.3"/>
  <pageSetup paperSize="9" scale="89" fitToHeight="10000" orientation="landscape" r:id="rId1"/>
  <headerFooter alignWithMargins="0">
    <oddHeader>&amp;LГРАНД-Смета 2019</oddHeader>
    <oddFooter>&amp;LД-ДРП-18-002-3995&amp;C01&amp;RСтраница &amp;P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pageSetUpPr fitToPage="1"/>
  </sheetPr>
  <dimension ref="A1:GV3726"/>
  <sheetViews>
    <sheetView topLeftCell="A124" workbookViewId="0">
      <selection activeCell="AT21" sqref="AT21"/>
    </sheetView>
  </sheetViews>
  <sheetFormatPr defaultColWidth="9.140625" defaultRowHeight="11.25" customHeight="1" x14ac:dyDescent="0.2"/>
  <cols>
    <col min="1" max="1" width="9.140625" style="1582" customWidth="1"/>
    <col min="2" max="2" width="20.140625" style="1713" customWidth="1"/>
    <col min="3" max="3" width="13.42578125" style="1713" customWidth="1"/>
    <col min="4" max="4" width="12.85546875" style="1713" customWidth="1"/>
    <col min="5" max="5" width="13.28515625" style="1713" customWidth="1"/>
    <col min="6" max="6" width="8.5703125" style="1713" customWidth="1"/>
    <col min="7" max="7" width="10.5703125" style="1713" customWidth="1"/>
    <col min="8" max="8" width="8.42578125" style="1713" customWidth="1"/>
    <col min="9" max="9" width="13" style="1713" customWidth="1"/>
    <col min="10" max="10" width="12.42578125" style="1713" customWidth="1"/>
    <col min="11" max="11" width="8.5703125" style="1713" customWidth="1"/>
    <col min="12" max="12" width="12.85546875" style="1713" customWidth="1"/>
    <col min="13" max="13" width="7.42578125" style="1713" customWidth="1"/>
    <col min="14" max="14" width="13.42578125" style="1713" customWidth="1"/>
    <col min="15" max="15" width="14.5703125" style="1713" hidden="1" customWidth="1"/>
    <col min="16" max="16" width="78.28515625" style="1713" hidden="1" customWidth="1"/>
    <col min="17" max="17" width="73.7109375" style="1713" hidden="1" customWidth="1"/>
    <col min="18" max="21" width="9.140625" style="1713"/>
    <col min="22" max="37" width="86.7109375" style="1714" hidden="1" customWidth="1"/>
    <col min="38" max="43" width="77.42578125" style="1864" hidden="1" customWidth="1"/>
    <col min="44" max="51" width="86.7109375" style="1714" hidden="1" customWidth="1"/>
    <col min="52" max="57" width="77.42578125" style="1864" hidden="1" customWidth="1"/>
    <col min="58" max="65" width="86.7109375" style="1714" hidden="1" customWidth="1"/>
    <col min="66" max="71" width="77.42578125" style="1864" hidden="1" customWidth="1"/>
    <col min="72" max="79" width="86.7109375" style="1714" hidden="1" customWidth="1"/>
    <col min="80" max="85" width="77.42578125" style="1864" hidden="1" customWidth="1"/>
    <col min="86" max="93" width="86.7109375" style="1714" hidden="1" customWidth="1"/>
    <col min="94" max="99" width="77.42578125" style="1864" hidden="1" customWidth="1"/>
    <col min="100" max="107" width="86.7109375" style="1714" hidden="1" customWidth="1"/>
    <col min="108" max="149" width="164.140625" style="1715" hidden="1" customWidth="1"/>
    <col min="150" max="152" width="34.7109375" style="1716" hidden="1" customWidth="1"/>
    <col min="153" max="154" width="164.140625" style="1702" hidden="1" customWidth="1"/>
    <col min="155" max="157" width="39.5703125" style="1864" hidden="1" customWidth="1"/>
    <col min="158" max="159" width="134.85546875" style="1864" hidden="1" customWidth="1"/>
    <col min="160" max="164" width="39.5703125" style="1864" hidden="1" customWidth="1"/>
    <col min="165" max="176" width="134.85546875" style="1864" hidden="1" customWidth="1"/>
    <col min="177" max="179" width="101.140625" style="1680" hidden="1" customWidth="1"/>
    <col min="180" max="180" width="67.140625" style="1680" hidden="1" customWidth="1"/>
    <col min="181" max="183" width="101.140625" style="1680" hidden="1" customWidth="1"/>
    <col min="184" max="184" width="67.140625" style="1680" hidden="1" customWidth="1"/>
    <col min="185" max="189" width="58.7109375" style="1680" hidden="1" customWidth="1"/>
    <col min="190" max="194" width="55.28515625" style="1640" hidden="1" customWidth="1"/>
    <col min="195" max="199" width="58.7109375" style="1680" hidden="1" customWidth="1"/>
    <col min="200" max="204" width="55.28515625" style="1640" hidden="1" customWidth="1"/>
    <col min="205" max="16384" width="9.140625" style="1713"/>
  </cols>
  <sheetData>
    <row r="1" spans="1:135" s="1484" customFormat="1" ht="15" x14ac:dyDescent="0.25">
      <c r="N1" s="2021" t="s">
        <v>2480</v>
      </c>
    </row>
    <row r="2" spans="1:135" s="1484" customFormat="1" ht="11.25" customHeight="1" x14ac:dyDescent="0.25">
      <c r="A2" s="1584"/>
      <c r="B2" s="1584"/>
      <c r="C2" s="1584"/>
      <c r="D2" s="1584"/>
      <c r="E2" s="1584"/>
      <c r="F2" s="1584"/>
      <c r="G2" s="1584"/>
      <c r="H2" s="1584"/>
      <c r="I2" s="1584"/>
      <c r="J2" s="1584"/>
      <c r="K2" s="1584"/>
      <c r="L2" s="1584"/>
      <c r="M2" s="1584"/>
      <c r="N2" s="1583" t="s">
        <v>6051</v>
      </c>
    </row>
    <row r="3" spans="1:135" s="1484" customFormat="1" ht="6.75" customHeight="1" x14ac:dyDescent="0.25">
      <c r="A3" s="1584"/>
      <c r="B3" s="1601"/>
      <c r="C3" s="1601"/>
      <c r="D3" s="1601"/>
      <c r="E3" s="1601"/>
      <c r="F3" s="1601"/>
      <c r="G3" s="1601"/>
      <c r="H3" s="1601"/>
      <c r="I3" s="1601"/>
      <c r="J3" s="1601"/>
      <c r="K3" s="1601"/>
      <c r="L3" s="1601"/>
      <c r="M3" s="1601"/>
      <c r="N3" s="2021"/>
    </row>
    <row r="4" spans="1:135" s="1484" customFormat="1" ht="2.25" customHeight="1" x14ac:dyDescent="0.25">
      <c r="A4" s="2022"/>
      <c r="B4" s="1591"/>
      <c r="C4" s="1584"/>
      <c r="D4" s="1584"/>
      <c r="E4" s="1584"/>
      <c r="F4" s="1584"/>
      <c r="G4" s="1584"/>
      <c r="H4" s="1584"/>
      <c r="I4" s="1584"/>
      <c r="J4" s="1584"/>
      <c r="K4" s="1584"/>
      <c r="L4" s="1584"/>
      <c r="M4" s="1584"/>
      <c r="N4" s="1584"/>
    </row>
    <row r="5" spans="1:135" s="1484" customFormat="1" ht="15" x14ac:dyDescent="0.25">
      <c r="A5" s="2022" t="s">
        <v>759</v>
      </c>
      <c r="B5" s="1591"/>
      <c r="C5" s="1584"/>
      <c r="E5" s="1584"/>
      <c r="F5" s="1584"/>
      <c r="G5" s="2818" t="s">
        <v>6052</v>
      </c>
      <c r="H5" s="2818"/>
      <c r="I5" s="2818"/>
      <c r="J5" s="2818"/>
      <c r="K5" s="2818"/>
      <c r="L5" s="2818"/>
      <c r="M5" s="2818"/>
      <c r="N5" s="2818"/>
      <c r="V5" s="1585" t="s">
        <v>6052</v>
      </c>
      <c r="W5" s="1585" t="s">
        <v>588</v>
      </c>
      <c r="X5" s="1585" t="s">
        <v>588</v>
      </c>
      <c r="Y5" s="1585" t="s">
        <v>588</v>
      </c>
      <c r="Z5" s="1585" t="s">
        <v>588</v>
      </c>
      <c r="AA5" s="1585" t="s">
        <v>588</v>
      </c>
      <c r="AB5" s="1585" t="s">
        <v>588</v>
      </c>
      <c r="AC5" s="1585" t="s">
        <v>588</v>
      </c>
    </row>
    <row r="6" spans="1:135" s="1484" customFormat="1" ht="45.75" x14ac:dyDescent="0.25">
      <c r="A6" s="2022" t="s">
        <v>761</v>
      </c>
      <c r="B6" s="1591"/>
      <c r="C6" s="1584"/>
      <c r="E6" s="1596"/>
      <c r="F6" s="1596"/>
      <c r="G6" s="2824" t="s">
        <v>7947</v>
      </c>
      <c r="H6" s="2824"/>
      <c r="I6" s="2824"/>
      <c r="J6" s="2824"/>
      <c r="K6" s="2824"/>
      <c r="L6" s="2824"/>
      <c r="M6" s="2824"/>
      <c r="N6" s="2824"/>
      <c r="AD6" s="1585" t="s">
        <v>7947</v>
      </c>
      <c r="AE6" s="1585" t="s">
        <v>588</v>
      </c>
      <c r="AF6" s="1585" t="s">
        <v>588</v>
      </c>
      <c r="AG6" s="1585" t="s">
        <v>588</v>
      </c>
      <c r="AH6" s="1585" t="s">
        <v>588</v>
      </c>
      <c r="AI6" s="1585" t="s">
        <v>588</v>
      </c>
      <c r="AJ6" s="1585" t="s">
        <v>588</v>
      </c>
      <c r="AK6" s="1585" t="s">
        <v>588</v>
      </c>
    </row>
    <row r="7" spans="1:135" s="1484" customFormat="1" ht="112.5" x14ac:dyDescent="0.25">
      <c r="A7" s="2807" t="s">
        <v>2482</v>
      </c>
      <c r="B7" s="2807"/>
      <c r="C7" s="2807"/>
      <c r="D7" s="2807"/>
      <c r="E7" s="2807"/>
      <c r="F7" s="2807"/>
      <c r="G7" s="2824" t="s">
        <v>7948</v>
      </c>
      <c r="H7" s="2824"/>
      <c r="I7" s="2824"/>
      <c r="J7" s="2824"/>
      <c r="K7" s="2824"/>
      <c r="L7" s="2824"/>
      <c r="M7" s="2824"/>
      <c r="N7" s="2824"/>
      <c r="P7" s="1586" t="s">
        <v>2482</v>
      </c>
      <c r="Q7" s="1586" t="s">
        <v>7948</v>
      </c>
      <c r="R7" s="2023"/>
      <c r="S7" s="2023"/>
      <c r="T7" s="2023"/>
      <c r="U7" s="2023"/>
      <c r="AL7" s="1867" t="s">
        <v>2482</v>
      </c>
      <c r="AM7" s="1867" t="s">
        <v>588</v>
      </c>
      <c r="AN7" s="1867" t="s">
        <v>588</v>
      </c>
      <c r="AO7" s="1867" t="s">
        <v>588</v>
      </c>
      <c r="AP7" s="1867" t="s">
        <v>588</v>
      </c>
      <c r="AQ7" s="1867" t="s">
        <v>588</v>
      </c>
      <c r="AR7" s="1585" t="s">
        <v>7948</v>
      </c>
      <c r="AS7" s="1585" t="s">
        <v>588</v>
      </c>
      <c r="AT7" s="1585" t="s">
        <v>588</v>
      </c>
      <c r="AU7" s="1585" t="s">
        <v>588</v>
      </c>
      <c r="AV7" s="1585" t="s">
        <v>588</v>
      </c>
      <c r="AW7" s="1585" t="s">
        <v>588</v>
      </c>
      <c r="AX7" s="1585" t="s">
        <v>588</v>
      </c>
      <c r="AY7" s="1585" t="s">
        <v>588</v>
      </c>
    </row>
    <row r="8" spans="1:135" s="1484" customFormat="1" ht="67.5" x14ac:dyDescent="0.25">
      <c r="A8" s="2823" t="s">
        <v>8961</v>
      </c>
      <c r="B8" s="2823"/>
      <c r="C8" s="2823"/>
      <c r="D8" s="2823"/>
      <c r="E8" s="2823"/>
      <c r="F8" s="2823"/>
      <c r="G8" s="2824"/>
      <c r="H8" s="2824"/>
      <c r="I8" s="2824"/>
      <c r="J8" s="2824"/>
      <c r="K8" s="2824"/>
      <c r="L8" s="2824"/>
      <c r="M8" s="2824"/>
      <c r="N8" s="2824"/>
      <c r="P8" s="1586" t="s">
        <v>765</v>
      </c>
      <c r="Q8" s="1586"/>
      <c r="R8" s="2023"/>
      <c r="S8" s="2023"/>
      <c r="T8" s="2023"/>
      <c r="U8" s="2023"/>
      <c r="AZ8" s="1867" t="s">
        <v>8961</v>
      </c>
      <c r="BA8" s="1867" t="s">
        <v>588</v>
      </c>
      <c r="BB8" s="1867" t="s">
        <v>588</v>
      </c>
      <c r="BC8" s="1867" t="s">
        <v>588</v>
      </c>
      <c r="BD8" s="1867" t="s">
        <v>588</v>
      </c>
      <c r="BE8" s="1867" t="s">
        <v>588</v>
      </c>
      <c r="BF8" s="1585" t="s">
        <v>588</v>
      </c>
      <c r="BG8" s="1585" t="s">
        <v>588</v>
      </c>
      <c r="BH8" s="1585" t="s">
        <v>588</v>
      </c>
      <c r="BI8" s="1585" t="s">
        <v>588</v>
      </c>
      <c r="BJ8" s="1585" t="s">
        <v>588</v>
      </c>
      <c r="BK8" s="1585" t="s">
        <v>588</v>
      </c>
      <c r="BL8" s="1585" t="s">
        <v>588</v>
      </c>
      <c r="BM8" s="1585" t="s">
        <v>588</v>
      </c>
    </row>
    <row r="9" spans="1:135" s="1484" customFormat="1" ht="57" x14ac:dyDescent="0.25">
      <c r="A9" s="2807" t="s">
        <v>2484</v>
      </c>
      <c r="B9" s="2807"/>
      <c r="C9" s="2807"/>
      <c r="D9" s="2807"/>
      <c r="E9" s="2807"/>
      <c r="F9" s="2807"/>
      <c r="G9" s="2824" t="s">
        <v>7949</v>
      </c>
      <c r="H9" s="2824"/>
      <c r="I9" s="2824"/>
      <c r="J9" s="2824"/>
      <c r="K9" s="2824"/>
      <c r="L9" s="2824"/>
      <c r="M9" s="2824"/>
      <c r="N9" s="2824"/>
      <c r="P9" s="1586" t="s">
        <v>2484</v>
      </c>
      <c r="Q9" s="1586" t="s">
        <v>7949</v>
      </c>
      <c r="R9" s="2023"/>
      <c r="S9" s="2023"/>
      <c r="T9" s="2023"/>
      <c r="U9" s="2023"/>
      <c r="BN9" s="1867" t="s">
        <v>2484</v>
      </c>
      <c r="BO9" s="1867" t="s">
        <v>588</v>
      </c>
      <c r="BP9" s="1867" t="s">
        <v>588</v>
      </c>
      <c r="BQ9" s="1867" t="s">
        <v>588</v>
      </c>
      <c r="BR9" s="1867" t="s">
        <v>588</v>
      </c>
      <c r="BS9" s="1867" t="s">
        <v>588</v>
      </c>
      <c r="BT9" s="1585" t="s">
        <v>7949</v>
      </c>
      <c r="BU9" s="1585" t="s">
        <v>588</v>
      </c>
      <c r="BV9" s="1585" t="s">
        <v>588</v>
      </c>
      <c r="BW9" s="1585" t="s">
        <v>588</v>
      </c>
      <c r="BX9" s="1585" t="s">
        <v>588</v>
      </c>
      <c r="BY9" s="1585" t="s">
        <v>588</v>
      </c>
      <c r="BZ9" s="1585" t="s">
        <v>588</v>
      </c>
      <c r="CA9" s="1585" t="s">
        <v>588</v>
      </c>
    </row>
    <row r="10" spans="1:135" s="1484" customFormat="1" ht="15" x14ac:dyDescent="0.25">
      <c r="A10" s="2924" t="s">
        <v>769</v>
      </c>
      <c r="B10" s="2924"/>
      <c r="C10" s="2924"/>
      <c r="D10" s="2924"/>
      <c r="E10" s="2924"/>
      <c r="F10" s="2924"/>
      <c r="G10" s="2824" t="s">
        <v>6053</v>
      </c>
      <c r="H10" s="2824"/>
      <c r="I10" s="2824"/>
      <c r="J10" s="2824"/>
      <c r="K10" s="2824"/>
      <c r="L10" s="2824"/>
      <c r="M10" s="2824"/>
      <c r="N10" s="2824"/>
      <c r="CB10" s="1867" t="s">
        <v>769</v>
      </c>
      <c r="CC10" s="1867" t="s">
        <v>588</v>
      </c>
      <c r="CD10" s="1867" t="s">
        <v>588</v>
      </c>
      <c r="CE10" s="1867" t="s">
        <v>588</v>
      </c>
      <c r="CF10" s="1867" t="s">
        <v>588</v>
      </c>
      <c r="CG10" s="1867" t="s">
        <v>588</v>
      </c>
      <c r="CH10" s="1585" t="s">
        <v>6053</v>
      </c>
      <c r="CI10" s="1585" t="s">
        <v>588</v>
      </c>
      <c r="CJ10" s="1585" t="s">
        <v>588</v>
      </c>
      <c r="CK10" s="1585" t="s">
        <v>588</v>
      </c>
      <c r="CL10" s="1585" t="s">
        <v>588</v>
      </c>
      <c r="CM10" s="1585" t="s">
        <v>588</v>
      </c>
      <c r="CN10" s="1585" t="s">
        <v>588</v>
      </c>
      <c r="CO10" s="1585" t="s">
        <v>588</v>
      </c>
    </row>
    <row r="11" spans="1:135" s="1484" customFormat="1" ht="15" x14ac:dyDescent="0.25">
      <c r="A11" s="2924" t="s">
        <v>771</v>
      </c>
      <c r="B11" s="2924"/>
      <c r="C11" s="2924"/>
      <c r="D11" s="2924"/>
      <c r="E11" s="2924"/>
      <c r="F11" s="2924"/>
      <c r="G11" s="2824"/>
      <c r="H11" s="2824"/>
      <c r="I11" s="2824"/>
      <c r="J11" s="2824"/>
      <c r="K11" s="2824"/>
      <c r="L11" s="2824"/>
      <c r="M11" s="2824"/>
      <c r="N11" s="2824"/>
      <c r="CP11" s="1867" t="s">
        <v>771</v>
      </c>
      <c r="CQ11" s="1867" t="s">
        <v>588</v>
      </c>
      <c r="CR11" s="1867" t="s">
        <v>588</v>
      </c>
      <c r="CS11" s="1867" t="s">
        <v>588</v>
      </c>
      <c r="CT11" s="1867" t="s">
        <v>588</v>
      </c>
      <c r="CU11" s="1867" t="s">
        <v>588</v>
      </c>
      <c r="CV11" s="1585" t="s">
        <v>588</v>
      </c>
      <c r="CW11" s="1585" t="s">
        <v>588</v>
      </c>
      <c r="CX11" s="1585" t="s">
        <v>588</v>
      </c>
      <c r="CY11" s="1585" t="s">
        <v>588</v>
      </c>
      <c r="CZ11" s="1585" t="s">
        <v>588</v>
      </c>
      <c r="DA11" s="1585" t="s">
        <v>588</v>
      </c>
      <c r="DB11" s="1585" t="s">
        <v>588</v>
      </c>
      <c r="DC11" s="1585" t="s">
        <v>588</v>
      </c>
    </row>
    <row r="12" spans="1:135" s="1484" customFormat="1" ht="3.75" customHeight="1" x14ac:dyDescent="0.25">
      <c r="A12" s="1590"/>
      <c r="B12" s="1584"/>
      <c r="C12" s="1584"/>
      <c r="D12" s="1584"/>
      <c r="E12" s="1584"/>
      <c r="F12" s="1591"/>
      <c r="G12" s="1591"/>
      <c r="H12" s="1591"/>
      <c r="I12" s="1591"/>
      <c r="J12" s="1591"/>
      <c r="K12" s="1591"/>
      <c r="L12" s="1591"/>
      <c r="M12" s="1591"/>
      <c r="N12" s="1591"/>
    </row>
    <row r="13" spans="1:135" s="1484" customFormat="1" ht="15" x14ac:dyDescent="0.25">
      <c r="A13" s="2926" t="s">
        <v>7950</v>
      </c>
      <c r="B13" s="2926"/>
      <c r="C13" s="2926"/>
      <c r="D13" s="2926"/>
      <c r="E13" s="2926"/>
      <c r="F13" s="2926"/>
      <c r="G13" s="2926"/>
      <c r="H13" s="2926"/>
      <c r="I13" s="2926"/>
      <c r="J13" s="2926"/>
      <c r="K13" s="2926"/>
      <c r="L13" s="2926"/>
      <c r="M13" s="2926"/>
      <c r="N13" s="2926"/>
      <c r="DD13" s="1593" t="s">
        <v>7950</v>
      </c>
      <c r="DE13" s="1593" t="s">
        <v>588</v>
      </c>
      <c r="DF13" s="1593" t="s">
        <v>588</v>
      </c>
      <c r="DG13" s="1593" t="s">
        <v>588</v>
      </c>
      <c r="DH13" s="1593" t="s">
        <v>588</v>
      </c>
      <c r="DI13" s="1593" t="s">
        <v>588</v>
      </c>
      <c r="DJ13" s="1593" t="s">
        <v>588</v>
      </c>
      <c r="DK13" s="1593" t="s">
        <v>588</v>
      </c>
      <c r="DL13" s="1593" t="s">
        <v>588</v>
      </c>
      <c r="DM13" s="1593" t="s">
        <v>588</v>
      </c>
      <c r="DN13" s="1593" t="s">
        <v>588</v>
      </c>
      <c r="DO13" s="1593" t="s">
        <v>588</v>
      </c>
      <c r="DP13" s="1593" t="s">
        <v>588</v>
      </c>
      <c r="DQ13" s="1593" t="s">
        <v>588</v>
      </c>
    </row>
    <row r="14" spans="1:135" s="1484" customFormat="1" ht="15" x14ac:dyDescent="0.25">
      <c r="A14" s="2817" t="s">
        <v>675</v>
      </c>
      <c r="B14" s="2817"/>
      <c r="C14" s="2817"/>
      <c r="D14" s="2817"/>
      <c r="E14" s="2817"/>
      <c r="F14" s="2817"/>
      <c r="G14" s="2817"/>
      <c r="H14" s="2817"/>
      <c r="I14" s="2817"/>
      <c r="J14" s="2817"/>
      <c r="K14" s="2817"/>
      <c r="L14" s="2817"/>
      <c r="M14" s="2817"/>
      <c r="N14" s="2817"/>
    </row>
    <row r="15" spans="1:135" s="1484" customFormat="1" ht="5.25" customHeight="1" x14ac:dyDescent="0.25">
      <c r="A15" s="1594"/>
      <c r="B15" s="1594"/>
      <c r="C15" s="1594"/>
      <c r="D15" s="1594"/>
      <c r="E15" s="1594"/>
      <c r="F15" s="1594"/>
      <c r="G15" s="1594"/>
      <c r="H15" s="1594"/>
      <c r="I15" s="1594"/>
      <c r="J15" s="1594"/>
      <c r="K15" s="1594"/>
      <c r="L15" s="1594"/>
      <c r="M15" s="1594"/>
      <c r="N15" s="1594"/>
    </row>
    <row r="16" spans="1:135" s="1484" customFormat="1" ht="15" x14ac:dyDescent="0.25">
      <c r="A16" s="2926" t="s">
        <v>7950</v>
      </c>
      <c r="B16" s="2926"/>
      <c r="C16" s="2926"/>
      <c r="D16" s="2926"/>
      <c r="E16" s="2926"/>
      <c r="F16" s="2926"/>
      <c r="G16" s="2926"/>
      <c r="H16" s="2926"/>
      <c r="I16" s="2926"/>
      <c r="J16" s="2926"/>
      <c r="K16" s="2926"/>
      <c r="L16" s="2926"/>
      <c r="M16" s="2926"/>
      <c r="N16" s="2926"/>
      <c r="DR16" s="1593" t="s">
        <v>7950</v>
      </c>
      <c r="DS16" s="1593" t="s">
        <v>588</v>
      </c>
      <c r="DT16" s="1593" t="s">
        <v>588</v>
      </c>
      <c r="DU16" s="1593" t="s">
        <v>588</v>
      </c>
      <c r="DV16" s="1593" t="s">
        <v>588</v>
      </c>
      <c r="DW16" s="1593" t="s">
        <v>588</v>
      </c>
      <c r="DX16" s="1593" t="s">
        <v>588</v>
      </c>
      <c r="DY16" s="1593" t="s">
        <v>588</v>
      </c>
      <c r="DZ16" s="1593" t="s">
        <v>588</v>
      </c>
      <c r="EA16" s="1593" t="s">
        <v>588</v>
      </c>
      <c r="EB16" s="1593" t="s">
        <v>588</v>
      </c>
      <c r="EC16" s="1593" t="s">
        <v>588</v>
      </c>
      <c r="ED16" s="1593" t="s">
        <v>588</v>
      </c>
      <c r="EE16" s="1593" t="s">
        <v>588</v>
      </c>
    </row>
    <row r="17" spans="1:152" s="1484" customFormat="1" ht="15" x14ac:dyDescent="0.25">
      <c r="A17" s="2817" t="s">
        <v>772</v>
      </c>
      <c r="B17" s="2817"/>
      <c r="C17" s="2817"/>
      <c r="D17" s="2817"/>
      <c r="E17" s="2817"/>
      <c r="F17" s="2817"/>
      <c r="G17" s="2817"/>
      <c r="H17" s="2817"/>
      <c r="I17" s="2817"/>
      <c r="J17" s="2817"/>
      <c r="K17" s="2817"/>
      <c r="L17" s="2817"/>
      <c r="M17" s="2817"/>
      <c r="N17" s="2817"/>
    </row>
    <row r="18" spans="1:152" s="1484" customFormat="1" ht="21" customHeight="1" x14ac:dyDescent="0.25">
      <c r="A18" s="2835" t="s">
        <v>7951</v>
      </c>
      <c r="B18" s="2835"/>
      <c r="C18" s="2835"/>
      <c r="D18" s="2835"/>
      <c r="E18" s="2835"/>
      <c r="F18" s="2835"/>
      <c r="G18" s="2835"/>
      <c r="H18" s="2835"/>
      <c r="I18" s="2835"/>
      <c r="J18" s="2835"/>
      <c r="K18" s="2835"/>
      <c r="L18" s="2835"/>
      <c r="M18" s="2835"/>
      <c r="N18" s="2835"/>
    </row>
    <row r="19" spans="1:152" s="1484" customFormat="1" ht="3.75" customHeight="1" x14ac:dyDescent="0.25">
      <c r="A19" s="1866"/>
      <c r="B19" s="1866"/>
      <c r="C19" s="1866"/>
      <c r="D19" s="1866"/>
      <c r="E19" s="1866"/>
      <c r="F19" s="1866"/>
      <c r="G19" s="1866"/>
      <c r="H19" s="1866"/>
      <c r="I19" s="1866"/>
      <c r="J19" s="1866"/>
      <c r="K19" s="1866"/>
      <c r="L19" s="1866"/>
      <c r="M19" s="1866"/>
      <c r="N19" s="1866"/>
    </row>
    <row r="20" spans="1:152" s="1484" customFormat="1" ht="15" x14ac:dyDescent="0.25">
      <c r="A20" s="2822" t="s">
        <v>5729</v>
      </c>
      <c r="B20" s="2822"/>
      <c r="C20" s="2822"/>
      <c r="D20" s="2822"/>
      <c r="E20" s="2822"/>
      <c r="F20" s="2822"/>
      <c r="G20" s="2822"/>
      <c r="H20" s="2822"/>
      <c r="I20" s="2822"/>
      <c r="J20" s="2822"/>
      <c r="K20" s="2822"/>
      <c r="L20" s="2822"/>
      <c r="M20" s="2822"/>
      <c r="N20" s="2822"/>
      <c r="EF20" s="1593" t="s">
        <v>5729</v>
      </c>
      <c r="EG20" s="1593" t="s">
        <v>588</v>
      </c>
      <c r="EH20" s="1593" t="s">
        <v>588</v>
      </c>
      <c r="EI20" s="1593" t="s">
        <v>588</v>
      </c>
      <c r="EJ20" s="1593" t="s">
        <v>588</v>
      </c>
      <c r="EK20" s="1593" t="s">
        <v>588</v>
      </c>
      <c r="EL20" s="1593" t="s">
        <v>588</v>
      </c>
      <c r="EM20" s="1593" t="s">
        <v>588</v>
      </c>
      <c r="EN20" s="1593" t="s">
        <v>588</v>
      </c>
      <c r="EO20" s="1593" t="s">
        <v>588</v>
      </c>
      <c r="EP20" s="1593" t="s">
        <v>588</v>
      </c>
      <c r="EQ20" s="1593" t="s">
        <v>588</v>
      </c>
      <c r="ER20" s="1593" t="s">
        <v>588</v>
      </c>
      <c r="ES20" s="1593" t="s">
        <v>588</v>
      </c>
    </row>
    <row r="21" spans="1:152" s="1484" customFormat="1" ht="12" customHeight="1" x14ac:dyDescent="0.25">
      <c r="A21" s="2817" t="s">
        <v>773</v>
      </c>
      <c r="B21" s="2817"/>
      <c r="C21" s="2817"/>
      <c r="D21" s="2817"/>
      <c r="E21" s="2817"/>
      <c r="F21" s="2817"/>
      <c r="G21" s="2817"/>
      <c r="H21" s="2817"/>
      <c r="I21" s="2817"/>
      <c r="J21" s="2817"/>
      <c r="K21" s="2817"/>
      <c r="L21" s="2817"/>
      <c r="M21" s="2817"/>
      <c r="N21" s="2817"/>
    </row>
    <row r="22" spans="1:152" s="1484" customFormat="1" ht="12" customHeight="1" x14ac:dyDescent="0.25">
      <c r="A22" s="1584" t="s">
        <v>774</v>
      </c>
      <c r="B22" s="1595" t="s">
        <v>2486</v>
      </c>
      <c r="C22" s="1582" t="s">
        <v>776</v>
      </c>
      <c r="D22" s="1582"/>
      <c r="E22" s="1582"/>
      <c r="F22" s="1596"/>
      <c r="G22" s="1596"/>
      <c r="H22" s="1596"/>
      <c r="I22" s="1596"/>
      <c r="J22" s="1596"/>
      <c r="K22" s="1596"/>
      <c r="L22" s="1596"/>
      <c r="M22" s="1596"/>
      <c r="N22" s="1596"/>
    </row>
    <row r="23" spans="1:152" s="1484" customFormat="1" ht="12" customHeight="1" x14ac:dyDescent="0.25">
      <c r="A23" s="1584" t="s">
        <v>630</v>
      </c>
      <c r="B23" s="2818" t="s">
        <v>7952</v>
      </c>
      <c r="C23" s="2818"/>
      <c r="D23" s="2818"/>
      <c r="E23" s="2818"/>
      <c r="F23" s="2818"/>
      <c r="G23" s="1596"/>
      <c r="H23" s="1596"/>
      <c r="I23" s="1596"/>
      <c r="J23" s="1596"/>
      <c r="K23" s="1596"/>
      <c r="L23" s="1596"/>
      <c r="M23" s="1596"/>
      <c r="N23" s="1596"/>
    </row>
    <row r="24" spans="1:152" s="1484" customFormat="1" ht="15" x14ac:dyDescent="0.25">
      <c r="A24" s="1584"/>
      <c r="B24" s="2819" t="s">
        <v>778</v>
      </c>
      <c r="C24" s="2819"/>
      <c r="D24" s="2819"/>
      <c r="E24" s="2819"/>
      <c r="F24" s="2819"/>
      <c r="G24" s="1597"/>
      <c r="H24" s="1597"/>
      <c r="I24" s="1597"/>
      <c r="J24" s="1597"/>
      <c r="K24" s="1597"/>
      <c r="L24" s="1597"/>
      <c r="M24" s="1598"/>
      <c r="N24" s="1597"/>
    </row>
    <row r="25" spans="1:152" s="1484" customFormat="1" ht="5.25" customHeight="1" x14ac:dyDescent="0.25">
      <c r="A25" s="1584"/>
      <c r="B25" s="1584"/>
      <c r="C25" s="1584"/>
      <c r="D25" s="1599"/>
      <c r="E25" s="1599"/>
      <c r="F25" s="1599"/>
      <c r="G25" s="1599"/>
      <c r="H25" s="1599"/>
      <c r="I25" s="1599"/>
      <c r="J25" s="1599"/>
      <c r="K25" s="1599"/>
      <c r="L25" s="1599"/>
      <c r="M25" s="1597"/>
      <c r="N25" s="1597"/>
    </row>
    <row r="26" spans="1:152" s="1484" customFormat="1" ht="15" x14ac:dyDescent="0.25">
      <c r="A26" s="1600" t="s">
        <v>2488</v>
      </c>
      <c r="B26" s="1584"/>
      <c r="C26" s="1584"/>
      <c r="D26" s="2925" t="s">
        <v>7953</v>
      </c>
      <c r="E26" s="2925"/>
      <c r="F26" s="2925"/>
      <c r="G26" s="2024"/>
      <c r="H26" s="2024"/>
      <c r="I26" s="2024"/>
      <c r="J26" s="2024"/>
      <c r="K26" s="2024"/>
      <c r="L26" s="2024"/>
      <c r="M26" s="2024"/>
      <c r="N26" s="2024"/>
      <c r="ET26" s="1588" t="s">
        <v>7953</v>
      </c>
      <c r="EU26" s="1588" t="s">
        <v>588</v>
      </c>
      <c r="EV26" s="1588" t="s">
        <v>588</v>
      </c>
    </row>
    <row r="27" spans="1:152" s="1484" customFormat="1" ht="7.5" customHeight="1" x14ac:dyDescent="0.25">
      <c r="A27" s="1584"/>
      <c r="B27" s="1601"/>
      <c r="C27" s="1601"/>
      <c r="D27" s="1604"/>
      <c r="E27" s="1604"/>
      <c r="F27" s="1604"/>
      <c r="G27" s="1604"/>
      <c r="H27" s="1604"/>
      <c r="I27" s="1604"/>
      <c r="J27" s="1604"/>
      <c r="K27" s="1604"/>
      <c r="L27" s="1604"/>
      <c r="M27" s="1604"/>
      <c r="N27" s="1604"/>
    </row>
    <row r="28" spans="1:152" s="1484" customFormat="1" ht="12" customHeight="1" x14ac:dyDescent="0.25">
      <c r="A28" s="1600" t="s">
        <v>781</v>
      </c>
      <c r="B28" s="1601"/>
      <c r="C28" s="2025">
        <v>171724.78</v>
      </c>
      <c r="D28" s="2026" t="s">
        <v>7954</v>
      </c>
      <c r="E28" s="1617" t="s">
        <v>782</v>
      </c>
      <c r="G28" s="1601"/>
      <c r="H28" s="1601"/>
      <c r="I28" s="1601"/>
      <c r="J28" s="1601"/>
      <c r="K28" s="1601"/>
      <c r="L28" s="1608"/>
      <c r="M28" s="1608"/>
      <c r="N28" s="1601"/>
    </row>
    <row r="29" spans="1:152" s="1484" customFormat="1" ht="11.25" customHeight="1" x14ac:dyDescent="0.25">
      <c r="A29" s="1584"/>
      <c r="B29" s="1609" t="s">
        <v>783</v>
      </c>
      <c r="C29" s="2027"/>
      <c r="D29" s="1611"/>
      <c r="E29" s="1617"/>
      <c r="G29" s="1601"/>
    </row>
    <row r="30" spans="1:152" s="1484" customFormat="1" ht="12" customHeight="1" x14ac:dyDescent="0.25">
      <c r="A30" s="1584"/>
      <c r="B30" s="1612" t="s">
        <v>784</v>
      </c>
      <c r="C30" s="2025">
        <v>171206.48</v>
      </c>
      <c r="D30" s="2026" t="s">
        <v>7955</v>
      </c>
      <c r="E30" s="1617" t="s">
        <v>782</v>
      </c>
      <c r="G30" s="1601" t="s">
        <v>785</v>
      </c>
      <c r="I30" s="1601"/>
      <c r="J30" s="1601"/>
      <c r="K30" s="1601"/>
      <c r="L30" s="2025">
        <v>12238.9</v>
      </c>
      <c r="M30" s="2028" t="s">
        <v>7956</v>
      </c>
      <c r="N30" s="1617" t="s">
        <v>782</v>
      </c>
    </row>
    <row r="31" spans="1:152" s="1484" customFormat="1" ht="12" customHeight="1" x14ac:dyDescent="0.25">
      <c r="A31" s="1584"/>
      <c r="B31" s="1612" t="s">
        <v>680</v>
      </c>
      <c r="C31" s="2025">
        <v>518.30999999999995</v>
      </c>
      <c r="D31" s="2029" t="s">
        <v>7957</v>
      </c>
      <c r="E31" s="1617" t="s">
        <v>782</v>
      </c>
      <c r="G31" s="1601" t="s">
        <v>787</v>
      </c>
      <c r="I31" s="1601"/>
      <c r="J31" s="1601"/>
      <c r="K31" s="1601"/>
      <c r="L31" s="2921">
        <v>28897.96</v>
      </c>
      <c r="M31" s="2921"/>
      <c r="N31" s="1617" t="s">
        <v>2493</v>
      </c>
    </row>
    <row r="32" spans="1:152" s="1484" customFormat="1" ht="12" customHeight="1" x14ac:dyDescent="0.25">
      <c r="A32" s="1584"/>
      <c r="B32" s="1612" t="s">
        <v>681</v>
      </c>
      <c r="C32" s="2025">
        <v>0</v>
      </c>
      <c r="D32" s="2029" t="s">
        <v>2492</v>
      </c>
      <c r="E32" s="1617" t="s">
        <v>782</v>
      </c>
      <c r="G32" s="1601" t="s">
        <v>789</v>
      </c>
      <c r="I32" s="1601"/>
      <c r="J32" s="1601"/>
      <c r="K32" s="1601"/>
      <c r="L32" s="2921">
        <v>336.34</v>
      </c>
      <c r="M32" s="2921"/>
      <c r="N32" s="1617" t="s">
        <v>2493</v>
      </c>
    </row>
    <row r="33" spans="1:160" s="1484" customFormat="1" ht="12" customHeight="1" x14ac:dyDescent="0.25">
      <c r="A33" s="1584"/>
      <c r="B33" s="1612" t="s">
        <v>682</v>
      </c>
      <c r="C33" s="2025">
        <v>0</v>
      </c>
      <c r="D33" s="2026" t="s">
        <v>2492</v>
      </c>
      <c r="E33" s="1617" t="s">
        <v>782</v>
      </c>
      <c r="G33" s="1601"/>
      <c r="H33" s="1601"/>
      <c r="I33" s="1601"/>
      <c r="J33" s="1601"/>
      <c r="K33" s="1601"/>
      <c r="L33" s="2922" t="s">
        <v>461</v>
      </c>
      <c r="M33" s="2922"/>
      <c r="N33" s="1601"/>
    </row>
    <row r="34" spans="1:160" s="1484" customFormat="1" ht="7.5" customHeight="1" x14ac:dyDescent="0.25">
      <c r="A34" s="2030"/>
    </row>
    <row r="35" spans="1:160" s="1484" customFormat="1" ht="23.25" customHeight="1" x14ac:dyDescent="0.25">
      <c r="A35" s="2821" t="s">
        <v>5</v>
      </c>
      <c r="B35" s="2825" t="s">
        <v>665</v>
      </c>
      <c r="C35" s="2825" t="s">
        <v>527</v>
      </c>
      <c r="D35" s="2825"/>
      <c r="E35" s="2825"/>
      <c r="F35" s="2825" t="s">
        <v>455</v>
      </c>
      <c r="G35" s="2825" t="s">
        <v>790</v>
      </c>
      <c r="H35" s="2825"/>
      <c r="I35" s="2825"/>
      <c r="J35" s="2825" t="s">
        <v>2494</v>
      </c>
      <c r="K35" s="2825"/>
      <c r="L35" s="2825"/>
      <c r="M35" s="2825" t="s">
        <v>2495</v>
      </c>
      <c r="N35" s="2825" t="s">
        <v>2496</v>
      </c>
    </row>
    <row r="36" spans="1:160" s="1484" customFormat="1" ht="28.5" customHeight="1" x14ac:dyDescent="0.25">
      <c r="A36" s="2821"/>
      <c r="B36" s="2825"/>
      <c r="C36" s="2825"/>
      <c r="D36" s="2825"/>
      <c r="E36" s="2825"/>
      <c r="F36" s="2825"/>
      <c r="G36" s="2825"/>
      <c r="H36" s="2825"/>
      <c r="I36" s="2825"/>
      <c r="J36" s="2825"/>
      <c r="K36" s="2825"/>
      <c r="L36" s="2825"/>
      <c r="M36" s="2825"/>
      <c r="N36" s="2825"/>
    </row>
    <row r="37" spans="1:160" s="1484" customFormat="1" ht="22.5" x14ac:dyDescent="0.25">
      <c r="A37" s="2821"/>
      <c r="B37" s="2825"/>
      <c r="C37" s="2825"/>
      <c r="D37" s="2825"/>
      <c r="E37" s="2825"/>
      <c r="F37" s="2825"/>
      <c r="G37" s="1956" t="s">
        <v>1178</v>
      </c>
      <c r="H37" s="1956" t="s">
        <v>793</v>
      </c>
      <c r="I37" s="1956" t="s">
        <v>794</v>
      </c>
      <c r="J37" s="1956" t="s">
        <v>1178</v>
      </c>
      <c r="K37" s="1956" t="s">
        <v>793</v>
      </c>
      <c r="L37" s="1956" t="s">
        <v>683</v>
      </c>
      <c r="M37" s="2825"/>
      <c r="N37" s="2825"/>
    </row>
    <row r="38" spans="1:160" s="1484" customFormat="1" ht="15" x14ac:dyDescent="0.25">
      <c r="A38" s="1955">
        <v>1</v>
      </c>
      <c r="B38" s="1954">
        <v>2</v>
      </c>
      <c r="C38" s="2923">
        <v>3</v>
      </c>
      <c r="D38" s="2923"/>
      <c r="E38" s="2923"/>
      <c r="F38" s="1954">
        <v>4</v>
      </c>
      <c r="G38" s="1954">
        <v>5</v>
      </c>
      <c r="H38" s="1954">
        <v>6</v>
      </c>
      <c r="I38" s="1954">
        <v>7</v>
      </c>
      <c r="J38" s="1954">
        <v>8</v>
      </c>
      <c r="K38" s="1954">
        <v>9</v>
      </c>
      <c r="L38" s="1954">
        <v>10</v>
      </c>
      <c r="M38" s="1954">
        <v>11</v>
      </c>
      <c r="N38" s="1954">
        <v>12</v>
      </c>
    </row>
    <row r="39" spans="1:160" s="1484" customFormat="1" ht="15" x14ac:dyDescent="0.25">
      <c r="A39" s="2918" t="s">
        <v>7958</v>
      </c>
      <c r="B39" s="2919"/>
      <c r="C39" s="2919"/>
      <c r="D39" s="2919"/>
      <c r="E39" s="2919"/>
      <c r="F39" s="2919"/>
      <c r="G39" s="2919"/>
      <c r="H39" s="2919"/>
      <c r="I39" s="2919"/>
      <c r="J39" s="2919"/>
      <c r="K39" s="2919"/>
      <c r="L39" s="2919"/>
      <c r="M39" s="2919"/>
      <c r="N39" s="2920"/>
      <c r="EW39" s="2031" t="s">
        <v>7958</v>
      </c>
    </row>
    <row r="40" spans="1:160" s="1484" customFormat="1" ht="15" x14ac:dyDescent="0.25">
      <c r="A40" s="2811" t="s">
        <v>7959</v>
      </c>
      <c r="B40" s="2812"/>
      <c r="C40" s="2812"/>
      <c r="D40" s="2812"/>
      <c r="E40" s="2812"/>
      <c r="F40" s="2812"/>
      <c r="G40" s="2812"/>
      <c r="H40" s="2812"/>
      <c r="I40" s="2812"/>
      <c r="J40" s="2812"/>
      <c r="K40" s="2812"/>
      <c r="L40" s="2812"/>
      <c r="M40" s="2812"/>
      <c r="N40" s="2813"/>
      <c r="EW40" s="2031"/>
      <c r="EX40" s="1619" t="s">
        <v>7959</v>
      </c>
    </row>
    <row r="41" spans="1:160" s="1484" customFormat="1" ht="33.75" x14ac:dyDescent="0.25">
      <c r="A41" s="1620" t="s">
        <v>7960</v>
      </c>
      <c r="B41" s="1863" t="s">
        <v>7961</v>
      </c>
      <c r="C41" s="2803" t="s">
        <v>7962</v>
      </c>
      <c r="D41" s="2803"/>
      <c r="E41" s="2803"/>
      <c r="F41" s="1621" t="s">
        <v>2555</v>
      </c>
      <c r="G41" s="1622">
        <v>2.56</v>
      </c>
      <c r="H41" s="1623">
        <v>1</v>
      </c>
      <c r="I41" s="1687">
        <v>2.56</v>
      </c>
      <c r="J41" s="1625"/>
      <c r="K41" s="1622"/>
      <c r="L41" s="1625"/>
      <c r="M41" s="1622"/>
      <c r="N41" s="1627"/>
      <c r="EW41" s="2031"/>
      <c r="EX41" s="1619"/>
      <c r="EY41" s="1628" t="s">
        <v>7962</v>
      </c>
      <c r="EZ41" s="1628" t="s">
        <v>588</v>
      </c>
      <c r="FA41" s="1628" t="s">
        <v>588</v>
      </c>
    </row>
    <row r="42" spans="1:160" s="1484" customFormat="1" ht="15" x14ac:dyDescent="0.25">
      <c r="A42" s="1629"/>
      <c r="B42" s="1862"/>
      <c r="C42" s="2805" t="s">
        <v>8947</v>
      </c>
      <c r="D42" s="2805"/>
      <c r="E42" s="2805"/>
      <c r="F42" s="2805"/>
      <c r="G42" s="2805"/>
      <c r="H42" s="2805"/>
      <c r="I42" s="2805"/>
      <c r="J42" s="2805"/>
      <c r="K42" s="2805"/>
      <c r="L42" s="2805"/>
      <c r="M42" s="2805"/>
      <c r="N42" s="2806"/>
      <c r="EW42" s="2031"/>
      <c r="EX42" s="1619"/>
      <c r="EY42" s="1628"/>
      <c r="EZ42" s="1628"/>
      <c r="FA42" s="1628"/>
      <c r="FB42" s="1864" t="s">
        <v>8947</v>
      </c>
    </row>
    <row r="43" spans="1:160" s="1484" customFormat="1" ht="22.5" x14ac:dyDescent="0.25">
      <c r="A43" s="1630"/>
      <c r="B43" s="1631" t="s">
        <v>6062</v>
      </c>
      <c r="C43" s="2809" t="s">
        <v>6063</v>
      </c>
      <c r="D43" s="2809"/>
      <c r="E43" s="2809"/>
      <c r="F43" s="2809"/>
      <c r="G43" s="2809"/>
      <c r="H43" s="2809"/>
      <c r="I43" s="2809"/>
      <c r="J43" s="2809"/>
      <c r="K43" s="2809"/>
      <c r="L43" s="2809"/>
      <c r="M43" s="2809"/>
      <c r="N43" s="2810"/>
      <c r="EW43" s="2031"/>
      <c r="EX43" s="1619"/>
      <c r="EY43" s="1628"/>
      <c r="EZ43" s="1628"/>
      <c r="FA43" s="1628"/>
      <c r="FC43" s="1864" t="s">
        <v>6063</v>
      </c>
    </row>
    <row r="44" spans="1:160" s="1484" customFormat="1" ht="22.5" x14ac:dyDescent="0.25">
      <c r="A44" s="2033"/>
      <c r="B44" s="1631" t="s">
        <v>8960</v>
      </c>
      <c r="C44" s="2805" t="s">
        <v>8959</v>
      </c>
      <c r="D44" s="2805"/>
      <c r="E44" s="2805"/>
      <c r="F44" s="1683" t="s">
        <v>807</v>
      </c>
      <c r="G44" s="2034">
        <v>856</v>
      </c>
      <c r="H44" s="1641"/>
      <c r="I44" s="1655">
        <v>2191.36</v>
      </c>
      <c r="J44" s="1654">
        <v>10.5</v>
      </c>
      <c r="K44" s="1655">
        <v>1.25</v>
      </c>
      <c r="L44" s="1657">
        <v>28761.599999999999</v>
      </c>
      <c r="M44" s="1641"/>
      <c r="N44" s="1681"/>
      <c r="EW44" s="2031"/>
      <c r="EX44" s="1619"/>
      <c r="EY44" s="1628"/>
      <c r="EZ44" s="1628"/>
      <c r="FA44" s="1628"/>
      <c r="FD44" s="1864" t="s">
        <v>8959</v>
      </c>
    </row>
    <row r="45" spans="1:160" s="1484" customFormat="1" ht="15" x14ac:dyDescent="0.25">
      <c r="A45" s="2033"/>
      <c r="B45" s="1631" t="s">
        <v>1741</v>
      </c>
      <c r="C45" s="2805" t="s">
        <v>8697</v>
      </c>
      <c r="D45" s="2805"/>
      <c r="E45" s="2805"/>
      <c r="F45" s="1683" t="s">
        <v>4994</v>
      </c>
      <c r="G45" s="1655">
        <v>0.36</v>
      </c>
      <c r="H45" s="1641"/>
      <c r="I45" s="2035">
        <v>0.92159999999999997</v>
      </c>
      <c r="J45" s="1654">
        <v>89.99</v>
      </c>
      <c r="K45" s="1641"/>
      <c r="L45" s="1654">
        <v>82.93</v>
      </c>
      <c r="M45" s="1641"/>
      <c r="N45" s="1681"/>
      <c r="EW45" s="2031"/>
      <c r="EX45" s="1619"/>
      <c r="EY45" s="1628"/>
      <c r="EZ45" s="1628"/>
      <c r="FA45" s="1628"/>
      <c r="FD45" s="1864" t="s">
        <v>8697</v>
      </c>
    </row>
    <row r="46" spans="1:160" s="1484" customFormat="1" ht="22.5" x14ac:dyDescent="0.25">
      <c r="A46" s="2033"/>
      <c r="B46" s="1631" t="s">
        <v>5010</v>
      </c>
      <c r="C46" s="2805" t="s">
        <v>5011</v>
      </c>
      <c r="D46" s="2805"/>
      <c r="E46" s="2805"/>
      <c r="F46" s="1683" t="s">
        <v>4994</v>
      </c>
      <c r="G46" s="1655">
        <v>2.63</v>
      </c>
      <c r="H46" s="1641"/>
      <c r="I46" s="2035">
        <v>6.7328000000000001</v>
      </c>
      <c r="J46" s="1654">
        <v>31.26</v>
      </c>
      <c r="K46" s="1641"/>
      <c r="L46" s="1654">
        <v>210.47</v>
      </c>
      <c r="M46" s="1641"/>
      <c r="N46" s="1681"/>
      <c r="EW46" s="2031"/>
      <c r="EX46" s="1619"/>
      <c r="EY46" s="1628"/>
      <c r="EZ46" s="1628"/>
      <c r="FA46" s="1628"/>
      <c r="FD46" s="1864" t="s">
        <v>5011</v>
      </c>
    </row>
    <row r="47" spans="1:160" s="1484" customFormat="1" ht="22.5" x14ac:dyDescent="0.25">
      <c r="A47" s="2033"/>
      <c r="B47" s="1631" t="s">
        <v>5028</v>
      </c>
      <c r="C47" s="2805" t="s">
        <v>8958</v>
      </c>
      <c r="D47" s="2805"/>
      <c r="E47" s="2805"/>
      <c r="F47" s="1683" t="s">
        <v>4994</v>
      </c>
      <c r="G47" s="1655">
        <v>7.25</v>
      </c>
      <c r="H47" s="1641"/>
      <c r="I47" s="1655">
        <v>18.559999999999999</v>
      </c>
      <c r="J47" s="1654">
        <v>48.81</v>
      </c>
      <c r="K47" s="1641"/>
      <c r="L47" s="1654">
        <v>905.91</v>
      </c>
      <c r="M47" s="1641"/>
      <c r="N47" s="1681"/>
      <c r="EW47" s="2031"/>
      <c r="EX47" s="1619"/>
      <c r="EY47" s="1628"/>
      <c r="EZ47" s="1628"/>
      <c r="FA47" s="1628"/>
      <c r="FD47" s="1864" t="s">
        <v>8958</v>
      </c>
    </row>
    <row r="48" spans="1:160" s="1484" customFormat="1" ht="22.5" x14ac:dyDescent="0.25">
      <c r="A48" s="2033"/>
      <c r="B48" s="1631" t="s">
        <v>5031</v>
      </c>
      <c r="C48" s="2805" t="s">
        <v>8957</v>
      </c>
      <c r="D48" s="2805"/>
      <c r="E48" s="2805"/>
      <c r="F48" s="1683" t="s">
        <v>4994</v>
      </c>
      <c r="G48" s="1953">
        <v>14.5</v>
      </c>
      <c r="H48" s="1641"/>
      <c r="I48" s="1655">
        <v>37.119999999999997</v>
      </c>
      <c r="J48" s="1654">
        <v>0.14000000000000001</v>
      </c>
      <c r="K48" s="1641"/>
      <c r="L48" s="1654">
        <v>5.2</v>
      </c>
      <c r="M48" s="1641"/>
      <c r="N48" s="1681"/>
      <c r="EW48" s="2031"/>
      <c r="EX48" s="1619"/>
      <c r="EY48" s="1628"/>
      <c r="EZ48" s="1628"/>
      <c r="FA48" s="1628"/>
      <c r="FD48" s="1864" t="s">
        <v>8957</v>
      </c>
    </row>
    <row r="49" spans="1:163" s="1484" customFormat="1" ht="15" x14ac:dyDescent="0.25">
      <c r="A49" s="2033"/>
      <c r="B49" s="1631" t="s">
        <v>1755</v>
      </c>
      <c r="C49" s="2805" t="s">
        <v>2634</v>
      </c>
      <c r="D49" s="2805"/>
      <c r="E49" s="2805"/>
      <c r="F49" s="1683" t="s">
        <v>832</v>
      </c>
      <c r="G49" s="1953">
        <v>0.9</v>
      </c>
      <c r="H49" s="1641"/>
      <c r="I49" s="2046">
        <v>2.3039999999999998</v>
      </c>
      <c r="J49" s="1654">
        <v>2.44</v>
      </c>
      <c r="K49" s="1641"/>
      <c r="L49" s="1654">
        <v>5.62</v>
      </c>
      <c r="M49" s="1641"/>
      <c r="N49" s="1681"/>
      <c r="EW49" s="2031"/>
      <c r="EX49" s="1619"/>
      <c r="EY49" s="1628"/>
      <c r="EZ49" s="1628"/>
      <c r="FA49" s="1628"/>
      <c r="FD49" s="1864" t="s">
        <v>2634</v>
      </c>
    </row>
    <row r="50" spans="1:163" s="1484" customFormat="1" ht="15" x14ac:dyDescent="0.25">
      <c r="A50" s="2033"/>
      <c r="B50" s="1631" t="s">
        <v>8956</v>
      </c>
      <c r="C50" s="2805" t="s">
        <v>4923</v>
      </c>
      <c r="D50" s="2805"/>
      <c r="E50" s="2805"/>
      <c r="F50" s="1683" t="s">
        <v>832</v>
      </c>
      <c r="G50" s="1953">
        <v>1.7</v>
      </c>
      <c r="H50" s="1641"/>
      <c r="I50" s="2046">
        <v>4.3520000000000003</v>
      </c>
      <c r="J50" s="1654">
        <v>87.8</v>
      </c>
      <c r="K50" s="1641"/>
      <c r="L50" s="1654">
        <v>382.11</v>
      </c>
      <c r="M50" s="1641"/>
      <c r="N50" s="1681"/>
      <c r="EW50" s="2031"/>
      <c r="EX50" s="1619"/>
      <c r="EY50" s="1628"/>
      <c r="EZ50" s="1628"/>
      <c r="FA50" s="1628"/>
      <c r="FD50" s="1864" t="s">
        <v>4923</v>
      </c>
    </row>
    <row r="51" spans="1:163" s="1484" customFormat="1" ht="15" x14ac:dyDescent="0.25">
      <c r="A51" s="2033"/>
      <c r="B51" s="1631" t="s">
        <v>8695</v>
      </c>
      <c r="C51" s="2805" t="s">
        <v>2538</v>
      </c>
      <c r="D51" s="2805"/>
      <c r="E51" s="2805"/>
      <c r="F51" s="1683" t="s">
        <v>832</v>
      </c>
      <c r="G51" s="1953">
        <v>0.5</v>
      </c>
      <c r="H51" s="1641"/>
      <c r="I51" s="1655">
        <v>1.28</v>
      </c>
      <c r="J51" s="1654">
        <v>59.99</v>
      </c>
      <c r="K51" s="1641"/>
      <c r="L51" s="1654">
        <v>76.790000000000006</v>
      </c>
      <c r="M51" s="1641"/>
      <c r="N51" s="1681"/>
      <c r="EW51" s="2031"/>
      <c r="EX51" s="1619"/>
      <c r="EY51" s="1628"/>
      <c r="EZ51" s="1628"/>
      <c r="FA51" s="1628"/>
      <c r="FD51" s="1864" t="s">
        <v>2538</v>
      </c>
    </row>
    <row r="52" spans="1:163" s="1484" customFormat="1" ht="22.5" x14ac:dyDescent="0.25">
      <c r="A52" s="2033"/>
      <c r="B52" s="1631" t="s">
        <v>8955</v>
      </c>
      <c r="C52" s="2805" t="s">
        <v>8954</v>
      </c>
      <c r="D52" s="2805"/>
      <c r="E52" s="2805"/>
      <c r="F52" s="1683" t="s">
        <v>832</v>
      </c>
      <c r="G52" s="1953">
        <v>3.6</v>
      </c>
      <c r="H52" s="1641"/>
      <c r="I52" s="2046">
        <v>9.2159999999999993</v>
      </c>
      <c r="J52" s="1654">
        <v>497</v>
      </c>
      <c r="K52" s="1641"/>
      <c r="L52" s="1657">
        <v>4580.3500000000004</v>
      </c>
      <c r="M52" s="1641"/>
      <c r="N52" s="1681"/>
      <c r="EW52" s="2031"/>
      <c r="EX52" s="1619"/>
      <c r="EY52" s="1628"/>
      <c r="EZ52" s="1628"/>
      <c r="FA52" s="1628"/>
      <c r="FD52" s="1864" t="s">
        <v>8954</v>
      </c>
    </row>
    <row r="53" spans="1:163" s="1484" customFormat="1" ht="15" x14ac:dyDescent="0.25">
      <c r="A53" s="2033"/>
      <c r="B53" s="1631" t="s">
        <v>8953</v>
      </c>
      <c r="C53" s="2805" t="s">
        <v>8952</v>
      </c>
      <c r="D53" s="2805"/>
      <c r="E53" s="2805"/>
      <c r="F53" s="1683" t="s">
        <v>832</v>
      </c>
      <c r="G53" s="2042">
        <v>6.8399999999999997E-3</v>
      </c>
      <c r="H53" s="1641"/>
      <c r="I53" s="2049">
        <v>1.7510399999999999E-2</v>
      </c>
      <c r="J53" s="1657">
        <v>1250</v>
      </c>
      <c r="K53" s="1641"/>
      <c r="L53" s="1654">
        <v>21.89</v>
      </c>
      <c r="M53" s="1641"/>
      <c r="N53" s="1681"/>
      <c r="EW53" s="2031"/>
      <c r="EX53" s="1619"/>
      <c r="EY53" s="1628"/>
      <c r="EZ53" s="1628"/>
      <c r="FA53" s="1628"/>
      <c r="FD53" s="1864" t="s">
        <v>8952</v>
      </c>
    </row>
    <row r="54" spans="1:163" s="1484" customFormat="1" ht="15" x14ac:dyDescent="0.25">
      <c r="A54" s="2032"/>
      <c r="B54" s="1631" t="s">
        <v>190</v>
      </c>
      <c r="C54" s="2805" t="s">
        <v>2523</v>
      </c>
      <c r="D54" s="2805"/>
      <c r="E54" s="2805"/>
      <c r="F54" s="1683"/>
      <c r="G54" s="1641"/>
      <c r="H54" s="1641"/>
      <c r="I54" s="1641"/>
      <c r="J54" s="1657">
        <v>8988</v>
      </c>
      <c r="K54" s="1655">
        <v>1.25</v>
      </c>
      <c r="L54" s="1657">
        <v>28761.599999999999</v>
      </c>
      <c r="M54" s="1655">
        <v>35.75</v>
      </c>
      <c r="N54" s="1679">
        <v>1028227.2</v>
      </c>
      <c r="EW54" s="2031"/>
      <c r="EX54" s="1619"/>
      <c r="EY54" s="1628"/>
      <c r="EZ54" s="1628"/>
      <c r="FA54" s="1628"/>
      <c r="FE54" s="1864" t="s">
        <v>2523</v>
      </c>
    </row>
    <row r="55" spans="1:163" s="1484" customFormat="1" ht="15" x14ac:dyDescent="0.25">
      <c r="A55" s="2032"/>
      <c r="B55" s="1631" t="s">
        <v>639</v>
      </c>
      <c r="C55" s="2805" t="s">
        <v>697</v>
      </c>
      <c r="D55" s="2805"/>
      <c r="E55" s="2805"/>
      <c r="F55" s="1683"/>
      <c r="G55" s="1641"/>
      <c r="H55" s="1641"/>
      <c r="I55" s="1641"/>
      <c r="J55" s="1654">
        <v>470.51</v>
      </c>
      <c r="K55" s="1641"/>
      <c r="L55" s="1657">
        <v>1204.51</v>
      </c>
      <c r="M55" s="1655">
        <v>11.97</v>
      </c>
      <c r="N55" s="1679">
        <v>14417.98</v>
      </c>
      <c r="EW55" s="2031"/>
      <c r="EX55" s="1619"/>
      <c r="EY55" s="1628"/>
      <c r="EZ55" s="1628"/>
      <c r="FA55" s="1628"/>
      <c r="FE55" s="1864" t="s">
        <v>697</v>
      </c>
    </row>
    <row r="56" spans="1:163" s="1484" customFormat="1" ht="15" x14ac:dyDescent="0.25">
      <c r="A56" s="2032"/>
      <c r="B56" s="1631" t="s">
        <v>640</v>
      </c>
      <c r="C56" s="2805" t="s">
        <v>2500</v>
      </c>
      <c r="D56" s="2805"/>
      <c r="E56" s="2805"/>
      <c r="F56" s="1683"/>
      <c r="G56" s="1641"/>
      <c r="H56" s="1641"/>
      <c r="I56" s="1641"/>
      <c r="J56" s="1654">
        <v>39.130000000000003</v>
      </c>
      <c r="K56" s="1641"/>
      <c r="L56" s="1654">
        <v>100.17</v>
      </c>
      <c r="M56" s="1655">
        <v>35.75</v>
      </c>
      <c r="N56" s="1679">
        <v>3581.08</v>
      </c>
      <c r="EW56" s="2031"/>
      <c r="EX56" s="1619"/>
      <c r="EY56" s="1628"/>
      <c r="EZ56" s="1628"/>
      <c r="FA56" s="1628"/>
      <c r="FE56" s="1864" t="s">
        <v>2500</v>
      </c>
    </row>
    <row r="57" spans="1:163" s="1484" customFormat="1" ht="15" x14ac:dyDescent="0.25">
      <c r="A57" s="2032"/>
      <c r="B57" s="1631" t="s">
        <v>232</v>
      </c>
      <c r="C57" s="2805" t="s">
        <v>829</v>
      </c>
      <c r="D57" s="2805"/>
      <c r="E57" s="2805"/>
      <c r="F57" s="1683"/>
      <c r="G57" s="1641"/>
      <c r="H57" s="1641"/>
      <c r="I57" s="1641"/>
      <c r="J57" s="1657">
        <v>1979.21</v>
      </c>
      <c r="K57" s="1641"/>
      <c r="L57" s="1657">
        <v>5066.78</v>
      </c>
      <c r="M57" s="1655">
        <v>9.14</v>
      </c>
      <c r="N57" s="1679">
        <v>46310.37</v>
      </c>
      <c r="EW57" s="2031"/>
      <c r="EX57" s="1619"/>
      <c r="EY57" s="1628"/>
      <c r="EZ57" s="1628"/>
      <c r="FA57" s="1628"/>
      <c r="FE57" s="1864" t="s">
        <v>829</v>
      </c>
    </row>
    <row r="58" spans="1:163" s="1484" customFormat="1" ht="15" x14ac:dyDescent="0.25">
      <c r="A58" s="2033"/>
      <c r="B58" s="1631"/>
      <c r="C58" s="2805" t="s">
        <v>2524</v>
      </c>
      <c r="D58" s="2805"/>
      <c r="E58" s="2805"/>
      <c r="F58" s="1683" t="s">
        <v>807</v>
      </c>
      <c r="G58" s="2034">
        <v>856</v>
      </c>
      <c r="H58" s="1641"/>
      <c r="I58" s="1655">
        <v>2191.36</v>
      </c>
      <c r="J58" s="1640"/>
      <c r="K58" s="1641"/>
      <c r="L58" s="1640"/>
      <c r="M58" s="1641"/>
      <c r="N58" s="1681"/>
      <c r="EW58" s="2031"/>
      <c r="EX58" s="1619"/>
      <c r="EY58" s="1628"/>
      <c r="EZ58" s="1628"/>
      <c r="FA58" s="1628"/>
      <c r="FF58" s="1864" t="s">
        <v>2524</v>
      </c>
    </row>
    <row r="59" spans="1:163" s="1484" customFormat="1" ht="15" x14ac:dyDescent="0.25">
      <c r="A59" s="2033"/>
      <c r="B59" s="1631"/>
      <c r="C59" s="2805" t="s">
        <v>2501</v>
      </c>
      <c r="D59" s="2805"/>
      <c r="E59" s="2805"/>
      <c r="F59" s="1683" t="s">
        <v>807</v>
      </c>
      <c r="G59" s="1655">
        <v>2.99</v>
      </c>
      <c r="H59" s="1641"/>
      <c r="I59" s="2035">
        <v>7.6543999999999999</v>
      </c>
      <c r="J59" s="1640"/>
      <c r="K59" s="1641"/>
      <c r="L59" s="1640"/>
      <c r="M59" s="1641"/>
      <c r="N59" s="1681"/>
      <c r="EW59" s="2031"/>
      <c r="EX59" s="1619"/>
      <c r="EY59" s="1628"/>
      <c r="EZ59" s="1628"/>
      <c r="FA59" s="1628"/>
      <c r="FF59" s="1864" t="s">
        <v>2501</v>
      </c>
    </row>
    <row r="60" spans="1:163" s="1484" customFormat="1" ht="15" x14ac:dyDescent="0.25">
      <c r="A60" s="2032"/>
      <c r="B60" s="1631"/>
      <c r="C60" s="2917" t="s">
        <v>2502</v>
      </c>
      <c r="D60" s="2917"/>
      <c r="E60" s="2917"/>
      <c r="F60" s="2036"/>
      <c r="G60" s="2037"/>
      <c r="H60" s="2037"/>
      <c r="I60" s="2037"/>
      <c r="J60" s="2038">
        <v>11437.72</v>
      </c>
      <c r="K60" s="2037"/>
      <c r="L60" s="2038">
        <v>35032.89</v>
      </c>
      <c r="M60" s="2037"/>
      <c r="N60" s="2068">
        <v>1088955.55</v>
      </c>
      <c r="EW60" s="2031"/>
      <c r="EX60" s="1619"/>
      <c r="EY60" s="1628"/>
      <c r="EZ60" s="1628"/>
      <c r="FA60" s="1628"/>
      <c r="FG60" s="1864" t="s">
        <v>2502</v>
      </c>
    </row>
    <row r="61" spans="1:163" s="1484" customFormat="1" ht="15" x14ac:dyDescent="0.25">
      <c r="A61" s="2033" t="s">
        <v>7963</v>
      </c>
      <c r="B61" s="1631"/>
      <c r="C61" s="2805" t="s">
        <v>7964</v>
      </c>
      <c r="D61" s="2805"/>
      <c r="E61" s="2805"/>
      <c r="F61" s="1683" t="s">
        <v>5928</v>
      </c>
      <c r="G61" s="1641"/>
      <c r="H61" s="1641"/>
      <c r="I61" s="1641"/>
      <c r="J61" s="1640"/>
      <c r="K61" s="1641"/>
      <c r="L61" s="1654">
        <v>25.04</v>
      </c>
      <c r="M61" s="1641"/>
      <c r="N61" s="2039">
        <v>895.18</v>
      </c>
      <c r="EW61" s="2031"/>
      <c r="EX61" s="1619"/>
      <c r="EY61" s="1628"/>
      <c r="EZ61" s="1628"/>
      <c r="FA61" s="1628"/>
      <c r="FF61" s="1864" t="s">
        <v>7964</v>
      </c>
    </row>
    <row r="62" spans="1:163" s="1484" customFormat="1" ht="15" x14ac:dyDescent="0.25">
      <c r="A62" s="2033"/>
      <c r="B62" s="1631"/>
      <c r="C62" s="2805" t="s">
        <v>7965</v>
      </c>
      <c r="D62" s="2805"/>
      <c r="E62" s="2805"/>
      <c r="F62" s="1683" t="s">
        <v>5928</v>
      </c>
      <c r="G62" s="1641"/>
      <c r="H62" s="1641"/>
      <c r="I62" s="1641"/>
      <c r="J62" s="1654">
        <v>39.130000000000003</v>
      </c>
      <c r="K62" s="1655">
        <v>0.25</v>
      </c>
      <c r="L62" s="1654">
        <v>25.04</v>
      </c>
      <c r="M62" s="1655">
        <v>35.75</v>
      </c>
      <c r="N62" s="2039">
        <v>895.18</v>
      </c>
      <c r="EW62" s="2031"/>
      <c r="EX62" s="1619"/>
      <c r="EY62" s="1628"/>
      <c r="EZ62" s="1628"/>
      <c r="FA62" s="1628"/>
      <c r="FF62" s="1864" t="s">
        <v>7965</v>
      </c>
    </row>
    <row r="63" spans="1:163" s="1484" customFormat="1" ht="15" x14ac:dyDescent="0.25">
      <c r="A63" s="2033"/>
      <c r="B63" s="1631"/>
      <c r="C63" s="2805" t="s">
        <v>867</v>
      </c>
      <c r="D63" s="2805"/>
      <c r="E63" s="2805"/>
      <c r="F63" s="1683"/>
      <c r="G63" s="1641"/>
      <c r="H63" s="1641"/>
      <c r="I63" s="1641"/>
      <c r="J63" s="1640"/>
      <c r="K63" s="1641"/>
      <c r="L63" s="1657">
        <v>28886.81</v>
      </c>
      <c r="M63" s="1641"/>
      <c r="N63" s="1679">
        <v>1032703.46</v>
      </c>
      <c r="EW63" s="2031"/>
      <c r="EX63" s="1619"/>
      <c r="EY63" s="1628"/>
      <c r="EZ63" s="1628"/>
      <c r="FA63" s="1628"/>
      <c r="FF63" s="1864" t="s">
        <v>867</v>
      </c>
    </row>
    <row r="64" spans="1:163" s="1484" customFormat="1" ht="15" x14ac:dyDescent="0.25">
      <c r="A64" s="2033"/>
      <c r="B64" s="1631" t="s">
        <v>7966</v>
      </c>
      <c r="C64" s="2805" t="s">
        <v>7967</v>
      </c>
      <c r="D64" s="2805"/>
      <c r="E64" s="2805"/>
      <c r="F64" s="1683" t="s">
        <v>636</v>
      </c>
      <c r="G64" s="2034">
        <v>100</v>
      </c>
      <c r="H64" s="1641"/>
      <c r="I64" s="2034">
        <v>100</v>
      </c>
      <c r="J64" s="1640"/>
      <c r="K64" s="1641"/>
      <c r="L64" s="1657">
        <v>28886.81</v>
      </c>
      <c r="M64" s="1641"/>
      <c r="N64" s="1679">
        <v>1032703.46</v>
      </c>
      <c r="EW64" s="2031"/>
      <c r="EX64" s="1619"/>
      <c r="EY64" s="1628"/>
      <c r="EZ64" s="1628"/>
      <c r="FA64" s="1628"/>
      <c r="FF64" s="1864" t="s">
        <v>7967</v>
      </c>
    </row>
    <row r="65" spans="1:176" s="1484" customFormat="1" ht="15" x14ac:dyDescent="0.25">
      <c r="A65" s="2033"/>
      <c r="B65" s="1631" t="s">
        <v>7968</v>
      </c>
      <c r="C65" s="2805" t="s">
        <v>7969</v>
      </c>
      <c r="D65" s="2805"/>
      <c r="E65" s="2805"/>
      <c r="F65" s="1683" t="s">
        <v>636</v>
      </c>
      <c r="G65" s="2034">
        <v>49</v>
      </c>
      <c r="H65" s="1641"/>
      <c r="I65" s="2034">
        <v>49</v>
      </c>
      <c r="J65" s="1640"/>
      <c r="K65" s="1641"/>
      <c r="L65" s="1657">
        <v>14154.54</v>
      </c>
      <c r="M65" s="1641"/>
      <c r="N65" s="1679">
        <v>506024.7</v>
      </c>
      <c r="EW65" s="2031"/>
      <c r="EX65" s="1619"/>
      <c r="EY65" s="1628"/>
      <c r="EZ65" s="1628"/>
      <c r="FA65" s="1628"/>
      <c r="FF65" s="1864" t="s">
        <v>7969</v>
      </c>
    </row>
    <row r="66" spans="1:176" s="1484" customFormat="1" ht="15" x14ac:dyDescent="0.25">
      <c r="A66" s="1650"/>
      <c r="B66" s="1651"/>
      <c r="C66" s="2803" t="s">
        <v>872</v>
      </c>
      <c r="D66" s="2803"/>
      <c r="E66" s="2803"/>
      <c r="F66" s="1621"/>
      <c r="G66" s="1622"/>
      <c r="H66" s="1622"/>
      <c r="I66" s="1622"/>
      <c r="J66" s="1625"/>
      <c r="K66" s="1622"/>
      <c r="L66" s="1648">
        <v>78099.28</v>
      </c>
      <c r="M66" s="2037"/>
      <c r="N66" s="1649">
        <v>2628578.89</v>
      </c>
      <c r="EW66" s="2031"/>
      <c r="EX66" s="1619"/>
      <c r="EY66" s="1628"/>
      <c r="EZ66" s="1628"/>
      <c r="FA66" s="1628"/>
      <c r="FH66" s="1628" t="s">
        <v>872</v>
      </c>
    </row>
    <row r="67" spans="1:176" s="1484" customFormat="1" ht="22.5" x14ac:dyDescent="0.25">
      <c r="A67" s="1620" t="s">
        <v>7970</v>
      </c>
      <c r="B67" s="1863" t="s">
        <v>7971</v>
      </c>
      <c r="C67" s="2803" t="s">
        <v>7972</v>
      </c>
      <c r="D67" s="2803"/>
      <c r="E67" s="2803"/>
      <c r="F67" s="1621" t="s">
        <v>130</v>
      </c>
      <c r="G67" s="1622">
        <v>248.32</v>
      </c>
      <c r="H67" s="1623">
        <v>1</v>
      </c>
      <c r="I67" s="1687">
        <v>248.32</v>
      </c>
      <c r="J67" s="2040">
        <v>258.27999999999997</v>
      </c>
      <c r="K67" s="1622"/>
      <c r="L67" s="1648">
        <v>64136.09</v>
      </c>
      <c r="M67" s="1687">
        <v>9.14</v>
      </c>
      <c r="N67" s="1649">
        <v>586203.86</v>
      </c>
      <c r="EW67" s="2031"/>
      <c r="EX67" s="1619"/>
      <c r="EY67" s="1628" t="s">
        <v>7972</v>
      </c>
      <c r="EZ67" s="1628" t="s">
        <v>588</v>
      </c>
      <c r="FA67" s="1628" t="s">
        <v>588</v>
      </c>
      <c r="FH67" s="1628"/>
    </row>
    <row r="68" spans="1:176" s="1484" customFormat="1" ht="15" x14ac:dyDescent="0.25">
      <c r="A68" s="1650"/>
      <c r="B68" s="1651"/>
      <c r="C68" s="2805" t="s">
        <v>8689</v>
      </c>
      <c r="D68" s="2805"/>
      <c r="E68" s="2805"/>
      <c r="F68" s="2805"/>
      <c r="G68" s="2805"/>
      <c r="H68" s="2805"/>
      <c r="I68" s="2805"/>
      <c r="J68" s="2805"/>
      <c r="K68" s="2805"/>
      <c r="L68" s="2805"/>
      <c r="M68" s="2805"/>
      <c r="N68" s="2806"/>
      <c r="EW68" s="2031"/>
      <c r="EX68" s="1619"/>
      <c r="EY68" s="1628"/>
      <c r="EZ68" s="1628"/>
      <c r="FA68" s="1628"/>
      <c r="FH68" s="1628"/>
      <c r="FI68" s="1864" t="s">
        <v>8689</v>
      </c>
      <c r="FJ68" s="1864" t="s">
        <v>588</v>
      </c>
      <c r="FK68" s="1864" t="s">
        <v>588</v>
      </c>
      <c r="FL68" s="1864" t="s">
        <v>588</v>
      </c>
      <c r="FM68" s="1864" t="s">
        <v>588</v>
      </c>
      <c r="FN68" s="1864" t="s">
        <v>588</v>
      </c>
      <c r="FO68" s="1864" t="s">
        <v>588</v>
      </c>
      <c r="FP68" s="1864" t="s">
        <v>588</v>
      </c>
      <c r="FQ68" s="1864" t="s">
        <v>588</v>
      </c>
      <c r="FR68" s="1864" t="s">
        <v>588</v>
      </c>
      <c r="FS68" s="1864" t="s">
        <v>588</v>
      </c>
      <c r="FT68" s="1864" t="s">
        <v>588</v>
      </c>
    </row>
    <row r="69" spans="1:176" s="1484" customFormat="1" ht="15" x14ac:dyDescent="0.25">
      <c r="A69" s="1629"/>
      <c r="B69" s="1862"/>
      <c r="C69" s="2805" t="s">
        <v>8951</v>
      </c>
      <c r="D69" s="2805"/>
      <c r="E69" s="2805"/>
      <c r="F69" s="2805"/>
      <c r="G69" s="2805"/>
      <c r="H69" s="2805"/>
      <c r="I69" s="2805"/>
      <c r="J69" s="2805"/>
      <c r="K69" s="2805"/>
      <c r="L69" s="2805"/>
      <c r="M69" s="2805"/>
      <c r="N69" s="2806"/>
      <c r="EW69" s="2031"/>
      <c r="EX69" s="1619"/>
      <c r="EY69" s="1628"/>
      <c r="EZ69" s="1628"/>
      <c r="FA69" s="1628"/>
      <c r="FB69" s="1864" t="s">
        <v>8951</v>
      </c>
      <c r="FH69" s="1628"/>
    </row>
    <row r="70" spans="1:176" s="1484" customFormat="1" ht="15" x14ac:dyDescent="0.25">
      <c r="A70" s="1650"/>
      <c r="B70" s="1651"/>
      <c r="C70" s="2803" t="s">
        <v>872</v>
      </c>
      <c r="D70" s="2803"/>
      <c r="E70" s="2803"/>
      <c r="F70" s="1621"/>
      <c r="G70" s="1622"/>
      <c r="H70" s="1622"/>
      <c r="I70" s="1622"/>
      <c r="J70" s="1625"/>
      <c r="K70" s="1622"/>
      <c r="L70" s="1648">
        <v>64136.09</v>
      </c>
      <c r="M70" s="2037"/>
      <c r="N70" s="1649">
        <v>586203.86</v>
      </c>
      <c r="EW70" s="2031"/>
      <c r="EX70" s="1619"/>
      <c r="EY70" s="1628"/>
      <c r="EZ70" s="1628"/>
      <c r="FA70" s="1628"/>
      <c r="FH70" s="1628" t="s">
        <v>872</v>
      </c>
    </row>
    <row r="71" spans="1:176" s="1484" customFormat="1" ht="22.5" x14ac:dyDescent="0.25">
      <c r="A71" s="1620" t="s">
        <v>7973</v>
      </c>
      <c r="B71" s="1863" t="s">
        <v>8950</v>
      </c>
      <c r="C71" s="2803" t="s">
        <v>7974</v>
      </c>
      <c r="D71" s="2803"/>
      <c r="E71" s="2803"/>
      <c r="F71" s="1621" t="s">
        <v>801</v>
      </c>
      <c r="G71" s="1622">
        <v>0.79359999999999997</v>
      </c>
      <c r="H71" s="1623">
        <v>1</v>
      </c>
      <c r="I71" s="2041">
        <v>0.79359999999999997</v>
      </c>
      <c r="J71" s="1625"/>
      <c r="K71" s="1622"/>
      <c r="L71" s="1625"/>
      <c r="M71" s="1622"/>
      <c r="N71" s="1627"/>
      <c r="EW71" s="2031"/>
      <c r="EX71" s="1619"/>
      <c r="EY71" s="1628" t="s">
        <v>7974</v>
      </c>
      <c r="EZ71" s="1628" t="s">
        <v>588</v>
      </c>
      <c r="FA71" s="1628" t="s">
        <v>588</v>
      </c>
      <c r="FH71" s="1628"/>
    </row>
    <row r="72" spans="1:176" s="1484" customFormat="1" ht="15" x14ac:dyDescent="0.25">
      <c r="A72" s="1629"/>
      <c r="B72" s="1862"/>
      <c r="C72" s="2805" t="s">
        <v>8949</v>
      </c>
      <c r="D72" s="2805"/>
      <c r="E72" s="2805"/>
      <c r="F72" s="2805"/>
      <c r="G72" s="2805"/>
      <c r="H72" s="2805"/>
      <c r="I72" s="2805"/>
      <c r="J72" s="2805"/>
      <c r="K72" s="2805"/>
      <c r="L72" s="2805"/>
      <c r="M72" s="2805"/>
      <c r="N72" s="2806"/>
      <c r="EW72" s="2031"/>
      <c r="EX72" s="1619"/>
      <c r="EY72" s="1628"/>
      <c r="EZ72" s="1628"/>
      <c r="FA72" s="1628"/>
      <c r="FB72" s="1864" t="s">
        <v>8949</v>
      </c>
      <c r="FH72" s="1628"/>
    </row>
    <row r="73" spans="1:176" s="1484" customFormat="1" ht="22.5" x14ac:dyDescent="0.25">
      <c r="A73" s="1630"/>
      <c r="B73" s="1631" t="s">
        <v>6062</v>
      </c>
      <c r="C73" s="2809" t="s">
        <v>6063</v>
      </c>
      <c r="D73" s="2809"/>
      <c r="E73" s="2809"/>
      <c r="F73" s="2809"/>
      <c r="G73" s="2809"/>
      <c r="H73" s="2809"/>
      <c r="I73" s="2809"/>
      <c r="J73" s="2809"/>
      <c r="K73" s="2809"/>
      <c r="L73" s="2809"/>
      <c r="M73" s="2809"/>
      <c r="N73" s="2810"/>
      <c r="EW73" s="2031"/>
      <c r="EX73" s="1619"/>
      <c r="EY73" s="1628"/>
      <c r="EZ73" s="1628"/>
      <c r="FA73" s="1628"/>
      <c r="FC73" s="1864" t="s">
        <v>6063</v>
      </c>
      <c r="FH73" s="1628"/>
    </row>
    <row r="74" spans="1:176" s="1484" customFormat="1" ht="22.5" x14ac:dyDescent="0.25">
      <c r="A74" s="2033"/>
      <c r="B74" s="1631" t="s">
        <v>8756</v>
      </c>
      <c r="C74" s="2805" t="s">
        <v>8755</v>
      </c>
      <c r="D74" s="2805"/>
      <c r="E74" s="2805"/>
      <c r="F74" s="1683" t="s">
        <v>807</v>
      </c>
      <c r="G74" s="1953">
        <v>56.4</v>
      </c>
      <c r="H74" s="1641"/>
      <c r="I74" s="2042">
        <v>44.759039999999999</v>
      </c>
      <c r="J74" s="1654">
        <v>7.94</v>
      </c>
      <c r="K74" s="1655">
        <v>1.25</v>
      </c>
      <c r="L74" s="1654">
        <v>444.23</v>
      </c>
      <c r="M74" s="1641"/>
      <c r="N74" s="1681"/>
      <c r="EW74" s="2031"/>
      <c r="EX74" s="1619"/>
      <c r="EY74" s="1628"/>
      <c r="EZ74" s="1628"/>
      <c r="FA74" s="1628"/>
      <c r="FD74" s="1864" t="s">
        <v>8755</v>
      </c>
      <c r="FH74" s="1628"/>
    </row>
    <row r="75" spans="1:176" s="1484" customFormat="1" ht="15" x14ac:dyDescent="0.25">
      <c r="A75" s="2033"/>
      <c r="B75" s="1631" t="s">
        <v>1734</v>
      </c>
      <c r="C75" s="2805" t="s">
        <v>5002</v>
      </c>
      <c r="D75" s="2805"/>
      <c r="E75" s="2805"/>
      <c r="F75" s="1683" t="s">
        <v>4994</v>
      </c>
      <c r="G75" s="1655">
        <v>0.23</v>
      </c>
      <c r="H75" s="1641"/>
      <c r="I75" s="2043">
        <v>0.182528</v>
      </c>
      <c r="J75" s="1654">
        <v>86.4</v>
      </c>
      <c r="K75" s="1641"/>
      <c r="L75" s="1654">
        <v>15.77</v>
      </c>
      <c r="M75" s="1641"/>
      <c r="N75" s="1681"/>
      <c r="EW75" s="2031"/>
      <c r="EX75" s="1619"/>
      <c r="EY75" s="1628"/>
      <c r="EZ75" s="1628"/>
      <c r="FA75" s="1628"/>
      <c r="FD75" s="1864" t="s">
        <v>5002</v>
      </c>
      <c r="FH75" s="1628"/>
    </row>
    <row r="76" spans="1:176" s="1484" customFormat="1" ht="15" x14ac:dyDescent="0.25">
      <c r="A76" s="2033"/>
      <c r="B76" s="1631" t="s">
        <v>821</v>
      </c>
      <c r="C76" s="2805" t="s">
        <v>822</v>
      </c>
      <c r="D76" s="2805"/>
      <c r="E76" s="2805"/>
      <c r="F76" s="1683" t="s">
        <v>4994</v>
      </c>
      <c r="G76" s="1655">
        <v>0.28000000000000003</v>
      </c>
      <c r="H76" s="1641"/>
      <c r="I76" s="2043">
        <v>0.22220799999999999</v>
      </c>
      <c r="J76" s="1654">
        <v>65.709999999999994</v>
      </c>
      <c r="K76" s="1641"/>
      <c r="L76" s="1654">
        <v>14.6</v>
      </c>
      <c r="M76" s="1641"/>
      <c r="N76" s="1681"/>
      <c r="EW76" s="2031"/>
      <c r="EX76" s="1619"/>
      <c r="EY76" s="1628"/>
      <c r="EZ76" s="1628"/>
      <c r="FA76" s="1628"/>
      <c r="FD76" s="1864" t="s">
        <v>822</v>
      </c>
      <c r="FH76" s="1628"/>
    </row>
    <row r="77" spans="1:176" s="1484" customFormat="1" ht="15" x14ac:dyDescent="0.25">
      <c r="A77" s="2032"/>
      <c r="B77" s="1631" t="s">
        <v>190</v>
      </c>
      <c r="C77" s="2805" t="s">
        <v>2523</v>
      </c>
      <c r="D77" s="2805"/>
      <c r="E77" s="2805"/>
      <c r="F77" s="1683"/>
      <c r="G77" s="1641"/>
      <c r="H77" s="1641"/>
      <c r="I77" s="1641"/>
      <c r="J77" s="1654">
        <v>447.82</v>
      </c>
      <c r="K77" s="1655">
        <v>1.25</v>
      </c>
      <c r="L77" s="1654">
        <v>444.24</v>
      </c>
      <c r="M77" s="1655">
        <v>35.75</v>
      </c>
      <c r="N77" s="1679">
        <v>15881.58</v>
      </c>
      <c r="EW77" s="2031"/>
      <c r="EX77" s="1619"/>
      <c r="EY77" s="1628"/>
      <c r="EZ77" s="1628"/>
      <c r="FA77" s="1628"/>
      <c r="FE77" s="1864" t="s">
        <v>2523</v>
      </c>
      <c r="FH77" s="1628"/>
    </row>
    <row r="78" spans="1:176" s="1484" customFormat="1" ht="15" x14ac:dyDescent="0.25">
      <c r="A78" s="2032"/>
      <c r="B78" s="1631" t="s">
        <v>639</v>
      </c>
      <c r="C78" s="2805" t="s">
        <v>697</v>
      </c>
      <c r="D78" s="2805"/>
      <c r="E78" s="2805"/>
      <c r="F78" s="1683"/>
      <c r="G78" s="1641"/>
      <c r="H78" s="1641"/>
      <c r="I78" s="1641"/>
      <c r="J78" s="1654">
        <v>38.270000000000003</v>
      </c>
      <c r="K78" s="1641"/>
      <c r="L78" s="1654">
        <v>30.37</v>
      </c>
      <c r="M78" s="1655">
        <v>11.97</v>
      </c>
      <c r="N78" s="2039">
        <v>363.53</v>
      </c>
      <c r="EW78" s="2031"/>
      <c r="EX78" s="1619"/>
      <c r="EY78" s="1628"/>
      <c r="EZ78" s="1628"/>
      <c r="FA78" s="1628"/>
      <c r="FE78" s="1864" t="s">
        <v>697</v>
      </c>
      <c r="FH78" s="1628"/>
    </row>
    <row r="79" spans="1:176" s="1484" customFormat="1" ht="15" x14ac:dyDescent="0.25">
      <c r="A79" s="2032"/>
      <c r="B79" s="1631" t="s">
        <v>640</v>
      </c>
      <c r="C79" s="2805" t="s">
        <v>2500</v>
      </c>
      <c r="D79" s="2805"/>
      <c r="E79" s="2805"/>
      <c r="F79" s="1683"/>
      <c r="G79" s="1641"/>
      <c r="H79" s="1641"/>
      <c r="I79" s="1641"/>
      <c r="J79" s="1654">
        <v>6.36</v>
      </c>
      <c r="K79" s="1641"/>
      <c r="L79" s="1654">
        <v>5.05</v>
      </c>
      <c r="M79" s="1655">
        <v>35.75</v>
      </c>
      <c r="N79" s="2039">
        <v>180.54</v>
      </c>
      <c r="EW79" s="2031"/>
      <c r="EX79" s="1619"/>
      <c r="EY79" s="1628"/>
      <c r="EZ79" s="1628"/>
      <c r="FA79" s="1628"/>
      <c r="FE79" s="1864" t="s">
        <v>2500</v>
      </c>
      <c r="FH79" s="1628"/>
    </row>
    <row r="80" spans="1:176" s="1484" customFormat="1" ht="15" x14ac:dyDescent="0.25">
      <c r="A80" s="2033"/>
      <c r="B80" s="1631"/>
      <c r="C80" s="2805" t="s">
        <v>2524</v>
      </c>
      <c r="D80" s="2805"/>
      <c r="E80" s="2805"/>
      <c r="F80" s="1683" t="s">
        <v>807</v>
      </c>
      <c r="G80" s="1953">
        <v>56.4</v>
      </c>
      <c r="H80" s="1641"/>
      <c r="I80" s="2042">
        <v>44.759039999999999</v>
      </c>
      <c r="J80" s="1640"/>
      <c r="K80" s="1641"/>
      <c r="L80" s="1640"/>
      <c r="M80" s="1641"/>
      <c r="N80" s="1681"/>
      <c r="EW80" s="2031"/>
      <c r="EX80" s="1619"/>
      <c r="EY80" s="1628"/>
      <c r="EZ80" s="1628"/>
      <c r="FA80" s="1628"/>
      <c r="FF80" s="1864" t="s">
        <v>2524</v>
      </c>
      <c r="FH80" s="1628"/>
    </row>
    <row r="81" spans="1:176" s="1484" customFormat="1" ht="15" x14ac:dyDescent="0.25">
      <c r="A81" s="2033"/>
      <c r="B81" s="1631"/>
      <c r="C81" s="2805" t="s">
        <v>2501</v>
      </c>
      <c r="D81" s="2805"/>
      <c r="E81" s="2805"/>
      <c r="F81" s="1683" t="s">
        <v>807</v>
      </c>
      <c r="G81" s="1655">
        <v>0.51</v>
      </c>
      <c r="H81" s="1641"/>
      <c r="I81" s="2043">
        <v>0.40473599999999998</v>
      </c>
      <c r="J81" s="1640"/>
      <c r="K81" s="1641"/>
      <c r="L81" s="1640"/>
      <c r="M81" s="1641"/>
      <c r="N81" s="1681"/>
      <c r="EW81" s="2031"/>
      <c r="EX81" s="1619"/>
      <c r="EY81" s="1628"/>
      <c r="EZ81" s="1628"/>
      <c r="FA81" s="1628"/>
      <c r="FF81" s="1864" t="s">
        <v>2501</v>
      </c>
      <c r="FH81" s="1628"/>
    </row>
    <row r="82" spans="1:176" s="1484" customFormat="1" ht="15" x14ac:dyDescent="0.25">
      <c r="A82" s="2032"/>
      <c r="B82" s="1631"/>
      <c r="C82" s="2917" t="s">
        <v>2502</v>
      </c>
      <c r="D82" s="2917"/>
      <c r="E82" s="2917"/>
      <c r="F82" s="2036"/>
      <c r="G82" s="2037"/>
      <c r="H82" s="2037"/>
      <c r="I82" s="2037"/>
      <c r="J82" s="2044">
        <v>486.09</v>
      </c>
      <c r="K82" s="2037"/>
      <c r="L82" s="2044">
        <v>474.61</v>
      </c>
      <c r="M82" s="2037"/>
      <c r="N82" s="2068">
        <v>16245.11</v>
      </c>
      <c r="EW82" s="2031"/>
      <c r="EX82" s="1619"/>
      <c r="EY82" s="1628"/>
      <c r="EZ82" s="1628"/>
      <c r="FA82" s="1628"/>
      <c r="FG82" s="1864" t="s">
        <v>2502</v>
      </c>
      <c r="FH82" s="1628"/>
    </row>
    <row r="83" spans="1:176" s="1484" customFormat="1" ht="15" x14ac:dyDescent="0.25">
      <c r="A83" s="2033" t="s">
        <v>7975</v>
      </c>
      <c r="B83" s="1631"/>
      <c r="C83" s="2805" t="s">
        <v>7964</v>
      </c>
      <c r="D83" s="2805"/>
      <c r="E83" s="2805"/>
      <c r="F83" s="1683" t="s">
        <v>5928</v>
      </c>
      <c r="G83" s="1641"/>
      <c r="H83" s="1641"/>
      <c r="I83" s="1641"/>
      <c r="J83" s="1640"/>
      <c r="K83" s="1641"/>
      <c r="L83" s="1654">
        <v>1.26</v>
      </c>
      <c r="M83" s="1641"/>
      <c r="N83" s="2039">
        <v>45.05</v>
      </c>
      <c r="EW83" s="2031"/>
      <c r="EX83" s="1619"/>
      <c r="EY83" s="1628"/>
      <c r="EZ83" s="1628"/>
      <c r="FA83" s="1628"/>
      <c r="FF83" s="1864" t="s">
        <v>7964</v>
      </c>
      <c r="FH83" s="1628"/>
    </row>
    <row r="84" spans="1:176" s="1484" customFormat="1" ht="15" x14ac:dyDescent="0.25">
      <c r="A84" s="2033"/>
      <c r="B84" s="1631"/>
      <c r="C84" s="2805" t="s">
        <v>7965</v>
      </c>
      <c r="D84" s="2805"/>
      <c r="E84" s="2805"/>
      <c r="F84" s="1683" t="s">
        <v>5928</v>
      </c>
      <c r="G84" s="1641"/>
      <c r="H84" s="1641"/>
      <c r="I84" s="1641"/>
      <c r="J84" s="1654">
        <v>6.36</v>
      </c>
      <c r="K84" s="1655">
        <v>0.25</v>
      </c>
      <c r="L84" s="1654">
        <v>1.26</v>
      </c>
      <c r="M84" s="1655">
        <v>35.75</v>
      </c>
      <c r="N84" s="2039">
        <v>45.05</v>
      </c>
      <c r="EW84" s="2031"/>
      <c r="EX84" s="1619"/>
      <c r="EY84" s="1628"/>
      <c r="EZ84" s="1628"/>
      <c r="FA84" s="1628"/>
      <c r="FF84" s="1864" t="s">
        <v>7965</v>
      </c>
      <c r="FH84" s="1628"/>
    </row>
    <row r="85" spans="1:176" s="1484" customFormat="1" ht="15" x14ac:dyDescent="0.25">
      <c r="A85" s="2033"/>
      <c r="B85" s="1631"/>
      <c r="C85" s="2805" t="s">
        <v>867</v>
      </c>
      <c r="D85" s="2805"/>
      <c r="E85" s="2805"/>
      <c r="F85" s="1683"/>
      <c r="G85" s="1641"/>
      <c r="H85" s="1641"/>
      <c r="I85" s="1641"/>
      <c r="J85" s="1640"/>
      <c r="K85" s="1641"/>
      <c r="L85" s="1654">
        <v>450.55</v>
      </c>
      <c r="M85" s="1641"/>
      <c r="N85" s="1679">
        <v>16107.17</v>
      </c>
      <c r="EW85" s="2031"/>
      <c r="EX85" s="1619"/>
      <c r="EY85" s="1628"/>
      <c r="EZ85" s="1628"/>
      <c r="FA85" s="1628"/>
      <c r="FF85" s="1864" t="s">
        <v>867</v>
      </c>
      <c r="FH85" s="1628"/>
    </row>
    <row r="86" spans="1:176" s="1484" customFormat="1" ht="15" x14ac:dyDescent="0.25">
      <c r="A86" s="2033"/>
      <c r="B86" s="1631" t="s">
        <v>2556</v>
      </c>
      <c r="C86" s="2805" t="s">
        <v>2557</v>
      </c>
      <c r="D86" s="2805"/>
      <c r="E86" s="2805"/>
      <c r="F86" s="1683" t="s">
        <v>636</v>
      </c>
      <c r="G86" s="2034">
        <v>110</v>
      </c>
      <c r="H86" s="1641"/>
      <c r="I86" s="2034">
        <v>110</v>
      </c>
      <c r="J86" s="1640"/>
      <c r="K86" s="1641"/>
      <c r="L86" s="1654">
        <v>495.61</v>
      </c>
      <c r="M86" s="1641"/>
      <c r="N86" s="1679">
        <v>17717.89</v>
      </c>
      <c r="EW86" s="2031"/>
      <c r="EX86" s="1619"/>
      <c r="EY86" s="1628"/>
      <c r="EZ86" s="1628"/>
      <c r="FA86" s="1628"/>
      <c r="FF86" s="1864" t="s">
        <v>2557</v>
      </c>
      <c r="FH86" s="1628"/>
    </row>
    <row r="87" spans="1:176" s="1484" customFormat="1" ht="15" x14ac:dyDescent="0.25">
      <c r="A87" s="2033"/>
      <c r="B87" s="1631" t="s">
        <v>2558</v>
      </c>
      <c r="C87" s="2805" t="s">
        <v>2559</v>
      </c>
      <c r="D87" s="2805"/>
      <c r="E87" s="2805"/>
      <c r="F87" s="1683" t="s">
        <v>636</v>
      </c>
      <c r="G87" s="2034">
        <v>69</v>
      </c>
      <c r="H87" s="1641"/>
      <c r="I87" s="2034">
        <v>69</v>
      </c>
      <c r="J87" s="1640"/>
      <c r="K87" s="1641"/>
      <c r="L87" s="1654">
        <v>310.88</v>
      </c>
      <c r="M87" s="1641"/>
      <c r="N87" s="1679">
        <v>11113.95</v>
      </c>
      <c r="EW87" s="2031"/>
      <c r="EX87" s="1619"/>
      <c r="EY87" s="1628"/>
      <c r="EZ87" s="1628"/>
      <c r="FA87" s="1628"/>
      <c r="FF87" s="1864" t="s">
        <v>2559</v>
      </c>
      <c r="FH87" s="1628"/>
    </row>
    <row r="88" spans="1:176" s="1484" customFormat="1" ht="15" x14ac:dyDescent="0.25">
      <c r="A88" s="1650"/>
      <c r="B88" s="1651"/>
      <c r="C88" s="2803" t="s">
        <v>872</v>
      </c>
      <c r="D88" s="2803"/>
      <c r="E88" s="2803"/>
      <c r="F88" s="1621"/>
      <c r="G88" s="1622"/>
      <c r="H88" s="1622"/>
      <c r="I88" s="1622"/>
      <c r="J88" s="1625"/>
      <c r="K88" s="1622"/>
      <c r="L88" s="1648">
        <v>1282.3599999999999</v>
      </c>
      <c r="M88" s="2037"/>
      <c r="N88" s="1649">
        <v>45122</v>
      </c>
      <c r="EW88" s="2031"/>
      <c r="EX88" s="1619"/>
      <c r="EY88" s="1628"/>
      <c r="EZ88" s="1628"/>
      <c r="FA88" s="1628"/>
      <c r="FH88" s="1628" t="s">
        <v>872</v>
      </c>
    </row>
    <row r="89" spans="1:176" s="1484" customFormat="1" ht="33.75" x14ac:dyDescent="0.25">
      <c r="A89" s="1620" t="s">
        <v>7976</v>
      </c>
      <c r="B89" s="1863" t="s">
        <v>7977</v>
      </c>
      <c r="C89" s="2803" t="s">
        <v>7978</v>
      </c>
      <c r="D89" s="2803"/>
      <c r="E89" s="2803"/>
      <c r="F89" s="1621" t="s">
        <v>130</v>
      </c>
      <c r="G89" s="1622">
        <v>256</v>
      </c>
      <c r="H89" s="1623">
        <v>1</v>
      </c>
      <c r="I89" s="1623">
        <v>256</v>
      </c>
      <c r="J89" s="2040">
        <v>23.76</v>
      </c>
      <c r="K89" s="1622"/>
      <c r="L89" s="1648">
        <v>6082.56</v>
      </c>
      <c r="M89" s="1687">
        <v>9.14</v>
      </c>
      <c r="N89" s="1649">
        <v>55594.6</v>
      </c>
      <c r="EW89" s="2031"/>
      <c r="EX89" s="1619"/>
      <c r="EY89" s="1628" t="s">
        <v>7978</v>
      </c>
      <c r="EZ89" s="1628" t="s">
        <v>588</v>
      </c>
      <c r="FA89" s="1628" t="s">
        <v>588</v>
      </c>
      <c r="FH89" s="1628"/>
    </row>
    <row r="90" spans="1:176" s="1484" customFormat="1" ht="15" x14ac:dyDescent="0.25">
      <c r="A90" s="1650"/>
      <c r="B90" s="1651"/>
      <c r="C90" s="2805" t="s">
        <v>8948</v>
      </c>
      <c r="D90" s="2805"/>
      <c r="E90" s="2805"/>
      <c r="F90" s="2805"/>
      <c r="G90" s="2805"/>
      <c r="H90" s="2805"/>
      <c r="I90" s="2805"/>
      <c r="J90" s="2805"/>
      <c r="K90" s="2805"/>
      <c r="L90" s="2805"/>
      <c r="M90" s="2805"/>
      <c r="N90" s="2806"/>
      <c r="EW90" s="2031"/>
      <c r="EX90" s="1619"/>
      <c r="EY90" s="1628"/>
      <c r="EZ90" s="1628"/>
      <c r="FA90" s="1628"/>
      <c r="FH90" s="1628"/>
      <c r="FI90" s="1864" t="s">
        <v>8948</v>
      </c>
      <c r="FJ90" s="1864" t="s">
        <v>588</v>
      </c>
      <c r="FK90" s="1864" t="s">
        <v>588</v>
      </c>
      <c r="FL90" s="1864" t="s">
        <v>588</v>
      </c>
      <c r="FM90" s="1864" t="s">
        <v>588</v>
      </c>
      <c r="FN90" s="1864" t="s">
        <v>588</v>
      </c>
      <c r="FO90" s="1864" t="s">
        <v>588</v>
      </c>
      <c r="FP90" s="1864" t="s">
        <v>588</v>
      </c>
      <c r="FQ90" s="1864" t="s">
        <v>588</v>
      </c>
      <c r="FR90" s="1864" t="s">
        <v>588</v>
      </c>
      <c r="FS90" s="1864" t="s">
        <v>588</v>
      </c>
      <c r="FT90" s="1864" t="s">
        <v>588</v>
      </c>
    </row>
    <row r="91" spans="1:176" s="1484" customFormat="1" ht="15" x14ac:dyDescent="0.25">
      <c r="A91" s="1629"/>
      <c r="B91" s="1862"/>
      <c r="C91" s="2805" t="s">
        <v>8946</v>
      </c>
      <c r="D91" s="2805"/>
      <c r="E91" s="2805"/>
      <c r="F91" s="2805"/>
      <c r="G91" s="2805"/>
      <c r="H91" s="2805"/>
      <c r="I91" s="2805"/>
      <c r="J91" s="2805"/>
      <c r="K91" s="2805"/>
      <c r="L91" s="2805"/>
      <c r="M91" s="2805"/>
      <c r="N91" s="2806"/>
      <c r="EW91" s="2031"/>
      <c r="EX91" s="1619"/>
      <c r="EY91" s="1628"/>
      <c r="EZ91" s="1628"/>
      <c r="FA91" s="1628"/>
      <c r="FB91" s="1864" t="s">
        <v>8946</v>
      </c>
      <c r="FH91" s="1628"/>
    </row>
    <row r="92" spans="1:176" s="1484" customFormat="1" ht="15" x14ac:dyDescent="0.25">
      <c r="A92" s="1650"/>
      <c r="B92" s="1651"/>
      <c r="C92" s="2803" t="s">
        <v>872</v>
      </c>
      <c r="D92" s="2803"/>
      <c r="E92" s="2803"/>
      <c r="F92" s="1621"/>
      <c r="G92" s="1622"/>
      <c r="H92" s="1622"/>
      <c r="I92" s="1622"/>
      <c r="J92" s="1625"/>
      <c r="K92" s="1622"/>
      <c r="L92" s="1648">
        <v>6082.56</v>
      </c>
      <c r="M92" s="2037"/>
      <c r="N92" s="1649">
        <v>55594.6</v>
      </c>
      <c r="EW92" s="2031"/>
      <c r="EX92" s="1619"/>
      <c r="EY92" s="1628"/>
      <c r="EZ92" s="1628"/>
      <c r="FA92" s="1628"/>
      <c r="FH92" s="1628" t="s">
        <v>872</v>
      </c>
    </row>
    <row r="93" spans="1:176" s="1484" customFormat="1" ht="45" x14ac:dyDescent="0.25">
      <c r="A93" s="1620" t="s">
        <v>7979</v>
      </c>
      <c r="B93" s="1863" t="s">
        <v>7980</v>
      </c>
      <c r="C93" s="2803" t="s">
        <v>7981</v>
      </c>
      <c r="D93" s="2803"/>
      <c r="E93" s="2803"/>
      <c r="F93" s="1621" t="s">
        <v>2555</v>
      </c>
      <c r="G93" s="1622">
        <v>2.56</v>
      </c>
      <c r="H93" s="1623">
        <v>1</v>
      </c>
      <c r="I93" s="1687">
        <v>2.56</v>
      </c>
      <c r="J93" s="1625"/>
      <c r="K93" s="1622"/>
      <c r="L93" s="1625"/>
      <c r="M93" s="1622"/>
      <c r="N93" s="1627"/>
      <c r="EW93" s="2031"/>
      <c r="EX93" s="1619"/>
      <c r="EY93" s="1628" t="s">
        <v>7981</v>
      </c>
      <c r="EZ93" s="1628" t="s">
        <v>588</v>
      </c>
      <c r="FA93" s="1628" t="s">
        <v>588</v>
      </c>
      <c r="FH93" s="1628"/>
    </row>
    <row r="94" spans="1:176" s="1484" customFormat="1" ht="15" x14ac:dyDescent="0.25">
      <c r="A94" s="1629"/>
      <c r="B94" s="1862"/>
      <c r="C94" s="2805" t="s">
        <v>8947</v>
      </c>
      <c r="D94" s="2805"/>
      <c r="E94" s="2805"/>
      <c r="F94" s="2805"/>
      <c r="G94" s="2805"/>
      <c r="H94" s="2805"/>
      <c r="I94" s="2805"/>
      <c r="J94" s="2805"/>
      <c r="K94" s="2805"/>
      <c r="L94" s="2805"/>
      <c r="M94" s="2805"/>
      <c r="N94" s="2806"/>
      <c r="EW94" s="2031"/>
      <c r="EX94" s="1619"/>
      <c r="EY94" s="1628"/>
      <c r="EZ94" s="1628"/>
      <c r="FA94" s="1628"/>
      <c r="FB94" s="1864" t="s">
        <v>8947</v>
      </c>
      <c r="FH94" s="1628"/>
    </row>
    <row r="95" spans="1:176" s="1484" customFormat="1" ht="22.5" x14ac:dyDescent="0.25">
      <c r="A95" s="1630"/>
      <c r="B95" s="1631" t="s">
        <v>6062</v>
      </c>
      <c r="C95" s="2809" t="s">
        <v>6063</v>
      </c>
      <c r="D95" s="2809"/>
      <c r="E95" s="2809"/>
      <c r="F95" s="2809"/>
      <c r="G95" s="2809"/>
      <c r="H95" s="2809"/>
      <c r="I95" s="2809"/>
      <c r="J95" s="2809"/>
      <c r="K95" s="2809"/>
      <c r="L95" s="2809"/>
      <c r="M95" s="2809"/>
      <c r="N95" s="2810"/>
      <c r="EW95" s="2031"/>
      <c r="EX95" s="1619"/>
      <c r="EY95" s="1628"/>
      <c r="EZ95" s="1628"/>
      <c r="FA95" s="1628"/>
      <c r="FC95" s="1864" t="s">
        <v>6063</v>
      </c>
      <c r="FH95" s="1628"/>
    </row>
    <row r="96" spans="1:176" s="1484" customFormat="1" ht="22.5" x14ac:dyDescent="0.25">
      <c r="A96" s="2033"/>
      <c r="B96" s="1631" t="s">
        <v>8936</v>
      </c>
      <c r="C96" s="2805" t="s">
        <v>8935</v>
      </c>
      <c r="D96" s="2805"/>
      <c r="E96" s="2805"/>
      <c r="F96" s="1683" t="s">
        <v>807</v>
      </c>
      <c r="G96" s="1655">
        <v>16.059999999999999</v>
      </c>
      <c r="H96" s="1641"/>
      <c r="I96" s="2035">
        <v>41.113599999999998</v>
      </c>
      <c r="J96" s="1654">
        <v>8.24</v>
      </c>
      <c r="K96" s="1655">
        <v>1.25</v>
      </c>
      <c r="L96" s="1654">
        <v>423.47</v>
      </c>
      <c r="M96" s="1641"/>
      <c r="N96" s="1681"/>
      <c r="EW96" s="2031"/>
      <c r="EX96" s="1619"/>
      <c r="EY96" s="1628"/>
      <c r="EZ96" s="1628"/>
      <c r="FA96" s="1628"/>
      <c r="FD96" s="1864" t="s">
        <v>8935</v>
      </c>
      <c r="FH96" s="1628"/>
    </row>
    <row r="97" spans="1:164" s="1484" customFormat="1" ht="15" x14ac:dyDescent="0.25">
      <c r="A97" s="2033"/>
      <c r="B97" s="1631" t="s">
        <v>5000</v>
      </c>
      <c r="C97" s="2805" t="s">
        <v>5001</v>
      </c>
      <c r="D97" s="2805"/>
      <c r="E97" s="2805"/>
      <c r="F97" s="1683" t="s">
        <v>4994</v>
      </c>
      <c r="G97" s="1655">
        <v>0.03</v>
      </c>
      <c r="H97" s="1641"/>
      <c r="I97" s="2035">
        <v>7.6799999999999993E-2</v>
      </c>
      <c r="J97" s="1654">
        <v>83.43</v>
      </c>
      <c r="K97" s="1641"/>
      <c r="L97" s="1654">
        <v>6.41</v>
      </c>
      <c r="M97" s="1641"/>
      <c r="N97" s="1681"/>
      <c r="EW97" s="2031"/>
      <c r="EX97" s="1619"/>
      <c r="EY97" s="1628"/>
      <c r="EZ97" s="1628"/>
      <c r="FA97" s="1628"/>
      <c r="FD97" s="1864" t="s">
        <v>5001</v>
      </c>
      <c r="FH97" s="1628"/>
    </row>
    <row r="98" spans="1:164" s="1484" customFormat="1" ht="15" x14ac:dyDescent="0.25">
      <c r="A98" s="2033"/>
      <c r="B98" s="1631" t="s">
        <v>821</v>
      </c>
      <c r="C98" s="2805" t="s">
        <v>822</v>
      </c>
      <c r="D98" s="2805"/>
      <c r="E98" s="2805"/>
      <c r="F98" s="1683" t="s">
        <v>4994</v>
      </c>
      <c r="G98" s="1655">
        <v>0.05</v>
      </c>
      <c r="H98" s="1641"/>
      <c r="I98" s="2046">
        <v>0.128</v>
      </c>
      <c r="J98" s="1654">
        <v>65.709999999999994</v>
      </c>
      <c r="K98" s="1641"/>
      <c r="L98" s="1654">
        <v>8.41</v>
      </c>
      <c r="M98" s="1641"/>
      <c r="N98" s="1681"/>
      <c r="EW98" s="2031"/>
      <c r="EX98" s="1619"/>
      <c r="EY98" s="1628"/>
      <c r="EZ98" s="1628"/>
      <c r="FA98" s="1628"/>
      <c r="FD98" s="1864" t="s">
        <v>822</v>
      </c>
      <c r="FH98" s="1628"/>
    </row>
    <row r="99" spans="1:164" s="1484" customFormat="1" ht="15" x14ac:dyDescent="0.25">
      <c r="A99" s="2033"/>
      <c r="B99" s="1631" t="s">
        <v>1755</v>
      </c>
      <c r="C99" s="2805" t="s">
        <v>2634</v>
      </c>
      <c r="D99" s="2805"/>
      <c r="E99" s="2805"/>
      <c r="F99" s="1683" t="s">
        <v>832</v>
      </c>
      <c r="G99" s="1655">
        <v>0.12</v>
      </c>
      <c r="H99" s="1641"/>
      <c r="I99" s="2035">
        <v>0.30719999999999997</v>
      </c>
      <c r="J99" s="1654">
        <v>2.44</v>
      </c>
      <c r="K99" s="1641"/>
      <c r="L99" s="1654">
        <v>0.75</v>
      </c>
      <c r="M99" s="1641"/>
      <c r="N99" s="1681"/>
      <c r="EW99" s="2031"/>
      <c r="EX99" s="1619"/>
      <c r="EY99" s="1628"/>
      <c r="EZ99" s="1628"/>
      <c r="FA99" s="1628"/>
      <c r="FD99" s="1864" t="s">
        <v>2634</v>
      </c>
      <c r="FH99" s="1628"/>
    </row>
    <row r="100" spans="1:164" s="1484" customFormat="1" ht="15" x14ac:dyDescent="0.25">
      <c r="A100" s="2033"/>
      <c r="B100" s="1631" t="s">
        <v>4973</v>
      </c>
      <c r="C100" s="2805" t="s">
        <v>4974</v>
      </c>
      <c r="D100" s="2805"/>
      <c r="E100" s="2805"/>
      <c r="F100" s="1683" t="s">
        <v>835</v>
      </c>
      <c r="G100" s="2034">
        <v>409</v>
      </c>
      <c r="H100" s="1641"/>
      <c r="I100" s="1655">
        <v>1047.04</v>
      </c>
      <c r="J100" s="1654">
        <v>6.2</v>
      </c>
      <c r="K100" s="1641"/>
      <c r="L100" s="1657">
        <v>6491.65</v>
      </c>
      <c r="M100" s="1641"/>
      <c r="N100" s="1681"/>
      <c r="EW100" s="2031"/>
      <c r="EX100" s="1619"/>
      <c r="EY100" s="1628"/>
      <c r="EZ100" s="1628"/>
      <c r="FA100" s="1628"/>
      <c r="FD100" s="1864" t="s">
        <v>4974</v>
      </c>
      <c r="FH100" s="1628"/>
    </row>
    <row r="101" spans="1:164" s="1484" customFormat="1" ht="15" x14ac:dyDescent="0.25">
      <c r="A101" s="2032"/>
      <c r="B101" s="1631" t="s">
        <v>190</v>
      </c>
      <c r="C101" s="2805" t="s">
        <v>2523</v>
      </c>
      <c r="D101" s="2805"/>
      <c r="E101" s="2805"/>
      <c r="F101" s="1683"/>
      <c r="G101" s="1641"/>
      <c r="H101" s="1641"/>
      <c r="I101" s="1641"/>
      <c r="J101" s="1654">
        <v>132.33000000000001</v>
      </c>
      <c r="K101" s="1655">
        <v>1.25</v>
      </c>
      <c r="L101" s="1654">
        <v>423.46</v>
      </c>
      <c r="M101" s="1655">
        <v>35.75</v>
      </c>
      <c r="N101" s="1679">
        <v>15138.7</v>
      </c>
      <c r="EW101" s="2031"/>
      <c r="EX101" s="1619"/>
      <c r="EY101" s="1628"/>
      <c r="EZ101" s="1628"/>
      <c r="FA101" s="1628"/>
      <c r="FE101" s="1864" t="s">
        <v>2523</v>
      </c>
      <c r="FH101" s="1628"/>
    </row>
    <row r="102" spans="1:164" s="1484" customFormat="1" ht="15" x14ac:dyDescent="0.25">
      <c r="A102" s="2032"/>
      <c r="B102" s="1631" t="s">
        <v>639</v>
      </c>
      <c r="C102" s="2805" t="s">
        <v>697</v>
      </c>
      <c r="D102" s="2805"/>
      <c r="E102" s="2805"/>
      <c r="F102" s="1683"/>
      <c r="G102" s="1641"/>
      <c r="H102" s="1641"/>
      <c r="I102" s="1641"/>
      <c r="J102" s="1654">
        <v>5.79</v>
      </c>
      <c r="K102" s="1641"/>
      <c r="L102" s="1654">
        <v>14.82</v>
      </c>
      <c r="M102" s="1655">
        <v>11.97</v>
      </c>
      <c r="N102" s="2039">
        <v>177.4</v>
      </c>
      <c r="EW102" s="2031"/>
      <c r="EX102" s="1619"/>
      <c r="EY102" s="1628"/>
      <c r="EZ102" s="1628"/>
      <c r="FA102" s="1628"/>
      <c r="FE102" s="1864" t="s">
        <v>697</v>
      </c>
      <c r="FH102" s="1628"/>
    </row>
    <row r="103" spans="1:164" s="1484" customFormat="1" ht="15" x14ac:dyDescent="0.25">
      <c r="A103" s="2032"/>
      <c r="B103" s="1631" t="s">
        <v>640</v>
      </c>
      <c r="C103" s="2805" t="s">
        <v>2500</v>
      </c>
      <c r="D103" s="2805"/>
      <c r="E103" s="2805"/>
      <c r="F103" s="1683"/>
      <c r="G103" s="1641"/>
      <c r="H103" s="1641"/>
      <c r="I103" s="1641"/>
      <c r="J103" s="1654">
        <v>0.99</v>
      </c>
      <c r="K103" s="1641"/>
      <c r="L103" s="1654">
        <v>2.5299999999999998</v>
      </c>
      <c r="M103" s="1655">
        <v>35.75</v>
      </c>
      <c r="N103" s="2039">
        <v>90.45</v>
      </c>
      <c r="EW103" s="2031"/>
      <c r="EX103" s="1619"/>
      <c r="EY103" s="1628"/>
      <c r="EZ103" s="1628"/>
      <c r="FA103" s="1628"/>
      <c r="FE103" s="1864" t="s">
        <v>2500</v>
      </c>
      <c r="FH103" s="1628"/>
    </row>
    <row r="104" spans="1:164" s="1484" customFormat="1" ht="15" x14ac:dyDescent="0.25">
      <c r="A104" s="2032"/>
      <c r="B104" s="1631" t="s">
        <v>232</v>
      </c>
      <c r="C104" s="2805" t="s">
        <v>829</v>
      </c>
      <c r="D104" s="2805"/>
      <c r="E104" s="2805"/>
      <c r="F104" s="1683"/>
      <c r="G104" s="1641"/>
      <c r="H104" s="1641"/>
      <c r="I104" s="1641"/>
      <c r="J104" s="1657">
        <v>2536.09</v>
      </c>
      <c r="K104" s="1641"/>
      <c r="L104" s="1657">
        <v>6492.39</v>
      </c>
      <c r="M104" s="1655">
        <v>9.14</v>
      </c>
      <c r="N104" s="1679">
        <v>59340.44</v>
      </c>
      <c r="EW104" s="2031"/>
      <c r="EX104" s="1619"/>
      <c r="EY104" s="1628"/>
      <c r="EZ104" s="1628"/>
      <c r="FA104" s="1628"/>
      <c r="FE104" s="1864" t="s">
        <v>829</v>
      </c>
      <c r="FH104" s="1628"/>
    </row>
    <row r="105" spans="1:164" s="1484" customFormat="1" ht="15" x14ac:dyDescent="0.25">
      <c r="A105" s="2033"/>
      <c r="B105" s="1631"/>
      <c r="C105" s="2805" t="s">
        <v>2524</v>
      </c>
      <c r="D105" s="2805"/>
      <c r="E105" s="2805"/>
      <c r="F105" s="1683" t="s">
        <v>807</v>
      </c>
      <c r="G105" s="1655">
        <v>16.059999999999999</v>
      </c>
      <c r="H105" s="1641"/>
      <c r="I105" s="2035">
        <v>41.113599999999998</v>
      </c>
      <c r="J105" s="1640"/>
      <c r="K105" s="1641"/>
      <c r="L105" s="1640"/>
      <c r="M105" s="1641"/>
      <c r="N105" s="1681"/>
      <c r="EW105" s="2031"/>
      <c r="EX105" s="1619"/>
      <c r="EY105" s="1628"/>
      <c r="EZ105" s="1628"/>
      <c r="FA105" s="1628"/>
      <c r="FF105" s="1864" t="s">
        <v>2524</v>
      </c>
      <c r="FH105" s="1628"/>
    </row>
    <row r="106" spans="1:164" s="1484" customFormat="1" ht="15" x14ac:dyDescent="0.25">
      <c r="A106" s="2033"/>
      <c r="B106" s="1631"/>
      <c r="C106" s="2805" t="s">
        <v>2501</v>
      </c>
      <c r="D106" s="2805"/>
      <c r="E106" s="2805"/>
      <c r="F106" s="1683" t="s">
        <v>807</v>
      </c>
      <c r="G106" s="1655">
        <v>0.08</v>
      </c>
      <c r="H106" s="1641"/>
      <c r="I106" s="2035">
        <v>0.20480000000000001</v>
      </c>
      <c r="J106" s="1640"/>
      <c r="K106" s="1641"/>
      <c r="L106" s="1640"/>
      <c r="M106" s="1641"/>
      <c r="N106" s="1681"/>
      <c r="EW106" s="2031"/>
      <c r="EX106" s="1619"/>
      <c r="EY106" s="1628"/>
      <c r="EZ106" s="1628"/>
      <c r="FA106" s="1628"/>
      <c r="FF106" s="1864" t="s">
        <v>2501</v>
      </c>
      <c r="FH106" s="1628"/>
    </row>
    <row r="107" spans="1:164" s="1484" customFormat="1" ht="15" x14ac:dyDescent="0.25">
      <c r="A107" s="2032"/>
      <c r="B107" s="1631"/>
      <c r="C107" s="2917" t="s">
        <v>2502</v>
      </c>
      <c r="D107" s="2917"/>
      <c r="E107" s="2917"/>
      <c r="F107" s="2036"/>
      <c r="G107" s="2037"/>
      <c r="H107" s="2037"/>
      <c r="I107" s="2037"/>
      <c r="J107" s="2038">
        <v>2674.21</v>
      </c>
      <c r="K107" s="2037"/>
      <c r="L107" s="2038">
        <v>6930.67</v>
      </c>
      <c r="M107" s="2037"/>
      <c r="N107" s="2068">
        <v>74656.539999999994</v>
      </c>
      <c r="EW107" s="2031"/>
      <c r="EX107" s="1619"/>
      <c r="EY107" s="1628"/>
      <c r="EZ107" s="1628"/>
      <c r="FA107" s="1628"/>
      <c r="FG107" s="1864" t="s">
        <v>2502</v>
      </c>
      <c r="FH107" s="1628"/>
    </row>
    <row r="108" spans="1:164" s="1484" customFormat="1" ht="15" x14ac:dyDescent="0.25">
      <c r="A108" s="2033" t="s">
        <v>7982</v>
      </c>
      <c r="B108" s="1631"/>
      <c r="C108" s="2805" t="s">
        <v>7964</v>
      </c>
      <c r="D108" s="2805"/>
      <c r="E108" s="2805"/>
      <c r="F108" s="1683" t="s">
        <v>5928</v>
      </c>
      <c r="G108" s="1641"/>
      <c r="H108" s="1641"/>
      <c r="I108" s="1641"/>
      <c r="J108" s="1640"/>
      <c r="K108" s="1641"/>
      <c r="L108" s="1654">
        <v>0.63</v>
      </c>
      <c r="M108" s="1641"/>
      <c r="N108" s="2039">
        <v>22.52</v>
      </c>
      <c r="EW108" s="2031"/>
      <c r="EX108" s="1619"/>
      <c r="EY108" s="1628"/>
      <c r="EZ108" s="1628"/>
      <c r="FA108" s="1628"/>
      <c r="FF108" s="1864" t="s">
        <v>7964</v>
      </c>
      <c r="FH108" s="1628"/>
    </row>
    <row r="109" spans="1:164" s="1484" customFormat="1" ht="15" x14ac:dyDescent="0.25">
      <c r="A109" s="2033"/>
      <c r="B109" s="1631"/>
      <c r="C109" s="2805" t="s">
        <v>7965</v>
      </c>
      <c r="D109" s="2805"/>
      <c r="E109" s="2805"/>
      <c r="F109" s="1683" t="s">
        <v>5928</v>
      </c>
      <c r="G109" s="1641"/>
      <c r="H109" s="1641"/>
      <c r="I109" s="1641"/>
      <c r="J109" s="1654">
        <v>0.99</v>
      </c>
      <c r="K109" s="1655">
        <v>0.25</v>
      </c>
      <c r="L109" s="1654">
        <v>0.63</v>
      </c>
      <c r="M109" s="1655">
        <v>35.75</v>
      </c>
      <c r="N109" s="2039">
        <v>22.52</v>
      </c>
      <c r="EW109" s="2031"/>
      <c r="EX109" s="1619"/>
      <c r="EY109" s="1628"/>
      <c r="EZ109" s="1628"/>
      <c r="FA109" s="1628"/>
      <c r="FF109" s="1864" t="s">
        <v>7965</v>
      </c>
      <c r="FH109" s="1628"/>
    </row>
    <row r="110" spans="1:164" s="1484" customFormat="1" ht="15" x14ac:dyDescent="0.25">
      <c r="A110" s="2033"/>
      <c r="B110" s="1631"/>
      <c r="C110" s="2805" t="s">
        <v>867</v>
      </c>
      <c r="D110" s="2805"/>
      <c r="E110" s="2805"/>
      <c r="F110" s="1683"/>
      <c r="G110" s="1641"/>
      <c r="H110" s="1641"/>
      <c r="I110" s="1641"/>
      <c r="J110" s="1640"/>
      <c r="K110" s="1641"/>
      <c r="L110" s="1654">
        <v>426.62</v>
      </c>
      <c r="M110" s="1641"/>
      <c r="N110" s="1679">
        <v>15251.67</v>
      </c>
      <c r="EW110" s="2031"/>
      <c r="EX110" s="1619"/>
      <c r="EY110" s="1628"/>
      <c r="EZ110" s="1628"/>
      <c r="FA110" s="1628"/>
      <c r="FF110" s="1864" t="s">
        <v>867</v>
      </c>
      <c r="FH110" s="1628"/>
    </row>
    <row r="111" spans="1:164" s="1484" customFormat="1" ht="15" x14ac:dyDescent="0.25">
      <c r="A111" s="2033"/>
      <c r="B111" s="1631" t="s">
        <v>7983</v>
      </c>
      <c r="C111" s="2805" t="s">
        <v>7984</v>
      </c>
      <c r="D111" s="2805"/>
      <c r="E111" s="2805"/>
      <c r="F111" s="1683" t="s">
        <v>636</v>
      </c>
      <c r="G111" s="2034">
        <v>97</v>
      </c>
      <c r="H111" s="1641"/>
      <c r="I111" s="2034">
        <v>97</v>
      </c>
      <c r="J111" s="1640"/>
      <c r="K111" s="1641"/>
      <c r="L111" s="1654">
        <v>413.82</v>
      </c>
      <c r="M111" s="1641"/>
      <c r="N111" s="1679">
        <v>14794.12</v>
      </c>
      <c r="EW111" s="2031"/>
      <c r="EX111" s="1619"/>
      <c r="EY111" s="1628"/>
      <c r="EZ111" s="1628"/>
      <c r="FA111" s="1628"/>
      <c r="FF111" s="1864" t="s">
        <v>7984</v>
      </c>
      <c r="FH111" s="1628"/>
    </row>
    <row r="112" spans="1:164" s="1484" customFormat="1" ht="15" x14ac:dyDescent="0.25">
      <c r="A112" s="2033"/>
      <c r="B112" s="1631" t="s">
        <v>7985</v>
      </c>
      <c r="C112" s="2805" t="s">
        <v>7986</v>
      </c>
      <c r="D112" s="2805"/>
      <c r="E112" s="2805"/>
      <c r="F112" s="1683" t="s">
        <v>636</v>
      </c>
      <c r="G112" s="2034">
        <v>55</v>
      </c>
      <c r="H112" s="1641"/>
      <c r="I112" s="2034">
        <v>55</v>
      </c>
      <c r="J112" s="1640"/>
      <c r="K112" s="1641"/>
      <c r="L112" s="1654">
        <v>234.64</v>
      </c>
      <c r="M112" s="1641"/>
      <c r="N112" s="1679">
        <v>8388.42</v>
      </c>
      <c r="EW112" s="2031"/>
      <c r="EX112" s="1619"/>
      <c r="EY112" s="1628"/>
      <c r="EZ112" s="1628"/>
      <c r="FA112" s="1628"/>
      <c r="FF112" s="1864" t="s">
        <v>7986</v>
      </c>
      <c r="FH112" s="1628"/>
    </row>
    <row r="113" spans="1:176" s="1484" customFormat="1" ht="15" x14ac:dyDescent="0.25">
      <c r="A113" s="1650"/>
      <c r="B113" s="1651"/>
      <c r="C113" s="2803" t="s">
        <v>872</v>
      </c>
      <c r="D113" s="2803"/>
      <c r="E113" s="2803"/>
      <c r="F113" s="1621"/>
      <c r="G113" s="1622"/>
      <c r="H113" s="1622"/>
      <c r="I113" s="1622"/>
      <c r="J113" s="1625"/>
      <c r="K113" s="1622"/>
      <c r="L113" s="1648">
        <v>7579.76</v>
      </c>
      <c r="M113" s="2037"/>
      <c r="N113" s="1649">
        <v>97861.6</v>
      </c>
      <c r="EW113" s="2031"/>
      <c r="EX113" s="1619"/>
      <c r="EY113" s="1628"/>
      <c r="EZ113" s="1628"/>
      <c r="FA113" s="1628"/>
      <c r="FH113" s="1628" t="s">
        <v>872</v>
      </c>
    </row>
    <row r="114" spans="1:176" s="1484" customFormat="1" ht="33.75" x14ac:dyDescent="0.25">
      <c r="A114" s="1620" t="s">
        <v>653</v>
      </c>
      <c r="B114" s="1863" t="s">
        <v>8934</v>
      </c>
      <c r="C114" s="2803" t="s">
        <v>7987</v>
      </c>
      <c r="D114" s="2803"/>
      <c r="E114" s="2803"/>
      <c r="F114" s="1621" t="s">
        <v>130</v>
      </c>
      <c r="G114" s="1622">
        <v>256</v>
      </c>
      <c r="H114" s="1623">
        <v>1</v>
      </c>
      <c r="I114" s="1623">
        <v>256</v>
      </c>
      <c r="J114" s="1648">
        <v>5220.7</v>
      </c>
      <c r="K114" s="1622"/>
      <c r="L114" s="1648">
        <v>146225.29999999999</v>
      </c>
      <c r="M114" s="1687">
        <v>9.14</v>
      </c>
      <c r="N114" s="1649">
        <v>1336499.2</v>
      </c>
      <c r="EW114" s="2031"/>
      <c r="EX114" s="1619"/>
      <c r="EY114" s="1628" t="s">
        <v>7987</v>
      </c>
      <c r="EZ114" s="1628" t="s">
        <v>588</v>
      </c>
      <c r="FA114" s="1628" t="s">
        <v>588</v>
      </c>
      <c r="FH114" s="1628"/>
    </row>
    <row r="115" spans="1:176" s="1484" customFormat="1" ht="15" x14ac:dyDescent="0.25">
      <c r="A115" s="1650"/>
      <c r="B115" s="1651"/>
      <c r="C115" s="2805" t="s">
        <v>8933</v>
      </c>
      <c r="D115" s="2805"/>
      <c r="E115" s="2805"/>
      <c r="F115" s="2805"/>
      <c r="G115" s="2805"/>
      <c r="H115" s="2805"/>
      <c r="I115" s="2805"/>
      <c r="J115" s="2805"/>
      <c r="K115" s="2805"/>
      <c r="L115" s="2805"/>
      <c r="M115" s="2805"/>
      <c r="N115" s="2806"/>
      <c r="EW115" s="2031"/>
      <c r="EX115" s="1619"/>
      <c r="EY115" s="1628"/>
      <c r="EZ115" s="1628"/>
      <c r="FA115" s="1628"/>
      <c r="FH115" s="1628"/>
      <c r="FI115" s="1864" t="s">
        <v>8933</v>
      </c>
      <c r="FJ115" s="1864" t="s">
        <v>588</v>
      </c>
      <c r="FK115" s="1864" t="s">
        <v>588</v>
      </c>
      <c r="FL115" s="1864" t="s">
        <v>588</v>
      </c>
      <c r="FM115" s="1864" t="s">
        <v>588</v>
      </c>
      <c r="FN115" s="1864" t="s">
        <v>588</v>
      </c>
      <c r="FO115" s="1864" t="s">
        <v>588</v>
      </c>
      <c r="FP115" s="1864" t="s">
        <v>588</v>
      </c>
      <c r="FQ115" s="1864" t="s">
        <v>588</v>
      </c>
      <c r="FR115" s="1864" t="s">
        <v>588</v>
      </c>
      <c r="FS115" s="1864" t="s">
        <v>588</v>
      </c>
      <c r="FT115" s="1864" t="s">
        <v>588</v>
      </c>
    </row>
    <row r="116" spans="1:176" s="1484" customFormat="1" ht="15" x14ac:dyDescent="0.25">
      <c r="A116" s="1629"/>
      <c r="B116" s="1862"/>
      <c r="C116" s="2805" t="s">
        <v>8946</v>
      </c>
      <c r="D116" s="2805"/>
      <c r="E116" s="2805"/>
      <c r="F116" s="2805"/>
      <c r="G116" s="2805"/>
      <c r="H116" s="2805"/>
      <c r="I116" s="2805"/>
      <c r="J116" s="2805"/>
      <c r="K116" s="2805"/>
      <c r="L116" s="2805"/>
      <c r="M116" s="2805"/>
      <c r="N116" s="2806"/>
      <c r="EW116" s="2031"/>
      <c r="EX116" s="1619"/>
      <c r="EY116" s="1628"/>
      <c r="EZ116" s="1628"/>
      <c r="FA116" s="1628"/>
      <c r="FB116" s="1864" t="s">
        <v>8946</v>
      </c>
      <c r="FH116" s="1628"/>
    </row>
    <row r="117" spans="1:176" s="1484" customFormat="1" ht="15" x14ac:dyDescent="0.25">
      <c r="A117" s="1650"/>
      <c r="B117" s="1651"/>
      <c r="C117" s="2803" t="s">
        <v>872</v>
      </c>
      <c r="D117" s="2803"/>
      <c r="E117" s="2803"/>
      <c r="F117" s="1621"/>
      <c r="G117" s="1622"/>
      <c r="H117" s="1622"/>
      <c r="I117" s="1622"/>
      <c r="J117" s="1625"/>
      <c r="K117" s="1622"/>
      <c r="L117" s="1648">
        <v>146225.29999999999</v>
      </c>
      <c r="M117" s="2037"/>
      <c r="N117" s="1649">
        <v>1336499.2</v>
      </c>
      <c r="EW117" s="2031"/>
      <c r="EX117" s="1619"/>
      <c r="EY117" s="1628"/>
      <c r="EZ117" s="1628"/>
      <c r="FA117" s="1628"/>
      <c r="FH117" s="1628" t="s">
        <v>872</v>
      </c>
    </row>
    <row r="118" spans="1:176" s="1484" customFormat="1" ht="15" x14ac:dyDescent="0.25">
      <c r="A118" s="2811" t="s">
        <v>7988</v>
      </c>
      <c r="B118" s="2812"/>
      <c r="C118" s="2812"/>
      <c r="D118" s="2812"/>
      <c r="E118" s="2812"/>
      <c r="F118" s="2812"/>
      <c r="G118" s="2812"/>
      <c r="H118" s="2812"/>
      <c r="I118" s="2812"/>
      <c r="J118" s="2812"/>
      <c r="K118" s="2812"/>
      <c r="L118" s="2812"/>
      <c r="M118" s="2812"/>
      <c r="N118" s="2813"/>
      <c r="EW118" s="2031"/>
      <c r="EX118" s="1619" t="s">
        <v>7988</v>
      </c>
      <c r="EY118" s="1628"/>
      <c r="EZ118" s="1628"/>
      <c r="FA118" s="1628"/>
      <c r="FH118" s="1628"/>
    </row>
    <row r="119" spans="1:176" s="1484" customFormat="1" ht="56.25" x14ac:dyDescent="0.25">
      <c r="A119" s="1620" t="s">
        <v>7989</v>
      </c>
      <c r="B119" s="1863" t="s">
        <v>7990</v>
      </c>
      <c r="C119" s="2803" t="s">
        <v>7991</v>
      </c>
      <c r="D119" s="2803"/>
      <c r="E119" s="2803"/>
      <c r="F119" s="1621" t="s">
        <v>2555</v>
      </c>
      <c r="G119" s="1622">
        <v>9.8249999999999993</v>
      </c>
      <c r="H119" s="1623">
        <v>1</v>
      </c>
      <c r="I119" s="2045">
        <v>9.8249999999999993</v>
      </c>
      <c r="J119" s="1625"/>
      <c r="K119" s="1622"/>
      <c r="L119" s="1625"/>
      <c r="M119" s="1622"/>
      <c r="N119" s="1627"/>
      <c r="EW119" s="2031"/>
      <c r="EX119" s="1619"/>
      <c r="EY119" s="1628" t="s">
        <v>7991</v>
      </c>
      <c r="EZ119" s="1628" t="s">
        <v>588</v>
      </c>
      <c r="FA119" s="1628" t="s">
        <v>588</v>
      </c>
      <c r="FH119" s="1628"/>
    </row>
    <row r="120" spans="1:176" s="1484" customFormat="1" ht="15" x14ac:dyDescent="0.25">
      <c r="A120" s="1629"/>
      <c r="B120" s="1862"/>
      <c r="C120" s="2805" t="s">
        <v>8944</v>
      </c>
      <c r="D120" s="2805"/>
      <c r="E120" s="2805"/>
      <c r="F120" s="2805"/>
      <c r="G120" s="2805"/>
      <c r="H120" s="2805"/>
      <c r="I120" s="2805"/>
      <c r="J120" s="2805"/>
      <c r="K120" s="2805"/>
      <c r="L120" s="2805"/>
      <c r="M120" s="2805"/>
      <c r="N120" s="2806"/>
      <c r="EW120" s="2031"/>
      <c r="EX120" s="1619"/>
      <c r="EY120" s="1628"/>
      <c r="EZ120" s="1628"/>
      <c r="FA120" s="1628"/>
      <c r="FB120" s="1864" t="s">
        <v>8944</v>
      </c>
      <c r="FH120" s="1628"/>
    </row>
    <row r="121" spans="1:176" s="1484" customFormat="1" ht="22.5" x14ac:dyDescent="0.25">
      <c r="A121" s="1630"/>
      <c r="B121" s="1631" t="s">
        <v>6062</v>
      </c>
      <c r="C121" s="2809" t="s">
        <v>6063</v>
      </c>
      <c r="D121" s="2809"/>
      <c r="E121" s="2809"/>
      <c r="F121" s="2809"/>
      <c r="G121" s="2809"/>
      <c r="H121" s="2809"/>
      <c r="I121" s="2809"/>
      <c r="J121" s="2809"/>
      <c r="K121" s="2809"/>
      <c r="L121" s="2809"/>
      <c r="M121" s="2809"/>
      <c r="N121" s="2810"/>
      <c r="EW121" s="2031"/>
      <c r="EX121" s="1619"/>
      <c r="EY121" s="1628"/>
      <c r="EZ121" s="1628"/>
      <c r="FA121" s="1628"/>
      <c r="FC121" s="1864" t="s">
        <v>6063</v>
      </c>
      <c r="FH121" s="1628"/>
    </row>
    <row r="122" spans="1:176" s="1484" customFormat="1" ht="22.5" x14ac:dyDescent="0.25">
      <c r="A122" s="2033"/>
      <c r="B122" s="1631" t="s">
        <v>3260</v>
      </c>
      <c r="C122" s="2805" t="s">
        <v>8636</v>
      </c>
      <c r="D122" s="2805"/>
      <c r="E122" s="2805"/>
      <c r="F122" s="1683" t="s">
        <v>807</v>
      </c>
      <c r="G122" s="1655">
        <v>106.19</v>
      </c>
      <c r="H122" s="1641"/>
      <c r="I122" s="2042">
        <v>1043.31675</v>
      </c>
      <c r="J122" s="1654">
        <v>9.18</v>
      </c>
      <c r="K122" s="1655">
        <v>1.25</v>
      </c>
      <c r="L122" s="1657">
        <v>11972.06</v>
      </c>
      <c r="M122" s="1641"/>
      <c r="N122" s="1681"/>
      <c r="EW122" s="2031"/>
      <c r="EX122" s="1619"/>
      <c r="EY122" s="1628"/>
      <c r="EZ122" s="1628"/>
      <c r="FA122" s="1628"/>
      <c r="FD122" s="1864" t="s">
        <v>8636</v>
      </c>
      <c r="FH122" s="1628"/>
    </row>
    <row r="123" spans="1:176" s="1484" customFormat="1" ht="22.5" x14ac:dyDescent="0.25">
      <c r="A123" s="2033"/>
      <c r="B123" s="1631" t="s">
        <v>817</v>
      </c>
      <c r="C123" s="2805" t="s">
        <v>818</v>
      </c>
      <c r="D123" s="2805"/>
      <c r="E123" s="2805"/>
      <c r="F123" s="1683" t="s">
        <v>4994</v>
      </c>
      <c r="G123" s="1655">
        <v>0.27</v>
      </c>
      <c r="H123" s="1641"/>
      <c r="I123" s="2042">
        <v>2.6527500000000002</v>
      </c>
      <c r="J123" s="1654">
        <v>115.4</v>
      </c>
      <c r="K123" s="1641"/>
      <c r="L123" s="1654">
        <v>306.13</v>
      </c>
      <c r="M123" s="1641"/>
      <c r="N123" s="1681"/>
      <c r="EW123" s="2031"/>
      <c r="EX123" s="1619"/>
      <c r="EY123" s="1628"/>
      <c r="EZ123" s="1628"/>
      <c r="FA123" s="1628"/>
      <c r="FD123" s="1864" t="s">
        <v>818</v>
      </c>
      <c r="FH123" s="1628"/>
    </row>
    <row r="124" spans="1:176" s="1484" customFormat="1" ht="15" x14ac:dyDescent="0.25">
      <c r="A124" s="2033"/>
      <c r="B124" s="1631" t="s">
        <v>821</v>
      </c>
      <c r="C124" s="2805" t="s">
        <v>822</v>
      </c>
      <c r="D124" s="2805"/>
      <c r="E124" s="2805"/>
      <c r="F124" s="1683" t="s">
        <v>4994</v>
      </c>
      <c r="G124" s="1655">
        <v>0.37</v>
      </c>
      <c r="H124" s="1641"/>
      <c r="I124" s="2042">
        <v>3.6352500000000001</v>
      </c>
      <c r="J124" s="1654">
        <v>65.709999999999994</v>
      </c>
      <c r="K124" s="1641"/>
      <c r="L124" s="1654">
        <v>238.87</v>
      </c>
      <c r="M124" s="1641"/>
      <c r="N124" s="1681"/>
      <c r="EW124" s="2031"/>
      <c r="EX124" s="1619"/>
      <c r="EY124" s="1628"/>
      <c r="EZ124" s="1628"/>
      <c r="FA124" s="1628"/>
      <c r="FD124" s="1864" t="s">
        <v>822</v>
      </c>
      <c r="FH124" s="1628"/>
    </row>
    <row r="125" spans="1:176" s="1484" customFormat="1" ht="15" x14ac:dyDescent="0.25">
      <c r="A125" s="2033"/>
      <c r="B125" s="1631" t="s">
        <v>4907</v>
      </c>
      <c r="C125" s="2805" t="s">
        <v>8890</v>
      </c>
      <c r="D125" s="2805"/>
      <c r="E125" s="2805"/>
      <c r="F125" s="1683" t="s">
        <v>4865</v>
      </c>
      <c r="G125" s="2034">
        <v>7</v>
      </c>
      <c r="H125" s="1641"/>
      <c r="I125" s="2046">
        <v>68.775000000000006</v>
      </c>
      <c r="J125" s="1654">
        <v>118</v>
      </c>
      <c r="K125" s="1641"/>
      <c r="L125" s="1657">
        <v>8115.45</v>
      </c>
      <c r="M125" s="1641"/>
      <c r="N125" s="1681"/>
      <c r="EW125" s="2031"/>
      <c r="EX125" s="1619"/>
      <c r="EY125" s="1628"/>
      <c r="EZ125" s="1628"/>
      <c r="FA125" s="1628"/>
      <c r="FD125" s="1864" t="s">
        <v>8890</v>
      </c>
      <c r="FH125" s="1628"/>
    </row>
    <row r="126" spans="1:176" s="1484" customFormat="1" ht="15" x14ac:dyDescent="0.25">
      <c r="A126" s="2033"/>
      <c r="B126" s="1631" t="s">
        <v>4910</v>
      </c>
      <c r="C126" s="2805" t="s">
        <v>8889</v>
      </c>
      <c r="D126" s="2805"/>
      <c r="E126" s="2805"/>
      <c r="F126" s="1683" t="s">
        <v>4865</v>
      </c>
      <c r="G126" s="2034">
        <v>29</v>
      </c>
      <c r="H126" s="1641"/>
      <c r="I126" s="2046">
        <v>284.92500000000001</v>
      </c>
      <c r="J126" s="1654">
        <v>10</v>
      </c>
      <c r="K126" s="1641"/>
      <c r="L126" s="1657">
        <v>2849.25</v>
      </c>
      <c r="M126" s="1641"/>
      <c r="N126" s="1681"/>
      <c r="EW126" s="2031"/>
      <c r="EX126" s="1619"/>
      <c r="EY126" s="1628"/>
      <c r="EZ126" s="1628"/>
      <c r="FA126" s="1628"/>
      <c r="FD126" s="1864" t="s">
        <v>8889</v>
      </c>
      <c r="FH126" s="1628"/>
    </row>
    <row r="127" spans="1:176" s="1484" customFormat="1" ht="33.75" x14ac:dyDescent="0.25">
      <c r="A127" s="2033"/>
      <c r="B127" s="1631" t="s">
        <v>4943</v>
      </c>
      <c r="C127" s="2805" t="s">
        <v>8888</v>
      </c>
      <c r="D127" s="2805"/>
      <c r="E127" s="2805"/>
      <c r="F127" s="1683" t="s">
        <v>2647</v>
      </c>
      <c r="G127" s="2034">
        <v>200</v>
      </c>
      <c r="H127" s="1641"/>
      <c r="I127" s="2034">
        <v>1965</v>
      </c>
      <c r="J127" s="1654">
        <v>6.91</v>
      </c>
      <c r="K127" s="1641"/>
      <c r="L127" s="1657">
        <v>13578.15</v>
      </c>
      <c r="M127" s="1641"/>
      <c r="N127" s="1681"/>
      <c r="EW127" s="2031"/>
      <c r="EX127" s="1619"/>
      <c r="EY127" s="1628"/>
      <c r="EZ127" s="1628"/>
      <c r="FA127" s="1628"/>
      <c r="FD127" s="1864" t="s">
        <v>8888</v>
      </c>
      <c r="FH127" s="1628"/>
    </row>
    <row r="128" spans="1:176" s="1484" customFormat="1" ht="33.75" x14ac:dyDescent="0.25">
      <c r="A128" s="2033"/>
      <c r="B128" s="1631" t="s">
        <v>4949</v>
      </c>
      <c r="C128" s="2805" t="s">
        <v>8887</v>
      </c>
      <c r="D128" s="2805"/>
      <c r="E128" s="2805"/>
      <c r="F128" s="1683" t="s">
        <v>269</v>
      </c>
      <c r="G128" s="2034">
        <v>350</v>
      </c>
      <c r="H128" s="1641"/>
      <c r="I128" s="1655">
        <v>3438.75</v>
      </c>
      <c r="J128" s="1654">
        <v>17.32</v>
      </c>
      <c r="K128" s="1641"/>
      <c r="L128" s="1657">
        <v>59559.15</v>
      </c>
      <c r="M128" s="1641"/>
      <c r="N128" s="1681"/>
      <c r="EW128" s="2031"/>
      <c r="EX128" s="1619"/>
      <c r="EY128" s="1628"/>
      <c r="EZ128" s="1628"/>
      <c r="FA128" s="1628"/>
      <c r="FD128" s="1864" t="s">
        <v>8887</v>
      </c>
      <c r="FH128" s="1628"/>
    </row>
    <row r="129" spans="1:164" s="1484" customFormat="1" ht="22.5" x14ac:dyDescent="0.25">
      <c r="A129" s="2033"/>
      <c r="B129" s="1631" t="s">
        <v>4950</v>
      </c>
      <c r="C129" s="2805" t="s">
        <v>8886</v>
      </c>
      <c r="D129" s="2805"/>
      <c r="E129" s="2805"/>
      <c r="F129" s="1683" t="s">
        <v>2647</v>
      </c>
      <c r="G129" s="2034">
        <v>42</v>
      </c>
      <c r="H129" s="1641"/>
      <c r="I129" s="1655">
        <v>412.65</v>
      </c>
      <c r="J129" s="1654">
        <v>23.15</v>
      </c>
      <c r="K129" s="1641"/>
      <c r="L129" s="1657">
        <v>9552.85</v>
      </c>
      <c r="M129" s="1641"/>
      <c r="N129" s="1681"/>
      <c r="EW129" s="2031"/>
      <c r="EX129" s="1619"/>
      <c r="EY129" s="1628"/>
      <c r="EZ129" s="1628"/>
      <c r="FA129" s="1628"/>
      <c r="FD129" s="1864" t="s">
        <v>8886</v>
      </c>
      <c r="FH129" s="1628"/>
    </row>
    <row r="130" spans="1:164" s="1484" customFormat="1" ht="22.5" x14ac:dyDescent="0.25">
      <c r="A130" s="2033"/>
      <c r="B130" s="1631" t="s">
        <v>4951</v>
      </c>
      <c r="C130" s="2805" t="s">
        <v>8885</v>
      </c>
      <c r="D130" s="2805"/>
      <c r="E130" s="2805"/>
      <c r="F130" s="1683" t="s">
        <v>2647</v>
      </c>
      <c r="G130" s="2034">
        <v>12</v>
      </c>
      <c r="H130" s="1641"/>
      <c r="I130" s="1953">
        <v>117.9</v>
      </c>
      <c r="J130" s="1654">
        <v>64.47</v>
      </c>
      <c r="K130" s="1641"/>
      <c r="L130" s="1657">
        <v>7601.01</v>
      </c>
      <c r="M130" s="1641"/>
      <c r="N130" s="1681"/>
      <c r="EW130" s="2031"/>
      <c r="EX130" s="1619"/>
      <c r="EY130" s="1628"/>
      <c r="EZ130" s="1628"/>
      <c r="FA130" s="1628"/>
      <c r="FD130" s="1864" t="s">
        <v>8885</v>
      </c>
      <c r="FH130" s="1628"/>
    </row>
    <row r="131" spans="1:164" s="1484" customFormat="1" ht="22.5" x14ac:dyDescent="0.25">
      <c r="A131" s="2033"/>
      <c r="B131" s="1631" t="s">
        <v>4952</v>
      </c>
      <c r="C131" s="2805" t="s">
        <v>8884</v>
      </c>
      <c r="D131" s="2805"/>
      <c r="E131" s="2805"/>
      <c r="F131" s="1683" t="s">
        <v>2647</v>
      </c>
      <c r="G131" s="2034">
        <v>55</v>
      </c>
      <c r="H131" s="1641"/>
      <c r="I131" s="2046">
        <v>540.375</v>
      </c>
      <c r="J131" s="1654">
        <v>7.5</v>
      </c>
      <c r="K131" s="1641"/>
      <c r="L131" s="1657">
        <v>4052.81</v>
      </c>
      <c r="M131" s="1641"/>
      <c r="N131" s="1681"/>
      <c r="EW131" s="2031"/>
      <c r="EX131" s="1619"/>
      <c r="EY131" s="1628"/>
      <c r="EZ131" s="1628"/>
      <c r="FA131" s="1628"/>
      <c r="FD131" s="1864" t="s">
        <v>8884</v>
      </c>
      <c r="FH131" s="1628"/>
    </row>
    <row r="132" spans="1:164" s="1484" customFormat="1" ht="15" x14ac:dyDescent="0.25">
      <c r="A132" s="2032"/>
      <c r="B132" s="1631" t="s">
        <v>190</v>
      </c>
      <c r="C132" s="2805" t="s">
        <v>2523</v>
      </c>
      <c r="D132" s="2805"/>
      <c r="E132" s="2805"/>
      <c r="F132" s="1683"/>
      <c r="G132" s="1641"/>
      <c r="H132" s="1641"/>
      <c r="I132" s="1641"/>
      <c r="J132" s="1654">
        <v>974.82</v>
      </c>
      <c r="K132" s="1655">
        <v>1.25</v>
      </c>
      <c r="L132" s="1657">
        <v>11972.01</v>
      </c>
      <c r="M132" s="1655">
        <v>35.75</v>
      </c>
      <c r="N132" s="1679">
        <v>427999.36</v>
      </c>
      <c r="EW132" s="2031"/>
      <c r="EX132" s="1619"/>
      <c r="EY132" s="1628"/>
      <c r="EZ132" s="1628"/>
      <c r="FA132" s="1628"/>
      <c r="FE132" s="1864" t="s">
        <v>2523</v>
      </c>
      <c r="FH132" s="1628"/>
    </row>
    <row r="133" spans="1:164" s="1484" customFormat="1" ht="15" x14ac:dyDescent="0.25">
      <c r="A133" s="2032"/>
      <c r="B133" s="1631" t="s">
        <v>639</v>
      </c>
      <c r="C133" s="2805" t="s">
        <v>697</v>
      </c>
      <c r="D133" s="2805"/>
      <c r="E133" s="2805"/>
      <c r="F133" s="1683"/>
      <c r="G133" s="1641"/>
      <c r="H133" s="1641"/>
      <c r="I133" s="1641"/>
      <c r="J133" s="1654">
        <v>55.47</v>
      </c>
      <c r="K133" s="1641"/>
      <c r="L133" s="1654">
        <v>544.99</v>
      </c>
      <c r="M133" s="1655">
        <v>11.97</v>
      </c>
      <c r="N133" s="1679">
        <v>6523.53</v>
      </c>
      <c r="EW133" s="2031"/>
      <c r="EX133" s="1619"/>
      <c r="EY133" s="1628"/>
      <c r="EZ133" s="1628"/>
      <c r="FA133" s="1628"/>
      <c r="FE133" s="1864" t="s">
        <v>697</v>
      </c>
      <c r="FH133" s="1628"/>
    </row>
    <row r="134" spans="1:164" s="1484" customFormat="1" ht="15" x14ac:dyDescent="0.25">
      <c r="A134" s="2032"/>
      <c r="B134" s="1631" t="s">
        <v>640</v>
      </c>
      <c r="C134" s="2805" t="s">
        <v>2500</v>
      </c>
      <c r="D134" s="2805"/>
      <c r="E134" s="2805"/>
      <c r="F134" s="1683"/>
      <c r="G134" s="1641"/>
      <c r="H134" s="1641"/>
      <c r="I134" s="1641"/>
      <c r="J134" s="1654">
        <v>7.94</v>
      </c>
      <c r="K134" s="1641"/>
      <c r="L134" s="1654">
        <v>78.010000000000005</v>
      </c>
      <c r="M134" s="1655">
        <v>35.75</v>
      </c>
      <c r="N134" s="1679">
        <v>2788.86</v>
      </c>
      <c r="EW134" s="2031"/>
      <c r="EX134" s="1619"/>
      <c r="EY134" s="1628"/>
      <c r="EZ134" s="1628"/>
      <c r="FA134" s="1628"/>
      <c r="FE134" s="1864" t="s">
        <v>2500</v>
      </c>
      <c r="FH134" s="1628"/>
    </row>
    <row r="135" spans="1:164" s="1484" customFormat="1" ht="15" x14ac:dyDescent="0.25">
      <c r="A135" s="2032"/>
      <c r="B135" s="1631" t="s">
        <v>232</v>
      </c>
      <c r="C135" s="2805" t="s">
        <v>829</v>
      </c>
      <c r="D135" s="2805"/>
      <c r="E135" s="2805"/>
      <c r="F135" s="1683"/>
      <c r="G135" s="1641"/>
      <c r="H135" s="1641"/>
      <c r="I135" s="1641"/>
      <c r="J135" s="1657">
        <v>10718.44</v>
      </c>
      <c r="K135" s="1641"/>
      <c r="L135" s="1657">
        <v>105308.67</v>
      </c>
      <c r="M135" s="1655">
        <v>9.14</v>
      </c>
      <c r="N135" s="1679">
        <v>962521.24</v>
      </c>
      <c r="EW135" s="2031"/>
      <c r="EX135" s="1619"/>
      <c r="EY135" s="1628"/>
      <c r="EZ135" s="1628"/>
      <c r="FA135" s="1628"/>
      <c r="FE135" s="1864" t="s">
        <v>829</v>
      </c>
      <c r="FH135" s="1628"/>
    </row>
    <row r="136" spans="1:164" s="1484" customFormat="1" ht="15" x14ac:dyDescent="0.25">
      <c r="A136" s="2033"/>
      <c r="B136" s="1631"/>
      <c r="C136" s="2805" t="s">
        <v>2524</v>
      </c>
      <c r="D136" s="2805"/>
      <c r="E136" s="2805"/>
      <c r="F136" s="1683" t="s">
        <v>807</v>
      </c>
      <c r="G136" s="1655">
        <v>106.19</v>
      </c>
      <c r="H136" s="1641"/>
      <c r="I136" s="2042">
        <v>1043.31675</v>
      </c>
      <c r="J136" s="1640"/>
      <c r="K136" s="1641"/>
      <c r="L136" s="1640"/>
      <c r="M136" s="1641"/>
      <c r="N136" s="1681"/>
      <c r="EW136" s="2031"/>
      <c r="EX136" s="1619"/>
      <c r="EY136" s="1628"/>
      <c r="EZ136" s="1628"/>
      <c r="FA136" s="1628"/>
      <c r="FF136" s="1864" t="s">
        <v>2524</v>
      </c>
      <c r="FH136" s="1628"/>
    </row>
    <row r="137" spans="1:164" s="1484" customFormat="1" ht="15" x14ac:dyDescent="0.25">
      <c r="A137" s="2033"/>
      <c r="B137" s="1631"/>
      <c r="C137" s="2805" t="s">
        <v>2501</v>
      </c>
      <c r="D137" s="2805"/>
      <c r="E137" s="2805"/>
      <c r="F137" s="1683" t="s">
        <v>807</v>
      </c>
      <c r="G137" s="1655">
        <v>0.64</v>
      </c>
      <c r="H137" s="1641"/>
      <c r="I137" s="2046">
        <v>6.2880000000000003</v>
      </c>
      <c r="J137" s="1640"/>
      <c r="K137" s="1641"/>
      <c r="L137" s="1640"/>
      <c r="M137" s="1641"/>
      <c r="N137" s="1681"/>
      <c r="EW137" s="2031"/>
      <c r="EX137" s="1619"/>
      <c r="EY137" s="1628"/>
      <c r="EZ137" s="1628"/>
      <c r="FA137" s="1628"/>
      <c r="FF137" s="1864" t="s">
        <v>2501</v>
      </c>
      <c r="FH137" s="1628"/>
    </row>
    <row r="138" spans="1:164" s="1484" customFormat="1" ht="15" x14ac:dyDescent="0.25">
      <c r="A138" s="2032"/>
      <c r="B138" s="1631"/>
      <c r="C138" s="2917" t="s">
        <v>2502</v>
      </c>
      <c r="D138" s="2917"/>
      <c r="E138" s="2917"/>
      <c r="F138" s="2036"/>
      <c r="G138" s="2037"/>
      <c r="H138" s="2037"/>
      <c r="I138" s="2037"/>
      <c r="J138" s="2038">
        <v>11748.73</v>
      </c>
      <c r="K138" s="2037"/>
      <c r="L138" s="2038">
        <v>117825.67</v>
      </c>
      <c r="M138" s="2037"/>
      <c r="N138" s="2068">
        <v>1397044.13</v>
      </c>
      <c r="EW138" s="2031"/>
      <c r="EX138" s="1619"/>
      <c r="EY138" s="1628"/>
      <c r="EZ138" s="1628"/>
      <c r="FA138" s="1628"/>
      <c r="FG138" s="1864" t="s">
        <v>2502</v>
      </c>
      <c r="FH138" s="1628"/>
    </row>
    <row r="139" spans="1:164" s="1484" customFormat="1" ht="15" x14ac:dyDescent="0.25">
      <c r="A139" s="2033" t="s">
        <v>7992</v>
      </c>
      <c r="B139" s="1631"/>
      <c r="C139" s="2805" t="s">
        <v>7964</v>
      </c>
      <c r="D139" s="2805"/>
      <c r="E139" s="2805"/>
      <c r="F139" s="1683" t="s">
        <v>5928</v>
      </c>
      <c r="G139" s="1641"/>
      <c r="H139" s="1641"/>
      <c r="I139" s="1641"/>
      <c r="J139" s="1640"/>
      <c r="K139" s="1641"/>
      <c r="L139" s="1654">
        <v>19.5</v>
      </c>
      <c r="M139" s="1641"/>
      <c r="N139" s="2039">
        <v>697.13</v>
      </c>
      <c r="EW139" s="2031"/>
      <c r="EX139" s="1619"/>
      <c r="EY139" s="1628"/>
      <c r="EZ139" s="1628"/>
      <c r="FA139" s="1628"/>
      <c r="FF139" s="1864" t="s">
        <v>7964</v>
      </c>
      <c r="FH139" s="1628"/>
    </row>
    <row r="140" spans="1:164" s="1484" customFormat="1" ht="15" x14ac:dyDescent="0.25">
      <c r="A140" s="2033"/>
      <c r="B140" s="1631"/>
      <c r="C140" s="2805" t="s">
        <v>7965</v>
      </c>
      <c r="D140" s="2805"/>
      <c r="E140" s="2805"/>
      <c r="F140" s="1683" t="s">
        <v>5928</v>
      </c>
      <c r="G140" s="1641"/>
      <c r="H140" s="1641"/>
      <c r="I140" s="1641"/>
      <c r="J140" s="1654">
        <v>7.94</v>
      </c>
      <c r="K140" s="1655">
        <v>0.25</v>
      </c>
      <c r="L140" s="1654">
        <v>19.5</v>
      </c>
      <c r="M140" s="1655">
        <v>35.75</v>
      </c>
      <c r="N140" s="2039">
        <v>697.13</v>
      </c>
      <c r="EW140" s="2031"/>
      <c r="EX140" s="1619"/>
      <c r="EY140" s="1628"/>
      <c r="EZ140" s="1628"/>
      <c r="FA140" s="1628"/>
      <c r="FF140" s="1864" t="s">
        <v>7965</v>
      </c>
      <c r="FH140" s="1628"/>
    </row>
    <row r="141" spans="1:164" s="1484" customFormat="1" ht="15" x14ac:dyDescent="0.25">
      <c r="A141" s="2033"/>
      <c r="B141" s="1631"/>
      <c r="C141" s="2805" t="s">
        <v>867</v>
      </c>
      <c r="D141" s="2805"/>
      <c r="E141" s="2805"/>
      <c r="F141" s="1683"/>
      <c r="G141" s="1641"/>
      <c r="H141" s="1641"/>
      <c r="I141" s="1641"/>
      <c r="J141" s="1640"/>
      <c r="K141" s="1641"/>
      <c r="L141" s="1657">
        <v>12069.52</v>
      </c>
      <c r="M141" s="1641"/>
      <c r="N141" s="1679">
        <v>431485.35</v>
      </c>
      <c r="EW141" s="2031"/>
      <c r="EX141" s="1619"/>
      <c r="EY141" s="1628"/>
      <c r="EZ141" s="1628"/>
      <c r="FA141" s="1628"/>
      <c r="FF141" s="1864" t="s">
        <v>867</v>
      </c>
      <c r="FH141" s="1628"/>
    </row>
    <row r="142" spans="1:164" s="1484" customFormat="1" ht="15" x14ac:dyDescent="0.25">
      <c r="A142" s="2033"/>
      <c r="B142" s="1631" t="s">
        <v>7966</v>
      </c>
      <c r="C142" s="2805" t="s">
        <v>7967</v>
      </c>
      <c r="D142" s="2805"/>
      <c r="E142" s="2805"/>
      <c r="F142" s="1683" t="s">
        <v>636</v>
      </c>
      <c r="G142" s="2034">
        <v>100</v>
      </c>
      <c r="H142" s="1641"/>
      <c r="I142" s="2034">
        <v>100</v>
      </c>
      <c r="J142" s="1640"/>
      <c r="K142" s="1641"/>
      <c r="L142" s="1657">
        <v>12069.52</v>
      </c>
      <c r="M142" s="1641"/>
      <c r="N142" s="1679">
        <v>431485.35</v>
      </c>
      <c r="EW142" s="2031"/>
      <c r="EX142" s="1619"/>
      <c r="EY142" s="1628"/>
      <c r="EZ142" s="1628"/>
      <c r="FA142" s="1628"/>
      <c r="FF142" s="1864" t="s">
        <v>7967</v>
      </c>
      <c r="FH142" s="1628"/>
    </row>
    <row r="143" spans="1:164" s="1484" customFormat="1" ht="15" x14ac:dyDescent="0.25">
      <c r="A143" s="2033"/>
      <c r="B143" s="1631" t="s">
        <v>7968</v>
      </c>
      <c r="C143" s="2805" t="s">
        <v>7969</v>
      </c>
      <c r="D143" s="2805"/>
      <c r="E143" s="2805"/>
      <c r="F143" s="1683" t="s">
        <v>636</v>
      </c>
      <c r="G143" s="2034">
        <v>49</v>
      </c>
      <c r="H143" s="1641"/>
      <c r="I143" s="2034">
        <v>49</v>
      </c>
      <c r="J143" s="1640"/>
      <c r="K143" s="1641"/>
      <c r="L143" s="1657">
        <v>5914.06</v>
      </c>
      <c r="M143" s="1641"/>
      <c r="N143" s="1679">
        <v>211427.82</v>
      </c>
      <c r="EW143" s="2031"/>
      <c r="EX143" s="1619"/>
      <c r="EY143" s="1628"/>
      <c r="EZ143" s="1628"/>
      <c r="FA143" s="1628"/>
      <c r="FF143" s="1864" t="s">
        <v>7969</v>
      </c>
      <c r="FH143" s="1628"/>
    </row>
    <row r="144" spans="1:164" s="1484" customFormat="1" ht="15" x14ac:dyDescent="0.25">
      <c r="A144" s="1650"/>
      <c r="B144" s="1651"/>
      <c r="C144" s="2803" t="s">
        <v>872</v>
      </c>
      <c r="D144" s="2803"/>
      <c r="E144" s="2803"/>
      <c r="F144" s="1621"/>
      <c r="G144" s="1622"/>
      <c r="H144" s="1622"/>
      <c r="I144" s="1622"/>
      <c r="J144" s="1625"/>
      <c r="K144" s="1622"/>
      <c r="L144" s="1648">
        <v>135828.75</v>
      </c>
      <c r="M144" s="2037"/>
      <c r="N144" s="1649">
        <v>2040654.43</v>
      </c>
      <c r="EW144" s="2031"/>
      <c r="EX144" s="1619"/>
      <c r="EY144" s="1628"/>
      <c r="EZ144" s="1628"/>
      <c r="FA144" s="1628"/>
      <c r="FH144" s="1628" t="s">
        <v>872</v>
      </c>
    </row>
    <row r="145" spans="1:176" s="1484" customFormat="1" ht="45" x14ac:dyDescent="0.25">
      <c r="A145" s="1620" t="s">
        <v>654</v>
      </c>
      <c r="B145" s="1863" t="s">
        <v>8893</v>
      </c>
      <c r="C145" s="2803" t="s">
        <v>7993</v>
      </c>
      <c r="D145" s="2803"/>
      <c r="E145" s="2803"/>
      <c r="F145" s="1621" t="s">
        <v>130</v>
      </c>
      <c r="G145" s="1622">
        <v>1159.3499999999999</v>
      </c>
      <c r="H145" s="1623">
        <v>1</v>
      </c>
      <c r="I145" s="1687">
        <v>1159.3499999999999</v>
      </c>
      <c r="J145" s="1648">
        <v>9053.35</v>
      </c>
      <c r="K145" s="1622"/>
      <c r="L145" s="1648">
        <v>1148359.01</v>
      </c>
      <c r="M145" s="1687">
        <v>9.14</v>
      </c>
      <c r="N145" s="1649">
        <v>10496001.32</v>
      </c>
      <c r="EW145" s="2031"/>
      <c r="EX145" s="1619"/>
      <c r="EY145" s="1628" t="s">
        <v>7993</v>
      </c>
      <c r="EZ145" s="1628" t="s">
        <v>588</v>
      </c>
      <c r="FA145" s="1628" t="s">
        <v>588</v>
      </c>
      <c r="FH145" s="1628"/>
    </row>
    <row r="146" spans="1:176" s="1484" customFormat="1" ht="15" x14ac:dyDescent="0.25">
      <c r="A146" s="1650"/>
      <c r="B146" s="1651"/>
      <c r="C146" s="2805" t="s">
        <v>8689</v>
      </c>
      <c r="D146" s="2805"/>
      <c r="E146" s="2805"/>
      <c r="F146" s="2805"/>
      <c r="G146" s="2805"/>
      <c r="H146" s="2805"/>
      <c r="I146" s="2805"/>
      <c r="J146" s="2805"/>
      <c r="K146" s="2805"/>
      <c r="L146" s="2805"/>
      <c r="M146" s="2805"/>
      <c r="N146" s="2806"/>
      <c r="EW146" s="2031"/>
      <c r="EX146" s="1619"/>
      <c r="EY146" s="1628"/>
      <c r="EZ146" s="1628"/>
      <c r="FA146" s="1628"/>
      <c r="FH146" s="1628"/>
      <c r="FI146" s="1864" t="s">
        <v>8689</v>
      </c>
      <c r="FJ146" s="1864" t="s">
        <v>588</v>
      </c>
      <c r="FK146" s="1864" t="s">
        <v>588</v>
      </c>
      <c r="FL146" s="1864" t="s">
        <v>588</v>
      </c>
      <c r="FM146" s="1864" t="s">
        <v>588</v>
      </c>
      <c r="FN146" s="1864" t="s">
        <v>588</v>
      </c>
      <c r="FO146" s="1864" t="s">
        <v>588</v>
      </c>
      <c r="FP146" s="1864" t="s">
        <v>588</v>
      </c>
      <c r="FQ146" s="1864" t="s">
        <v>588</v>
      </c>
      <c r="FR146" s="1864" t="s">
        <v>588</v>
      </c>
      <c r="FS146" s="1864" t="s">
        <v>588</v>
      </c>
      <c r="FT146" s="1864" t="s">
        <v>588</v>
      </c>
    </row>
    <row r="147" spans="1:176" s="1484" customFormat="1" ht="15" x14ac:dyDescent="0.25">
      <c r="A147" s="1650"/>
      <c r="B147" s="1651"/>
      <c r="C147" s="2803" t="s">
        <v>872</v>
      </c>
      <c r="D147" s="2803"/>
      <c r="E147" s="2803"/>
      <c r="F147" s="1621"/>
      <c r="G147" s="1622"/>
      <c r="H147" s="1622"/>
      <c r="I147" s="1622"/>
      <c r="J147" s="1625"/>
      <c r="K147" s="1622"/>
      <c r="L147" s="1648">
        <v>1148359.01</v>
      </c>
      <c r="M147" s="2037"/>
      <c r="N147" s="1649">
        <v>10496001.32</v>
      </c>
      <c r="EW147" s="2031"/>
      <c r="EX147" s="1619"/>
      <c r="EY147" s="1628"/>
      <c r="EZ147" s="1628"/>
      <c r="FA147" s="1628"/>
      <c r="FH147" s="1628" t="s">
        <v>872</v>
      </c>
    </row>
    <row r="148" spans="1:176" s="1484" customFormat="1" ht="22.5" x14ac:dyDescent="0.25">
      <c r="A148" s="1620" t="s">
        <v>7994</v>
      </c>
      <c r="B148" s="1863" t="s">
        <v>7995</v>
      </c>
      <c r="C148" s="2803" t="s">
        <v>7996</v>
      </c>
      <c r="D148" s="2803"/>
      <c r="E148" s="2803"/>
      <c r="F148" s="1621" t="s">
        <v>2555</v>
      </c>
      <c r="G148" s="1622">
        <v>9.8249999999999993</v>
      </c>
      <c r="H148" s="1623">
        <v>1</v>
      </c>
      <c r="I148" s="2045">
        <v>9.8249999999999993</v>
      </c>
      <c r="J148" s="1625"/>
      <c r="K148" s="1622"/>
      <c r="L148" s="1625"/>
      <c r="M148" s="1622"/>
      <c r="N148" s="1627"/>
      <c r="EW148" s="2031"/>
      <c r="EX148" s="1619"/>
      <c r="EY148" s="1628" t="s">
        <v>7996</v>
      </c>
      <c r="EZ148" s="1628" t="s">
        <v>588</v>
      </c>
      <c r="FA148" s="1628" t="s">
        <v>588</v>
      </c>
      <c r="FH148" s="1628"/>
    </row>
    <row r="149" spans="1:176" s="1484" customFormat="1" ht="15" x14ac:dyDescent="0.25">
      <c r="A149" s="1629"/>
      <c r="B149" s="1862"/>
      <c r="C149" s="2805" t="s">
        <v>8944</v>
      </c>
      <c r="D149" s="2805"/>
      <c r="E149" s="2805"/>
      <c r="F149" s="2805"/>
      <c r="G149" s="2805"/>
      <c r="H149" s="2805"/>
      <c r="I149" s="2805"/>
      <c r="J149" s="2805"/>
      <c r="K149" s="2805"/>
      <c r="L149" s="2805"/>
      <c r="M149" s="2805"/>
      <c r="N149" s="2806"/>
      <c r="EW149" s="2031"/>
      <c r="EX149" s="1619"/>
      <c r="EY149" s="1628"/>
      <c r="EZ149" s="1628"/>
      <c r="FA149" s="1628"/>
      <c r="FB149" s="1864" t="s">
        <v>8944</v>
      </c>
      <c r="FH149" s="1628"/>
    </row>
    <row r="150" spans="1:176" s="1484" customFormat="1" ht="22.5" x14ac:dyDescent="0.25">
      <c r="A150" s="1630"/>
      <c r="B150" s="1631" t="s">
        <v>6062</v>
      </c>
      <c r="C150" s="2809" t="s">
        <v>6063</v>
      </c>
      <c r="D150" s="2809"/>
      <c r="E150" s="2809"/>
      <c r="F150" s="2809"/>
      <c r="G150" s="2809"/>
      <c r="H150" s="2809"/>
      <c r="I150" s="2809"/>
      <c r="J150" s="2809"/>
      <c r="K150" s="2809"/>
      <c r="L150" s="2809"/>
      <c r="M150" s="2809"/>
      <c r="N150" s="2810"/>
      <c r="EW150" s="2031"/>
      <c r="EX150" s="1619"/>
      <c r="EY150" s="1628"/>
      <c r="EZ150" s="1628"/>
      <c r="FA150" s="1628"/>
      <c r="FC150" s="1864" t="s">
        <v>6063</v>
      </c>
      <c r="FH150" s="1628"/>
    </row>
    <row r="151" spans="1:176" s="1484" customFormat="1" ht="22.5" x14ac:dyDescent="0.25">
      <c r="A151" s="2033"/>
      <c r="B151" s="1631" t="s">
        <v>3204</v>
      </c>
      <c r="C151" s="2805" t="s">
        <v>8647</v>
      </c>
      <c r="D151" s="2805"/>
      <c r="E151" s="2805"/>
      <c r="F151" s="1683" t="s">
        <v>807</v>
      </c>
      <c r="G151" s="1655">
        <v>95.94</v>
      </c>
      <c r="H151" s="1641"/>
      <c r="I151" s="2035">
        <v>942.6105</v>
      </c>
      <c r="J151" s="1654">
        <v>8.74</v>
      </c>
      <c r="K151" s="1655">
        <v>1.25</v>
      </c>
      <c r="L151" s="1657">
        <v>10298.02</v>
      </c>
      <c r="M151" s="1641"/>
      <c r="N151" s="1681"/>
      <c r="EW151" s="2031"/>
      <c r="EX151" s="1619"/>
      <c r="EY151" s="1628"/>
      <c r="EZ151" s="1628"/>
      <c r="FA151" s="1628"/>
      <c r="FD151" s="1864" t="s">
        <v>8647</v>
      </c>
      <c r="FH151" s="1628"/>
    </row>
    <row r="152" spans="1:176" s="1484" customFormat="1" ht="15" x14ac:dyDescent="0.25">
      <c r="A152" s="2033"/>
      <c r="B152" s="1631" t="s">
        <v>821</v>
      </c>
      <c r="C152" s="2805" t="s">
        <v>822</v>
      </c>
      <c r="D152" s="2805"/>
      <c r="E152" s="2805"/>
      <c r="F152" s="1683" t="s">
        <v>4994</v>
      </c>
      <c r="G152" s="1655">
        <v>0.25</v>
      </c>
      <c r="H152" s="1641"/>
      <c r="I152" s="2042">
        <v>2.4562499999999998</v>
      </c>
      <c r="J152" s="1654">
        <v>65.709999999999994</v>
      </c>
      <c r="K152" s="1641"/>
      <c r="L152" s="1654">
        <v>161.4</v>
      </c>
      <c r="M152" s="1641"/>
      <c r="N152" s="1681"/>
      <c r="EW152" s="2031"/>
      <c r="EX152" s="1619"/>
      <c r="EY152" s="1628"/>
      <c r="EZ152" s="1628"/>
      <c r="FA152" s="1628"/>
      <c r="FD152" s="1864" t="s">
        <v>822</v>
      </c>
      <c r="FH152" s="1628"/>
    </row>
    <row r="153" spans="1:176" s="1484" customFormat="1" ht="15" x14ac:dyDescent="0.25">
      <c r="A153" s="2033"/>
      <c r="B153" s="1631" t="s">
        <v>4891</v>
      </c>
      <c r="C153" s="2805" t="s">
        <v>8759</v>
      </c>
      <c r="D153" s="2805"/>
      <c r="E153" s="2805"/>
      <c r="F153" s="1683" t="s">
        <v>835</v>
      </c>
      <c r="G153" s="2046">
        <v>7.423</v>
      </c>
      <c r="H153" s="1641"/>
      <c r="I153" s="2043">
        <v>72.930975000000004</v>
      </c>
      <c r="J153" s="1654">
        <v>112</v>
      </c>
      <c r="K153" s="1641"/>
      <c r="L153" s="1657">
        <v>8168.27</v>
      </c>
      <c r="M153" s="1641"/>
      <c r="N153" s="1681"/>
      <c r="EW153" s="2031"/>
      <c r="EX153" s="1619"/>
      <c r="EY153" s="1628"/>
      <c r="EZ153" s="1628"/>
      <c r="FA153" s="1628"/>
      <c r="FD153" s="1864" t="s">
        <v>8759</v>
      </c>
      <c r="FH153" s="1628"/>
    </row>
    <row r="154" spans="1:176" s="1484" customFormat="1" ht="22.5" x14ac:dyDescent="0.25">
      <c r="A154" s="2033"/>
      <c r="B154" s="1631" t="s">
        <v>4898</v>
      </c>
      <c r="C154" s="2805" t="s">
        <v>8939</v>
      </c>
      <c r="D154" s="2805"/>
      <c r="E154" s="2805"/>
      <c r="F154" s="1683" t="s">
        <v>130</v>
      </c>
      <c r="G154" s="2034">
        <v>206</v>
      </c>
      <c r="H154" s="1641"/>
      <c r="I154" s="1655">
        <v>2023.95</v>
      </c>
      <c r="J154" s="1654">
        <v>34</v>
      </c>
      <c r="K154" s="1641"/>
      <c r="L154" s="1657">
        <v>68814.3</v>
      </c>
      <c r="M154" s="1641"/>
      <c r="N154" s="1681"/>
      <c r="EW154" s="2031"/>
      <c r="EX154" s="1619"/>
      <c r="EY154" s="1628"/>
      <c r="EZ154" s="1628"/>
      <c r="FA154" s="1628"/>
      <c r="FD154" s="1864" t="s">
        <v>8939</v>
      </c>
      <c r="FH154" s="1628"/>
    </row>
    <row r="155" spans="1:176" s="1484" customFormat="1" ht="15" x14ac:dyDescent="0.25">
      <c r="A155" s="2032"/>
      <c r="B155" s="1631" t="s">
        <v>190</v>
      </c>
      <c r="C155" s="2805" t="s">
        <v>2523</v>
      </c>
      <c r="D155" s="2805"/>
      <c r="E155" s="2805"/>
      <c r="F155" s="1683"/>
      <c r="G155" s="1641"/>
      <c r="H155" s="1641"/>
      <c r="I155" s="1641"/>
      <c r="J155" s="1654">
        <v>838.52</v>
      </c>
      <c r="K155" s="1655">
        <v>1.25</v>
      </c>
      <c r="L155" s="1657">
        <v>10298.07</v>
      </c>
      <c r="M155" s="1655">
        <v>35.75</v>
      </c>
      <c r="N155" s="1679">
        <v>368156</v>
      </c>
      <c r="EW155" s="2031"/>
      <c r="EX155" s="1619"/>
      <c r="EY155" s="1628"/>
      <c r="EZ155" s="1628"/>
      <c r="FA155" s="1628"/>
      <c r="FE155" s="1864" t="s">
        <v>2523</v>
      </c>
      <c r="FH155" s="1628"/>
    </row>
    <row r="156" spans="1:176" s="1484" customFormat="1" ht="15" x14ac:dyDescent="0.25">
      <c r="A156" s="2032"/>
      <c r="B156" s="1631" t="s">
        <v>639</v>
      </c>
      <c r="C156" s="2805" t="s">
        <v>697</v>
      </c>
      <c r="D156" s="2805"/>
      <c r="E156" s="2805"/>
      <c r="F156" s="1683"/>
      <c r="G156" s="1641"/>
      <c r="H156" s="1641"/>
      <c r="I156" s="1641"/>
      <c r="J156" s="1654">
        <v>16.43</v>
      </c>
      <c r="K156" s="1641"/>
      <c r="L156" s="1654">
        <v>161.41999999999999</v>
      </c>
      <c r="M156" s="1655">
        <v>11.97</v>
      </c>
      <c r="N156" s="1679">
        <v>1932.2</v>
      </c>
      <c r="EW156" s="2031"/>
      <c r="EX156" s="1619"/>
      <c r="EY156" s="1628"/>
      <c r="EZ156" s="1628"/>
      <c r="FA156" s="1628"/>
      <c r="FE156" s="1864" t="s">
        <v>697</v>
      </c>
      <c r="FH156" s="1628"/>
    </row>
    <row r="157" spans="1:176" s="1484" customFormat="1" ht="15" x14ac:dyDescent="0.25">
      <c r="A157" s="2032"/>
      <c r="B157" s="1631" t="s">
        <v>640</v>
      </c>
      <c r="C157" s="2805" t="s">
        <v>2500</v>
      </c>
      <c r="D157" s="2805"/>
      <c r="E157" s="2805"/>
      <c r="F157" s="1683"/>
      <c r="G157" s="1641"/>
      <c r="H157" s="1641"/>
      <c r="I157" s="1641"/>
      <c r="J157" s="1654">
        <v>2.9</v>
      </c>
      <c r="K157" s="1641"/>
      <c r="L157" s="1654">
        <v>28.49</v>
      </c>
      <c r="M157" s="1655">
        <v>35.75</v>
      </c>
      <c r="N157" s="1679">
        <v>1018.52</v>
      </c>
      <c r="EW157" s="2031"/>
      <c r="EX157" s="1619"/>
      <c r="EY157" s="1628"/>
      <c r="EZ157" s="1628"/>
      <c r="FA157" s="1628"/>
      <c r="FE157" s="1864" t="s">
        <v>2500</v>
      </c>
      <c r="FH157" s="1628"/>
    </row>
    <row r="158" spans="1:176" s="1484" customFormat="1" ht="15" x14ac:dyDescent="0.25">
      <c r="A158" s="2032"/>
      <c r="B158" s="1631" t="s">
        <v>232</v>
      </c>
      <c r="C158" s="2805" t="s">
        <v>829</v>
      </c>
      <c r="D158" s="2805"/>
      <c r="E158" s="2805"/>
      <c r="F158" s="1683"/>
      <c r="G158" s="1641"/>
      <c r="H158" s="1641"/>
      <c r="I158" s="1641"/>
      <c r="J158" s="1657">
        <v>7835.38</v>
      </c>
      <c r="K158" s="1641"/>
      <c r="L158" s="1657">
        <v>76982.61</v>
      </c>
      <c r="M158" s="1655">
        <v>9.14</v>
      </c>
      <c r="N158" s="1679">
        <v>703621.06</v>
      </c>
      <c r="EW158" s="2031"/>
      <c r="EX158" s="1619"/>
      <c r="EY158" s="1628"/>
      <c r="EZ158" s="1628"/>
      <c r="FA158" s="1628"/>
      <c r="FE158" s="1864" t="s">
        <v>829</v>
      </c>
      <c r="FH158" s="1628"/>
    </row>
    <row r="159" spans="1:176" s="1484" customFormat="1" ht="15" x14ac:dyDescent="0.25">
      <c r="A159" s="2033"/>
      <c r="B159" s="1631"/>
      <c r="C159" s="2805" t="s">
        <v>2524</v>
      </c>
      <c r="D159" s="2805"/>
      <c r="E159" s="2805"/>
      <c r="F159" s="1683" t="s">
        <v>807</v>
      </c>
      <c r="G159" s="1655">
        <v>95.94</v>
      </c>
      <c r="H159" s="1641"/>
      <c r="I159" s="2035">
        <v>942.6105</v>
      </c>
      <c r="J159" s="1640"/>
      <c r="K159" s="1641"/>
      <c r="L159" s="1640"/>
      <c r="M159" s="1641"/>
      <c r="N159" s="1681"/>
      <c r="EW159" s="2031"/>
      <c r="EX159" s="1619"/>
      <c r="EY159" s="1628"/>
      <c r="EZ159" s="1628"/>
      <c r="FA159" s="1628"/>
      <c r="FF159" s="1864" t="s">
        <v>2524</v>
      </c>
      <c r="FH159" s="1628"/>
    </row>
    <row r="160" spans="1:176" s="1484" customFormat="1" ht="15" x14ac:dyDescent="0.25">
      <c r="A160" s="2033"/>
      <c r="B160" s="1631"/>
      <c r="C160" s="2805" t="s">
        <v>2501</v>
      </c>
      <c r="D160" s="2805"/>
      <c r="E160" s="2805"/>
      <c r="F160" s="1683" t="s">
        <v>807</v>
      </c>
      <c r="G160" s="1655">
        <v>0.25</v>
      </c>
      <c r="H160" s="1641"/>
      <c r="I160" s="2042">
        <v>2.4562499999999998</v>
      </c>
      <c r="J160" s="1640"/>
      <c r="K160" s="1641"/>
      <c r="L160" s="1640"/>
      <c r="M160" s="1641"/>
      <c r="N160" s="1681"/>
      <c r="EW160" s="2031"/>
      <c r="EX160" s="1619"/>
      <c r="EY160" s="1628"/>
      <c r="EZ160" s="1628"/>
      <c r="FA160" s="1628"/>
      <c r="FF160" s="1864" t="s">
        <v>2501</v>
      </c>
      <c r="FH160" s="1628"/>
    </row>
    <row r="161" spans="1:176" s="1484" customFormat="1" ht="15" x14ac:dyDescent="0.25">
      <c r="A161" s="2032"/>
      <c r="B161" s="1631"/>
      <c r="C161" s="2917" t="s">
        <v>2502</v>
      </c>
      <c r="D161" s="2917"/>
      <c r="E161" s="2917"/>
      <c r="F161" s="2036"/>
      <c r="G161" s="2037"/>
      <c r="H161" s="2037"/>
      <c r="I161" s="2037"/>
      <c r="J161" s="2038">
        <v>8690.33</v>
      </c>
      <c r="K161" s="2037"/>
      <c r="L161" s="2038">
        <v>87442.1</v>
      </c>
      <c r="M161" s="2037"/>
      <c r="N161" s="2068">
        <v>1073709.26</v>
      </c>
      <c r="EW161" s="2031"/>
      <c r="EX161" s="1619"/>
      <c r="EY161" s="1628"/>
      <c r="EZ161" s="1628"/>
      <c r="FA161" s="1628"/>
      <c r="FG161" s="1864" t="s">
        <v>2502</v>
      </c>
      <c r="FH161" s="1628"/>
    </row>
    <row r="162" spans="1:176" s="1484" customFormat="1" ht="15" x14ac:dyDescent="0.25">
      <c r="A162" s="2033" t="s">
        <v>7997</v>
      </c>
      <c r="B162" s="1631"/>
      <c r="C162" s="2805" t="s">
        <v>7964</v>
      </c>
      <c r="D162" s="2805"/>
      <c r="E162" s="2805"/>
      <c r="F162" s="1683" t="s">
        <v>5928</v>
      </c>
      <c r="G162" s="1641"/>
      <c r="H162" s="1641"/>
      <c r="I162" s="1641"/>
      <c r="J162" s="1640"/>
      <c r="K162" s="1641"/>
      <c r="L162" s="1654">
        <v>7.12</v>
      </c>
      <c r="M162" s="1641"/>
      <c r="N162" s="2039">
        <v>254.54</v>
      </c>
      <c r="EW162" s="2031"/>
      <c r="EX162" s="1619"/>
      <c r="EY162" s="1628"/>
      <c r="EZ162" s="1628"/>
      <c r="FA162" s="1628"/>
      <c r="FF162" s="1864" t="s">
        <v>7964</v>
      </c>
      <c r="FH162" s="1628"/>
    </row>
    <row r="163" spans="1:176" s="1484" customFormat="1" ht="15" x14ac:dyDescent="0.25">
      <c r="A163" s="2033"/>
      <c r="B163" s="1631"/>
      <c r="C163" s="2805" t="s">
        <v>7965</v>
      </c>
      <c r="D163" s="2805"/>
      <c r="E163" s="2805"/>
      <c r="F163" s="1683" t="s">
        <v>5928</v>
      </c>
      <c r="G163" s="1641"/>
      <c r="H163" s="1641"/>
      <c r="I163" s="1641"/>
      <c r="J163" s="1654">
        <v>2.9</v>
      </c>
      <c r="K163" s="1655">
        <v>0.25</v>
      </c>
      <c r="L163" s="1654">
        <v>7.12</v>
      </c>
      <c r="M163" s="1655">
        <v>35.75</v>
      </c>
      <c r="N163" s="2039">
        <v>254.54</v>
      </c>
      <c r="EW163" s="2031"/>
      <c r="EX163" s="1619"/>
      <c r="EY163" s="1628"/>
      <c r="EZ163" s="1628"/>
      <c r="FA163" s="1628"/>
      <c r="FF163" s="1864" t="s">
        <v>7965</v>
      </c>
      <c r="FH163" s="1628"/>
    </row>
    <row r="164" spans="1:176" s="1484" customFormat="1" ht="15" x14ac:dyDescent="0.25">
      <c r="A164" s="2033"/>
      <c r="B164" s="1631"/>
      <c r="C164" s="2805" t="s">
        <v>867</v>
      </c>
      <c r="D164" s="2805"/>
      <c r="E164" s="2805"/>
      <c r="F164" s="1683"/>
      <c r="G164" s="1641"/>
      <c r="H164" s="1641"/>
      <c r="I164" s="1641"/>
      <c r="J164" s="1640"/>
      <c r="K164" s="1641"/>
      <c r="L164" s="1657">
        <v>10333.68</v>
      </c>
      <c r="M164" s="1641"/>
      <c r="N164" s="1679">
        <v>369429.06</v>
      </c>
      <c r="EW164" s="2031"/>
      <c r="EX164" s="1619"/>
      <c r="EY164" s="1628"/>
      <c r="EZ164" s="1628"/>
      <c r="FA164" s="1628"/>
      <c r="FF164" s="1864" t="s">
        <v>867</v>
      </c>
      <c r="FH164" s="1628"/>
    </row>
    <row r="165" spans="1:176" s="1484" customFormat="1" ht="15" x14ac:dyDescent="0.25">
      <c r="A165" s="2033"/>
      <c r="B165" s="1631" t="s">
        <v>7983</v>
      </c>
      <c r="C165" s="2805" t="s">
        <v>7984</v>
      </c>
      <c r="D165" s="2805"/>
      <c r="E165" s="2805"/>
      <c r="F165" s="1683" t="s">
        <v>636</v>
      </c>
      <c r="G165" s="2034">
        <v>97</v>
      </c>
      <c r="H165" s="1641"/>
      <c r="I165" s="2034">
        <v>97</v>
      </c>
      <c r="J165" s="1640"/>
      <c r="K165" s="1641"/>
      <c r="L165" s="1657">
        <v>10023.67</v>
      </c>
      <c r="M165" s="1641"/>
      <c r="N165" s="1679">
        <v>358346.19</v>
      </c>
      <c r="EW165" s="2031"/>
      <c r="EX165" s="1619"/>
      <c r="EY165" s="1628"/>
      <c r="EZ165" s="1628"/>
      <c r="FA165" s="1628"/>
      <c r="FF165" s="1864" t="s">
        <v>7984</v>
      </c>
      <c r="FH165" s="1628"/>
    </row>
    <row r="166" spans="1:176" s="1484" customFormat="1" ht="15" x14ac:dyDescent="0.25">
      <c r="A166" s="2033"/>
      <c r="B166" s="1631" t="s">
        <v>7985</v>
      </c>
      <c r="C166" s="2805" t="s">
        <v>7986</v>
      </c>
      <c r="D166" s="2805"/>
      <c r="E166" s="2805"/>
      <c r="F166" s="1683" t="s">
        <v>636</v>
      </c>
      <c r="G166" s="2034">
        <v>55</v>
      </c>
      <c r="H166" s="1641"/>
      <c r="I166" s="2034">
        <v>55</v>
      </c>
      <c r="J166" s="1640"/>
      <c r="K166" s="1641"/>
      <c r="L166" s="1657">
        <v>5683.52</v>
      </c>
      <c r="M166" s="1641"/>
      <c r="N166" s="1679">
        <v>203185.98</v>
      </c>
      <c r="EW166" s="2031"/>
      <c r="EX166" s="1619"/>
      <c r="EY166" s="1628"/>
      <c r="EZ166" s="1628"/>
      <c r="FA166" s="1628"/>
      <c r="FF166" s="1864" t="s">
        <v>7986</v>
      </c>
      <c r="FH166" s="1628"/>
    </row>
    <row r="167" spans="1:176" s="1484" customFormat="1" ht="15" x14ac:dyDescent="0.25">
      <c r="A167" s="1650"/>
      <c r="B167" s="1651"/>
      <c r="C167" s="2803" t="s">
        <v>872</v>
      </c>
      <c r="D167" s="2803"/>
      <c r="E167" s="2803"/>
      <c r="F167" s="1621"/>
      <c r="G167" s="1622"/>
      <c r="H167" s="1622"/>
      <c r="I167" s="1622"/>
      <c r="J167" s="1625"/>
      <c r="K167" s="1622"/>
      <c r="L167" s="1648">
        <v>103156.41</v>
      </c>
      <c r="M167" s="2037"/>
      <c r="N167" s="1649">
        <v>1635495.97</v>
      </c>
      <c r="EW167" s="2031"/>
      <c r="EX167" s="1619"/>
      <c r="EY167" s="1628"/>
      <c r="EZ167" s="1628"/>
      <c r="FA167" s="1628"/>
      <c r="FH167" s="1628" t="s">
        <v>872</v>
      </c>
    </row>
    <row r="168" spans="1:176" s="1484" customFormat="1" ht="22.5" x14ac:dyDescent="0.25">
      <c r="A168" s="1620" t="s">
        <v>7998</v>
      </c>
      <c r="B168" s="1863" t="s">
        <v>7999</v>
      </c>
      <c r="C168" s="2803" t="s">
        <v>8000</v>
      </c>
      <c r="D168" s="2803"/>
      <c r="E168" s="2803"/>
      <c r="F168" s="1621" t="s">
        <v>4886</v>
      </c>
      <c r="G168" s="1622">
        <v>112.9875</v>
      </c>
      <c r="H168" s="1623">
        <v>1</v>
      </c>
      <c r="I168" s="2041">
        <v>112.9875</v>
      </c>
      <c r="J168" s="2040">
        <v>253</v>
      </c>
      <c r="K168" s="1622"/>
      <c r="L168" s="1648">
        <v>28585.84</v>
      </c>
      <c r="M168" s="1687">
        <v>9.14</v>
      </c>
      <c r="N168" s="1649">
        <v>261274.58</v>
      </c>
      <c r="EW168" s="2031"/>
      <c r="EX168" s="1619"/>
      <c r="EY168" s="1628" t="s">
        <v>8000</v>
      </c>
      <c r="EZ168" s="1628" t="s">
        <v>588</v>
      </c>
      <c r="FA168" s="1628" t="s">
        <v>588</v>
      </c>
      <c r="FH168" s="1628"/>
    </row>
    <row r="169" spans="1:176" s="1484" customFormat="1" ht="15" x14ac:dyDescent="0.25">
      <c r="A169" s="1650"/>
      <c r="B169" s="1651"/>
      <c r="C169" s="2805" t="s">
        <v>8933</v>
      </c>
      <c r="D169" s="2805"/>
      <c r="E169" s="2805"/>
      <c r="F169" s="2805"/>
      <c r="G169" s="2805"/>
      <c r="H169" s="2805"/>
      <c r="I169" s="2805"/>
      <c r="J169" s="2805"/>
      <c r="K169" s="2805"/>
      <c r="L169" s="2805"/>
      <c r="M169" s="2805"/>
      <c r="N169" s="2806"/>
      <c r="EW169" s="2031"/>
      <c r="EX169" s="1619"/>
      <c r="EY169" s="1628"/>
      <c r="EZ169" s="1628"/>
      <c r="FA169" s="1628"/>
      <c r="FH169" s="1628"/>
      <c r="FI169" s="1864" t="s">
        <v>8933</v>
      </c>
      <c r="FJ169" s="1864" t="s">
        <v>588</v>
      </c>
      <c r="FK169" s="1864" t="s">
        <v>588</v>
      </c>
      <c r="FL169" s="1864" t="s">
        <v>588</v>
      </c>
      <c r="FM169" s="1864" t="s">
        <v>588</v>
      </c>
      <c r="FN169" s="1864" t="s">
        <v>588</v>
      </c>
      <c r="FO169" s="1864" t="s">
        <v>588</v>
      </c>
      <c r="FP169" s="1864" t="s">
        <v>588</v>
      </c>
      <c r="FQ169" s="1864" t="s">
        <v>588</v>
      </c>
      <c r="FR169" s="1864" t="s">
        <v>588</v>
      </c>
      <c r="FS169" s="1864" t="s">
        <v>588</v>
      </c>
      <c r="FT169" s="1864" t="s">
        <v>588</v>
      </c>
    </row>
    <row r="170" spans="1:176" s="1484" customFormat="1" ht="15" x14ac:dyDescent="0.25">
      <c r="A170" s="1629"/>
      <c r="B170" s="1862"/>
      <c r="C170" s="2805" t="s">
        <v>8945</v>
      </c>
      <c r="D170" s="2805"/>
      <c r="E170" s="2805"/>
      <c r="F170" s="2805"/>
      <c r="G170" s="2805"/>
      <c r="H170" s="2805"/>
      <c r="I170" s="2805"/>
      <c r="J170" s="2805"/>
      <c r="K170" s="2805"/>
      <c r="L170" s="2805"/>
      <c r="M170" s="2805"/>
      <c r="N170" s="2806"/>
      <c r="EW170" s="2031"/>
      <c r="EX170" s="1619"/>
      <c r="EY170" s="1628"/>
      <c r="EZ170" s="1628"/>
      <c r="FA170" s="1628"/>
      <c r="FB170" s="1864" t="s">
        <v>8945</v>
      </c>
      <c r="FH170" s="1628"/>
    </row>
    <row r="171" spans="1:176" s="1484" customFormat="1" ht="15" x14ac:dyDescent="0.25">
      <c r="A171" s="1650"/>
      <c r="B171" s="1651"/>
      <c r="C171" s="2803" t="s">
        <v>872</v>
      </c>
      <c r="D171" s="2803"/>
      <c r="E171" s="2803"/>
      <c r="F171" s="1621"/>
      <c r="G171" s="1622"/>
      <c r="H171" s="1622"/>
      <c r="I171" s="1622"/>
      <c r="J171" s="1625"/>
      <c r="K171" s="1622"/>
      <c r="L171" s="1648">
        <v>28585.84</v>
      </c>
      <c r="M171" s="2037"/>
      <c r="N171" s="1649">
        <v>261274.58</v>
      </c>
      <c r="EW171" s="2031"/>
      <c r="EX171" s="1619"/>
      <c r="EY171" s="1628"/>
      <c r="EZ171" s="1628"/>
      <c r="FA171" s="1628"/>
      <c r="FH171" s="1628" t="s">
        <v>872</v>
      </c>
    </row>
    <row r="172" spans="1:176" s="1484" customFormat="1" ht="45" x14ac:dyDescent="0.25">
      <c r="A172" s="1620" t="s">
        <v>8001</v>
      </c>
      <c r="B172" s="1863" t="s">
        <v>7980</v>
      </c>
      <c r="C172" s="2803" t="s">
        <v>7981</v>
      </c>
      <c r="D172" s="2803"/>
      <c r="E172" s="2803"/>
      <c r="F172" s="1621" t="s">
        <v>2555</v>
      </c>
      <c r="G172" s="1622">
        <v>9.8249999999999993</v>
      </c>
      <c r="H172" s="1623">
        <v>1</v>
      </c>
      <c r="I172" s="2045">
        <v>9.8249999999999993</v>
      </c>
      <c r="J172" s="1625"/>
      <c r="K172" s="1622"/>
      <c r="L172" s="1625"/>
      <c r="M172" s="1622"/>
      <c r="N172" s="1627"/>
      <c r="EW172" s="2031"/>
      <c r="EX172" s="1619"/>
      <c r="EY172" s="1628" t="s">
        <v>7981</v>
      </c>
      <c r="EZ172" s="1628" t="s">
        <v>588</v>
      </c>
      <c r="FA172" s="1628" t="s">
        <v>588</v>
      </c>
      <c r="FH172" s="1628"/>
    </row>
    <row r="173" spans="1:176" s="1484" customFormat="1" ht="15" x14ac:dyDescent="0.25">
      <c r="A173" s="1629"/>
      <c r="B173" s="1862"/>
      <c r="C173" s="2805" t="s">
        <v>8944</v>
      </c>
      <c r="D173" s="2805"/>
      <c r="E173" s="2805"/>
      <c r="F173" s="2805"/>
      <c r="G173" s="2805"/>
      <c r="H173" s="2805"/>
      <c r="I173" s="2805"/>
      <c r="J173" s="2805"/>
      <c r="K173" s="2805"/>
      <c r="L173" s="2805"/>
      <c r="M173" s="2805"/>
      <c r="N173" s="2806"/>
      <c r="EW173" s="2031"/>
      <c r="EX173" s="1619"/>
      <c r="EY173" s="1628"/>
      <c r="EZ173" s="1628"/>
      <c r="FA173" s="1628"/>
      <c r="FB173" s="1864" t="s">
        <v>8944</v>
      </c>
      <c r="FH173" s="1628"/>
    </row>
    <row r="174" spans="1:176" s="1484" customFormat="1" ht="22.5" x14ac:dyDescent="0.25">
      <c r="A174" s="1630"/>
      <c r="B174" s="1631" t="s">
        <v>6062</v>
      </c>
      <c r="C174" s="2809" t="s">
        <v>6063</v>
      </c>
      <c r="D174" s="2809"/>
      <c r="E174" s="2809"/>
      <c r="F174" s="2809"/>
      <c r="G174" s="2809"/>
      <c r="H174" s="2809"/>
      <c r="I174" s="2809"/>
      <c r="J174" s="2809"/>
      <c r="K174" s="2809"/>
      <c r="L174" s="2809"/>
      <c r="M174" s="2809"/>
      <c r="N174" s="2810"/>
      <c r="EW174" s="2031"/>
      <c r="EX174" s="1619"/>
      <c r="EY174" s="1628"/>
      <c r="EZ174" s="1628"/>
      <c r="FA174" s="1628"/>
      <c r="FC174" s="1864" t="s">
        <v>6063</v>
      </c>
      <c r="FH174" s="1628"/>
    </row>
    <row r="175" spans="1:176" s="1484" customFormat="1" ht="22.5" x14ac:dyDescent="0.25">
      <c r="A175" s="2033"/>
      <c r="B175" s="1631" t="s">
        <v>8936</v>
      </c>
      <c r="C175" s="2805" t="s">
        <v>8935</v>
      </c>
      <c r="D175" s="2805"/>
      <c r="E175" s="2805"/>
      <c r="F175" s="1683" t="s">
        <v>807</v>
      </c>
      <c r="G175" s="1655">
        <v>16.059999999999999</v>
      </c>
      <c r="H175" s="1641"/>
      <c r="I175" s="2035">
        <v>157.7895</v>
      </c>
      <c r="J175" s="1654">
        <v>8.24</v>
      </c>
      <c r="K175" s="1655">
        <v>1.25</v>
      </c>
      <c r="L175" s="1657">
        <v>1625.23</v>
      </c>
      <c r="M175" s="1641"/>
      <c r="N175" s="1681"/>
      <c r="EW175" s="2031"/>
      <c r="EX175" s="1619"/>
      <c r="EY175" s="1628"/>
      <c r="EZ175" s="1628"/>
      <c r="FA175" s="1628"/>
      <c r="FD175" s="1864" t="s">
        <v>8935</v>
      </c>
      <c r="FH175" s="1628"/>
    </row>
    <row r="176" spans="1:176" s="1484" customFormat="1" ht="15" x14ac:dyDescent="0.25">
      <c r="A176" s="2033"/>
      <c r="B176" s="1631" t="s">
        <v>5000</v>
      </c>
      <c r="C176" s="2805" t="s">
        <v>5001</v>
      </c>
      <c r="D176" s="2805"/>
      <c r="E176" s="2805"/>
      <c r="F176" s="1683" t="s">
        <v>4994</v>
      </c>
      <c r="G176" s="1655">
        <v>0.03</v>
      </c>
      <c r="H176" s="1641"/>
      <c r="I176" s="2042">
        <v>0.29475000000000001</v>
      </c>
      <c r="J176" s="1654">
        <v>83.43</v>
      </c>
      <c r="K176" s="1641"/>
      <c r="L176" s="1654">
        <v>24.59</v>
      </c>
      <c r="M176" s="1641"/>
      <c r="N176" s="1681"/>
      <c r="EW176" s="2031"/>
      <c r="EX176" s="1619"/>
      <c r="EY176" s="1628"/>
      <c r="EZ176" s="1628"/>
      <c r="FA176" s="1628"/>
      <c r="FD176" s="1864" t="s">
        <v>5001</v>
      </c>
      <c r="FH176" s="1628"/>
    </row>
    <row r="177" spans="1:164" s="1484" customFormat="1" ht="15" x14ac:dyDescent="0.25">
      <c r="A177" s="2033"/>
      <c r="B177" s="1631" t="s">
        <v>821</v>
      </c>
      <c r="C177" s="2805" t="s">
        <v>822</v>
      </c>
      <c r="D177" s="2805"/>
      <c r="E177" s="2805"/>
      <c r="F177" s="1683" t="s">
        <v>4994</v>
      </c>
      <c r="G177" s="1655">
        <v>0.05</v>
      </c>
      <c r="H177" s="1641"/>
      <c r="I177" s="2042">
        <v>0.49125000000000002</v>
      </c>
      <c r="J177" s="1654">
        <v>65.709999999999994</v>
      </c>
      <c r="K177" s="1641"/>
      <c r="L177" s="1654">
        <v>32.28</v>
      </c>
      <c r="M177" s="1641"/>
      <c r="N177" s="1681"/>
      <c r="EW177" s="2031"/>
      <c r="EX177" s="1619"/>
      <c r="EY177" s="1628"/>
      <c r="EZ177" s="1628"/>
      <c r="FA177" s="1628"/>
      <c r="FD177" s="1864" t="s">
        <v>822</v>
      </c>
      <c r="FH177" s="1628"/>
    </row>
    <row r="178" spans="1:164" s="1484" customFormat="1" ht="15" x14ac:dyDescent="0.25">
      <c r="A178" s="2033"/>
      <c r="B178" s="1631" t="s">
        <v>1755</v>
      </c>
      <c r="C178" s="2805" t="s">
        <v>2634</v>
      </c>
      <c r="D178" s="2805"/>
      <c r="E178" s="2805"/>
      <c r="F178" s="1683" t="s">
        <v>832</v>
      </c>
      <c r="G178" s="1655">
        <v>0.12</v>
      </c>
      <c r="H178" s="1641"/>
      <c r="I178" s="2046">
        <v>1.179</v>
      </c>
      <c r="J178" s="1654">
        <v>2.44</v>
      </c>
      <c r="K178" s="1641"/>
      <c r="L178" s="1654">
        <v>2.88</v>
      </c>
      <c r="M178" s="1641"/>
      <c r="N178" s="1681"/>
      <c r="EW178" s="2031"/>
      <c r="EX178" s="1619"/>
      <c r="EY178" s="1628"/>
      <c r="EZ178" s="1628"/>
      <c r="FA178" s="1628"/>
      <c r="FD178" s="1864" t="s">
        <v>2634</v>
      </c>
      <c r="FH178" s="1628"/>
    </row>
    <row r="179" spans="1:164" s="1484" customFormat="1" ht="15" x14ac:dyDescent="0.25">
      <c r="A179" s="2033"/>
      <c r="B179" s="1631" t="s">
        <v>4973</v>
      </c>
      <c r="C179" s="2805" t="s">
        <v>4974</v>
      </c>
      <c r="D179" s="2805"/>
      <c r="E179" s="2805"/>
      <c r="F179" s="1683" t="s">
        <v>835</v>
      </c>
      <c r="G179" s="2034">
        <v>409</v>
      </c>
      <c r="H179" s="1641"/>
      <c r="I179" s="2046">
        <v>4018.4250000000002</v>
      </c>
      <c r="J179" s="1654">
        <v>6.2</v>
      </c>
      <c r="K179" s="1641"/>
      <c r="L179" s="1657">
        <v>24914.240000000002</v>
      </c>
      <c r="M179" s="1641"/>
      <c r="N179" s="1681"/>
      <c r="EW179" s="2031"/>
      <c r="EX179" s="1619"/>
      <c r="EY179" s="1628"/>
      <c r="EZ179" s="1628"/>
      <c r="FA179" s="1628"/>
      <c r="FD179" s="1864" t="s">
        <v>4974</v>
      </c>
      <c r="FH179" s="1628"/>
    </row>
    <row r="180" spans="1:164" s="1484" customFormat="1" ht="15" x14ac:dyDescent="0.25">
      <c r="A180" s="2032"/>
      <c r="B180" s="1631" t="s">
        <v>190</v>
      </c>
      <c r="C180" s="2805" t="s">
        <v>2523</v>
      </c>
      <c r="D180" s="2805"/>
      <c r="E180" s="2805"/>
      <c r="F180" s="1683"/>
      <c r="G180" s="1641"/>
      <c r="H180" s="1641"/>
      <c r="I180" s="1641"/>
      <c r="J180" s="1654">
        <v>132.33000000000001</v>
      </c>
      <c r="K180" s="1655">
        <v>1.25</v>
      </c>
      <c r="L180" s="1657">
        <v>1625.18</v>
      </c>
      <c r="M180" s="1655">
        <v>35.75</v>
      </c>
      <c r="N180" s="1679">
        <v>58100.19</v>
      </c>
      <c r="EW180" s="2031"/>
      <c r="EX180" s="1619"/>
      <c r="EY180" s="1628"/>
      <c r="EZ180" s="1628"/>
      <c r="FA180" s="1628"/>
      <c r="FE180" s="1864" t="s">
        <v>2523</v>
      </c>
      <c r="FH180" s="1628"/>
    </row>
    <row r="181" spans="1:164" s="1484" customFormat="1" ht="15" x14ac:dyDescent="0.25">
      <c r="A181" s="2032"/>
      <c r="B181" s="1631" t="s">
        <v>639</v>
      </c>
      <c r="C181" s="2805" t="s">
        <v>697</v>
      </c>
      <c r="D181" s="2805"/>
      <c r="E181" s="2805"/>
      <c r="F181" s="1683"/>
      <c r="G181" s="1641"/>
      <c r="H181" s="1641"/>
      <c r="I181" s="1641"/>
      <c r="J181" s="1654">
        <v>5.79</v>
      </c>
      <c r="K181" s="1641"/>
      <c r="L181" s="1654">
        <v>56.89</v>
      </c>
      <c r="M181" s="1655">
        <v>11.97</v>
      </c>
      <c r="N181" s="2039">
        <v>680.97</v>
      </c>
      <c r="EW181" s="2031"/>
      <c r="EX181" s="1619"/>
      <c r="EY181" s="1628"/>
      <c r="EZ181" s="1628"/>
      <c r="FA181" s="1628"/>
      <c r="FE181" s="1864" t="s">
        <v>697</v>
      </c>
      <c r="FH181" s="1628"/>
    </row>
    <row r="182" spans="1:164" s="1484" customFormat="1" ht="15" x14ac:dyDescent="0.25">
      <c r="A182" s="2032"/>
      <c r="B182" s="1631" t="s">
        <v>640</v>
      </c>
      <c r="C182" s="2805" t="s">
        <v>2500</v>
      </c>
      <c r="D182" s="2805"/>
      <c r="E182" s="2805"/>
      <c r="F182" s="1683"/>
      <c r="G182" s="1641"/>
      <c r="H182" s="1641"/>
      <c r="I182" s="1641"/>
      <c r="J182" s="1654">
        <v>0.99</v>
      </c>
      <c r="K182" s="1641"/>
      <c r="L182" s="1654">
        <v>9.73</v>
      </c>
      <c r="M182" s="1655">
        <v>35.75</v>
      </c>
      <c r="N182" s="2039">
        <v>347.85</v>
      </c>
      <c r="EW182" s="2031"/>
      <c r="EX182" s="1619"/>
      <c r="EY182" s="1628"/>
      <c r="EZ182" s="1628"/>
      <c r="FA182" s="1628"/>
      <c r="FE182" s="1864" t="s">
        <v>2500</v>
      </c>
      <c r="FH182" s="1628"/>
    </row>
    <row r="183" spans="1:164" s="1484" customFormat="1" ht="15" x14ac:dyDescent="0.25">
      <c r="A183" s="2032"/>
      <c r="B183" s="1631" t="s">
        <v>232</v>
      </c>
      <c r="C183" s="2805" t="s">
        <v>829</v>
      </c>
      <c r="D183" s="2805"/>
      <c r="E183" s="2805"/>
      <c r="F183" s="1683"/>
      <c r="G183" s="1641"/>
      <c r="H183" s="1641"/>
      <c r="I183" s="1641"/>
      <c r="J183" s="1657">
        <v>2536.09</v>
      </c>
      <c r="K183" s="1641"/>
      <c r="L183" s="1657">
        <v>24917.08</v>
      </c>
      <c r="M183" s="1655">
        <v>9.14</v>
      </c>
      <c r="N183" s="1679">
        <v>227742.11</v>
      </c>
      <c r="EW183" s="2031"/>
      <c r="EX183" s="1619"/>
      <c r="EY183" s="1628"/>
      <c r="EZ183" s="1628"/>
      <c r="FA183" s="1628"/>
      <c r="FE183" s="1864" t="s">
        <v>829</v>
      </c>
      <c r="FH183" s="1628"/>
    </row>
    <row r="184" spans="1:164" s="1484" customFormat="1" ht="15" x14ac:dyDescent="0.25">
      <c r="A184" s="2033"/>
      <c r="B184" s="1631"/>
      <c r="C184" s="2805" t="s">
        <v>2524</v>
      </c>
      <c r="D184" s="2805"/>
      <c r="E184" s="2805"/>
      <c r="F184" s="1683" t="s">
        <v>807</v>
      </c>
      <c r="G184" s="1655">
        <v>16.059999999999999</v>
      </c>
      <c r="H184" s="1641"/>
      <c r="I184" s="2035">
        <v>157.7895</v>
      </c>
      <c r="J184" s="1640"/>
      <c r="K184" s="1641"/>
      <c r="L184" s="1640"/>
      <c r="M184" s="1641"/>
      <c r="N184" s="1681"/>
      <c r="EW184" s="2031"/>
      <c r="EX184" s="1619"/>
      <c r="EY184" s="1628"/>
      <c r="EZ184" s="1628"/>
      <c r="FA184" s="1628"/>
      <c r="FF184" s="1864" t="s">
        <v>2524</v>
      </c>
      <c r="FH184" s="1628"/>
    </row>
    <row r="185" spans="1:164" s="1484" customFormat="1" ht="15" x14ac:dyDescent="0.25">
      <c r="A185" s="2033"/>
      <c r="B185" s="1631"/>
      <c r="C185" s="2805" t="s">
        <v>2501</v>
      </c>
      <c r="D185" s="2805"/>
      <c r="E185" s="2805"/>
      <c r="F185" s="1683" t="s">
        <v>807</v>
      </c>
      <c r="G185" s="1655">
        <v>0.08</v>
      </c>
      <c r="H185" s="1641"/>
      <c r="I185" s="2046">
        <v>0.78600000000000003</v>
      </c>
      <c r="J185" s="1640"/>
      <c r="K185" s="1641"/>
      <c r="L185" s="1640"/>
      <c r="M185" s="1641"/>
      <c r="N185" s="1681"/>
      <c r="EW185" s="2031"/>
      <c r="EX185" s="1619"/>
      <c r="EY185" s="1628"/>
      <c r="EZ185" s="1628"/>
      <c r="FA185" s="1628"/>
      <c r="FF185" s="1864" t="s">
        <v>2501</v>
      </c>
      <c r="FH185" s="1628"/>
    </row>
    <row r="186" spans="1:164" s="1484" customFormat="1" ht="15" x14ac:dyDescent="0.25">
      <c r="A186" s="2032"/>
      <c r="B186" s="1631"/>
      <c r="C186" s="2917" t="s">
        <v>2502</v>
      </c>
      <c r="D186" s="2917"/>
      <c r="E186" s="2917"/>
      <c r="F186" s="2036"/>
      <c r="G186" s="2037"/>
      <c r="H186" s="2037"/>
      <c r="I186" s="2037"/>
      <c r="J186" s="2038">
        <v>2674.21</v>
      </c>
      <c r="K186" s="2037"/>
      <c r="L186" s="2038">
        <v>26599.15</v>
      </c>
      <c r="M186" s="2037"/>
      <c r="N186" s="2068">
        <v>286523.27</v>
      </c>
      <c r="EW186" s="2031"/>
      <c r="EX186" s="1619"/>
      <c r="EY186" s="1628"/>
      <c r="EZ186" s="1628"/>
      <c r="FA186" s="1628"/>
      <c r="FG186" s="1864" t="s">
        <v>2502</v>
      </c>
      <c r="FH186" s="1628"/>
    </row>
    <row r="187" spans="1:164" s="1484" customFormat="1" ht="15" x14ac:dyDescent="0.25">
      <c r="A187" s="2033" t="s">
        <v>8002</v>
      </c>
      <c r="B187" s="1631"/>
      <c r="C187" s="2805" t="s">
        <v>7964</v>
      </c>
      <c r="D187" s="2805"/>
      <c r="E187" s="2805"/>
      <c r="F187" s="1683" t="s">
        <v>5928</v>
      </c>
      <c r="G187" s="1641"/>
      <c r="H187" s="1641"/>
      <c r="I187" s="1641"/>
      <c r="J187" s="1640"/>
      <c r="K187" s="1641"/>
      <c r="L187" s="1654">
        <v>2.4300000000000002</v>
      </c>
      <c r="M187" s="1641"/>
      <c r="N187" s="2039">
        <v>86.87</v>
      </c>
      <c r="EW187" s="2031"/>
      <c r="EX187" s="1619"/>
      <c r="EY187" s="1628"/>
      <c r="EZ187" s="1628"/>
      <c r="FA187" s="1628"/>
      <c r="FF187" s="1864" t="s">
        <v>7964</v>
      </c>
      <c r="FH187" s="1628"/>
    </row>
    <row r="188" spans="1:164" s="1484" customFormat="1" ht="15" x14ac:dyDescent="0.25">
      <c r="A188" s="2033"/>
      <c r="B188" s="1631"/>
      <c r="C188" s="2805" t="s">
        <v>7965</v>
      </c>
      <c r="D188" s="2805"/>
      <c r="E188" s="2805"/>
      <c r="F188" s="1683" t="s">
        <v>5928</v>
      </c>
      <c r="G188" s="1641"/>
      <c r="H188" s="1641"/>
      <c r="I188" s="1641"/>
      <c r="J188" s="1654">
        <v>0.99</v>
      </c>
      <c r="K188" s="1655">
        <v>0.25</v>
      </c>
      <c r="L188" s="1654">
        <v>2.4300000000000002</v>
      </c>
      <c r="M188" s="1655">
        <v>35.75</v>
      </c>
      <c r="N188" s="2039">
        <v>86.87</v>
      </c>
      <c r="EW188" s="2031"/>
      <c r="EX188" s="1619"/>
      <c r="EY188" s="1628"/>
      <c r="EZ188" s="1628"/>
      <c r="FA188" s="1628"/>
      <c r="FF188" s="1864" t="s">
        <v>7965</v>
      </c>
      <c r="FH188" s="1628"/>
    </row>
    <row r="189" spans="1:164" s="1484" customFormat="1" ht="15" x14ac:dyDescent="0.25">
      <c r="A189" s="2033"/>
      <c r="B189" s="1631"/>
      <c r="C189" s="2805" t="s">
        <v>867</v>
      </c>
      <c r="D189" s="2805"/>
      <c r="E189" s="2805"/>
      <c r="F189" s="1683"/>
      <c r="G189" s="1641"/>
      <c r="H189" s="1641"/>
      <c r="I189" s="1641"/>
      <c r="J189" s="1640"/>
      <c r="K189" s="1641"/>
      <c r="L189" s="1657">
        <v>1637.34</v>
      </c>
      <c r="M189" s="1641"/>
      <c r="N189" s="1679">
        <v>58534.91</v>
      </c>
      <c r="EW189" s="2031"/>
      <c r="EX189" s="1619"/>
      <c r="EY189" s="1628"/>
      <c r="EZ189" s="1628"/>
      <c r="FA189" s="1628"/>
      <c r="FF189" s="1864" t="s">
        <v>867</v>
      </c>
      <c r="FH189" s="1628"/>
    </row>
    <row r="190" spans="1:164" s="1484" customFormat="1" ht="15" x14ac:dyDescent="0.25">
      <c r="A190" s="2033"/>
      <c r="B190" s="1631" t="s">
        <v>7983</v>
      </c>
      <c r="C190" s="2805" t="s">
        <v>7984</v>
      </c>
      <c r="D190" s="2805"/>
      <c r="E190" s="2805"/>
      <c r="F190" s="1683" t="s">
        <v>636</v>
      </c>
      <c r="G190" s="2034">
        <v>97</v>
      </c>
      <c r="H190" s="1641"/>
      <c r="I190" s="2034">
        <v>97</v>
      </c>
      <c r="J190" s="1640"/>
      <c r="K190" s="1641"/>
      <c r="L190" s="1657">
        <v>1588.22</v>
      </c>
      <c r="M190" s="1641"/>
      <c r="N190" s="1679">
        <v>56778.86</v>
      </c>
      <c r="EW190" s="2031"/>
      <c r="EX190" s="1619"/>
      <c r="EY190" s="1628"/>
      <c r="EZ190" s="1628"/>
      <c r="FA190" s="1628"/>
      <c r="FF190" s="1864" t="s">
        <v>7984</v>
      </c>
      <c r="FH190" s="1628"/>
    </row>
    <row r="191" spans="1:164" s="1484" customFormat="1" ht="15" x14ac:dyDescent="0.25">
      <c r="A191" s="2033"/>
      <c r="B191" s="1631" t="s">
        <v>7985</v>
      </c>
      <c r="C191" s="2805" t="s">
        <v>7986</v>
      </c>
      <c r="D191" s="2805"/>
      <c r="E191" s="2805"/>
      <c r="F191" s="1683" t="s">
        <v>636</v>
      </c>
      <c r="G191" s="2034">
        <v>55</v>
      </c>
      <c r="H191" s="1641"/>
      <c r="I191" s="2034">
        <v>55</v>
      </c>
      <c r="J191" s="1640"/>
      <c r="K191" s="1641"/>
      <c r="L191" s="1654">
        <v>900.54</v>
      </c>
      <c r="M191" s="1641"/>
      <c r="N191" s="1679">
        <v>32194.2</v>
      </c>
      <c r="EW191" s="2031"/>
      <c r="EX191" s="1619"/>
      <c r="EY191" s="1628"/>
      <c r="EZ191" s="1628"/>
      <c r="FA191" s="1628"/>
      <c r="FF191" s="1864" t="s">
        <v>7986</v>
      </c>
      <c r="FH191" s="1628"/>
    </row>
    <row r="192" spans="1:164" s="1484" customFormat="1" ht="15" x14ac:dyDescent="0.25">
      <c r="A192" s="1650"/>
      <c r="B192" s="1651"/>
      <c r="C192" s="2803" t="s">
        <v>872</v>
      </c>
      <c r="D192" s="2803"/>
      <c r="E192" s="2803"/>
      <c r="F192" s="1621"/>
      <c r="G192" s="1622"/>
      <c r="H192" s="1622"/>
      <c r="I192" s="1622"/>
      <c r="J192" s="1625"/>
      <c r="K192" s="1622"/>
      <c r="L192" s="1648">
        <v>29090.34</v>
      </c>
      <c r="M192" s="2037"/>
      <c r="N192" s="1649">
        <v>375583.2</v>
      </c>
      <c r="EW192" s="2031"/>
      <c r="EX192" s="1619"/>
      <c r="EY192" s="1628"/>
      <c r="EZ192" s="1628"/>
      <c r="FA192" s="1628"/>
      <c r="FH192" s="1628" t="s">
        <v>872</v>
      </c>
    </row>
    <row r="193" spans="1:176" s="1484" customFormat="1" ht="33.75" x14ac:dyDescent="0.25">
      <c r="A193" s="1620" t="s">
        <v>659</v>
      </c>
      <c r="B193" s="1863" t="s">
        <v>8934</v>
      </c>
      <c r="C193" s="2803" t="s">
        <v>7987</v>
      </c>
      <c r="D193" s="2803"/>
      <c r="E193" s="2803"/>
      <c r="F193" s="1621" t="s">
        <v>130</v>
      </c>
      <c r="G193" s="1622">
        <v>982.5</v>
      </c>
      <c r="H193" s="1623">
        <v>1</v>
      </c>
      <c r="I193" s="1624">
        <v>982.5</v>
      </c>
      <c r="J193" s="1648">
        <v>5220.7</v>
      </c>
      <c r="K193" s="1622"/>
      <c r="L193" s="1648">
        <v>561196.68999999994</v>
      </c>
      <c r="M193" s="1687">
        <v>9.14</v>
      </c>
      <c r="N193" s="1649">
        <v>5129337.75</v>
      </c>
      <c r="EW193" s="2031"/>
      <c r="EX193" s="1619"/>
      <c r="EY193" s="1628" t="s">
        <v>7987</v>
      </c>
      <c r="EZ193" s="1628" t="s">
        <v>588</v>
      </c>
      <c r="FA193" s="1628" t="s">
        <v>588</v>
      </c>
      <c r="FH193" s="1628"/>
    </row>
    <row r="194" spans="1:176" s="1484" customFormat="1" ht="15" x14ac:dyDescent="0.25">
      <c r="A194" s="1650"/>
      <c r="B194" s="1651"/>
      <c r="C194" s="2805" t="s">
        <v>8933</v>
      </c>
      <c r="D194" s="2805"/>
      <c r="E194" s="2805"/>
      <c r="F194" s="2805"/>
      <c r="G194" s="2805"/>
      <c r="H194" s="2805"/>
      <c r="I194" s="2805"/>
      <c r="J194" s="2805"/>
      <c r="K194" s="2805"/>
      <c r="L194" s="2805"/>
      <c r="M194" s="2805"/>
      <c r="N194" s="2806"/>
      <c r="EW194" s="2031"/>
      <c r="EX194" s="1619"/>
      <c r="EY194" s="1628"/>
      <c r="EZ194" s="1628"/>
      <c r="FA194" s="1628"/>
      <c r="FH194" s="1628"/>
      <c r="FI194" s="1864" t="s">
        <v>8933</v>
      </c>
      <c r="FJ194" s="1864" t="s">
        <v>588</v>
      </c>
      <c r="FK194" s="1864" t="s">
        <v>588</v>
      </c>
      <c r="FL194" s="1864" t="s">
        <v>588</v>
      </c>
      <c r="FM194" s="1864" t="s">
        <v>588</v>
      </c>
      <c r="FN194" s="1864" t="s">
        <v>588</v>
      </c>
      <c r="FO194" s="1864" t="s">
        <v>588</v>
      </c>
      <c r="FP194" s="1864" t="s">
        <v>588</v>
      </c>
      <c r="FQ194" s="1864" t="s">
        <v>588</v>
      </c>
      <c r="FR194" s="1864" t="s">
        <v>588</v>
      </c>
      <c r="FS194" s="1864" t="s">
        <v>588</v>
      </c>
      <c r="FT194" s="1864" t="s">
        <v>588</v>
      </c>
    </row>
    <row r="195" spans="1:176" s="1484" customFormat="1" ht="15" x14ac:dyDescent="0.25">
      <c r="A195" s="1629"/>
      <c r="B195" s="1862"/>
      <c r="C195" s="2805" t="s">
        <v>8943</v>
      </c>
      <c r="D195" s="2805"/>
      <c r="E195" s="2805"/>
      <c r="F195" s="2805"/>
      <c r="G195" s="2805"/>
      <c r="H195" s="2805"/>
      <c r="I195" s="2805"/>
      <c r="J195" s="2805"/>
      <c r="K195" s="2805"/>
      <c r="L195" s="2805"/>
      <c r="M195" s="2805"/>
      <c r="N195" s="2806"/>
      <c r="EW195" s="2031"/>
      <c r="EX195" s="1619"/>
      <c r="EY195" s="1628"/>
      <c r="EZ195" s="1628"/>
      <c r="FA195" s="1628"/>
      <c r="FB195" s="1864" t="s">
        <v>8943</v>
      </c>
      <c r="FH195" s="1628"/>
    </row>
    <row r="196" spans="1:176" s="1484" customFormat="1" ht="15" x14ac:dyDescent="0.25">
      <c r="A196" s="1650"/>
      <c r="B196" s="1651"/>
      <c r="C196" s="2803" t="s">
        <v>872</v>
      </c>
      <c r="D196" s="2803"/>
      <c r="E196" s="2803"/>
      <c r="F196" s="1621"/>
      <c r="G196" s="1622"/>
      <c r="H196" s="1622"/>
      <c r="I196" s="1622"/>
      <c r="J196" s="1625"/>
      <c r="K196" s="1622"/>
      <c r="L196" s="1648">
        <v>561196.68999999994</v>
      </c>
      <c r="M196" s="2037"/>
      <c r="N196" s="1649">
        <v>5129337.75</v>
      </c>
      <c r="EW196" s="2031"/>
      <c r="EX196" s="1619"/>
      <c r="EY196" s="1628"/>
      <c r="EZ196" s="1628"/>
      <c r="FA196" s="1628"/>
      <c r="FH196" s="1628" t="s">
        <v>872</v>
      </c>
    </row>
    <row r="197" spans="1:176" s="1484" customFormat="1" ht="15" x14ac:dyDescent="0.25">
      <c r="A197" s="2811" t="s">
        <v>8003</v>
      </c>
      <c r="B197" s="2812"/>
      <c r="C197" s="2812"/>
      <c r="D197" s="2812"/>
      <c r="E197" s="2812"/>
      <c r="F197" s="2812"/>
      <c r="G197" s="2812"/>
      <c r="H197" s="2812"/>
      <c r="I197" s="2812"/>
      <c r="J197" s="2812"/>
      <c r="K197" s="2812"/>
      <c r="L197" s="2812"/>
      <c r="M197" s="2812"/>
      <c r="N197" s="2813"/>
      <c r="EW197" s="2031"/>
      <c r="EX197" s="1619" t="s">
        <v>8003</v>
      </c>
      <c r="EY197" s="1628"/>
      <c r="EZ197" s="1628"/>
      <c r="FA197" s="1628"/>
      <c r="FH197" s="1628"/>
    </row>
    <row r="198" spans="1:176" s="1484" customFormat="1" ht="33.75" x14ac:dyDescent="0.25">
      <c r="A198" s="1620" t="s">
        <v>8004</v>
      </c>
      <c r="B198" s="1863" t="s">
        <v>8005</v>
      </c>
      <c r="C198" s="2803" t="s">
        <v>8006</v>
      </c>
      <c r="D198" s="2803"/>
      <c r="E198" s="2803"/>
      <c r="F198" s="1621" t="s">
        <v>2555</v>
      </c>
      <c r="G198" s="1622">
        <v>0.78400000000000003</v>
      </c>
      <c r="H198" s="1623">
        <v>1</v>
      </c>
      <c r="I198" s="2045">
        <v>0.78400000000000003</v>
      </c>
      <c r="J198" s="1625"/>
      <c r="K198" s="1622"/>
      <c r="L198" s="1625"/>
      <c r="M198" s="1622"/>
      <c r="N198" s="1627"/>
      <c r="EW198" s="2031"/>
      <c r="EX198" s="1619"/>
      <c r="EY198" s="1628" t="s">
        <v>8006</v>
      </c>
      <c r="EZ198" s="1628" t="s">
        <v>588</v>
      </c>
      <c r="FA198" s="1628" t="s">
        <v>588</v>
      </c>
      <c r="FH198" s="1628"/>
    </row>
    <row r="199" spans="1:176" s="1484" customFormat="1" ht="15" x14ac:dyDescent="0.25">
      <c r="A199" s="1629"/>
      <c r="B199" s="1862"/>
      <c r="C199" s="2805" t="s">
        <v>8941</v>
      </c>
      <c r="D199" s="2805"/>
      <c r="E199" s="2805"/>
      <c r="F199" s="2805"/>
      <c r="G199" s="2805"/>
      <c r="H199" s="2805"/>
      <c r="I199" s="2805"/>
      <c r="J199" s="2805"/>
      <c r="K199" s="2805"/>
      <c r="L199" s="2805"/>
      <c r="M199" s="2805"/>
      <c r="N199" s="2806"/>
      <c r="EW199" s="2031"/>
      <c r="EX199" s="1619"/>
      <c r="EY199" s="1628"/>
      <c r="EZ199" s="1628"/>
      <c r="FA199" s="1628"/>
      <c r="FB199" s="1864" t="s">
        <v>8941</v>
      </c>
      <c r="FH199" s="1628"/>
    </row>
    <row r="200" spans="1:176" s="1484" customFormat="1" ht="22.5" x14ac:dyDescent="0.25">
      <c r="A200" s="1630"/>
      <c r="B200" s="1631" t="s">
        <v>6062</v>
      </c>
      <c r="C200" s="2809" t="s">
        <v>6063</v>
      </c>
      <c r="D200" s="2809"/>
      <c r="E200" s="2809"/>
      <c r="F200" s="2809"/>
      <c r="G200" s="2809"/>
      <c r="H200" s="2809"/>
      <c r="I200" s="2809"/>
      <c r="J200" s="2809"/>
      <c r="K200" s="2809"/>
      <c r="L200" s="2809"/>
      <c r="M200" s="2809"/>
      <c r="N200" s="2810"/>
      <c r="EW200" s="2031"/>
      <c r="EX200" s="1619"/>
      <c r="EY200" s="1628"/>
      <c r="EZ200" s="1628"/>
      <c r="FA200" s="1628"/>
      <c r="FC200" s="1864" t="s">
        <v>6063</v>
      </c>
      <c r="FH200" s="1628"/>
    </row>
    <row r="201" spans="1:176" s="1484" customFormat="1" ht="22.5" x14ac:dyDescent="0.25">
      <c r="A201" s="2033"/>
      <c r="B201" s="1631" t="s">
        <v>8718</v>
      </c>
      <c r="C201" s="2805" t="s">
        <v>8717</v>
      </c>
      <c r="D201" s="2805"/>
      <c r="E201" s="2805"/>
      <c r="F201" s="1683" t="s">
        <v>807</v>
      </c>
      <c r="G201" s="2034">
        <v>143</v>
      </c>
      <c r="H201" s="1641"/>
      <c r="I201" s="2046">
        <v>112.11199999999999</v>
      </c>
      <c r="J201" s="1654">
        <v>9.92</v>
      </c>
      <c r="K201" s="1655">
        <v>1.25</v>
      </c>
      <c r="L201" s="1657">
        <v>1390.19</v>
      </c>
      <c r="M201" s="1641"/>
      <c r="N201" s="1681"/>
      <c r="EW201" s="2031"/>
      <c r="EX201" s="1619"/>
      <c r="EY201" s="1628"/>
      <c r="EZ201" s="1628"/>
      <c r="FA201" s="1628"/>
      <c r="FD201" s="1864" t="s">
        <v>8717</v>
      </c>
      <c r="FH201" s="1628"/>
    </row>
    <row r="202" spans="1:176" s="1484" customFormat="1" ht="22.5" x14ac:dyDescent="0.25">
      <c r="A202" s="2033"/>
      <c r="B202" s="1631" t="s">
        <v>5003</v>
      </c>
      <c r="C202" s="2805" t="s">
        <v>5004</v>
      </c>
      <c r="D202" s="2805"/>
      <c r="E202" s="2805"/>
      <c r="F202" s="1683" t="s">
        <v>4994</v>
      </c>
      <c r="G202" s="1953">
        <v>5.5</v>
      </c>
      <c r="H202" s="1641"/>
      <c r="I202" s="2046">
        <v>4.3120000000000003</v>
      </c>
      <c r="J202" s="1654">
        <v>3.28</v>
      </c>
      <c r="K202" s="1641"/>
      <c r="L202" s="1654">
        <v>14.14</v>
      </c>
      <c r="M202" s="1641"/>
      <c r="N202" s="1681"/>
      <c r="EW202" s="2031"/>
      <c r="EX202" s="1619"/>
      <c r="EY202" s="1628"/>
      <c r="EZ202" s="1628"/>
      <c r="FA202" s="1628"/>
      <c r="FD202" s="1864" t="s">
        <v>5004</v>
      </c>
      <c r="FH202" s="1628"/>
    </row>
    <row r="203" spans="1:176" s="1484" customFormat="1" ht="15" x14ac:dyDescent="0.25">
      <c r="A203" s="2033"/>
      <c r="B203" s="1631" t="s">
        <v>8904</v>
      </c>
      <c r="C203" s="2805" t="s">
        <v>8903</v>
      </c>
      <c r="D203" s="2805"/>
      <c r="E203" s="2805"/>
      <c r="F203" s="1683" t="s">
        <v>4994</v>
      </c>
      <c r="G203" s="1953">
        <v>2.4</v>
      </c>
      <c r="H203" s="1641"/>
      <c r="I203" s="2035">
        <v>1.8815999999999999</v>
      </c>
      <c r="J203" s="1654">
        <v>17.559999999999999</v>
      </c>
      <c r="K203" s="1641"/>
      <c r="L203" s="1654">
        <v>33.04</v>
      </c>
      <c r="M203" s="1641"/>
      <c r="N203" s="1681"/>
      <c r="EW203" s="2031"/>
      <c r="EX203" s="1619"/>
      <c r="EY203" s="1628"/>
      <c r="EZ203" s="1628"/>
      <c r="FA203" s="1628"/>
      <c r="FD203" s="1864" t="s">
        <v>8903</v>
      </c>
      <c r="FH203" s="1628"/>
    </row>
    <row r="204" spans="1:176" s="1484" customFormat="1" ht="15" x14ac:dyDescent="0.25">
      <c r="A204" s="2033"/>
      <c r="B204" s="1631" t="s">
        <v>4879</v>
      </c>
      <c r="C204" s="2805" t="s">
        <v>4880</v>
      </c>
      <c r="D204" s="2805"/>
      <c r="E204" s="2805"/>
      <c r="F204" s="1683" t="s">
        <v>835</v>
      </c>
      <c r="G204" s="2034">
        <v>35</v>
      </c>
      <c r="H204" s="1641"/>
      <c r="I204" s="1655">
        <v>27.44</v>
      </c>
      <c r="J204" s="1654">
        <v>1.21</v>
      </c>
      <c r="K204" s="1641"/>
      <c r="L204" s="1654">
        <v>33.200000000000003</v>
      </c>
      <c r="M204" s="1641"/>
      <c r="N204" s="1681"/>
      <c r="EW204" s="2031"/>
      <c r="EX204" s="1619"/>
      <c r="EY204" s="1628"/>
      <c r="EZ204" s="1628"/>
      <c r="FA204" s="1628"/>
      <c r="FD204" s="1864" t="s">
        <v>4880</v>
      </c>
      <c r="FH204" s="1628"/>
    </row>
    <row r="205" spans="1:176" s="1484" customFormat="1" ht="15" x14ac:dyDescent="0.25">
      <c r="A205" s="2033"/>
      <c r="B205" s="1631" t="s">
        <v>1755</v>
      </c>
      <c r="C205" s="2805" t="s">
        <v>2634</v>
      </c>
      <c r="D205" s="2805"/>
      <c r="E205" s="2805"/>
      <c r="F205" s="1683" t="s">
        <v>832</v>
      </c>
      <c r="G205" s="1655">
        <v>1.22</v>
      </c>
      <c r="H205" s="1641"/>
      <c r="I205" s="2042">
        <v>0.95648</v>
      </c>
      <c r="J205" s="1654">
        <v>2.44</v>
      </c>
      <c r="K205" s="1641"/>
      <c r="L205" s="1654">
        <v>2.33</v>
      </c>
      <c r="M205" s="1641"/>
      <c r="N205" s="1681"/>
      <c r="EW205" s="2031"/>
      <c r="EX205" s="1619"/>
      <c r="EY205" s="1628"/>
      <c r="EZ205" s="1628"/>
      <c r="FA205" s="1628"/>
      <c r="FD205" s="1864" t="s">
        <v>2634</v>
      </c>
      <c r="FH205" s="1628"/>
    </row>
    <row r="206" spans="1:176" s="1484" customFormat="1" ht="22.5" x14ac:dyDescent="0.25">
      <c r="A206" s="2033"/>
      <c r="B206" s="1631" t="s">
        <v>8692</v>
      </c>
      <c r="C206" s="2805" t="s">
        <v>8691</v>
      </c>
      <c r="D206" s="2805"/>
      <c r="E206" s="2805"/>
      <c r="F206" s="1683" t="s">
        <v>832</v>
      </c>
      <c r="G206" s="1953">
        <v>2.2000000000000002</v>
      </c>
      <c r="H206" s="1641"/>
      <c r="I206" s="2035">
        <v>1.7248000000000001</v>
      </c>
      <c r="J206" s="1654">
        <v>517.91</v>
      </c>
      <c r="K206" s="1641"/>
      <c r="L206" s="1654">
        <v>893.29</v>
      </c>
      <c r="M206" s="1641"/>
      <c r="N206" s="1681"/>
      <c r="EW206" s="2031"/>
      <c r="EX206" s="1619"/>
      <c r="EY206" s="1628"/>
      <c r="EZ206" s="1628"/>
      <c r="FA206" s="1628"/>
      <c r="FD206" s="1864" t="s">
        <v>8691</v>
      </c>
      <c r="FH206" s="1628"/>
    </row>
    <row r="207" spans="1:176" s="1484" customFormat="1" ht="15" x14ac:dyDescent="0.25">
      <c r="A207" s="2032"/>
      <c r="B207" s="1631" t="s">
        <v>190</v>
      </c>
      <c r="C207" s="2805" t="s">
        <v>2523</v>
      </c>
      <c r="D207" s="2805"/>
      <c r="E207" s="2805"/>
      <c r="F207" s="1683"/>
      <c r="G207" s="1641"/>
      <c r="H207" s="1641"/>
      <c r="I207" s="1641"/>
      <c r="J207" s="1657">
        <v>1418.56</v>
      </c>
      <c r="K207" s="1655">
        <v>1.25</v>
      </c>
      <c r="L207" s="1657">
        <v>1390.19</v>
      </c>
      <c r="M207" s="1655">
        <v>35.75</v>
      </c>
      <c r="N207" s="1679">
        <v>49699.29</v>
      </c>
      <c r="EW207" s="2031"/>
      <c r="EX207" s="1619"/>
      <c r="EY207" s="1628"/>
      <c r="EZ207" s="1628"/>
      <c r="FA207" s="1628"/>
      <c r="FE207" s="1864" t="s">
        <v>2523</v>
      </c>
      <c r="FH207" s="1628"/>
    </row>
    <row r="208" spans="1:176" s="1484" customFormat="1" ht="15" x14ac:dyDescent="0.25">
      <c r="A208" s="2032"/>
      <c r="B208" s="1631" t="s">
        <v>639</v>
      </c>
      <c r="C208" s="2805" t="s">
        <v>697</v>
      </c>
      <c r="D208" s="2805"/>
      <c r="E208" s="2805"/>
      <c r="F208" s="1683"/>
      <c r="G208" s="1641"/>
      <c r="H208" s="1641"/>
      <c r="I208" s="1641"/>
      <c r="J208" s="1654">
        <v>60.18</v>
      </c>
      <c r="K208" s="1641"/>
      <c r="L208" s="1654">
        <v>47.18</v>
      </c>
      <c r="M208" s="1655">
        <v>11.97</v>
      </c>
      <c r="N208" s="2039">
        <v>564.74</v>
      </c>
      <c r="EW208" s="2031"/>
      <c r="EX208" s="1619"/>
      <c r="EY208" s="1628"/>
      <c r="EZ208" s="1628"/>
      <c r="FA208" s="1628"/>
      <c r="FE208" s="1864" t="s">
        <v>697</v>
      </c>
      <c r="FH208" s="1628"/>
    </row>
    <row r="209" spans="1:176" s="1484" customFormat="1" ht="15" x14ac:dyDescent="0.25">
      <c r="A209" s="2032"/>
      <c r="B209" s="1631" t="s">
        <v>640</v>
      </c>
      <c r="C209" s="2805" t="s">
        <v>2500</v>
      </c>
      <c r="D209" s="2805"/>
      <c r="E209" s="2805"/>
      <c r="F209" s="1683"/>
      <c r="G209" s="1641"/>
      <c r="H209" s="1641"/>
      <c r="I209" s="1641"/>
      <c r="J209" s="1654">
        <v>21.38</v>
      </c>
      <c r="K209" s="1641"/>
      <c r="L209" s="1654">
        <v>16.760000000000002</v>
      </c>
      <c r="M209" s="1655">
        <v>35.75</v>
      </c>
      <c r="N209" s="2039">
        <v>599.16999999999996</v>
      </c>
      <c r="EW209" s="2031"/>
      <c r="EX209" s="1619"/>
      <c r="EY209" s="1628"/>
      <c r="EZ209" s="1628"/>
      <c r="FA209" s="1628"/>
      <c r="FE209" s="1864" t="s">
        <v>2500</v>
      </c>
      <c r="FH209" s="1628"/>
    </row>
    <row r="210" spans="1:176" s="1484" customFormat="1" ht="15" x14ac:dyDescent="0.25">
      <c r="A210" s="2032"/>
      <c r="B210" s="1631" t="s">
        <v>232</v>
      </c>
      <c r="C210" s="2805" t="s">
        <v>829</v>
      </c>
      <c r="D210" s="2805"/>
      <c r="E210" s="2805"/>
      <c r="F210" s="1683"/>
      <c r="G210" s="1641"/>
      <c r="H210" s="1641"/>
      <c r="I210" s="1641"/>
      <c r="J210" s="1657">
        <v>1184.73</v>
      </c>
      <c r="K210" s="1641"/>
      <c r="L210" s="1654">
        <v>928.83</v>
      </c>
      <c r="M210" s="1655">
        <v>9.14</v>
      </c>
      <c r="N210" s="1679">
        <v>8489.51</v>
      </c>
      <c r="EW210" s="2031"/>
      <c r="EX210" s="1619"/>
      <c r="EY210" s="1628"/>
      <c r="EZ210" s="1628"/>
      <c r="FA210" s="1628"/>
      <c r="FE210" s="1864" t="s">
        <v>829</v>
      </c>
      <c r="FH210" s="1628"/>
    </row>
    <row r="211" spans="1:176" s="1484" customFormat="1" ht="15" x14ac:dyDescent="0.25">
      <c r="A211" s="2033"/>
      <c r="B211" s="1631"/>
      <c r="C211" s="2805" t="s">
        <v>2524</v>
      </c>
      <c r="D211" s="2805"/>
      <c r="E211" s="2805"/>
      <c r="F211" s="1683" t="s">
        <v>807</v>
      </c>
      <c r="G211" s="2034">
        <v>143</v>
      </c>
      <c r="H211" s="1641"/>
      <c r="I211" s="2046">
        <v>112.11199999999999</v>
      </c>
      <c r="J211" s="1640"/>
      <c r="K211" s="1641"/>
      <c r="L211" s="1640"/>
      <c r="M211" s="1641"/>
      <c r="N211" s="1681"/>
      <c r="EW211" s="2031"/>
      <c r="EX211" s="1619"/>
      <c r="EY211" s="1628"/>
      <c r="EZ211" s="1628"/>
      <c r="FA211" s="1628"/>
      <c r="FF211" s="1864" t="s">
        <v>2524</v>
      </c>
      <c r="FH211" s="1628"/>
    </row>
    <row r="212" spans="1:176" s="1484" customFormat="1" ht="15" x14ac:dyDescent="0.25">
      <c r="A212" s="2033"/>
      <c r="B212" s="1631"/>
      <c r="C212" s="2805" t="s">
        <v>2501</v>
      </c>
      <c r="D212" s="2805"/>
      <c r="E212" s="2805"/>
      <c r="F212" s="1683" t="s">
        <v>807</v>
      </c>
      <c r="G212" s="1953">
        <v>2.4</v>
      </c>
      <c r="H212" s="1641"/>
      <c r="I212" s="2035">
        <v>1.8815999999999999</v>
      </c>
      <c r="J212" s="1640"/>
      <c r="K212" s="1641"/>
      <c r="L212" s="1640"/>
      <c r="M212" s="1641"/>
      <c r="N212" s="1681"/>
      <c r="EW212" s="2031"/>
      <c r="EX212" s="1619"/>
      <c r="EY212" s="1628"/>
      <c r="EZ212" s="1628"/>
      <c r="FA212" s="1628"/>
      <c r="FF212" s="1864" t="s">
        <v>2501</v>
      </c>
      <c r="FH212" s="1628"/>
    </row>
    <row r="213" spans="1:176" s="1484" customFormat="1" ht="15" x14ac:dyDescent="0.25">
      <c r="A213" s="2032"/>
      <c r="B213" s="1631"/>
      <c r="C213" s="2917" t="s">
        <v>2502</v>
      </c>
      <c r="D213" s="2917"/>
      <c r="E213" s="2917"/>
      <c r="F213" s="2036"/>
      <c r="G213" s="2037"/>
      <c r="H213" s="2037"/>
      <c r="I213" s="2037"/>
      <c r="J213" s="2038">
        <v>2663.47</v>
      </c>
      <c r="K213" s="2037"/>
      <c r="L213" s="2038">
        <v>2366.1999999999998</v>
      </c>
      <c r="M213" s="2037"/>
      <c r="N213" s="2068">
        <v>58753.54</v>
      </c>
      <c r="EW213" s="2031"/>
      <c r="EX213" s="1619"/>
      <c r="EY213" s="1628"/>
      <c r="EZ213" s="1628"/>
      <c r="FA213" s="1628"/>
      <c r="FG213" s="1864" t="s">
        <v>2502</v>
      </c>
      <c r="FH213" s="1628"/>
    </row>
    <row r="214" spans="1:176" s="1484" customFormat="1" ht="15" x14ac:dyDescent="0.25">
      <c r="A214" s="2033" t="s">
        <v>8007</v>
      </c>
      <c r="B214" s="1631"/>
      <c r="C214" s="2805" t="s">
        <v>7964</v>
      </c>
      <c r="D214" s="2805"/>
      <c r="E214" s="2805"/>
      <c r="F214" s="1683" t="s">
        <v>5928</v>
      </c>
      <c r="G214" s="1641"/>
      <c r="H214" s="1641"/>
      <c r="I214" s="1641"/>
      <c r="J214" s="1640"/>
      <c r="K214" s="1641"/>
      <c r="L214" s="1654">
        <v>4.1900000000000004</v>
      </c>
      <c r="M214" s="1641"/>
      <c r="N214" s="2039">
        <v>149.79</v>
      </c>
      <c r="EW214" s="2031"/>
      <c r="EX214" s="1619"/>
      <c r="EY214" s="1628"/>
      <c r="EZ214" s="1628"/>
      <c r="FA214" s="1628"/>
      <c r="FF214" s="1864" t="s">
        <v>7964</v>
      </c>
      <c r="FH214" s="1628"/>
    </row>
    <row r="215" spans="1:176" s="1484" customFormat="1" ht="15" x14ac:dyDescent="0.25">
      <c r="A215" s="2033"/>
      <c r="B215" s="1631"/>
      <c r="C215" s="2805" t="s">
        <v>7965</v>
      </c>
      <c r="D215" s="2805"/>
      <c r="E215" s="2805"/>
      <c r="F215" s="1683" t="s">
        <v>5928</v>
      </c>
      <c r="G215" s="1641"/>
      <c r="H215" s="1641"/>
      <c r="I215" s="1641"/>
      <c r="J215" s="1654">
        <v>21.38</v>
      </c>
      <c r="K215" s="1655">
        <v>0.25</v>
      </c>
      <c r="L215" s="1654">
        <v>4.1900000000000004</v>
      </c>
      <c r="M215" s="1655">
        <v>35.75</v>
      </c>
      <c r="N215" s="2039">
        <v>149.79</v>
      </c>
      <c r="EW215" s="2031"/>
      <c r="EX215" s="1619"/>
      <c r="EY215" s="1628"/>
      <c r="EZ215" s="1628"/>
      <c r="FA215" s="1628"/>
      <c r="FF215" s="1864" t="s">
        <v>7965</v>
      </c>
      <c r="FH215" s="1628"/>
    </row>
    <row r="216" spans="1:176" s="1484" customFormat="1" ht="15" x14ac:dyDescent="0.25">
      <c r="A216" s="2033"/>
      <c r="B216" s="1631"/>
      <c r="C216" s="2805" t="s">
        <v>867</v>
      </c>
      <c r="D216" s="2805"/>
      <c r="E216" s="2805"/>
      <c r="F216" s="1683"/>
      <c r="G216" s="1641"/>
      <c r="H216" s="1641"/>
      <c r="I216" s="1641"/>
      <c r="J216" s="1640"/>
      <c r="K216" s="1641"/>
      <c r="L216" s="1657">
        <v>1411.14</v>
      </c>
      <c r="M216" s="1641"/>
      <c r="N216" s="1679">
        <v>50448.25</v>
      </c>
      <c r="EW216" s="2031"/>
      <c r="EX216" s="1619"/>
      <c r="EY216" s="1628"/>
      <c r="EZ216" s="1628"/>
      <c r="FA216" s="1628"/>
      <c r="FF216" s="1864" t="s">
        <v>867</v>
      </c>
      <c r="FH216" s="1628"/>
    </row>
    <row r="217" spans="1:176" s="1484" customFormat="1" ht="15" x14ac:dyDescent="0.25">
      <c r="A217" s="2033"/>
      <c r="B217" s="1631" t="s">
        <v>7966</v>
      </c>
      <c r="C217" s="2805" t="s">
        <v>7967</v>
      </c>
      <c r="D217" s="2805"/>
      <c r="E217" s="2805"/>
      <c r="F217" s="1683" t="s">
        <v>636</v>
      </c>
      <c r="G217" s="2034">
        <v>100</v>
      </c>
      <c r="H217" s="1641"/>
      <c r="I217" s="2034">
        <v>100</v>
      </c>
      <c r="J217" s="1640"/>
      <c r="K217" s="1641"/>
      <c r="L217" s="1657">
        <v>1411.14</v>
      </c>
      <c r="M217" s="1641"/>
      <c r="N217" s="1679">
        <v>50448.25</v>
      </c>
      <c r="EW217" s="2031"/>
      <c r="EX217" s="1619"/>
      <c r="EY217" s="1628"/>
      <c r="EZ217" s="1628"/>
      <c r="FA217" s="1628"/>
      <c r="FF217" s="1864" t="s">
        <v>7967</v>
      </c>
      <c r="FH217" s="1628"/>
    </row>
    <row r="218" spans="1:176" s="1484" customFormat="1" ht="15" x14ac:dyDescent="0.25">
      <c r="A218" s="2033"/>
      <c r="B218" s="1631" t="s">
        <v>7968</v>
      </c>
      <c r="C218" s="2805" t="s">
        <v>7969</v>
      </c>
      <c r="D218" s="2805"/>
      <c r="E218" s="2805"/>
      <c r="F218" s="1683" t="s">
        <v>636</v>
      </c>
      <c r="G218" s="2034">
        <v>49</v>
      </c>
      <c r="H218" s="1641"/>
      <c r="I218" s="2034">
        <v>49</v>
      </c>
      <c r="J218" s="1640"/>
      <c r="K218" s="1641"/>
      <c r="L218" s="1654">
        <v>691.46</v>
      </c>
      <c r="M218" s="1641"/>
      <c r="N218" s="1679">
        <v>24719.64</v>
      </c>
      <c r="EW218" s="2031"/>
      <c r="EX218" s="1619"/>
      <c r="EY218" s="1628"/>
      <c r="EZ218" s="1628"/>
      <c r="FA218" s="1628"/>
      <c r="FF218" s="1864" t="s">
        <v>7969</v>
      </c>
      <c r="FH218" s="1628"/>
    </row>
    <row r="219" spans="1:176" s="1484" customFormat="1" ht="15" x14ac:dyDescent="0.25">
      <c r="A219" s="1650"/>
      <c r="B219" s="1651"/>
      <c r="C219" s="2803" t="s">
        <v>872</v>
      </c>
      <c r="D219" s="2803"/>
      <c r="E219" s="2803"/>
      <c r="F219" s="1621"/>
      <c r="G219" s="1622"/>
      <c r="H219" s="1622"/>
      <c r="I219" s="1622"/>
      <c r="J219" s="1625"/>
      <c r="K219" s="1622"/>
      <c r="L219" s="1648">
        <v>4472.99</v>
      </c>
      <c r="M219" s="2037"/>
      <c r="N219" s="1649">
        <v>134071.22</v>
      </c>
      <c r="EW219" s="2031"/>
      <c r="EX219" s="1619"/>
      <c r="EY219" s="1628"/>
      <c r="EZ219" s="1628"/>
      <c r="FA219" s="1628"/>
      <c r="FH219" s="1628" t="s">
        <v>872</v>
      </c>
    </row>
    <row r="220" spans="1:176" s="1484" customFormat="1" ht="33.75" x14ac:dyDescent="0.25">
      <c r="A220" s="1620" t="s">
        <v>660</v>
      </c>
      <c r="B220" s="1863" t="s">
        <v>8902</v>
      </c>
      <c r="C220" s="2803" t="s">
        <v>8008</v>
      </c>
      <c r="D220" s="2803"/>
      <c r="E220" s="2803"/>
      <c r="F220" s="1621" t="s">
        <v>835</v>
      </c>
      <c r="G220" s="1622">
        <v>290.08</v>
      </c>
      <c r="H220" s="1623">
        <v>1</v>
      </c>
      <c r="I220" s="1687">
        <v>290.08</v>
      </c>
      <c r="J220" s="1648">
        <v>3981.4</v>
      </c>
      <c r="K220" s="1622"/>
      <c r="L220" s="1648">
        <v>126359.36</v>
      </c>
      <c r="M220" s="1687">
        <v>9.14</v>
      </c>
      <c r="N220" s="1649">
        <v>1154924.51</v>
      </c>
      <c r="EW220" s="2031"/>
      <c r="EX220" s="1619"/>
      <c r="EY220" s="1628" t="s">
        <v>8008</v>
      </c>
      <c r="EZ220" s="1628" t="s">
        <v>588</v>
      </c>
      <c r="FA220" s="1628" t="s">
        <v>588</v>
      </c>
      <c r="FH220" s="1628"/>
    </row>
    <row r="221" spans="1:176" s="1484" customFormat="1" ht="15" x14ac:dyDescent="0.25">
      <c r="A221" s="1650"/>
      <c r="B221" s="1651"/>
      <c r="C221" s="2805" t="s">
        <v>8689</v>
      </c>
      <c r="D221" s="2805"/>
      <c r="E221" s="2805"/>
      <c r="F221" s="2805"/>
      <c r="G221" s="2805"/>
      <c r="H221" s="2805"/>
      <c r="I221" s="2805"/>
      <c r="J221" s="2805"/>
      <c r="K221" s="2805"/>
      <c r="L221" s="2805"/>
      <c r="M221" s="2805"/>
      <c r="N221" s="2806"/>
      <c r="EW221" s="2031"/>
      <c r="EX221" s="1619"/>
      <c r="EY221" s="1628"/>
      <c r="EZ221" s="1628"/>
      <c r="FA221" s="1628"/>
      <c r="FH221" s="1628"/>
      <c r="FI221" s="1864" t="s">
        <v>8689</v>
      </c>
      <c r="FJ221" s="1864" t="s">
        <v>588</v>
      </c>
      <c r="FK221" s="1864" t="s">
        <v>588</v>
      </c>
      <c r="FL221" s="1864" t="s">
        <v>588</v>
      </c>
      <c r="FM221" s="1864" t="s">
        <v>588</v>
      </c>
      <c r="FN221" s="1864" t="s">
        <v>588</v>
      </c>
      <c r="FO221" s="1864" t="s">
        <v>588</v>
      </c>
      <c r="FP221" s="1864" t="s">
        <v>588</v>
      </c>
      <c r="FQ221" s="1864" t="s">
        <v>588</v>
      </c>
      <c r="FR221" s="1864" t="s">
        <v>588</v>
      </c>
      <c r="FS221" s="1864" t="s">
        <v>588</v>
      </c>
      <c r="FT221" s="1864" t="s">
        <v>588</v>
      </c>
    </row>
    <row r="222" spans="1:176" s="1484" customFormat="1" ht="15" x14ac:dyDescent="0.25">
      <c r="A222" s="1629"/>
      <c r="B222" s="1862"/>
      <c r="C222" s="2805" t="s">
        <v>8942</v>
      </c>
      <c r="D222" s="2805"/>
      <c r="E222" s="2805"/>
      <c r="F222" s="2805"/>
      <c r="G222" s="2805"/>
      <c r="H222" s="2805"/>
      <c r="I222" s="2805"/>
      <c r="J222" s="2805"/>
      <c r="K222" s="2805"/>
      <c r="L222" s="2805"/>
      <c r="M222" s="2805"/>
      <c r="N222" s="2806"/>
      <c r="EW222" s="2031"/>
      <c r="EX222" s="1619"/>
      <c r="EY222" s="1628"/>
      <c r="EZ222" s="1628"/>
      <c r="FA222" s="1628"/>
      <c r="FB222" s="1864" t="s">
        <v>8942</v>
      </c>
      <c r="FH222" s="1628"/>
    </row>
    <row r="223" spans="1:176" s="1484" customFormat="1" ht="15" x14ac:dyDescent="0.25">
      <c r="A223" s="1650"/>
      <c r="B223" s="1651"/>
      <c r="C223" s="2803" t="s">
        <v>872</v>
      </c>
      <c r="D223" s="2803"/>
      <c r="E223" s="2803"/>
      <c r="F223" s="1621"/>
      <c r="G223" s="1622"/>
      <c r="H223" s="1622"/>
      <c r="I223" s="1622"/>
      <c r="J223" s="1625"/>
      <c r="K223" s="1622"/>
      <c r="L223" s="1648">
        <v>126359.36</v>
      </c>
      <c r="M223" s="2037"/>
      <c r="N223" s="1649">
        <v>1154924.51</v>
      </c>
      <c r="EW223" s="2031"/>
      <c r="EX223" s="1619"/>
      <c r="EY223" s="1628"/>
      <c r="EZ223" s="1628"/>
      <c r="FA223" s="1628"/>
      <c r="FH223" s="1628" t="s">
        <v>872</v>
      </c>
    </row>
    <row r="224" spans="1:176" s="1484" customFormat="1" ht="45" x14ac:dyDescent="0.25">
      <c r="A224" s="1620" t="s">
        <v>8009</v>
      </c>
      <c r="B224" s="1863" t="s">
        <v>7980</v>
      </c>
      <c r="C224" s="2803" t="s">
        <v>7981</v>
      </c>
      <c r="D224" s="2803"/>
      <c r="E224" s="2803"/>
      <c r="F224" s="1621" t="s">
        <v>2555</v>
      </c>
      <c r="G224" s="1622">
        <v>0.78400000000000003</v>
      </c>
      <c r="H224" s="1623">
        <v>1</v>
      </c>
      <c r="I224" s="2045">
        <v>0.78400000000000003</v>
      </c>
      <c r="J224" s="1625"/>
      <c r="K224" s="1622"/>
      <c r="L224" s="1625"/>
      <c r="M224" s="1622"/>
      <c r="N224" s="1627"/>
      <c r="EW224" s="2031"/>
      <c r="EX224" s="1619"/>
      <c r="EY224" s="1628" t="s">
        <v>7981</v>
      </c>
      <c r="EZ224" s="1628" t="s">
        <v>588</v>
      </c>
      <c r="FA224" s="1628" t="s">
        <v>588</v>
      </c>
      <c r="FH224" s="1628"/>
    </row>
    <row r="225" spans="1:164" s="1484" customFormat="1" ht="15" x14ac:dyDescent="0.25">
      <c r="A225" s="1629"/>
      <c r="B225" s="1862"/>
      <c r="C225" s="2805" t="s">
        <v>8941</v>
      </c>
      <c r="D225" s="2805"/>
      <c r="E225" s="2805"/>
      <c r="F225" s="2805"/>
      <c r="G225" s="2805"/>
      <c r="H225" s="2805"/>
      <c r="I225" s="2805"/>
      <c r="J225" s="2805"/>
      <c r="K225" s="2805"/>
      <c r="L225" s="2805"/>
      <c r="M225" s="2805"/>
      <c r="N225" s="2806"/>
      <c r="EW225" s="2031"/>
      <c r="EX225" s="1619"/>
      <c r="EY225" s="1628"/>
      <c r="EZ225" s="1628"/>
      <c r="FA225" s="1628"/>
      <c r="FB225" s="1864" t="s">
        <v>8941</v>
      </c>
      <c r="FH225" s="1628"/>
    </row>
    <row r="226" spans="1:164" s="1484" customFormat="1" ht="22.5" x14ac:dyDescent="0.25">
      <c r="A226" s="1630"/>
      <c r="B226" s="1631" t="s">
        <v>6062</v>
      </c>
      <c r="C226" s="2809" t="s">
        <v>6063</v>
      </c>
      <c r="D226" s="2809"/>
      <c r="E226" s="2809"/>
      <c r="F226" s="2809"/>
      <c r="G226" s="2809"/>
      <c r="H226" s="2809"/>
      <c r="I226" s="2809"/>
      <c r="J226" s="2809"/>
      <c r="K226" s="2809"/>
      <c r="L226" s="2809"/>
      <c r="M226" s="2809"/>
      <c r="N226" s="2810"/>
      <c r="EW226" s="2031"/>
      <c r="EX226" s="1619"/>
      <c r="EY226" s="1628"/>
      <c r="EZ226" s="1628"/>
      <c r="FA226" s="1628"/>
      <c r="FC226" s="1864" t="s">
        <v>6063</v>
      </c>
      <c r="FH226" s="1628"/>
    </row>
    <row r="227" spans="1:164" s="1484" customFormat="1" ht="22.5" x14ac:dyDescent="0.25">
      <c r="A227" s="2033"/>
      <c r="B227" s="1631" t="s">
        <v>8936</v>
      </c>
      <c r="C227" s="2805" t="s">
        <v>8935</v>
      </c>
      <c r="D227" s="2805"/>
      <c r="E227" s="2805"/>
      <c r="F227" s="1683" t="s">
        <v>807</v>
      </c>
      <c r="G227" s="1655">
        <v>16.059999999999999</v>
      </c>
      <c r="H227" s="1641"/>
      <c r="I227" s="2042">
        <v>12.59104</v>
      </c>
      <c r="J227" s="1654">
        <v>8.24</v>
      </c>
      <c r="K227" s="1655">
        <v>1.25</v>
      </c>
      <c r="L227" s="1654">
        <v>129.69</v>
      </c>
      <c r="M227" s="1641"/>
      <c r="N227" s="1681"/>
      <c r="EW227" s="2031"/>
      <c r="EX227" s="1619"/>
      <c r="EY227" s="1628"/>
      <c r="EZ227" s="1628"/>
      <c r="FA227" s="1628"/>
      <c r="FD227" s="1864" t="s">
        <v>8935</v>
      </c>
      <c r="FH227" s="1628"/>
    </row>
    <row r="228" spans="1:164" s="1484" customFormat="1" ht="15" x14ac:dyDescent="0.25">
      <c r="A228" s="2033"/>
      <c r="B228" s="1631" t="s">
        <v>5000</v>
      </c>
      <c r="C228" s="2805" t="s">
        <v>5001</v>
      </c>
      <c r="D228" s="2805"/>
      <c r="E228" s="2805"/>
      <c r="F228" s="1683" t="s">
        <v>4994</v>
      </c>
      <c r="G228" s="1655">
        <v>0.03</v>
      </c>
      <c r="H228" s="1641"/>
      <c r="I228" s="2042">
        <v>2.3519999999999999E-2</v>
      </c>
      <c r="J228" s="1654">
        <v>83.43</v>
      </c>
      <c r="K228" s="1641"/>
      <c r="L228" s="1654">
        <v>1.96</v>
      </c>
      <c r="M228" s="1641"/>
      <c r="N228" s="1681"/>
      <c r="EW228" s="2031"/>
      <c r="EX228" s="1619"/>
      <c r="EY228" s="1628"/>
      <c r="EZ228" s="1628"/>
      <c r="FA228" s="1628"/>
      <c r="FD228" s="1864" t="s">
        <v>5001</v>
      </c>
      <c r="FH228" s="1628"/>
    </row>
    <row r="229" spans="1:164" s="1484" customFormat="1" ht="15" x14ac:dyDescent="0.25">
      <c r="A229" s="2033"/>
      <c r="B229" s="1631" t="s">
        <v>821</v>
      </c>
      <c r="C229" s="2805" t="s">
        <v>822</v>
      </c>
      <c r="D229" s="2805"/>
      <c r="E229" s="2805"/>
      <c r="F229" s="1683" t="s">
        <v>4994</v>
      </c>
      <c r="G229" s="1655">
        <v>0.05</v>
      </c>
      <c r="H229" s="1641"/>
      <c r="I229" s="2035">
        <v>3.9199999999999999E-2</v>
      </c>
      <c r="J229" s="1654">
        <v>65.709999999999994</v>
      </c>
      <c r="K229" s="1641"/>
      <c r="L229" s="1654">
        <v>2.58</v>
      </c>
      <c r="M229" s="1641"/>
      <c r="N229" s="1681"/>
      <c r="EW229" s="2031"/>
      <c r="EX229" s="1619"/>
      <c r="EY229" s="1628"/>
      <c r="EZ229" s="1628"/>
      <c r="FA229" s="1628"/>
      <c r="FD229" s="1864" t="s">
        <v>822</v>
      </c>
      <c r="FH229" s="1628"/>
    </row>
    <row r="230" spans="1:164" s="1484" customFormat="1" ht="15" x14ac:dyDescent="0.25">
      <c r="A230" s="2033"/>
      <c r="B230" s="1631" t="s">
        <v>1755</v>
      </c>
      <c r="C230" s="2805" t="s">
        <v>2634</v>
      </c>
      <c r="D230" s="2805"/>
      <c r="E230" s="2805"/>
      <c r="F230" s="1683" t="s">
        <v>832</v>
      </c>
      <c r="G230" s="1655">
        <v>0.12</v>
      </c>
      <c r="H230" s="1641"/>
      <c r="I230" s="2042">
        <v>9.4079999999999997E-2</v>
      </c>
      <c r="J230" s="1654">
        <v>2.44</v>
      </c>
      <c r="K230" s="1641"/>
      <c r="L230" s="1654">
        <v>0.23</v>
      </c>
      <c r="M230" s="1641"/>
      <c r="N230" s="1681"/>
      <c r="EW230" s="2031"/>
      <c r="EX230" s="1619"/>
      <c r="EY230" s="1628"/>
      <c r="EZ230" s="1628"/>
      <c r="FA230" s="1628"/>
      <c r="FD230" s="1864" t="s">
        <v>2634</v>
      </c>
      <c r="FH230" s="1628"/>
    </row>
    <row r="231" spans="1:164" s="1484" customFormat="1" ht="15" x14ac:dyDescent="0.25">
      <c r="A231" s="2033"/>
      <c r="B231" s="1631" t="s">
        <v>4973</v>
      </c>
      <c r="C231" s="2805" t="s">
        <v>4974</v>
      </c>
      <c r="D231" s="2805"/>
      <c r="E231" s="2805"/>
      <c r="F231" s="1683" t="s">
        <v>835</v>
      </c>
      <c r="G231" s="2034">
        <v>409</v>
      </c>
      <c r="H231" s="1641"/>
      <c r="I231" s="2046">
        <v>320.65600000000001</v>
      </c>
      <c r="J231" s="1654">
        <v>6.2</v>
      </c>
      <c r="K231" s="1641"/>
      <c r="L231" s="1657">
        <v>1988.07</v>
      </c>
      <c r="M231" s="1641"/>
      <c r="N231" s="1681"/>
      <c r="EW231" s="2031"/>
      <c r="EX231" s="1619"/>
      <c r="EY231" s="1628"/>
      <c r="EZ231" s="1628"/>
      <c r="FA231" s="1628"/>
      <c r="FD231" s="1864" t="s">
        <v>4974</v>
      </c>
      <c r="FH231" s="1628"/>
    </row>
    <row r="232" spans="1:164" s="1484" customFormat="1" ht="15" x14ac:dyDescent="0.25">
      <c r="A232" s="2032"/>
      <c r="B232" s="1631" t="s">
        <v>190</v>
      </c>
      <c r="C232" s="2805" t="s">
        <v>2523</v>
      </c>
      <c r="D232" s="2805"/>
      <c r="E232" s="2805"/>
      <c r="F232" s="1683"/>
      <c r="G232" s="1641"/>
      <c r="H232" s="1641"/>
      <c r="I232" s="1641"/>
      <c r="J232" s="1654">
        <v>132.33000000000001</v>
      </c>
      <c r="K232" s="1655">
        <v>1.25</v>
      </c>
      <c r="L232" s="1654">
        <v>129.68</v>
      </c>
      <c r="M232" s="1655">
        <v>35.75</v>
      </c>
      <c r="N232" s="1679">
        <v>4636.0600000000004</v>
      </c>
      <c r="EW232" s="2031"/>
      <c r="EX232" s="1619"/>
      <c r="EY232" s="1628"/>
      <c r="EZ232" s="1628"/>
      <c r="FA232" s="1628"/>
      <c r="FE232" s="1864" t="s">
        <v>2523</v>
      </c>
      <c r="FH232" s="1628"/>
    </row>
    <row r="233" spans="1:164" s="1484" customFormat="1" ht="15" x14ac:dyDescent="0.25">
      <c r="A233" s="2032"/>
      <c r="B233" s="1631" t="s">
        <v>639</v>
      </c>
      <c r="C233" s="2805" t="s">
        <v>697</v>
      </c>
      <c r="D233" s="2805"/>
      <c r="E233" s="2805"/>
      <c r="F233" s="1683"/>
      <c r="G233" s="1641"/>
      <c r="H233" s="1641"/>
      <c r="I233" s="1641"/>
      <c r="J233" s="1654">
        <v>5.79</v>
      </c>
      <c r="K233" s="1641"/>
      <c r="L233" s="1654">
        <v>4.54</v>
      </c>
      <c r="M233" s="1655">
        <v>11.97</v>
      </c>
      <c r="N233" s="2039">
        <v>54.34</v>
      </c>
      <c r="EW233" s="2031"/>
      <c r="EX233" s="1619"/>
      <c r="EY233" s="1628"/>
      <c r="EZ233" s="1628"/>
      <c r="FA233" s="1628"/>
      <c r="FE233" s="1864" t="s">
        <v>697</v>
      </c>
      <c r="FH233" s="1628"/>
    </row>
    <row r="234" spans="1:164" s="1484" customFormat="1" ht="15" x14ac:dyDescent="0.25">
      <c r="A234" s="2032"/>
      <c r="B234" s="1631" t="s">
        <v>640</v>
      </c>
      <c r="C234" s="2805" t="s">
        <v>2500</v>
      </c>
      <c r="D234" s="2805"/>
      <c r="E234" s="2805"/>
      <c r="F234" s="1683"/>
      <c r="G234" s="1641"/>
      <c r="H234" s="1641"/>
      <c r="I234" s="1641"/>
      <c r="J234" s="1654">
        <v>0.99</v>
      </c>
      <c r="K234" s="1641"/>
      <c r="L234" s="1654">
        <v>0.78</v>
      </c>
      <c r="M234" s="1655">
        <v>35.75</v>
      </c>
      <c r="N234" s="2039">
        <v>27.89</v>
      </c>
      <c r="EW234" s="2031"/>
      <c r="EX234" s="1619"/>
      <c r="EY234" s="1628"/>
      <c r="EZ234" s="1628"/>
      <c r="FA234" s="1628"/>
      <c r="FE234" s="1864" t="s">
        <v>2500</v>
      </c>
      <c r="FH234" s="1628"/>
    </row>
    <row r="235" spans="1:164" s="1484" customFormat="1" ht="15" x14ac:dyDescent="0.25">
      <c r="A235" s="2032"/>
      <c r="B235" s="1631" t="s">
        <v>232</v>
      </c>
      <c r="C235" s="2805" t="s">
        <v>829</v>
      </c>
      <c r="D235" s="2805"/>
      <c r="E235" s="2805"/>
      <c r="F235" s="1683"/>
      <c r="G235" s="1641"/>
      <c r="H235" s="1641"/>
      <c r="I235" s="1641"/>
      <c r="J235" s="1657">
        <v>2536.09</v>
      </c>
      <c r="K235" s="1641"/>
      <c r="L235" s="1657">
        <v>1988.29</v>
      </c>
      <c r="M235" s="1655">
        <v>9.14</v>
      </c>
      <c r="N235" s="1679">
        <v>18172.97</v>
      </c>
      <c r="EW235" s="2031"/>
      <c r="EX235" s="1619"/>
      <c r="EY235" s="1628"/>
      <c r="EZ235" s="1628"/>
      <c r="FA235" s="1628"/>
      <c r="FE235" s="1864" t="s">
        <v>829</v>
      </c>
      <c r="FH235" s="1628"/>
    </row>
    <row r="236" spans="1:164" s="1484" customFormat="1" ht="15" x14ac:dyDescent="0.25">
      <c r="A236" s="2033"/>
      <c r="B236" s="1631"/>
      <c r="C236" s="2805" t="s">
        <v>2524</v>
      </c>
      <c r="D236" s="2805"/>
      <c r="E236" s="2805"/>
      <c r="F236" s="1683" t="s">
        <v>807</v>
      </c>
      <c r="G236" s="1655">
        <v>16.059999999999999</v>
      </c>
      <c r="H236" s="1641"/>
      <c r="I236" s="2042">
        <v>12.59104</v>
      </c>
      <c r="J236" s="1640"/>
      <c r="K236" s="1641"/>
      <c r="L236" s="1640"/>
      <c r="M236" s="1641"/>
      <c r="N236" s="1681"/>
      <c r="EW236" s="2031"/>
      <c r="EX236" s="1619"/>
      <c r="EY236" s="1628"/>
      <c r="EZ236" s="1628"/>
      <c r="FA236" s="1628"/>
      <c r="FF236" s="1864" t="s">
        <v>2524</v>
      </c>
      <c r="FH236" s="1628"/>
    </row>
    <row r="237" spans="1:164" s="1484" customFormat="1" ht="15" x14ac:dyDescent="0.25">
      <c r="A237" s="2033"/>
      <c r="B237" s="1631"/>
      <c r="C237" s="2805" t="s">
        <v>2501</v>
      </c>
      <c r="D237" s="2805"/>
      <c r="E237" s="2805"/>
      <c r="F237" s="1683" t="s">
        <v>807</v>
      </c>
      <c r="G237" s="1655">
        <v>0.08</v>
      </c>
      <c r="H237" s="1641"/>
      <c r="I237" s="2042">
        <v>6.2719999999999998E-2</v>
      </c>
      <c r="J237" s="1640"/>
      <c r="K237" s="1641"/>
      <c r="L237" s="1640"/>
      <c r="M237" s="1641"/>
      <c r="N237" s="1681"/>
      <c r="EW237" s="2031"/>
      <c r="EX237" s="1619"/>
      <c r="EY237" s="1628"/>
      <c r="EZ237" s="1628"/>
      <c r="FA237" s="1628"/>
      <c r="FF237" s="1864" t="s">
        <v>2501</v>
      </c>
      <c r="FH237" s="1628"/>
    </row>
    <row r="238" spans="1:164" s="1484" customFormat="1" ht="15" x14ac:dyDescent="0.25">
      <c r="A238" s="2032"/>
      <c r="B238" s="1631"/>
      <c r="C238" s="2917" t="s">
        <v>2502</v>
      </c>
      <c r="D238" s="2917"/>
      <c r="E238" s="2917"/>
      <c r="F238" s="2036"/>
      <c r="G238" s="2037"/>
      <c r="H238" s="2037"/>
      <c r="I238" s="2037"/>
      <c r="J238" s="2038">
        <v>2674.21</v>
      </c>
      <c r="K238" s="2037"/>
      <c r="L238" s="2038">
        <v>2122.5100000000002</v>
      </c>
      <c r="M238" s="2037"/>
      <c r="N238" s="2068">
        <v>22863.37</v>
      </c>
      <c r="EW238" s="2031"/>
      <c r="EX238" s="1619"/>
      <c r="EY238" s="1628"/>
      <c r="EZ238" s="1628"/>
      <c r="FA238" s="1628"/>
      <c r="FG238" s="1864" t="s">
        <v>2502</v>
      </c>
      <c r="FH238" s="1628"/>
    </row>
    <row r="239" spans="1:164" s="1484" customFormat="1" ht="15" x14ac:dyDescent="0.25">
      <c r="A239" s="2033" t="s">
        <v>8010</v>
      </c>
      <c r="B239" s="1631"/>
      <c r="C239" s="2805" t="s">
        <v>7964</v>
      </c>
      <c r="D239" s="2805"/>
      <c r="E239" s="2805"/>
      <c r="F239" s="1683" t="s">
        <v>5928</v>
      </c>
      <c r="G239" s="1641"/>
      <c r="H239" s="1641"/>
      <c r="I239" s="1641"/>
      <c r="J239" s="1640"/>
      <c r="K239" s="1641"/>
      <c r="L239" s="1654">
        <v>0.19</v>
      </c>
      <c r="M239" s="1641"/>
      <c r="N239" s="2039">
        <v>6.79</v>
      </c>
      <c r="EW239" s="2031"/>
      <c r="EX239" s="1619"/>
      <c r="EY239" s="1628"/>
      <c r="EZ239" s="1628"/>
      <c r="FA239" s="1628"/>
      <c r="FF239" s="1864" t="s">
        <v>7964</v>
      </c>
      <c r="FH239" s="1628"/>
    </row>
    <row r="240" spans="1:164" s="1484" customFormat="1" ht="15" x14ac:dyDescent="0.25">
      <c r="A240" s="2033"/>
      <c r="B240" s="1631"/>
      <c r="C240" s="2805" t="s">
        <v>7965</v>
      </c>
      <c r="D240" s="2805"/>
      <c r="E240" s="2805"/>
      <c r="F240" s="1683" t="s">
        <v>5928</v>
      </c>
      <c r="G240" s="1641"/>
      <c r="H240" s="1641"/>
      <c r="I240" s="1641"/>
      <c r="J240" s="1654">
        <v>0.99</v>
      </c>
      <c r="K240" s="1655">
        <v>0.25</v>
      </c>
      <c r="L240" s="1654">
        <v>0.19</v>
      </c>
      <c r="M240" s="1655">
        <v>35.75</v>
      </c>
      <c r="N240" s="2039">
        <v>6.79</v>
      </c>
      <c r="EW240" s="2031"/>
      <c r="EX240" s="1619"/>
      <c r="EY240" s="1628"/>
      <c r="EZ240" s="1628"/>
      <c r="FA240" s="1628"/>
      <c r="FF240" s="1864" t="s">
        <v>7965</v>
      </c>
      <c r="FH240" s="1628"/>
    </row>
    <row r="241" spans="1:176" s="1484" customFormat="1" ht="15" x14ac:dyDescent="0.25">
      <c r="A241" s="2033"/>
      <c r="B241" s="1631"/>
      <c r="C241" s="2805" t="s">
        <v>867</v>
      </c>
      <c r="D241" s="2805"/>
      <c r="E241" s="2805"/>
      <c r="F241" s="1683"/>
      <c r="G241" s="1641"/>
      <c r="H241" s="1641"/>
      <c r="I241" s="1641"/>
      <c r="J241" s="1640"/>
      <c r="K241" s="1641"/>
      <c r="L241" s="1654">
        <v>130.65</v>
      </c>
      <c r="M241" s="1641"/>
      <c r="N241" s="1679">
        <v>4670.74</v>
      </c>
      <c r="EW241" s="2031"/>
      <c r="EX241" s="1619"/>
      <c r="EY241" s="1628"/>
      <c r="EZ241" s="1628"/>
      <c r="FA241" s="1628"/>
      <c r="FF241" s="1864" t="s">
        <v>867</v>
      </c>
      <c r="FH241" s="1628"/>
    </row>
    <row r="242" spans="1:176" s="1484" customFormat="1" ht="15" x14ac:dyDescent="0.25">
      <c r="A242" s="2033"/>
      <c r="B242" s="1631" t="s">
        <v>7983</v>
      </c>
      <c r="C242" s="2805" t="s">
        <v>7984</v>
      </c>
      <c r="D242" s="2805"/>
      <c r="E242" s="2805"/>
      <c r="F242" s="1683" t="s">
        <v>636</v>
      </c>
      <c r="G242" s="2034">
        <v>97</v>
      </c>
      <c r="H242" s="1641"/>
      <c r="I242" s="2034">
        <v>97</v>
      </c>
      <c r="J242" s="1640"/>
      <c r="K242" s="1641"/>
      <c r="L242" s="1654">
        <v>126.73</v>
      </c>
      <c r="M242" s="1641"/>
      <c r="N242" s="1679">
        <v>4530.62</v>
      </c>
      <c r="EW242" s="2031"/>
      <c r="EX242" s="1619"/>
      <c r="EY242" s="1628"/>
      <c r="EZ242" s="1628"/>
      <c r="FA242" s="1628"/>
      <c r="FF242" s="1864" t="s">
        <v>7984</v>
      </c>
      <c r="FH242" s="1628"/>
    </row>
    <row r="243" spans="1:176" s="1484" customFormat="1" ht="15" x14ac:dyDescent="0.25">
      <c r="A243" s="2033"/>
      <c r="B243" s="1631" t="s">
        <v>7985</v>
      </c>
      <c r="C243" s="2805" t="s">
        <v>7986</v>
      </c>
      <c r="D243" s="2805"/>
      <c r="E243" s="2805"/>
      <c r="F243" s="1683" t="s">
        <v>636</v>
      </c>
      <c r="G243" s="2034">
        <v>55</v>
      </c>
      <c r="H243" s="1641"/>
      <c r="I243" s="2034">
        <v>55</v>
      </c>
      <c r="J243" s="1640"/>
      <c r="K243" s="1641"/>
      <c r="L243" s="1654">
        <v>71.86</v>
      </c>
      <c r="M243" s="1641"/>
      <c r="N243" s="1679">
        <v>2568.91</v>
      </c>
      <c r="EW243" s="2031"/>
      <c r="EX243" s="1619"/>
      <c r="EY243" s="1628"/>
      <c r="EZ243" s="1628"/>
      <c r="FA243" s="1628"/>
      <c r="FF243" s="1864" t="s">
        <v>7986</v>
      </c>
      <c r="FH243" s="1628"/>
    </row>
    <row r="244" spans="1:176" s="1484" customFormat="1" ht="15" x14ac:dyDescent="0.25">
      <c r="A244" s="1650"/>
      <c r="B244" s="1651"/>
      <c r="C244" s="2803" t="s">
        <v>872</v>
      </c>
      <c r="D244" s="2803"/>
      <c r="E244" s="2803"/>
      <c r="F244" s="1621"/>
      <c r="G244" s="1622"/>
      <c r="H244" s="1622"/>
      <c r="I244" s="1622"/>
      <c r="J244" s="1625"/>
      <c r="K244" s="1622"/>
      <c r="L244" s="1648">
        <v>2321.29</v>
      </c>
      <c r="M244" s="2037"/>
      <c r="N244" s="1649">
        <v>29969.69</v>
      </c>
      <c r="EW244" s="2031"/>
      <c r="EX244" s="1619"/>
      <c r="EY244" s="1628"/>
      <c r="EZ244" s="1628"/>
      <c r="FA244" s="1628"/>
      <c r="FH244" s="1628" t="s">
        <v>872</v>
      </c>
    </row>
    <row r="245" spans="1:176" s="1484" customFormat="1" ht="33.75" x14ac:dyDescent="0.25">
      <c r="A245" s="1620" t="s">
        <v>915</v>
      </c>
      <c r="B245" s="1863" t="s">
        <v>8934</v>
      </c>
      <c r="C245" s="2803" t="s">
        <v>7987</v>
      </c>
      <c r="D245" s="2803"/>
      <c r="E245" s="2803"/>
      <c r="F245" s="1621" t="s">
        <v>130</v>
      </c>
      <c r="G245" s="1622">
        <v>78.400000000000006</v>
      </c>
      <c r="H245" s="1623">
        <v>1</v>
      </c>
      <c r="I245" s="1624">
        <v>78.400000000000006</v>
      </c>
      <c r="J245" s="1648">
        <v>5220.7</v>
      </c>
      <c r="K245" s="1622"/>
      <c r="L245" s="1648">
        <v>44781.5</v>
      </c>
      <c r="M245" s="1687">
        <v>9.14</v>
      </c>
      <c r="N245" s="1649">
        <v>409302.88</v>
      </c>
      <c r="EW245" s="2031"/>
      <c r="EX245" s="1619"/>
      <c r="EY245" s="1628" t="s">
        <v>7987</v>
      </c>
      <c r="EZ245" s="1628" t="s">
        <v>588</v>
      </c>
      <c r="FA245" s="1628" t="s">
        <v>588</v>
      </c>
      <c r="FH245" s="1628"/>
    </row>
    <row r="246" spans="1:176" s="1484" customFormat="1" ht="15" x14ac:dyDescent="0.25">
      <c r="A246" s="1650"/>
      <c r="B246" s="1651"/>
      <c r="C246" s="2805" t="s">
        <v>8933</v>
      </c>
      <c r="D246" s="2805"/>
      <c r="E246" s="2805"/>
      <c r="F246" s="2805"/>
      <c r="G246" s="2805"/>
      <c r="H246" s="2805"/>
      <c r="I246" s="2805"/>
      <c r="J246" s="2805"/>
      <c r="K246" s="2805"/>
      <c r="L246" s="2805"/>
      <c r="M246" s="2805"/>
      <c r="N246" s="2806"/>
      <c r="EW246" s="2031"/>
      <c r="EX246" s="1619"/>
      <c r="EY246" s="1628"/>
      <c r="EZ246" s="1628"/>
      <c r="FA246" s="1628"/>
      <c r="FH246" s="1628"/>
      <c r="FI246" s="1864" t="s">
        <v>8933</v>
      </c>
      <c r="FJ246" s="1864" t="s">
        <v>588</v>
      </c>
      <c r="FK246" s="1864" t="s">
        <v>588</v>
      </c>
      <c r="FL246" s="1864" t="s">
        <v>588</v>
      </c>
      <c r="FM246" s="1864" t="s">
        <v>588</v>
      </c>
      <c r="FN246" s="1864" t="s">
        <v>588</v>
      </c>
      <c r="FO246" s="1864" t="s">
        <v>588</v>
      </c>
      <c r="FP246" s="1864" t="s">
        <v>588</v>
      </c>
      <c r="FQ246" s="1864" t="s">
        <v>588</v>
      </c>
      <c r="FR246" s="1864" t="s">
        <v>588</v>
      </c>
      <c r="FS246" s="1864" t="s">
        <v>588</v>
      </c>
      <c r="FT246" s="1864" t="s">
        <v>588</v>
      </c>
    </row>
    <row r="247" spans="1:176" s="1484" customFormat="1" ht="15" x14ac:dyDescent="0.25">
      <c r="A247" s="1650"/>
      <c r="B247" s="1651"/>
      <c r="C247" s="2803" t="s">
        <v>872</v>
      </c>
      <c r="D247" s="2803"/>
      <c r="E247" s="2803"/>
      <c r="F247" s="1621"/>
      <c r="G247" s="1622"/>
      <c r="H247" s="1622"/>
      <c r="I247" s="1622"/>
      <c r="J247" s="1625"/>
      <c r="K247" s="1622"/>
      <c r="L247" s="1648">
        <v>44781.5</v>
      </c>
      <c r="M247" s="2037"/>
      <c r="N247" s="1649">
        <v>409302.88</v>
      </c>
      <c r="EW247" s="2031"/>
      <c r="EX247" s="1619"/>
      <c r="EY247" s="1628"/>
      <c r="EZ247" s="1628"/>
      <c r="FA247" s="1628"/>
      <c r="FH247" s="1628" t="s">
        <v>872</v>
      </c>
    </row>
    <row r="248" spans="1:176" s="1484" customFormat="1" ht="15" x14ac:dyDescent="0.25">
      <c r="A248" s="2811" t="s">
        <v>8011</v>
      </c>
      <c r="B248" s="2812"/>
      <c r="C248" s="2812"/>
      <c r="D248" s="2812"/>
      <c r="E248" s="2812"/>
      <c r="F248" s="2812"/>
      <c r="G248" s="2812"/>
      <c r="H248" s="2812"/>
      <c r="I248" s="2812"/>
      <c r="J248" s="2812"/>
      <c r="K248" s="2812"/>
      <c r="L248" s="2812"/>
      <c r="M248" s="2812"/>
      <c r="N248" s="2813"/>
      <c r="EW248" s="2031"/>
      <c r="EX248" s="1619" t="s">
        <v>8011</v>
      </c>
      <c r="EY248" s="1628"/>
      <c r="EZ248" s="1628"/>
      <c r="FA248" s="1628"/>
      <c r="FH248" s="1628"/>
    </row>
    <row r="249" spans="1:176" s="1484" customFormat="1" ht="56.25" x14ac:dyDescent="0.25">
      <c r="A249" s="1620" t="s">
        <v>8012</v>
      </c>
      <c r="B249" s="1863" t="s">
        <v>7990</v>
      </c>
      <c r="C249" s="2803" t="s">
        <v>7991</v>
      </c>
      <c r="D249" s="2803"/>
      <c r="E249" s="2803"/>
      <c r="F249" s="1621" t="s">
        <v>2555</v>
      </c>
      <c r="G249" s="1622">
        <v>10.769</v>
      </c>
      <c r="H249" s="1623">
        <v>1</v>
      </c>
      <c r="I249" s="2045">
        <v>10.769</v>
      </c>
      <c r="J249" s="1625"/>
      <c r="K249" s="1622"/>
      <c r="L249" s="1625"/>
      <c r="M249" s="1622"/>
      <c r="N249" s="1627"/>
      <c r="EW249" s="2031"/>
      <c r="EX249" s="1619"/>
      <c r="EY249" s="1628" t="s">
        <v>7991</v>
      </c>
      <c r="EZ249" s="1628" t="s">
        <v>588</v>
      </c>
      <c r="FA249" s="1628" t="s">
        <v>588</v>
      </c>
      <c r="FH249" s="1628"/>
    </row>
    <row r="250" spans="1:176" s="1484" customFormat="1" ht="15" x14ac:dyDescent="0.25">
      <c r="A250" s="1629"/>
      <c r="B250" s="1862"/>
      <c r="C250" s="2805" t="s">
        <v>8937</v>
      </c>
      <c r="D250" s="2805"/>
      <c r="E250" s="2805"/>
      <c r="F250" s="2805"/>
      <c r="G250" s="2805"/>
      <c r="H250" s="2805"/>
      <c r="I250" s="2805"/>
      <c r="J250" s="2805"/>
      <c r="K250" s="2805"/>
      <c r="L250" s="2805"/>
      <c r="M250" s="2805"/>
      <c r="N250" s="2806"/>
      <c r="EW250" s="2031"/>
      <c r="EX250" s="1619"/>
      <c r="EY250" s="1628"/>
      <c r="EZ250" s="1628"/>
      <c r="FA250" s="1628"/>
      <c r="FB250" s="1864" t="s">
        <v>8937</v>
      </c>
      <c r="FH250" s="1628"/>
    </row>
    <row r="251" spans="1:176" s="1484" customFormat="1" ht="22.5" x14ac:dyDescent="0.25">
      <c r="A251" s="1630"/>
      <c r="B251" s="1631" t="s">
        <v>6062</v>
      </c>
      <c r="C251" s="2809" t="s">
        <v>6063</v>
      </c>
      <c r="D251" s="2809"/>
      <c r="E251" s="2809"/>
      <c r="F251" s="2809"/>
      <c r="G251" s="2809"/>
      <c r="H251" s="2809"/>
      <c r="I251" s="2809"/>
      <c r="J251" s="2809"/>
      <c r="K251" s="2809"/>
      <c r="L251" s="2809"/>
      <c r="M251" s="2809"/>
      <c r="N251" s="2810"/>
      <c r="EW251" s="2031"/>
      <c r="EX251" s="1619"/>
      <c r="EY251" s="1628"/>
      <c r="EZ251" s="1628"/>
      <c r="FA251" s="1628"/>
      <c r="FC251" s="1864" t="s">
        <v>6063</v>
      </c>
      <c r="FH251" s="1628"/>
    </row>
    <row r="252" spans="1:176" s="1484" customFormat="1" ht="22.5" x14ac:dyDescent="0.25">
      <c r="A252" s="2033"/>
      <c r="B252" s="1631" t="s">
        <v>3260</v>
      </c>
      <c r="C252" s="2805" t="s">
        <v>8636</v>
      </c>
      <c r="D252" s="2805"/>
      <c r="E252" s="2805"/>
      <c r="F252" s="1683" t="s">
        <v>807</v>
      </c>
      <c r="G252" s="1655">
        <v>106.19</v>
      </c>
      <c r="H252" s="1641"/>
      <c r="I252" s="2042">
        <v>1143.5601099999999</v>
      </c>
      <c r="J252" s="1654">
        <v>9.18</v>
      </c>
      <c r="K252" s="1655">
        <v>1.25</v>
      </c>
      <c r="L252" s="1657">
        <v>13122.35</v>
      </c>
      <c r="M252" s="1641"/>
      <c r="N252" s="1681"/>
      <c r="EW252" s="2031"/>
      <c r="EX252" s="1619"/>
      <c r="EY252" s="1628"/>
      <c r="EZ252" s="1628"/>
      <c r="FA252" s="1628"/>
      <c r="FD252" s="1864" t="s">
        <v>8636</v>
      </c>
      <c r="FH252" s="1628"/>
    </row>
    <row r="253" spans="1:176" s="1484" customFormat="1" ht="22.5" x14ac:dyDescent="0.25">
      <c r="A253" s="2033"/>
      <c r="B253" s="1631" t="s">
        <v>817</v>
      </c>
      <c r="C253" s="2805" t="s">
        <v>818</v>
      </c>
      <c r="D253" s="2805"/>
      <c r="E253" s="2805"/>
      <c r="F253" s="1683" t="s">
        <v>4994</v>
      </c>
      <c r="G253" s="1655">
        <v>0.27</v>
      </c>
      <c r="H253" s="1641"/>
      <c r="I253" s="2042">
        <v>2.9076300000000002</v>
      </c>
      <c r="J253" s="1654">
        <v>115.4</v>
      </c>
      <c r="K253" s="1641"/>
      <c r="L253" s="1654">
        <v>335.54</v>
      </c>
      <c r="M253" s="1641"/>
      <c r="N253" s="1681"/>
      <c r="EW253" s="2031"/>
      <c r="EX253" s="1619"/>
      <c r="EY253" s="1628"/>
      <c r="EZ253" s="1628"/>
      <c r="FA253" s="1628"/>
      <c r="FD253" s="1864" t="s">
        <v>818</v>
      </c>
      <c r="FH253" s="1628"/>
    </row>
    <row r="254" spans="1:176" s="1484" customFormat="1" ht="15" x14ac:dyDescent="0.25">
      <c r="A254" s="2033"/>
      <c r="B254" s="1631" t="s">
        <v>821</v>
      </c>
      <c r="C254" s="2805" t="s">
        <v>822</v>
      </c>
      <c r="D254" s="2805"/>
      <c r="E254" s="2805"/>
      <c r="F254" s="1683" t="s">
        <v>4994</v>
      </c>
      <c r="G254" s="1655">
        <v>0.37</v>
      </c>
      <c r="H254" s="1641"/>
      <c r="I254" s="2042">
        <v>3.9845299999999999</v>
      </c>
      <c r="J254" s="1654">
        <v>65.709999999999994</v>
      </c>
      <c r="K254" s="1641"/>
      <c r="L254" s="1654">
        <v>261.82</v>
      </c>
      <c r="M254" s="1641"/>
      <c r="N254" s="1681"/>
      <c r="EW254" s="2031"/>
      <c r="EX254" s="1619"/>
      <c r="EY254" s="1628"/>
      <c r="EZ254" s="1628"/>
      <c r="FA254" s="1628"/>
      <c r="FD254" s="1864" t="s">
        <v>822</v>
      </c>
      <c r="FH254" s="1628"/>
    </row>
    <row r="255" spans="1:176" s="1484" customFormat="1" ht="15" x14ac:dyDescent="0.25">
      <c r="A255" s="2033"/>
      <c r="B255" s="1631" t="s">
        <v>4907</v>
      </c>
      <c r="C255" s="2805" t="s">
        <v>8890</v>
      </c>
      <c r="D255" s="2805"/>
      <c r="E255" s="2805"/>
      <c r="F255" s="1683" t="s">
        <v>4865</v>
      </c>
      <c r="G255" s="2034">
        <v>7</v>
      </c>
      <c r="H255" s="1641"/>
      <c r="I255" s="2046">
        <v>75.382999999999996</v>
      </c>
      <c r="J255" s="1654">
        <v>118</v>
      </c>
      <c r="K255" s="1641"/>
      <c r="L255" s="1657">
        <v>8895.19</v>
      </c>
      <c r="M255" s="1641"/>
      <c r="N255" s="1681"/>
      <c r="EW255" s="2031"/>
      <c r="EX255" s="1619"/>
      <c r="EY255" s="1628"/>
      <c r="EZ255" s="1628"/>
      <c r="FA255" s="1628"/>
      <c r="FD255" s="1864" t="s">
        <v>8890</v>
      </c>
      <c r="FH255" s="1628"/>
    </row>
    <row r="256" spans="1:176" s="1484" customFormat="1" ht="15" x14ac:dyDescent="0.25">
      <c r="A256" s="2033"/>
      <c r="B256" s="1631" t="s">
        <v>4910</v>
      </c>
      <c r="C256" s="2805" t="s">
        <v>8889</v>
      </c>
      <c r="D256" s="2805"/>
      <c r="E256" s="2805"/>
      <c r="F256" s="1683" t="s">
        <v>4865</v>
      </c>
      <c r="G256" s="2034">
        <v>29</v>
      </c>
      <c r="H256" s="1641"/>
      <c r="I256" s="2046">
        <v>312.30099999999999</v>
      </c>
      <c r="J256" s="1654">
        <v>10</v>
      </c>
      <c r="K256" s="1641"/>
      <c r="L256" s="1657">
        <v>3123.01</v>
      </c>
      <c r="M256" s="1641"/>
      <c r="N256" s="1681"/>
      <c r="EW256" s="2031"/>
      <c r="EX256" s="1619"/>
      <c r="EY256" s="1628"/>
      <c r="EZ256" s="1628"/>
      <c r="FA256" s="1628"/>
      <c r="FD256" s="1864" t="s">
        <v>8889</v>
      </c>
      <c r="FH256" s="1628"/>
    </row>
    <row r="257" spans="1:164" s="1484" customFormat="1" ht="33.75" x14ac:dyDescent="0.25">
      <c r="A257" s="2033"/>
      <c r="B257" s="1631" t="s">
        <v>4943</v>
      </c>
      <c r="C257" s="2805" t="s">
        <v>8888</v>
      </c>
      <c r="D257" s="2805"/>
      <c r="E257" s="2805"/>
      <c r="F257" s="1683" t="s">
        <v>2647</v>
      </c>
      <c r="G257" s="2034">
        <v>200</v>
      </c>
      <c r="H257" s="1641"/>
      <c r="I257" s="1953">
        <v>2153.8000000000002</v>
      </c>
      <c r="J257" s="1654">
        <v>6.91</v>
      </c>
      <c r="K257" s="1641"/>
      <c r="L257" s="1657">
        <v>14882.76</v>
      </c>
      <c r="M257" s="1641"/>
      <c r="N257" s="1681"/>
      <c r="EW257" s="2031"/>
      <c r="EX257" s="1619"/>
      <c r="EY257" s="1628"/>
      <c r="EZ257" s="1628"/>
      <c r="FA257" s="1628"/>
      <c r="FD257" s="1864" t="s">
        <v>8888</v>
      </c>
      <c r="FH257" s="1628"/>
    </row>
    <row r="258" spans="1:164" s="1484" customFormat="1" ht="33.75" x14ac:dyDescent="0.25">
      <c r="A258" s="2033"/>
      <c r="B258" s="1631" t="s">
        <v>4949</v>
      </c>
      <c r="C258" s="2805" t="s">
        <v>8887</v>
      </c>
      <c r="D258" s="2805"/>
      <c r="E258" s="2805"/>
      <c r="F258" s="1683" t="s">
        <v>269</v>
      </c>
      <c r="G258" s="2034">
        <v>350</v>
      </c>
      <c r="H258" s="1641"/>
      <c r="I258" s="1655">
        <v>3769.15</v>
      </c>
      <c r="J258" s="1654">
        <v>17.32</v>
      </c>
      <c r="K258" s="1641"/>
      <c r="L258" s="1657">
        <v>65281.68</v>
      </c>
      <c r="M258" s="1641"/>
      <c r="N258" s="1681"/>
      <c r="EW258" s="2031"/>
      <c r="EX258" s="1619"/>
      <c r="EY258" s="1628"/>
      <c r="EZ258" s="1628"/>
      <c r="FA258" s="1628"/>
      <c r="FD258" s="1864" t="s">
        <v>8887</v>
      </c>
      <c r="FH258" s="1628"/>
    </row>
    <row r="259" spans="1:164" s="1484" customFormat="1" ht="22.5" x14ac:dyDescent="0.25">
      <c r="A259" s="2033"/>
      <c r="B259" s="1631" t="s">
        <v>4950</v>
      </c>
      <c r="C259" s="2805" t="s">
        <v>8886</v>
      </c>
      <c r="D259" s="2805"/>
      <c r="E259" s="2805"/>
      <c r="F259" s="1683" t="s">
        <v>2647</v>
      </c>
      <c r="G259" s="2034">
        <v>42</v>
      </c>
      <c r="H259" s="1641"/>
      <c r="I259" s="2046">
        <v>452.298</v>
      </c>
      <c r="J259" s="1654">
        <v>23.15</v>
      </c>
      <c r="K259" s="1641"/>
      <c r="L259" s="1657">
        <v>10470.700000000001</v>
      </c>
      <c r="M259" s="1641"/>
      <c r="N259" s="1681"/>
      <c r="EW259" s="2031"/>
      <c r="EX259" s="1619"/>
      <c r="EY259" s="1628"/>
      <c r="EZ259" s="1628"/>
      <c r="FA259" s="1628"/>
      <c r="FD259" s="1864" t="s">
        <v>8886</v>
      </c>
      <c r="FH259" s="1628"/>
    </row>
    <row r="260" spans="1:164" s="1484" customFormat="1" ht="22.5" x14ac:dyDescent="0.25">
      <c r="A260" s="2033"/>
      <c r="B260" s="1631" t="s">
        <v>4951</v>
      </c>
      <c r="C260" s="2805" t="s">
        <v>8885</v>
      </c>
      <c r="D260" s="2805"/>
      <c r="E260" s="2805"/>
      <c r="F260" s="1683" t="s">
        <v>2647</v>
      </c>
      <c r="G260" s="2034">
        <v>12</v>
      </c>
      <c r="H260" s="1641"/>
      <c r="I260" s="2046">
        <v>129.22800000000001</v>
      </c>
      <c r="J260" s="1654">
        <v>64.47</v>
      </c>
      <c r="K260" s="1641"/>
      <c r="L260" s="1657">
        <v>8331.33</v>
      </c>
      <c r="M260" s="1641"/>
      <c r="N260" s="1681"/>
      <c r="EW260" s="2031"/>
      <c r="EX260" s="1619"/>
      <c r="EY260" s="1628"/>
      <c r="EZ260" s="1628"/>
      <c r="FA260" s="1628"/>
      <c r="FD260" s="1864" t="s">
        <v>8885</v>
      </c>
      <c r="FH260" s="1628"/>
    </row>
    <row r="261" spans="1:164" s="1484" customFormat="1" ht="22.5" x14ac:dyDescent="0.25">
      <c r="A261" s="2033"/>
      <c r="B261" s="1631" t="s">
        <v>4952</v>
      </c>
      <c r="C261" s="2805" t="s">
        <v>8884</v>
      </c>
      <c r="D261" s="2805"/>
      <c r="E261" s="2805"/>
      <c r="F261" s="1683" t="s">
        <v>2647</v>
      </c>
      <c r="G261" s="2034">
        <v>55</v>
      </c>
      <c r="H261" s="1641"/>
      <c r="I261" s="2046">
        <v>592.29499999999996</v>
      </c>
      <c r="J261" s="1654">
        <v>7.5</v>
      </c>
      <c r="K261" s="1641"/>
      <c r="L261" s="1657">
        <v>4442.21</v>
      </c>
      <c r="M261" s="1641"/>
      <c r="N261" s="1681"/>
      <c r="EW261" s="2031"/>
      <c r="EX261" s="1619"/>
      <c r="EY261" s="1628"/>
      <c r="EZ261" s="1628"/>
      <c r="FA261" s="1628"/>
      <c r="FD261" s="1864" t="s">
        <v>8884</v>
      </c>
      <c r="FH261" s="1628"/>
    </row>
    <row r="262" spans="1:164" s="1484" customFormat="1" ht="15" x14ac:dyDescent="0.25">
      <c r="A262" s="2032"/>
      <c r="B262" s="1631" t="s">
        <v>190</v>
      </c>
      <c r="C262" s="2805" t="s">
        <v>2523</v>
      </c>
      <c r="D262" s="2805"/>
      <c r="E262" s="2805"/>
      <c r="F262" s="1683"/>
      <c r="G262" s="1641"/>
      <c r="H262" s="1641"/>
      <c r="I262" s="1641"/>
      <c r="J262" s="1654">
        <v>974.82</v>
      </c>
      <c r="K262" s="1655">
        <v>1.25</v>
      </c>
      <c r="L262" s="1657">
        <v>13122.3</v>
      </c>
      <c r="M262" s="1655">
        <v>35.75</v>
      </c>
      <c r="N262" s="1679">
        <v>469122.23</v>
      </c>
      <c r="EW262" s="2031"/>
      <c r="EX262" s="1619"/>
      <c r="EY262" s="1628"/>
      <c r="EZ262" s="1628"/>
      <c r="FA262" s="1628"/>
      <c r="FE262" s="1864" t="s">
        <v>2523</v>
      </c>
      <c r="FH262" s="1628"/>
    </row>
    <row r="263" spans="1:164" s="1484" customFormat="1" ht="15" x14ac:dyDescent="0.25">
      <c r="A263" s="2032"/>
      <c r="B263" s="1631" t="s">
        <v>639</v>
      </c>
      <c r="C263" s="2805" t="s">
        <v>697</v>
      </c>
      <c r="D263" s="2805"/>
      <c r="E263" s="2805"/>
      <c r="F263" s="1683"/>
      <c r="G263" s="1641"/>
      <c r="H263" s="1641"/>
      <c r="I263" s="1641"/>
      <c r="J263" s="1654">
        <v>55.47</v>
      </c>
      <c r="K263" s="1641"/>
      <c r="L263" s="1654">
        <v>597.36</v>
      </c>
      <c r="M263" s="1655">
        <v>11.97</v>
      </c>
      <c r="N263" s="1679">
        <v>7150.4</v>
      </c>
      <c r="EW263" s="2031"/>
      <c r="EX263" s="1619"/>
      <c r="EY263" s="1628"/>
      <c r="EZ263" s="1628"/>
      <c r="FA263" s="1628"/>
      <c r="FE263" s="1864" t="s">
        <v>697</v>
      </c>
      <c r="FH263" s="1628"/>
    </row>
    <row r="264" spans="1:164" s="1484" customFormat="1" ht="15" x14ac:dyDescent="0.25">
      <c r="A264" s="2032"/>
      <c r="B264" s="1631" t="s">
        <v>640</v>
      </c>
      <c r="C264" s="2805" t="s">
        <v>2500</v>
      </c>
      <c r="D264" s="2805"/>
      <c r="E264" s="2805"/>
      <c r="F264" s="1683"/>
      <c r="G264" s="1641"/>
      <c r="H264" s="1641"/>
      <c r="I264" s="1641"/>
      <c r="J264" s="1654">
        <v>7.94</v>
      </c>
      <c r="K264" s="1641"/>
      <c r="L264" s="1654">
        <v>85.51</v>
      </c>
      <c r="M264" s="1655">
        <v>35.75</v>
      </c>
      <c r="N264" s="1679">
        <v>3056.98</v>
      </c>
      <c r="EW264" s="2031"/>
      <c r="EX264" s="1619"/>
      <c r="EY264" s="1628"/>
      <c r="EZ264" s="1628"/>
      <c r="FA264" s="1628"/>
      <c r="FE264" s="1864" t="s">
        <v>2500</v>
      </c>
      <c r="FH264" s="1628"/>
    </row>
    <row r="265" spans="1:164" s="1484" customFormat="1" ht="15" x14ac:dyDescent="0.25">
      <c r="A265" s="2032"/>
      <c r="B265" s="1631" t="s">
        <v>232</v>
      </c>
      <c r="C265" s="2805" t="s">
        <v>829</v>
      </c>
      <c r="D265" s="2805"/>
      <c r="E265" s="2805"/>
      <c r="F265" s="1683"/>
      <c r="G265" s="1641"/>
      <c r="H265" s="1641"/>
      <c r="I265" s="1641"/>
      <c r="J265" s="1657">
        <v>10718.44</v>
      </c>
      <c r="K265" s="1641"/>
      <c r="L265" s="1657">
        <v>115426.88</v>
      </c>
      <c r="M265" s="1655">
        <v>9.14</v>
      </c>
      <c r="N265" s="1679">
        <v>1055001.68</v>
      </c>
      <c r="EW265" s="2031"/>
      <c r="EX265" s="1619"/>
      <c r="EY265" s="1628"/>
      <c r="EZ265" s="1628"/>
      <c r="FA265" s="1628"/>
      <c r="FE265" s="1864" t="s">
        <v>829</v>
      </c>
      <c r="FH265" s="1628"/>
    </row>
    <row r="266" spans="1:164" s="1484" customFormat="1" ht="15" x14ac:dyDescent="0.25">
      <c r="A266" s="2033"/>
      <c r="B266" s="1631"/>
      <c r="C266" s="2805" t="s">
        <v>2524</v>
      </c>
      <c r="D266" s="2805"/>
      <c r="E266" s="2805"/>
      <c r="F266" s="1683" t="s">
        <v>807</v>
      </c>
      <c r="G266" s="1655">
        <v>106.19</v>
      </c>
      <c r="H266" s="1641"/>
      <c r="I266" s="2042">
        <v>1143.5601099999999</v>
      </c>
      <c r="J266" s="1640"/>
      <c r="K266" s="1641"/>
      <c r="L266" s="1640"/>
      <c r="M266" s="1641"/>
      <c r="N266" s="1681"/>
      <c r="EW266" s="2031"/>
      <c r="EX266" s="1619"/>
      <c r="EY266" s="1628"/>
      <c r="EZ266" s="1628"/>
      <c r="FA266" s="1628"/>
      <c r="FF266" s="1864" t="s">
        <v>2524</v>
      </c>
      <c r="FH266" s="1628"/>
    </row>
    <row r="267" spans="1:164" s="1484" customFormat="1" ht="15" x14ac:dyDescent="0.25">
      <c r="A267" s="2033"/>
      <c r="B267" s="1631"/>
      <c r="C267" s="2805" t="s">
        <v>2501</v>
      </c>
      <c r="D267" s="2805"/>
      <c r="E267" s="2805"/>
      <c r="F267" s="1683" t="s">
        <v>807</v>
      </c>
      <c r="G267" s="1655">
        <v>0.64</v>
      </c>
      <c r="H267" s="1641"/>
      <c r="I267" s="2042">
        <v>6.8921599999999996</v>
      </c>
      <c r="J267" s="1640"/>
      <c r="K267" s="1641"/>
      <c r="L267" s="1640"/>
      <c r="M267" s="1641"/>
      <c r="N267" s="1681"/>
      <c r="EW267" s="2031"/>
      <c r="EX267" s="1619"/>
      <c r="EY267" s="1628"/>
      <c r="EZ267" s="1628"/>
      <c r="FA267" s="1628"/>
      <c r="FF267" s="1864" t="s">
        <v>2501</v>
      </c>
      <c r="FH267" s="1628"/>
    </row>
    <row r="268" spans="1:164" s="1484" customFormat="1" ht="15" x14ac:dyDescent="0.25">
      <c r="A268" s="2032"/>
      <c r="B268" s="1631"/>
      <c r="C268" s="2917" t="s">
        <v>2502</v>
      </c>
      <c r="D268" s="2917"/>
      <c r="E268" s="2917"/>
      <c r="F268" s="2036"/>
      <c r="G268" s="2037"/>
      <c r="H268" s="2037"/>
      <c r="I268" s="2037"/>
      <c r="J268" s="2038">
        <v>11748.73</v>
      </c>
      <c r="K268" s="2037"/>
      <c r="L268" s="2038">
        <v>129146.54</v>
      </c>
      <c r="M268" s="2037"/>
      <c r="N268" s="2068">
        <v>1531274.31</v>
      </c>
      <c r="EW268" s="2031"/>
      <c r="EX268" s="1619"/>
      <c r="EY268" s="1628"/>
      <c r="EZ268" s="1628"/>
      <c r="FA268" s="1628"/>
      <c r="FG268" s="1864" t="s">
        <v>2502</v>
      </c>
      <c r="FH268" s="1628"/>
    </row>
    <row r="269" spans="1:164" s="1484" customFormat="1" ht="15" x14ac:dyDescent="0.25">
      <c r="A269" s="2033" t="s">
        <v>8013</v>
      </c>
      <c r="B269" s="1631"/>
      <c r="C269" s="2805" t="s">
        <v>7964</v>
      </c>
      <c r="D269" s="2805"/>
      <c r="E269" s="2805"/>
      <c r="F269" s="1683" t="s">
        <v>5928</v>
      </c>
      <c r="G269" s="1641"/>
      <c r="H269" s="1641"/>
      <c r="I269" s="1641"/>
      <c r="J269" s="1640"/>
      <c r="K269" s="1641"/>
      <c r="L269" s="1654">
        <v>21.38</v>
      </c>
      <c r="M269" s="1641"/>
      <c r="N269" s="2039">
        <v>764.34</v>
      </c>
      <c r="EW269" s="2031"/>
      <c r="EX269" s="1619"/>
      <c r="EY269" s="1628"/>
      <c r="EZ269" s="1628"/>
      <c r="FA269" s="1628"/>
      <c r="FF269" s="1864" t="s">
        <v>7964</v>
      </c>
      <c r="FH269" s="1628"/>
    </row>
    <row r="270" spans="1:164" s="1484" customFormat="1" ht="15" x14ac:dyDescent="0.25">
      <c r="A270" s="2033"/>
      <c r="B270" s="1631"/>
      <c r="C270" s="2805" t="s">
        <v>7965</v>
      </c>
      <c r="D270" s="2805"/>
      <c r="E270" s="2805"/>
      <c r="F270" s="1683" t="s">
        <v>5928</v>
      </c>
      <c r="G270" s="1641"/>
      <c r="H270" s="1641"/>
      <c r="I270" s="1641"/>
      <c r="J270" s="1654">
        <v>7.94</v>
      </c>
      <c r="K270" s="1655">
        <v>0.25</v>
      </c>
      <c r="L270" s="1654">
        <v>21.38</v>
      </c>
      <c r="M270" s="1655">
        <v>35.75</v>
      </c>
      <c r="N270" s="2039">
        <v>764.34</v>
      </c>
      <c r="EW270" s="2031"/>
      <c r="EX270" s="1619"/>
      <c r="EY270" s="1628"/>
      <c r="EZ270" s="1628"/>
      <c r="FA270" s="1628"/>
      <c r="FF270" s="1864" t="s">
        <v>7965</v>
      </c>
      <c r="FH270" s="1628"/>
    </row>
    <row r="271" spans="1:164" s="1484" customFormat="1" ht="15" x14ac:dyDescent="0.25">
      <c r="A271" s="2033"/>
      <c r="B271" s="1631"/>
      <c r="C271" s="2805" t="s">
        <v>867</v>
      </c>
      <c r="D271" s="2805"/>
      <c r="E271" s="2805"/>
      <c r="F271" s="1683"/>
      <c r="G271" s="1641"/>
      <c r="H271" s="1641"/>
      <c r="I271" s="1641"/>
      <c r="J271" s="1640"/>
      <c r="K271" s="1641"/>
      <c r="L271" s="1657">
        <v>13229.19</v>
      </c>
      <c r="M271" s="1641"/>
      <c r="N271" s="1679">
        <v>472943.55</v>
      </c>
      <c r="EW271" s="2031"/>
      <c r="EX271" s="1619"/>
      <c r="EY271" s="1628"/>
      <c r="EZ271" s="1628"/>
      <c r="FA271" s="1628"/>
      <c r="FF271" s="1864" t="s">
        <v>867</v>
      </c>
      <c r="FH271" s="1628"/>
    </row>
    <row r="272" spans="1:164" s="1484" customFormat="1" ht="15" x14ac:dyDescent="0.25">
      <c r="A272" s="2033"/>
      <c r="B272" s="1631" t="s">
        <v>7966</v>
      </c>
      <c r="C272" s="2805" t="s">
        <v>7967</v>
      </c>
      <c r="D272" s="2805"/>
      <c r="E272" s="2805"/>
      <c r="F272" s="1683" t="s">
        <v>636</v>
      </c>
      <c r="G272" s="2034">
        <v>100</v>
      </c>
      <c r="H272" s="1641"/>
      <c r="I272" s="2034">
        <v>100</v>
      </c>
      <c r="J272" s="1640"/>
      <c r="K272" s="1641"/>
      <c r="L272" s="1657">
        <v>13229.19</v>
      </c>
      <c r="M272" s="1641"/>
      <c r="N272" s="1679">
        <v>472943.55</v>
      </c>
      <c r="EW272" s="2031"/>
      <c r="EX272" s="1619"/>
      <c r="EY272" s="1628"/>
      <c r="EZ272" s="1628"/>
      <c r="FA272" s="1628"/>
      <c r="FF272" s="1864" t="s">
        <v>7967</v>
      </c>
      <c r="FH272" s="1628"/>
    </row>
    <row r="273" spans="1:176" s="1484" customFormat="1" ht="15" x14ac:dyDescent="0.25">
      <c r="A273" s="2033"/>
      <c r="B273" s="1631" t="s">
        <v>7968</v>
      </c>
      <c r="C273" s="2805" t="s">
        <v>7969</v>
      </c>
      <c r="D273" s="2805"/>
      <c r="E273" s="2805"/>
      <c r="F273" s="1683" t="s">
        <v>636</v>
      </c>
      <c r="G273" s="2034">
        <v>49</v>
      </c>
      <c r="H273" s="1641"/>
      <c r="I273" s="2034">
        <v>49</v>
      </c>
      <c r="J273" s="1640"/>
      <c r="K273" s="1641"/>
      <c r="L273" s="1657">
        <v>6482.3</v>
      </c>
      <c r="M273" s="1641"/>
      <c r="N273" s="1679">
        <v>231742.34</v>
      </c>
      <c r="EW273" s="2031"/>
      <c r="EX273" s="1619"/>
      <c r="EY273" s="1628"/>
      <c r="EZ273" s="1628"/>
      <c r="FA273" s="1628"/>
      <c r="FF273" s="1864" t="s">
        <v>7969</v>
      </c>
      <c r="FH273" s="1628"/>
    </row>
    <row r="274" spans="1:176" s="1484" customFormat="1" ht="15" x14ac:dyDescent="0.25">
      <c r="A274" s="1650"/>
      <c r="B274" s="1651"/>
      <c r="C274" s="2803" t="s">
        <v>872</v>
      </c>
      <c r="D274" s="2803"/>
      <c r="E274" s="2803"/>
      <c r="F274" s="1621"/>
      <c r="G274" s="1622"/>
      <c r="H274" s="1622"/>
      <c r="I274" s="1622"/>
      <c r="J274" s="1625"/>
      <c r="K274" s="1622"/>
      <c r="L274" s="1648">
        <v>148879.41</v>
      </c>
      <c r="M274" s="2037"/>
      <c r="N274" s="1649">
        <v>2236724.54</v>
      </c>
      <c r="EW274" s="2031"/>
      <c r="EX274" s="1619"/>
      <c r="EY274" s="1628"/>
      <c r="EZ274" s="1628"/>
      <c r="FA274" s="1628"/>
      <c r="FH274" s="1628" t="s">
        <v>872</v>
      </c>
    </row>
    <row r="275" spans="1:176" s="1484" customFormat="1" ht="33.75" x14ac:dyDescent="0.25">
      <c r="A275" s="1620" t="s">
        <v>916</v>
      </c>
      <c r="B275" s="1863" t="s">
        <v>8940</v>
      </c>
      <c r="C275" s="2803" t="s">
        <v>8014</v>
      </c>
      <c r="D275" s="2803"/>
      <c r="E275" s="2803"/>
      <c r="F275" s="1621" t="s">
        <v>130</v>
      </c>
      <c r="G275" s="1622">
        <v>1076.9000000000001</v>
      </c>
      <c r="H275" s="1623">
        <v>1</v>
      </c>
      <c r="I275" s="1624">
        <v>1076.9000000000001</v>
      </c>
      <c r="J275" s="1648">
        <v>9613.5</v>
      </c>
      <c r="K275" s="1622"/>
      <c r="L275" s="1648">
        <v>1132689.08</v>
      </c>
      <c r="M275" s="1687">
        <v>9.14</v>
      </c>
      <c r="N275" s="1649">
        <v>10352778.15</v>
      </c>
      <c r="EW275" s="2031"/>
      <c r="EX275" s="1619"/>
      <c r="EY275" s="1628" t="s">
        <v>8014</v>
      </c>
      <c r="EZ275" s="1628" t="s">
        <v>588</v>
      </c>
      <c r="FA275" s="1628" t="s">
        <v>588</v>
      </c>
      <c r="FH275" s="1628"/>
    </row>
    <row r="276" spans="1:176" s="1484" customFormat="1" ht="15" x14ac:dyDescent="0.25">
      <c r="A276" s="1650"/>
      <c r="B276" s="1651"/>
      <c r="C276" s="2805" t="s">
        <v>8689</v>
      </c>
      <c r="D276" s="2805"/>
      <c r="E276" s="2805"/>
      <c r="F276" s="2805"/>
      <c r="G276" s="2805"/>
      <c r="H276" s="2805"/>
      <c r="I276" s="2805"/>
      <c r="J276" s="2805"/>
      <c r="K276" s="2805"/>
      <c r="L276" s="2805"/>
      <c r="M276" s="2805"/>
      <c r="N276" s="2806"/>
      <c r="EW276" s="2031"/>
      <c r="EX276" s="1619"/>
      <c r="EY276" s="1628"/>
      <c r="EZ276" s="1628"/>
      <c r="FA276" s="1628"/>
      <c r="FH276" s="1628"/>
      <c r="FI276" s="1864" t="s">
        <v>8689</v>
      </c>
      <c r="FJ276" s="1864" t="s">
        <v>588</v>
      </c>
      <c r="FK276" s="1864" t="s">
        <v>588</v>
      </c>
      <c r="FL276" s="1864" t="s">
        <v>588</v>
      </c>
      <c r="FM276" s="1864" t="s">
        <v>588</v>
      </c>
      <c r="FN276" s="1864" t="s">
        <v>588</v>
      </c>
      <c r="FO276" s="1864" t="s">
        <v>588</v>
      </c>
      <c r="FP276" s="1864" t="s">
        <v>588</v>
      </c>
      <c r="FQ276" s="1864" t="s">
        <v>588</v>
      </c>
      <c r="FR276" s="1864" t="s">
        <v>588</v>
      </c>
      <c r="FS276" s="1864" t="s">
        <v>588</v>
      </c>
      <c r="FT276" s="1864" t="s">
        <v>588</v>
      </c>
    </row>
    <row r="277" spans="1:176" s="1484" customFormat="1" ht="15" x14ac:dyDescent="0.25">
      <c r="A277" s="1629"/>
      <c r="B277" s="1862"/>
      <c r="C277" s="2805" t="s">
        <v>8932</v>
      </c>
      <c r="D277" s="2805"/>
      <c r="E277" s="2805"/>
      <c r="F277" s="2805"/>
      <c r="G277" s="2805"/>
      <c r="H277" s="2805"/>
      <c r="I277" s="2805"/>
      <c r="J277" s="2805"/>
      <c r="K277" s="2805"/>
      <c r="L277" s="2805"/>
      <c r="M277" s="2805"/>
      <c r="N277" s="2806"/>
      <c r="EW277" s="2031"/>
      <c r="EX277" s="1619"/>
      <c r="EY277" s="1628"/>
      <c r="EZ277" s="1628"/>
      <c r="FA277" s="1628"/>
      <c r="FB277" s="1864" t="s">
        <v>8932</v>
      </c>
      <c r="FH277" s="1628"/>
    </row>
    <row r="278" spans="1:176" s="1484" customFormat="1" ht="15" x14ac:dyDescent="0.25">
      <c r="A278" s="1650"/>
      <c r="B278" s="1651"/>
      <c r="C278" s="2803" t="s">
        <v>872</v>
      </c>
      <c r="D278" s="2803"/>
      <c r="E278" s="2803"/>
      <c r="F278" s="1621"/>
      <c r="G278" s="1622"/>
      <c r="H278" s="1622"/>
      <c r="I278" s="1622"/>
      <c r="J278" s="1625"/>
      <c r="K278" s="1622"/>
      <c r="L278" s="1648">
        <v>1132689.08</v>
      </c>
      <c r="M278" s="2037"/>
      <c r="N278" s="1649">
        <v>10352778.15</v>
      </c>
      <c r="EW278" s="2031"/>
      <c r="EX278" s="1619"/>
      <c r="EY278" s="1628"/>
      <c r="EZ278" s="1628"/>
      <c r="FA278" s="1628"/>
      <c r="FH278" s="1628" t="s">
        <v>872</v>
      </c>
    </row>
    <row r="279" spans="1:176" s="1484" customFormat="1" ht="22.5" x14ac:dyDescent="0.25">
      <c r="A279" s="1620" t="s">
        <v>8015</v>
      </c>
      <c r="B279" s="1863" t="s">
        <v>7995</v>
      </c>
      <c r="C279" s="2803" t="s">
        <v>7996</v>
      </c>
      <c r="D279" s="2803"/>
      <c r="E279" s="2803"/>
      <c r="F279" s="1621" t="s">
        <v>2555</v>
      </c>
      <c r="G279" s="1622">
        <v>10.769</v>
      </c>
      <c r="H279" s="1623">
        <v>1</v>
      </c>
      <c r="I279" s="2045">
        <v>10.769</v>
      </c>
      <c r="J279" s="1625"/>
      <c r="K279" s="1622"/>
      <c r="L279" s="1625"/>
      <c r="M279" s="1622"/>
      <c r="N279" s="1627"/>
      <c r="EW279" s="2031"/>
      <c r="EX279" s="1619"/>
      <c r="EY279" s="1628" t="s">
        <v>7996</v>
      </c>
      <c r="EZ279" s="1628" t="s">
        <v>588</v>
      </c>
      <c r="FA279" s="1628" t="s">
        <v>588</v>
      </c>
      <c r="FH279" s="1628"/>
    </row>
    <row r="280" spans="1:176" s="1484" customFormat="1" ht="15" x14ac:dyDescent="0.25">
      <c r="A280" s="1629"/>
      <c r="B280" s="1862"/>
      <c r="C280" s="2805" t="s">
        <v>8937</v>
      </c>
      <c r="D280" s="2805"/>
      <c r="E280" s="2805"/>
      <c r="F280" s="2805"/>
      <c r="G280" s="2805"/>
      <c r="H280" s="2805"/>
      <c r="I280" s="2805"/>
      <c r="J280" s="2805"/>
      <c r="K280" s="2805"/>
      <c r="L280" s="2805"/>
      <c r="M280" s="2805"/>
      <c r="N280" s="2806"/>
      <c r="EW280" s="2031"/>
      <c r="EX280" s="1619"/>
      <c r="EY280" s="1628"/>
      <c r="EZ280" s="1628"/>
      <c r="FA280" s="1628"/>
      <c r="FB280" s="1864" t="s">
        <v>8937</v>
      </c>
      <c r="FH280" s="1628"/>
    </row>
    <row r="281" spans="1:176" s="1484" customFormat="1" ht="22.5" x14ac:dyDescent="0.25">
      <c r="A281" s="1630"/>
      <c r="B281" s="1631" t="s">
        <v>6062</v>
      </c>
      <c r="C281" s="2809" t="s">
        <v>6063</v>
      </c>
      <c r="D281" s="2809"/>
      <c r="E281" s="2809"/>
      <c r="F281" s="2809"/>
      <c r="G281" s="2809"/>
      <c r="H281" s="2809"/>
      <c r="I281" s="2809"/>
      <c r="J281" s="2809"/>
      <c r="K281" s="2809"/>
      <c r="L281" s="2809"/>
      <c r="M281" s="2809"/>
      <c r="N281" s="2810"/>
      <c r="EW281" s="2031"/>
      <c r="EX281" s="1619"/>
      <c r="EY281" s="1628"/>
      <c r="EZ281" s="1628"/>
      <c r="FA281" s="1628"/>
      <c r="FC281" s="1864" t="s">
        <v>6063</v>
      </c>
      <c r="FH281" s="1628"/>
    </row>
    <row r="282" spans="1:176" s="1484" customFormat="1" ht="22.5" x14ac:dyDescent="0.25">
      <c r="A282" s="2033"/>
      <c r="B282" s="1631" t="s">
        <v>3204</v>
      </c>
      <c r="C282" s="2805" t="s">
        <v>8647</v>
      </c>
      <c r="D282" s="2805"/>
      <c r="E282" s="2805"/>
      <c r="F282" s="1683" t="s">
        <v>807</v>
      </c>
      <c r="G282" s="1655">
        <v>95.94</v>
      </c>
      <c r="H282" s="1641"/>
      <c r="I282" s="2042">
        <v>1033.17786</v>
      </c>
      <c r="J282" s="1654">
        <v>8.74</v>
      </c>
      <c r="K282" s="1655">
        <v>1.25</v>
      </c>
      <c r="L282" s="1657">
        <v>11287.47</v>
      </c>
      <c r="M282" s="1641"/>
      <c r="N282" s="1681"/>
      <c r="EW282" s="2031"/>
      <c r="EX282" s="1619"/>
      <c r="EY282" s="1628"/>
      <c r="EZ282" s="1628"/>
      <c r="FA282" s="1628"/>
      <c r="FD282" s="1864" t="s">
        <v>8647</v>
      </c>
      <c r="FH282" s="1628"/>
    </row>
    <row r="283" spans="1:176" s="1484" customFormat="1" ht="15" x14ac:dyDescent="0.25">
      <c r="A283" s="2033"/>
      <c r="B283" s="1631" t="s">
        <v>821</v>
      </c>
      <c r="C283" s="2805" t="s">
        <v>822</v>
      </c>
      <c r="D283" s="2805"/>
      <c r="E283" s="2805"/>
      <c r="F283" s="1683" t="s">
        <v>4994</v>
      </c>
      <c r="G283" s="1655">
        <v>0.25</v>
      </c>
      <c r="H283" s="1641"/>
      <c r="I283" s="2042">
        <v>2.69225</v>
      </c>
      <c r="J283" s="1654">
        <v>65.709999999999994</v>
      </c>
      <c r="K283" s="1641"/>
      <c r="L283" s="1654">
        <v>176.91</v>
      </c>
      <c r="M283" s="1641"/>
      <c r="N283" s="1681"/>
      <c r="EW283" s="2031"/>
      <c r="EX283" s="1619"/>
      <c r="EY283" s="1628"/>
      <c r="EZ283" s="1628"/>
      <c r="FA283" s="1628"/>
      <c r="FD283" s="1864" t="s">
        <v>822</v>
      </c>
      <c r="FH283" s="1628"/>
    </row>
    <row r="284" spans="1:176" s="1484" customFormat="1" ht="15" x14ac:dyDescent="0.25">
      <c r="A284" s="2033"/>
      <c r="B284" s="1631" t="s">
        <v>4891</v>
      </c>
      <c r="C284" s="2805" t="s">
        <v>8759</v>
      </c>
      <c r="D284" s="2805"/>
      <c r="E284" s="2805"/>
      <c r="F284" s="1683" t="s">
        <v>835</v>
      </c>
      <c r="G284" s="2046">
        <v>7.423</v>
      </c>
      <c r="H284" s="1641"/>
      <c r="I284" s="2043">
        <v>79.938287000000003</v>
      </c>
      <c r="J284" s="1654">
        <v>112</v>
      </c>
      <c r="K284" s="1641"/>
      <c r="L284" s="1657">
        <v>8953.09</v>
      </c>
      <c r="M284" s="1641"/>
      <c r="N284" s="1681"/>
      <c r="EW284" s="2031"/>
      <c r="EX284" s="1619"/>
      <c r="EY284" s="1628"/>
      <c r="EZ284" s="1628"/>
      <c r="FA284" s="1628"/>
      <c r="FD284" s="1864" t="s">
        <v>8759</v>
      </c>
      <c r="FH284" s="1628"/>
    </row>
    <row r="285" spans="1:176" s="1484" customFormat="1" ht="22.5" x14ac:dyDescent="0.25">
      <c r="A285" s="2033"/>
      <c r="B285" s="1631" t="s">
        <v>4898</v>
      </c>
      <c r="C285" s="2805" t="s">
        <v>8939</v>
      </c>
      <c r="D285" s="2805"/>
      <c r="E285" s="2805"/>
      <c r="F285" s="1683" t="s">
        <v>130</v>
      </c>
      <c r="G285" s="2034">
        <v>206</v>
      </c>
      <c r="H285" s="1641"/>
      <c r="I285" s="2046">
        <v>2218.4140000000002</v>
      </c>
      <c r="J285" s="1654">
        <v>34</v>
      </c>
      <c r="K285" s="1641"/>
      <c r="L285" s="1657">
        <v>75426.080000000002</v>
      </c>
      <c r="M285" s="1641"/>
      <c r="N285" s="1681"/>
      <c r="EW285" s="2031"/>
      <c r="EX285" s="1619"/>
      <c r="EY285" s="1628"/>
      <c r="EZ285" s="1628"/>
      <c r="FA285" s="1628"/>
      <c r="FD285" s="1864" t="s">
        <v>8939</v>
      </c>
      <c r="FH285" s="1628"/>
    </row>
    <row r="286" spans="1:176" s="1484" customFormat="1" ht="15" x14ac:dyDescent="0.25">
      <c r="A286" s="2032"/>
      <c r="B286" s="1631" t="s">
        <v>190</v>
      </c>
      <c r="C286" s="2805" t="s">
        <v>2523</v>
      </c>
      <c r="D286" s="2805"/>
      <c r="E286" s="2805"/>
      <c r="F286" s="1683"/>
      <c r="G286" s="1641"/>
      <c r="H286" s="1641"/>
      <c r="I286" s="1641"/>
      <c r="J286" s="1654">
        <v>838.52</v>
      </c>
      <c r="K286" s="1655">
        <v>1.25</v>
      </c>
      <c r="L286" s="1657">
        <v>11287.53</v>
      </c>
      <c r="M286" s="1655">
        <v>35.75</v>
      </c>
      <c r="N286" s="1679">
        <v>403529.2</v>
      </c>
      <c r="EW286" s="2031"/>
      <c r="EX286" s="1619"/>
      <c r="EY286" s="1628"/>
      <c r="EZ286" s="1628"/>
      <c r="FA286" s="1628"/>
      <c r="FE286" s="1864" t="s">
        <v>2523</v>
      </c>
      <c r="FH286" s="1628"/>
    </row>
    <row r="287" spans="1:176" s="1484" customFormat="1" ht="15" x14ac:dyDescent="0.25">
      <c r="A287" s="2032"/>
      <c r="B287" s="1631" t="s">
        <v>639</v>
      </c>
      <c r="C287" s="2805" t="s">
        <v>697</v>
      </c>
      <c r="D287" s="2805"/>
      <c r="E287" s="2805"/>
      <c r="F287" s="1683"/>
      <c r="G287" s="1641"/>
      <c r="H287" s="1641"/>
      <c r="I287" s="1641"/>
      <c r="J287" s="1654">
        <v>16.43</v>
      </c>
      <c r="K287" s="1641"/>
      <c r="L287" s="1654">
        <v>176.93</v>
      </c>
      <c r="M287" s="1655">
        <v>11.97</v>
      </c>
      <c r="N287" s="1679">
        <v>2117.85</v>
      </c>
      <c r="EW287" s="2031"/>
      <c r="EX287" s="1619"/>
      <c r="EY287" s="1628"/>
      <c r="EZ287" s="1628"/>
      <c r="FA287" s="1628"/>
      <c r="FE287" s="1864" t="s">
        <v>697</v>
      </c>
      <c r="FH287" s="1628"/>
    </row>
    <row r="288" spans="1:176" s="1484" customFormat="1" ht="15" x14ac:dyDescent="0.25">
      <c r="A288" s="2032"/>
      <c r="B288" s="1631" t="s">
        <v>640</v>
      </c>
      <c r="C288" s="2805" t="s">
        <v>2500</v>
      </c>
      <c r="D288" s="2805"/>
      <c r="E288" s="2805"/>
      <c r="F288" s="1683"/>
      <c r="G288" s="1641"/>
      <c r="H288" s="1641"/>
      <c r="I288" s="1641"/>
      <c r="J288" s="1654">
        <v>2.9</v>
      </c>
      <c r="K288" s="1641"/>
      <c r="L288" s="1654">
        <v>31.23</v>
      </c>
      <c r="M288" s="1655">
        <v>35.75</v>
      </c>
      <c r="N288" s="1679">
        <v>1116.47</v>
      </c>
      <c r="EW288" s="2031"/>
      <c r="EX288" s="1619"/>
      <c r="EY288" s="1628"/>
      <c r="EZ288" s="1628"/>
      <c r="FA288" s="1628"/>
      <c r="FE288" s="1864" t="s">
        <v>2500</v>
      </c>
      <c r="FH288" s="1628"/>
    </row>
    <row r="289" spans="1:176" s="1484" customFormat="1" ht="15" x14ac:dyDescent="0.25">
      <c r="A289" s="2032"/>
      <c r="B289" s="1631" t="s">
        <v>232</v>
      </c>
      <c r="C289" s="2805" t="s">
        <v>829</v>
      </c>
      <c r="D289" s="2805"/>
      <c r="E289" s="2805"/>
      <c r="F289" s="1683"/>
      <c r="G289" s="1641"/>
      <c r="H289" s="1641"/>
      <c r="I289" s="1641"/>
      <c r="J289" s="1657">
        <v>7835.38</v>
      </c>
      <c r="K289" s="1641"/>
      <c r="L289" s="1657">
        <v>84379.21</v>
      </c>
      <c r="M289" s="1655">
        <v>9.14</v>
      </c>
      <c r="N289" s="1679">
        <v>771225.98</v>
      </c>
      <c r="EW289" s="2031"/>
      <c r="EX289" s="1619"/>
      <c r="EY289" s="1628"/>
      <c r="EZ289" s="1628"/>
      <c r="FA289" s="1628"/>
      <c r="FE289" s="1864" t="s">
        <v>829</v>
      </c>
      <c r="FH289" s="1628"/>
    </row>
    <row r="290" spans="1:176" s="1484" customFormat="1" ht="15" x14ac:dyDescent="0.25">
      <c r="A290" s="2033"/>
      <c r="B290" s="1631"/>
      <c r="C290" s="2805" t="s">
        <v>2524</v>
      </c>
      <c r="D290" s="2805"/>
      <c r="E290" s="2805"/>
      <c r="F290" s="1683" t="s">
        <v>807</v>
      </c>
      <c r="G290" s="1655">
        <v>95.94</v>
      </c>
      <c r="H290" s="1641"/>
      <c r="I290" s="2042">
        <v>1033.17786</v>
      </c>
      <c r="J290" s="1640"/>
      <c r="K290" s="1641"/>
      <c r="L290" s="1640"/>
      <c r="M290" s="1641"/>
      <c r="N290" s="1681"/>
      <c r="EW290" s="2031"/>
      <c r="EX290" s="1619"/>
      <c r="EY290" s="1628"/>
      <c r="EZ290" s="1628"/>
      <c r="FA290" s="1628"/>
      <c r="FF290" s="1864" t="s">
        <v>2524</v>
      </c>
      <c r="FH290" s="1628"/>
    </row>
    <row r="291" spans="1:176" s="1484" customFormat="1" ht="15" x14ac:dyDescent="0.25">
      <c r="A291" s="2033"/>
      <c r="B291" s="1631"/>
      <c r="C291" s="2805" t="s">
        <v>2501</v>
      </c>
      <c r="D291" s="2805"/>
      <c r="E291" s="2805"/>
      <c r="F291" s="1683" t="s">
        <v>807</v>
      </c>
      <c r="G291" s="1655">
        <v>0.25</v>
      </c>
      <c r="H291" s="1641"/>
      <c r="I291" s="2042">
        <v>2.69225</v>
      </c>
      <c r="J291" s="1640"/>
      <c r="K291" s="1641"/>
      <c r="L291" s="1640"/>
      <c r="M291" s="1641"/>
      <c r="N291" s="1681"/>
      <c r="EW291" s="2031"/>
      <c r="EX291" s="1619"/>
      <c r="EY291" s="1628"/>
      <c r="EZ291" s="1628"/>
      <c r="FA291" s="1628"/>
      <c r="FF291" s="1864" t="s">
        <v>2501</v>
      </c>
      <c r="FH291" s="1628"/>
    </row>
    <row r="292" spans="1:176" s="1484" customFormat="1" ht="15" x14ac:dyDescent="0.25">
      <c r="A292" s="2032"/>
      <c r="B292" s="1631"/>
      <c r="C292" s="2917" t="s">
        <v>2502</v>
      </c>
      <c r="D292" s="2917"/>
      <c r="E292" s="2917"/>
      <c r="F292" s="2036"/>
      <c r="G292" s="2037"/>
      <c r="H292" s="2037"/>
      <c r="I292" s="2037"/>
      <c r="J292" s="2038">
        <v>8690.33</v>
      </c>
      <c r="K292" s="2037"/>
      <c r="L292" s="2038">
        <v>95843.67</v>
      </c>
      <c r="M292" s="2037"/>
      <c r="N292" s="2068">
        <v>1176873.03</v>
      </c>
      <c r="EW292" s="2031"/>
      <c r="EX292" s="1619"/>
      <c r="EY292" s="1628"/>
      <c r="EZ292" s="1628"/>
      <c r="FA292" s="1628"/>
      <c r="FG292" s="1864" t="s">
        <v>2502</v>
      </c>
      <c r="FH292" s="1628"/>
    </row>
    <row r="293" spans="1:176" s="1484" customFormat="1" ht="15" x14ac:dyDescent="0.25">
      <c r="A293" s="2033" t="s">
        <v>8016</v>
      </c>
      <c r="B293" s="1631"/>
      <c r="C293" s="2805" t="s">
        <v>7964</v>
      </c>
      <c r="D293" s="2805"/>
      <c r="E293" s="2805"/>
      <c r="F293" s="1683" t="s">
        <v>5928</v>
      </c>
      <c r="G293" s="1641"/>
      <c r="H293" s="1641"/>
      <c r="I293" s="1641"/>
      <c r="J293" s="1640"/>
      <c r="K293" s="1641"/>
      <c r="L293" s="1654">
        <v>7.81</v>
      </c>
      <c r="M293" s="1641"/>
      <c r="N293" s="2039">
        <v>279.20999999999998</v>
      </c>
      <c r="EW293" s="2031"/>
      <c r="EX293" s="1619"/>
      <c r="EY293" s="1628"/>
      <c r="EZ293" s="1628"/>
      <c r="FA293" s="1628"/>
      <c r="FF293" s="1864" t="s">
        <v>7964</v>
      </c>
      <c r="FH293" s="1628"/>
    </row>
    <row r="294" spans="1:176" s="1484" customFormat="1" ht="15" x14ac:dyDescent="0.25">
      <c r="A294" s="2033"/>
      <c r="B294" s="1631"/>
      <c r="C294" s="2805" t="s">
        <v>7965</v>
      </c>
      <c r="D294" s="2805"/>
      <c r="E294" s="2805"/>
      <c r="F294" s="1683" t="s">
        <v>5928</v>
      </c>
      <c r="G294" s="1641"/>
      <c r="H294" s="1641"/>
      <c r="I294" s="1641"/>
      <c r="J294" s="1654">
        <v>2.9</v>
      </c>
      <c r="K294" s="1655">
        <v>0.25</v>
      </c>
      <c r="L294" s="1654">
        <v>7.81</v>
      </c>
      <c r="M294" s="1655">
        <v>35.75</v>
      </c>
      <c r="N294" s="2039">
        <v>279.20999999999998</v>
      </c>
      <c r="EW294" s="2031"/>
      <c r="EX294" s="1619"/>
      <c r="EY294" s="1628"/>
      <c r="EZ294" s="1628"/>
      <c r="FA294" s="1628"/>
      <c r="FF294" s="1864" t="s">
        <v>7965</v>
      </c>
      <c r="FH294" s="1628"/>
    </row>
    <row r="295" spans="1:176" s="1484" customFormat="1" ht="15" x14ac:dyDescent="0.25">
      <c r="A295" s="2033"/>
      <c r="B295" s="1631"/>
      <c r="C295" s="2805" t="s">
        <v>867</v>
      </c>
      <c r="D295" s="2805"/>
      <c r="E295" s="2805"/>
      <c r="F295" s="1683"/>
      <c r="G295" s="1641"/>
      <c r="H295" s="1641"/>
      <c r="I295" s="1641"/>
      <c r="J295" s="1640"/>
      <c r="K295" s="1641"/>
      <c r="L295" s="1657">
        <v>11326.57</v>
      </c>
      <c r="M295" s="1641"/>
      <c r="N295" s="1679">
        <v>404924.88</v>
      </c>
      <c r="EW295" s="2031"/>
      <c r="EX295" s="1619"/>
      <c r="EY295" s="1628"/>
      <c r="EZ295" s="1628"/>
      <c r="FA295" s="1628"/>
      <c r="FF295" s="1864" t="s">
        <v>867</v>
      </c>
      <c r="FH295" s="1628"/>
    </row>
    <row r="296" spans="1:176" s="1484" customFormat="1" ht="15" x14ac:dyDescent="0.25">
      <c r="A296" s="2033"/>
      <c r="B296" s="1631" t="s">
        <v>7983</v>
      </c>
      <c r="C296" s="2805" t="s">
        <v>7984</v>
      </c>
      <c r="D296" s="2805"/>
      <c r="E296" s="2805"/>
      <c r="F296" s="1683" t="s">
        <v>636</v>
      </c>
      <c r="G296" s="2034">
        <v>97</v>
      </c>
      <c r="H296" s="1641"/>
      <c r="I296" s="2034">
        <v>97</v>
      </c>
      <c r="J296" s="1640"/>
      <c r="K296" s="1641"/>
      <c r="L296" s="1657">
        <v>10986.77</v>
      </c>
      <c r="M296" s="1641"/>
      <c r="N296" s="1679">
        <v>392777.13</v>
      </c>
      <c r="EW296" s="2031"/>
      <c r="EX296" s="1619"/>
      <c r="EY296" s="1628"/>
      <c r="EZ296" s="1628"/>
      <c r="FA296" s="1628"/>
      <c r="FF296" s="1864" t="s">
        <v>7984</v>
      </c>
      <c r="FH296" s="1628"/>
    </row>
    <row r="297" spans="1:176" s="1484" customFormat="1" ht="15" x14ac:dyDescent="0.25">
      <c r="A297" s="2033"/>
      <c r="B297" s="1631" t="s">
        <v>7985</v>
      </c>
      <c r="C297" s="2805" t="s">
        <v>7986</v>
      </c>
      <c r="D297" s="2805"/>
      <c r="E297" s="2805"/>
      <c r="F297" s="1683" t="s">
        <v>636</v>
      </c>
      <c r="G297" s="2034">
        <v>55</v>
      </c>
      <c r="H297" s="1641"/>
      <c r="I297" s="2034">
        <v>55</v>
      </c>
      <c r="J297" s="1640"/>
      <c r="K297" s="1641"/>
      <c r="L297" s="1657">
        <v>6229.61</v>
      </c>
      <c r="M297" s="1641"/>
      <c r="N297" s="1679">
        <v>222708.68</v>
      </c>
      <c r="EW297" s="2031"/>
      <c r="EX297" s="1619"/>
      <c r="EY297" s="1628"/>
      <c r="EZ297" s="1628"/>
      <c r="FA297" s="1628"/>
      <c r="FF297" s="1864" t="s">
        <v>7986</v>
      </c>
      <c r="FH297" s="1628"/>
    </row>
    <row r="298" spans="1:176" s="1484" customFormat="1" ht="15" x14ac:dyDescent="0.25">
      <c r="A298" s="1650"/>
      <c r="B298" s="1651"/>
      <c r="C298" s="2803" t="s">
        <v>872</v>
      </c>
      <c r="D298" s="2803"/>
      <c r="E298" s="2803"/>
      <c r="F298" s="1621"/>
      <c r="G298" s="1622"/>
      <c r="H298" s="1622"/>
      <c r="I298" s="1622"/>
      <c r="J298" s="1625"/>
      <c r="K298" s="1622"/>
      <c r="L298" s="1648">
        <v>113067.86</v>
      </c>
      <c r="M298" s="2037"/>
      <c r="N298" s="1649">
        <v>1792638.05</v>
      </c>
      <c r="EW298" s="2031"/>
      <c r="EX298" s="1619"/>
      <c r="EY298" s="1628"/>
      <c r="EZ298" s="1628"/>
      <c r="FA298" s="1628"/>
      <c r="FH298" s="1628" t="s">
        <v>872</v>
      </c>
    </row>
    <row r="299" spans="1:176" s="1484" customFormat="1" ht="22.5" x14ac:dyDescent="0.25">
      <c r="A299" s="1620" t="s">
        <v>8017</v>
      </c>
      <c r="B299" s="1863" t="s">
        <v>7999</v>
      </c>
      <c r="C299" s="2803" t="s">
        <v>8000</v>
      </c>
      <c r="D299" s="2803"/>
      <c r="E299" s="2803"/>
      <c r="F299" s="1621" t="s">
        <v>4886</v>
      </c>
      <c r="G299" s="1622">
        <v>123.84350000000001</v>
      </c>
      <c r="H299" s="1623">
        <v>1</v>
      </c>
      <c r="I299" s="2041">
        <v>123.84350000000001</v>
      </c>
      <c r="J299" s="2040">
        <v>253</v>
      </c>
      <c r="K299" s="1622"/>
      <c r="L299" s="1648">
        <v>31332.41</v>
      </c>
      <c r="M299" s="1687">
        <v>9.14</v>
      </c>
      <c r="N299" s="1649">
        <v>286378.23</v>
      </c>
      <c r="EW299" s="2031"/>
      <c r="EX299" s="1619"/>
      <c r="EY299" s="1628" t="s">
        <v>8000</v>
      </c>
      <c r="EZ299" s="1628" t="s">
        <v>588</v>
      </c>
      <c r="FA299" s="1628" t="s">
        <v>588</v>
      </c>
      <c r="FH299" s="1628"/>
    </row>
    <row r="300" spans="1:176" s="1484" customFormat="1" ht="15" x14ac:dyDescent="0.25">
      <c r="A300" s="1650"/>
      <c r="B300" s="1651"/>
      <c r="C300" s="2805" t="s">
        <v>8933</v>
      </c>
      <c r="D300" s="2805"/>
      <c r="E300" s="2805"/>
      <c r="F300" s="2805"/>
      <c r="G300" s="2805"/>
      <c r="H300" s="2805"/>
      <c r="I300" s="2805"/>
      <c r="J300" s="2805"/>
      <c r="K300" s="2805"/>
      <c r="L300" s="2805"/>
      <c r="M300" s="2805"/>
      <c r="N300" s="2806"/>
      <c r="EW300" s="2031"/>
      <c r="EX300" s="1619"/>
      <c r="EY300" s="1628"/>
      <c r="EZ300" s="1628"/>
      <c r="FA300" s="1628"/>
      <c r="FH300" s="1628"/>
      <c r="FI300" s="1864" t="s">
        <v>8933</v>
      </c>
      <c r="FJ300" s="1864" t="s">
        <v>588</v>
      </c>
      <c r="FK300" s="1864" t="s">
        <v>588</v>
      </c>
      <c r="FL300" s="1864" t="s">
        <v>588</v>
      </c>
      <c r="FM300" s="1864" t="s">
        <v>588</v>
      </c>
      <c r="FN300" s="1864" t="s">
        <v>588</v>
      </c>
      <c r="FO300" s="1864" t="s">
        <v>588</v>
      </c>
      <c r="FP300" s="1864" t="s">
        <v>588</v>
      </c>
      <c r="FQ300" s="1864" t="s">
        <v>588</v>
      </c>
      <c r="FR300" s="1864" t="s">
        <v>588</v>
      </c>
      <c r="FS300" s="1864" t="s">
        <v>588</v>
      </c>
      <c r="FT300" s="1864" t="s">
        <v>588</v>
      </c>
    </row>
    <row r="301" spans="1:176" s="1484" customFormat="1" ht="15" x14ac:dyDescent="0.25">
      <c r="A301" s="1629"/>
      <c r="B301" s="1862"/>
      <c r="C301" s="2805" t="s">
        <v>8938</v>
      </c>
      <c r="D301" s="2805"/>
      <c r="E301" s="2805"/>
      <c r="F301" s="2805"/>
      <c r="G301" s="2805"/>
      <c r="H301" s="2805"/>
      <c r="I301" s="2805"/>
      <c r="J301" s="2805"/>
      <c r="K301" s="2805"/>
      <c r="L301" s="2805"/>
      <c r="M301" s="2805"/>
      <c r="N301" s="2806"/>
      <c r="EW301" s="2031"/>
      <c r="EX301" s="1619"/>
      <c r="EY301" s="1628"/>
      <c r="EZ301" s="1628"/>
      <c r="FA301" s="1628"/>
      <c r="FB301" s="1864" t="s">
        <v>8938</v>
      </c>
      <c r="FH301" s="1628"/>
    </row>
    <row r="302" spans="1:176" s="1484" customFormat="1" ht="15" x14ac:dyDescent="0.25">
      <c r="A302" s="1650"/>
      <c r="B302" s="1651"/>
      <c r="C302" s="2803" t="s">
        <v>872</v>
      </c>
      <c r="D302" s="2803"/>
      <c r="E302" s="2803"/>
      <c r="F302" s="1621"/>
      <c r="G302" s="1622"/>
      <c r="H302" s="1622"/>
      <c r="I302" s="1622"/>
      <c r="J302" s="1625"/>
      <c r="K302" s="1622"/>
      <c r="L302" s="1648">
        <v>31332.41</v>
      </c>
      <c r="M302" s="2037"/>
      <c r="N302" s="1649">
        <v>286378.23</v>
      </c>
      <c r="EW302" s="2031"/>
      <c r="EX302" s="1619"/>
      <c r="EY302" s="1628"/>
      <c r="EZ302" s="1628"/>
      <c r="FA302" s="1628"/>
      <c r="FH302" s="1628" t="s">
        <v>872</v>
      </c>
    </row>
    <row r="303" spans="1:176" s="1484" customFormat="1" ht="45" x14ac:dyDescent="0.25">
      <c r="A303" s="1620" t="s">
        <v>8018</v>
      </c>
      <c r="B303" s="1863" t="s">
        <v>7980</v>
      </c>
      <c r="C303" s="2803" t="s">
        <v>7981</v>
      </c>
      <c r="D303" s="2803"/>
      <c r="E303" s="2803"/>
      <c r="F303" s="1621" t="s">
        <v>2555</v>
      </c>
      <c r="G303" s="1622">
        <v>10.769</v>
      </c>
      <c r="H303" s="1623">
        <v>1</v>
      </c>
      <c r="I303" s="2045">
        <v>10.769</v>
      </c>
      <c r="J303" s="1625"/>
      <c r="K303" s="1622"/>
      <c r="L303" s="1625"/>
      <c r="M303" s="1622"/>
      <c r="N303" s="1627"/>
      <c r="EW303" s="2031"/>
      <c r="EX303" s="1619"/>
      <c r="EY303" s="1628" t="s">
        <v>7981</v>
      </c>
      <c r="EZ303" s="1628" t="s">
        <v>588</v>
      </c>
      <c r="FA303" s="1628" t="s">
        <v>588</v>
      </c>
      <c r="FH303" s="1628"/>
    </row>
    <row r="304" spans="1:176" s="1484" customFormat="1" ht="15" x14ac:dyDescent="0.25">
      <c r="A304" s="1629"/>
      <c r="B304" s="1862"/>
      <c r="C304" s="2805" t="s">
        <v>8937</v>
      </c>
      <c r="D304" s="2805"/>
      <c r="E304" s="2805"/>
      <c r="F304" s="2805"/>
      <c r="G304" s="2805"/>
      <c r="H304" s="2805"/>
      <c r="I304" s="2805"/>
      <c r="J304" s="2805"/>
      <c r="K304" s="2805"/>
      <c r="L304" s="2805"/>
      <c r="M304" s="2805"/>
      <c r="N304" s="2806"/>
      <c r="EW304" s="2031"/>
      <c r="EX304" s="1619"/>
      <c r="EY304" s="1628"/>
      <c r="EZ304" s="1628"/>
      <c r="FA304" s="1628"/>
      <c r="FB304" s="1864" t="s">
        <v>8937</v>
      </c>
      <c r="FH304" s="1628"/>
    </row>
    <row r="305" spans="1:164" s="1484" customFormat="1" ht="22.5" x14ac:dyDescent="0.25">
      <c r="A305" s="1630"/>
      <c r="B305" s="1631" t="s">
        <v>6062</v>
      </c>
      <c r="C305" s="2809" t="s">
        <v>6063</v>
      </c>
      <c r="D305" s="2809"/>
      <c r="E305" s="2809"/>
      <c r="F305" s="2809"/>
      <c r="G305" s="2809"/>
      <c r="H305" s="2809"/>
      <c r="I305" s="2809"/>
      <c r="J305" s="2809"/>
      <c r="K305" s="2809"/>
      <c r="L305" s="2809"/>
      <c r="M305" s="2809"/>
      <c r="N305" s="2810"/>
      <c r="EW305" s="2031"/>
      <c r="EX305" s="1619"/>
      <c r="EY305" s="1628"/>
      <c r="EZ305" s="1628"/>
      <c r="FA305" s="1628"/>
      <c r="FC305" s="1864" t="s">
        <v>6063</v>
      </c>
      <c r="FH305" s="1628"/>
    </row>
    <row r="306" spans="1:164" s="1484" customFormat="1" ht="22.5" x14ac:dyDescent="0.25">
      <c r="A306" s="2033"/>
      <c r="B306" s="1631" t="s">
        <v>8936</v>
      </c>
      <c r="C306" s="2805" t="s">
        <v>8935</v>
      </c>
      <c r="D306" s="2805"/>
      <c r="E306" s="2805"/>
      <c r="F306" s="1683" t="s">
        <v>807</v>
      </c>
      <c r="G306" s="1655">
        <v>16.059999999999999</v>
      </c>
      <c r="H306" s="1641"/>
      <c r="I306" s="2042">
        <v>172.95014</v>
      </c>
      <c r="J306" s="1654">
        <v>8.24</v>
      </c>
      <c r="K306" s="1655">
        <v>1.25</v>
      </c>
      <c r="L306" s="1657">
        <v>1781.39</v>
      </c>
      <c r="M306" s="1641"/>
      <c r="N306" s="1681"/>
      <c r="EW306" s="2031"/>
      <c r="EX306" s="1619"/>
      <c r="EY306" s="1628"/>
      <c r="EZ306" s="1628"/>
      <c r="FA306" s="1628"/>
      <c r="FD306" s="1864" t="s">
        <v>8935</v>
      </c>
      <c r="FH306" s="1628"/>
    </row>
    <row r="307" spans="1:164" s="1484" customFormat="1" ht="15" x14ac:dyDescent="0.25">
      <c r="A307" s="2033"/>
      <c r="B307" s="1631" t="s">
        <v>5000</v>
      </c>
      <c r="C307" s="2805" t="s">
        <v>5001</v>
      </c>
      <c r="D307" s="2805"/>
      <c r="E307" s="2805"/>
      <c r="F307" s="1683" t="s">
        <v>4994</v>
      </c>
      <c r="G307" s="1655">
        <v>0.03</v>
      </c>
      <c r="H307" s="1641"/>
      <c r="I307" s="2042">
        <v>0.32307000000000002</v>
      </c>
      <c r="J307" s="1654">
        <v>83.43</v>
      </c>
      <c r="K307" s="1641"/>
      <c r="L307" s="1654">
        <v>26.95</v>
      </c>
      <c r="M307" s="1641"/>
      <c r="N307" s="1681"/>
      <c r="EW307" s="2031"/>
      <c r="EX307" s="1619"/>
      <c r="EY307" s="1628"/>
      <c r="EZ307" s="1628"/>
      <c r="FA307" s="1628"/>
      <c r="FD307" s="1864" t="s">
        <v>5001</v>
      </c>
      <c r="FH307" s="1628"/>
    </row>
    <row r="308" spans="1:164" s="1484" customFormat="1" ht="15" x14ac:dyDescent="0.25">
      <c r="A308" s="2033"/>
      <c r="B308" s="1631" t="s">
        <v>821</v>
      </c>
      <c r="C308" s="2805" t="s">
        <v>822</v>
      </c>
      <c r="D308" s="2805"/>
      <c r="E308" s="2805"/>
      <c r="F308" s="1683" t="s">
        <v>4994</v>
      </c>
      <c r="G308" s="1655">
        <v>0.05</v>
      </c>
      <c r="H308" s="1641"/>
      <c r="I308" s="2042">
        <v>0.53844999999999998</v>
      </c>
      <c r="J308" s="1654">
        <v>65.709999999999994</v>
      </c>
      <c r="K308" s="1641"/>
      <c r="L308" s="1654">
        <v>35.380000000000003</v>
      </c>
      <c r="M308" s="1641"/>
      <c r="N308" s="1681"/>
      <c r="EW308" s="2031"/>
      <c r="EX308" s="1619"/>
      <c r="EY308" s="1628"/>
      <c r="EZ308" s="1628"/>
      <c r="FA308" s="1628"/>
      <c r="FD308" s="1864" t="s">
        <v>822</v>
      </c>
      <c r="FH308" s="1628"/>
    </row>
    <row r="309" spans="1:164" s="1484" customFormat="1" ht="15" x14ac:dyDescent="0.25">
      <c r="A309" s="2033"/>
      <c r="B309" s="1631" t="s">
        <v>1755</v>
      </c>
      <c r="C309" s="2805" t="s">
        <v>2634</v>
      </c>
      <c r="D309" s="2805"/>
      <c r="E309" s="2805"/>
      <c r="F309" s="1683" t="s">
        <v>832</v>
      </c>
      <c r="G309" s="1655">
        <v>0.12</v>
      </c>
      <c r="H309" s="1641"/>
      <c r="I309" s="2042">
        <v>1.2922800000000001</v>
      </c>
      <c r="J309" s="1654">
        <v>2.44</v>
      </c>
      <c r="K309" s="1641"/>
      <c r="L309" s="1654">
        <v>3.15</v>
      </c>
      <c r="M309" s="1641"/>
      <c r="N309" s="1681"/>
      <c r="EW309" s="2031"/>
      <c r="EX309" s="1619"/>
      <c r="EY309" s="1628"/>
      <c r="EZ309" s="1628"/>
      <c r="FA309" s="1628"/>
      <c r="FD309" s="1864" t="s">
        <v>2634</v>
      </c>
      <c r="FH309" s="1628"/>
    </row>
    <row r="310" spans="1:164" s="1484" customFormat="1" ht="15" x14ac:dyDescent="0.25">
      <c r="A310" s="2033"/>
      <c r="B310" s="1631" t="s">
        <v>4973</v>
      </c>
      <c r="C310" s="2805" t="s">
        <v>4974</v>
      </c>
      <c r="D310" s="2805"/>
      <c r="E310" s="2805"/>
      <c r="F310" s="1683" t="s">
        <v>835</v>
      </c>
      <c r="G310" s="2034">
        <v>409</v>
      </c>
      <c r="H310" s="1641"/>
      <c r="I310" s="2046">
        <v>4404.5209999999997</v>
      </c>
      <c r="J310" s="1654">
        <v>6.2</v>
      </c>
      <c r="K310" s="1641"/>
      <c r="L310" s="1657">
        <v>27308.03</v>
      </c>
      <c r="M310" s="1641"/>
      <c r="N310" s="1681"/>
      <c r="EW310" s="2031"/>
      <c r="EX310" s="1619"/>
      <c r="EY310" s="1628"/>
      <c r="EZ310" s="1628"/>
      <c r="FA310" s="1628"/>
      <c r="FD310" s="1864" t="s">
        <v>4974</v>
      </c>
      <c r="FH310" s="1628"/>
    </row>
    <row r="311" spans="1:164" s="1484" customFormat="1" ht="15" x14ac:dyDescent="0.25">
      <c r="A311" s="2032"/>
      <c r="B311" s="1631" t="s">
        <v>190</v>
      </c>
      <c r="C311" s="2805" t="s">
        <v>2523</v>
      </c>
      <c r="D311" s="2805"/>
      <c r="E311" s="2805"/>
      <c r="F311" s="1683"/>
      <c r="G311" s="1641"/>
      <c r="H311" s="1641"/>
      <c r="I311" s="1641"/>
      <c r="J311" s="1654">
        <v>132.33000000000001</v>
      </c>
      <c r="K311" s="1655">
        <v>1.25</v>
      </c>
      <c r="L311" s="1657">
        <v>1781.33</v>
      </c>
      <c r="M311" s="1655">
        <v>35.75</v>
      </c>
      <c r="N311" s="1679">
        <v>63682.55</v>
      </c>
      <c r="EW311" s="2031"/>
      <c r="EX311" s="1619"/>
      <c r="EY311" s="1628"/>
      <c r="EZ311" s="1628"/>
      <c r="FA311" s="1628"/>
      <c r="FE311" s="1864" t="s">
        <v>2523</v>
      </c>
      <c r="FH311" s="1628"/>
    </row>
    <row r="312" spans="1:164" s="1484" customFormat="1" ht="15" x14ac:dyDescent="0.25">
      <c r="A312" s="2032"/>
      <c r="B312" s="1631" t="s">
        <v>639</v>
      </c>
      <c r="C312" s="2805" t="s">
        <v>697</v>
      </c>
      <c r="D312" s="2805"/>
      <c r="E312" s="2805"/>
      <c r="F312" s="1683"/>
      <c r="G312" s="1641"/>
      <c r="H312" s="1641"/>
      <c r="I312" s="1641"/>
      <c r="J312" s="1654">
        <v>5.79</v>
      </c>
      <c r="K312" s="1641"/>
      <c r="L312" s="1654">
        <v>62.35</v>
      </c>
      <c r="M312" s="1655">
        <v>11.97</v>
      </c>
      <c r="N312" s="2039">
        <v>746.33</v>
      </c>
      <c r="EW312" s="2031"/>
      <c r="EX312" s="1619"/>
      <c r="EY312" s="1628"/>
      <c r="EZ312" s="1628"/>
      <c r="FA312" s="1628"/>
      <c r="FE312" s="1864" t="s">
        <v>697</v>
      </c>
      <c r="FH312" s="1628"/>
    </row>
    <row r="313" spans="1:164" s="1484" customFormat="1" ht="15" x14ac:dyDescent="0.25">
      <c r="A313" s="2032"/>
      <c r="B313" s="1631" t="s">
        <v>640</v>
      </c>
      <c r="C313" s="2805" t="s">
        <v>2500</v>
      </c>
      <c r="D313" s="2805"/>
      <c r="E313" s="2805"/>
      <c r="F313" s="1683"/>
      <c r="G313" s="1641"/>
      <c r="H313" s="1641"/>
      <c r="I313" s="1641"/>
      <c r="J313" s="1654">
        <v>0.99</v>
      </c>
      <c r="K313" s="1641"/>
      <c r="L313" s="1654">
        <v>10.66</v>
      </c>
      <c r="M313" s="1655">
        <v>35.75</v>
      </c>
      <c r="N313" s="2039">
        <v>381.1</v>
      </c>
      <c r="EW313" s="2031"/>
      <c r="EX313" s="1619"/>
      <c r="EY313" s="1628"/>
      <c r="EZ313" s="1628"/>
      <c r="FA313" s="1628"/>
      <c r="FE313" s="1864" t="s">
        <v>2500</v>
      </c>
      <c r="FH313" s="1628"/>
    </row>
    <row r="314" spans="1:164" s="1484" customFormat="1" ht="15" x14ac:dyDescent="0.25">
      <c r="A314" s="2032"/>
      <c r="B314" s="1631" t="s">
        <v>232</v>
      </c>
      <c r="C314" s="2805" t="s">
        <v>829</v>
      </c>
      <c r="D314" s="2805"/>
      <c r="E314" s="2805"/>
      <c r="F314" s="1683"/>
      <c r="G314" s="1641"/>
      <c r="H314" s="1641"/>
      <c r="I314" s="1641"/>
      <c r="J314" s="1657">
        <v>2536.09</v>
      </c>
      <c r="K314" s="1641"/>
      <c r="L314" s="1657">
        <v>27311.15</v>
      </c>
      <c r="M314" s="1655">
        <v>9.14</v>
      </c>
      <c r="N314" s="1679">
        <v>249623.91</v>
      </c>
      <c r="EW314" s="2031"/>
      <c r="EX314" s="1619"/>
      <c r="EY314" s="1628"/>
      <c r="EZ314" s="1628"/>
      <c r="FA314" s="1628"/>
      <c r="FE314" s="1864" t="s">
        <v>829</v>
      </c>
      <c r="FH314" s="1628"/>
    </row>
    <row r="315" spans="1:164" s="1484" customFormat="1" ht="15" x14ac:dyDescent="0.25">
      <c r="A315" s="2033"/>
      <c r="B315" s="1631"/>
      <c r="C315" s="2805" t="s">
        <v>2524</v>
      </c>
      <c r="D315" s="2805"/>
      <c r="E315" s="2805"/>
      <c r="F315" s="1683" t="s">
        <v>807</v>
      </c>
      <c r="G315" s="1655">
        <v>16.059999999999999</v>
      </c>
      <c r="H315" s="1641"/>
      <c r="I315" s="2042">
        <v>172.95014</v>
      </c>
      <c r="J315" s="1640"/>
      <c r="K315" s="1641"/>
      <c r="L315" s="1640"/>
      <c r="M315" s="1641"/>
      <c r="N315" s="1681"/>
      <c r="EW315" s="2031"/>
      <c r="EX315" s="1619"/>
      <c r="EY315" s="1628"/>
      <c r="EZ315" s="1628"/>
      <c r="FA315" s="1628"/>
      <c r="FF315" s="1864" t="s">
        <v>2524</v>
      </c>
      <c r="FH315" s="1628"/>
    </row>
    <row r="316" spans="1:164" s="1484" customFormat="1" ht="15" x14ac:dyDescent="0.25">
      <c r="A316" s="2033"/>
      <c r="B316" s="1631"/>
      <c r="C316" s="2805" t="s">
        <v>2501</v>
      </c>
      <c r="D316" s="2805"/>
      <c r="E316" s="2805"/>
      <c r="F316" s="1683" t="s">
        <v>807</v>
      </c>
      <c r="G316" s="1655">
        <v>0.08</v>
      </c>
      <c r="H316" s="1641"/>
      <c r="I316" s="2042">
        <v>0.86151999999999995</v>
      </c>
      <c r="J316" s="1640"/>
      <c r="K316" s="1641"/>
      <c r="L316" s="1640"/>
      <c r="M316" s="1641"/>
      <c r="N316" s="1681"/>
      <c r="EW316" s="2031"/>
      <c r="EX316" s="1619"/>
      <c r="EY316" s="1628"/>
      <c r="EZ316" s="1628"/>
      <c r="FA316" s="1628"/>
      <c r="FF316" s="1864" t="s">
        <v>2501</v>
      </c>
      <c r="FH316" s="1628"/>
    </row>
    <row r="317" spans="1:164" s="1484" customFormat="1" ht="15" x14ac:dyDescent="0.25">
      <c r="A317" s="2032"/>
      <c r="B317" s="1631"/>
      <c r="C317" s="2917" t="s">
        <v>2502</v>
      </c>
      <c r="D317" s="2917"/>
      <c r="E317" s="2917"/>
      <c r="F317" s="2036"/>
      <c r="G317" s="2037"/>
      <c r="H317" s="2037"/>
      <c r="I317" s="2037"/>
      <c r="J317" s="2038">
        <v>2674.21</v>
      </c>
      <c r="K317" s="2037"/>
      <c r="L317" s="2038">
        <v>29154.83</v>
      </c>
      <c r="M317" s="2037"/>
      <c r="N317" s="2068">
        <v>314052.78999999998</v>
      </c>
      <c r="EW317" s="2031"/>
      <c r="EX317" s="1619"/>
      <c r="EY317" s="1628"/>
      <c r="EZ317" s="1628"/>
      <c r="FA317" s="1628"/>
      <c r="FG317" s="1864" t="s">
        <v>2502</v>
      </c>
      <c r="FH317" s="1628"/>
    </row>
    <row r="318" spans="1:164" s="1484" customFormat="1" ht="15" x14ac:dyDescent="0.25">
      <c r="A318" s="2033" t="s">
        <v>8019</v>
      </c>
      <c r="B318" s="1631"/>
      <c r="C318" s="2805" t="s">
        <v>7964</v>
      </c>
      <c r="D318" s="2805"/>
      <c r="E318" s="2805"/>
      <c r="F318" s="1683" t="s">
        <v>5928</v>
      </c>
      <c r="G318" s="1641"/>
      <c r="H318" s="1641"/>
      <c r="I318" s="1641"/>
      <c r="J318" s="1640"/>
      <c r="K318" s="1641"/>
      <c r="L318" s="1654">
        <v>2.67</v>
      </c>
      <c r="M318" s="1641"/>
      <c r="N318" s="2039">
        <v>95.45</v>
      </c>
      <c r="EW318" s="2031"/>
      <c r="EX318" s="1619"/>
      <c r="EY318" s="1628"/>
      <c r="EZ318" s="1628"/>
      <c r="FA318" s="1628"/>
      <c r="FF318" s="1864" t="s">
        <v>7964</v>
      </c>
      <c r="FH318" s="1628"/>
    </row>
    <row r="319" spans="1:164" s="1484" customFormat="1" ht="15" x14ac:dyDescent="0.25">
      <c r="A319" s="2033"/>
      <c r="B319" s="1631"/>
      <c r="C319" s="2805" t="s">
        <v>7965</v>
      </c>
      <c r="D319" s="2805"/>
      <c r="E319" s="2805"/>
      <c r="F319" s="1683" t="s">
        <v>5928</v>
      </c>
      <c r="G319" s="1641"/>
      <c r="H319" s="1641"/>
      <c r="I319" s="1641"/>
      <c r="J319" s="1654">
        <v>0.99</v>
      </c>
      <c r="K319" s="1655">
        <v>0.25</v>
      </c>
      <c r="L319" s="1654">
        <v>2.67</v>
      </c>
      <c r="M319" s="1655">
        <v>35.75</v>
      </c>
      <c r="N319" s="2039">
        <v>95.45</v>
      </c>
      <c r="EW319" s="2031"/>
      <c r="EX319" s="1619"/>
      <c r="EY319" s="1628"/>
      <c r="EZ319" s="1628"/>
      <c r="FA319" s="1628"/>
      <c r="FF319" s="1864" t="s">
        <v>7965</v>
      </c>
      <c r="FH319" s="1628"/>
    </row>
    <row r="320" spans="1:164" s="1484" customFormat="1" ht="15" x14ac:dyDescent="0.25">
      <c r="A320" s="2033"/>
      <c r="B320" s="1631"/>
      <c r="C320" s="2805" t="s">
        <v>867</v>
      </c>
      <c r="D320" s="2805"/>
      <c r="E320" s="2805"/>
      <c r="F320" s="1683"/>
      <c r="G320" s="1641"/>
      <c r="H320" s="1641"/>
      <c r="I320" s="1641"/>
      <c r="J320" s="1640"/>
      <c r="K320" s="1641"/>
      <c r="L320" s="1657">
        <v>1794.66</v>
      </c>
      <c r="M320" s="1641"/>
      <c r="N320" s="1679">
        <v>64159.1</v>
      </c>
      <c r="EW320" s="2031"/>
      <c r="EX320" s="1619"/>
      <c r="EY320" s="1628"/>
      <c r="EZ320" s="1628"/>
      <c r="FA320" s="1628"/>
      <c r="FF320" s="1864" t="s">
        <v>867</v>
      </c>
      <c r="FH320" s="1628"/>
    </row>
    <row r="321" spans="1:176" s="1484" customFormat="1" ht="15" x14ac:dyDescent="0.25">
      <c r="A321" s="2033"/>
      <c r="B321" s="1631" t="s">
        <v>7983</v>
      </c>
      <c r="C321" s="2805" t="s">
        <v>7984</v>
      </c>
      <c r="D321" s="2805"/>
      <c r="E321" s="2805"/>
      <c r="F321" s="1683" t="s">
        <v>636</v>
      </c>
      <c r="G321" s="2034">
        <v>97</v>
      </c>
      <c r="H321" s="1641"/>
      <c r="I321" s="2034">
        <v>97</v>
      </c>
      <c r="J321" s="1640"/>
      <c r="K321" s="1641"/>
      <c r="L321" s="1657">
        <v>1740.82</v>
      </c>
      <c r="M321" s="1641"/>
      <c r="N321" s="1679">
        <v>62234.33</v>
      </c>
      <c r="EW321" s="2031"/>
      <c r="EX321" s="1619"/>
      <c r="EY321" s="1628"/>
      <c r="EZ321" s="1628"/>
      <c r="FA321" s="1628"/>
      <c r="FF321" s="1864" t="s">
        <v>7984</v>
      </c>
      <c r="FH321" s="1628"/>
    </row>
    <row r="322" spans="1:176" s="1484" customFormat="1" ht="15" x14ac:dyDescent="0.25">
      <c r="A322" s="2033"/>
      <c r="B322" s="1631" t="s">
        <v>7985</v>
      </c>
      <c r="C322" s="2805" t="s">
        <v>7986</v>
      </c>
      <c r="D322" s="2805"/>
      <c r="E322" s="2805"/>
      <c r="F322" s="1683" t="s">
        <v>636</v>
      </c>
      <c r="G322" s="2034">
        <v>55</v>
      </c>
      <c r="H322" s="1641"/>
      <c r="I322" s="2034">
        <v>55</v>
      </c>
      <c r="J322" s="1640"/>
      <c r="K322" s="1641"/>
      <c r="L322" s="1654">
        <v>987.06</v>
      </c>
      <c r="M322" s="1641"/>
      <c r="N322" s="1679">
        <v>35287.51</v>
      </c>
      <c r="EW322" s="2031"/>
      <c r="EX322" s="1619"/>
      <c r="EY322" s="1628"/>
      <c r="EZ322" s="1628"/>
      <c r="FA322" s="1628"/>
      <c r="FF322" s="1864" t="s">
        <v>7986</v>
      </c>
      <c r="FH322" s="1628"/>
    </row>
    <row r="323" spans="1:176" s="1484" customFormat="1" ht="15" x14ac:dyDescent="0.25">
      <c r="A323" s="1650"/>
      <c r="B323" s="1651"/>
      <c r="C323" s="2803" t="s">
        <v>872</v>
      </c>
      <c r="D323" s="2803"/>
      <c r="E323" s="2803"/>
      <c r="F323" s="1621"/>
      <c r="G323" s="1622"/>
      <c r="H323" s="1622"/>
      <c r="I323" s="1622"/>
      <c r="J323" s="1625"/>
      <c r="K323" s="1622"/>
      <c r="L323" s="1648">
        <v>31885.38</v>
      </c>
      <c r="M323" s="2037"/>
      <c r="N323" s="1649">
        <v>411670.08</v>
      </c>
      <c r="EW323" s="2031"/>
      <c r="EX323" s="1619"/>
      <c r="EY323" s="1628"/>
      <c r="EZ323" s="1628"/>
      <c r="FA323" s="1628"/>
      <c r="FH323" s="1628" t="s">
        <v>872</v>
      </c>
    </row>
    <row r="324" spans="1:176" s="1484" customFormat="1" ht="33.75" x14ac:dyDescent="0.25">
      <c r="A324" s="1620" t="s">
        <v>917</v>
      </c>
      <c r="B324" s="1863" t="s">
        <v>8934</v>
      </c>
      <c r="C324" s="2803" t="s">
        <v>7987</v>
      </c>
      <c r="D324" s="2803"/>
      <c r="E324" s="2803"/>
      <c r="F324" s="1621" t="s">
        <v>130</v>
      </c>
      <c r="G324" s="1622">
        <v>1076.9000000000001</v>
      </c>
      <c r="H324" s="1623">
        <v>1</v>
      </c>
      <c r="I324" s="1624">
        <v>1076.9000000000001</v>
      </c>
      <c r="J324" s="1648">
        <v>5220.7</v>
      </c>
      <c r="K324" s="1622"/>
      <c r="L324" s="1648">
        <v>615117.27</v>
      </c>
      <c r="M324" s="1687">
        <v>9.14</v>
      </c>
      <c r="N324" s="1649">
        <v>5622171.8300000001</v>
      </c>
      <c r="EW324" s="2031"/>
      <c r="EX324" s="1619"/>
      <c r="EY324" s="1628" t="s">
        <v>7987</v>
      </c>
      <c r="EZ324" s="1628" t="s">
        <v>588</v>
      </c>
      <c r="FA324" s="1628" t="s">
        <v>588</v>
      </c>
      <c r="FH324" s="1628"/>
    </row>
    <row r="325" spans="1:176" s="1484" customFormat="1" ht="15" x14ac:dyDescent="0.25">
      <c r="A325" s="1650"/>
      <c r="B325" s="1651"/>
      <c r="C325" s="2805" t="s">
        <v>8933</v>
      </c>
      <c r="D325" s="2805"/>
      <c r="E325" s="2805"/>
      <c r="F325" s="2805"/>
      <c r="G325" s="2805"/>
      <c r="H325" s="2805"/>
      <c r="I325" s="2805"/>
      <c r="J325" s="2805"/>
      <c r="K325" s="2805"/>
      <c r="L325" s="2805"/>
      <c r="M325" s="2805"/>
      <c r="N325" s="2806"/>
      <c r="EW325" s="2031"/>
      <c r="EX325" s="1619"/>
      <c r="EY325" s="1628"/>
      <c r="EZ325" s="1628"/>
      <c r="FA325" s="1628"/>
      <c r="FH325" s="1628"/>
      <c r="FI325" s="1864" t="s">
        <v>8933</v>
      </c>
      <c r="FJ325" s="1864" t="s">
        <v>588</v>
      </c>
      <c r="FK325" s="1864" t="s">
        <v>588</v>
      </c>
      <c r="FL325" s="1864" t="s">
        <v>588</v>
      </c>
      <c r="FM325" s="1864" t="s">
        <v>588</v>
      </c>
      <c r="FN325" s="1864" t="s">
        <v>588</v>
      </c>
      <c r="FO325" s="1864" t="s">
        <v>588</v>
      </c>
      <c r="FP325" s="1864" t="s">
        <v>588</v>
      </c>
      <c r="FQ325" s="1864" t="s">
        <v>588</v>
      </c>
      <c r="FR325" s="1864" t="s">
        <v>588</v>
      </c>
      <c r="FS325" s="1864" t="s">
        <v>588</v>
      </c>
      <c r="FT325" s="1864" t="s">
        <v>588</v>
      </c>
    </row>
    <row r="326" spans="1:176" s="1484" customFormat="1" ht="15" x14ac:dyDescent="0.25">
      <c r="A326" s="1629"/>
      <c r="B326" s="1862"/>
      <c r="C326" s="2805" t="s">
        <v>8932</v>
      </c>
      <c r="D326" s="2805"/>
      <c r="E326" s="2805"/>
      <c r="F326" s="2805"/>
      <c r="G326" s="2805"/>
      <c r="H326" s="2805"/>
      <c r="I326" s="2805"/>
      <c r="J326" s="2805"/>
      <c r="K326" s="2805"/>
      <c r="L326" s="2805"/>
      <c r="M326" s="2805"/>
      <c r="N326" s="2806"/>
      <c r="EW326" s="2031"/>
      <c r="EX326" s="1619"/>
      <c r="EY326" s="1628"/>
      <c r="EZ326" s="1628"/>
      <c r="FA326" s="1628"/>
      <c r="FB326" s="1864" t="s">
        <v>8932</v>
      </c>
      <c r="FH326" s="1628"/>
    </row>
    <row r="327" spans="1:176" s="1484" customFormat="1" ht="15" x14ac:dyDescent="0.25">
      <c r="A327" s="1650"/>
      <c r="B327" s="1651"/>
      <c r="C327" s="2803" t="s">
        <v>872</v>
      </c>
      <c r="D327" s="2803"/>
      <c r="E327" s="2803"/>
      <c r="F327" s="1621"/>
      <c r="G327" s="1622"/>
      <c r="H327" s="1622"/>
      <c r="I327" s="1622"/>
      <c r="J327" s="1625"/>
      <c r="K327" s="1622"/>
      <c r="L327" s="1648">
        <v>615117.27</v>
      </c>
      <c r="M327" s="2037"/>
      <c r="N327" s="1649">
        <v>5622171.8300000001</v>
      </c>
      <c r="EW327" s="2031"/>
      <c r="EX327" s="1619"/>
      <c r="EY327" s="1628"/>
      <c r="EZ327" s="1628"/>
      <c r="FA327" s="1628"/>
      <c r="FH327" s="1628" t="s">
        <v>872</v>
      </c>
    </row>
    <row r="328" spans="1:176" s="1484" customFormat="1" ht="15" x14ac:dyDescent="0.25">
      <c r="A328" s="2811" t="s">
        <v>8020</v>
      </c>
      <c r="B328" s="2812"/>
      <c r="C328" s="2812"/>
      <c r="D328" s="2812"/>
      <c r="E328" s="2812"/>
      <c r="F328" s="2812"/>
      <c r="G328" s="2812"/>
      <c r="H328" s="2812"/>
      <c r="I328" s="2812"/>
      <c r="J328" s="2812"/>
      <c r="K328" s="2812"/>
      <c r="L328" s="2812"/>
      <c r="M328" s="2812"/>
      <c r="N328" s="2813"/>
      <c r="EW328" s="2031"/>
      <c r="EX328" s="1619" t="s">
        <v>8020</v>
      </c>
      <c r="EY328" s="1628"/>
      <c r="EZ328" s="1628"/>
      <c r="FA328" s="1628"/>
      <c r="FH328" s="1628"/>
    </row>
    <row r="329" spans="1:176" s="1484" customFormat="1" ht="56.25" x14ac:dyDescent="0.25">
      <c r="A329" s="1620" t="s">
        <v>8021</v>
      </c>
      <c r="B329" s="1863" t="s">
        <v>7990</v>
      </c>
      <c r="C329" s="2803" t="s">
        <v>7991</v>
      </c>
      <c r="D329" s="2803"/>
      <c r="E329" s="2803"/>
      <c r="F329" s="1621" t="s">
        <v>2555</v>
      </c>
      <c r="G329" s="1622">
        <v>2.2189999999999999</v>
      </c>
      <c r="H329" s="1623">
        <v>1</v>
      </c>
      <c r="I329" s="2045">
        <v>2.2189999999999999</v>
      </c>
      <c r="J329" s="1625"/>
      <c r="K329" s="1622"/>
      <c r="L329" s="1625"/>
      <c r="M329" s="1622"/>
      <c r="N329" s="1627"/>
      <c r="EW329" s="2031"/>
      <c r="EX329" s="1619"/>
      <c r="EY329" s="1628" t="s">
        <v>7991</v>
      </c>
      <c r="EZ329" s="1628" t="s">
        <v>588</v>
      </c>
      <c r="FA329" s="1628" t="s">
        <v>588</v>
      </c>
      <c r="FH329" s="1628"/>
    </row>
    <row r="330" spans="1:176" s="1484" customFormat="1" ht="15" x14ac:dyDescent="0.25">
      <c r="A330" s="1629"/>
      <c r="B330" s="1862"/>
      <c r="C330" s="2805" t="s">
        <v>8931</v>
      </c>
      <c r="D330" s="2805"/>
      <c r="E330" s="2805"/>
      <c r="F330" s="2805"/>
      <c r="G330" s="2805"/>
      <c r="H330" s="2805"/>
      <c r="I330" s="2805"/>
      <c r="J330" s="2805"/>
      <c r="K330" s="2805"/>
      <c r="L330" s="2805"/>
      <c r="M330" s="2805"/>
      <c r="N330" s="2806"/>
      <c r="EW330" s="2031"/>
      <c r="EX330" s="1619"/>
      <c r="EY330" s="1628"/>
      <c r="EZ330" s="1628"/>
      <c r="FA330" s="1628"/>
      <c r="FB330" s="1864" t="s">
        <v>8931</v>
      </c>
      <c r="FH330" s="1628"/>
    </row>
    <row r="331" spans="1:176" s="1484" customFormat="1" ht="22.5" x14ac:dyDescent="0.25">
      <c r="A331" s="1630"/>
      <c r="B331" s="1631" t="s">
        <v>6062</v>
      </c>
      <c r="C331" s="2809" t="s">
        <v>6063</v>
      </c>
      <c r="D331" s="2809"/>
      <c r="E331" s="2809"/>
      <c r="F331" s="2809"/>
      <c r="G331" s="2809"/>
      <c r="H331" s="2809"/>
      <c r="I331" s="2809"/>
      <c r="J331" s="2809"/>
      <c r="K331" s="2809"/>
      <c r="L331" s="2809"/>
      <c r="M331" s="2809"/>
      <c r="N331" s="2810"/>
      <c r="EW331" s="2031"/>
      <c r="EX331" s="1619"/>
      <c r="EY331" s="1628"/>
      <c r="EZ331" s="1628"/>
      <c r="FA331" s="1628"/>
      <c r="FC331" s="1864" t="s">
        <v>6063</v>
      </c>
      <c r="FH331" s="1628"/>
    </row>
    <row r="332" spans="1:176" s="1484" customFormat="1" ht="22.5" x14ac:dyDescent="0.25">
      <c r="A332" s="2033"/>
      <c r="B332" s="1631" t="s">
        <v>3260</v>
      </c>
      <c r="C332" s="2805" t="s">
        <v>8636</v>
      </c>
      <c r="D332" s="2805"/>
      <c r="E332" s="2805"/>
      <c r="F332" s="1683" t="s">
        <v>807</v>
      </c>
      <c r="G332" s="1655">
        <v>106.19</v>
      </c>
      <c r="H332" s="1641"/>
      <c r="I332" s="2042">
        <v>235.63561000000001</v>
      </c>
      <c r="J332" s="1654">
        <v>9.18</v>
      </c>
      <c r="K332" s="1655">
        <v>1.25</v>
      </c>
      <c r="L332" s="1657">
        <v>2703.92</v>
      </c>
      <c r="M332" s="1641"/>
      <c r="N332" s="1681"/>
      <c r="EW332" s="2031"/>
      <c r="EX332" s="1619"/>
      <c r="EY332" s="1628"/>
      <c r="EZ332" s="1628"/>
      <c r="FA332" s="1628"/>
      <c r="FD332" s="1864" t="s">
        <v>8636</v>
      </c>
      <c r="FH332" s="1628"/>
    </row>
    <row r="333" spans="1:176" s="1484" customFormat="1" ht="22.5" x14ac:dyDescent="0.25">
      <c r="A333" s="2033"/>
      <c r="B333" s="1631" t="s">
        <v>817</v>
      </c>
      <c r="C333" s="2805" t="s">
        <v>818</v>
      </c>
      <c r="D333" s="2805"/>
      <c r="E333" s="2805"/>
      <c r="F333" s="1683" t="s">
        <v>4994</v>
      </c>
      <c r="G333" s="1655">
        <v>0.27</v>
      </c>
      <c r="H333" s="1641"/>
      <c r="I333" s="2042">
        <v>0.59913000000000005</v>
      </c>
      <c r="J333" s="1654">
        <v>115.4</v>
      </c>
      <c r="K333" s="1641"/>
      <c r="L333" s="1654">
        <v>69.14</v>
      </c>
      <c r="M333" s="1641"/>
      <c r="N333" s="1681"/>
      <c r="EW333" s="2031"/>
      <c r="EX333" s="1619"/>
      <c r="EY333" s="1628"/>
      <c r="EZ333" s="1628"/>
      <c r="FA333" s="1628"/>
      <c r="FD333" s="1864" t="s">
        <v>818</v>
      </c>
      <c r="FH333" s="1628"/>
    </row>
    <row r="334" spans="1:176" s="1484" customFormat="1" ht="15" x14ac:dyDescent="0.25">
      <c r="A334" s="2033"/>
      <c r="B334" s="1631" t="s">
        <v>821</v>
      </c>
      <c r="C334" s="2805" t="s">
        <v>822</v>
      </c>
      <c r="D334" s="2805"/>
      <c r="E334" s="2805"/>
      <c r="F334" s="1683" t="s">
        <v>4994</v>
      </c>
      <c r="G334" s="1655">
        <v>0.37</v>
      </c>
      <c r="H334" s="1641"/>
      <c r="I334" s="2042">
        <v>0.82103000000000004</v>
      </c>
      <c r="J334" s="1654">
        <v>65.709999999999994</v>
      </c>
      <c r="K334" s="1641"/>
      <c r="L334" s="1654">
        <v>53.95</v>
      </c>
      <c r="M334" s="1641"/>
      <c r="N334" s="1681"/>
      <c r="EW334" s="2031"/>
      <c r="EX334" s="1619"/>
      <c r="EY334" s="1628"/>
      <c r="EZ334" s="1628"/>
      <c r="FA334" s="1628"/>
      <c r="FD334" s="1864" t="s">
        <v>822</v>
      </c>
      <c r="FH334" s="1628"/>
    </row>
    <row r="335" spans="1:176" s="1484" customFormat="1" ht="15" x14ac:dyDescent="0.25">
      <c r="A335" s="2033"/>
      <c r="B335" s="1631" t="s">
        <v>4907</v>
      </c>
      <c r="C335" s="2805" t="s">
        <v>8890</v>
      </c>
      <c r="D335" s="2805"/>
      <c r="E335" s="2805"/>
      <c r="F335" s="1683" t="s">
        <v>4865</v>
      </c>
      <c r="G335" s="2034">
        <v>7</v>
      </c>
      <c r="H335" s="1641"/>
      <c r="I335" s="2046">
        <v>15.532999999999999</v>
      </c>
      <c r="J335" s="1654">
        <v>118</v>
      </c>
      <c r="K335" s="1641"/>
      <c r="L335" s="1657">
        <v>1832.89</v>
      </c>
      <c r="M335" s="1641"/>
      <c r="N335" s="1681"/>
      <c r="EW335" s="2031"/>
      <c r="EX335" s="1619"/>
      <c r="EY335" s="1628"/>
      <c r="EZ335" s="1628"/>
      <c r="FA335" s="1628"/>
      <c r="FD335" s="1864" t="s">
        <v>8890</v>
      </c>
      <c r="FH335" s="1628"/>
    </row>
    <row r="336" spans="1:176" s="1484" customFormat="1" ht="15" x14ac:dyDescent="0.25">
      <c r="A336" s="2033"/>
      <c r="B336" s="1631" t="s">
        <v>4910</v>
      </c>
      <c r="C336" s="2805" t="s">
        <v>8889</v>
      </c>
      <c r="D336" s="2805"/>
      <c r="E336" s="2805"/>
      <c r="F336" s="1683" t="s">
        <v>4865</v>
      </c>
      <c r="G336" s="2034">
        <v>29</v>
      </c>
      <c r="H336" s="1641"/>
      <c r="I336" s="2046">
        <v>64.350999999999999</v>
      </c>
      <c r="J336" s="1654">
        <v>10</v>
      </c>
      <c r="K336" s="1641"/>
      <c r="L336" s="1654">
        <v>643.51</v>
      </c>
      <c r="M336" s="1641"/>
      <c r="N336" s="1681"/>
      <c r="EW336" s="2031"/>
      <c r="EX336" s="1619"/>
      <c r="EY336" s="1628"/>
      <c r="EZ336" s="1628"/>
      <c r="FA336" s="1628"/>
      <c r="FD336" s="1864" t="s">
        <v>8889</v>
      </c>
      <c r="FH336" s="1628"/>
    </row>
    <row r="337" spans="1:164" s="1484" customFormat="1" ht="33.75" x14ac:dyDescent="0.25">
      <c r="A337" s="2033"/>
      <c r="B337" s="1631" t="s">
        <v>4943</v>
      </c>
      <c r="C337" s="2805" t="s">
        <v>8888</v>
      </c>
      <c r="D337" s="2805"/>
      <c r="E337" s="2805"/>
      <c r="F337" s="1683" t="s">
        <v>2647</v>
      </c>
      <c r="G337" s="2034">
        <v>200</v>
      </c>
      <c r="H337" s="1641"/>
      <c r="I337" s="1953">
        <v>443.8</v>
      </c>
      <c r="J337" s="1654">
        <v>6.91</v>
      </c>
      <c r="K337" s="1641"/>
      <c r="L337" s="1657">
        <v>3066.66</v>
      </c>
      <c r="M337" s="1641"/>
      <c r="N337" s="1681"/>
      <c r="EW337" s="2031"/>
      <c r="EX337" s="1619"/>
      <c r="EY337" s="1628"/>
      <c r="EZ337" s="1628"/>
      <c r="FA337" s="1628"/>
      <c r="FD337" s="1864" t="s">
        <v>8888</v>
      </c>
      <c r="FH337" s="1628"/>
    </row>
    <row r="338" spans="1:164" s="1484" customFormat="1" ht="33.75" x14ac:dyDescent="0.25">
      <c r="A338" s="2033"/>
      <c r="B338" s="1631" t="s">
        <v>4949</v>
      </c>
      <c r="C338" s="2805" t="s">
        <v>8887</v>
      </c>
      <c r="D338" s="2805"/>
      <c r="E338" s="2805"/>
      <c r="F338" s="1683" t="s">
        <v>269</v>
      </c>
      <c r="G338" s="2034">
        <v>350</v>
      </c>
      <c r="H338" s="1641"/>
      <c r="I338" s="1655">
        <v>776.65</v>
      </c>
      <c r="J338" s="1654">
        <v>17.32</v>
      </c>
      <c r="K338" s="1641"/>
      <c r="L338" s="1657">
        <v>13451.58</v>
      </c>
      <c r="M338" s="1641"/>
      <c r="N338" s="1681"/>
      <c r="EW338" s="2031"/>
      <c r="EX338" s="1619"/>
      <c r="EY338" s="1628"/>
      <c r="EZ338" s="1628"/>
      <c r="FA338" s="1628"/>
      <c r="FD338" s="1864" t="s">
        <v>8887</v>
      </c>
      <c r="FH338" s="1628"/>
    </row>
    <row r="339" spans="1:164" s="1484" customFormat="1" ht="22.5" x14ac:dyDescent="0.25">
      <c r="A339" s="2033"/>
      <c r="B339" s="1631" t="s">
        <v>4950</v>
      </c>
      <c r="C339" s="2805" t="s">
        <v>8886</v>
      </c>
      <c r="D339" s="2805"/>
      <c r="E339" s="2805"/>
      <c r="F339" s="1683" t="s">
        <v>2647</v>
      </c>
      <c r="G339" s="2034">
        <v>42</v>
      </c>
      <c r="H339" s="1641"/>
      <c r="I339" s="2046">
        <v>93.197999999999993</v>
      </c>
      <c r="J339" s="1654">
        <v>23.15</v>
      </c>
      <c r="K339" s="1641"/>
      <c r="L339" s="1657">
        <v>2157.5300000000002</v>
      </c>
      <c r="M339" s="1641"/>
      <c r="N339" s="1681"/>
      <c r="EW339" s="2031"/>
      <c r="EX339" s="1619"/>
      <c r="EY339" s="1628"/>
      <c r="EZ339" s="1628"/>
      <c r="FA339" s="1628"/>
      <c r="FD339" s="1864" t="s">
        <v>8886</v>
      </c>
      <c r="FH339" s="1628"/>
    </row>
    <row r="340" spans="1:164" s="1484" customFormat="1" ht="22.5" x14ac:dyDescent="0.25">
      <c r="A340" s="2033"/>
      <c r="B340" s="1631" t="s">
        <v>4951</v>
      </c>
      <c r="C340" s="2805" t="s">
        <v>8885</v>
      </c>
      <c r="D340" s="2805"/>
      <c r="E340" s="2805"/>
      <c r="F340" s="1683" t="s">
        <v>2647</v>
      </c>
      <c r="G340" s="2034">
        <v>12</v>
      </c>
      <c r="H340" s="1641"/>
      <c r="I340" s="2046">
        <v>26.628</v>
      </c>
      <c r="J340" s="1654">
        <v>64.47</v>
      </c>
      <c r="K340" s="1641"/>
      <c r="L340" s="1657">
        <v>1716.71</v>
      </c>
      <c r="M340" s="1641"/>
      <c r="N340" s="1681"/>
      <c r="EW340" s="2031"/>
      <c r="EX340" s="1619"/>
      <c r="EY340" s="1628"/>
      <c r="EZ340" s="1628"/>
      <c r="FA340" s="1628"/>
      <c r="FD340" s="1864" t="s">
        <v>8885</v>
      </c>
      <c r="FH340" s="1628"/>
    </row>
    <row r="341" spans="1:164" s="1484" customFormat="1" ht="22.5" x14ac:dyDescent="0.25">
      <c r="A341" s="2033"/>
      <c r="B341" s="1631" t="s">
        <v>4952</v>
      </c>
      <c r="C341" s="2805" t="s">
        <v>8884</v>
      </c>
      <c r="D341" s="2805"/>
      <c r="E341" s="2805"/>
      <c r="F341" s="1683" t="s">
        <v>2647</v>
      </c>
      <c r="G341" s="2034">
        <v>55</v>
      </c>
      <c r="H341" s="1641"/>
      <c r="I341" s="2046">
        <v>122.045</v>
      </c>
      <c r="J341" s="1654">
        <v>7.5</v>
      </c>
      <c r="K341" s="1641"/>
      <c r="L341" s="1654">
        <v>915.34</v>
      </c>
      <c r="M341" s="1641"/>
      <c r="N341" s="1681"/>
      <c r="EW341" s="2031"/>
      <c r="EX341" s="1619"/>
      <c r="EY341" s="1628"/>
      <c r="EZ341" s="1628"/>
      <c r="FA341" s="1628"/>
      <c r="FD341" s="1864" t="s">
        <v>8884</v>
      </c>
      <c r="FH341" s="1628"/>
    </row>
    <row r="342" spans="1:164" s="1484" customFormat="1" ht="15" x14ac:dyDescent="0.25">
      <c r="A342" s="2032"/>
      <c r="B342" s="1631" t="s">
        <v>190</v>
      </c>
      <c r="C342" s="2805" t="s">
        <v>2523</v>
      </c>
      <c r="D342" s="2805"/>
      <c r="E342" s="2805"/>
      <c r="F342" s="1683"/>
      <c r="G342" s="1641"/>
      <c r="H342" s="1641"/>
      <c r="I342" s="1641"/>
      <c r="J342" s="1654">
        <v>974.82</v>
      </c>
      <c r="K342" s="1655">
        <v>1.25</v>
      </c>
      <c r="L342" s="1657">
        <v>2703.91</v>
      </c>
      <c r="M342" s="1655">
        <v>35.75</v>
      </c>
      <c r="N342" s="1679">
        <v>96664.78</v>
      </c>
      <c r="EW342" s="2031"/>
      <c r="EX342" s="1619"/>
      <c r="EY342" s="1628"/>
      <c r="EZ342" s="1628"/>
      <c r="FA342" s="1628"/>
      <c r="FE342" s="1864" t="s">
        <v>2523</v>
      </c>
      <c r="FH342" s="1628"/>
    </row>
    <row r="343" spans="1:164" s="1484" customFormat="1" ht="15" x14ac:dyDescent="0.25">
      <c r="A343" s="2032"/>
      <c r="B343" s="1631" t="s">
        <v>639</v>
      </c>
      <c r="C343" s="2805" t="s">
        <v>697</v>
      </c>
      <c r="D343" s="2805"/>
      <c r="E343" s="2805"/>
      <c r="F343" s="1683"/>
      <c r="G343" s="1641"/>
      <c r="H343" s="1641"/>
      <c r="I343" s="1641"/>
      <c r="J343" s="1654">
        <v>55.47</v>
      </c>
      <c r="K343" s="1641"/>
      <c r="L343" s="1654">
        <v>123.09</v>
      </c>
      <c r="M343" s="1655">
        <v>11.97</v>
      </c>
      <c r="N343" s="1679">
        <v>1473.39</v>
      </c>
      <c r="EW343" s="2031"/>
      <c r="EX343" s="1619"/>
      <c r="EY343" s="1628"/>
      <c r="EZ343" s="1628"/>
      <c r="FA343" s="1628"/>
      <c r="FE343" s="1864" t="s">
        <v>697</v>
      </c>
      <c r="FH343" s="1628"/>
    </row>
    <row r="344" spans="1:164" s="1484" customFormat="1" ht="15" x14ac:dyDescent="0.25">
      <c r="A344" s="2032"/>
      <c r="B344" s="1631" t="s">
        <v>640</v>
      </c>
      <c r="C344" s="2805" t="s">
        <v>2500</v>
      </c>
      <c r="D344" s="2805"/>
      <c r="E344" s="2805"/>
      <c r="F344" s="1683"/>
      <c r="G344" s="1641"/>
      <c r="H344" s="1641"/>
      <c r="I344" s="1641"/>
      <c r="J344" s="1654">
        <v>7.94</v>
      </c>
      <c r="K344" s="1641"/>
      <c r="L344" s="1654">
        <v>17.62</v>
      </c>
      <c r="M344" s="1655">
        <v>35.75</v>
      </c>
      <c r="N344" s="2039">
        <v>629.91999999999996</v>
      </c>
      <c r="EW344" s="2031"/>
      <c r="EX344" s="1619"/>
      <c r="EY344" s="1628"/>
      <c r="EZ344" s="1628"/>
      <c r="FA344" s="1628"/>
      <c r="FE344" s="1864" t="s">
        <v>2500</v>
      </c>
      <c r="FH344" s="1628"/>
    </row>
    <row r="345" spans="1:164" s="1484" customFormat="1" ht="15" x14ac:dyDescent="0.25">
      <c r="A345" s="2032"/>
      <c r="B345" s="1631" t="s">
        <v>232</v>
      </c>
      <c r="C345" s="2805" t="s">
        <v>829</v>
      </c>
      <c r="D345" s="2805"/>
      <c r="E345" s="2805"/>
      <c r="F345" s="1683"/>
      <c r="G345" s="1641"/>
      <c r="H345" s="1641"/>
      <c r="I345" s="1641"/>
      <c r="J345" s="1657">
        <v>10718.44</v>
      </c>
      <c r="K345" s="1641"/>
      <c r="L345" s="1657">
        <v>23784.22</v>
      </c>
      <c r="M345" s="1655">
        <v>9.14</v>
      </c>
      <c r="N345" s="1679">
        <v>217387.77</v>
      </c>
      <c r="EW345" s="2031"/>
      <c r="EX345" s="1619"/>
      <c r="EY345" s="1628"/>
      <c r="EZ345" s="1628"/>
      <c r="FA345" s="1628"/>
      <c r="FE345" s="1864" t="s">
        <v>829</v>
      </c>
      <c r="FH345" s="1628"/>
    </row>
    <row r="346" spans="1:164" s="1484" customFormat="1" ht="15" x14ac:dyDescent="0.25">
      <c r="A346" s="2033"/>
      <c r="B346" s="1631"/>
      <c r="C346" s="2805" t="s">
        <v>2524</v>
      </c>
      <c r="D346" s="2805"/>
      <c r="E346" s="2805"/>
      <c r="F346" s="1683" t="s">
        <v>807</v>
      </c>
      <c r="G346" s="1655">
        <v>106.19</v>
      </c>
      <c r="H346" s="1641"/>
      <c r="I346" s="2042">
        <v>235.63561000000001</v>
      </c>
      <c r="J346" s="1640"/>
      <c r="K346" s="1641"/>
      <c r="L346" s="1640"/>
      <c r="M346" s="1641"/>
      <c r="N346" s="1681"/>
      <c r="EW346" s="2031"/>
      <c r="EX346" s="1619"/>
      <c r="EY346" s="1628"/>
      <c r="EZ346" s="1628"/>
      <c r="FA346" s="1628"/>
      <c r="FF346" s="1864" t="s">
        <v>2524</v>
      </c>
      <c r="FH346" s="1628"/>
    </row>
    <row r="347" spans="1:164" s="1484" customFormat="1" ht="15" x14ac:dyDescent="0.25">
      <c r="A347" s="2033"/>
      <c r="B347" s="1631"/>
      <c r="C347" s="2805" t="s">
        <v>2501</v>
      </c>
      <c r="D347" s="2805"/>
      <c r="E347" s="2805"/>
      <c r="F347" s="1683" t="s">
        <v>807</v>
      </c>
      <c r="G347" s="1655">
        <v>0.64</v>
      </c>
      <c r="H347" s="1641"/>
      <c r="I347" s="2042">
        <v>1.4201600000000001</v>
      </c>
      <c r="J347" s="1640"/>
      <c r="K347" s="1641"/>
      <c r="L347" s="1640"/>
      <c r="M347" s="1641"/>
      <c r="N347" s="1681"/>
      <c r="EW347" s="2031"/>
      <c r="EX347" s="1619"/>
      <c r="EY347" s="1628"/>
      <c r="EZ347" s="1628"/>
      <c r="FA347" s="1628"/>
      <c r="FF347" s="1864" t="s">
        <v>2501</v>
      </c>
      <c r="FH347" s="1628"/>
    </row>
    <row r="348" spans="1:164" s="1484" customFormat="1" ht="15" x14ac:dyDescent="0.25">
      <c r="A348" s="2032"/>
      <c r="B348" s="1631"/>
      <c r="C348" s="2917" t="s">
        <v>2502</v>
      </c>
      <c r="D348" s="2917"/>
      <c r="E348" s="2917"/>
      <c r="F348" s="2036"/>
      <c r="G348" s="2037"/>
      <c r="H348" s="2037"/>
      <c r="I348" s="2037"/>
      <c r="J348" s="2038">
        <v>11748.73</v>
      </c>
      <c r="K348" s="2037"/>
      <c r="L348" s="2038">
        <v>26611.22</v>
      </c>
      <c r="M348" s="2037"/>
      <c r="N348" s="2068">
        <v>315525.94</v>
      </c>
      <c r="EW348" s="2031"/>
      <c r="EX348" s="1619"/>
      <c r="EY348" s="1628"/>
      <c r="EZ348" s="1628"/>
      <c r="FA348" s="1628"/>
      <c r="FG348" s="1864" t="s">
        <v>2502</v>
      </c>
      <c r="FH348" s="1628"/>
    </row>
    <row r="349" spans="1:164" s="1484" customFormat="1" ht="15" x14ac:dyDescent="0.25">
      <c r="A349" s="2033" t="s">
        <v>8022</v>
      </c>
      <c r="B349" s="1631"/>
      <c r="C349" s="2805" t="s">
        <v>7964</v>
      </c>
      <c r="D349" s="2805"/>
      <c r="E349" s="2805"/>
      <c r="F349" s="1683" t="s">
        <v>5928</v>
      </c>
      <c r="G349" s="1641"/>
      <c r="H349" s="1641"/>
      <c r="I349" s="1641"/>
      <c r="J349" s="1640"/>
      <c r="K349" s="1641"/>
      <c r="L349" s="1654">
        <v>4.4000000000000004</v>
      </c>
      <c r="M349" s="1641"/>
      <c r="N349" s="2039">
        <v>157.30000000000001</v>
      </c>
      <c r="EW349" s="2031"/>
      <c r="EX349" s="1619"/>
      <c r="EY349" s="1628"/>
      <c r="EZ349" s="1628"/>
      <c r="FA349" s="1628"/>
      <c r="FF349" s="1864" t="s">
        <v>7964</v>
      </c>
      <c r="FH349" s="1628"/>
    </row>
    <row r="350" spans="1:164" s="1484" customFormat="1" ht="15" x14ac:dyDescent="0.25">
      <c r="A350" s="2033"/>
      <c r="B350" s="1631"/>
      <c r="C350" s="2805" t="s">
        <v>7965</v>
      </c>
      <c r="D350" s="2805"/>
      <c r="E350" s="2805"/>
      <c r="F350" s="1683" t="s">
        <v>5928</v>
      </c>
      <c r="G350" s="1641"/>
      <c r="H350" s="1641"/>
      <c r="I350" s="1641"/>
      <c r="J350" s="1654">
        <v>7.94</v>
      </c>
      <c r="K350" s="1655">
        <v>0.25</v>
      </c>
      <c r="L350" s="1654">
        <v>4.4000000000000004</v>
      </c>
      <c r="M350" s="1655">
        <v>35.75</v>
      </c>
      <c r="N350" s="2039">
        <v>157.30000000000001</v>
      </c>
      <c r="EW350" s="2031"/>
      <c r="EX350" s="1619"/>
      <c r="EY350" s="1628"/>
      <c r="EZ350" s="1628"/>
      <c r="FA350" s="1628"/>
      <c r="FF350" s="1864" t="s">
        <v>7965</v>
      </c>
      <c r="FH350" s="1628"/>
    </row>
    <row r="351" spans="1:164" s="1484" customFormat="1" ht="15" x14ac:dyDescent="0.25">
      <c r="A351" s="2033"/>
      <c r="B351" s="1631"/>
      <c r="C351" s="2805" t="s">
        <v>867</v>
      </c>
      <c r="D351" s="2805"/>
      <c r="E351" s="2805"/>
      <c r="F351" s="1683"/>
      <c r="G351" s="1641"/>
      <c r="H351" s="1641"/>
      <c r="I351" s="1641"/>
      <c r="J351" s="1640"/>
      <c r="K351" s="1641"/>
      <c r="L351" s="1657">
        <v>2725.93</v>
      </c>
      <c r="M351" s="1641"/>
      <c r="N351" s="1679">
        <v>97452</v>
      </c>
      <c r="EW351" s="2031"/>
      <c r="EX351" s="1619"/>
      <c r="EY351" s="1628"/>
      <c r="EZ351" s="1628"/>
      <c r="FA351" s="1628"/>
      <c r="FF351" s="1864" t="s">
        <v>867</v>
      </c>
      <c r="FH351" s="1628"/>
    </row>
    <row r="352" spans="1:164" s="1484" customFormat="1" ht="15" x14ac:dyDescent="0.25">
      <c r="A352" s="2033"/>
      <c r="B352" s="1631" t="s">
        <v>7966</v>
      </c>
      <c r="C352" s="2805" t="s">
        <v>7967</v>
      </c>
      <c r="D352" s="2805"/>
      <c r="E352" s="2805"/>
      <c r="F352" s="1683" t="s">
        <v>636</v>
      </c>
      <c r="G352" s="2034">
        <v>100</v>
      </c>
      <c r="H352" s="1641"/>
      <c r="I352" s="2034">
        <v>100</v>
      </c>
      <c r="J352" s="1640"/>
      <c r="K352" s="1641"/>
      <c r="L352" s="1657">
        <v>2725.93</v>
      </c>
      <c r="M352" s="1641"/>
      <c r="N352" s="1679">
        <v>97452</v>
      </c>
      <c r="EW352" s="2031"/>
      <c r="EX352" s="1619"/>
      <c r="EY352" s="1628"/>
      <c r="EZ352" s="1628"/>
      <c r="FA352" s="1628"/>
      <c r="FF352" s="1864" t="s">
        <v>7967</v>
      </c>
      <c r="FH352" s="1628"/>
    </row>
    <row r="353" spans="1:176" s="1484" customFormat="1" ht="15" x14ac:dyDescent="0.25">
      <c r="A353" s="2033"/>
      <c r="B353" s="1631" t="s">
        <v>7968</v>
      </c>
      <c r="C353" s="2805" t="s">
        <v>7969</v>
      </c>
      <c r="D353" s="2805"/>
      <c r="E353" s="2805"/>
      <c r="F353" s="1683" t="s">
        <v>636</v>
      </c>
      <c r="G353" s="2034">
        <v>49</v>
      </c>
      <c r="H353" s="1641"/>
      <c r="I353" s="2034">
        <v>49</v>
      </c>
      <c r="J353" s="1640"/>
      <c r="K353" s="1641"/>
      <c r="L353" s="1657">
        <v>1335.71</v>
      </c>
      <c r="M353" s="1641"/>
      <c r="N353" s="1679">
        <v>47751.48</v>
      </c>
      <c r="EW353" s="2031"/>
      <c r="EX353" s="1619"/>
      <c r="EY353" s="1628"/>
      <c r="EZ353" s="1628"/>
      <c r="FA353" s="1628"/>
      <c r="FF353" s="1864" t="s">
        <v>7969</v>
      </c>
      <c r="FH353" s="1628"/>
    </row>
    <row r="354" spans="1:176" s="1484" customFormat="1" ht="15" x14ac:dyDescent="0.25">
      <c r="A354" s="1650"/>
      <c r="B354" s="1651"/>
      <c r="C354" s="2803" t="s">
        <v>872</v>
      </c>
      <c r="D354" s="2803"/>
      <c r="E354" s="2803"/>
      <c r="F354" s="1621"/>
      <c r="G354" s="1622"/>
      <c r="H354" s="1622"/>
      <c r="I354" s="1622"/>
      <c r="J354" s="1625"/>
      <c r="K354" s="1622"/>
      <c r="L354" s="1648">
        <v>30677.26</v>
      </c>
      <c r="M354" s="2037"/>
      <c r="N354" s="1649">
        <v>460886.72</v>
      </c>
      <c r="EW354" s="2031"/>
      <c r="EX354" s="1619"/>
      <c r="EY354" s="1628"/>
      <c r="EZ354" s="1628"/>
      <c r="FA354" s="1628"/>
      <c r="FH354" s="1628" t="s">
        <v>872</v>
      </c>
    </row>
    <row r="355" spans="1:176" s="1484" customFormat="1" ht="45" x14ac:dyDescent="0.25">
      <c r="A355" s="1620" t="s">
        <v>918</v>
      </c>
      <c r="B355" s="1863" t="s">
        <v>8893</v>
      </c>
      <c r="C355" s="2803" t="s">
        <v>7993</v>
      </c>
      <c r="D355" s="2803"/>
      <c r="E355" s="2803"/>
      <c r="F355" s="1621" t="s">
        <v>130</v>
      </c>
      <c r="G355" s="1622">
        <v>261.84199999999998</v>
      </c>
      <c r="H355" s="1623">
        <v>1</v>
      </c>
      <c r="I355" s="2045">
        <v>261.84199999999998</v>
      </c>
      <c r="J355" s="1648">
        <v>9053.35</v>
      </c>
      <c r="K355" s="1622"/>
      <c r="L355" s="1648">
        <v>259359.66</v>
      </c>
      <c r="M355" s="1687">
        <v>9.14</v>
      </c>
      <c r="N355" s="1649">
        <v>2370547.27</v>
      </c>
      <c r="EW355" s="2031"/>
      <c r="EX355" s="1619"/>
      <c r="EY355" s="1628" t="s">
        <v>7993</v>
      </c>
      <c r="EZ355" s="1628" t="s">
        <v>588</v>
      </c>
      <c r="FA355" s="1628" t="s">
        <v>588</v>
      </c>
      <c r="FH355" s="1628"/>
    </row>
    <row r="356" spans="1:176" s="1484" customFormat="1" ht="15" x14ac:dyDescent="0.25">
      <c r="A356" s="1650"/>
      <c r="B356" s="1651"/>
      <c r="C356" s="2805" t="s">
        <v>8689</v>
      </c>
      <c r="D356" s="2805"/>
      <c r="E356" s="2805"/>
      <c r="F356" s="2805"/>
      <c r="G356" s="2805"/>
      <c r="H356" s="2805"/>
      <c r="I356" s="2805"/>
      <c r="J356" s="2805"/>
      <c r="K356" s="2805"/>
      <c r="L356" s="2805"/>
      <c r="M356" s="2805"/>
      <c r="N356" s="2806"/>
      <c r="EW356" s="2031"/>
      <c r="EX356" s="1619"/>
      <c r="EY356" s="1628"/>
      <c r="EZ356" s="1628"/>
      <c r="FA356" s="1628"/>
      <c r="FH356" s="1628"/>
      <c r="FI356" s="1864" t="s">
        <v>8689</v>
      </c>
      <c r="FJ356" s="1864" t="s">
        <v>588</v>
      </c>
      <c r="FK356" s="1864" t="s">
        <v>588</v>
      </c>
      <c r="FL356" s="1864" t="s">
        <v>588</v>
      </c>
      <c r="FM356" s="1864" t="s">
        <v>588</v>
      </c>
      <c r="FN356" s="1864" t="s">
        <v>588</v>
      </c>
      <c r="FO356" s="1864" t="s">
        <v>588</v>
      </c>
      <c r="FP356" s="1864" t="s">
        <v>588</v>
      </c>
      <c r="FQ356" s="1864" t="s">
        <v>588</v>
      </c>
      <c r="FR356" s="1864" t="s">
        <v>588</v>
      </c>
      <c r="FS356" s="1864" t="s">
        <v>588</v>
      </c>
      <c r="FT356" s="1864" t="s">
        <v>588</v>
      </c>
    </row>
    <row r="357" spans="1:176" s="1484" customFormat="1" ht="15" x14ac:dyDescent="0.25">
      <c r="A357" s="1650"/>
      <c r="B357" s="1651"/>
      <c r="C357" s="2803" t="s">
        <v>872</v>
      </c>
      <c r="D357" s="2803"/>
      <c r="E357" s="2803"/>
      <c r="F357" s="1621"/>
      <c r="G357" s="1622"/>
      <c r="H357" s="1622"/>
      <c r="I357" s="1622"/>
      <c r="J357" s="1625"/>
      <c r="K357" s="1622"/>
      <c r="L357" s="1648">
        <v>259359.66</v>
      </c>
      <c r="M357" s="2037"/>
      <c r="N357" s="1649">
        <v>2370547.27</v>
      </c>
      <c r="EW357" s="2031"/>
      <c r="EX357" s="1619"/>
      <c r="EY357" s="1628"/>
      <c r="EZ357" s="1628"/>
      <c r="FA357" s="1628"/>
      <c r="FH357" s="1628" t="s">
        <v>872</v>
      </c>
    </row>
    <row r="358" spans="1:176" s="1484" customFormat="1" ht="15" x14ac:dyDescent="0.25">
      <c r="A358" s="2811" t="s">
        <v>8023</v>
      </c>
      <c r="B358" s="2812"/>
      <c r="C358" s="2812"/>
      <c r="D358" s="2812"/>
      <c r="E358" s="2812"/>
      <c r="F358" s="2812"/>
      <c r="G358" s="2812"/>
      <c r="H358" s="2812"/>
      <c r="I358" s="2812"/>
      <c r="J358" s="2812"/>
      <c r="K358" s="2812"/>
      <c r="L358" s="2812"/>
      <c r="M358" s="2812"/>
      <c r="N358" s="2813"/>
      <c r="EW358" s="2031"/>
      <c r="EX358" s="1619" t="s">
        <v>8023</v>
      </c>
      <c r="EY358" s="1628"/>
      <c r="EZ358" s="1628"/>
      <c r="FA358" s="1628"/>
      <c r="FH358" s="1628"/>
    </row>
    <row r="359" spans="1:176" s="1484" customFormat="1" ht="56.25" x14ac:dyDescent="0.25">
      <c r="A359" s="1620" t="s">
        <v>8024</v>
      </c>
      <c r="B359" s="1863" t="s">
        <v>7990</v>
      </c>
      <c r="C359" s="2803" t="s">
        <v>7991</v>
      </c>
      <c r="D359" s="2803"/>
      <c r="E359" s="2803"/>
      <c r="F359" s="1621" t="s">
        <v>2555</v>
      </c>
      <c r="G359" s="1622">
        <v>9.0760000000000005</v>
      </c>
      <c r="H359" s="1623">
        <v>1</v>
      </c>
      <c r="I359" s="2045">
        <v>9.0760000000000005</v>
      </c>
      <c r="J359" s="1625"/>
      <c r="K359" s="1622"/>
      <c r="L359" s="1625"/>
      <c r="M359" s="1622"/>
      <c r="N359" s="1627"/>
      <c r="EW359" s="2031"/>
      <c r="EX359" s="1619"/>
      <c r="EY359" s="1628" t="s">
        <v>7991</v>
      </c>
      <c r="EZ359" s="1628" t="s">
        <v>588</v>
      </c>
      <c r="FA359" s="1628" t="s">
        <v>588</v>
      </c>
      <c r="FH359" s="1628"/>
    </row>
    <row r="360" spans="1:176" s="1484" customFormat="1" ht="15" x14ac:dyDescent="0.25">
      <c r="A360" s="1629"/>
      <c r="B360" s="1862"/>
      <c r="C360" s="2805" t="s">
        <v>8930</v>
      </c>
      <c r="D360" s="2805"/>
      <c r="E360" s="2805"/>
      <c r="F360" s="2805"/>
      <c r="G360" s="2805"/>
      <c r="H360" s="2805"/>
      <c r="I360" s="2805"/>
      <c r="J360" s="2805"/>
      <c r="K360" s="2805"/>
      <c r="L360" s="2805"/>
      <c r="M360" s="2805"/>
      <c r="N360" s="2806"/>
      <c r="EW360" s="2031"/>
      <c r="EX360" s="1619"/>
      <c r="EY360" s="1628"/>
      <c r="EZ360" s="1628"/>
      <c r="FA360" s="1628"/>
      <c r="FB360" s="1864" t="s">
        <v>8930</v>
      </c>
      <c r="FH360" s="1628"/>
    </row>
    <row r="361" spans="1:176" s="1484" customFormat="1" ht="22.5" x14ac:dyDescent="0.25">
      <c r="A361" s="1630"/>
      <c r="B361" s="1631" t="s">
        <v>6062</v>
      </c>
      <c r="C361" s="2809" t="s">
        <v>6063</v>
      </c>
      <c r="D361" s="2809"/>
      <c r="E361" s="2809"/>
      <c r="F361" s="2809"/>
      <c r="G361" s="2809"/>
      <c r="H361" s="2809"/>
      <c r="I361" s="2809"/>
      <c r="J361" s="2809"/>
      <c r="K361" s="2809"/>
      <c r="L361" s="2809"/>
      <c r="M361" s="2809"/>
      <c r="N361" s="2810"/>
      <c r="EW361" s="2031"/>
      <c r="EX361" s="1619"/>
      <c r="EY361" s="1628"/>
      <c r="EZ361" s="1628"/>
      <c r="FA361" s="1628"/>
      <c r="FC361" s="1864" t="s">
        <v>6063</v>
      </c>
      <c r="FH361" s="1628"/>
    </row>
    <row r="362" spans="1:176" s="1484" customFormat="1" ht="22.5" x14ac:dyDescent="0.25">
      <c r="A362" s="2033"/>
      <c r="B362" s="1631" t="s">
        <v>3260</v>
      </c>
      <c r="C362" s="2805" t="s">
        <v>8636</v>
      </c>
      <c r="D362" s="2805"/>
      <c r="E362" s="2805"/>
      <c r="F362" s="1683" t="s">
        <v>807</v>
      </c>
      <c r="G362" s="1655">
        <v>106.19</v>
      </c>
      <c r="H362" s="1641"/>
      <c r="I362" s="2042">
        <v>963.78044</v>
      </c>
      <c r="J362" s="1654">
        <v>9.18</v>
      </c>
      <c r="K362" s="1655">
        <v>1.25</v>
      </c>
      <c r="L362" s="1657">
        <v>11059.38</v>
      </c>
      <c r="M362" s="1641"/>
      <c r="N362" s="1681"/>
      <c r="EW362" s="2031"/>
      <c r="EX362" s="1619"/>
      <c r="EY362" s="1628"/>
      <c r="EZ362" s="1628"/>
      <c r="FA362" s="1628"/>
      <c r="FD362" s="1864" t="s">
        <v>8636</v>
      </c>
      <c r="FH362" s="1628"/>
    </row>
    <row r="363" spans="1:176" s="1484" customFormat="1" ht="22.5" x14ac:dyDescent="0.25">
      <c r="A363" s="2033"/>
      <c r="B363" s="1631" t="s">
        <v>817</v>
      </c>
      <c r="C363" s="2805" t="s">
        <v>818</v>
      </c>
      <c r="D363" s="2805"/>
      <c r="E363" s="2805"/>
      <c r="F363" s="1683" t="s">
        <v>4994</v>
      </c>
      <c r="G363" s="1655">
        <v>0.27</v>
      </c>
      <c r="H363" s="1641"/>
      <c r="I363" s="2042">
        <v>2.45052</v>
      </c>
      <c r="J363" s="1654">
        <v>115.4</v>
      </c>
      <c r="K363" s="1641"/>
      <c r="L363" s="1654">
        <v>282.79000000000002</v>
      </c>
      <c r="M363" s="1641"/>
      <c r="N363" s="1681"/>
      <c r="EW363" s="2031"/>
      <c r="EX363" s="1619"/>
      <c r="EY363" s="1628"/>
      <c r="EZ363" s="1628"/>
      <c r="FA363" s="1628"/>
      <c r="FD363" s="1864" t="s">
        <v>818</v>
      </c>
      <c r="FH363" s="1628"/>
    </row>
    <row r="364" spans="1:176" s="1484" customFormat="1" ht="15" x14ac:dyDescent="0.25">
      <c r="A364" s="2033"/>
      <c r="B364" s="1631" t="s">
        <v>821</v>
      </c>
      <c r="C364" s="2805" t="s">
        <v>822</v>
      </c>
      <c r="D364" s="2805"/>
      <c r="E364" s="2805"/>
      <c r="F364" s="1683" t="s">
        <v>4994</v>
      </c>
      <c r="G364" s="1655">
        <v>0.37</v>
      </c>
      <c r="H364" s="1641"/>
      <c r="I364" s="2042">
        <v>3.35812</v>
      </c>
      <c r="J364" s="1654">
        <v>65.709999999999994</v>
      </c>
      <c r="K364" s="1641"/>
      <c r="L364" s="1654">
        <v>220.66</v>
      </c>
      <c r="M364" s="1641"/>
      <c r="N364" s="1681"/>
      <c r="EW364" s="2031"/>
      <c r="EX364" s="1619"/>
      <c r="EY364" s="1628"/>
      <c r="EZ364" s="1628"/>
      <c r="FA364" s="1628"/>
      <c r="FD364" s="1864" t="s">
        <v>822</v>
      </c>
      <c r="FH364" s="1628"/>
    </row>
    <row r="365" spans="1:176" s="1484" customFormat="1" ht="15" x14ac:dyDescent="0.25">
      <c r="A365" s="2033"/>
      <c r="B365" s="1631" t="s">
        <v>4907</v>
      </c>
      <c r="C365" s="2805" t="s">
        <v>8890</v>
      </c>
      <c r="D365" s="2805"/>
      <c r="E365" s="2805"/>
      <c r="F365" s="1683" t="s">
        <v>4865</v>
      </c>
      <c r="G365" s="2034">
        <v>7</v>
      </c>
      <c r="H365" s="1641"/>
      <c r="I365" s="2046">
        <v>63.531999999999996</v>
      </c>
      <c r="J365" s="1654">
        <v>118</v>
      </c>
      <c r="K365" s="1641"/>
      <c r="L365" s="1657">
        <v>7496.78</v>
      </c>
      <c r="M365" s="1641"/>
      <c r="N365" s="1681"/>
      <c r="EW365" s="2031"/>
      <c r="EX365" s="1619"/>
      <c r="EY365" s="1628"/>
      <c r="EZ365" s="1628"/>
      <c r="FA365" s="1628"/>
      <c r="FD365" s="1864" t="s">
        <v>8890</v>
      </c>
      <c r="FH365" s="1628"/>
    </row>
    <row r="366" spans="1:176" s="1484" customFormat="1" ht="15" x14ac:dyDescent="0.25">
      <c r="A366" s="2033"/>
      <c r="B366" s="1631" t="s">
        <v>4910</v>
      </c>
      <c r="C366" s="2805" t="s">
        <v>8889</v>
      </c>
      <c r="D366" s="2805"/>
      <c r="E366" s="2805"/>
      <c r="F366" s="1683" t="s">
        <v>4865</v>
      </c>
      <c r="G366" s="2034">
        <v>29</v>
      </c>
      <c r="H366" s="1641"/>
      <c r="I366" s="2046">
        <v>263.20400000000001</v>
      </c>
      <c r="J366" s="1654">
        <v>10</v>
      </c>
      <c r="K366" s="1641"/>
      <c r="L366" s="1657">
        <v>2632.04</v>
      </c>
      <c r="M366" s="1641"/>
      <c r="N366" s="1681"/>
      <c r="EW366" s="2031"/>
      <c r="EX366" s="1619"/>
      <c r="EY366" s="1628"/>
      <c r="EZ366" s="1628"/>
      <c r="FA366" s="1628"/>
      <c r="FD366" s="1864" t="s">
        <v>8889</v>
      </c>
      <c r="FH366" s="1628"/>
    </row>
    <row r="367" spans="1:176" s="1484" customFormat="1" ht="33.75" x14ac:dyDescent="0.25">
      <c r="A367" s="2033"/>
      <c r="B367" s="1631" t="s">
        <v>4943</v>
      </c>
      <c r="C367" s="2805" t="s">
        <v>8888</v>
      </c>
      <c r="D367" s="2805"/>
      <c r="E367" s="2805"/>
      <c r="F367" s="1683" t="s">
        <v>2647</v>
      </c>
      <c r="G367" s="2034">
        <v>200</v>
      </c>
      <c r="H367" s="1641"/>
      <c r="I367" s="1953">
        <v>1815.2</v>
      </c>
      <c r="J367" s="1654">
        <v>6.91</v>
      </c>
      <c r="K367" s="1641"/>
      <c r="L367" s="1657">
        <v>12543.03</v>
      </c>
      <c r="M367" s="1641"/>
      <c r="N367" s="1681"/>
      <c r="EW367" s="2031"/>
      <c r="EX367" s="1619"/>
      <c r="EY367" s="1628"/>
      <c r="EZ367" s="1628"/>
      <c r="FA367" s="1628"/>
      <c r="FD367" s="1864" t="s">
        <v>8888</v>
      </c>
      <c r="FH367" s="1628"/>
    </row>
    <row r="368" spans="1:176" s="1484" customFormat="1" ht="33.75" x14ac:dyDescent="0.25">
      <c r="A368" s="2033"/>
      <c r="B368" s="1631" t="s">
        <v>4949</v>
      </c>
      <c r="C368" s="2805" t="s">
        <v>8887</v>
      </c>
      <c r="D368" s="2805"/>
      <c r="E368" s="2805"/>
      <c r="F368" s="1683" t="s">
        <v>269</v>
      </c>
      <c r="G368" s="2034">
        <v>350</v>
      </c>
      <c r="H368" s="1641"/>
      <c r="I368" s="1953">
        <v>3176.6</v>
      </c>
      <c r="J368" s="1654">
        <v>17.32</v>
      </c>
      <c r="K368" s="1641"/>
      <c r="L368" s="1657">
        <v>55018.71</v>
      </c>
      <c r="M368" s="1641"/>
      <c r="N368" s="1681"/>
      <c r="EW368" s="2031"/>
      <c r="EX368" s="1619"/>
      <c r="EY368" s="1628"/>
      <c r="EZ368" s="1628"/>
      <c r="FA368" s="1628"/>
      <c r="FD368" s="1864" t="s">
        <v>8887</v>
      </c>
      <c r="FH368" s="1628"/>
    </row>
    <row r="369" spans="1:164" s="1484" customFormat="1" ht="22.5" x14ac:dyDescent="0.25">
      <c r="A369" s="2033"/>
      <c r="B369" s="1631" t="s">
        <v>4950</v>
      </c>
      <c r="C369" s="2805" t="s">
        <v>8886</v>
      </c>
      <c r="D369" s="2805"/>
      <c r="E369" s="2805"/>
      <c r="F369" s="1683" t="s">
        <v>2647</v>
      </c>
      <c r="G369" s="2034">
        <v>42</v>
      </c>
      <c r="H369" s="1641"/>
      <c r="I369" s="2046">
        <v>381.19200000000001</v>
      </c>
      <c r="J369" s="1654">
        <v>23.15</v>
      </c>
      <c r="K369" s="1641"/>
      <c r="L369" s="1657">
        <v>8824.59</v>
      </c>
      <c r="M369" s="1641"/>
      <c r="N369" s="1681"/>
      <c r="EW369" s="2031"/>
      <c r="EX369" s="1619"/>
      <c r="EY369" s="1628"/>
      <c r="EZ369" s="1628"/>
      <c r="FA369" s="1628"/>
      <c r="FD369" s="1864" t="s">
        <v>8886</v>
      </c>
      <c r="FH369" s="1628"/>
    </row>
    <row r="370" spans="1:164" s="1484" customFormat="1" ht="22.5" x14ac:dyDescent="0.25">
      <c r="A370" s="2033"/>
      <c r="B370" s="1631" t="s">
        <v>4951</v>
      </c>
      <c r="C370" s="2805" t="s">
        <v>8885</v>
      </c>
      <c r="D370" s="2805"/>
      <c r="E370" s="2805"/>
      <c r="F370" s="1683" t="s">
        <v>2647</v>
      </c>
      <c r="G370" s="2034">
        <v>12</v>
      </c>
      <c r="H370" s="1641"/>
      <c r="I370" s="2046">
        <v>108.91200000000001</v>
      </c>
      <c r="J370" s="1654">
        <v>64.47</v>
      </c>
      <c r="K370" s="1641"/>
      <c r="L370" s="1657">
        <v>7021.56</v>
      </c>
      <c r="M370" s="1641"/>
      <c r="N370" s="1681"/>
      <c r="EW370" s="2031"/>
      <c r="EX370" s="1619"/>
      <c r="EY370" s="1628"/>
      <c r="EZ370" s="1628"/>
      <c r="FA370" s="1628"/>
      <c r="FD370" s="1864" t="s">
        <v>8885</v>
      </c>
      <c r="FH370" s="1628"/>
    </row>
    <row r="371" spans="1:164" s="1484" customFormat="1" ht="22.5" x14ac:dyDescent="0.25">
      <c r="A371" s="2033"/>
      <c r="B371" s="1631" t="s">
        <v>4952</v>
      </c>
      <c r="C371" s="2805" t="s">
        <v>8884</v>
      </c>
      <c r="D371" s="2805"/>
      <c r="E371" s="2805"/>
      <c r="F371" s="1683" t="s">
        <v>2647</v>
      </c>
      <c r="G371" s="2034">
        <v>55</v>
      </c>
      <c r="H371" s="1641"/>
      <c r="I371" s="1655">
        <v>499.18</v>
      </c>
      <c r="J371" s="1654">
        <v>7.5</v>
      </c>
      <c r="K371" s="1641"/>
      <c r="L371" s="1657">
        <v>3743.85</v>
      </c>
      <c r="M371" s="1641"/>
      <c r="N371" s="1681"/>
      <c r="EW371" s="2031"/>
      <c r="EX371" s="1619"/>
      <c r="EY371" s="1628"/>
      <c r="EZ371" s="1628"/>
      <c r="FA371" s="1628"/>
      <c r="FD371" s="1864" t="s">
        <v>8884</v>
      </c>
      <c r="FH371" s="1628"/>
    </row>
    <row r="372" spans="1:164" s="1484" customFormat="1" ht="15" x14ac:dyDescent="0.25">
      <c r="A372" s="2032"/>
      <c r="B372" s="1631" t="s">
        <v>190</v>
      </c>
      <c r="C372" s="2805" t="s">
        <v>2523</v>
      </c>
      <c r="D372" s="2805"/>
      <c r="E372" s="2805"/>
      <c r="F372" s="1683"/>
      <c r="G372" s="1641"/>
      <c r="H372" s="1641"/>
      <c r="I372" s="1641"/>
      <c r="J372" s="1654">
        <v>974.82</v>
      </c>
      <c r="K372" s="1655">
        <v>1.25</v>
      </c>
      <c r="L372" s="1657">
        <v>11059.33</v>
      </c>
      <c r="M372" s="1655">
        <v>35.75</v>
      </c>
      <c r="N372" s="1679">
        <v>395371.05</v>
      </c>
      <c r="EW372" s="2031"/>
      <c r="EX372" s="1619"/>
      <c r="EY372" s="1628"/>
      <c r="EZ372" s="1628"/>
      <c r="FA372" s="1628"/>
      <c r="FE372" s="1864" t="s">
        <v>2523</v>
      </c>
      <c r="FH372" s="1628"/>
    </row>
    <row r="373" spans="1:164" s="1484" customFormat="1" ht="15" x14ac:dyDescent="0.25">
      <c r="A373" s="2032"/>
      <c r="B373" s="1631" t="s">
        <v>639</v>
      </c>
      <c r="C373" s="2805" t="s">
        <v>697</v>
      </c>
      <c r="D373" s="2805"/>
      <c r="E373" s="2805"/>
      <c r="F373" s="1683"/>
      <c r="G373" s="1641"/>
      <c r="H373" s="1641"/>
      <c r="I373" s="1641"/>
      <c r="J373" s="1654">
        <v>55.47</v>
      </c>
      <c r="K373" s="1641"/>
      <c r="L373" s="1654">
        <v>503.45</v>
      </c>
      <c r="M373" s="1655">
        <v>11.97</v>
      </c>
      <c r="N373" s="1679">
        <v>6026.3</v>
      </c>
      <c r="EW373" s="2031"/>
      <c r="EX373" s="1619"/>
      <c r="EY373" s="1628"/>
      <c r="EZ373" s="1628"/>
      <c r="FA373" s="1628"/>
      <c r="FE373" s="1864" t="s">
        <v>697</v>
      </c>
      <c r="FH373" s="1628"/>
    </row>
    <row r="374" spans="1:164" s="1484" customFormat="1" ht="15" x14ac:dyDescent="0.25">
      <c r="A374" s="2032"/>
      <c r="B374" s="1631" t="s">
        <v>640</v>
      </c>
      <c r="C374" s="2805" t="s">
        <v>2500</v>
      </c>
      <c r="D374" s="2805"/>
      <c r="E374" s="2805"/>
      <c r="F374" s="1683"/>
      <c r="G374" s="1641"/>
      <c r="H374" s="1641"/>
      <c r="I374" s="1641"/>
      <c r="J374" s="1654">
        <v>7.94</v>
      </c>
      <c r="K374" s="1641"/>
      <c r="L374" s="1654">
        <v>72.06</v>
      </c>
      <c r="M374" s="1655">
        <v>35.75</v>
      </c>
      <c r="N374" s="1679">
        <v>2576.15</v>
      </c>
      <c r="EW374" s="2031"/>
      <c r="EX374" s="1619"/>
      <c r="EY374" s="1628"/>
      <c r="EZ374" s="1628"/>
      <c r="FA374" s="1628"/>
      <c r="FE374" s="1864" t="s">
        <v>2500</v>
      </c>
      <c r="FH374" s="1628"/>
    </row>
    <row r="375" spans="1:164" s="1484" customFormat="1" ht="15" x14ac:dyDescent="0.25">
      <c r="A375" s="2032"/>
      <c r="B375" s="1631" t="s">
        <v>232</v>
      </c>
      <c r="C375" s="2805" t="s">
        <v>829</v>
      </c>
      <c r="D375" s="2805"/>
      <c r="E375" s="2805"/>
      <c r="F375" s="1683"/>
      <c r="G375" s="1641"/>
      <c r="H375" s="1641"/>
      <c r="I375" s="1641"/>
      <c r="J375" s="1657">
        <v>10718.44</v>
      </c>
      <c r="K375" s="1641"/>
      <c r="L375" s="1657">
        <v>97280.56</v>
      </c>
      <c r="M375" s="1655">
        <v>9.14</v>
      </c>
      <c r="N375" s="1679">
        <v>889144.31999999995</v>
      </c>
      <c r="EW375" s="2031"/>
      <c r="EX375" s="1619"/>
      <c r="EY375" s="1628"/>
      <c r="EZ375" s="1628"/>
      <c r="FA375" s="1628"/>
      <c r="FE375" s="1864" t="s">
        <v>829</v>
      </c>
      <c r="FH375" s="1628"/>
    </row>
    <row r="376" spans="1:164" s="1484" customFormat="1" ht="15" x14ac:dyDescent="0.25">
      <c r="A376" s="2033"/>
      <c r="B376" s="1631"/>
      <c r="C376" s="2805" t="s">
        <v>2524</v>
      </c>
      <c r="D376" s="2805"/>
      <c r="E376" s="2805"/>
      <c r="F376" s="1683" t="s">
        <v>807</v>
      </c>
      <c r="G376" s="1655">
        <v>106.19</v>
      </c>
      <c r="H376" s="1641"/>
      <c r="I376" s="2042">
        <v>963.78044</v>
      </c>
      <c r="J376" s="1640"/>
      <c r="K376" s="1641"/>
      <c r="L376" s="1640"/>
      <c r="M376" s="1641"/>
      <c r="N376" s="1681"/>
      <c r="EW376" s="2031"/>
      <c r="EX376" s="1619"/>
      <c r="EY376" s="1628"/>
      <c r="EZ376" s="1628"/>
      <c r="FA376" s="1628"/>
      <c r="FF376" s="1864" t="s">
        <v>2524</v>
      </c>
      <c r="FH376" s="1628"/>
    </row>
    <row r="377" spans="1:164" s="1484" customFormat="1" ht="15" x14ac:dyDescent="0.25">
      <c r="A377" s="2033"/>
      <c r="B377" s="1631"/>
      <c r="C377" s="2805" t="s">
        <v>2501</v>
      </c>
      <c r="D377" s="2805"/>
      <c r="E377" s="2805"/>
      <c r="F377" s="1683" t="s">
        <v>807</v>
      </c>
      <c r="G377" s="1655">
        <v>0.64</v>
      </c>
      <c r="H377" s="1641"/>
      <c r="I377" s="2042">
        <v>5.8086399999999996</v>
      </c>
      <c r="J377" s="1640"/>
      <c r="K377" s="1641"/>
      <c r="L377" s="1640"/>
      <c r="M377" s="1641"/>
      <c r="N377" s="1681"/>
      <c r="EW377" s="2031"/>
      <c r="EX377" s="1619"/>
      <c r="EY377" s="1628"/>
      <c r="EZ377" s="1628"/>
      <c r="FA377" s="1628"/>
      <c r="FF377" s="1864" t="s">
        <v>2501</v>
      </c>
      <c r="FH377" s="1628"/>
    </row>
    <row r="378" spans="1:164" s="1484" customFormat="1" ht="15" x14ac:dyDescent="0.25">
      <c r="A378" s="2032"/>
      <c r="B378" s="1631"/>
      <c r="C378" s="2917" t="s">
        <v>2502</v>
      </c>
      <c r="D378" s="2917"/>
      <c r="E378" s="2917"/>
      <c r="F378" s="2036"/>
      <c r="G378" s="2037"/>
      <c r="H378" s="2037"/>
      <c r="I378" s="2037"/>
      <c r="J378" s="2038">
        <v>11748.73</v>
      </c>
      <c r="K378" s="2037"/>
      <c r="L378" s="2038">
        <v>108843.34</v>
      </c>
      <c r="M378" s="2037"/>
      <c r="N378" s="2068">
        <v>1290541.67</v>
      </c>
      <c r="EW378" s="2031"/>
      <c r="EX378" s="1619"/>
      <c r="EY378" s="1628"/>
      <c r="EZ378" s="1628"/>
      <c r="FA378" s="1628"/>
      <c r="FG378" s="1864" t="s">
        <v>2502</v>
      </c>
      <c r="FH378" s="1628"/>
    </row>
    <row r="379" spans="1:164" s="1484" customFormat="1" ht="15" x14ac:dyDescent="0.25">
      <c r="A379" s="2033" t="s">
        <v>8025</v>
      </c>
      <c r="B379" s="1631"/>
      <c r="C379" s="2805" t="s">
        <v>7964</v>
      </c>
      <c r="D379" s="2805"/>
      <c r="E379" s="2805"/>
      <c r="F379" s="1683" t="s">
        <v>5928</v>
      </c>
      <c r="G379" s="1641"/>
      <c r="H379" s="1641"/>
      <c r="I379" s="1641"/>
      <c r="J379" s="1640"/>
      <c r="K379" s="1641"/>
      <c r="L379" s="1654">
        <v>18.02</v>
      </c>
      <c r="M379" s="1641"/>
      <c r="N379" s="2039">
        <v>644.22</v>
      </c>
      <c r="EW379" s="2031"/>
      <c r="EX379" s="1619"/>
      <c r="EY379" s="1628"/>
      <c r="EZ379" s="1628"/>
      <c r="FA379" s="1628"/>
      <c r="FF379" s="1864" t="s">
        <v>7964</v>
      </c>
      <c r="FH379" s="1628"/>
    </row>
    <row r="380" spans="1:164" s="1484" customFormat="1" ht="15" x14ac:dyDescent="0.25">
      <c r="A380" s="2033"/>
      <c r="B380" s="1631"/>
      <c r="C380" s="2805" t="s">
        <v>7965</v>
      </c>
      <c r="D380" s="2805"/>
      <c r="E380" s="2805"/>
      <c r="F380" s="1683" t="s">
        <v>5928</v>
      </c>
      <c r="G380" s="1641"/>
      <c r="H380" s="1641"/>
      <c r="I380" s="1641"/>
      <c r="J380" s="1654">
        <v>7.94</v>
      </c>
      <c r="K380" s="1655">
        <v>0.25</v>
      </c>
      <c r="L380" s="1654">
        <v>18.02</v>
      </c>
      <c r="M380" s="1655">
        <v>35.75</v>
      </c>
      <c r="N380" s="2039">
        <v>644.22</v>
      </c>
      <c r="EW380" s="2031"/>
      <c r="EX380" s="1619"/>
      <c r="EY380" s="1628"/>
      <c r="EZ380" s="1628"/>
      <c r="FA380" s="1628"/>
      <c r="FF380" s="1864" t="s">
        <v>7965</v>
      </c>
      <c r="FH380" s="1628"/>
    </row>
    <row r="381" spans="1:164" s="1484" customFormat="1" ht="15" x14ac:dyDescent="0.25">
      <c r="A381" s="2033"/>
      <c r="B381" s="1631"/>
      <c r="C381" s="2805" t="s">
        <v>867</v>
      </c>
      <c r="D381" s="2805"/>
      <c r="E381" s="2805"/>
      <c r="F381" s="1683"/>
      <c r="G381" s="1641"/>
      <c r="H381" s="1641"/>
      <c r="I381" s="1641"/>
      <c r="J381" s="1640"/>
      <c r="K381" s="1641"/>
      <c r="L381" s="1657">
        <v>11149.41</v>
      </c>
      <c r="M381" s="1641"/>
      <c r="N381" s="1679">
        <v>398591.42</v>
      </c>
      <c r="EW381" s="2031"/>
      <c r="EX381" s="1619"/>
      <c r="EY381" s="1628"/>
      <c r="EZ381" s="1628"/>
      <c r="FA381" s="1628"/>
      <c r="FF381" s="1864" t="s">
        <v>867</v>
      </c>
      <c r="FH381" s="1628"/>
    </row>
    <row r="382" spans="1:164" s="1484" customFormat="1" ht="15" x14ac:dyDescent="0.25">
      <c r="A382" s="2033"/>
      <c r="B382" s="1631" t="s">
        <v>7966</v>
      </c>
      <c r="C382" s="2805" t="s">
        <v>7967</v>
      </c>
      <c r="D382" s="2805"/>
      <c r="E382" s="2805"/>
      <c r="F382" s="1683" t="s">
        <v>636</v>
      </c>
      <c r="G382" s="2034">
        <v>100</v>
      </c>
      <c r="H382" s="1641"/>
      <c r="I382" s="2034">
        <v>100</v>
      </c>
      <c r="J382" s="1640"/>
      <c r="K382" s="1641"/>
      <c r="L382" s="1657">
        <v>11149.41</v>
      </c>
      <c r="M382" s="1641"/>
      <c r="N382" s="1679">
        <v>398591.42</v>
      </c>
      <c r="EW382" s="2031"/>
      <c r="EX382" s="1619"/>
      <c r="EY382" s="1628"/>
      <c r="EZ382" s="1628"/>
      <c r="FA382" s="1628"/>
      <c r="FF382" s="1864" t="s">
        <v>7967</v>
      </c>
      <c r="FH382" s="1628"/>
    </row>
    <row r="383" spans="1:164" s="1484" customFormat="1" ht="15" x14ac:dyDescent="0.25">
      <c r="A383" s="2033"/>
      <c r="B383" s="1631" t="s">
        <v>7968</v>
      </c>
      <c r="C383" s="2805" t="s">
        <v>7969</v>
      </c>
      <c r="D383" s="2805"/>
      <c r="E383" s="2805"/>
      <c r="F383" s="1683" t="s">
        <v>636</v>
      </c>
      <c r="G383" s="2034">
        <v>49</v>
      </c>
      <c r="H383" s="1641"/>
      <c r="I383" s="2034">
        <v>49</v>
      </c>
      <c r="J383" s="1640"/>
      <c r="K383" s="1641"/>
      <c r="L383" s="1657">
        <v>5463.21</v>
      </c>
      <c r="M383" s="1641"/>
      <c r="N383" s="1679">
        <v>195309.8</v>
      </c>
      <c r="EW383" s="2031"/>
      <c r="EX383" s="1619"/>
      <c r="EY383" s="1628"/>
      <c r="EZ383" s="1628"/>
      <c r="FA383" s="1628"/>
      <c r="FF383" s="1864" t="s">
        <v>7969</v>
      </c>
      <c r="FH383" s="1628"/>
    </row>
    <row r="384" spans="1:164" s="1484" customFormat="1" ht="15" x14ac:dyDescent="0.25">
      <c r="A384" s="1650"/>
      <c r="B384" s="1651"/>
      <c r="C384" s="2803" t="s">
        <v>872</v>
      </c>
      <c r="D384" s="2803"/>
      <c r="E384" s="2803"/>
      <c r="F384" s="1621"/>
      <c r="G384" s="1622"/>
      <c r="H384" s="1622"/>
      <c r="I384" s="1622"/>
      <c r="J384" s="1625"/>
      <c r="K384" s="1622"/>
      <c r="L384" s="1648">
        <v>125473.98</v>
      </c>
      <c r="M384" s="2037"/>
      <c r="N384" s="1649">
        <v>1885087.11</v>
      </c>
      <c r="EW384" s="2031"/>
      <c r="EX384" s="1619"/>
      <c r="EY384" s="1628"/>
      <c r="EZ384" s="1628"/>
      <c r="FA384" s="1628"/>
      <c r="FH384" s="1628" t="s">
        <v>872</v>
      </c>
    </row>
    <row r="385" spans="1:176" s="1484" customFormat="1" ht="45" x14ac:dyDescent="0.25">
      <c r="A385" s="1620" t="s">
        <v>919</v>
      </c>
      <c r="B385" s="1863" t="s">
        <v>8893</v>
      </c>
      <c r="C385" s="2803" t="s">
        <v>7993</v>
      </c>
      <c r="D385" s="2803"/>
      <c r="E385" s="2803"/>
      <c r="F385" s="1621" t="s">
        <v>130</v>
      </c>
      <c r="G385" s="1622">
        <v>1070.9680000000001</v>
      </c>
      <c r="H385" s="1623">
        <v>1</v>
      </c>
      <c r="I385" s="2045">
        <v>1070.9680000000001</v>
      </c>
      <c r="J385" s="1648">
        <v>9053.35</v>
      </c>
      <c r="K385" s="1622"/>
      <c r="L385" s="1648">
        <v>1060814.8899999999</v>
      </c>
      <c r="M385" s="1687">
        <v>9.14</v>
      </c>
      <c r="N385" s="1649">
        <v>9695848.1400000006</v>
      </c>
      <c r="EW385" s="2031"/>
      <c r="EX385" s="1619"/>
      <c r="EY385" s="1628" t="s">
        <v>7993</v>
      </c>
      <c r="EZ385" s="1628" t="s">
        <v>588</v>
      </c>
      <c r="FA385" s="1628" t="s">
        <v>588</v>
      </c>
      <c r="FH385" s="1628"/>
    </row>
    <row r="386" spans="1:176" s="1484" customFormat="1" ht="15" x14ac:dyDescent="0.25">
      <c r="A386" s="1650"/>
      <c r="B386" s="1651"/>
      <c r="C386" s="2805" t="s">
        <v>8689</v>
      </c>
      <c r="D386" s="2805"/>
      <c r="E386" s="2805"/>
      <c r="F386" s="2805"/>
      <c r="G386" s="2805"/>
      <c r="H386" s="2805"/>
      <c r="I386" s="2805"/>
      <c r="J386" s="2805"/>
      <c r="K386" s="2805"/>
      <c r="L386" s="2805"/>
      <c r="M386" s="2805"/>
      <c r="N386" s="2806"/>
      <c r="EW386" s="2031"/>
      <c r="EX386" s="1619"/>
      <c r="EY386" s="1628"/>
      <c r="EZ386" s="1628"/>
      <c r="FA386" s="1628"/>
      <c r="FH386" s="1628"/>
      <c r="FI386" s="1864" t="s">
        <v>8689</v>
      </c>
      <c r="FJ386" s="1864" t="s">
        <v>588</v>
      </c>
      <c r="FK386" s="1864" t="s">
        <v>588</v>
      </c>
      <c r="FL386" s="1864" t="s">
        <v>588</v>
      </c>
      <c r="FM386" s="1864" t="s">
        <v>588</v>
      </c>
      <c r="FN386" s="1864" t="s">
        <v>588</v>
      </c>
      <c r="FO386" s="1864" t="s">
        <v>588</v>
      </c>
      <c r="FP386" s="1864" t="s">
        <v>588</v>
      </c>
      <c r="FQ386" s="1864" t="s">
        <v>588</v>
      </c>
      <c r="FR386" s="1864" t="s">
        <v>588</v>
      </c>
      <c r="FS386" s="1864" t="s">
        <v>588</v>
      </c>
      <c r="FT386" s="1864" t="s">
        <v>588</v>
      </c>
    </row>
    <row r="387" spans="1:176" s="1484" customFormat="1" ht="15" x14ac:dyDescent="0.25">
      <c r="A387" s="1650"/>
      <c r="B387" s="1651"/>
      <c r="C387" s="2803" t="s">
        <v>872</v>
      </c>
      <c r="D387" s="2803"/>
      <c r="E387" s="2803"/>
      <c r="F387" s="1621"/>
      <c r="G387" s="1622"/>
      <c r="H387" s="1622"/>
      <c r="I387" s="1622"/>
      <c r="J387" s="1625"/>
      <c r="K387" s="1622"/>
      <c r="L387" s="1648">
        <v>1060814.8899999999</v>
      </c>
      <c r="M387" s="2037"/>
      <c r="N387" s="1649">
        <v>9695848.1400000006</v>
      </c>
      <c r="EW387" s="2031"/>
      <c r="EX387" s="1619"/>
      <c r="EY387" s="1628"/>
      <c r="EZ387" s="1628"/>
      <c r="FA387" s="1628"/>
      <c r="FH387" s="1628" t="s">
        <v>872</v>
      </c>
    </row>
    <row r="388" spans="1:176" s="1484" customFormat="1" ht="15" x14ac:dyDescent="0.25">
      <c r="A388" s="2811" t="s">
        <v>8026</v>
      </c>
      <c r="B388" s="2812"/>
      <c r="C388" s="2812"/>
      <c r="D388" s="2812"/>
      <c r="E388" s="2812"/>
      <c r="F388" s="2812"/>
      <c r="G388" s="2812"/>
      <c r="H388" s="2812"/>
      <c r="I388" s="2812"/>
      <c r="J388" s="2812"/>
      <c r="K388" s="2812"/>
      <c r="L388" s="2812"/>
      <c r="M388" s="2812"/>
      <c r="N388" s="2813"/>
      <c r="EW388" s="2031"/>
      <c r="EX388" s="1619" t="s">
        <v>8026</v>
      </c>
      <c r="EY388" s="1628"/>
      <c r="EZ388" s="1628"/>
      <c r="FA388" s="1628"/>
      <c r="FH388" s="1628"/>
    </row>
    <row r="389" spans="1:176" s="1484" customFormat="1" ht="45" x14ac:dyDescent="0.25">
      <c r="A389" s="1620" t="s">
        <v>8027</v>
      </c>
      <c r="B389" s="1863" t="s">
        <v>8929</v>
      </c>
      <c r="C389" s="2803" t="s">
        <v>8028</v>
      </c>
      <c r="D389" s="2803"/>
      <c r="E389" s="2803"/>
      <c r="F389" s="1621" t="s">
        <v>2555</v>
      </c>
      <c r="G389" s="1622">
        <v>0.93100000000000005</v>
      </c>
      <c r="H389" s="1623">
        <v>1</v>
      </c>
      <c r="I389" s="2045">
        <v>0.93100000000000005</v>
      </c>
      <c r="J389" s="1625"/>
      <c r="K389" s="1622"/>
      <c r="L389" s="1625"/>
      <c r="M389" s="1622"/>
      <c r="N389" s="1627"/>
      <c r="EW389" s="2031"/>
      <c r="EX389" s="1619"/>
      <c r="EY389" s="1628" t="s">
        <v>8028</v>
      </c>
      <c r="EZ389" s="1628" t="s">
        <v>588</v>
      </c>
      <c r="FA389" s="1628" t="s">
        <v>588</v>
      </c>
      <c r="FH389" s="1628"/>
    </row>
    <row r="390" spans="1:176" s="1484" customFormat="1" ht="15" x14ac:dyDescent="0.25">
      <c r="A390" s="1629"/>
      <c r="B390" s="1862"/>
      <c r="C390" s="2805" t="s">
        <v>8928</v>
      </c>
      <c r="D390" s="2805"/>
      <c r="E390" s="2805"/>
      <c r="F390" s="2805"/>
      <c r="G390" s="2805"/>
      <c r="H390" s="2805"/>
      <c r="I390" s="2805"/>
      <c r="J390" s="2805"/>
      <c r="K390" s="2805"/>
      <c r="L390" s="2805"/>
      <c r="M390" s="2805"/>
      <c r="N390" s="2806"/>
      <c r="EW390" s="2031"/>
      <c r="EX390" s="1619"/>
      <c r="EY390" s="1628"/>
      <c r="EZ390" s="1628"/>
      <c r="FA390" s="1628"/>
      <c r="FB390" s="1864" t="s">
        <v>8928</v>
      </c>
      <c r="FH390" s="1628"/>
    </row>
    <row r="391" spans="1:176" s="1484" customFormat="1" ht="22.5" x14ac:dyDescent="0.25">
      <c r="A391" s="1630"/>
      <c r="B391" s="1631" t="s">
        <v>6062</v>
      </c>
      <c r="C391" s="2809" t="s">
        <v>6063</v>
      </c>
      <c r="D391" s="2809"/>
      <c r="E391" s="2809"/>
      <c r="F391" s="2809"/>
      <c r="G391" s="2809"/>
      <c r="H391" s="2809"/>
      <c r="I391" s="2809"/>
      <c r="J391" s="2809"/>
      <c r="K391" s="2809"/>
      <c r="L391" s="2809"/>
      <c r="M391" s="2809"/>
      <c r="N391" s="2810"/>
      <c r="EW391" s="2031"/>
      <c r="EX391" s="1619"/>
      <c r="EY391" s="1628"/>
      <c r="EZ391" s="1628"/>
      <c r="FA391" s="1628"/>
      <c r="FC391" s="1864" t="s">
        <v>6063</v>
      </c>
      <c r="FH391" s="1628"/>
    </row>
    <row r="392" spans="1:176" s="1484" customFormat="1" ht="22.5" x14ac:dyDescent="0.25">
      <c r="A392" s="2033"/>
      <c r="B392" s="1631" t="s">
        <v>3260</v>
      </c>
      <c r="C392" s="2805" t="s">
        <v>8636</v>
      </c>
      <c r="D392" s="2805"/>
      <c r="E392" s="2805"/>
      <c r="F392" s="1683" t="s">
        <v>807</v>
      </c>
      <c r="G392" s="1655">
        <v>49.75</v>
      </c>
      <c r="H392" s="1641"/>
      <c r="I392" s="2042">
        <v>46.317250000000001</v>
      </c>
      <c r="J392" s="1654">
        <v>9.18</v>
      </c>
      <c r="K392" s="1655">
        <v>1.25</v>
      </c>
      <c r="L392" s="1654">
        <v>531.49</v>
      </c>
      <c r="M392" s="1641"/>
      <c r="N392" s="1681"/>
      <c r="EW392" s="2031"/>
      <c r="EX392" s="1619"/>
      <c r="EY392" s="1628"/>
      <c r="EZ392" s="1628"/>
      <c r="FA392" s="1628"/>
      <c r="FD392" s="1864" t="s">
        <v>8636</v>
      </c>
      <c r="FH392" s="1628"/>
    </row>
    <row r="393" spans="1:176" s="1484" customFormat="1" ht="22.5" x14ac:dyDescent="0.25">
      <c r="A393" s="2033"/>
      <c r="B393" s="1631" t="s">
        <v>5007</v>
      </c>
      <c r="C393" s="2805" t="s">
        <v>8927</v>
      </c>
      <c r="D393" s="2805"/>
      <c r="E393" s="2805"/>
      <c r="F393" s="1683" t="s">
        <v>4994</v>
      </c>
      <c r="G393" s="2046">
        <v>2.1999999999999999E-2</v>
      </c>
      <c r="H393" s="1641"/>
      <c r="I393" s="2043">
        <v>2.0482E-2</v>
      </c>
      <c r="J393" s="1654">
        <v>82.31</v>
      </c>
      <c r="K393" s="1641"/>
      <c r="L393" s="1654">
        <v>1.69</v>
      </c>
      <c r="M393" s="1641"/>
      <c r="N393" s="1681"/>
      <c r="EW393" s="2031"/>
      <c r="EX393" s="1619"/>
      <c r="EY393" s="1628"/>
      <c r="EZ393" s="1628"/>
      <c r="FA393" s="1628"/>
      <c r="FD393" s="1864" t="s">
        <v>8927</v>
      </c>
      <c r="FH393" s="1628"/>
    </row>
    <row r="394" spans="1:176" s="1484" customFormat="1" ht="22.5" x14ac:dyDescent="0.25">
      <c r="A394" s="2033"/>
      <c r="B394" s="1631" t="s">
        <v>5010</v>
      </c>
      <c r="C394" s="2805" t="s">
        <v>5011</v>
      </c>
      <c r="D394" s="2805"/>
      <c r="E394" s="2805"/>
      <c r="F394" s="1683" t="s">
        <v>4994</v>
      </c>
      <c r="G394" s="1655">
        <v>0.11</v>
      </c>
      <c r="H394" s="1641"/>
      <c r="I394" s="2042">
        <v>0.10241</v>
      </c>
      <c r="J394" s="1654">
        <v>31.26</v>
      </c>
      <c r="K394" s="1641"/>
      <c r="L394" s="1654">
        <v>3.2</v>
      </c>
      <c r="M394" s="1641"/>
      <c r="N394" s="1681"/>
      <c r="EW394" s="2031"/>
      <c r="EX394" s="1619"/>
      <c r="EY394" s="1628"/>
      <c r="EZ394" s="1628"/>
      <c r="FA394" s="1628"/>
      <c r="FD394" s="1864" t="s">
        <v>5011</v>
      </c>
      <c r="FH394" s="1628"/>
    </row>
    <row r="395" spans="1:176" s="1484" customFormat="1" ht="15" x14ac:dyDescent="0.25">
      <c r="A395" s="2033"/>
      <c r="B395" s="1631" t="s">
        <v>821</v>
      </c>
      <c r="C395" s="2805" t="s">
        <v>822</v>
      </c>
      <c r="D395" s="2805"/>
      <c r="E395" s="2805"/>
      <c r="F395" s="1683" t="s">
        <v>4994</v>
      </c>
      <c r="G395" s="1655">
        <v>0.03</v>
      </c>
      <c r="H395" s="1641"/>
      <c r="I395" s="2042">
        <v>2.793E-2</v>
      </c>
      <c r="J395" s="1654">
        <v>65.709999999999994</v>
      </c>
      <c r="K395" s="1641"/>
      <c r="L395" s="1654">
        <v>1.84</v>
      </c>
      <c r="M395" s="1641"/>
      <c r="N395" s="1681"/>
      <c r="EW395" s="2031"/>
      <c r="EX395" s="1619"/>
      <c r="EY395" s="1628"/>
      <c r="EZ395" s="1628"/>
      <c r="FA395" s="1628"/>
      <c r="FD395" s="1864" t="s">
        <v>822</v>
      </c>
      <c r="FH395" s="1628"/>
    </row>
    <row r="396" spans="1:176" s="1484" customFormat="1" ht="15" x14ac:dyDescent="0.25">
      <c r="A396" s="2033"/>
      <c r="B396" s="1631" t="s">
        <v>841</v>
      </c>
      <c r="C396" s="2805" t="s">
        <v>842</v>
      </c>
      <c r="D396" s="2805"/>
      <c r="E396" s="2805"/>
      <c r="F396" s="1683" t="s">
        <v>801</v>
      </c>
      <c r="G396" s="2042">
        <v>1.1E-4</v>
      </c>
      <c r="H396" s="1641"/>
      <c r="I396" s="2049">
        <v>1.024E-4</v>
      </c>
      <c r="J396" s="1657">
        <v>11978</v>
      </c>
      <c r="K396" s="1641"/>
      <c r="L396" s="1654">
        <v>1.23</v>
      </c>
      <c r="M396" s="1641"/>
      <c r="N396" s="1681"/>
      <c r="EW396" s="2031"/>
      <c r="EX396" s="1619"/>
      <c r="EY396" s="1628"/>
      <c r="EZ396" s="1628"/>
      <c r="FA396" s="1628"/>
      <c r="FD396" s="1864" t="s">
        <v>842</v>
      </c>
      <c r="FH396" s="1628"/>
    </row>
    <row r="397" spans="1:176" s="1484" customFormat="1" ht="15" x14ac:dyDescent="0.25">
      <c r="A397" s="2033"/>
      <c r="B397" s="1631" t="s">
        <v>4911</v>
      </c>
      <c r="C397" s="2805" t="s">
        <v>8926</v>
      </c>
      <c r="D397" s="2805"/>
      <c r="E397" s="2805"/>
      <c r="F397" s="1683" t="s">
        <v>801</v>
      </c>
      <c r="G397" s="2042">
        <v>9.0000000000000006E-5</v>
      </c>
      <c r="H397" s="1641"/>
      <c r="I397" s="2049">
        <v>8.3800000000000004E-5</v>
      </c>
      <c r="J397" s="1657">
        <v>17555.75</v>
      </c>
      <c r="K397" s="1641"/>
      <c r="L397" s="1654">
        <v>1.47</v>
      </c>
      <c r="M397" s="1641"/>
      <c r="N397" s="1681"/>
      <c r="EW397" s="2031"/>
      <c r="EX397" s="1619"/>
      <c r="EY397" s="1628"/>
      <c r="EZ397" s="1628"/>
      <c r="FA397" s="1628"/>
      <c r="FD397" s="1864" t="s">
        <v>8926</v>
      </c>
      <c r="FH397" s="1628"/>
    </row>
    <row r="398" spans="1:176" s="1484" customFormat="1" ht="22.5" x14ac:dyDescent="0.25">
      <c r="A398" s="2033"/>
      <c r="B398" s="1631" t="s">
        <v>4916</v>
      </c>
      <c r="C398" s="2805" t="s">
        <v>4917</v>
      </c>
      <c r="D398" s="2805"/>
      <c r="E398" s="2805"/>
      <c r="F398" s="1683" t="s">
        <v>130</v>
      </c>
      <c r="G398" s="1953">
        <v>0.5</v>
      </c>
      <c r="H398" s="1641"/>
      <c r="I398" s="2035">
        <v>0.46550000000000002</v>
      </c>
      <c r="J398" s="1654">
        <v>72.319999999999993</v>
      </c>
      <c r="K398" s="1641"/>
      <c r="L398" s="1654">
        <v>33.659999999999997</v>
      </c>
      <c r="M398" s="1641"/>
      <c r="N398" s="1681"/>
      <c r="EW398" s="2031"/>
      <c r="EX398" s="1619"/>
      <c r="EY398" s="1628"/>
      <c r="EZ398" s="1628"/>
      <c r="FA398" s="1628"/>
      <c r="FD398" s="1864" t="s">
        <v>4917</v>
      </c>
      <c r="FH398" s="1628"/>
    </row>
    <row r="399" spans="1:176" s="1484" customFormat="1" ht="15" x14ac:dyDescent="0.25">
      <c r="A399" s="2033"/>
      <c r="B399" s="1631" t="s">
        <v>4922</v>
      </c>
      <c r="C399" s="2805" t="s">
        <v>8707</v>
      </c>
      <c r="D399" s="2805"/>
      <c r="E399" s="2805"/>
      <c r="F399" s="1683" t="s">
        <v>835</v>
      </c>
      <c r="G399" s="1655">
        <v>0.26</v>
      </c>
      <c r="H399" s="1641"/>
      <c r="I399" s="2042">
        <v>0.24206</v>
      </c>
      <c r="J399" s="1654">
        <v>1.82</v>
      </c>
      <c r="K399" s="1641"/>
      <c r="L399" s="1654">
        <v>0.44</v>
      </c>
      <c r="M399" s="1641"/>
      <c r="N399" s="1681"/>
      <c r="EW399" s="2031"/>
      <c r="EX399" s="1619"/>
      <c r="EY399" s="1628"/>
      <c r="EZ399" s="1628"/>
      <c r="FA399" s="1628"/>
      <c r="FD399" s="1864" t="s">
        <v>8707</v>
      </c>
      <c r="FH399" s="1628"/>
    </row>
    <row r="400" spans="1:176" s="1484" customFormat="1" ht="22.5" x14ac:dyDescent="0.25">
      <c r="A400" s="2033"/>
      <c r="B400" s="1631" t="s">
        <v>3291</v>
      </c>
      <c r="C400" s="2805" t="s">
        <v>8925</v>
      </c>
      <c r="D400" s="2805"/>
      <c r="E400" s="2805"/>
      <c r="F400" s="1683" t="s">
        <v>832</v>
      </c>
      <c r="G400" s="2046">
        <v>5.0000000000000001E-3</v>
      </c>
      <c r="H400" s="1641"/>
      <c r="I400" s="2043">
        <v>4.6550000000000003E-3</v>
      </c>
      <c r="J400" s="1657">
        <v>1056</v>
      </c>
      <c r="K400" s="1641"/>
      <c r="L400" s="1654">
        <v>4.92</v>
      </c>
      <c r="M400" s="1641"/>
      <c r="N400" s="1681"/>
      <c r="EW400" s="2031"/>
      <c r="EX400" s="1619"/>
      <c r="EY400" s="1628"/>
      <c r="EZ400" s="1628"/>
      <c r="FA400" s="1628"/>
      <c r="FD400" s="1864" t="s">
        <v>8925</v>
      </c>
      <c r="FH400" s="1628"/>
    </row>
    <row r="401" spans="1:164" s="1484" customFormat="1" ht="15" x14ac:dyDescent="0.25">
      <c r="A401" s="2033"/>
      <c r="B401" s="1631" t="s">
        <v>4966</v>
      </c>
      <c r="C401" s="2805" t="s">
        <v>8924</v>
      </c>
      <c r="D401" s="2805"/>
      <c r="E401" s="2805"/>
      <c r="F401" s="1683" t="s">
        <v>2647</v>
      </c>
      <c r="G401" s="1953">
        <v>40.4</v>
      </c>
      <c r="H401" s="1641"/>
      <c r="I401" s="2035">
        <v>37.612400000000001</v>
      </c>
      <c r="J401" s="1654">
        <v>5.3</v>
      </c>
      <c r="K401" s="1641"/>
      <c r="L401" s="1654">
        <v>199.35</v>
      </c>
      <c r="M401" s="1641"/>
      <c r="N401" s="1681"/>
      <c r="EW401" s="2031"/>
      <c r="EX401" s="1619"/>
      <c r="EY401" s="1628"/>
      <c r="EZ401" s="1628"/>
      <c r="FA401" s="1628"/>
      <c r="FD401" s="1864" t="s">
        <v>8924</v>
      </c>
      <c r="FH401" s="1628"/>
    </row>
    <row r="402" spans="1:164" s="1484" customFormat="1" ht="15" x14ac:dyDescent="0.25">
      <c r="A402" s="2033"/>
      <c r="B402" s="1631" t="s">
        <v>8923</v>
      </c>
      <c r="C402" s="2805" t="s">
        <v>8922</v>
      </c>
      <c r="D402" s="2805"/>
      <c r="E402" s="2805"/>
      <c r="F402" s="1683" t="s">
        <v>2647</v>
      </c>
      <c r="G402" s="1655">
        <v>88.21</v>
      </c>
      <c r="H402" s="1641"/>
      <c r="I402" s="2042">
        <v>82.123509999999996</v>
      </c>
      <c r="J402" s="1654">
        <v>5.3</v>
      </c>
      <c r="K402" s="1641"/>
      <c r="L402" s="1654">
        <v>435.25</v>
      </c>
      <c r="M402" s="1641"/>
      <c r="N402" s="1681"/>
      <c r="EW402" s="2031"/>
      <c r="EX402" s="1619"/>
      <c r="EY402" s="1628"/>
      <c r="EZ402" s="1628"/>
      <c r="FA402" s="1628"/>
      <c r="FD402" s="1864" t="s">
        <v>8922</v>
      </c>
      <c r="FH402" s="1628"/>
    </row>
    <row r="403" spans="1:164" s="1484" customFormat="1" ht="15" x14ac:dyDescent="0.25">
      <c r="A403" s="2033"/>
      <c r="B403" s="1631" t="s">
        <v>4970</v>
      </c>
      <c r="C403" s="2805" t="s">
        <v>8921</v>
      </c>
      <c r="D403" s="2805"/>
      <c r="E403" s="2805"/>
      <c r="F403" s="1683" t="s">
        <v>835</v>
      </c>
      <c r="G403" s="1655">
        <v>0.36</v>
      </c>
      <c r="H403" s="1641"/>
      <c r="I403" s="2042">
        <v>0.33516000000000001</v>
      </c>
      <c r="J403" s="1654">
        <v>15.9</v>
      </c>
      <c r="K403" s="1641"/>
      <c r="L403" s="1654">
        <v>5.33</v>
      </c>
      <c r="M403" s="1641"/>
      <c r="N403" s="1681"/>
      <c r="EW403" s="2031"/>
      <c r="EX403" s="1619"/>
      <c r="EY403" s="1628"/>
      <c r="EZ403" s="1628"/>
      <c r="FA403" s="1628"/>
      <c r="FD403" s="1864" t="s">
        <v>8921</v>
      </c>
      <c r="FH403" s="1628"/>
    </row>
    <row r="404" spans="1:164" s="1484" customFormat="1" ht="15" x14ac:dyDescent="0.25">
      <c r="A404" s="2033"/>
      <c r="B404" s="1631" t="s">
        <v>4983</v>
      </c>
      <c r="C404" s="2805" t="s">
        <v>4984</v>
      </c>
      <c r="D404" s="2805"/>
      <c r="E404" s="2805"/>
      <c r="F404" s="1683" t="s">
        <v>801</v>
      </c>
      <c r="G404" s="2042">
        <v>3.2599999999999999E-3</v>
      </c>
      <c r="H404" s="1641"/>
      <c r="I404" s="2049">
        <v>3.0351000000000002E-3</v>
      </c>
      <c r="J404" s="1657">
        <v>15255</v>
      </c>
      <c r="K404" s="1641"/>
      <c r="L404" s="1654">
        <v>46.3</v>
      </c>
      <c r="M404" s="1641"/>
      <c r="N404" s="1681"/>
      <c r="EW404" s="2031"/>
      <c r="EX404" s="1619"/>
      <c r="EY404" s="1628"/>
      <c r="EZ404" s="1628"/>
      <c r="FA404" s="1628"/>
      <c r="FD404" s="1864" t="s">
        <v>4984</v>
      </c>
      <c r="FH404" s="1628"/>
    </row>
    <row r="405" spans="1:164" s="1484" customFormat="1" ht="15" x14ac:dyDescent="0.25">
      <c r="A405" s="2032"/>
      <c r="B405" s="1631" t="s">
        <v>190</v>
      </c>
      <c r="C405" s="2805" t="s">
        <v>2523</v>
      </c>
      <c r="D405" s="2805"/>
      <c r="E405" s="2805"/>
      <c r="F405" s="1683"/>
      <c r="G405" s="1641"/>
      <c r="H405" s="1641"/>
      <c r="I405" s="1641"/>
      <c r="J405" s="1654">
        <v>456.71</v>
      </c>
      <c r="K405" s="1655">
        <v>1.25</v>
      </c>
      <c r="L405" s="1654">
        <v>531.5</v>
      </c>
      <c r="M405" s="1655">
        <v>35.75</v>
      </c>
      <c r="N405" s="1679">
        <v>19001.13</v>
      </c>
      <c r="EW405" s="2031"/>
      <c r="EX405" s="1619"/>
      <c r="EY405" s="1628"/>
      <c r="EZ405" s="1628"/>
      <c r="FA405" s="1628"/>
      <c r="FE405" s="1864" t="s">
        <v>2523</v>
      </c>
      <c r="FH405" s="1628"/>
    </row>
    <row r="406" spans="1:164" s="1484" customFormat="1" ht="15" x14ac:dyDescent="0.25">
      <c r="A406" s="2032"/>
      <c r="B406" s="1631" t="s">
        <v>639</v>
      </c>
      <c r="C406" s="2805" t="s">
        <v>697</v>
      </c>
      <c r="D406" s="2805"/>
      <c r="E406" s="2805"/>
      <c r="F406" s="1683"/>
      <c r="G406" s="1641"/>
      <c r="H406" s="1641"/>
      <c r="I406" s="1641"/>
      <c r="J406" s="1654">
        <v>7.22</v>
      </c>
      <c r="K406" s="1641"/>
      <c r="L406" s="1654">
        <v>6.72</v>
      </c>
      <c r="M406" s="1655">
        <v>11.97</v>
      </c>
      <c r="N406" s="2039">
        <v>80.44</v>
      </c>
      <c r="EW406" s="2031"/>
      <c r="EX406" s="1619"/>
      <c r="EY406" s="1628"/>
      <c r="EZ406" s="1628"/>
      <c r="FA406" s="1628"/>
      <c r="FE406" s="1864" t="s">
        <v>697</v>
      </c>
      <c r="FH406" s="1628"/>
    </row>
    <row r="407" spans="1:164" s="1484" customFormat="1" ht="15" x14ac:dyDescent="0.25">
      <c r="A407" s="2032"/>
      <c r="B407" s="1631" t="s">
        <v>640</v>
      </c>
      <c r="C407" s="2805" t="s">
        <v>2500</v>
      </c>
      <c r="D407" s="2805"/>
      <c r="E407" s="2805"/>
      <c r="F407" s="1683"/>
      <c r="G407" s="1641"/>
      <c r="H407" s="1641"/>
      <c r="I407" s="1641"/>
      <c r="J407" s="1654">
        <v>2.06</v>
      </c>
      <c r="K407" s="1641"/>
      <c r="L407" s="1654">
        <v>1.92</v>
      </c>
      <c r="M407" s="1655">
        <v>35.75</v>
      </c>
      <c r="N407" s="2039">
        <v>68.64</v>
      </c>
      <c r="EW407" s="2031"/>
      <c r="EX407" s="1619"/>
      <c r="EY407" s="1628"/>
      <c r="EZ407" s="1628"/>
      <c r="FA407" s="1628"/>
      <c r="FE407" s="1864" t="s">
        <v>2500</v>
      </c>
      <c r="FH407" s="1628"/>
    </row>
    <row r="408" spans="1:164" s="1484" customFormat="1" ht="15" x14ac:dyDescent="0.25">
      <c r="A408" s="2032"/>
      <c r="B408" s="1631" t="s">
        <v>232</v>
      </c>
      <c r="C408" s="2805" t="s">
        <v>829</v>
      </c>
      <c r="D408" s="2805"/>
      <c r="E408" s="2805"/>
      <c r="F408" s="1683"/>
      <c r="G408" s="1641"/>
      <c r="H408" s="1641"/>
      <c r="I408" s="1641"/>
      <c r="J408" s="1654">
        <v>781.89</v>
      </c>
      <c r="K408" s="1641"/>
      <c r="L408" s="1654">
        <v>727.94</v>
      </c>
      <c r="M408" s="1655">
        <v>9.14</v>
      </c>
      <c r="N408" s="1679">
        <v>6653.37</v>
      </c>
      <c r="EW408" s="2031"/>
      <c r="EX408" s="1619"/>
      <c r="EY408" s="1628"/>
      <c r="EZ408" s="1628"/>
      <c r="FA408" s="1628"/>
      <c r="FE408" s="1864" t="s">
        <v>829</v>
      </c>
      <c r="FH408" s="1628"/>
    </row>
    <row r="409" spans="1:164" s="1484" customFormat="1" ht="15" x14ac:dyDescent="0.25">
      <c r="A409" s="2033"/>
      <c r="B409" s="1631"/>
      <c r="C409" s="2805" t="s">
        <v>2524</v>
      </c>
      <c r="D409" s="2805"/>
      <c r="E409" s="2805"/>
      <c r="F409" s="1683" t="s">
        <v>807</v>
      </c>
      <c r="G409" s="1655">
        <v>49.75</v>
      </c>
      <c r="H409" s="1641"/>
      <c r="I409" s="2042">
        <v>46.317250000000001</v>
      </c>
      <c r="J409" s="1640"/>
      <c r="K409" s="1641"/>
      <c r="L409" s="1640"/>
      <c r="M409" s="1641"/>
      <c r="N409" s="1681"/>
      <c r="EW409" s="2031"/>
      <c r="EX409" s="1619"/>
      <c r="EY409" s="1628"/>
      <c r="EZ409" s="1628"/>
      <c r="FA409" s="1628"/>
      <c r="FF409" s="1864" t="s">
        <v>2524</v>
      </c>
      <c r="FH409" s="1628"/>
    </row>
    <row r="410" spans="1:164" s="1484" customFormat="1" ht="15" x14ac:dyDescent="0.25">
      <c r="A410" s="2033"/>
      <c r="B410" s="1631"/>
      <c r="C410" s="2805" t="s">
        <v>2501</v>
      </c>
      <c r="D410" s="2805"/>
      <c r="E410" s="2805"/>
      <c r="F410" s="1683" t="s">
        <v>807</v>
      </c>
      <c r="G410" s="1655">
        <v>0.16</v>
      </c>
      <c r="H410" s="1641"/>
      <c r="I410" s="2042">
        <v>0.14896000000000001</v>
      </c>
      <c r="J410" s="1640"/>
      <c r="K410" s="1641"/>
      <c r="L410" s="1640"/>
      <c r="M410" s="1641"/>
      <c r="N410" s="1681"/>
      <c r="EW410" s="2031"/>
      <c r="EX410" s="1619"/>
      <c r="EY410" s="1628"/>
      <c r="EZ410" s="1628"/>
      <c r="FA410" s="1628"/>
      <c r="FF410" s="1864" t="s">
        <v>2501</v>
      </c>
      <c r="FH410" s="1628"/>
    </row>
    <row r="411" spans="1:164" s="1484" customFormat="1" ht="15" x14ac:dyDescent="0.25">
      <c r="A411" s="2032"/>
      <c r="B411" s="1631"/>
      <c r="C411" s="2917" t="s">
        <v>2502</v>
      </c>
      <c r="D411" s="2917"/>
      <c r="E411" s="2917"/>
      <c r="F411" s="2036"/>
      <c r="G411" s="2037"/>
      <c r="H411" s="2037"/>
      <c r="I411" s="2037"/>
      <c r="J411" s="2038">
        <v>1245.82</v>
      </c>
      <c r="K411" s="2037"/>
      <c r="L411" s="2038">
        <v>1266.1600000000001</v>
      </c>
      <c r="M411" s="2037"/>
      <c r="N411" s="2068">
        <v>25734.94</v>
      </c>
      <c r="EW411" s="2031"/>
      <c r="EX411" s="1619"/>
      <c r="EY411" s="1628"/>
      <c r="EZ411" s="1628"/>
      <c r="FA411" s="1628"/>
      <c r="FG411" s="1864" t="s">
        <v>2502</v>
      </c>
      <c r="FH411" s="1628"/>
    </row>
    <row r="412" spans="1:164" s="1484" customFormat="1" ht="15" x14ac:dyDescent="0.25">
      <c r="A412" s="2033" t="s">
        <v>8029</v>
      </c>
      <c r="B412" s="1631"/>
      <c r="C412" s="2805" t="s">
        <v>7964</v>
      </c>
      <c r="D412" s="2805"/>
      <c r="E412" s="2805"/>
      <c r="F412" s="1683" t="s">
        <v>5928</v>
      </c>
      <c r="G412" s="1641"/>
      <c r="H412" s="1641"/>
      <c r="I412" s="1641"/>
      <c r="J412" s="1640"/>
      <c r="K412" s="1641"/>
      <c r="L412" s="1654">
        <v>0.48</v>
      </c>
      <c r="M412" s="1641"/>
      <c r="N412" s="2039">
        <v>17.16</v>
      </c>
      <c r="EW412" s="2031"/>
      <c r="EX412" s="1619"/>
      <c r="EY412" s="1628"/>
      <c r="EZ412" s="1628"/>
      <c r="FA412" s="1628"/>
      <c r="FF412" s="1864" t="s">
        <v>7964</v>
      </c>
      <c r="FH412" s="1628"/>
    </row>
    <row r="413" spans="1:164" s="1484" customFormat="1" ht="15" x14ac:dyDescent="0.25">
      <c r="A413" s="2033"/>
      <c r="B413" s="1631"/>
      <c r="C413" s="2805" t="s">
        <v>7965</v>
      </c>
      <c r="D413" s="2805"/>
      <c r="E413" s="2805"/>
      <c r="F413" s="1683" t="s">
        <v>5928</v>
      </c>
      <c r="G413" s="1641"/>
      <c r="H413" s="1641"/>
      <c r="I413" s="1641"/>
      <c r="J413" s="1654">
        <v>2.06</v>
      </c>
      <c r="K413" s="1655">
        <v>0.25</v>
      </c>
      <c r="L413" s="1654">
        <v>0.48</v>
      </c>
      <c r="M413" s="1655">
        <v>35.75</v>
      </c>
      <c r="N413" s="2039">
        <v>17.16</v>
      </c>
      <c r="EW413" s="2031"/>
      <c r="EX413" s="1619"/>
      <c r="EY413" s="1628"/>
      <c r="EZ413" s="1628"/>
      <c r="FA413" s="1628"/>
      <c r="FF413" s="1864" t="s">
        <v>7965</v>
      </c>
      <c r="FH413" s="1628"/>
    </row>
    <row r="414" spans="1:164" s="1484" customFormat="1" ht="15" x14ac:dyDescent="0.25">
      <c r="A414" s="2033"/>
      <c r="B414" s="1631"/>
      <c r="C414" s="2805" t="s">
        <v>867</v>
      </c>
      <c r="D414" s="2805"/>
      <c r="E414" s="2805"/>
      <c r="F414" s="1683"/>
      <c r="G414" s="1641"/>
      <c r="H414" s="1641"/>
      <c r="I414" s="1641"/>
      <c r="J414" s="1640"/>
      <c r="K414" s="1641"/>
      <c r="L414" s="1654">
        <v>533.9</v>
      </c>
      <c r="M414" s="1641"/>
      <c r="N414" s="1679">
        <v>19086.93</v>
      </c>
      <c r="EW414" s="2031"/>
      <c r="EX414" s="1619"/>
      <c r="EY414" s="1628"/>
      <c r="EZ414" s="1628"/>
      <c r="FA414" s="1628"/>
      <c r="FF414" s="1864" t="s">
        <v>867</v>
      </c>
      <c r="FH414" s="1628"/>
    </row>
    <row r="415" spans="1:164" s="1484" customFormat="1" ht="15" x14ac:dyDescent="0.25">
      <c r="A415" s="2033"/>
      <c r="B415" s="1631" t="s">
        <v>7966</v>
      </c>
      <c r="C415" s="2805" t="s">
        <v>7967</v>
      </c>
      <c r="D415" s="2805"/>
      <c r="E415" s="2805"/>
      <c r="F415" s="1683" t="s">
        <v>636</v>
      </c>
      <c r="G415" s="2034">
        <v>100</v>
      </c>
      <c r="H415" s="1641"/>
      <c r="I415" s="2034">
        <v>100</v>
      </c>
      <c r="J415" s="1640"/>
      <c r="K415" s="1641"/>
      <c r="L415" s="1654">
        <v>533.9</v>
      </c>
      <c r="M415" s="1641"/>
      <c r="N415" s="1679">
        <v>19086.93</v>
      </c>
      <c r="EW415" s="2031"/>
      <c r="EX415" s="1619"/>
      <c r="EY415" s="1628"/>
      <c r="EZ415" s="1628"/>
      <c r="FA415" s="1628"/>
      <c r="FF415" s="1864" t="s">
        <v>7967</v>
      </c>
      <c r="FH415" s="1628"/>
    </row>
    <row r="416" spans="1:164" s="1484" customFormat="1" ht="15" x14ac:dyDescent="0.25">
      <c r="A416" s="2033"/>
      <c r="B416" s="1631" t="s">
        <v>7968</v>
      </c>
      <c r="C416" s="2805" t="s">
        <v>7969</v>
      </c>
      <c r="D416" s="2805"/>
      <c r="E416" s="2805"/>
      <c r="F416" s="1683" t="s">
        <v>636</v>
      </c>
      <c r="G416" s="2034">
        <v>49</v>
      </c>
      <c r="H416" s="1641"/>
      <c r="I416" s="2034">
        <v>49</v>
      </c>
      <c r="J416" s="1640"/>
      <c r="K416" s="1641"/>
      <c r="L416" s="1654">
        <v>261.61</v>
      </c>
      <c r="M416" s="1641"/>
      <c r="N416" s="1679">
        <v>9352.6</v>
      </c>
      <c r="EW416" s="2031"/>
      <c r="EX416" s="1619"/>
      <c r="EY416" s="1628"/>
      <c r="EZ416" s="1628"/>
      <c r="FA416" s="1628"/>
      <c r="FF416" s="1864" t="s">
        <v>7969</v>
      </c>
      <c r="FH416" s="1628"/>
    </row>
    <row r="417" spans="1:176" s="1484" customFormat="1" ht="15" x14ac:dyDescent="0.25">
      <c r="A417" s="1650"/>
      <c r="B417" s="1651"/>
      <c r="C417" s="2803" t="s">
        <v>872</v>
      </c>
      <c r="D417" s="2803"/>
      <c r="E417" s="2803"/>
      <c r="F417" s="1621"/>
      <c r="G417" s="1622"/>
      <c r="H417" s="1622"/>
      <c r="I417" s="1622"/>
      <c r="J417" s="1625"/>
      <c r="K417" s="1622"/>
      <c r="L417" s="1648">
        <v>2062.15</v>
      </c>
      <c r="M417" s="2037"/>
      <c r="N417" s="1649">
        <v>54191.63</v>
      </c>
      <c r="EW417" s="2031"/>
      <c r="EX417" s="1619"/>
      <c r="EY417" s="1628"/>
      <c r="EZ417" s="1628"/>
      <c r="FA417" s="1628"/>
      <c r="FH417" s="1628" t="s">
        <v>872</v>
      </c>
    </row>
    <row r="418" spans="1:176" s="1484" customFormat="1" ht="22.5" x14ac:dyDescent="0.25">
      <c r="A418" s="1620" t="s">
        <v>8030</v>
      </c>
      <c r="B418" s="1863" t="s">
        <v>8031</v>
      </c>
      <c r="C418" s="2803" t="s">
        <v>4969</v>
      </c>
      <c r="D418" s="2803"/>
      <c r="E418" s="2803"/>
      <c r="F418" s="1621" t="s">
        <v>130</v>
      </c>
      <c r="G418" s="1622">
        <v>93.1</v>
      </c>
      <c r="H418" s="1623">
        <v>1</v>
      </c>
      <c r="I418" s="1624">
        <v>93.1</v>
      </c>
      <c r="J418" s="2040">
        <v>372.54</v>
      </c>
      <c r="K418" s="1622"/>
      <c r="L418" s="1648">
        <v>34683.47</v>
      </c>
      <c r="M418" s="1687">
        <v>9.14</v>
      </c>
      <c r="N418" s="1649">
        <v>317006.92</v>
      </c>
      <c r="EW418" s="2031"/>
      <c r="EX418" s="1619"/>
      <c r="EY418" s="1628" t="s">
        <v>4969</v>
      </c>
      <c r="EZ418" s="1628" t="s">
        <v>588</v>
      </c>
      <c r="FA418" s="1628" t="s">
        <v>588</v>
      </c>
      <c r="FH418" s="1628"/>
    </row>
    <row r="419" spans="1:176" s="1484" customFormat="1" ht="15" x14ac:dyDescent="0.25">
      <c r="A419" s="1650"/>
      <c r="B419" s="1651"/>
      <c r="C419" s="2805" t="s">
        <v>8722</v>
      </c>
      <c r="D419" s="2805"/>
      <c r="E419" s="2805"/>
      <c r="F419" s="2805"/>
      <c r="G419" s="2805"/>
      <c r="H419" s="2805"/>
      <c r="I419" s="2805"/>
      <c r="J419" s="2805"/>
      <c r="K419" s="2805"/>
      <c r="L419" s="2805"/>
      <c r="M419" s="2805"/>
      <c r="N419" s="2806"/>
      <c r="EW419" s="2031"/>
      <c r="EX419" s="1619"/>
      <c r="EY419" s="1628"/>
      <c r="EZ419" s="1628"/>
      <c r="FA419" s="1628"/>
      <c r="FH419" s="1628"/>
      <c r="FI419" s="1864" t="s">
        <v>8722</v>
      </c>
      <c r="FJ419" s="1864" t="s">
        <v>588</v>
      </c>
      <c r="FK419" s="1864" t="s">
        <v>588</v>
      </c>
      <c r="FL419" s="1864" t="s">
        <v>588</v>
      </c>
      <c r="FM419" s="1864" t="s">
        <v>588</v>
      </c>
      <c r="FN419" s="1864" t="s">
        <v>588</v>
      </c>
      <c r="FO419" s="1864" t="s">
        <v>588</v>
      </c>
      <c r="FP419" s="1864" t="s">
        <v>588</v>
      </c>
      <c r="FQ419" s="1864" t="s">
        <v>588</v>
      </c>
      <c r="FR419" s="1864" t="s">
        <v>588</v>
      </c>
      <c r="FS419" s="1864" t="s">
        <v>588</v>
      </c>
      <c r="FT419" s="1864" t="s">
        <v>588</v>
      </c>
    </row>
    <row r="420" spans="1:176" s="1484" customFormat="1" ht="15" x14ac:dyDescent="0.25">
      <c r="A420" s="1629"/>
      <c r="B420" s="1862"/>
      <c r="C420" s="2805" t="s">
        <v>8920</v>
      </c>
      <c r="D420" s="2805"/>
      <c r="E420" s="2805"/>
      <c r="F420" s="2805"/>
      <c r="G420" s="2805"/>
      <c r="H420" s="2805"/>
      <c r="I420" s="2805"/>
      <c r="J420" s="2805"/>
      <c r="K420" s="2805"/>
      <c r="L420" s="2805"/>
      <c r="M420" s="2805"/>
      <c r="N420" s="2806"/>
      <c r="EW420" s="2031"/>
      <c r="EX420" s="1619"/>
      <c r="EY420" s="1628"/>
      <c r="EZ420" s="1628"/>
      <c r="FA420" s="1628"/>
      <c r="FB420" s="1864" t="s">
        <v>8920</v>
      </c>
      <c r="FH420" s="1628"/>
    </row>
    <row r="421" spans="1:176" s="1484" customFormat="1" ht="15" x14ac:dyDescent="0.25">
      <c r="A421" s="1650"/>
      <c r="B421" s="1651"/>
      <c r="C421" s="2803" t="s">
        <v>872</v>
      </c>
      <c r="D421" s="2803"/>
      <c r="E421" s="2803"/>
      <c r="F421" s="1621"/>
      <c r="G421" s="1622"/>
      <c r="H421" s="1622"/>
      <c r="I421" s="1622"/>
      <c r="J421" s="1625"/>
      <c r="K421" s="1622"/>
      <c r="L421" s="1648">
        <v>34683.47</v>
      </c>
      <c r="M421" s="2037"/>
      <c r="N421" s="1649">
        <v>317006.92</v>
      </c>
      <c r="EW421" s="2031"/>
      <c r="EX421" s="1619"/>
      <c r="EY421" s="1628"/>
      <c r="EZ421" s="1628"/>
      <c r="FA421" s="1628"/>
      <c r="FH421" s="1628" t="s">
        <v>872</v>
      </c>
    </row>
    <row r="422" spans="1:176" s="1484" customFormat="1" ht="15" x14ac:dyDescent="0.25">
      <c r="A422" s="2811" t="s">
        <v>8032</v>
      </c>
      <c r="B422" s="2812"/>
      <c r="C422" s="2812"/>
      <c r="D422" s="2812"/>
      <c r="E422" s="2812"/>
      <c r="F422" s="2812"/>
      <c r="G422" s="2812"/>
      <c r="H422" s="2812"/>
      <c r="I422" s="2812"/>
      <c r="J422" s="2812"/>
      <c r="K422" s="2812"/>
      <c r="L422" s="2812"/>
      <c r="M422" s="2812"/>
      <c r="N422" s="2813"/>
      <c r="EW422" s="2031"/>
      <c r="EX422" s="1619" t="s">
        <v>8032</v>
      </c>
      <c r="EY422" s="1628"/>
      <c r="EZ422" s="1628"/>
      <c r="FA422" s="1628"/>
      <c r="FH422" s="1628"/>
    </row>
    <row r="423" spans="1:176" s="1484" customFormat="1" ht="56.25" x14ac:dyDescent="0.25">
      <c r="A423" s="1620" t="s">
        <v>8033</v>
      </c>
      <c r="B423" s="1863" t="s">
        <v>7990</v>
      </c>
      <c r="C423" s="2803" t="s">
        <v>7991</v>
      </c>
      <c r="D423" s="2803"/>
      <c r="E423" s="2803"/>
      <c r="F423" s="1621" t="s">
        <v>2555</v>
      </c>
      <c r="G423" s="1622">
        <v>0.29599999999999999</v>
      </c>
      <c r="H423" s="1623">
        <v>1</v>
      </c>
      <c r="I423" s="2045">
        <v>0.29599999999999999</v>
      </c>
      <c r="J423" s="1625"/>
      <c r="K423" s="1622"/>
      <c r="L423" s="1625"/>
      <c r="M423" s="1622"/>
      <c r="N423" s="1627"/>
      <c r="EW423" s="2031"/>
      <c r="EX423" s="1619"/>
      <c r="EY423" s="1628" t="s">
        <v>7991</v>
      </c>
      <c r="EZ423" s="1628" t="s">
        <v>588</v>
      </c>
      <c r="FA423" s="1628" t="s">
        <v>588</v>
      </c>
      <c r="FH423" s="1628"/>
    </row>
    <row r="424" spans="1:176" s="1484" customFormat="1" ht="15" x14ac:dyDescent="0.25">
      <c r="A424" s="1629"/>
      <c r="B424" s="1862"/>
      <c r="C424" s="2805" t="s">
        <v>8919</v>
      </c>
      <c r="D424" s="2805"/>
      <c r="E424" s="2805"/>
      <c r="F424" s="2805"/>
      <c r="G424" s="2805"/>
      <c r="H424" s="2805"/>
      <c r="I424" s="2805"/>
      <c r="J424" s="2805"/>
      <c r="K424" s="2805"/>
      <c r="L424" s="2805"/>
      <c r="M424" s="2805"/>
      <c r="N424" s="2806"/>
      <c r="EW424" s="2031"/>
      <c r="EX424" s="1619"/>
      <c r="EY424" s="1628"/>
      <c r="EZ424" s="1628"/>
      <c r="FA424" s="1628"/>
      <c r="FB424" s="1864" t="s">
        <v>8919</v>
      </c>
      <c r="FH424" s="1628"/>
    </row>
    <row r="425" spans="1:176" s="1484" customFormat="1" ht="22.5" x14ac:dyDescent="0.25">
      <c r="A425" s="1630"/>
      <c r="B425" s="1631" t="s">
        <v>6062</v>
      </c>
      <c r="C425" s="2809" t="s">
        <v>6063</v>
      </c>
      <c r="D425" s="2809"/>
      <c r="E425" s="2809"/>
      <c r="F425" s="2809"/>
      <c r="G425" s="2809"/>
      <c r="H425" s="2809"/>
      <c r="I425" s="2809"/>
      <c r="J425" s="2809"/>
      <c r="K425" s="2809"/>
      <c r="L425" s="2809"/>
      <c r="M425" s="2809"/>
      <c r="N425" s="2810"/>
      <c r="EW425" s="2031"/>
      <c r="EX425" s="1619"/>
      <c r="EY425" s="1628"/>
      <c r="EZ425" s="1628"/>
      <c r="FA425" s="1628"/>
      <c r="FC425" s="1864" t="s">
        <v>6063</v>
      </c>
      <c r="FH425" s="1628"/>
    </row>
    <row r="426" spans="1:176" s="1484" customFormat="1" ht="22.5" x14ac:dyDescent="0.25">
      <c r="A426" s="2033"/>
      <c r="B426" s="1631" t="s">
        <v>3260</v>
      </c>
      <c r="C426" s="2805" t="s">
        <v>8636</v>
      </c>
      <c r="D426" s="2805"/>
      <c r="E426" s="2805"/>
      <c r="F426" s="1683" t="s">
        <v>807</v>
      </c>
      <c r="G426" s="1655">
        <v>106.19</v>
      </c>
      <c r="H426" s="1641"/>
      <c r="I426" s="2042">
        <v>31.43224</v>
      </c>
      <c r="J426" s="1654">
        <v>9.18</v>
      </c>
      <c r="K426" s="1655">
        <v>1.25</v>
      </c>
      <c r="L426" s="1654">
        <v>360.68</v>
      </c>
      <c r="M426" s="1641"/>
      <c r="N426" s="1681"/>
      <c r="EW426" s="2031"/>
      <c r="EX426" s="1619"/>
      <c r="EY426" s="1628"/>
      <c r="EZ426" s="1628"/>
      <c r="FA426" s="1628"/>
      <c r="FD426" s="1864" t="s">
        <v>8636</v>
      </c>
      <c r="FH426" s="1628"/>
    </row>
    <row r="427" spans="1:176" s="1484" customFormat="1" ht="22.5" x14ac:dyDescent="0.25">
      <c r="A427" s="2033"/>
      <c r="B427" s="1631" t="s">
        <v>817</v>
      </c>
      <c r="C427" s="2805" t="s">
        <v>818</v>
      </c>
      <c r="D427" s="2805"/>
      <c r="E427" s="2805"/>
      <c r="F427" s="1683" t="s">
        <v>4994</v>
      </c>
      <c r="G427" s="1655">
        <v>0.27</v>
      </c>
      <c r="H427" s="1641"/>
      <c r="I427" s="2042">
        <v>7.9920000000000005E-2</v>
      </c>
      <c r="J427" s="1654">
        <v>115.4</v>
      </c>
      <c r="K427" s="1641"/>
      <c r="L427" s="1654">
        <v>9.2200000000000006</v>
      </c>
      <c r="M427" s="1641"/>
      <c r="N427" s="1681"/>
      <c r="EW427" s="2031"/>
      <c r="EX427" s="1619"/>
      <c r="EY427" s="1628"/>
      <c r="EZ427" s="1628"/>
      <c r="FA427" s="1628"/>
      <c r="FD427" s="1864" t="s">
        <v>818</v>
      </c>
      <c r="FH427" s="1628"/>
    </row>
    <row r="428" spans="1:176" s="1484" customFormat="1" ht="15" x14ac:dyDescent="0.25">
      <c r="A428" s="2033"/>
      <c r="B428" s="1631" t="s">
        <v>821</v>
      </c>
      <c r="C428" s="2805" t="s">
        <v>822</v>
      </c>
      <c r="D428" s="2805"/>
      <c r="E428" s="2805"/>
      <c r="F428" s="1683" t="s">
        <v>4994</v>
      </c>
      <c r="G428" s="1655">
        <v>0.37</v>
      </c>
      <c r="H428" s="1641"/>
      <c r="I428" s="2042">
        <v>0.10952000000000001</v>
      </c>
      <c r="J428" s="1654">
        <v>65.709999999999994</v>
      </c>
      <c r="K428" s="1641"/>
      <c r="L428" s="1654">
        <v>7.2</v>
      </c>
      <c r="M428" s="1641"/>
      <c r="N428" s="1681"/>
      <c r="EW428" s="2031"/>
      <c r="EX428" s="1619"/>
      <c r="EY428" s="1628"/>
      <c r="EZ428" s="1628"/>
      <c r="FA428" s="1628"/>
      <c r="FD428" s="1864" t="s">
        <v>822</v>
      </c>
      <c r="FH428" s="1628"/>
    </row>
    <row r="429" spans="1:176" s="1484" customFormat="1" ht="15" x14ac:dyDescent="0.25">
      <c r="A429" s="2033"/>
      <c r="B429" s="1631" t="s">
        <v>4907</v>
      </c>
      <c r="C429" s="2805" t="s">
        <v>8890</v>
      </c>
      <c r="D429" s="2805"/>
      <c r="E429" s="2805"/>
      <c r="F429" s="1683" t="s">
        <v>4865</v>
      </c>
      <c r="G429" s="2034">
        <v>7</v>
      </c>
      <c r="H429" s="1641"/>
      <c r="I429" s="2046">
        <v>2.0720000000000001</v>
      </c>
      <c r="J429" s="1654">
        <v>118</v>
      </c>
      <c r="K429" s="1641"/>
      <c r="L429" s="1654">
        <v>244.5</v>
      </c>
      <c r="M429" s="1641"/>
      <c r="N429" s="1681"/>
      <c r="EW429" s="2031"/>
      <c r="EX429" s="1619"/>
      <c r="EY429" s="1628"/>
      <c r="EZ429" s="1628"/>
      <c r="FA429" s="1628"/>
      <c r="FD429" s="1864" t="s">
        <v>8890</v>
      </c>
      <c r="FH429" s="1628"/>
    </row>
    <row r="430" spans="1:176" s="1484" customFormat="1" ht="15" x14ac:dyDescent="0.25">
      <c r="A430" s="2033"/>
      <c r="B430" s="1631" t="s">
        <v>4910</v>
      </c>
      <c r="C430" s="2805" t="s">
        <v>8889</v>
      </c>
      <c r="D430" s="2805"/>
      <c r="E430" s="2805"/>
      <c r="F430" s="1683" t="s">
        <v>4865</v>
      </c>
      <c r="G430" s="2034">
        <v>29</v>
      </c>
      <c r="H430" s="1641"/>
      <c r="I430" s="2046">
        <v>8.5839999999999996</v>
      </c>
      <c r="J430" s="1654">
        <v>10</v>
      </c>
      <c r="K430" s="1641"/>
      <c r="L430" s="1654">
        <v>85.84</v>
      </c>
      <c r="M430" s="1641"/>
      <c r="N430" s="1681"/>
      <c r="EW430" s="2031"/>
      <c r="EX430" s="1619"/>
      <c r="EY430" s="1628"/>
      <c r="EZ430" s="1628"/>
      <c r="FA430" s="1628"/>
      <c r="FD430" s="1864" t="s">
        <v>8889</v>
      </c>
      <c r="FH430" s="1628"/>
    </row>
    <row r="431" spans="1:176" s="1484" customFormat="1" ht="33.75" x14ac:dyDescent="0.25">
      <c r="A431" s="2033"/>
      <c r="B431" s="1631" t="s">
        <v>4943</v>
      </c>
      <c r="C431" s="2805" t="s">
        <v>8888</v>
      </c>
      <c r="D431" s="2805"/>
      <c r="E431" s="2805"/>
      <c r="F431" s="1683" t="s">
        <v>2647</v>
      </c>
      <c r="G431" s="2034">
        <v>200</v>
      </c>
      <c r="H431" s="1641"/>
      <c r="I431" s="1953">
        <v>59.2</v>
      </c>
      <c r="J431" s="1654">
        <v>6.91</v>
      </c>
      <c r="K431" s="1641"/>
      <c r="L431" s="1654">
        <v>409.07</v>
      </c>
      <c r="M431" s="1641"/>
      <c r="N431" s="1681"/>
      <c r="EW431" s="2031"/>
      <c r="EX431" s="1619"/>
      <c r="EY431" s="1628"/>
      <c r="EZ431" s="1628"/>
      <c r="FA431" s="1628"/>
      <c r="FD431" s="1864" t="s">
        <v>8888</v>
      </c>
      <c r="FH431" s="1628"/>
    </row>
    <row r="432" spans="1:176" s="1484" customFormat="1" ht="33.75" x14ac:dyDescent="0.25">
      <c r="A432" s="2033"/>
      <c r="B432" s="1631" t="s">
        <v>4949</v>
      </c>
      <c r="C432" s="2805" t="s">
        <v>8887</v>
      </c>
      <c r="D432" s="2805"/>
      <c r="E432" s="2805"/>
      <c r="F432" s="1683" t="s">
        <v>269</v>
      </c>
      <c r="G432" s="2034">
        <v>350</v>
      </c>
      <c r="H432" s="1641"/>
      <c r="I432" s="1953">
        <v>103.6</v>
      </c>
      <c r="J432" s="1654">
        <v>17.32</v>
      </c>
      <c r="K432" s="1641"/>
      <c r="L432" s="1657">
        <v>1794.35</v>
      </c>
      <c r="M432" s="1641"/>
      <c r="N432" s="1681"/>
      <c r="EW432" s="2031"/>
      <c r="EX432" s="1619"/>
      <c r="EY432" s="1628"/>
      <c r="EZ432" s="1628"/>
      <c r="FA432" s="1628"/>
      <c r="FD432" s="1864" t="s">
        <v>8887</v>
      </c>
      <c r="FH432" s="1628"/>
    </row>
    <row r="433" spans="1:164" s="1484" customFormat="1" ht="22.5" x14ac:dyDescent="0.25">
      <c r="A433" s="2033"/>
      <c r="B433" s="1631" t="s">
        <v>4950</v>
      </c>
      <c r="C433" s="2805" t="s">
        <v>8886</v>
      </c>
      <c r="D433" s="2805"/>
      <c r="E433" s="2805"/>
      <c r="F433" s="1683" t="s">
        <v>2647</v>
      </c>
      <c r="G433" s="2034">
        <v>42</v>
      </c>
      <c r="H433" s="1641"/>
      <c r="I433" s="2046">
        <v>12.432</v>
      </c>
      <c r="J433" s="1654">
        <v>23.15</v>
      </c>
      <c r="K433" s="1641"/>
      <c r="L433" s="1654">
        <v>287.8</v>
      </c>
      <c r="M433" s="1641"/>
      <c r="N433" s="1681"/>
      <c r="EW433" s="2031"/>
      <c r="EX433" s="1619"/>
      <c r="EY433" s="1628"/>
      <c r="EZ433" s="1628"/>
      <c r="FA433" s="1628"/>
      <c r="FD433" s="1864" t="s">
        <v>8886</v>
      </c>
      <c r="FH433" s="1628"/>
    </row>
    <row r="434" spans="1:164" s="1484" customFormat="1" ht="22.5" x14ac:dyDescent="0.25">
      <c r="A434" s="2033"/>
      <c r="B434" s="1631" t="s">
        <v>4951</v>
      </c>
      <c r="C434" s="2805" t="s">
        <v>8885</v>
      </c>
      <c r="D434" s="2805"/>
      <c r="E434" s="2805"/>
      <c r="F434" s="1683" t="s">
        <v>2647</v>
      </c>
      <c r="G434" s="2034">
        <v>12</v>
      </c>
      <c r="H434" s="1641"/>
      <c r="I434" s="2046">
        <v>3.552</v>
      </c>
      <c r="J434" s="1654">
        <v>64.47</v>
      </c>
      <c r="K434" s="1641"/>
      <c r="L434" s="1654">
        <v>229</v>
      </c>
      <c r="M434" s="1641"/>
      <c r="N434" s="1681"/>
      <c r="EW434" s="2031"/>
      <c r="EX434" s="1619"/>
      <c r="EY434" s="1628"/>
      <c r="EZ434" s="1628"/>
      <c r="FA434" s="1628"/>
      <c r="FD434" s="1864" t="s">
        <v>8885</v>
      </c>
      <c r="FH434" s="1628"/>
    </row>
    <row r="435" spans="1:164" s="1484" customFormat="1" ht="22.5" x14ac:dyDescent="0.25">
      <c r="A435" s="2033"/>
      <c r="B435" s="1631" t="s">
        <v>4952</v>
      </c>
      <c r="C435" s="2805" t="s">
        <v>8884</v>
      </c>
      <c r="D435" s="2805"/>
      <c r="E435" s="2805"/>
      <c r="F435" s="1683" t="s">
        <v>2647</v>
      </c>
      <c r="G435" s="2034">
        <v>55</v>
      </c>
      <c r="H435" s="1641"/>
      <c r="I435" s="1655">
        <v>16.28</v>
      </c>
      <c r="J435" s="1654">
        <v>7.5</v>
      </c>
      <c r="K435" s="1641"/>
      <c r="L435" s="1654">
        <v>122.1</v>
      </c>
      <c r="M435" s="1641"/>
      <c r="N435" s="1681"/>
      <c r="EW435" s="2031"/>
      <c r="EX435" s="1619"/>
      <c r="EY435" s="1628"/>
      <c r="EZ435" s="1628"/>
      <c r="FA435" s="1628"/>
      <c r="FD435" s="1864" t="s">
        <v>8884</v>
      </c>
      <c r="FH435" s="1628"/>
    </row>
    <row r="436" spans="1:164" s="1484" customFormat="1" ht="15" x14ac:dyDescent="0.25">
      <c r="A436" s="2032"/>
      <c r="B436" s="1631" t="s">
        <v>190</v>
      </c>
      <c r="C436" s="2805" t="s">
        <v>2523</v>
      </c>
      <c r="D436" s="2805"/>
      <c r="E436" s="2805"/>
      <c r="F436" s="1683"/>
      <c r="G436" s="1641"/>
      <c r="H436" s="1641"/>
      <c r="I436" s="1641"/>
      <c r="J436" s="1654">
        <v>974.82</v>
      </c>
      <c r="K436" s="1655">
        <v>1.25</v>
      </c>
      <c r="L436" s="1654">
        <v>360.68</v>
      </c>
      <c r="M436" s="1655">
        <v>35.75</v>
      </c>
      <c r="N436" s="1679">
        <v>12894.31</v>
      </c>
      <c r="EW436" s="2031"/>
      <c r="EX436" s="1619"/>
      <c r="EY436" s="1628"/>
      <c r="EZ436" s="1628"/>
      <c r="FA436" s="1628"/>
      <c r="FE436" s="1864" t="s">
        <v>2523</v>
      </c>
      <c r="FH436" s="1628"/>
    </row>
    <row r="437" spans="1:164" s="1484" customFormat="1" ht="15" x14ac:dyDescent="0.25">
      <c r="A437" s="2032"/>
      <c r="B437" s="1631" t="s">
        <v>639</v>
      </c>
      <c r="C437" s="2805" t="s">
        <v>697</v>
      </c>
      <c r="D437" s="2805"/>
      <c r="E437" s="2805"/>
      <c r="F437" s="1683"/>
      <c r="G437" s="1641"/>
      <c r="H437" s="1641"/>
      <c r="I437" s="1641"/>
      <c r="J437" s="1654">
        <v>55.47</v>
      </c>
      <c r="K437" s="1641"/>
      <c r="L437" s="1654">
        <v>16.420000000000002</v>
      </c>
      <c r="M437" s="1655">
        <v>11.97</v>
      </c>
      <c r="N437" s="2039">
        <v>196.55</v>
      </c>
      <c r="EW437" s="2031"/>
      <c r="EX437" s="1619"/>
      <c r="EY437" s="1628"/>
      <c r="EZ437" s="1628"/>
      <c r="FA437" s="1628"/>
      <c r="FE437" s="1864" t="s">
        <v>697</v>
      </c>
      <c r="FH437" s="1628"/>
    </row>
    <row r="438" spans="1:164" s="1484" customFormat="1" ht="15" x14ac:dyDescent="0.25">
      <c r="A438" s="2032"/>
      <c r="B438" s="1631" t="s">
        <v>640</v>
      </c>
      <c r="C438" s="2805" t="s">
        <v>2500</v>
      </c>
      <c r="D438" s="2805"/>
      <c r="E438" s="2805"/>
      <c r="F438" s="1683"/>
      <c r="G438" s="1641"/>
      <c r="H438" s="1641"/>
      <c r="I438" s="1641"/>
      <c r="J438" s="1654">
        <v>7.94</v>
      </c>
      <c r="K438" s="1641"/>
      <c r="L438" s="1654">
        <v>2.35</v>
      </c>
      <c r="M438" s="1655">
        <v>35.75</v>
      </c>
      <c r="N438" s="2039">
        <v>84.01</v>
      </c>
      <c r="EW438" s="2031"/>
      <c r="EX438" s="1619"/>
      <c r="EY438" s="1628"/>
      <c r="EZ438" s="1628"/>
      <c r="FA438" s="1628"/>
      <c r="FE438" s="1864" t="s">
        <v>2500</v>
      </c>
      <c r="FH438" s="1628"/>
    </row>
    <row r="439" spans="1:164" s="1484" customFormat="1" ht="15" x14ac:dyDescent="0.25">
      <c r="A439" s="2032"/>
      <c r="B439" s="1631" t="s">
        <v>232</v>
      </c>
      <c r="C439" s="2805" t="s">
        <v>829</v>
      </c>
      <c r="D439" s="2805"/>
      <c r="E439" s="2805"/>
      <c r="F439" s="1683"/>
      <c r="G439" s="1641"/>
      <c r="H439" s="1641"/>
      <c r="I439" s="1641"/>
      <c r="J439" s="1657">
        <v>10718.44</v>
      </c>
      <c r="K439" s="1641"/>
      <c r="L439" s="1657">
        <v>3172.66</v>
      </c>
      <c r="M439" s="1655">
        <v>9.14</v>
      </c>
      <c r="N439" s="1679">
        <v>28998.11</v>
      </c>
      <c r="EW439" s="2031"/>
      <c r="EX439" s="1619"/>
      <c r="EY439" s="1628"/>
      <c r="EZ439" s="1628"/>
      <c r="FA439" s="1628"/>
      <c r="FE439" s="1864" t="s">
        <v>829</v>
      </c>
      <c r="FH439" s="1628"/>
    </row>
    <row r="440" spans="1:164" s="1484" customFormat="1" ht="15" x14ac:dyDescent="0.25">
      <c r="A440" s="2033"/>
      <c r="B440" s="1631"/>
      <c r="C440" s="2805" t="s">
        <v>2524</v>
      </c>
      <c r="D440" s="2805"/>
      <c r="E440" s="2805"/>
      <c r="F440" s="1683" t="s">
        <v>807</v>
      </c>
      <c r="G440" s="1655">
        <v>106.19</v>
      </c>
      <c r="H440" s="1641"/>
      <c r="I440" s="2042">
        <v>31.43224</v>
      </c>
      <c r="J440" s="1640"/>
      <c r="K440" s="1641"/>
      <c r="L440" s="1640"/>
      <c r="M440" s="1641"/>
      <c r="N440" s="1681"/>
      <c r="EW440" s="2031"/>
      <c r="EX440" s="1619"/>
      <c r="EY440" s="1628"/>
      <c r="EZ440" s="1628"/>
      <c r="FA440" s="1628"/>
      <c r="FF440" s="1864" t="s">
        <v>2524</v>
      </c>
      <c r="FH440" s="1628"/>
    </row>
    <row r="441" spans="1:164" s="1484" customFormat="1" ht="15" x14ac:dyDescent="0.25">
      <c r="A441" s="2033"/>
      <c r="B441" s="1631"/>
      <c r="C441" s="2805" t="s">
        <v>2501</v>
      </c>
      <c r="D441" s="2805"/>
      <c r="E441" s="2805"/>
      <c r="F441" s="1683" t="s">
        <v>807</v>
      </c>
      <c r="G441" s="1655">
        <v>0.64</v>
      </c>
      <c r="H441" s="1641"/>
      <c r="I441" s="2042">
        <v>0.18944</v>
      </c>
      <c r="J441" s="1640"/>
      <c r="K441" s="1641"/>
      <c r="L441" s="1640"/>
      <c r="M441" s="1641"/>
      <c r="N441" s="1681"/>
      <c r="EW441" s="2031"/>
      <c r="EX441" s="1619"/>
      <c r="EY441" s="1628"/>
      <c r="EZ441" s="1628"/>
      <c r="FA441" s="1628"/>
      <c r="FF441" s="1864" t="s">
        <v>2501</v>
      </c>
      <c r="FH441" s="1628"/>
    </row>
    <row r="442" spans="1:164" s="1484" customFormat="1" ht="15" x14ac:dyDescent="0.25">
      <c r="A442" s="2032"/>
      <c r="B442" s="1631"/>
      <c r="C442" s="2917" t="s">
        <v>2502</v>
      </c>
      <c r="D442" s="2917"/>
      <c r="E442" s="2917"/>
      <c r="F442" s="2036"/>
      <c r="G442" s="2037"/>
      <c r="H442" s="2037"/>
      <c r="I442" s="2037"/>
      <c r="J442" s="2038">
        <v>11748.73</v>
      </c>
      <c r="K442" s="2037"/>
      <c r="L442" s="2038">
        <v>3549.76</v>
      </c>
      <c r="M442" s="2037"/>
      <c r="N442" s="2068">
        <v>42088.97</v>
      </c>
      <c r="EW442" s="2031"/>
      <c r="EX442" s="1619"/>
      <c r="EY442" s="1628"/>
      <c r="EZ442" s="1628"/>
      <c r="FA442" s="1628"/>
      <c r="FG442" s="1864" t="s">
        <v>2502</v>
      </c>
      <c r="FH442" s="1628"/>
    </row>
    <row r="443" spans="1:164" s="1484" customFormat="1" ht="15" x14ac:dyDescent="0.25">
      <c r="A443" s="2033" t="s">
        <v>8034</v>
      </c>
      <c r="B443" s="1631"/>
      <c r="C443" s="2805" t="s">
        <v>7964</v>
      </c>
      <c r="D443" s="2805"/>
      <c r="E443" s="2805"/>
      <c r="F443" s="1683" t="s">
        <v>5928</v>
      </c>
      <c r="G443" s="1641"/>
      <c r="H443" s="1641"/>
      <c r="I443" s="1641"/>
      <c r="J443" s="1640"/>
      <c r="K443" s="1641"/>
      <c r="L443" s="1654">
        <v>0.59</v>
      </c>
      <c r="M443" s="1641"/>
      <c r="N443" s="2039">
        <v>21.09</v>
      </c>
      <c r="EW443" s="2031"/>
      <c r="EX443" s="1619"/>
      <c r="EY443" s="1628"/>
      <c r="EZ443" s="1628"/>
      <c r="FA443" s="1628"/>
      <c r="FF443" s="1864" t="s">
        <v>7964</v>
      </c>
      <c r="FH443" s="1628"/>
    </row>
    <row r="444" spans="1:164" s="1484" customFormat="1" ht="15" x14ac:dyDescent="0.25">
      <c r="A444" s="2033"/>
      <c r="B444" s="1631"/>
      <c r="C444" s="2805" t="s">
        <v>7965</v>
      </c>
      <c r="D444" s="2805"/>
      <c r="E444" s="2805"/>
      <c r="F444" s="1683" t="s">
        <v>5928</v>
      </c>
      <c r="G444" s="1641"/>
      <c r="H444" s="1641"/>
      <c r="I444" s="1641"/>
      <c r="J444" s="1654">
        <v>7.94</v>
      </c>
      <c r="K444" s="1655">
        <v>0.25</v>
      </c>
      <c r="L444" s="1654">
        <v>0.59</v>
      </c>
      <c r="M444" s="1655">
        <v>35.75</v>
      </c>
      <c r="N444" s="2039">
        <v>21.09</v>
      </c>
      <c r="EW444" s="2031"/>
      <c r="EX444" s="1619"/>
      <c r="EY444" s="1628"/>
      <c r="EZ444" s="1628"/>
      <c r="FA444" s="1628"/>
      <c r="FF444" s="1864" t="s">
        <v>7965</v>
      </c>
      <c r="FH444" s="1628"/>
    </row>
    <row r="445" spans="1:164" s="1484" customFormat="1" ht="15" x14ac:dyDescent="0.25">
      <c r="A445" s="2033"/>
      <c r="B445" s="1631"/>
      <c r="C445" s="2805" t="s">
        <v>867</v>
      </c>
      <c r="D445" s="2805"/>
      <c r="E445" s="2805"/>
      <c r="F445" s="1683"/>
      <c r="G445" s="1641"/>
      <c r="H445" s="1641"/>
      <c r="I445" s="1641"/>
      <c r="J445" s="1640"/>
      <c r="K445" s="1641"/>
      <c r="L445" s="1654">
        <v>363.62</v>
      </c>
      <c r="M445" s="1641"/>
      <c r="N445" s="1679">
        <v>12999.41</v>
      </c>
      <c r="EW445" s="2031"/>
      <c r="EX445" s="1619"/>
      <c r="EY445" s="1628"/>
      <c r="EZ445" s="1628"/>
      <c r="FA445" s="1628"/>
      <c r="FF445" s="1864" t="s">
        <v>867</v>
      </c>
      <c r="FH445" s="1628"/>
    </row>
    <row r="446" spans="1:164" s="1484" customFormat="1" ht="15" x14ac:dyDescent="0.25">
      <c r="A446" s="2033"/>
      <c r="B446" s="1631" t="s">
        <v>7966</v>
      </c>
      <c r="C446" s="2805" t="s">
        <v>7967</v>
      </c>
      <c r="D446" s="2805"/>
      <c r="E446" s="2805"/>
      <c r="F446" s="1683" t="s">
        <v>636</v>
      </c>
      <c r="G446" s="2034">
        <v>100</v>
      </c>
      <c r="H446" s="1641"/>
      <c r="I446" s="2034">
        <v>100</v>
      </c>
      <c r="J446" s="1640"/>
      <c r="K446" s="1641"/>
      <c r="L446" s="1654">
        <v>363.62</v>
      </c>
      <c r="M446" s="1641"/>
      <c r="N446" s="1679">
        <v>12999.41</v>
      </c>
      <c r="EW446" s="2031"/>
      <c r="EX446" s="1619"/>
      <c r="EY446" s="1628"/>
      <c r="EZ446" s="1628"/>
      <c r="FA446" s="1628"/>
      <c r="FF446" s="1864" t="s">
        <v>7967</v>
      </c>
      <c r="FH446" s="1628"/>
    </row>
    <row r="447" spans="1:164" s="1484" customFormat="1" ht="15" x14ac:dyDescent="0.25">
      <c r="A447" s="2033"/>
      <c r="B447" s="1631" t="s">
        <v>7968</v>
      </c>
      <c r="C447" s="2805" t="s">
        <v>7969</v>
      </c>
      <c r="D447" s="2805"/>
      <c r="E447" s="2805"/>
      <c r="F447" s="1683" t="s">
        <v>636</v>
      </c>
      <c r="G447" s="2034">
        <v>49</v>
      </c>
      <c r="H447" s="1641"/>
      <c r="I447" s="2034">
        <v>49</v>
      </c>
      <c r="J447" s="1640"/>
      <c r="K447" s="1641"/>
      <c r="L447" s="1654">
        <v>178.17</v>
      </c>
      <c r="M447" s="1641"/>
      <c r="N447" s="1679">
        <v>6369.71</v>
      </c>
      <c r="EW447" s="2031"/>
      <c r="EX447" s="1619"/>
      <c r="EY447" s="1628"/>
      <c r="EZ447" s="1628"/>
      <c r="FA447" s="1628"/>
      <c r="FF447" s="1864" t="s">
        <v>7969</v>
      </c>
      <c r="FH447" s="1628"/>
    </row>
    <row r="448" spans="1:164" s="1484" customFormat="1" ht="15" x14ac:dyDescent="0.25">
      <c r="A448" s="1650"/>
      <c r="B448" s="1651"/>
      <c r="C448" s="2803" t="s">
        <v>872</v>
      </c>
      <c r="D448" s="2803"/>
      <c r="E448" s="2803"/>
      <c r="F448" s="1621"/>
      <c r="G448" s="1622"/>
      <c r="H448" s="1622"/>
      <c r="I448" s="1622"/>
      <c r="J448" s="1625"/>
      <c r="K448" s="1622"/>
      <c r="L448" s="1648">
        <v>4092.14</v>
      </c>
      <c r="M448" s="2037"/>
      <c r="N448" s="1649">
        <v>61479.18</v>
      </c>
      <c r="EW448" s="2031"/>
      <c r="EX448" s="1619"/>
      <c r="EY448" s="1628"/>
      <c r="EZ448" s="1628"/>
      <c r="FA448" s="1628"/>
      <c r="FH448" s="1628" t="s">
        <v>872</v>
      </c>
    </row>
    <row r="449" spans="1:176" s="1484" customFormat="1" ht="45" x14ac:dyDescent="0.25">
      <c r="A449" s="1620" t="s">
        <v>920</v>
      </c>
      <c r="B449" s="1863" t="s">
        <v>8893</v>
      </c>
      <c r="C449" s="2803" t="s">
        <v>7993</v>
      </c>
      <c r="D449" s="2803"/>
      <c r="E449" s="2803"/>
      <c r="F449" s="1621" t="s">
        <v>130</v>
      </c>
      <c r="G449" s="1622">
        <v>34.927999999999997</v>
      </c>
      <c r="H449" s="1623">
        <v>1</v>
      </c>
      <c r="I449" s="2045">
        <v>34.927999999999997</v>
      </c>
      <c r="J449" s="1648">
        <v>9053.35</v>
      </c>
      <c r="K449" s="1622"/>
      <c r="L449" s="1648">
        <v>34596.870000000003</v>
      </c>
      <c r="M449" s="1687">
        <v>9.14</v>
      </c>
      <c r="N449" s="1649">
        <v>316215.40999999997</v>
      </c>
      <c r="EW449" s="2031"/>
      <c r="EX449" s="1619"/>
      <c r="EY449" s="1628" t="s">
        <v>7993</v>
      </c>
      <c r="EZ449" s="1628" t="s">
        <v>588</v>
      </c>
      <c r="FA449" s="1628" t="s">
        <v>588</v>
      </c>
      <c r="FH449" s="1628"/>
    </row>
    <row r="450" spans="1:176" s="1484" customFormat="1" ht="15" x14ac:dyDescent="0.25">
      <c r="A450" s="1650"/>
      <c r="B450" s="1651"/>
      <c r="C450" s="2805" t="s">
        <v>8689</v>
      </c>
      <c r="D450" s="2805"/>
      <c r="E450" s="2805"/>
      <c r="F450" s="2805"/>
      <c r="G450" s="2805"/>
      <c r="H450" s="2805"/>
      <c r="I450" s="2805"/>
      <c r="J450" s="2805"/>
      <c r="K450" s="2805"/>
      <c r="L450" s="2805"/>
      <c r="M450" s="2805"/>
      <c r="N450" s="2806"/>
      <c r="EW450" s="2031"/>
      <c r="EX450" s="1619"/>
      <c r="EY450" s="1628"/>
      <c r="EZ450" s="1628"/>
      <c r="FA450" s="1628"/>
      <c r="FH450" s="1628"/>
      <c r="FI450" s="1864" t="s">
        <v>8689</v>
      </c>
      <c r="FJ450" s="1864" t="s">
        <v>588</v>
      </c>
      <c r="FK450" s="1864" t="s">
        <v>588</v>
      </c>
      <c r="FL450" s="1864" t="s">
        <v>588</v>
      </c>
      <c r="FM450" s="1864" t="s">
        <v>588</v>
      </c>
      <c r="FN450" s="1864" t="s">
        <v>588</v>
      </c>
      <c r="FO450" s="1864" t="s">
        <v>588</v>
      </c>
      <c r="FP450" s="1864" t="s">
        <v>588</v>
      </c>
      <c r="FQ450" s="1864" t="s">
        <v>588</v>
      </c>
      <c r="FR450" s="1864" t="s">
        <v>588</v>
      </c>
      <c r="FS450" s="1864" t="s">
        <v>588</v>
      </c>
      <c r="FT450" s="1864" t="s">
        <v>588</v>
      </c>
    </row>
    <row r="451" spans="1:176" s="1484" customFormat="1" ht="15" x14ac:dyDescent="0.25">
      <c r="A451" s="1650"/>
      <c r="B451" s="1651"/>
      <c r="C451" s="2803" t="s">
        <v>872</v>
      </c>
      <c r="D451" s="2803"/>
      <c r="E451" s="2803"/>
      <c r="F451" s="1621"/>
      <c r="G451" s="1622"/>
      <c r="H451" s="1622"/>
      <c r="I451" s="1622"/>
      <c r="J451" s="1625"/>
      <c r="K451" s="1622"/>
      <c r="L451" s="1648">
        <v>34596.870000000003</v>
      </c>
      <c r="M451" s="2037"/>
      <c r="N451" s="1649">
        <v>316215.40999999997</v>
      </c>
      <c r="EW451" s="2031"/>
      <c r="EX451" s="1619"/>
      <c r="EY451" s="1628"/>
      <c r="EZ451" s="1628"/>
      <c r="FA451" s="1628"/>
      <c r="FH451" s="1628" t="s">
        <v>872</v>
      </c>
    </row>
    <row r="452" spans="1:176" s="1484" customFormat="1" ht="15" x14ac:dyDescent="0.25">
      <c r="A452" s="2811" t="s">
        <v>8035</v>
      </c>
      <c r="B452" s="2812"/>
      <c r="C452" s="2812"/>
      <c r="D452" s="2812"/>
      <c r="E452" s="2812"/>
      <c r="F452" s="2812"/>
      <c r="G452" s="2812"/>
      <c r="H452" s="2812"/>
      <c r="I452" s="2812"/>
      <c r="J452" s="2812"/>
      <c r="K452" s="2812"/>
      <c r="L452" s="2812"/>
      <c r="M452" s="2812"/>
      <c r="N452" s="2813"/>
      <c r="EW452" s="2031"/>
      <c r="EX452" s="1619" t="s">
        <v>8035</v>
      </c>
      <c r="EY452" s="1628"/>
      <c r="EZ452" s="1628"/>
      <c r="FA452" s="1628"/>
      <c r="FH452" s="1628"/>
    </row>
    <row r="453" spans="1:176" s="1484" customFormat="1" ht="56.25" x14ac:dyDescent="0.25">
      <c r="A453" s="1620" t="s">
        <v>8036</v>
      </c>
      <c r="B453" s="1863" t="s">
        <v>7990</v>
      </c>
      <c r="C453" s="2803" t="s">
        <v>7991</v>
      </c>
      <c r="D453" s="2803"/>
      <c r="E453" s="2803"/>
      <c r="F453" s="1621" t="s">
        <v>2555</v>
      </c>
      <c r="G453" s="1622">
        <v>0.77300000000000002</v>
      </c>
      <c r="H453" s="1623">
        <v>1</v>
      </c>
      <c r="I453" s="2045">
        <v>0.77300000000000002</v>
      </c>
      <c r="J453" s="1625"/>
      <c r="K453" s="1622"/>
      <c r="L453" s="1625"/>
      <c r="M453" s="1622"/>
      <c r="N453" s="1627"/>
      <c r="EW453" s="2031"/>
      <c r="EX453" s="1619"/>
      <c r="EY453" s="1628" t="s">
        <v>7991</v>
      </c>
      <c r="EZ453" s="1628" t="s">
        <v>588</v>
      </c>
      <c r="FA453" s="1628" t="s">
        <v>588</v>
      </c>
      <c r="FH453" s="1628"/>
    </row>
    <row r="454" spans="1:176" s="1484" customFormat="1" ht="15" x14ac:dyDescent="0.25">
      <c r="A454" s="1629"/>
      <c r="B454" s="1862"/>
      <c r="C454" s="2805" t="s">
        <v>8918</v>
      </c>
      <c r="D454" s="2805"/>
      <c r="E454" s="2805"/>
      <c r="F454" s="2805"/>
      <c r="G454" s="2805"/>
      <c r="H454" s="2805"/>
      <c r="I454" s="2805"/>
      <c r="J454" s="2805"/>
      <c r="K454" s="2805"/>
      <c r="L454" s="2805"/>
      <c r="M454" s="2805"/>
      <c r="N454" s="2806"/>
      <c r="EW454" s="2031"/>
      <c r="EX454" s="1619"/>
      <c r="EY454" s="1628"/>
      <c r="EZ454" s="1628"/>
      <c r="FA454" s="1628"/>
      <c r="FB454" s="1864" t="s">
        <v>8918</v>
      </c>
      <c r="FH454" s="1628"/>
    </row>
    <row r="455" spans="1:176" s="1484" customFormat="1" ht="22.5" x14ac:dyDescent="0.25">
      <c r="A455" s="1630"/>
      <c r="B455" s="1631" t="s">
        <v>6062</v>
      </c>
      <c r="C455" s="2809" t="s">
        <v>6063</v>
      </c>
      <c r="D455" s="2809"/>
      <c r="E455" s="2809"/>
      <c r="F455" s="2809"/>
      <c r="G455" s="2809"/>
      <c r="H455" s="2809"/>
      <c r="I455" s="2809"/>
      <c r="J455" s="2809"/>
      <c r="K455" s="2809"/>
      <c r="L455" s="2809"/>
      <c r="M455" s="2809"/>
      <c r="N455" s="2810"/>
      <c r="EW455" s="2031"/>
      <c r="EX455" s="1619"/>
      <c r="EY455" s="1628"/>
      <c r="EZ455" s="1628"/>
      <c r="FA455" s="1628"/>
      <c r="FC455" s="1864" t="s">
        <v>6063</v>
      </c>
      <c r="FH455" s="1628"/>
    </row>
    <row r="456" spans="1:176" s="1484" customFormat="1" ht="22.5" x14ac:dyDescent="0.25">
      <c r="A456" s="2033"/>
      <c r="B456" s="1631" t="s">
        <v>3260</v>
      </c>
      <c r="C456" s="2805" t="s">
        <v>8636</v>
      </c>
      <c r="D456" s="2805"/>
      <c r="E456" s="2805"/>
      <c r="F456" s="1683" t="s">
        <v>807</v>
      </c>
      <c r="G456" s="1655">
        <v>106.19</v>
      </c>
      <c r="H456" s="1641"/>
      <c r="I456" s="2042">
        <v>82.084869999999995</v>
      </c>
      <c r="J456" s="1654">
        <v>9.18</v>
      </c>
      <c r="K456" s="1655">
        <v>1.25</v>
      </c>
      <c r="L456" s="1654">
        <v>941.92</v>
      </c>
      <c r="M456" s="1641"/>
      <c r="N456" s="1681"/>
      <c r="EW456" s="2031"/>
      <c r="EX456" s="1619"/>
      <c r="EY456" s="1628"/>
      <c r="EZ456" s="1628"/>
      <c r="FA456" s="1628"/>
      <c r="FD456" s="1864" t="s">
        <v>8636</v>
      </c>
      <c r="FH456" s="1628"/>
    </row>
    <row r="457" spans="1:176" s="1484" customFormat="1" ht="22.5" x14ac:dyDescent="0.25">
      <c r="A457" s="2033"/>
      <c r="B457" s="1631" t="s">
        <v>817</v>
      </c>
      <c r="C457" s="2805" t="s">
        <v>818</v>
      </c>
      <c r="D457" s="2805"/>
      <c r="E457" s="2805"/>
      <c r="F457" s="1683" t="s">
        <v>4994</v>
      </c>
      <c r="G457" s="1655">
        <v>0.27</v>
      </c>
      <c r="H457" s="1641"/>
      <c r="I457" s="2042">
        <v>0.20871000000000001</v>
      </c>
      <c r="J457" s="1654">
        <v>115.4</v>
      </c>
      <c r="K457" s="1641"/>
      <c r="L457" s="1654">
        <v>24.09</v>
      </c>
      <c r="M457" s="1641"/>
      <c r="N457" s="1681"/>
      <c r="EW457" s="2031"/>
      <c r="EX457" s="1619"/>
      <c r="EY457" s="1628"/>
      <c r="EZ457" s="1628"/>
      <c r="FA457" s="1628"/>
      <c r="FD457" s="1864" t="s">
        <v>818</v>
      </c>
      <c r="FH457" s="1628"/>
    </row>
    <row r="458" spans="1:176" s="1484" customFormat="1" ht="15" x14ac:dyDescent="0.25">
      <c r="A458" s="2033"/>
      <c r="B458" s="1631" t="s">
        <v>821</v>
      </c>
      <c r="C458" s="2805" t="s">
        <v>822</v>
      </c>
      <c r="D458" s="2805"/>
      <c r="E458" s="2805"/>
      <c r="F458" s="1683" t="s">
        <v>4994</v>
      </c>
      <c r="G458" s="1655">
        <v>0.37</v>
      </c>
      <c r="H458" s="1641"/>
      <c r="I458" s="2042">
        <v>0.28600999999999999</v>
      </c>
      <c r="J458" s="1654">
        <v>65.709999999999994</v>
      </c>
      <c r="K458" s="1641"/>
      <c r="L458" s="1654">
        <v>18.79</v>
      </c>
      <c r="M458" s="1641"/>
      <c r="N458" s="1681"/>
      <c r="EW458" s="2031"/>
      <c r="EX458" s="1619"/>
      <c r="EY458" s="1628"/>
      <c r="EZ458" s="1628"/>
      <c r="FA458" s="1628"/>
      <c r="FD458" s="1864" t="s">
        <v>822</v>
      </c>
      <c r="FH458" s="1628"/>
    </row>
    <row r="459" spans="1:176" s="1484" customFormat="1" ht="15" x14ac:dyDescent="0.25">
      <c r="A459" s="2033"/>
      <c r="B459" s="1631" t="s">
        <v>4907</v>
      </c>
      <c r="C459" s="2805" t="s">
        <v>8890</v>
      </c>
      <c r="D459" s="2805"/>
      <c r="E459" s="2805"/>
      <c r="F459" s="1683" t="s">
        <v>4865</v>
      </c>
      <c r="G459" s="2034">
        <v>7</v>
      </c>
      <c r="H459" s="1641"/>
      <c r="I459" s="2046">
        <v>5.4109999999999996</v>
      </c>
      <c r="J459" s="1654">
        <v>118</v>
      </c>
      <c r="K459" s="1641"/>
      <c r="L459" s="1654">
        <v>638.5</v>
      </c>
      <c r="M459" s="1641"/>
      <c r="N459" s="1681"/>
      <c r="EW459" s="2031"/>
      <c r="EX459" s="1619"/>
      <c r="EY459" s="1628"/>
      <c r="EZ459" s="1628"/>
      <c r="FA459" s="1628"/>
      <c r="FD459" s="1864" t="s">
        <v>8890</v>
      </c>
      <c r="FH459" s="1628"/>
    </row>
    <row r="460" spans="1:176" s="1484" customFormat="1" ht="15" x14ac:dyDescent="0.25">
      <c r="A460" s="2033"/>
      <c r="B460" s="1631" t="s">
        <v>4910</v>
      </c>
      <c r="C460" s="2805" t="s">
        <v>8889</v>
      </c>
      <c r="D460" s="2805"/>
      <c r="E460" s="2805"/>
      <c r="F460" s="1683" t="s">
        <v>4865</v>
      </c>
      <c r="G460" s="2034">
        <v>29</v>
      </c>
      <c r="H460" s="1641"/>
      <c r="I460" s="2046">
        <v>22.417000000000002</v>
      </c>
      <c r="J460" s="1654">
        <v>10</v>
      </c>
      <c r="K460" s="1641"/>
      <c r="L460" s="1654">
        <v>224.17</v>
      </c>
      <c r="M460" s="1641"/>
      <c r="N460" s="1681"/>
      <c r="EW460" s="2031"/>
      <c r="EX460" s="1619"/>
      <c r="EY460" s="1628"/>
      <c r="EZ460" s="1628"/>
      <c r="FA460" s="1628"/>
      <c r="FD460" s="1864" t="s">
        <v>8889</v>
      </c>
      <c r="FH460" s="1628"/>
    </row>
    <row r="461" spans="1:176" s="1484" customFormat="1" ht="33.75" x14ac:dyDescent="0.25">
      <c r="A461" s="2033"/>
      <c r="B461" s="1631" t="s">
        <v>4943</v>
      </c>
      <c r="C461" s="2805" t="s">
        <v>8888</v>
      </c>
      <c r="D461" s="2805"/>
      <c r="E461" s="2805"/>
      <c r="F461" s="1683" t="s">
        <v>2647</v>
      </c>
      <c r="G461" s="2034">
        <v>200</v>
      </c>
      <c r="H461" s="1641"/>
      <c r="I461" s="1953">
        <v>154.6</v>
      </c>
      <c r="J461" s="1654">
        <v>6.91</v>
      </c>
      <c r="K461" s="1641"/>
      <c r="L461" s="1657">
        <v>1068.29</v>
      </c>
      <c r="M461" s="1641"/>
      <c r="N461" s="1681"/>
      <c r="EW461" s="2031"/>
      <c r="EX461" s="1619"/>
      <c r="EY461" s="1628"/>
      <c r="EZ461" s="1628"/>
      <c r="FA461" s="1628"/>
      <c r="FD461" s="1864" t="s">
        <v>8888</v>
      </c>
      <c r="FH461" s="1628"/>
    </row>
    <row r="462" spans="1:176" s="1484" customFormat="1" ht="33.75" x14ac:dyDescent="0.25">
      <c r="A462" s="2033"/>
      <c r="B462" s="1631" t="s">
        <v>4949</v>
      </c>
      <c r="C462" s="2805" t="s">
        <v>8887</v>
      </c>
      <c r="D462" s="2805"/>
      <c r="E462" s="2805"/>
      <c r="F462" s="1683" t="s">
        <v>269</v>
      </c>
      <c r="G462" s="2034">
        <v>350</v>
      </c>
      <c r="H462" s="1641"/>
      <c r="I462" s="1655">
        <v>270.55</v>
      </c>
      <c r="J462" s="1654">
        <v>17.32</v>
      </c>
      <c r="K462" s="1641"/>
      <c r="L462" s="1657">
        <v>4685.93</v>
      </c>
      <c r="M462" s="1641"/>
      <c r="N462" s="1681"/>
      <c r="EW462" s="2031"/>
      <c r="EX462" s="1619"/>
      <c r="EY462" s="1628"/>
      <c r="EZ462" s="1628"/>
      <c r="FA462" s="1628"/>
      <c r="FD462" s="1864" t="s">
        <v>8887</v>
      </c>
      <c r="FH462" s="1628"/>
    </row>
    <row r="463" spans="1:176" s="1484" customFormat="1" ht="22.5" x14ac:dyDescent="0.25">
      <c r="A463" s="2033"/>
      <c r="B463" s="1631" t="s">
        <v>4950</v>
      </c>
      <c r="C463" s="2805" t="s">
        <v>8886</v>
      </c>
      <c r="D463" s="2805"/>
      <c r="E463" s="2805"/>
      <c r="F463" s="1683" t="s">
        <v>2647</v>
      </c>
      <c r="G463" s="2034">
        <v>42</v>
      </c>
      <c r="H463" s="1641"/>
      <c r="I463" s="2046">
        <v>32.466000000000001</v>
      </c>
      <c r="J463" s="1654">
        <v>23.15</v>
      </c>
      <c r="K463" s="1641"/>
      <c r="L463" s="1654">
        <v>751.59</v>
      </c>
      <c r="M463" s="1641"/>
      <c r="N463" s="1681"/>
      <c r="EW463" s="2031"/>
      <c r="EX463" s="1619"/>
      <c r="EY463" s="1628"/>
      <c r="EZ463" s="1628"/>
      <c r="FA463" s="1628"/>
      <c r="FD463" s="1864" t="s">
        <v>8886</v>
      </c>
      <c r="FH463" s="1628"/>
    </row>
    <row r="464" spans="1:176" s="1484" customFormat="1" ht="22.5" x14ac:dyDescent="0.25">
      <c r="A464" s="2033"/>
      <c r="B464" s="1631" t="s">
        <v>4951</v>
      </c>
      <c r="C464" s="2805" t="s">
        <v>8885</v>
      </c>
      <c r="D464" s="2805"/>
      <c r="E464" s="2805"/>
      <c r="F464" s="1683" t="s">
        <v>2647</v>
      </c>
      <c r="G464" s="2034">
        <v>12</v>
      </c>
      <c r="H464" s="1641"/>
      <c r="I464" s="2046">
        <v>9.2759999999999998</v>
      </c>
      <c r="J464" s="1654">
        <v>64.47</v>
      </c>
      <c r="K464" s="1641"/>
      <c r="L464" s="1654">
        <v>598.02</v>
      </c>
      <c r="M464" s="1641"/>
      <c r="N464" s="1681"/>
      <c r="EW464" s="2031"/>
      <c r="EX464" s="1619"/>
      <c r="EY464" s="1628"/>
      <c r="EZ464" s="1628"/>
      <c r="FA464" s="1628"/>
      <c r="FD464" s="1864" t="s">
        <v>8885</v>
      </c>
      <c r="FH464" s="1628"/>
    </row>
    <row r="465" spans="1:176" s="1484" customFormat="1" ht="22.5" x14ac:dyDescent="0.25">
      <c r="A465" s="2033"/>
      <c r="B465" s="1631" t="s">
        <v>4952</v>
      </c>
      <c r="C465" s="2805" t="s">
        <v>8884</v>
      </c>
      <c r="D465" s="2805"/>
      <c r="E465" s="2805"/>
      <c r="F465" s="1683" t="s">
        <v>2647</v>
      </c>
      <c r="G465" s="2034">
        <v>55</v>
      </c>
      <c r="H465" s="1641"/>
      <c r="I465" s="2046">
        <v>42.515000000000001</v>
      </c>
      <c r="J465" s="1654">
        <v>7.5</v>
      </c>
      <c r="K465" s="1641"/>
      <c r="L465" s="1654">
        <v>318.86</v>
      </c>
      <c r="M465" s="1641"/>
      <c r="N465" s="1681"/>
      <c r="EW465" s="2031"/>
      <c r="EX465" s="1619"/>
      <c r="EY465" s="1628"/>
      <c r="EZ465" s="1628"/>
      <c r="FA465" s="1628"/>
      <c r="FD465" s="1864" t="s">
        <v>8884</v>
      </c>
      <c r="FH465" s="1628"/>
    </row>
    <row r="466" spans="1:176" s="1484" customFormat="1" ht="15" x14ac:dyDescent="0.25">
      <c r="A466" s="2032"/>
      <c r="B466" s="1631" t="s">
        <v>190</v>
      </c>
      <c r="C466" s="2805" t="s">
        <v>2523</v>
      </c>
      <c r="D466" s="2805"/>
      <c r="E466" s="2805"/>
      <c r="F466" s="1683"/>
      <c r="G466" s="1641"/>
      <c r="H466" s="1641"/>
      <c r="I466" s="1641"/>
      <c r="J466" s="1654">
        <v>974.82</v>
      </c>
      <c r="K466" s="1655">
        <v>1.25</v>
      </c>
      <c r="L466" s="1654">
        <v>941.92</v>
      </c>
      <c r="M466" s="1655">
        <v>35.75</v>
      </c>
      <c r="N466" s="1679">
        <v>33673.64</v>
      </c>
      <c r="EW466" s="2031"/>
      <c r="EX466" s="1619"/>
      <c r="EY466" s="1628"/>
      <c r="EZ466" s="1628"/>
      <c r="FA466" s="1628"/>
      <c r="FE466" s="1864" t="s">
        <v>2523</v>
      </c>
      <c r="FH466" s="1628"/>
    </row>
    <row r="467" spans="1:176" s="1484" customFormat="1" ht="15" x14ac:dyDescent="0.25">
      <c r="A467" s="2032"/>
      <c r="B467" s="1631" t="s">
        <v>639</v>
      </c>
      <c r="C467" s="2805" t="s">
        <v>697</v>
      </c>
      <c r="D467" s="2805"/>
      <c r="E467" s="2805"/>
      <c r="F467" s="1683"/>
      <c r="G467" s="1641"/>
      <c r="H467" s="1641"/>
      <c r="I467" s="1641"/>
      <c r="J467" s="1654">
        <v>55.47</v>
      </c>
      <c r="K467" s="1641"/>
      <c r="L467" s="1654">
        <v>42.88</v>
      </c>
      <c r="M467" s="1655">
        <v>11.97</v>
      </c>
      <c r="N467" s="2039">
        <v>513.27</v>
      </c>
      <c r="EW467" s="2031"/>
      <c r="EX467" s="1619"/>
      <c r="EY467" s="1628"/>
      <c r="EZ467" s="1628"/>
      <c r="FA467" s="1628"/>
      <c r="FE467" s="1864" t="s">
        <v>697</v>
      </c>
      <c r="FH467" s="1628"/>
    </row>
    <row r="468" spans="1:176" s="1484" customFormat="1" ht="15" x14ac:dyDescent="0.25">
      <c r="A468" s="2032"/>
      <c r="B468" s="1631" t="s">
        <v>640</v>
      </c>
      <c r="C468" s="2805" t="s">
        <v>2500</v>
      </c>
      <c r="D468" s="2805"/>
      <c r="E468" s="2805"/>
      <c r="F468" s="1683"/>
      <c r="G468" s="1641"/>
      <c r="H468" s="1641"/>
      <c r="I468" s="1641"/>
      <c r="J468" s="1654">
        <v>7.94</v>
      </c>
      <c r="K468" s="1641"/>
      <c r="L468" s="1654">
        <v>6.14</v>
      </c>
      <c r="M468" s="1655">
        <v>35.75</v>
      </c>
      <c r="N468" s="2039">
        <v>219.51</v>
      </c>
      <c r="EW468" s="2031"/>
      <c r="EX468" s="1619"/>
      <c r="EY468" s="1628"/>
      <c r="EZ468" s="1628"/>
      <c r="FA468" s="1628"/>
      <c r="FE468" s="1864" t="s">
        <v>2500</v>
      </c>
      <c r="FH468" s="1628"/>
    </row>
    <row r="469" spans="1:176" s="1484" customFormat="1" ht="15" x14ac:dyDescent="0.25">
      <c r="A469" s="2032"/>
      <c r="B469" s="1631" t="s">
        <v>232</v>
      </c>
      <c r="C469" s="2805" t="s">
        <v>829</v>
      </c>
      <c r="D469" s="2805"/>
      <c r="E469" s="2805"/>
      <c r="F469" s="1683"/>
      <c r="G469" s="1641"/>
      <c r="H469" s="1641"/>
      <c r="I469" s="1641"/>
      <c r="J469" s="1657">
        <v>10718.44</v>
      </c>
      <c r="K469" s="1641"/>
      <c r="L469" s="1657">
        <v>8285.35</v>
      </c>
      <c r="M469" s="1655">
        <v>9.14</v>
      </c>
      <c r="N469" s="1679">
        <v>75728.100000000006</v>
      </c>
      <c r="EW469" s="2031"/>
      <c r="EX469" s="1619"/>
      <c r="EY469" s="1628"/>
      <c r="EZ469" s="1628"/>
      <c r="FA469" s="1628"/>
      <c r="FE469" s="1864" t="s">
        <v>829</v>
      </c>
      <c r="FH469" s="1628"/>
    </row>
    <row r="470" spans="1:176" s="1484" customFormat="1" ht="15" x14ac:dyDescent="0.25">
      <c r="A470" s="2033"/>
      <c r="B470" s="1631"/>
      <c r="C470" s="2805" t="s">
        <v>2524</v>
      </c>
      <c r="D470" s="2805"/>
      <c r="E470" s="2805"/>
      <c r="F470" s="1683" t="s">
        <v>807</v>
      </c>
      <c r="G470" s="1655">
        <v>106.19</v>
      </c>
      <c r="H470" s="1641"/>
      <c r="I470" s="2042">
        <v>82.084869999999995</v>
      </c>
      <c r="J470" s="1640"/>
      <c r="K470" s="1641"/>
      <c r="L470" s="1640"/>
      <c r="M470" s="1641"/>
      <c r="N470" s="1681"/>
      <c r="EW470" s="2031"/>
      <c r="EX470" s="1619"/>
      <c r="EY470" s="1628"/>
      <c r="EZ470" s="1628"/>
      <c r="FA470" s="1628"/>
      <c r="FF470" s="1864" t="s">
        <v>2524</v>
      </c>
      <c r="FH470" s="1628"/>
    </row>
    <row r="471" spans="1:176" s="1484" customFormat="1" ht="15" x14ac:dyDescent="0.25">
      <c r="A471" s="2033"/>
      <c r="B471" s="1631"/>
      <c r="C471" s="2805" t="s">
        <v>2501</v>
      </c>
      <c r="D471" s="2805"/>
      <c r="E471" s="2805"/>
      <c r="F471" s="1683" t="s">
        <v>807</v>
      </c>
      <c r="G471" s="1655">
        <v>0.64</v>
      </c>
      <c r="H471" s="1641"/>
      <c r="I471" s="2042">
        <v>0.49471999999999999</v>
      </c>
      <c r="J471" s="1640"/>
      <c r="K471" s="1641"/>
      <c r="L471" s="1640"/>
      <c r="M471" s="1641"/>
      <c r="N471" s="1681"/>
      <c r="EW471" s="2031"/>
      <c r="EX471" s="1619"/>
      <c r="EY471" s="1628"/>
      <c r="EZ471" s="1628"/>
      <c r="FA471" s="1628"/>
      <c r="FF471" s="1864" t="s">
        <v>2501</v>
      </c>
      <c r="FH471" s="1628"/>
    </row>
    <row r="472" spans="1:176" s="1484" customFormat="1" ht="15" x14ac:dyDescent="0.25">
      <c r="A472" s="2032"/>
      <c r="B472" s="1631"/>
      <c r="C472" s="2917" t="s">
        <v>2502</v>
      </c>
      <c r="D472" s="2917"/>
      <c r="E472" s="2917"/>
      <c r="F472" s="2036"/>
      <c r="G472" s="2037"/>
      <c r="H472" s="2037"/>
      <c r="I472" s="2037"/>
      <c r="J472" s="2038">
        <v>11748.73</v>
      </c>
      <c r="K472" s="2037"/>
      <c r="L472" s="2038">
        <v>9270.15</v>
      </c>
      <c r="M472" s="2037"/>
      <c r="N472" s="2068">
        <v>109915.01</v>
      </c>
      <c r="EW472" s="2031"/>
      <c r="EX472" s="1619"/>
      <c r="EY472" s="1628"/>
      <c r="EZ472" s="1628"/>
      <c r="FA472" s="1628"/>
      <c r="FG472" s="1864" t="s">
        <v>2502</v>
      </c>
      <c r="FH472" s="1628"/>
    </row>
    <row r="473" spans="1:176" s="1484" customFormat="1" ht="15" x14ac:dyDescent="0.25">
      <c r="A473" s="2033" t="s">
        <v>8037</v>
      </c>
      <c r="B473" s="1631"/>
      <c r="C473" s="2805" t="s">
        <v>7964</v>
      </c>
      <c r="D473" s="2805"/>
      <c r="E473" s="2805"/>
      <c r="F473" s="1683" t="s">
        <v>5928</v>
      </c>
      <c r="G473" s="1641"/>
      <c r="H473" s="1641"/>
      <c r="I473" s="1641"/>
      <c r="J473" s="1640"/>
      <c r="K473" s="1641"/>
      <c r="L473" s="1654">
        <v>1.53</v>
      </c>
      <c r="M473" s="1641"/>
      <c r="N473" s="2039">
        <v>54.7</v>
      </c>
      <c r="EW473" s="2031"/>
      <c r="EX473" s="1619"/>
      <c r="EY473" s="1628"/>
      <c r="EZ473" s="1628"/>
      <c r="FA473" s="1628"/>
      <c r="FF473" s="1864" t="s">
        <v>7964</v>
      </c>
      <c r="FH473" s="1628"/>
    </row>
    <row r="474" spans="1:176" s="1484" customFormat="1" ht="15" x14ac:dyDescent="0.25">
      <c r="A474" s="2033"/>
      <c r="B474" s="1631"/>
      <c r="C474" s="2805" t="s">
        <v>7965</v>
      </c>
      <c r="D474" s="2805"/>
      <c r="E474" s="2805"/>
      <c r="F474" s="1683" t="s">
        <v>5928</v>
      </c>
      <c r="G474" s="1641"/>
      <c r="H474" s="1641"/>
      <c r="I474" s="1641"/>
      <c r="J474" s="1654">
        <v>7.94</v>
      </c>
      <c r="K474" s="1655">
        <v>0.25</v>
      </c>
      <c r="L474" s="1654">
        <v>1.53</v>
      </c>
      <c r="M474" s="1655">
        <v>35.75</v>
      </c>
      <c r="N474" s="2039">
        <v>54.7</v>
      </c>
      <c r="EW474" s="2031"/>
      <c r="EX474" s="1619"/>
      <c r="EY474" s="1628"/>
      <c r="EZ474" s="1628"/>
      <c r="FA474" s="1628"/>
      <c r="FF474" s="1864" t="s">
        <v>7965</v>
      </c>
      <c r="FH474" s="1628"/>
    </row>
    <row r="475" spans="1:176" s="1484" customFormat="1" ht="15" x14ac:dyDescent="0.25">
      <c r="A475" s="2033"/>
      <c r="B475" s="1631"/>
      <c r="C475" s="2805" t="s">
        <v>867</v>
      </c>
      <c r="D475" s="2805"/>
      <c r="E475" s="2805"/>
      <c r="F475" s="1683"/>
      <c r="G475" s="1641"/>
      <c r="H475" s="1641"/>
      <c r="I475" s="1641"/>
      <c r="J475" s="1640"/>
      <c r="K475" s="1641"/>
      <c r="L475" s="1654">
        <v>949.59</v>
      </c>
      <c r="M475" s="1641"/>
      <c r="N475" s="1679">
        <v>33947.85</v>
      </c>
      <c r="EW475" s="2031"/>
      <c r="EX475" s="1619"/>
      <c r="EY475" s="1628"/>
      <c r="EZ475" s="1628"/>
      <c r="FA475" s="1628"/>
      <c r="FF475" s="1864" t="s">
        <v>867</v>
      </c>
      <c r="FH475" s="1628"/>
    </row>
    <row r="476" spans="1:176" s="1484" customFormat="1" ht="15" x14ac:dyDescent="0.25">
      <c r="A476" s="2033"/>
      <c r="B476" s="1631" t="s">
        <v>7966</v>
      </c>
      <c r="C476" s="2805" t="s">
        <v>7967</v>
      </c>
      <c r="D476" s="2805"/>
      <c r="E476" s="2805"/>
      <c r="F476" s="1683" t="s">
        <v>636</v>
      </c>
      <c r="G476" s="2034">
        <v>100</v>
      </c>
      <c r="H476" s="1641"/>
      <c r="I476" s="2034">
        <v>100</v>
      </c>
      <c r="J476" s="1640"/>
      <c r="K476" s="1641"/>
      <c r="L476" s="1654">
        <v>949.59</v>
      </c>
      <c r="M476" s="1641"/>
      <c r="N476" s="1679">
        <v>33947.85</v>
      </c>
      <c r="EW476" s="2031"/>
      <c r="EX476" s="1619"/>
      <c r="EY476" s="1628"/>
      <c r="EZ476" s="1628"/>
      <c r="FA476" s="1628"/>
      <c r="FF476" s="1864" t="s">
        <v>7967</v>
      </c>
      <c r="FH476" s="1628"/>
    </row>
    <row r="477" spans="1:176" s="1484" customFormat="1" ht="15" x14ac:dyDescent="0.25">
      <c r="A477" s="2033"/>
      <c r="B477" s="1631" t="s">
        <v>7968</v>
      </c>
      <c r="C477" s="2805" t="s">
        <v>7969</v>
      </c>
      <c r="D477" s="2805"/>
      <c r="E477" s="2805"/>
      <c r="F477" s="1683" t="s">
        <v>636</v>
      </c>
      <c r="G477" s="2034">
        <v>49</v>
      </c>
      <c r="H477" s="1641"/>
      <c r="I477" s="2034">
        <v>49</v>
      </c>
      <c r="J477" s="1640"/>
      <c r="K477" s="1641"/>
      <c r="L477" s="1654">
        <v>465.3</v>
      </c>
      <c r="M477" s="1641"/>
      <c r="N477" s="1679">
        <v>16634.45</v>
      </c>
      <c r="EW477" s="2031"/>
      <c r="EX477" s="1619"/>
      <c r="EY477" s="1628"/>
      <c r="EZ477" s="1628"/>
      <c r="FA477" s="1628"/>
      <c r="FF477" s="1864" t="s">
        <v>7969</v>
      </c>
      <c r="FH477" s="1628"/>
    </row>
    <row r="478" spans="1:176" s="1484" customFormat="1" ht="15" x14ac:dyDescent="0.25">
      <c r="A478" s="1650"/>
      <c r="B478" s="1651"/>
      <c r="C478" s="2803" t="s">
        <v>872</v>
      </c>
      <c r="D478" s="2803"/>
      <c r="E478" s="2803"/>
      <c r="F478" s="1621"/>
      <c r="G478" s="1622"/>
      <c r="H478" s="1622"/>
      <c r="I478" s="1622"/>
      <c r="J478" s="1625"/>
      <c r="K478" s="1622"/>
      <c r="L478" s="1648">
        <v>10686.57</v>
      </c>
      <c r="M478" s="2037"/>
      <c r="N478" s="1649">
        <v>160552.01</v>
      </c>
      <c r="EW478" s="2031"/>
      <c r="EX478" s="1619"/>
      <c r="EY478" s="1628"/>
      <c r="EZ478" s="1628"/>
      <c r="FA478" s="1628"/>
      <c r="FH478" s="1628" t="s">
        <v>872</v>
      </c>
    </row>
    <row r="479" spans="1:176" s="1484" customFormat="1" ht="45" x14ac:dyDescent="0.25">
      <c r="A479" s="1620" t="s">
        <v>1048</v>
      </c>
      <c r="B479" s="1863" t="s">
        <v>8893</v>
      </c>
      <c r="C479" s="2803" t="s">
        <v>7993</v>
      </c>
      <c r="D479" s="2803"/>
      <c r="E479" s="2803"/>
      <c r="F479" s="1621" t="s">
        <v>130</v>
      </c>
      <c r="G479" s="1622">
        <v>91.213999999999999</v>
      </c>
      <c r="H479" s="1623">
        <v>1</v>
      </c>
      <c r="I479" s="2045">
        <v>91.213999999999999</v>
      </c>
      <c r="J479" s="1648">
        <v>9053.35</v>
      </c>
      <c r="K479" s="1622"/>
      <c r="L479" s="1648">
        <v>90349.26</v>
      </c>
      <c r="M479" s="1687">
        <v>9.14</v>
      </c>
      <c r="N479" s="1649">
        <v>825792.27</v>
      </c>
      <c r="EW479" s="2031"/>
      <c r="EX479" s="1619"/>
      <c r="EY479" s="1628" t="s">
        <v>7993</v>
      </c>
      <c r="EZ479" s="1628" t="s">
        <v>588</v>
      </c>
      <c r="FA479" s="1628" t="s">
        <v>588</v>
      </c>
      <c r="FH479" s="1628"/>
    </row>
    <row r="480" spans="1:176" s="1484" customFormat="1" ht="15" x14ac:dyDescent="0.25">
      <c r="A480" s="1650"/>
      <c r="B480" s="1651"/>
      <c r="C480" s="2805" t="s">
        <v>8689</v>
      </c>
      <c r="D480" s="2805"/>
      <c r="E480" s="2805"/>
      <c r="F480" s="2805"/>
      <c r="G480" s="2805"/>
      <c r="H480" s="2805"/>
      <c r="I480" s="2805"/>
      <c r="J480" s="2805"/>
      <c r="K480" s="2805"/>
      <c r="L480" s="2805"/>
      <c r="M480" s="2805"/>
      <c r="N480" s="2806"/>
      <c r="EW480" s="2031"/>
      <c r="EX480" s="1619"/>
      <c r="EY480" s="1628"/>
      <c r="EZ480" s="1628"/>
      <c r="FA480" s="1628"/>
      <c r="FH480" s="1628"/>
      <c r="FI480" s="1864" t="s">
        <v>8689</v>
      </c>
      <c r="FJ480" s="1864" t="s">
        <v>588</v>
      </c>
      <c r="FK480" s="1864" t="s">
        <v>588</v>
      </c>
      <c r="FL480" s="1864" t="s">
        <v>588</v>
      </c>
      <c r="FM480" s="1864" t="s">
        <v>588</v>
      </c>
      <c r="FN480" s="1864" t="s">
        <v>588</v>
      </c>
      <c r="FO480" s="1864" t="s">
        <v>588</v>
      </c>
      <c r="FP480" s="1864" t="s">
        <v>588</v>
      </c>
      <c r="FQ480" s="1864" t="s">
        <v>588</v>
      </c>
      <c r="FR480" s="1864" t="s">
        <v>588</v>
      </c>
      <c r="FS480" s="1864" t="s">
        <v>588</v>
      </c>
      <c r="FT480" s="1864" t="s">
        <v>588</v>
      </c>
    </row>
    <row r="481" spans="1:164" s="1484" customFormat="1" ht="15" x14ac:dyDescent="0.25">
      <c r="A481" s="1650"/>
      <c r="B481" s="1651"/>
      <c r="C481" s="2803" t="s">
        <v>872</v>
      </c>
      <c r="D481" s="2803"/>
      <c r="E481" s="2803"/>
      <c r="F481" s="1621"/>
      <c r="G481" s="1622"/>
      <c r="H481" s="1622"/>
      <c r="I481" s="1622"/>
      <c r="J481" s="1625"/>
      <c r="K481" s="1622"/>
      <c r="L481" s="1648">
        <v>90349.26</v>
      </c>
      <c r="M481" s="2037"/>
      <c r="N481" s="1649">
        <v>825792.27</v>
      </c>
      <c r="EW481" s="2031"/>
      <c r="EX481" s="1619"/>
      <c r="EY481" s="1628"/>
      <c r="EZ481" s="1628"/>
      <c r="FA481" s="1628"/>
      <c r="FH481" s="1628" t="s">
        <v>872</v>
      </c>
    </row>
    <row r="482" spans="1:164" s="1484" customFormat="1" ht="15" x14ac:dyDescent="0.25">
      <c r="A482" s="2811" t="s">
        <v>8038</v>
      </c>
      <c r="B482" s="2812"/>
      <c r="C482" s="2812"/>
      <c r="D482" s="2812"/>
      <c r="E482" s="2812"/>
      <c r="F482" s="2812"/>
      <c r="G482" s="2812"/>
      <c r="H482" s="2812"/>
      <c r="I482" s="2812"/>
      <c r="J482" s="2812"/>
      <c r="K482" s="2812"/>
      <c r="L482" s="2812"/>
      <c r="M482" s="2812"/>
      <c r="N482" s="2813"/>
      <c r="EW482" s="2031"/>
      <c r="EX482" s="1619" t="s">
        <v>8038</v>
      </c>
      <c r="EY482" s="1628"/>
      <c r="EZ482" s="1628"/>
      <c r="FA482" s="1628"/>
      <c r="FH482" s="1628"/>
    </row>
    <row r="483" spans="1:164" s="1484" customFormat="1" ht="15" x14ac:dyDescent="0.25">
      <c r="A483" s="1620" t="s">
        <v>8039</v>
      </c>
      <c r="B483" s="1863" t="s">
        <v>8040</v>
      </c>
      <c r="C483" s="2803" t="s">
        <v>8041</v>
      </c>
      <c r="D483" s="2803"/>
      <c r="E483" s="2803"/>
      <c r="F483" s="1621" t="s">
        <v>2555</v>
      </c>
      <c r="G483" s="1622">
        <v>6.4850000000000003</v>
      </c>
      <c r="H483" s="1623">
        <v>1</v>
      </c>
      <c r="I483" s="2045">
        <v>6.4850000000000003</v>
      </c>
      <c r="J483" s="1625"/>
      <c r="K483" s="1622"/>
      <c r="L483" s="1625"/>
      <c r="M483" s="1622"/>
      <c r="N483" s="1627"/>
      <c r="EW483" s="2031"/>
      <c r="EX483" s="1619"/>
      <c r="EY483" s="1628" t="s">
        <v>8041</v>
      </c>
      <c r="EZ483" s="1628" t="s">
        <v>588</v>
      </c>
      <c r="FA483" s="1628" t="s">
        <v>588</v>
      </c>
      <c r="FH483" s="1628"/>
    </row>
    <row r="484" spans="1:164" s="1484" customFormat="1" ht="15" x14ac:dyDescent="0.25">
      <c r="A484" s="1629"/>
      <c r="B484" s="1862"/>
      <c r="C484" s="2805" t="s">
        <v>8917</v>
      </c>
      <c r="D484" s="2805"/>
      <c r="E484" s="2805"/>
      <c r="F484" s="2805"/>
      <c r="G484" s="2805"/>
      <c r="H484" s="2805"/>
      <c r="I484" s="2805"/>
      <c r="J484" s="2805"/>
      <c r="K484" s="2805"/>
      <c r="L484" s="2805"/>
      <c r="M484" s="2805"/>
      <c r="N484" s="2806"/>
      <c r="EW484" s="2031"/>
      <c r="EX484" s="1619"/>
      <c r="EY484" s="1628"/>
      <c r="EZ484" s="1628"/>
      <c r="FA484" s="1628"/>
      <c r="FB484" s="1864" t="s">
        <v>8917</v>
      </c>
      <c r="FH484" s="1628"/>
    </row>
    <row r="485" spans="1:164" s="1484" customFormat="1" ht="22.5" x14ac:dyDescent="0.25">
      <c r="A485" s="1630"/>
      <c r="B485" s="1631" t="s">
        <v>6062</v>
      </c>
      <c r="C485" s="2809" t="s">
        <v>6063</v>
      </c>
      <c r="D485" s="2809"/>
      <c r="E485" s="2809"/>
      <c r="F485" s="2809"/>
      <c r="G485" s="2809"/>
      <c r="H485" s="2809"/>
      <c r="I485" s="2809"/>
      <c r="J485" s="2809"/>
      <c r="K485" s="2809"/>
      <c r="L485" s="2809"/>
      <c r="M485" s="2809"/>
      <c r="N485" s="2810"/>
      <c r="EW485" s="2031"/>
      <c r="EX485" s="1619"/>
      <c r="EY485" s="1628"/>
      <c r="EZ485" s="1628"/>
      <c r="FA485" s="1628"/>
      <c r="FC485" s="1864" t="s">
        <v>6063</v>
      </c>
      <c r="FH485" s="1628"/>
    </row>
    <row r="486" spans="1:164" s="1484" customFormat="1" ht="22.5" x14ac:dyDescent="0.25">
      <c r="A486" s="2033"/>
      <c r="B486" s="1631" t="s">
        <v>8916</v>
      </c>
      <c r="C486" s="2805" t="s">
        <v>8915</v>
      </c>
      <c r="D486" s="2805"/>
      <c r="E486" s="2805"/>
      <c r="F486" s="1683" t="s">
        <v>807</v>
      </c>
      <c r="G486" s="1953">
        <v>36.299999999999997</v>
      </c>
      <c r="H486" s="1641"/>
      <c r="I486" s="2035">
        <v>235.40549999999999</v>
      </c>
      <c r="J486" s="1654">
        <v>8.64</v>
      </c>
      <c r="K486" s="1655">
        <v>1.25</v>
      </c>
      <c r="L486" s="1657">
        <v>2542.38</v>
      </c>
      <c r="M486" s="1641"/>
      <c r="N486" s="1681"/>
      <c r="EW486" s="2031"/>
      <c r="EX486" s="1619"/>
      <c r="EY486" s="1628"/>
      <c r="EZ486" s="1628"/>
      <c r="FA486" s="1628"/>
      <c r="FD486" s="1864" t="s">
        <v>8915</v>
      </c>
      <c r="FH486" s="1628"/>
    </row>
    <row r="487" spans="1:164" s="1484" customFormat="1" ht="15" x14ac:dyDescent="0.25">
      <c r="A487" s="2033"/>
      <c r="B487" s="1631" t="s">
        <v>821</v>
      </c>
      <c r="C487" s="2805" t="s">
        <v>822</v>
      </c>
      <c r="D487" s="2805"/>
      <c r="E487" s="2805"/>
      <c r="F487" s="1683" t="s">
        <v>4994</v>
      </c>
      <c r="G487" s="1655">
        <v>0.56000000000000005</v>
      </c>
      <c r="H487" s="1641"/>
      <c r="I487" s="2035">
        <v>3.6316000000000002</v>
      </c>
      <c r="J487" s="1654">
        <v>65.709999999999994</v>
      </c>
      <c r="K487" s="1641"/>
      <c r="L487" s="1654">
        <v>238.63</v>
      </c>
      <c r="M487" s="1641"/>
      <c r="N487" s="1681"/>
      <c r="EW487" s="2031"/>
      <c r="EX487" s="1619"/>
      <c r="EY487" s="1628"/>
      <c r="EZ487" s="1628"/>
      <c r="FA487" s="1628"/>
      <c r="FD487" s="1864" t="s">
        <v>822</v>
      </c>
      <c r="FH487" s="1628"/>
    </row>
    <row r="488" spans="1:164" s="1484" customFormat="1" ht="22.5" x14ac:dyDescent="0.25">
      <c r="A488" s="2033"/>
      <c r="B488" s="1631" t="s">
        <v>8914</v>
      </c>
      <c r="C488" s="2805" t="s">
        <v>8913</v>
      </c>
      <c r="D488" s="2805"/>
      <c r="E488" s="2805"/>
      <c r="F488" s="1683" t="s">
        <v>801</v>
      </c>
      <c r="G488" s="2042">
        <v>7.2500000000000004E-3</v>
      </c>
      <c r="H488" s="1641"/>
      <c r="I488" s="2049">
        <v>4.7016299999999997E-2</v>
      </c>
      <c r="J488" s="1657">
        <v>8475</v>
      </c>
      <c r="K488" s="1641"/>
      <c r="L488" s="1654">
        <v>398.46</v>
      </c>
      <c r="M488" s="1641"/>
      <c r="N488" s="1681"/>
      <c r="EW488" s="2031"/>
      <c r="EX488" s="1619"/>
      <c r="EY488" s="1628"/>
      <c r="EZ488" s="1628"/>
      <c r="FA488" s="1628"/>
      <c r="FD488" s="1864" t="s">
        <v>8913</v>
      </c>
      <c r="FH488" s="1628"/>
    </row>
    <row r="489" spans="1:164" s="1484" customFormat="1" ht="15" x14ac:dyDescent="0.25">
      <c r="A489" s="2033"/>
      <c r="B489" s="1631" t="s">
        <v>8912</v>
      </c>
      <c r="C489" s="2805" t="s">
        <v>8911</v>
      </c>
      <c r="D489" s="2805"/>
      <c r="E489" s="2805"/>
      <c r="F489" s="1683" t="s">
        <v>801</v>
      </c>
      <c r="G489" s="2035">
        <v>2.2000000000000001E-3</v>
      </c>
      <c r="H489" s="1641"/>
      <c r="I489" s="2043">
        <v>1.4267E-2</v>
      </c>
      <c r="J489" s="1657">
        <v>8475</v>
      </c>
      <c r="K489" s="1641"/>
      <c r="L489" s="1654">
        <v>120.91</v>
      </c>
      <c r="M489" s="1641"/>
      <c r="N489" s="1681"/>
      <c r="EW489" s="2031"/>
      <c r="EX489" s="1619"/>
      <c r="EY489" s="1628"/>
      <c r="EZ489" s="1628"/>
      <c r="FA489" s="1628"/>
      <c r="FD489" s="1864" t="s">
        <v>8911</v>
      </c>
      <c r="FH489" s="1628"/>
    </row>
    <row r="490" spans="1:164" s="1484" customFormat="1" ht="33.75" x14ac:dyDescent="0.25">
      <c r="A490" s="2033"/>
      <c r="B490" s="1631" t="s">
        <v>4960</v>
      </c>
      <c r="C490" s="2805" t="s">
        <v>8910</v>
      </c>
      <c r="D490" s="2805"/>
      <c r="E490" s="2805"/>
      <c r="F490" s="1683" t="s">
        <v>832</v>
      </c>
      <c r="G490" s="1655">
        <v>1.43</v>
      </c>
      <c r="H490" s="1641"/>
      <c r="I490" s="2042">
        <v>9.2735500000000002</v>
      </c>
      <c r="J490" s="1657">
        <v>1784</v>
      </c>
      <c r="K490" s="1641"/>
      <c r="L490" s="1657">
        <v>16544.009999999998</v>
      </c>
      <c r="M490" s="1641"/>
      <c r="N490" s="1681"/>
      <c r="EW490" s="2031"/>
      <c r="EX490" s="1619"/>
      <c r="EY490" s="1628"/>
      <c r="EZ490" s="1628"/>
      <c r="FA490" s="1628"/>
      <c r="FD490" s="1864" t="s">
        <v>8910</v>
      </c>
      <c r="FH490" s="1628"/>
    </row>
    <row r="491" spans="1:164" s="1484" customFormat="1" ht="22.5" x14ac:dyDescent="0.25">
      <c r="A491" s="2033"/>
      <c r="B491" s="1631" t="s">
        <v>8909</v>
      </c>
      <c r="C491" s="2805" t="s">
        <v>8908</v>
      </c>
      <c r="D491" s="2805"/>
      <c r="E491" s="2805"/>
      <c r="F491" s="1683" t="s">
        <v>832</v>
      </c>
      <c r="G491" s="1655">
        <v>0.14000000000000001</v>
      </c>
      <c r="H491" s="1641"/>
      <c r="I491" s="2035">
        <v>0.90790000000000004</v>
      </c>
      <c r="J491" s="1657">
        <v>1375</v>
      </c>
      <c r="K491" s="1641"/>
      <c r="L491" s="1657">
        <v>1248.3599999999999</v>
      </c>
      <c r="M491" s="1641"/>
      <c r="N491" s="1681"/>
      <c r="EW491" s="2031"/>
      <c r="EX491" s="1619"/>
      <c r="EY491" s="1628"/>
      <c r="EZ491" s="1628"/>
      <c r="FA491" s="1628"/>
      <c r="FD491" s="1864" t="s">
        <v>8908</v>
      </c>
      <c r="FH491" s="1628"/>
    </row>
    <row r="492" spans="1:164" s="1484" customFormat="1" ht="15" x14ac:dyDescent="0.25">
      <c r="A492" s="2033"/>
      <c r="B492" s="1631" t="s">
        <v>8907</v>
      </c>
      <c r="C492" s="2805" t="s">
        <v>8906</v>
      </c>
      <c r="D492" s="2805"/>
      <c r="E492" s="2805"/>
      <c r="F492" s="1683" t="s">
        <v>130</v>
      </c>
      <c r="G492" s="2034">
        <v>105</v>
      </c>
      <c r="H492" s="1641"/>
      <c r="I492" s="2046">
        <v>680.92499999999995</v>
      </c>
      <c r="J492" s="1654">
        <v>3.25</v>
      </c>
      <c r="K492" s="1641"/>
      <c r="L492" s="1657">
        <v>2213.0100000000002</v>
      </c>
      <c r="M492" s="1641"/>
      <c r="N492" s="1681"/>
      <c r="EW492" s="2031"/>
      <c r="EX492" s="1619"/>
      <c r="EY492" s="1628"/>
      <c r="EZ492" s="1628"/>
      <c r="FA492" s="1628"/>
      <c r="FD492" s="1864" t="s">
        <v>8906</v>
      </c>
      <c r="FH492" s="1628"/>
    </row>
    <row r="493" spans="1:164" s="1484" customFormat="1" ht="15" x14ac:dyDescent="0.25">
      <c r="A493" s="2032"/>
      <c r="B493" s="1631" t="s">
        <v>190</v>
      </c>
      <c r="C493" s="2805" t="s">
        <v>2523</v>
      </c>
      <c r="D493" s="2805"/>
      <c r="E493" s="2805"/>
      <c r="F493" s="1683"/>
      <c r="G493" s="1641"/>
      <c r="H493" s="1641"/>
      <c r="I493" s="1641"/>
      <c r="J493" s="1654">
        <v>313.63</v>
      </c>
      <c r="K493" s="1655">
        <v>1.25</v>
      </c>
      <c r="L493" s="1657">
        <v>2542.36</v>
      </c>
      <c r="M493" s="1655">
        <v>35.75</v>
      </c>
      <c r="N493" s="1679">
        <v>90889.37</v>
      </c>
      <c r="EW493" s="2031"/>
      <c r="EX493" s="1619"/>
      <c r="EY493" s="1628"/>
      <c r="EZ493" s="1628"/>
      <c r="FA493" s="1628"/>
      <c r="FE493" s="1864" t="s">
        <v>2523</v>
      </c>
      <c r="FH493" s="1628"/>
    </row>
    <row r="494" spans="1:164" s="1484" customFormat="1" ht="15" x14ac:dyDescent="0.25">
      <c r="A494" s="2032"/>
      <c r="B494" s="1631" t="s">
        <v>639</v>
      </c>
      <c r="C494" s="2805" t="s">
        <v>697</v>
      </c>
      <c r="D494" s="2805"/>
      <c r="E494" s="2805"/>
      <c r="F494" s="1683"/>
      <c r="G494" s="1641"/>
      <c r="H494" s="1641"/>
      <c r="I494" s="1641"/>
      <c r="J494" s="1654">
        <v>36.799999999999997</v>
      </c>
      <c r="K494" s="1641"/>
      <c r="L494" s="1654">
        <v>238.65</v>
      </c>
      <c r="M494" s="1655">
        <v>11.97</v>
      </c>
      <c r="N494" s="1679">
        <v>2856.64</v>
      </c>
      <c r="EW494" s="2031"/>
      <c r="EX494" s="1619"/>
      <c r="EY494" s="1628"/>
      <c r="EZ494" s="1628"/>
      <c r="FA494" s="1628"/>
      <c r="FE494" s="1864" t="s">
        <v>697</v>
      </c>
      <c r="FH494" s="1628"/>
    </row>
    <row r="495" spans="1:164" s="1484" customFormat="1" ht="15" x14ac:dyDescent="0.25">
      <c r="A495" s="2032"/>
      <c r="B495" s="1631" t="s">
        <v>640</v>
      </c>
      <c r="C495" s="2805" t="s">
        <v>2500</v>
      </c>
      <c r="D495" s="2805"/>
      <c r="E495" s="2805"/>
      <c r="F495" s="1683"/>
      <c r="G495" s="1641"/>
      <c r="H495" s="1641"/>
      <c r="I495" s="1641"/>
      <c r="J495" s="1654">
        <v>6.5</v>
      </c>
      <c r="K495" s="1641"/>
      <c r="L495" s="1654">
        <v>42.15</v>
      </c>
      <c r="M495" s="1655">
        <v>35.75</v>
      </c>
      <c r="N495" s="1679">
        <v>1506.86</v>
      </c>
      <c r="EW495" s="2031"/>
      <c r="EX495" s="1619"/>
      <c r="EY495" s="1628"/>
      <c r="EZ495" s="1628"/>
      <c r="FA495" s="1628"/>
      <c r="FE495" s="1864" t="s">
        <v>2500</v>
      </c>
      <c r="FH495" s="1628"/>
    </row>
    <row r="496" spans="1:164" s="1484" customFormat="1" ht="15" x14ac:dyDescent="0.25">
      <c r="A496" s="2032"/>
      <c r="B496" s="1631" t="s">
        <v>232</v>
      </c>
      <c r="C496" s="2805" t="s">
        <v>829</v>
      </c>
      <c r="D496" s="2805"/>
      <c r="E496" s="2805"/>
      <c r="F496" s="1683"/>
      <c r="G496" s="1641"/>
      <c r="H496" s="1641"/>
      <c r="I496" s="1641"/>
      <c r="J496" s="1657">
        <v>3164.96</v>
      </c>
      <c r="K496" s="1641"/>
      <c r="L496" s="1657">
        <v>20524.77</v>
      </c>
      <c r="M496" s="1655">
        <v>9.14</v>
      </c>
      <c r="N496" s="1679">
        <v>187596.4</v>
      </c>
      <c r="EW496" s="2031"/>
      <c r="EX496" s="1619"/>
      <c r="EY496" s="1628"/>
      <c r="EZ496" s="1628"/>
      <c r="FA496" s="1628"/>
      <c r="FE496" s="1864" t="s">
        <v>829</v>
      </c>
      <c r="FH496" s="1628"/>
    </row>
    <row r="497" spans="1:176" s="1484" customFormat="1" ht="15" x14ac:dyDescent="0.25">
      <c r="A497" s="2033"/>
      <c r="B497" s="1631"/>
      <c r="C497" s="2805" t="s">
        <v>2524</v>
      </c>
      <c r="D497" s="2805"/>
      <c r="E497" s="2805"/>
      <c r="F497" s="1683" t="s">
        <v>807</v>
      </c>
      <c r="G497" s="1953">
        <v>36.299999999999997</v>
      </c>
      <c r="H497" s="1641"/>
      <c r="I497" s="2035">
        <v>235.40549999999999</v>
      </c>
      <c r="J497" s="1640"/>
      <c r="K497" s="1641"/>
      <c r="L497" s="1640"/>
      <c r="M497" s="1641"/>
      <c r="N497" s="1681"/>
      <c r="EW497" s="2031"/>
      <c r="EX497" s="1619"/>
      <c r="EY497" s="1628"/>
      <c r="EZ497" s="1628"/>
      <c r="FA497" s="1628"/>
      <c r="FF497" s="1864" t="s">
        <v>2524</v>
      </c>
      <c r="FH497" s="1628"/>
    </row>
    <row r="498" spans="1:176" s="1484" customFormat="1" ht="15" x14ac:dyDescent="0.25">
      <c r="A498" s="2033"/>
      <c r="B498" s="1631"/>
      <c r="C498" s="2805" t="s">
        <v>2501</v>
      </c>
      <c r="D498" s="2805"/>
      <c r="E498" s="2805"/>
      <c r="F498" s="1683" t="s">
        <v>807</v>
      </c>
      <c r="G498" s="1655">
        <v>0.56000000000000005</v>
      </c>
      <c r="H498" s="1641"/>
      <c r="I498" s="2035">
        <v>3.6316000000000002</v>
      </c>
      <c r="J498" s="1640"/>
      <c r="K498" s="1641"/>
      <c r="L498" s="1640"/>
      <c r="M498" s="1641"/>
      <c r="N498" s="1681"/>
      <c r="EW498" s="2031"/>
      <c r="EX498" s="1619"/>
      <c r="EY498" s="1628"/>
      <c r="EZ498" s="1628"/>
      <c r="FA498" s="1628"/>
      <c r="FF498" s="1864" t="s">
        <v>2501</v>
      </c>
      <c r="FH498" s="1628"/>
    </row>
    <row r="499" spans="1:176" s="1484" customFormat="1" ht="15" x14ac:dyDescent="0.25">
      <c r="A499" s="2032"/>
      <c r="B499" s="1631"/>
      <c r="C499" s="2917" t="s">
        <v>2502</v>
      </c>
      <c r="D499" s="2917"/>
      <c r="E499" s="2917"/>
      <c r="F499" s="2036"/>
      <c r="G499" s="2037"/>
      <c r="H499" s="2037"/>
      <c r="I499" s="2037"/>
      <c r="J499" s="2038">
        <v>3515.39</v>
      </c>
      <c r="K499" s="2037"/>
      <c r="L499" s="2038">
        <v>23305.78</v>
      </c>
      <c r="M499" s="2037"/>
      <c r="N499" s="2068">
        <v>281342.40999999997</v>
      </c>
      <c r="EW499" s="2031"/>
      <c r="EX499" s="1619"/>
      <c r="EY499" s="1628"/>
      <c r="EZ499" s="1628"/>
      <c r="FA499" s="1628"/>
      <c r="FG499" s="1864" t="s">
        <v>2502</v>
      </c>
      <c r="FH499" s="1628"/>
    </row>
    <row r="500" spans="1:176" s="1484" customFormat="1" ht="15" x14ac:dyDescent="0.25">
      <c r="A500" s="2033" t="s">
        <v>8042</v>
      </c>
      <c r="B500" s="1631"/>
      <c r="C500" s="2805" t="s">
        <v>7964</v>
      </c>
      <c r="D500" s="2805"/>
      <c r="E500" s="2805"/>
      <c r="F500" s="1683" t="s">
        <v>5928</v>
      </c>
      <c r="G500" s="1641"/>
      <c r="H500" s="1641"/>
      <c r="I500" s="1641"/>
      <c r="J500" s="1640"/>
      <c r="K500" s="1641"/>
      <c r="L500" s="1654">
        <v>10.54</v>
      </c>
      <c r="M500" s="1641"/>
      <c r="N500" s="2039">
        <v>376.81</v>
      </c>
      <c r="EW500" s="2031"/>
      <c r="EX500" s="1619"/>
      <c r="EY500" s="1628"/>
      <c r="EZ500" s="1628"/>
      <c r="FA500" s="1628"/>
      <c r="FF500" s="1864" t="s">
        <v>7964</v>
      </c>
      <c r="FH500" s="1628"/>
    </row>
    <row r="501" spans="1:176" s="1484" customFormat="1" ht="15" x14ac:dyDescent="0.25">
      <c r="A501" s="2033"/>
      <c r="B501" s="1631"/>
      <c r="C501" s="2805" t="s">
        <v>7965</v>
      </c>
      <c r="D501" s="2805"/>
      <c r="E501" s="2805"/>
      <c r="F501" s="1683" t="s">
        <v>5928</v>
      </c>
      <c r="G501" s="1641"/>
      <c r="H501" s="1641"/>
      <c r="I501" s="1641"/>
      <c r="J501" s="1654">
        <v>6.5</v>
      </c>
      <c r="K501" s="1655">
        <v>0.25</v>
      </c>
      <c r="L501" s="1654">
        <v>10.54</v>
      </c>
      <c r="M501" s="1655">
        <v>35.75</v>
      </c>
      <c r="N501" s="2039">
        <v>376.81</v>
      </c>
      <c r="EW501" s="2031"/>
      <c r="EX501" s="1619"/>
      <c r="EY501" s="1628"/>
      <c r="EZ501" s="1628"/>
      <c r="FA501" s="1628"/>
      <c r="FF501" s="1864" t="s">
        <v>7965</v>
      </c>
      <c r="FH501" s="1628"/>
    </row>
    <row r="502" spans="1:176" s="1484" customFormat="1" ht="15" x14ac:dyDescent="0.25">
      <c r="A502" s="2033"/>
      <c r="B502" s="1631"/>
      <c r="C502" s="2805" t="s">
        <v>867</v>
      </c>
      <c r="D502" s="2805"/>
      <c r="E502" s="2805"/>
      <c r="F502" s="1683"/>
      <c r="G502" s="1641"/>
      <c r="H502" s="1641"/>
      <c r="I502" s="1641"/>
      <c r="J502" s="1640"/>
      <c r="K502" s="1641"/>
      <c r="L502" s="1657">
        <v>2595.0500000000002</v>
      </c>
      <c r="M502" s="1641"/>
      <c r="N502" s="1679">
        <v>92773.04</v>
      </c>
      <c r="EW502" s="2031"/>
      <c r="EX502" s="1619"/>
      <c r="EY502" s="1628"/>
      <c r="EZ502" s="1628"/>
      <c r="FA502" s="1628"/>
      <c r="FF502" s="1864" t="s">
        <v>867</v>
      </c>
      <c r="FH502" s="1628"/>
    </row>
    <row r="503" spans="1:176" s="1484" customFormat="1" ht="15" x14ac:dyDescent="0.25">
      <c r="A503" s="2033"/>
      <c r="B503" s="1631" t="s">
        <v>8043</v>
      </c>
      <c r="C503" s="2805" t="s">
        <v>8044</v>
      </c>
      <c r="D503" s="2805"/>
      <c r="E503" s="2805"/>
      <c r="F503" s="1683" t="s">
        <v>636</v>
      </c>
      <c r="G503" s="2034">
        <v>108</v>
      </c>
      <c r="H503" s="1641"/>
      <c r="I503" s="2034">
        <v>108</v>
      </c>
      <c r="J503" s="1640"/>
      <c r="K503" s="1641"/>
      <c r="L503" s="1657">
        <v>2802.65</v>
      </c>
      <c r="M503" s="1641"/>
      <c r="N503" s="1679">
        <v>100194.88</v>
      </c>
      <c r="EW503" s="2031"/>
      <c r="EX503" s="1619"/>
      <c r="EY503" s="1628"/>
      <c r="EZ503" s="1628"/>
      <c r="FA503" s="1628"/>
      <c r="FF503" s="1864" t="s">
        <v>8044</v>
      </c>
      <c r="FH503" s="1628"/>
    </row>
    <row r="504" spans="1:176" s="1484" customFormat="1" ht="15" x14ac:dyDescent="0.25">
      <c r="A504" s="2033"/>
      <c r="B504" s="1631" t="s">
        <v>8045</v>
      </c>
      <c r="C504" s="2805" t="s">
        <v>8046</v>
      </c>
      <c r="D504" s="2805"/>
      <c r="E504" s="2805"/>
      <c r="F504" s="1683" t="s">
        <v>636</v>
      </c>
      <c r="G504" s="2034">
        <v>55</v>
      </c>
      <c r="H504" s="1641"/>
      <c r="I504" s="2034">
        <v>55</v>
      </c>
      <c r="J504" s="1640"/>
      <c r="K504" s="1641"/>
      <c r="L504" s="1657">
        <v>1427.28</v>
      </c>
      <c r="M504" s="1641"/>
      <c r="N504" s="1679">
        <v>51025.17</v>
      </c>
      <c r="EW504" s="2031"/>
      <c r="EX504" s="1619"/>
      <c r="EY504" s="1628"/>
      <c r="EZ504" s="1628"/>
      <c r="FA504" s="1628"/>
      <c r="FF504" s="1864" t="s">
        <v>8046</v>
      </c>
      <c r="FH504" s="1628"/>
    </row>
    <row r="505" spans="1:176" s="1484" customFormat="1" ht="15" x14ac:dyDescent="0.25">
      <c r="A505" s="1650"/>
      <c r="B505" s="1651"/>
      <c r="C505" s="2803" t="s">
        <v>872</v>
      </c>
      <c r="D505" s="2803"/>
      <c r="E505" s="2803"/>
      <c r="F505" s="1621"/>
      <c r="G505" s="1622"/>
      <c r="H505" s="1622"/>
      <c r="I505" s="1622"/>
      <c r="J505" s="1625"/>
      <c r="K505" s="1622"/>
      <c r="L505" s="1648">
        <v>27546.25</v>
      </c>
      <c r="M505" s="2037"/>
      <c r="N505" s="1649">
        <v>432939.27</v>
      </c>
      <c r="EW505" s="2031"/>
      <c r="EX505" s="1619"/>
      <c r="EY505" s="1628"/>
      <c r="EZ505" s="1628"/>
      <c r="FA505" s="1628"/>
      <c r="FH505" s="1628" t="s">
        <v>872</v>
      </c>
    </row>
    <row r="506" spans="1:176" s="1484" customFormat="1" ht="45" x14ac:dyDescent="0.25">
      <c r="A506" s="1620" t="s">
        <v>1053</v>
      </c>
      <c r="B506" s="1863" t="s">
        <v>8893</v>
      </c>
      <c r="C506" s="2803" t="s">
        <v>7993</v>
      </c>
      <c r="D506" s="2803"/>
      <c r="E506" s="2803"/>
      <c r="F506" s="1621" t="s">
        <v>130</v>
      </c>
      <c r="G506" s="1622">
        <v>648.5</v>
      </c>
      <c r="H506" s="1623">
        <v>1</v>
      </c>
      <c r="I506" s="1624">
        <v>648.5</v>
      </c>
      <c r="J506" s="1648">
        <v>9053.35</v>
      </c>
      <c r="K506" s="1622"/>
      <c r="L506" s="1648">
        <v>642352.02</v>
      </c>
      <c r="M506" s="1687">
        <v>9.14</v>
      </c>
      <c r="N506" s="1649">
        <v>5871097.4800000004</v>
      </c>
      <c r="EW506" s="2031"/>
      <c r="EX506" s="1619"/>
      <c r="EY506" s="1628" t="s">
        <v>7993</v>
      </c>
      <c r="EZ506" s="1628" t="s">
        <v>588</v>
      </c>
      <c r="FA506" s="1628" t="s">
        <v>588</v>
      </c>
      <c r="FH506" s="1628"/>
    </row>
    <row r="507" spans="1:176" s="1484" customFormat="1" ht="15" x14ac:dyDescent="0.25">
      <c r="A507" s="1650"/>
      <c r="B507" s="1651"/>
      <c r="C507" s="2805" t="s">
        <v>8660</v>
      </c>
      <c r="D507" s="2805"/>
      <c r="E507" s="2805"/>
      <c r="F507" s="2805"/>
      <c r="G507" s="2805"/>
      <c r="H507" s="2805"/>
      <c r="I507" s="2805"/>
      <c r="J507" s="2805"/>
      <c r="K507" s="2805"/>
      <c r="L507" s="2805"/>
      <c r="M507" s="2805"/>
      <c r="N507" s="2806"/>
      <c r="EW507" s="2031"/>
      <c r="EX507" s="1619"/>
      <c r="EY507" s="1628"/>
      <c r="EZ507" s="1628"/>
      <c r="FA507" s="1628"/>
      <c r="FH507" s="1628"/>
      <c r="FI507" s="1864" t="s">
        <v>8660</v>
      </c>
      <c r="FJ507" s="1864" t="s">
        <v>588</v>
      </c>
      <c r="FK507" s="1864" t="s">
        <v>588</v>
      </c>
      <c r="FL507" s="1864" t="s">
        <v>588</v>
      </c>
      <c r="FM507" s="1864" t="s">
        <v>588</v>
      </c>
      <c r="FN507" s="1864" t="s">
        <v>588</v>
      </c>
      <c r="FO507" s="1864" t="s">
        <v>588</v>
      </c>
      <c r="FP507" s="1864" t="s">
        <v>588</v>
      </c>
      <c r="FQ507" s="1864" t="s">
        <v>588</v>
      </c>
      <c r="FR507" s="1864" t="s">
        <v>588</v>
      </c>
      <c r="FS507" s="1864" t="s">
        <v>588</v>
      </c>
      <c r="FT507" s="1864" t="s">
        <v>588</v>
      </c>
    </row>
    <row r="508" spans="1:176" s="1484" customFormat="1" ht="15" x14ac:dyDescent="0.25">
      <c r="A508" s="1650"/>
      <c r="B508" s="1651"/>
      <c r="C508" s="2803" t="s">
        <v>872</v>
      </c>
      <c r="D508" s="2803"/>
      <c r="E508" s="2803"/>
      <c r="F508" s="1621"/>
      <c r="G508" s="1622"/>
      <c r="H508" s="1622"/>
      <c r="I508" s="1622"/>
      <c r="J508" s="1625"/>
      <c r="K508" s="1622"/>
      <c r="L508" s="1648">
        <v>642352.02</v>
      </c>
      <c r="M508" s="2037"/>
      <c r="N508" s="1649">
        <v>5871097.4800000004</v>
      </c>
      <c r="EW508" s="2031"/>
      <c r="EX508" s="1619"/>
      <c r="EY508" s="1628"/>
      <c r="EZ508" s="1628"/>
      <c r="FA508" s="1628"/>
      <c r="FH508" s="1628" t="s">
        <v>872</v>
      </c>
    </row>
    <row r="509" spans="1:176" s="1484" customFormat="1" ht="33.75" x14ac:dyDescent="0.25">
      <c r="A509" s="1620" t="s">
        <v>8047</v>
      </c>
      <c r="B509" s="1863" t="s">
        <v>8005</v>
      </c>
      <c r="C509" s="2803" t="s">
        <v>8006</v>
      </c>
      <c r="D509" s="2803"/>
      <c r="E509" s="2803"/>
      <c r="F509" s="1621" t="s">
        <v>2555</v>
      </c>
      <c r="G509" s="1622">
        <v>1.4219999999999999</v>
      </c>
      <c r="H509" s="1623">
        <v>1</v>
      </c>
      <c r="I509" s="2045">
        <v>1.4219999999999999</v>
      </c>
      <c r="J509" s="1625"/>
      <c r="K509" s="1622"/>
      <c r="L509" s="1625"/>
      <c r="M509" s="1622"/>
      <c r="N509" s="1627"/>
      <c r="EW509" s="2031"/>
      <c r="EX509" s="1619"/>
      <c r="EY509" s="1628" t="s">
        <v>8006</v>
      </c>
      <c r="EZ509" s="1628" t="s">
        <v>588</v>
      </c>
      <c r="FA509" s="1628" t="s">
        <v>588</v>
      </c>
      <c r="FH509" s="1628"/>
    </row>
    <row r="510" spans="1:176" s="1484" customFormat="1" ht="15" x14ac:dyDescent="0.25">
      <c r="A510" s="1629"/>
      <c r="B510" s="1862"/>
      <c r="C510" s="2805" t="s">
        <v>8905</v>
      </c>
      <c r="D510" s="2805"/>
      <c r="E510" s="2805"/>
      <c r="F510" s="2805"/>
      <c r="G510" s="2805"/>
      <c r="H510" s="2805"/>
      <c r="I510" s="2805"/>
      <c r="J510" s="2805"/>
      <c r="K510" s="2805"/>
      <c r="L510" s="2805"/>
      <c r="M510" s="2805"/>
      <c r="N510" s="2806"/>
      <c r="EW510" s="2031"/>
      <c r="EX510" s="1619"/>
      <c r="EY510" s="1628"/>
      <c r="EZ510" s="1628"/>
      <c r="FA510" s="1628"/>
      <c r="FB510" s="1864" t="s">
        <v>8905</v>
      </c>
      <c r="FH510" s="1628"/>
    </row>
    <row r="511" spans="1:176" s="1484" customFormat="1" ht="22.5" x14ac:dyDescent="0.25">
      <c r="A511" s="1630"/>
      <c r="B511" s="1631" t="s">
        <v>6062</v>
      </c>
      <c r="C511" s="2809" t="s">
        <v>6063</v>
      </c>
      <c r="D511" s="2809"/>
      <c r="E511" s="2809"/>
      <c r="F511" s="2809"/>
      <c r="G511" s="2809"/>
      <c r="H511" s="2809"/>
      <c r="I511" s="2809"/>
      <c r="J511" s="2809"/>
      <c r="K511" s="2809"/>
      <c r="L511" s="2809"/>
      <c r="M511" s="2809"/>
      <c r="N511" s="2810"/>
      <c r="EW511" s="2031"/>
      <c r="EX511" s="1619"/>
      <c r="EY511" s="1628"/>
      <c r="EZ511" s="1628"/>
      <c r="FA511" s="1628"/>
      <c r="FC511" s="1864" t="s">
        <v>6063</v>
      </c>
      <c r="FH511" s="1628"/>
    </row>
    <row r="512" spans="1:176" s="1484" customFormat="1" ht="22.5" x14ac:dyDescent="0.25">
      <c r="A512" s="2033"/>
      <c r="B512" s="1631" t="s">
        <v>8718</v>
      </c>
      <c r="C512" s="2805" t="s">
        <v>8717</v>
      </c>
      <c r="D512" s="2805"/>
      <c r="E512" s="2805"/>
      <c r="F512" s="1683" t="s">
        <v>807</v>
      </c>
      <c r="G512" s="2034">
        <v>143</v>
      </c>
      <c r="H512" s="1641"/>
      <c r="I512" s="2046">
        <v>203.346</v>
      </c>
      <c r="J512" s="1654">
        <v>9.92</v>
      </c>
      <c r="K512" s="1655">
        <v>1.25</v>
      </c>
      <c r="L512" s="1657">
        <v>2521.4899999999998</v>
      </c>
      <c r="M512" s="1641"/>
      <c r="N512" s="1681"/>
      <c r="EW512" s="2031"/>
      <c r="EX512" s="1619"/>
      <c r="EY512" s="1628"/>
      <c r="EZ512" s="1628"/>
      <c r="FA512" s="1628"/>
      <c r="FD512" s="1864" t="s">
        <v>8717</v>
      </c>
      <c r="FH512" s="1628"/>
    </row>
    <row r="513" spans="1:164" s="1484" customFormat="1" ht="22.5" x14ac:dyDescent="0.25">
      <c r="A513" s="2033"/>
      <c r="B513" s="1631" t="s">
        <v>5003</v>
      </c>
      <c r="C513" s="2805" t="s">
        <v>5004</v>
      </c>
      <c r="D513" s="2805"/>
      <c r="E513" s="2805"/>
      <c r="F513" s="1683" t="s">
        <v>4994</v>
      </c>
      <c r="G513" s="1953">
        <v>5.5</v>
      </c>
      <c r="H513" s="1641"/>
      <c r="I513" s="2046">
        <v>7.8209999999999997</v>
      </c>
      <c r="J513" s="1654">
        <v>3.28</v>
      </c>
      <c r="K513" s="1641"/>
      <c r="L513" s="1654">
        <v>25.65</v>
      </c>
      <c r="M513" s="1641"/>
      <c r="N513" s="1681"/>
      <c r="EW513" s="2031"/>
      <c r="EX513" s="1619"/>
      <c r="EY513" s="1628"/>
      <c r="EZ513" s="1628"/>
      <c r="FA513" s="1628"/>
      <c r="FD513" s="1864" t="s">
        <v>5004</v>
      </c>
      <c r="FH513" s="1628"/>
    </row>
    <row r="514" spans="1:164" s="1484" customFormat="1" ht="15" x14ac:dyDescent="0.25">
      <c r="A514" s="2033"/>
      <c r="B514" s="1631" t="s">
        <v>8904</v>
      </c>
      <c r="C514" s="2805" t="s">
        <v>8903</v>
      </c>
      <c r="D514" s="2805"/>
      <c r="E514" s="2805"/>
      <c r="F514" s="1683" t="s">
        <v>4994</v>
      </c>
      <c r="G514" s="1953">
        <v>2.4</v>
      </c>
      <c r="H514" s="1641"/>
      <c r="I514" s="2035">
        <v>3.4127999999999998</v>
      </c>
      <c r="J514" s="1654">
        <v>17.559999999999999</v>
      </c>
      <c r="K514" s="1641"/>
      <c r="L514" s="1654">
        <v>59.93</v>
      </c>
      <c r="M514" s="1641"/>
      <c r="N514" s="1681"/>
      <c r="EW514" s="2031"/>
      <c r="EX514" s="1619"/>
      <c r="EY514" s="1628"/>
      <c r="EZ514" s="1628"/>
      <c r="FA514" s="1628"/>
      <c r="FD514" s="1864" t="s">
        <v>8903</v>
      </c>
      <c r="FH514" s="1628"/>
    </row>
    <row r="515" spans="1:164" s="1484" customFormat="1" ht="15" x14ac:dyDescent="0.25">
      <c r="A515" s="2033"/>
      <c r="B515" s="1631" t="s">
        <v>4879</v>
      </c>
      <c r="C515" s="2805" t="s">
        <v>4880</v>
      </c>
      <c r="D515" s="2805"/>
      <c r="E515" s="2805"/>
      <c r="F515" s="1683" t="s">
        <v>835</v>
      </c>
      <c r="G515" s="2034">
        <v>35</v>
      </c>
      <c r="H515" s="1641"/>
      <c r="I515" s="1655">
        <v>49.77</v>
      </c>
      <c r="J515" s="1654">
        <v>1.21</v>
      </c>
      <c r="K515" s="1641"/>
      <c r="L515" s="1654">
        <v>60.22</v>
      </c>
      <c r="M515" s="1641"/>
      <c r="N515" s="1681"/>
      <c r="EW515" s="2031"/>
      <c r="EX515" s="1619"/>
      <c r="EY515" s="1628"/>
      <c r="EZ515" s="1628"/>
      <c r="FA515" s="1628"/>
      <c r="FD515" s="1864" t="s">
        <v>4880</v>
      </c>
      <c r="FH515" s="1628"/>
    </row>
    <row r="516" spans="1:164" s="1484" customFormat="1" ht="15" x14ac:dyDescent="0.25">
      <c r="A516" s="2033"/>
      <c r="B516" s="1631" t="s">
        <v>1755</v>
      </c>
      <c r="C516" s="2805" t="s">
        <v>2634</v>
      </c>
      <c r="D516" s="2805"/>
      <c r="E516" s="2805"/>
      <c r="F516" s="1683" t="s">
        <v>832</v>
      </c>
      <c r="G516" s="1655">
        <v>1.22</v>
      </c>
      <c r="H516" s="1641"/>
      <c r="I516" s="2042">
        <v>1.7348399999999999</v>
      </c>
      <c r="J516" s="1654">
        <v>2.44</v>
      </c>
      <c r="K516" s="1641"/>
      <c r="L516" s="1654">
        <v>4.2300000000000004</v>
      </c>
      <c r="M516" s="1641"/>
      <c r="N516" s="1681"/>
      <c r="EW516" s="2031"/>
      <c r="EX516" s="1619"/>
      <c r="EY516" s="1628"/>
      <c r="EZ516" s="1628"/>
      <c r="FA516" s="1628"/>
      <c r="FD516" s="1864" t="s">
        <v>2634</v>
      </c>
      <c r="FH516" s="1628"/>
    </row>
    <row r="517" spans="1:164" s="1484" customFormat="1" ht="22.5" x14ac:dyDescent="0.25">
      <c r="A517" s="2033"/>
      <c r="B517" s="1631" t="s">
        <v>8692</v>
      </c>
      <c r="C517" s="2805" t="s">
        <v>8691</v>
      </c>
      <c r="D517" s="2805"/>
      <c r="E517" s="2805"/>
      <c r="F517" s="1683" t="s">
        <v>832</v>
      </c>
      <c r="G517" s="1953">
        <v>2.2000000000000002</v>
      </c>
      <c r="H517" s="1641"/>
      <c r="I517" s="2035">
        <v>3.1284000000000001</v>
      </c>
      <c r="J517" s="1654">
        <v>517.91</v>
      </c>
      <c r="K517" s="1641"/>
      <c r="L517" s="1657">
        <v>1620.23</v>
      </c>
      <c r="M517" s="1641"/>
      <c r="N517" s="1681"/>
      <c r="EW517" s="2031"/>
      <c r="EX517" s="1619"/>
      <c r="EY517" s="1628"/>
      <c r="EZ517" s="1628"/>
      <c r="FA517" s="1628"/>
      <c r="FD517" s="1864" t="s">
        <v>8691</v>
      </c>
      <c r="FH517" s="1628"/>
    </row>
    <row r="518" spans="1:164" s="1484" customFormat="1" ht="15" x14ac:dyDescent="0.25">
      <c r="A518" s="2032"/>
      <c r="B518" s="1631" t="s">
        <v>190</v>
      </c>
      <c r="C518" s="2805" t="s">
        <v>2523</v>
      </c>
      <c r="D518" s="2805"/>
      <c r="E518" s="2805"/>
      <c r="F518" s="1683"/>
      <c r="G518" s="1641"/>
      <c r="H518" s="1641"/>
      <c r="I518" s="1641"/>
      <c r="J518" s="1657">
        <v>1418.56</v>
      </c>
      <c r="K518" s="1655">
        <v>1.25</v>
      </c>
      <c r="L518" s="1657">
        <v>2521.4899999999998</v>
      </c>
      <c r="M518" s="1655">
        <v>35.75</v>
      </c>
      <c r="N518" s="1679">
        <v>90143.27</v>
      </c>
      <c r="EW518" s="2031"/>
      <c r="EX518" s="1619"/>
      <c r="EY518" s="1628"/>
      <c r="EZ518" s="1628"/>
      <c r="FA518" s="1628"/>
      <c r="FE518" s="1864" t="s">
        <v>2523</v>
      </c>
      <c r="FH518" s="1628"/>
    </row>
    <row r="519" spans="1:164" s="1484" customFormat="1" ht="15" x14ac:dyDescent="0.25">
      <c r="A519" s="2032"/>
      <c r="B519" s="1631" t="s">
        <v>639</v>
      </c>
      <c r="C519" s="2805" t="s">
        <v>697</v>
      </c>
      <c r="D519" s="2805"/>
      <c r="E519" s="2805"/>
      <c r="F519" s="1683"/>
      <c r="G519" s="1641"/>
      <c r="H519" s="1641"/>
      <c r="I519" s="1641"/>
      <c r="J519" s="1654">
        <v>60.18</v>
      </c>
      <c r="K519" s="1641"/>
      <c r="L519" s="1654">
        <v>85.58</v>
      </c>
      <c r="M519" s="1655">
        <v>11.97</v>
      </c>
      <c r="N519" s="1679">
        <v>1024.3900000000001</v>
      </c>
      <c r="EW519" s="2031"/>
      <c r="EX519" s="1619"/>
      <c r="EY519" s="1628"/>
      <c r="EZ519" s="1628"/>
      <c r="FA519" s="1628"/>
      <c r="FE519" s="1864" t="s">
        <v>697</v>
      </c>
      <c r="FH519" s="1628"/>
    </row>
    <row r="520" spans="1:164" s="1484" customFormat="1" ht="15" x14ac:dyDescent="0.25">
      <c r="A520" s="2032"/>
      <c r="B520" s="1631" t="s">
        <v>640</v>
      </c>
      <c r="C520" s="2805" t="s">
        <v>2500</v>
      </c>
      <c r="D520" s="2805"/>
      <c r="E520" s="2805"/>
      <c r="F520" s="1683"/>
      <c r="G520" s="1641"/>
      <c r="H520" s="1641"/>
      <c r="I520" s="1641"/>
      <c r="J520" s="1654">
        <v>21.38</v>
      </c>
      <c r="K520" s="1641"/>
      <c r="L520" s="1654">
        <v>30.4</v>
      </c>
      <c r="M520" s="1655">
        <v>35.75</v>
      </c>
      <c r="N520" s="1679">
        <v>1086.8</v>
      </c>
      <c r="EW520" s="2031"/>
      <c r="EX520" s="1619"/>
      <c r="EY520" s="1628"/>
      <c r="EZ520" s="1628"/>
      <c r="FA520" s="1628"/>
      <c r="FE520" s="1864" t="s">
        <v>2500</v>
      </c>
      <c r="FH520" s="1628"/>
    </row>
    <row r="521" spans="1:164" s="1484" customFormat="1" ht="15" x14ac:dyDescent="0.25">
      <c r="A521" s="2032"/>
      <c r="B521" s="1631" t="s">
        <v>232</v>
      </c>
      <c r="C521" s="2805" t="s">
        <v>829</v>
      </c>
      <c r="D521" s="2805"/>
      <c r="E521" s="2805"/>
      <c r="F521" s="1683"/>
      <c r="G521" s="1641"/>
      <c r="H521" s="1641"/>
      <c r="I521" s="1641"/>
      <c r="J521" s="1657">
        <v>1184.73</v>
      </c>
      <c r="K521" s="1641"/>
      <c r="L521" s="1657">
        <v>1684.69</v>
      </c>
      <c r="M521" s="1655">
        <v>9.14</v>
      </c>
      <c r="N521" s="1679">
        <v>15398.07</v>
      </c>
      <c r="EW521" s="2031"/>
      <c r="EX521" s="1619"/>
      <c r="EY521" s="1628"/>
      <c r="EZ521" s="1628"/>
      <c r="FA521" s="1628"/>
      <c r="FE521" s="1864" t="s">
        <v>829</v>
      </c>
      <c r="FH521" s="1628"/>
    </row>
    <row r="522" spans="1:164" s="1484" customFormat="1" ht="15" x14ac:dyDescent="0.25">
      <c r="A522" s="2033"/>
      <c r="B522" s="1631"/>
      <c r="C522" s="2805" t="s">
        <v>2524</v>
      </c>
      <c r="D522" s="2805"/>
      <c r="E522" s="2805"/>
      <c r="F522" s="1683" t="s">
        <v>807</v>
      </c>
      <c r="G522" s="2034">
        <v>143</v>
      </c>
      <c r="H522" s="1641"/>
      <c r="I522" s="2046">
        <v>203.346</v>
      </c>
      <c r="J522" s="1640"/>
      <c r="K522" s="1641"/>
      <c r="L522" s="1640"/>
      <c r="M522" s="1641"/>
      <c r="N522" s="1681"/>
      <c r="EW522" s="2031"/>
      <c r="EX522" s="1619"/>
      <c r="EY522" s="1628"/>
      <c r="EZ522" s="1628"/>
      <c r="FA522" s="1628"/>
      <c r="FF522" s="1864" t="s">
        <v>2524</v>
      </c>
      <c r="FH522" s="1628"/>
    </row>
    <row r="523" spans="1:164" s="1484" customFormat="1" ht="15" x14ac:dyDescent="0.25">
      <c r="A523" s="2033"/>
      <c r="B523" s="1631"/>
      <c r="C523" s="2805" t="s">
        <v>2501</v>
      </c>
      <c r="D523" s="2805"/>
      <c r="E523" s="2805"/>
      <c r="F523" s="1683" t="s">
        <v>807</v>
      </c>
      <c r="G523" s="1953">
        <v>2.4</v>
      </c>
      <c r="H523" s="1641"/>
      <c r="I523" s="2035">
        <v>3.4127999999999998</v>
      </c>
      <c r="J523" s="1640"/>
      <c r="K523" s="1641"/>
      <c r="L523" s="1640"/>
      <c r="M523" s="1641"/>
      <c r="N523" s="1681"/>
      <c r="EW523" s="2031"/>
      <c r="EX523" s="1619"/>
      <c r="EY523" s="1628"/>
      <c r="EZ523" s="1628"/>
      <c r="FA523" s="1628"/>
      <c r="FF523" s="1864" t="s">
        <v>2501</v>
      </c>
      <c r="FH523" s="1628"/>
    </row>
    <row r="524" spans="1:164" s="1484" customFormat="1" ht="15" x14ac:dyDescent="0.25">
      <c r="A524" s="2032"/>
      <c r="B524" s="1631"/>
      <c r="C524" s="2917" t="s">
        <v>2502</v>
      </c>
      <c r="D524" s="2917"/>
      <c r="E524" s="2917"/>
      <c r="F524" s="2036"/>
      <c r="G524" s="2037"/>
      <c r="H524" s="2037"/>
      <c r="I524" s="2037"/>
      <c r="J524" s="2038">
        <v>2663.47</v>
      </c>
      <c r="K524" s="2037"/>
      <c r="L524" s="2038">
        <v>4291.76</v>
      </c>
      <c r="M524" s="2037"/>
      <c r="N524" s="2068">
        <v>106565.73</v>
      </c>
      <c r="EW524" s="2031"/>
      <c r="EX524" s="1619"/>
      <c r="EY524" s="1628"/>
      <c r="EZ524" s="1628"/>
      <c r="FA524" s="1628"/>
      <c r="FG524" s="1864" t="s">
        <v>2502</v>
      </c>
      <c r="FH524" s="1628"/>
    </row>
    <row r="525" spans="1:164" s="1484" customFormat="1" ht="15" x14ac:dyDescent="0.25">
      <c r="A525" s="2033" t="s">
        <v>8048</v>
      </c>
      <c r="B525" s="1631"/>
      <c r="C525" s="2805" t="s">
        <v>7964</v>
      </c>
      <c r="D525" s="2805"/>
      <c r="E525" s="2805"/>
      <c r="F525" s="1683" t="s">
        <v>5928</v>
      </c>
      <c r="G525" s="1641"/>
      <c r="H525" s="1641"/>
      <c r="I525" s="1641"/>
      <c r="J525" s="1640"/>
      <c r="K525" s="1641"/>
      <c r="L525" s="1654">
        <v>7.6</v>
      </c>
      <c r="M525" s="1641"/>
      <c r="N525" s="2039">
        <v>271.7</v>
      </c>
      <c r="EW525" s="2031"/>
      <c r="EX525" s="1619"/>
      <c r="EY525" s="1628"/>
      <c r="EZ525" s="1628"/>
      <c r="FA525" s="1628"/>
      <c r="FF525" s="1864" t="s">
        <v>7964</v>
      </c>
      <c r="FH525" s="1628"/>
    </row>
    <row r="526" spans="1:164" s="1484" customFormat="1" ht="15" x14ac:dyDescent="0.25">
      <c r="A526" s="2033"/>
      <c r="B526" s="1631"/>
      <c r="C526" s="2805" t="s">
        <v>7965</v>
      </c>
      <c r="D526" s="2805"/>
      <c r="E526" s="2805"/>
      <c r="F526" s="1683" t="s">
        <v>5928</v>
      </c>
      <c r="G526" s="1641"/>
      <c r="H526" s="1641"/>
      <c r="I526" s="1641"/>
      <c r="J526" s="1654">
        <v>21.38</v>
      </c>
      <c r="K526" s="1655">
        <v>0.25</v>
      </c>
      <c r="L526" s="1654">
        <v>7.6</v>
      </c>
      <c r="M526" s="1655">
        <v>35.75</v>
      </c>
      <c r="N526" s="2039">
        <v>271.7</v>
      </c>
      <c r="EW526" s="2031"/>
      <c r="EX526" s="1619"/>
      <c r="EY526" s="1628"/>
      <c r="EZ526" s="1628"/>
      <c r="FA526" s="1628"/>
      <c r="FF526" s="1864" t="s">
        <v>7965</v>
      </c>
      <c r="FH526" s="1628"/>
    </row>
    <row r="527" spans="1:164" s="1484" customFormat="1" ht="15" x14ac:dyDescent="0.25">
      <c r="A527" s="2033"/>
      <c r="B527" s="1631"/>
      <c r="C527" s="2805" t="s">
        <v>867</v>
      </c>
      <c r="D527" s="2805"/>
      <c r="E527" s="2805"/>
      <c r="F527" s="1683"/>
      <c r="G527" s="1641"/>
      <c r="H527" s="1641"/>
      <c r="I527" s="1641"/>
      <c r="J527" s="1640"/>
      <c r="K527" s="1641"/>
      <c r="L527" s="1657">
        <v>2559.4899999999998</v>
      </c>
      <c r="M527" s="1641"/>
      <c r="N527" s="1679">
        <v>91501.77</v>
      </c>
      <c r="EW527" s="2031"/>
      <c r="EX527" s="1619"/>
      <c r="EY527" s="1628"/>
      <c r="EZ527" s="1628"/>
      <c r="FA527" s="1628"/>
      <c r="FF527" s="1864" t="s">
        <v>867</v>
      </c>
      <c r="FH527" s="1628"/>
    </row>
    <row r="528" spans="1:164" s="1484" customFormat="1" ht="15" x14ac:dyDescent="0.25">
      <c r="A528" s="2033"/>
      <c r="B528" s="1631" t="s">
        <v>7966</v>
      </c>
      <c r="C528" s="2805" t="s">
        <v>7967</v>
      </c>
      <c r="D528" s="2805"/>
      <c r="E528" s="2805"/>
      <c r="F528" s="1683" t="s">
        <v>636</v>
      </c>
      <c r="G528" s="2034">
        <v>100</v>
      </c>
      <c r="H528" s="1641"/>
      <c r="I528" s="2034">
        <v>100</v>
      </c>
      <c r="J528" s="1640"/>
      <c r="K528" s="1641"/>
      <c r="L528" s="1657">
        <v>2559.4899999999998</v>
      </c>
      <c r="M528" s="1641"/>
      <c r="N528" s="1679">
        <v>91501.77</v>
      </c>
      <c r="EW528" s="2031"/>
      <c r="EX528" s="1619"/>
      <c r="EY528" s="1628"/>
      <c r="EZ528" s="1628"/>
      <c r="FA528" s="1628"/>
      <c r="FF528" s="1864" t="s">
        <v>7967</v>
      </c>
      <c r="FH528" s="1628"/>
    </row>
    <row r="529" spans="1:176" s="1484" customFormat="1" ht="15" x14ac:dyDescent="0.25">
      <c r="A529" s="2033"/>
      <c r="B529" s="1631" t="s">
        <v>7968</v>
      </c>
      <c r="C529" s="2805" t="s">
        <v>7969</v>
      </c>
      <c r="D529" s="2805"/>
      <c r="E529" s="2805"/>
      <c r="F529" s="1683" t="s">
        <v>636</v>
      </c>
      <c r="G529" s="2034">
        <v>49</v>
      </c>
      <c r="H529" s="1641"/>
      <c r="I529" s="2034">
        <v>49</v>
      </c>
      <c r="J529" s="1640"/>
      <c r="K529" s="1641"/>
      <c r="L529" s="1657">
        <v>1254.1500000000001</v>
      </c>
      <c r="M529" s="1641"/>
      <c r="N529" s="1679">
        <v>44835.87</v>
      </c>
      <c r="EW529" s="2031"/>
      <c r="EX529" s="1619"/>
      <c r="EY529" s="1628"/>
      <c r="EZ529" s="1628"/>
      <c r="FA529" s="1628"/>
      <c r="FF529" s="1864" t="s">
        <v>7969</v>
      </c>
      <c r="FH529" s="1628"/>
    </row>
    <row r="530" spans="1:176" s="1484" customFormat="1" ht="15" x14ac:dyDescent="0.25">
      <c r="A530" s="1650"/>
      <c r="B530" s="1651"/>
      <c r="C530" s="2803" t="s">
        <v>872</v>
      </c>
      <c r="D530" s="2803"/>
      <c r="E530" s="2803"/>
      <c r="F530" s="1621"/>
      <c r="G530" s="1622"/>
      <c r="H530" s="1622"/>
      <c r="I530" s="1622"/>
      <c r="J530" s="1625"/>
      <c r="K530" s="1622"/>
      <c r="L530" s="1648">
        <v>8113</v>
      </c>
      <c r="M530" s="2037"/>
      <c r="N530" s="1649">
        <v>243175.07</v>
      </c>
      <c r="EW530" s="2031"/>
      <c r="EX530" s="1619"/>
      <c r="EY530" s="1628"/>
      <c r="EZ530" s="1628"/>
      <c r="FA530" s="1628"/>
      <c r="FH530" s="1628" t="s">
        <v>872</v>
      </c>
    </row>
    <row r="531" spans="1:176" s="1484" customFormat="1" ht="33.75" x14ac:dyDescent="0.25">
      <c r="A531" s="1620" t="s">
        <v>1058</v>
      </c>
      <c r="B531" s="1863" t="s">
        <v>8902</v>
      </c>
      <c r="C531" s="2803" t="s">
        <v>8008</v>
      </c>
      <c r="D531" s="2803"/>
      <c r="E531" s="2803"/>
      <c r="F531" s="1621" t="s">
        <v>835</v>
      </c>
      <c r="G531" s="1622">
        <v>526.14</v>
      </c>
      <c r="H531" s="1623">
        <v>1</v>
      </c>
      <c r="I531" s="1687">
        <v>526.14</v>
      </c>
      <c r="J531" s="1648">
        <v>3981.4</v>
      </c>
      <c r="K531" s="1622"/>
      <c r="L531" s="1648">
        <v>229187.51</v>
      </c>
      <c r="M531" s="1687">
        <v>9.14</v>
      </c>
      <c r="N531" s="1649">
        <v>2094773.8</v>
      </c>
      <c r="EW531" s="2031"/>
      <c r="EX531" s="1619"/>
      <c r="EY531" s="1628" t="s">
        <v>8008</v>
      </c>
      <c r="EZ531" s="1628" t="s">
        <v>588</v>
      </c>
      <c r="FA531" s="1628" t="s">
        <v>588</v>
      </c>
      <c r="FH531" s="1628"/>
    </row>
    <row r="532" spans="1:176" s="1484" customFormat="1" ht="15" x14ac:dyDescent="0.25">
      <c r="A532" s="1650"/>
      <c r="B532" s="1651"/>
      <c r="C532" s="2805" t="s">
        <v>8689</v>
      </c>
      <c r="D532" s="2805"/>
      <c r="E532" s="2805"/>
      <c r="F532" s="2805"/>
      <c r="G532" s="2805"/>
      <c r="H532" s="2805"/>
      <c r="I532" s="2805"/>
      <c r="J532" s="2805"/>
      <c r="K532" s="2805"/>
      <c r="L532" s="2805"/>
      <c r="M532" s="2805"/>
      <c r="N532" s="2806"/>
      <c r="EW532" s="2031"/>
      <c r="EX532" s="1619"/>
      <c r="EY532" s="1628"/>
      <c r="EZ532" s="1628"/>
      <c r="FA532" s="1628"/>
      <c r="FH532" s="1628"/>
      <c r="FI532" s="1864" t="s">
        <v>8689</v>
      </c>
      <c r="FJ532" s="1864" t="s">
        <v>588</v>
      </c>
      <c r="FK532" s="1864" t="s">
        <v>588</v>
      </c>
      <c r="FL532" s="1864" t="s">
        <v>588</v>
      </c>
      <c r="FM532" s="1864" t="s">
        <v>588</v>
      </c>
      <c r="FN532" s="1864" t="s">
        <v>588</v>
      </c>
      <c r="FO532" s="1864" t="s">
        <v>588</v>
      </c>
      <c r="FP532" s="1864" t="s">
        <v>588</v>
      </c>
      <c r="FQ532" s="1864" t="s">
        <v>588</v>
      </c>
      <c r="FR532" s="1864" t="s">
        <v>588</v>
      </c>
      <c r="FS532" s="1864" t="s">
        <v>588</v>
      </c>
      <c r="FT532" s="1864" t="s">
        <v>588</v>
      </c>
    </row>
    <row r="533" spans="1:176" s="1484" customFormat="1" ht="15" x14ac:dyDescent="0.25">
      <c r="A533" s="1629"/>
      <c r="B533" s="1862"/>
      <c r="C533" s="2805" t="s">
        <v>8901</v>
      </c>
      <c r="D533" s="2805"/>
      <c r="E533" s="2805"/>
      <c r="F533" s="2805"/>
      <c r="G533" s="2805"/>
      <c r="H533" s="2805"/>
      <c r="I533" s="2805"/>
      <c r="J533" s="2805"/>
      <c r="K533" s="2805"/>
      <c r="L533" s="2805"/>
      <c r="M533" s="2805"/>
      <c r="N533" s="2806"/>
      <c r="EW533" s="2031"/>
      <c r="EX533" s="1619"/>
      <c r="EY533" s="1628"/>
      <c r="EZ533" s="1628"/>
      <c r="FA533" s="1628"/>
      <c r="FB533" s="1864" t="s">
        <v>8901</v>
      </c>
      <c r="FH533" s="1628"/>
    </row>
    <row r="534" spans="1:176" s="1484" customFormat="1" ht="15" x14ac:dyDescent="0.25">
      <c r="A534" s="1650"/>
      <c r="B534" s="1651"/>
      <c r="C534" s="2803" t="s">
        <v>872</v>
      </c>
      <c r="D534" s="2803"/>
      <c r="E534" s="2803"/>
      <c r="F534" s="1621"/>
      <c r="G534" s="1622"/>
      <c r="H534" s="1622"/>
      <c r="I534" s="1622"/>
      <c r="J534" s="1625"/>
      <c r="K534" s="1622"/>
      <c r="L534" s="1648">
        <v>229187.51</v>
      </c>
      <c r="M534" s="2037"/>
      <c r="N534" s="1649">
        <v>2094773.8</v>
      </c>
      <c r="EW534" s="2031"/>
      <c r="EX534" s="1619"/>
      <c r="EY534" s="1628"/>
      <c r="EZ534" s="1628"/>
      <c r="FA534" s="1628"/>
      <c r="FH534" s="1628" t="s">
        <v>872</v>
      </c>
    </row>
    <row r="535" spans="1:176" s="1484" customFormat="1" ht="56.25" x14ac:dyDescent="0.25">
      <c r="A535" s="1620" t="s">
        <v>8049</v>
      </c>
      <c r="B535" s="1863" t="s">
        <v>7990</v>
      </c>
      <c r="C535" s="2803" t="s">
        <v>7991</v>
      </c>
      <c r="D535" s="2803"/>
      <c r="E535" s="2803"/>
      <c r="F535" s="1621" t="s">
        <v>2555</v>
      </c>
      <c r="G535" s="1622">
        <v>6.1879999999999997</v>
      </c>
      <c r="H535" s="1623">
        <v>1</v>
      </c>
      <c r="I535" s="2045">
        <v>6.1879999999999997</v>
      </c>
      <c r="J535" s="1625"/>
      <c r="K535" s="1622"/>
      <c r="L535" s="1625"/>
      <c r="M535" s="1622"/>
      <c r="N535" s="1627"/>
      <c r="EW535" s="2031"/>
      <c r="EX535" s="1619"/>
      <c r="EY535" s="1628" t="s">
        <v>7991</v>
      </c>
      <c r="EZ535" s="1628" t="s">
        <v>588</v>
      </c>
      <c r="FA535" s="1628" t="s">
        <v>588</v>
      </c>
      <c r="FH535" s="1628"/>
    </row>
    <row r="536" spans="1:176" s="1484" customFormat="1" ht="15" x14ac:dyDescent="0.25">
      <c r="A536" s="1629"/>
      <c r="B536" s="1862"/>
      <c r="C536" s="2805" t="s">
        <v>8900</v>
      </c>
      <c r="D536" s="2805"/>
      <c r="E536" s="2805"/>
      <c r="F536" s="2805"/>
      <c r="G536" s="2805"/>
      <c r="H536" s="2805"/>
      <c r="I536" s="2805"/>
      <c r="J536" s="2805"/>
      <c r="K536" s="2805"/>
      <c r="L536" s="2805"/>
      <c r="M536" s="2805"/>
      <c r="N536" s="2806"/>
      <c r="EW536" s="2031"/>
      <c r="EX536" s="1619"/>
      <c r="EY536" s="1628"/>
      <c r="EZ536" s="1628"/>
      <c r="FA536" s="1628"/>
      <c r="FB536" s="1864" t="s">
        <v>8900</v>
      </c>
      <c r="FH536" s="1628"/>
    </row>
    <row r="537" spans="1:176" s="1484" customFormat="1" ht="22.5" x14ac:dyDescent="0.25">
      <c r="A537" s="1630"/>
      <c r="B537" s="1631" t="s">
        <v>6062</v>
      </c>
      <c r="C537" s="2809" t="s">
        <v>6063</v>
      </c>
      <c r="D537" s="2809"/>
      <c r="E537" s="2809"/>
      <c r="F537" s="2809"/>
      <c r="G537" s="2809"/>
      <c r="H537" s="2809"/>
      <c r="I537" s="2809"/>
      <c r="J537" s="2809"/>
      <c r="K537" s="2809"/>
      <c r="L537" s="2809"/>
      <c r="M537" s="2809"/>
      <c r="N537" s="2810"/>
      <c r="EW537" s="2031"/>
      <c r="EX537" s="1619"/>
      <c r="EY537" s="1628"/>
      <c r="EZ537" s="1628"/>
      <c r="FA537" s="1628"/>
      <c r="FC537" s="1864" t="s">
        <v>6063</v>
      </c>
      <c r="FH537" s="1628"/>
    </row>
    <row r="538" spans="1:176" s="1484" customFormat="1" ht="22.5" x14ac:dyDescent="0.25">
      <c r="A538" s="2033"/>
      <c r="B538" s="1631" t="s">
        <v>3260</v>
      </c>
      <c r="C538" s="2805" t="s">
        <v>8636</v>
      </c>
      <c r="D538" s="2805"/>
      <c r="E538" s="2805"/>
      <c r="F538" s="1683" t="s">
        <v>807</v>
      </c>
      <c r="G538" s="1655">
        <v>106.19</v>
      </c>
      <c r="H538" s="1641"/>
      <c r="I538" s="2042">
        <v>657.10371999999995</v>
      </c>
      <c r="J538" s="1654">
        <v>9.18</v>
      </c>
      <c r="K538" s="1655">
        <v>1.25</v>
      </c>
      <c r="L538" s="1657">
        <v>7540.27</v>
      </c>
      <c r="M538" s="1641"/>
      <c r="N538" s="1681"/>
      <c r="EW538" s="2031"/>
      <c r="EX538" s="1619"/>
      <c r="EY538" s="1628"/>
      <c r="EZ538" s="1628"/>
      <c r="FA538" s="1628"/>
      <c r="FD538" s="1864" t="s">
        <v>8636</v>
      </c>
      <c r="FH538" s="1628"/>
    </row>
    <row r="539" spans="1:176" s="1484" customFormat="1" ht="22.5" x14ac:dyDescent="0.25">
      <c r="A539" s="2033"/>
      <c r="B539" s="1631" t="s">
        <v>817</v>
      </c>
      <c r="C539" s="2805" t="s">
        <v>818</v>
      </c>
      <c r="D539" s="2805"/>
      <c r="E539" s="2805"/>
      <c r="F539" s="1683" t="s">
        <v>4994</v>
      </c>
      <c r="G539" s="1655">
        <v>0.27</v>
      </c>
      <c r="H539" s="1641"/>
      <c r="I539" s="2042">
        <v>1.67076</v>
      </c>
      <c r="J539" s="1654">
        <v>115.4</v>
      </c>
      <c r="K539" s="1641"/>
      <c r="L539" s="1654">
        <v>192.81</v>
      </c>
      <c r="M539" s="1641"/>
      <c r="N539" s="1681"/>
      <c r="EW539" s="2031"/>
      <c r="EX539" s="1619"/>
      <c r="EY539" s="1628"/>
      <c r="EZ539" s="1628"/>
      <c r="FA539" s="1628"/>
      <c r="FD539" s="1864" t="s">
        <v>818</v>
      </c>
      <c r="FH539" s="1628"/>
    </row>
    <row r="540" spans="1:176" s="1484" customFormat="1" ht="15" x14ac:dyDescent="0.25">
      <c r="A540" s="2033"/>
      <c r="B540" s="1631" t="s">
        <v>821</v>
      </c>
      <c r="C540" s="2805" t="s">
        <v>822</v>
      </c>
      <c r="D540" s="2805"/>
      <c r="E540" s="2805"/>
      <c r="F540" s="1683" t="s">
        <v>4994</v>
      </c>
      <c r="G540" s="1655">
        <v>0.37</v>
      </c>
      <c r="H540" s="1641"/>
      <c r="I540" s="2042">
        <v>2.2895599999999998</v>
      </c>
      <c r="J540" s="1654">
        <v>65.709999999999994</v>
      </c>
      <c r="K540" s="1641"/>
      <c r="L540" s="1654">
        <v>150.44999999999999</v>
      </c>
      <c r="M540" s="1641"/>
      <c r="N540" s="1681"/>
      <c r="EW540" s="2031"/>
      <c r="EX540" s="1619"/>
      <c r="EY540" s="1628"/>
      <c r="EZ540" s="1628"/>
      <c r="FA540" s="1628"/>
      <c r="FD540" s="1864" t="s">
        <v>822</v>
      </c>
      <c r="FH540" s="1628"/>
    </row>
    <row r="541" spans="1:176" s="1484" customFormat="1" ht="15" x14ac:dyDescent="0.25">
      <c r="A541" s="2033"/>
      <c r="B541" s="1631" t="s">
        <v>4907</v>
      </c>
      <c r="C541" s="2805" t="s">
        <v>8890</v>
      </c>
      <c r="D541" s="2805"/>
      <c r="E541" s="2805"/>
      <c r="F541" s="1683" t="s">
        <v>4865</v>
      </c>
      <c r="G541" s="2034">
        <v>7</v>
      </c>
      <c r="H541" s="1641"/>
      <c r="I541" s="2046">
        <v>43.316000000000003</v>
      </c>
      <c r="J541" s="1654">
        <v>118</v>
      </c>
      <c r="K541" s="1641"/>
      <c r="L541" s="1657">
        <v>5111.29</v>
      </c>
      <c r="M541" s="1641"/>
      <c r="N541" s="1681"/>
      <c r="EW541" s="2031"/>
      <c r="EX541" s="1619"/>
      <c r="EY541" s="1628"/>
      <c r="EZ541" s="1628"/>
      <c r="FA541" s="1628"/>
      <c r="FD541" s="1864" t="s">
        <v>8890</v>
      </c>
      <c r="FH541" s="1628"/>
    </row>
    <row r="542" spans="1:176" s="1484" customFormat="1" ht="15" x14ac:dyDescent="0.25">
      <c r="A542" s="2033"/>
      <c r="B542" s="1631" t="s">
        <v>4910</v>
      </c>
      <c r="C542" s="2805" t="s">
        <v>8889</v>
      </c>
      <c r="D542" s="2805"/>
      <c r="E542" s="2805"/>
      <c r="F542" s="1683" t="s">
        <v>4865</v>
      </c>
      <c r="G542" s="2034">
        <v>29</v>
      </c>
      <c r="H542" s="1641"/>
      <c r="I542" s="2046">
        <v>179.452</v>
      </c>
      <c r="J542" s="1654">
        <v>10</v>
      </c>
      <c r="K542" s="1641"/>
      <c r="L542" s="1657">
        <v>1794.52</v>
      </c>
      <c r="M542" s="1641"/>
      <c r="N542" s="1681"/>
      <c r="EW542" s="2031"/>
      <c r="EX542" s="1619"/>
      <c r="EY542" s="1628"/>
      <c r="EZ542" s="1628"/>
      <c r="FA542" s="1628"/>
      <c r="FD542" s="1864" t="s">
        <v>8889</v>
      </c>
      <c r="FH542" s="1628"/>
    </row>
    <row r="543" spans="1:176" s="1484" customFormat="1" ht="33.75" x14ac:dyDescent="0.25">
      <c r="A543" s="2033"/>
      <c r="B543" s="1631" t="s">
        <v>4943</v>
      </c>
      <c r="C543" s="2805" t="s">
        <v>8888</v>
      </c>
      <c r="D543" s="2805"/>
      <c r="E543" s="2805"/>
      <c r="F543" s="1683" t="s">
        <v>2647</v>
      </c>
      <c r="G543" s="2034">
        <v>200</v>
      </c>
      <c r="H543" s="1641"/>
      <c r="I543" s="1953">
        <v>1237.5999999999999</v>
      </c>
      <c r="J543" s="1654">
        <v>6.91</v>
      </c>
      <c r="K543" s="1641"/>
      <c r="L543" s="1657">
        <v>8551.82</v>
      </c>
      <c r="M543" s="1641"/>
      <c r="N543" s="1681"/>
      <c r="EW543" s="2031"/>
      <c r="EX543" s="1619"/>
      <c r="EY543" s="1628"/>
      <c r="EZ543" s="1628"/>
      <c r="FA543" s="1628"/>
      <c r="FD543" s="1864" t="s">
        <v>8888</v>
      </c>
      <c r="FH543" s="1628"/>
    </row>
    <row r="544" spans="1:176" s="1484" customFormat="1" ht="33.75" x14ac:dyDescent="0.25">
      <c r="A544" s="2033"/>
      <c r="B544" s="1631" t="s">
        <v>4949</v>
      </c>
      <c r="C544" s="2805" t="s">
        <v>8887</v>
      </c>
      <c r="D544" s="2805"/>
      <c r="E544" s="2805"/>
      <c r="F544" s="1683" t="s">
        <v>269</v>
      </c>
      <c r="G544" s="2034">
        <v>350</v>
      </c>
      <c r="H544" s="1641"/>
      <c r="I544" s="1953">
        <v>2165.8000000000002</v>
      </c>
      <c r="J544" s="1654">
        <v>17.32</v>
      </c>
      <c r="K544" s="1641"/>
      <c r="L544" s="1657">
        <v>37511.660000000003</v>
      </c>
      <c r="M544" s="1641"/>
      <c r="N544" s="1681"/>
      <c r="EW544" s="2031"/>
      <c r="EX544" s="1619"/>
      <c r="EY544" s="1628"/>
      <c r="EZ544" s="1628"/>
      <c r="FA544" s="1628"/>
      <c r="FD544" s="1864" t="s">
        <v>8887</v>
      </c>
      <c r="FH544" s="1628"/>
    </row>
    <row r="545" spans="1:164" s="1484" customFormat="1" ht="22.5" x14ac:dyDescent="0.25">
      <c r="A545" s="2033"/>
      <c r="B545" s="1631" t="s">
        <v>4950</v>
      </c>
      <c r="C545" s="2805" t="s">
        <v>8886</v>
      </c>
      <c r="D545" s="2805"/>
      <c r="E545" s="2805"/>
      <c r="F545" s="1683" t="s">
        <v>2647</v>
      </c>
      <c r="G545" s="2034">
        <v>42</v>
      </c>
      <c r="H545" s="1641"/>
      <c r="I545" s="2046">
        <v>259.89600000000002</v>
      </c>
      <c r="J545" s="1654">
        <v>23.15</v>
      </c>
      <c r="K545" s="1641"/>
      <c r="L545" s="1657">
        <v>6016.59</v>
      </c>
      <c r="M545" s="1641"/>
      <c r="N545" s="1681"/>
      <c r="EW545" s="2031"/>
      <c r="EX545" s="1619"/>
      <c r="EY545" s="1628"/>
      <c r="EZ545" s="1628"/>
      <c r="FA545" s="1628"/>
      <c r="FD545" s="1864" t="s">
        <v>8886</v>
      </c>
      <c r="FH545" s="1628"/>
    </row>
    <row r="546" spans="1:164" s="1484" customFormat="1" ht="22.5" x14ac:dyDescent="0.25">
      <c r="A546" s="2033"/>
      <c r="B546" s="1631" t="s">
        <v>4951</v>
      </c>
      <c r="C546" s="2805" t="s">
        <v>8885</v>
      </c>
      <c r="D546" s="2805"/>
      <c r="E546" s="2805"/>
      <c r="F546" s="1683" t="s">
        <v>2647</v>
      </c>
      <c r="G546" s="2034">
        <v>12</v>
      </c>
      <c r="H546" s="1641"/>
      <c r="I546" s="2046">
        <v>74.256</v>
      </c>
      <c r="J546" s="1654">
        <v>64.47</v>
      </c>
      <c r="K546" s="1641"/>
      <c r="L546" s="1657">
        <v>4787.28</v>
      </c>
      <c r="M546" s="1641"/>
      <c r="N546" s="1681"/>
      <c r="EW546" s="2031"/>
      <c r="EX546" s="1619"/>
      <c r="EY546" s="1628"/>
      <c r="EZ546" s="1628"/>
      <c r="FA546" s="1628"/>
      <c r="FD546" s="1864" t="s">
        <v>8885</v>
      </c>
      <c r="FH546" s="1628"/>
    </row>
    <row r="547" spans="1:164" s="1484" customFormat="1" ht="22.5" x14ac:dyDescent="0.25">
      <c r="A547" s="2033"/>
      <c r="B547" s="1631" t="s">
        <v>4952</v>
      </c>
      <c r="C547" s="2805" t="s">
        <v>8884</v>
      </c>
      <c r="D547" s="2805"/>
      <c r="E547" s="2805"/>
      <c r="F547" s="1683" t="s">
        <v>2647</v>
      </c>
      <c r="G547" s="2034">
        <v>55</v>
      </c>
      <c r="H547" s="1641"/>
      <c r="I547" s="1655">
        <v>340.34</v>
      </c>
      <c r="J547" s="1654">
        <v>7.5</v>
      </c>
      <c r="K547" s="1641"/>
      <c r="L547" s="1657">
        <v>2552.5500000000002</v>
      </c>
      <c r="M547" s="1641"/>
      <c r="N547" s="1681"/>
      <c r="EW547" s="2031"/>
      <c r="EX547" s="1619"/>
      <c r="EY547" s="1628"/>
      <c r="EZ547" s="1628"/>
      <c r="FA547" s="1628"/>
      <c r="FD547" s="1864" t="s">
        <v>8884</v>
      </c>
      <c r="FH547" s="1628"/>
    </row>
    <row r="548" spans="1:164" s="1484" customFormat="1" ht="15" x14ac:dyDescent="0.25">
      <c r="A548" s="2032"/>
      <c r="B548" s="1631" t="s">
        <v>190</v>
      </c>
      <c r="C548" s="2805" t="s">
        <v>2523</v>
      </c>
      <c r="D548" s="2805"/>
      <c r="E548" s="2805"/>
      <c r="F548" s="1683"/>
      <c r="G548" s="1641"/>
      <c r="H548" s="1641"/>
      <c r="I548" s="1641"/>
      <c r="J548" s="1654">
        <v>974.82</v>
      </c>
      <c r="K548" s="1655">
        <v>1.25</v>
      </c>
      <c r="L548" s="1657">
        <v>7540.23</v>
      </c>
      <c r="M548" s="1655">
        <v>35.75</v>
      </c>
      <c r="N548" s="1679">
        <v>269563.21999999997</v>
      </c>
      <c r="EW548" s="2031"/>
      <c r="EX548" s="1619"/>
      <c r="EY548" s="1628"/>
      <c r="EZ548" s="1628"/>
      <c r="FA548" s="1628"/>
      <c r="FE548" s="1864" t="s">
        <v>2523</v>
      </c>
      <c r="FH548" s="1628"/>
    </row>
    <row r="549" spans="1:164" s="1484" customFormat="1" ht="15" x14ac:dyDescent="0.25">
      <c r="A549" s="2032"/>
      <c r="B549" s="1631" t="s">
        <v>639</v>
      </c>
      <c r="C549" s="2805" t="s">
        <v>697</v>
      </c>
      <c r="D549" s="2805"/>
      <c r="E549" s="2805"/>
      <c r="F549" s="1683"/>
      <c r="G549" s="1641"/>
      <c r="H549" s="1641"/>
      <c r="I549" s="1641"/>
      <c r="J549" s="1654">
        <v>55.47</v>
      </c>
      <c r="K549" s="1641"/>
      <c r="L549" s="1654">
        <v>343.25</v>
      </c>
      <c r="M549" s="1655">
        <v>11.97</v>
      </c>
      <c r="N549" s="1679">
        <v>4108.7</v>
      </c>
      <c r="EW549" s="2031"/>
      <c r="EX549" s="1619"/>
      <c r="EY549" s="1628"/>
      <c r="EZ549" s="1628"/>
      <c r="FA549" s="1628"/>
      <c r="FE549" s="1864" t="s">
        <v>697</v>
      </c>
      <c r="FH549" s="1628"/>
    </row>
    <row r="550" spans="1:164" s="1484" customFormat="1" ht="15" x14ac:dyDescent="0.25">
      <c r="A550" s="2032"/>
      <c r="B550" s="1631" t="s">
        <v>640</v>
      </c>
      <c r="C550" s="2805" t="s">
        <v>2500</v>
      </c>
      <c r="D550" s="2805"/>
      <c r="E550" s="2805"/>
      <c r="F550" s="1683"/>
      <c r="G550" s="1641"/>
      <c r="H550" s="1641"/>
      <c r="I550" s="1641"/>
      <c r="J550" s="1654">
        <v>7.94</v>
      </c>
      <c r="K550" s="1641"/>
      <c r="L550" s="1654">
        <v>49.13</v>
      </c>
      <c r="M550" s="1655">
        <v>35.75</v>
      </c>
      <c r="N550" s="1679">
        <v>1756.4</v>
      </c>
      <c r="EW550" s="2031"/>
      <c r="EX550" s="1619"/>
      <c r="EY550" s="1628"/>
      <c r="EZ550" s="1628"/>
      <c r="FA550" s="1628"/>
      <c r="FE550" s="1864" t="s">
        <v>2500</v>
      </c>
      <c r="FH550" s="1628"/>
    </row>
    <row r="551" spans="1:164" s="1484" customFormat="1" ht="15" x14ac:dyDescent="0.25">
      <c r="A551" s="2032"/>
      <c r="B551" s="1631" t="s">
        <v>232</v>
      </c>
      <c r="C551" s="2805" t="s">
        <v>829</v>
      </c>
      <c r="D551" s="2805"/>
      <c r="E551" s="2805"/>
      <c r="F551" s="1683"/>
      <c r="G551" s="1641"/>
      <c r="H551" s="1641"/>
      <c r="I551" s="1641"/>
      <c r="J551" s="1657">
        <v>10718.44</v>
      </c>
      <c r="K551" s="1641"/>
      <c r="L551" s="1657">
        <v>66325.710000000006</v>
      </c>
      <c r="M551" s="1655">
        <v>9.14</v>
      </c>
      <c r="N551" s="1679">
        <v>606216.99</v>
      </c>
      <c r="EW551" s="2031"/>
      <c r="EX551" s="1619"/>
      <c r="EY551" s="1628"/>
      <c r="EZ551" s="1628"/>
      <c r="FA551" s="1628"/>
      <c r="FE551" s="1864" t="s">
        <v>829</v>
      </c>
      <c r="FH551" s="1628"/>
    </row>
    <row r="552" spans="1:164" s="1484" customFormat="1" ht="15" x14ac:dyDescent="0.25">
      <c r="A552" s="2033"/>
      <c r="B552" s="1631"/>
      <c r="C552" s="2805" t="s">
        <v>2524</v>
      </c>
      <c r="D552" s="2805"/>
      <c r="E552" s="2805"/>
      <c r="F552" s="1683" t="s">
        <v>807</v>
      </c>
      <c r="G552" s="1655">
        <v>106.19</v>
      </c>
      <c r="H552" s="1641"/>
      <c r="I552" s="2042">
        <v>657.10371999999995</v>
      </c>
      <c r="J552" s="1640"/>
      <c r="K552" s="1641"/>
      <c r="L552" s="1640"/>
      <c r="M552" s="1641"/>
      <c r="N552" s="1681"/>
      <c r="EW552" s="2031"/>
      <c r="EX552" s="1619"/>
      <c r="EY552" s="1628"/>
      <c r="EZ552" s="1628"/>
      <c r="FA552" s="1628"/>
      <c r="FF552" s="1864" t="s">
        <v>2524</v>
      </c>
      <c r="FH552" s="1628"/>
    </row>
    <row r="553" spans="1:164" s="1484" customFormat="1" ht="15" x14ac:dyDescent="0.25">
      <c r="A553" s="2033"/>
      <c r="B553" s="1631"/>
      <c r="C553" s="2805" t="s">
        <v>2501</v>
      </c>
      <c r="D553" s="2805"/>
      <c r="E553" s="2805"/>
      <c r="F553" s="1683" t="s">
        <v>807</v>
      </c>
      <c r="G553" s="1655">
        <v>0.64</v>
      </c>
      <c r="H553" s="1641"/>
      <c r="I553" s="2042">
        <v>3.9603199999999998</v>
      </c>
      <c r="J553" s="1640"/>
      <c r="K553" s="1641"/>
      <c r="L553" s="1640"/>
      <c r="M553" s="1641"/>
      <c r="N553" s="1681"/>
      <c r="EW553" s="2031"/>
      <c r="EX553" s="1619"/>
      <c r="EY553" s="1628"/>
      <c r="EZ553" s="1628"/>
      <c r="FA553" s="1628"/>
      <c r="FF553" s="1864" t="s">
        <v>2501</v>
      </c>
      <c r="FH553" s="1628"/>
    </row>
    <row r="554" spans="1:164" s="1484" customFormat="1" ht="15" x14ac:dyDescent="0.25">
      <c r="A554" s="2032"/>
      <c r="B554" s="1631"/>
      <c r="C554" s="2917" t="s">
        <v>2502</v>
      </c>
      <c r="D554" s="2917"/>
      <c r="E554" s="2917"/>
      <c r="F554" s="2036"/>
      <c r="G554" s="2037"/>
      <c r="H554" s="2037"/>
      <c r="I554" s="2037"/>
      <c r="J554" s="2038">
        <v>11748.73</v>
      </c>
      <c r="K554" s="2037"/>
      <c r="L554" s="2038">
        <v>74209.19</v>
      </c>
      <c r="M554" s="2037"/>
      <c r="N554" s="2068">
        <v>879888.91</v>
      </c>
      <c r="EW554" s="2031"/>
      <c r="EX554" s="1619"/>
      <c r="EY554" s="1628"/>
      <c r="EZ554" s="1628"/>
      <c r="FA554" s="1628"/>
      <c r="FG554" s="1864" t="s">
        <v>2502</v>
      </c>
      <c r="FH554" s="1628"/>
    </row>
    <row r="555" spans="1:164" s="1484" customFormat="1" ht="15" x14ac:dyDescent="0.25">
      <c r="A555" s="2033" t="s">
        <v>8050</v>
      </c>
      <c r="B555" s="1631"/>
      <c r="C555" s="2805" t="s">
        <v>7964</v>
      </c>
      <c r="D555" s="2805"/>
      <c r="E555" s="2805"/>
      <c r="F555" s="1683" t="s">
        <v>5928</v>
      </c>
      <c r="G555" s="1641"/>
      <c r="H555" s="1641"/>
      <c r="I555" s="1641"/>
      <c r="J555" s="1640"/>
      <c r="K555" s="1641"/>
      <c r="L555" s="1654">
        <v>12.28</v>
      </c>
      <c r="M555" s="1641"/>
      <c r="N555" s="2039">
        <v>439.01</v>
      </c>
      <c r="EW555" s="2031"/>
      <c r="EX555" s="1619"/>
      <c r="EY555" s="1628"/>
      <c r="EZ555" s="1628"/>
      <c r="FA555" s="1628"/>
      <c r="FF555" s="1864" t="s">
        <v>7964</v>
      </c>
      <c r="FH555" s="1628"/>
    </row>
    <row r="556" spans="1:164" s="1484" customFormat="1" ht="15" x14ac:dyDescent="0.25">
      <c r="A556" s="2033"/>
      <c r="B556" s="1631"/>
      <c r="C556" s="2805" t="s">
        <v>7965</v>
      </c>
      <c r="D556" s="2805"/>
      <c r="E556" s="2805"/>
      <c r="F556" s="1683" t="s">
        <v>5928</v>
      </c>
      <c r="G556" s="1641"/>
      <c r="H556" s="1641"/>
      <c r="I556" s="1641"/>
      <c r="J556" s="1654">
        <v>7.94</v>
      </c>
      <c r="K556" s="1655">
        <v>0.25</v>
      </c>
      <c r="L556" s="1654">
        <v>12.28</v>
      </c>
      <c r="M556" s="1655">
        <v>35.75</v>
      </c>
      <c r="N556" s="2039">
        <v>439.01</v>
      </c>
      <c r="EW556" s="2031"/>
      <c r="EX556" s="1619"/>
      <c r="EY556" s="1628"/>
      <c r="EZ556" s="1628"/>
      <c r="FA556" s="1628"/>
      <c r="FF556" s="1864" t="s">
        <v>7965</v>
      </c>
      <c r="FH556" s="1628"/>
    </row>
    <row r="557" spans="1:164" s="1484" customFormat="1" ht="15" x14ac:dyDescent="0.25">
      <c r="A557" s="2033"/>
      <c r="B557" s="1631"/>
      <c r="C557" s="2805" t="s">
        <v>867</v>
      </c>
      <c r="D557" s="2805"/>
      <c r="E557" s="2805"/>
      <c r="F557" s="1683"/>
      <c r="G557" s="1641"/>
      <c r="H557" s="1641"/>
      <c r="I557" s="1641"/>
      <c r="J557" s="1640"/>
      <c r="K557" s="1641"/>
      <c r="L557" s="1657">
        <v>7601.64</v>
      </c>
      <c r="M557" s="1641"/>
      <c r="N557" s="1679">
        <v>271758.63</v>
      </c>
      <c r="EW557" s="2031"/>
      <c r="EX557" s="1619"/>
      <c r="EY557" s="1628"/>
      <c r="EZ557" s="1628"/>
      <c r="FA557" s="1628"/>
      <c r="FF557" s="1864" t="s">
        <v>867</v>
      </c>
      <c r="FH557" s="1628"/>
    </row>
    <row r="558" spans="1:164" s="1484" customFormat="1" ht="15" x14ac:dyDescent="0.25">
      <c r="A558" s="2033"/>
      <c r="B558" s="1631" t="s">
        <v>7966</v>
      </c>
      <c r="C558" s="2805" t="s">
        <v>7967</v>
      </c>
      <c r="D558" s="2805"/>
      <c r="E558" s="2805"/>
      <c r="F558" s="1683" t="s">
        <v>636</v>
      </c>
      <c r="G558" s="2034">
        <v>100</v>
      </c>
      <c r="H558" s="1641"/>
      <c r="I558" s="2034">
        <v>100</v>
      </c>
      <c r="J558" s="1640"/>
      <c r="K558" s="1641"/>
      <c r="L558" s="1657">
        <v>7601.64</v>
      </c>
      <c r="M558" s="1641"/>
      <c r="N558" s="1679">
        <v>271758.63</v>
      </c>
      <c r="EW558" s="2031"/>
      <c r="EX558" s="1619"/>
      <c r="EY558" s="1628"/>
      <c r="EZ558" s="1628"/>
      <c r="FA558" s="1628"/>
      <c r="FF558" s="1864" t="s">
        <v>7967</v>
      </c>
      <c r="FH558" s="1628"/>
    </row>
    <row r="559" spans="1:164" s="1484" customFormat="1" ht="15" x14ac:dyDescent="0.25">
      <c r="A559" s="2033"/>
      <c r="B559" s="1631" t="s">
        <v>7968</v>
      </c>
      <c r="C559" s="2805" t="s">
        <v>7969</v>
      </c>
      <c r="D559" s="2805"/>
      <c r="E559" s="2805"/>
      <c r="F559" s="1683" t="s">
        <v>636</v>
      </c>
      <c r="G559" s="2034">
        <v>49</v>
      </c>
      <c r="H559" s="1641"/>
      <c r="I559" s="2034">
        <v>49</v>
      </c>
      <c r="J559" s="1640"/>
      <c r="K559" s="1641"/>
      <c r="L559" s="1657">
        <v>3724.8</v>
      </c>
      <c r="M559" s="1641"/>
      <c r="N559" s="1679">
        <v>133161.73000000001</v>
      </c>
      <c r="EW559" s="2031"/>
      <c r="EX559" s="1619"/>
      <c r="EY559" s="1628"/>
      <c r="EZ559" s="1628"/>
      <c r="FA559" s="1628"/>
      <c r="FF559" s="1864" t="s">
        <v>7969</v>
      </c>
      <c r="FH559" s="1628"/>
    </row>
    <row r="560" spans="1:164" s="1484" customFormat="1" ht="15" x14ac:dyDescent="0.25">
      <c r="A560" s="1650"/>
      <c r="B560" s="1651"/>
      <c r="C560" s="2803" t="s">
        <v>872</v>
      </c>
      <c r="D560" s="2803"/>
      <c r="E560" s="2803"/>
      <c r="F560" s="1621"/>
      <c r="G560" s="1622"/>
      <c r="H560" s="1622"/>
      <c r="I560" s="1622"/>
      <c r="J560" s="1625"/>
      <c r="K560" s="1622"/>
      <c r="L560" s="1648">
        <v>85547.91</v>
      </c>
      <c r="M560" s="2037"/>
      <c r="N560" s="1649">
        <v>1285248.28</v>
      </c>
      <c r="EW560" s="2031"/>
      <c r="EX560" s="1619"/>
      <c r="EY560" s="1628"/>
      <c r="EZ560" s="1628"/>
      <c r="FA560" s="1628"/>
      <c r="FH560" s="1628" t="s">
        <v>872</v>
      </c>
    </row>
    <row r="561" spans="1:176" s="1484" customFormat="1" ht="45" x14ac:dyDescent="0.25">
      <c r="A561" s="1620" t="s">
        <v>1063</v>
      </c>
      <c r="B561" s="1863" t="s">
        <v>8893</v>
      </c>
      <c r="C561" s="2803" t="s">
        <v>7993</v>
      </c>
      <c r="D561" s="2803"/>
      <c r="E561" s="2803"/>
      <c r="F561" s="1621" t="s">
        <v>130</v>
      </c>
      <c r="G561" s="1622">
        <v>730.18399999999997</v>
      </c>
      <c r="H561" s="1623">
        <v>1</v>
      </c>
      <c r="I561" s="2045">
        <v>730.18399999999997</v>
      </c>
      <c r="J561" s="1648">
        <v>9053.35</v>
      </c>
      <c r="K561" s="1622"/>
      <c r="L561" s="1648">
        <v>723261.63</v>
      </c>
      <c r="M561" s="1687">
        <v>9.14</v>
      </c>
      <c r="N561" s="1649">
        <v>6610611.3200000003</v>
      </c>
      <c r="EW561" s="2031"/>
      <c r="EX561" s="1619"/>
      <c r="EY561" s="1628" t="s">
        <v>7993</v>
      </c>
      <c r="EZ561" s="1628" t="s">
        <v>588</v>
      </c>
      <c r="FA561" s="1628" t="s">
        <v>588</v>
      </c>
      <c r="FH561" s="1628"/>
    </row>
    <row r="562" spans="1:176" s="1484" customFormat="1" ht="15" x14ac:dyDescent="0.25">
      <c r="A562" s="1650"/>
      <c r="B562" s="1651"/>
      <c r="C562" s="2805" t="s">
        <v>8689</v>
      </c>
      <c r="D562" s="2805"/>
      <c r="E562" s="2805"/>
      <c r="F562" s="2805"/>
      <c r="G562" s="2805"/>
      <c r="H562" s="2805"/>
      <c r="I562" s="2805"/>
      <c r="J562" s="2805"/>
      <c r="K562" s="2805"/>
      <c r="L562" s="2805"/>
      <c r="M562" s="2805"/>
      <c r="N562" s="2806"/>
      <c r="EW562" s="2031"/>
      <c r="EX562" s="1619"/>
      <c r="EY562" s="1628"/>
      <c r="EZ562" s="1628"/>
      <c r="FA562" s="1628"/>
      <c r="FH562" s="1628"/>
      <c r="FI562" s="1864" t="s">
        <v>8689</v>
      </c>
      <c r="FJ562" s="1864" t="s">
        <v>588</v>
      </c>
      <c r="FK562" s="1864" t="s">
        <v>588</v>
      </c>
      <c r="FL562" s="1864" t="s">
        <v>588</v>
      </c>
      <c r="FM562" s="1864" t="s">
        <v>588</v>
      </c>
      <c r="FN562" s="1864" t="s">
        <v>588</v>
      </c>
      <c r="FO562" s="1864" t="s">
        <v>588</v>
      </c>
      <c r="FP562" s="1864" t="s">
        <v>588</v>
      </c>
      <c r="FQ562" s="1864" t="s">
        <v>588</v>
      </c>
      <c r="FR562" s="1864" t="s">
        <v>588</v>
      </c>
      <c r="FS562" s="1864" t="s">
        <v>588</v>
      </c>
      <c r="FT562" s="1864" t="s">
        <v>588</v>
      </c>
    </row>
    <row r="563" spans="1:176" s="1484" customFormat="1" ht="15" x14ac:dyDescent="0.25">
      <c r="A563" s="1650"/>
      <c r="B563" s="1651"/>
      <c r="C563" s="2803" t="s">
        <v>872</v>
      </c>
      <c r="D563" s="2803"/>
      <c r="E563" s="2803"/>
      <c r="F563" s="1621"/>
      <c r="G563" s="1622"/>
      <c r="H563" s="1622"/>
      <c r="I563" s="1622"/>
      <c r="J563" s="1625"/>
      <c r="K563" s="1622"/>
      <c r="L563" s="1648">
        <v>723261.63</v>
      </c>
      <c r="M563" s="2037"/>
      <c r="N563" s="1649">
        <v>6610611.3200000003</v>
      </c>
      <c r="EW563" s="2031"/>
      <c r="EX563" s="1619"/>
      <c r="EY563" s="1628"/>
      <c r="EZ563" s="1628"/>
      <c r="FA563" s="1628"/>
      <c r="FH563" s="1628" t="s">
        <v>872</v>
      </c>
    </row>
    <row r="564" spans="1:176" s="1484" customFormat="1" ht="15" x14ac:dyDescent="0.25">
      <c r="A564" s="2811" t="s">
        <v>8051</v>
      </c>
      <c r="B564" s="2812"/>
      <c r="C564" s="2812"/>
      <c r="D564" s="2812"/>
      <c r="E564" s="2812"/>
      <c r="F564" s="2812"/>
      <c r="G564" s="2812"/>
      <c r="H564" s="2812"/>
      <c r="I564" s="2812"/>
      <c r="J564" s="2812"/>
      <c r="K564" s="2812"/>
      <c r="L564" s="2812"/>
      <c r="M564" s="2812"/>
      <c r="N564" s="2813"/>
      <c r="EW564" s="2031"/>
      <c r="EX564" s="1619" t="s">
        <v>8051</v>
      </c>
      <c r="EY564" s="1628"/>
      <c r="EZ564" s="1628"/>
      <c r="FA564" s="1628"/>
      <c r="FH564" s="1628"/>
    </row>
    <row r="565" spans="1:176" s="1484" customFormat="1" ht="22.5" x14ac:dyDescent="0.25">
      <c r="A565" s="1620" t="s">
        <v>655</v>
      </c>
      <c r="B565" s="1863" t="s">
        <v>8899</v>
      </c>
      <c r="C565" s="2803" t="s">
        <v>8053</v>
      </c>
      <c r="D565" s="2803"/>
      <c r="E565" s="2803"/>
      <c r="F565" s="1621" t="s">
        <v>2555</v>
      </c>
      <c r="G565" s="1622">
        <v>0.88</v>
      </c>
      <c r="H565" s="1623">
        <v>1</v>
      </c>
      <c r="I565" s="1687">
        <v>0.88</v>
      </c>
      <c r="J565" s="1625"/>
      <c r="K565" s="1622"/>
      <c r="L565" s="1625"/>
      <c r="M565" s="1622"/>
      <c r="N565" s="1627"/>
      <c r="EW565" s="2031"/>
      <c r="EX565" s="1619"/>
      <c r="EY565" s="1628" t="s">
        <v>8053</v>
      </c>
      <c r="EZ565" s="1628" t="s">
        <v>588</v>
      </c>
      <c r="FA565" s="1628" t="s">
        <v>588</v>
      </c>
      <c r="FH565" s="1628"/>
    </row>
    <row r="566" spans="1:176" s="1484" customFormat="1" ht="15" x14ac:dyDescent="0.25">
      <c r="A566" s="1629"/>
      <c r="B566" s="1862"/>
      <c r="C566" s="2805" t="s">
        <v>8898</v>
      </c>
      <c r="D566" s="2805"/>
      <c r="E566" s="2805"/>
      <c r="F566" s="2805"/>
      <c r="G566" s="2805"/>
      <c r="H566" s="2805"/>
      <c r="I566" s="2805"/>
      <c r="J566" s="2805"/>
      <c r="K566" s="2805"/>
      <c r="L566" s="2805"/>
      <c r="M566" s="2805"/>
      <c r="N566" s="2806"/>
      <c r="EW566" s="2031"/>
      <c r="EX566" s="1619"/>
      <c r="EY566" s="1628"/>
      <c r="EZ566" s="1628"/>
      <c r="FA566" s="1628"/>
      <c r="FB566" s="1864" t="s">
        <v>8898</v>
      </c>
      <c r="FH566" s="1628"/>
    </row>
    <row r="567" spans="1:176" s="1484" customFormat="1" ht="22.5" x14ac:dyDescent="0.25">
      <c r="A567" s="1630"/>
      <c r="B567" s="1631" t="s">
        <v>6062</v>
      </c>
      <c r="C567" s="2809" t="s">
        <v>6063</v>
      </c>
      <c r="D567" s="2809"/>
      <c r="E567" s="2809"/>
      <c r="F567" s="2809"/>
      <c r="G567" s="2809"/>
      <c r="H567" s="2809"/>
      <c r="I567" s="2809"/>
      <c r="J567" s="2809"/>
      <c r="K567" s="2809"/>
      <c r="L567" s="2809"/>
      <c r="M567" s="2809"/>
      <c r="N567" s="2810"/>
      <c r="EW567" s="2031"/>
      <c r="EX567" s="1619"/>
      <c r="EY567" s="1628"/>
      <c r="EZ567" s="1628"/>
      <c r="FA567" s="1628"/>
      <c r="FC567" s="1864" t="s">
        <v>6063</v>
      </c>
      <c r="FH567" s="1628"/>
    </row>
    <row r="568" spans="1:176" s="1484" customFormat="1" ht="22.5" x14ac:dyDescent="0.25">
      <c r="A568" s="2033"/>
      <c r="B568" s="1631" t="s">
        <v>3204</v>
      </c>
      <c r="C568" s="2805" t="s">
        <v>8647</v>
      </c>
      <c r="D568" s="2805"/>
      <c r="E568" s="2805"/>
      <c r="F568" s="1683" t="s">
        <v>807</v>
      </c>
      <c r="G568" s="1655">
        <v>234.92</v>
      </c>
      <c r="H568" s="1641"/>
      <c r="I568" s="2035">
        <v>206.7296</v>
      </c>
      <c r="J568" s="1654">
        <v>8.74</v>
      </c>
      <c r="K568" s="1655">
        <v>1.25</v>
      </c>
      <c r="L568" s="1657">
        <v>2258.52</v>
      </c>
      <c r="M568" s="1641"/>
      <c r="N568" s="1681"/>
      <c r="EW568" s="2031"/>
      <c r="EX568" s="1619"/>
      <c r="EY568" s="1628"/>
      <c r="EZ568" s="1628"/>
      <c r="FA568" s="1628"/>
      <c r="FD568" s="1864" t="s">
        <v>8647</v>
      </c>
      <c r="FH568" s="1628"/>
    </row>
    <row r="569" spans="1:176" s="1484" customFormat="1" ht="15" x14ac:dyDescent="0.25">
      <c r="A569" s="2033"/>
      <c r="B569" s="1631" t="s">
        <v>5000</v>
      </c>
      <c r="C569" s="2805" t="s">
        <v>5001</v>
      </c>
      <c r="D569" s="2805"/>
      <c r="E569" s="2805"/>
      <c r="F569" s="1683" t="s">
        <v>4994</v>
      </c>
      <c r="G569" s="1655">
        <v>0.02</v>
      </c>
      <c r="H569" s="1641"/>
      <c r="I569" s="2035">
        <v>1.7600000000000001E-2</v>
      </c>
      <c r="J569" s="1654">
        <v>83.43</v>
      </c>
      <c r="K569" s="1641"/>
      <c r="L569" s="1654">
        <v>1.47</v>
      </c>
      <c r="M569" s="1641"/>
      <c r="N569" s="1681"/>
      <c r="EW569" s="2031"/>
      <c r="EX569" s="1619"/>
      <c r="EY569" s="1628"/>
      <c r="EZ569" s="1628"/>
      <c r="FA569" s="1628"/>
      <c r="FD569" s="1864" t="s">
        <v>5001</v>
      </c>
      <c r="FH569" s="1628"/>
    </row>
    <row r="570" spans="1:176" s="1484" customFormat="1" ht="22.5" x14ac:dyDescent="0.25">
      <c r="A570" s="2033"/>
      <c r="B570" s="1631" t="s">
        <v>817</v>
      </c>
      <c r="C570" s="2805" t="s">
        <v>818</v>
      </c>
      <c r="D570" s="2805"/>
      <c r="E570" s="2805"/>
      <c r="F570" s="1683" t="s">
        <v>4994</v>
      </c>
      <c r="G570" s="1655">
        <v>0.01</v>
      </c>
      <c r="H570" s="1641"/>
      <c r="I570" s="2035">
        <v>8.8000000000000005E-3</v>
      </c>
      <c r="J570" s="1654">
        <v>115.4</v>
      </c>
      <c r="K570" s="1641"/>
      <c r="L570" s="1654">
        <v>1.02</v>
      </c>
      <c r="M570" s="1641"/>
      <c r="N570" s="1681"/>
      <c r="EW570" s="2031"/>
      <c r="EX570" s="1619"/>
      <c r="EY570" s="1628"/>
      <c r="EZ570" s="1628"/>
      <c r="FA570" s="1628"/>
      <c r="FD570" s="1864" t="s">
        <v>818</v>
      </c>
      <c r="FH570" s="1628"/>
    </row>
    <row r="571" spans="1:176" s="1484" customFormat="1" ht="22.5" x14ac:dyDescent="0.25">
      <c r="A571" s="2033"/>
      <c r="B571" s="1631" t="s">
        <v>5016</v>
      </c>
      <c r="C571" s="2805" t="s">
        <v>5017</v>
      </c>
      <c r="D571" s="2805"/>
      <c r="E571" s="2805"/>
      <c r="F571" s="1683" t="s">
        <v>4994</v>
      </c>
      <c r="G571" s="1655">
        <v>1.69</v>
      </c>
      <c r="H571" s="1641"/>
      <c r="I571" s="2035">
        <v>1.4872000000000001</v>
      </c>
      <c r="J571" s="1654">
        <v>12.39</v>
      </c>
      <c r="K571" s="1641"/>
      <c r="L571" s="1654">
        <v>18.43</v>
      </c>
      <c r="M571" s="1641"/>
      <c r="N571" s="1681"/>
      <c r="EW571" s="2031"/>
      <c r="EX571" s="1619"/>
      <c r="EY571" s="1628"/>
      <c r="EZ571" s="1628"/>
      <c r="FA571" s="1628"/>
      <c r="FD571" s="1864" t="s">
        <v>5017</v>
      </c>
      <c r="FH571" s="1628"/>
    </row>
    <row r="572" spans="1:176" s="1484" customFormat="1" ht="15" x14ac:dyDescent="0.25">
      <c r="A572" s="2033"/>
      <c r="B572" s="1631" t="s">
        <v>821</v>
      </c>
      <c r="C572" s="2805" t="s">
        <v>822</v>
      </c>
      <c r="D572" s="2805"/>
      <c r="E572" s="2805"/>
      <c r="F572" s="1683" t="s">
        <v>4994</v>
      </c>
      <c r="G572" s="1655">
        <v>0.01</v>
      </c>
      <c r="H572" s="1641"/>
      <c r="I572" s="2035">
        <v>8.8000000000000005E-3</v>
      </c>
      <c r="J572" s="1654">
        <v>65.709999999999994</v>
      </c>
      <c r="K572" s="1641"/>
      <c r="L572" s="1654">
        <v>0.57999999999999996</v>
      </c>
      <c r="M572" s="1641"/>
      <c r="N572" s="1681"/>
      <c r="EW572" s="2031"/>
      <c r="EX572" s="1619"/>
      <c r="EY572" s="1628"/>
      <c r="EZ572" s="1628"/>
      <c r="FA572" s="1628"/>
      <c r="FD572" s="1864" t="s">
        <v>822</v>
      </c>
      <c r="FH572" s="1628"/>
    </row>
    <row r="573" spans="1:176" s="1484" customFormat="1" ht="15" x14ac:dyDescent="0.25">
      <c r="A573" s="2033"/>
      <c r="B573" s="1631" t="s">
        <v>1755</v>
      </c>
      <c r="C573" s="2805" t="s">
        <v>2634</v>
      </c>
      <c r="D573" s="2805"/>
      <c r="E573" s="2805"/>
      <c r="F573" s="1683" t="s">
        <v>832</v>
      </c>
      <c r="G573" s="1655">
        <v>0.44</v>
      </c>
      <c r="H573" s="1641"/>
      <c r="I573" s="2035">
        <v>0.38719999999999999</v>
      </c>
      <c r="J573" s="1654">
        <v>2.44</v>
      </c>
      <c r="K573" s="1641"/>
      <c r="L573" s="1654">
        <v>0.94</v>
      </c>
      <c r="M573" s="1641"/>
      <c r="N573" s="1681"/>
      <c r="EW573" s="2031"/>
      <c r="EX573" s="1619"/>
      <c r="EY573" s="1628"/>
      <c r="EZ573" s="1628"/>
      <c r="FA573" s="1628"/>
      <c r="FD573" s="1864" t="s">
        <v>2634</v>
      </c>
      <c r="FH573" s="1628"/>
    </row>
    <row r="574" spans="1:176" s="1484" customFormat="1" ht="33.75" x14ac:dyDescent="0.25">
      <c r="A574" s="2033"/>
      <c r="B574" s="1631" t="s">
        <v>4940</v>
      </c>
      <c r="C574" s="2805" t="s">
        <v>4941</v>
      </c>
      <c r="D574" s="2805"/>
      <c r="E574" s="2805"/>
      <c r="F574" s="1683" t="s">
        <v>801</v>
      </c>
      <c r="G574" s="2046">
        <v>8.9999999999999993E-3</v>
      </c>
      <c r="H574" s="1641"/>
      <c r="I574" s="2042">
        <v>7.92E-3</v>
      </c>
      <c r="J574" s="1657">
        <v>6513</v>
      </c>
      <c r="K574" s="1641"/>
      <c r="L574" s="1654">
        <v>51.58</v>
      </c>
      <c r="M574" s="1641"/>
      <c r="N574" s="1681"/>
      <c r="EW574" s="2031"/>
      <c r="EX574" s="1619"/>
      <c r="EY574" s="1628"/>
      <c r="EZ574" s="1628"/>
      <c r="FA574" s="1628"/>
      <c r="FD574" s="1864" t="s">
        <v>4941</v>
      </c>
      <c r="FH574" s="1628"/>
    </row>
    <row r="575" spans="1:176" s="1484" customFormat="1" ht="15" x14ac:dyDescent="0.25">
      <c r="A575" s="2032"/>
      <c r="B575" s="1631" t="s">
        <v>190</v>
      </c>
      <c r="C575" s="2805" t="s">
        <v>2523</v>
      </c>
      <c r="D575" s="2805"/>
      <c r="E575" s="2805"/>
      <c r="F575" s="1683"/>
      <c r="G575" s="1641"/>
      <c r="H575" s="1641"/>
      <c r="I575" s="1641"/>
      <c r="J575" s="1657">
        <v>2053.1999999999998</v>
      </c>
      <c r="K575" s="1655">
        <v>1.25</v>
      </c>
      <c r="L575" s="1657">
        <v>2258.52</v>
      </c>
      <c r="M575" s="1655">
        <v>35.75</v>
      </c>
      <c r="N575" s="1679">
        <v>80742.09</v>
      </c>
      <c r="EW575" s="2031"/>
      <c r="EX575" s="1619"/>
      <c r="EY575" s="1628"/>
      <c r="EZ575" s="1628"/>
      <c r="FA575" s="1628"/>
      <c r="FE575" s="1864" t="s">
        <v>2523</v>
      </c>
      <c r="FH575" s="1628"/>
    </row>
    <row r="576" spans="1:176" s="1484" customFormat="1" ht="15" x14ac:dyDescent="0.25">
      <c r="A576" s="2032"/>
      <c r="B576" s="1631" t="s">
        <v>639</v>
      </c>
      <c r="C576" s="2805" t="s">
        <v>697</v>
      </c>
      <c r="D576" s="2805"/>
      <c r="E576" s="2805"/>
      <c r="F576" s="1683"/>
      <c r="G576" s="1641"/>
      <c r="H576" s="1641"/>
      <c r="I576" s="1641"/>
      <c r="J576" s="1654">
        <v>24.42</v>
      </c>
      <c r="K576" s="1641"/>
      <c r="L576" s="1654">
        <v>21.49</v>
      </c>
      <c r="M576" s="1655">
        <v>11.97</v>
      </c>
      <c r="N576" s="2039">
        <v>257.24</v>
      </c>
      <c r="EW576" s="2031"/>
      <c r="EX576" s="1619"/>
      <c r="EY576" s="1628"/>
      <c r="EZ576" s="1628"/>
      <c r="FA576" s="1628"/>
      <c r="FE576" s="1864" t="s">
        <v>697</v>
      </c>
      <c r="FH576" s="1628"/>
    </row>
    <row r="577" spans="1:176" s="1484" customFormat="1" ht="15" x14ac:dyDescent="0.25">
      <c r="A577" s="2032"/>
      <c r="B577" s="1631" t="s">
        <v>640</v>
      </c>
      <c r="C577" s="2805" t="s">
        <v>2500</v>
      </c>
      <c r="D577" s="2805"/>
      <c r="E577" s="2805"/>
      <c r="F577" s="1683"/>
      <c r="G577" s="1641"/>
      <c r="H577" s="1641"/>
      <c r="I577" s="1641"/>
      <c r="J577" s="1654">
        <v>17.53</v>
      </c>
      <c r="K577" s="1641"/>
      <c r="L577" s="1654">
        <v>15.43</v>
      </c>
      <c r="M577" s="1655">
        <v>35.75</v>
      </c>
      <c r="N577" s="2039">
        <v>551.62</v>
      </c>
      <c r="EW577" s="2031"/>
      <c r="EX577" s="1619"/>
      <c r="EY577" s="1628"/>
      <c r="EZ577" s="1628"/>
      <c r="FA577" s="1628"/>
      <c r="FE577" s="1864" t="s">
        <v>2500</v>
      </c>
      <c r="FH577" s="1628"/>
    </row>
    <row r="578" spans="1:176" s="1484" customFormat="1" ht="15" x14ac:dyDescent="0.25">
      <c r="A578" s="2032"/>
      <c r="B578" s="1631" t="s">
        <v>232</v>
      </c>
      <c r="C578" s="2805" t="s">
        <v>829</v>
      </c>
      <c r="D578" s="2805"/>
      <c r="E578" s="2805"/>
      <c r="F578" s="1683"/>
      <c r="G578" s="1641"/>
      <c r="H578" s="1641"/>
      <c r="I578" s="1641"/>
      <c r="J578" s="1654">
        <v>59.69</v>
      </c>
      <c r="K578" s="1641"/>
      <c r="L578" s="1654">
        <v>52.53</v>
      </c>
      <c r="M578" s="1655">
        <v>9.14</v>
      </c>
      <c r="N578" s="2039">
        <v>480.12</v>
      </c>
      <c r="EW578" s="2031"/>
      <c r="EX578" s="1619"/>
      <c r="EY578" s="1628"/>
      <c r="EZ578" s="1628"/>
      <c r="FA578" s="1628"/>
      <c r="FE578" s="1864" t="s">
        <v>829</v>
      </c>
      <c r="FH578" s="1628"/>
    </row>
    <row r="579" spans="1:176" s="1484" customFormat="1" ht="15" x14ac:dyDescent="0.25">
      <c r="A579" s="2033"/>
      <c r="B579" s="1631"/>
      <c r="C579" s="2805" t="s">
        <v>2524</v>
      </c>
      <c r="D579" s="2805"/>
      <c r="E579" s="2805"/>
      <c r="F579" s="1683" t="s">
        <v>807</v>
      </c>
      <c r="G579" s="1655">
        <v>234.92</v>
      </c>
      <c r="H579" s="1641"/>
      <c r="I579" s="2035">
        <v>206.7296</v>
      </c>
      <c r="J579" s="1640"/>
      <c r="K579" s="1641"/>
      <c r="L579" s="1640"/>
      <c r="M579" s="1641"/>
      <c r="N579" s="1681"/>
      <c r="EW579" s="2031"/>
      <c r="EX579" s="1619"/>
      <c r="EY579" s="1628"/>
      <c r="EZ579" s="1628"/>
      <c r="FA579" s="1628"/>
      <c r="FF579" s="1864" t="s">
        <v>2524</v>
      </c>
      <c r="FH579" s="1628"/>
    </row>
    <row r="580" spans="1:176" s="1484" customFormat="1" ht="15" x14ac:dyDescent="0.25">
      <c r="A580" s="2033"/>
      <c r="B580" s="1631"/>
      <c r="C580" s="2805" t="s">
        <v>2501</v>
      </c>
      <c r="D580" s="2805"/>
      <c r="E580" s="2805"/>
      <c r="F580" s="1683" t="s">
        <v>807</v>
      </c>
      <c r="G580" s="1655">
        <v>1.73</v>
      </c>
      <c r="H580" s="1641"/>
      <c r="I580" s="2035">
        <v>1.5224</v>
      </c>
      <c r="J580" s="1640"/>
      <c r="K580" s="1641"/>
      <c r="L580" s="1640"/>
      <c r="M580" s="1641"/>
      <c r="N580" s="1681"/>
      <c r="EW580" s="2031"/>
      <c r="EX580" s="1619"/>
      <c r="EY580" s="1628"/>
      <c r="EZ580" s="1628"/>
      <c r="FA580" s="1628"/>
      <c r="FF580" s="1864" t="s">
        <v>2501</v>
      </c>
      <c r="FH580" s="1628"/>
    </row>
    <row r="581" spans="1:176" s="1484" customFormat="1" ht="15" x14ac:dyDescent="0.25">
      <c r="A581" s="2032"/>
      <c r="B581" s="1631"/>
      <c r="C581" s="2917" t="s">
        <v>2502</v>
      </c>
      <c r="D581" s="2917"/>
      <c r="E581" s="2917"/>
      <c r="F581" s="2036"/>
      <c r="G581" s="2037"/>
      <c r="H581" s="2037"/>
      <c r="I581" s="2037"/>
      <c r="J581" s="2038">
        <v>2137.31</v>
      </c>
      <c r="K581" s="2037"/>
      <c r="L581" s="2038">
        <v>2332.54</v>
      </c>
      <c r="M581" s="2037"/>
      <c r="N581" s="2068">
        <v>81479.45</v>
      </c>
      <c r="EW581" s="2031"/>
      <c r="EX581" s="1619"/>
      <c r="EY581" s="1628"/>
      <c r="EZ581" s="1628"/>
      <c r="FA581" s="1628"/>
      <c r="FG581" s="1864" t="s">
        <v>2502</v>
      </c>
      <c r="FH581" s="1628"/>
    </row>
    <row r="582" spans="1:176" s="1484" customFormat="1" ht="15" x14ac:dyDescent="0.25">
      <c r="A582" s="2033" t="s">
        <v>4464</v>
      </c>
      <c r="B582" s="1631"/>
      <c r="C582" s="2805" t="s">
        <v>7964</v>
      </c>
      <c r="D582" s="2805"/>
      <c r="E582" s="2805"/>
      <c r="F582" s="1683" t="s">
        <v>5928</v>
      </c>
      <c r="G582" s="1641"/>
      <c r="H582" s="1641"/>
      <c r="I582" s="1641"/>
      <c r="J582" s="1640"/>
      <c r="K582" s="1641"/>
      <c r="L582" s="1654">
        <v>3.86</v>
      </c>
      <c r="M582" s="1641"/>
      <c r="N582" s="2039">
        <v>138</v>
      </c>
      <c r="EW582" s="2031"/>
      <c r="EX582" s="1619"/>
      <c r="EY582" s="1628"/>
      <c r="EZ582" s="1628"/>
      <c r="FA582" s="1628"/>
      <c r="FF582" s="1864" t="s">
        <v>7964</v>
      </c>
      <c r="FH582" s="1628"/>
    </row>
    <row r="583" spans="1:176" s="1484" customFormat="1" ht="15" x14ac:dyDescent="0.25">
      <c r="A583" s="2033"/>
      <c r="B583" s="1631"/>
      <c r="C583" s="2805" t="s">
        <v>7965</v>
      </c>
      <c r="D583" s="2805"/>
      <c r="E583" s="2805"/>
      <c r="F583" s="1683" t="s">
        <v>5928</v>
      </c>
      <c r="G583" s="1641"/>
      <c r="H583" s="1641"/>
      <c r="I583" s="1641"/>
      <c r="J583" s="1654">
        <v>17.53</v>
      </c>
      <c r="K583" s="1655">
        <v>0.25</v>
      </c>
      <c r="L583" s="1654">
        <v>3.86</v>
      </c>
      <c r="M583" s="1655">
        <v>35.75</v>
      </c>
      <c r="N583" s="2039">
        <v>138</v>
      </c>
      <c r="EW583" s="2031"/>
      <c r="EX583" s="1619"/>
      <c r="EY583" s="1628"/>
      <c r="EZ583" s="1628"/>
      <c r="FA583" s="1628"/>
      <c r="FF583" s="1864" t="s">
        <v>7965</v>
      </c>
      <c r="FH583" s="1628"/>
    </row>
    <row r="584" spans="1:176" s="1484" customFormat="1" ht="15" x14ac:dyDescent="0.25">
      <c r="A584" s="2033"/>
      <c r="B584" s="1631"/>
      <c r="C584" s="2805" t="s">
        <v>867</v>
      </c>
      <c r="D584" s="2805"/>
      <c r="E584" s="2805"/>
      <c r="F584" s="1683"/>
      <c r="G584" s="1641"/>
      <c r="H584" s="1641"/>
      <c r="I584" s="1641"/>
      <c r="J584" s="1640"/>
      <c r="K584" s="1641"/>
      <c r="L584" s="1657">
        <v>2277.81</v>
      </c>
      <c r="M584" s="1641"/>
      <c r="N584" s="1679">
        <v>81431.710000000006</v>
      </c>
      <c r="EW584" s="2031"/>
      <c r="EX584" s="1619"/>
      <c r="EY584" s="1628"/>
      <c r="EZ584" s="1628"/>
      <c r="FA584" s="1628"/>
      <c r="FF584" s="1864" t="s">
        <v>867</v>
      </c>
      <c r="FH584" s="1628"/>
    </row>
    <row r="585" spans="1:176" s="1484" customFormat="1" ht="15" x14ac:dyDescent="0.25">
      <c r="A585" s="2033"/>
      <c r="B585" s="1631" t="s">
        <v>8054</v>
      </c>
      <c r="C585" s="2805" t="s">
        <v>8055</v>
      </c>
      <c r="D585" s="2805"/>
      <c r="E585" s="2805"/>
      <c r="F585" s="1683" t="s">
        <v>636</v>
      </c>
      <c r="G585" s="2034">
        <v>112</v>
      </c>
      <c r="H585" s="1641"/>
      <c r="I585" s="2034">
        <v>112</v>
      </c>
      <c r="J585" s="1640"/>
      <c r="K585" s="1641"/>
      <c r="L585" s="1657">
        <v>2551.15</v>
      </c>
      <c r="M585" s="1641"/>
      <c r="N585" s="1679">
        <v>91203.520000000004</v>
      </c>
      <c r="EW585" s="2031"/>
      <c r="EX585" s="1619"/>
      <c r="EY585" s="1628"/>
      <c r="EZ585" s="1628"/>
      <c r="FA585" s="1628"/>
      <c r="FF585" s="1864" t="s">
        <v>8055</v>
      </c>
      <c r="FH585" s="1628"/>
    </row>
    <row r="586" spans="1:176" s="1484" customFormat="1" ht="15" x14ac:dyDescent="0.25">
      <c r="A586" s="2033"/>
      <c r="B586" s="1631" t="s">
        <v>8056</v>
      </c>
      <c r="C586" s="2805" t="s">
        <v>8057</v>
      </c>
      <c r="D586" s="2805"/>
      <c r="E586" s="2805"/>
      <c r="F586" s="1683" t="s">
        <v>636</v>
      </c>
      <c r="G586" s="2034">
        <v>65</v>
      </c>
      <c r="H586" s="1641"/>
      <c r="I586" s="2034">
        <v>65</v>
      </c>
      <c r="J586" s="1640"/>
      <c r="K586" s="1641"/>
      <c r="L586" s="1657">
        <v>1480.58</v>
      </c>
      <c r="M586" s="1641"/>
      <c r="N586" s="1679">
        <v>52930.61</v>
      </c>
      <c r="EW586" s="2031"/>
      <c r="EX586" s="1619"/>
      <c r="EY586" s="1628"/>
      <c r="EZ586" s="1628"/>
      <c r="FA586" s="1628"/>
      <c r="FF586" s="1864" t="s">
        <v>8057</v>
      </c>
      <c r="FH586" s="1628"/>
    </row>
    <row r="587" spans="1:176" s="1484" customFormat="1" ht="15" x14ac:dyDescent="0.25">
      <c r="A587" s="1650"/>
      <c r="B587" s="1651"/>
      <c r="C587" s="2803" t="s">
        <v>872</v>
      </c>
      <c r="D587" s="2803"/>
      <c r="E587" s="2803"/>
      <c r="F587" s="1621"/>
      <c r="G587" s="1622"/>
      <c r="H587" s="1622"/>
      <c r="I587" s="1622"/>
      <c r="J587" s="1625"/>
      <c r="K587" s="1622"/>
      <c r="L587" s="1648">
        <v>6368.13</v>
      </c>
      <c r="M587" s="2037"/>
      <c r="N587" s="1649">
        <v>225751.58</v>
      </c>
      <c r="EW587" s="2031"/>
      <c r="EX587" s="1619"/>
      <c r="EY587" s="1628"/>
      <c r="EZ587" s="1628"/>
      <c r="FA587" s="1628"/>
      <c r="FH587" s="1628" t="s">
        <v>872</v>
      </c>
    </row>
    <row r="588" spans="1:176" s="1484" customFormat="1" ht="15" x14ac:dyDescent="0.25">
      <c r="A588" s="1620" t="s">
        <v>656</v>
      </c>
      <c r="B588" s="1863" t="s">
        <v>8058</v>
      </c>
      <c r="C588" s="2803" t="s">
        <v>8059</v>
      </c>
      <c r="D588" s="2803"/>
      <c r="E588" s="2803"/>
      <c r="F588" s="1621" t="s">
        <v>130</v>
      </c>
      <c r="G588" s="1622">
        <v>89.76</v>
      </c>
      <c r="H588" s="1623">
        <v>1</v>
      </c>
      <c r="I588" s="1687">
        <v>89.76</v>
      </c>
      <c r="J588" s="2040">
        <v>47.83</v>
      </c>
      <c r="K588" s="1622"/>
      <c r="L588" s="1648">
        <v>4293.22</v>
      </c>
      <c r="M588" s="1687">
        <v>9.14</v>
      </c>
      <c r="N588" s="1649">
        <v>39240.03</v>
      </c>
      <c r="EW588" s="2031"/>
      <c r="EX588" s="1619"/>
      <c r="EY588" s="1628" t="s">
        <v>8059</v>
      </c>
      <c r="EZ588" s="1628" t="s">
        <v>588</v>
      </c>
      <c r="FA588" s="1628" t="s">
        <v>588</v>
      </c>
      <c r="FH588" s="1628"/>
    </row>
    <row r="589" spans="1:176" s="1484" customFormat="1" ht="15" x14ac:dyDescent="0.25">
      <c r="A589" s="1650"/>
      <c r="B589" s="1651"/>
      <c r="C589" s="2805" t="s">
        <v>8640</v>
      </c>
      <c r="D589" s="2805"/>
      <c r="E589" s="2805"/>
      <c r="F589" s="2805"/>
      <c r="G589" s="2805"/>
      <c r="H589" s="2805"/>
      <c r="I589" s="2805"/>
      <c r="J589" s="2805"/>
      <c r="K589" s="2805"/>
      <c r="L589" s="2805"/>
      <c r="M589" s="2805"/>
      <c r="N589" s="2806"/>
      <c r="EW589" s="2031"/>
      <c r="EX589" s="1619"/>
      <c r="EY589" s="1628"/>
      <c r="EZ589" s="1628"/>
      <c r="FA589" s="1628"/>
      <c r="FH589" s="1628"/>
      <c r="FI589" s="1864" t="s">
        <v>8640</v>
      </c>
      <c r="FJ589" s="1864" t="s">
        <v>588</v>
      </c>
      <c r="FK589" s="1864" t="s">
        <v>588</v>
      </c>
      <c r="FL589" s="1864" t="s">
        <v>588</v>
      </c>
      <c r="FM589" s="1864" t="s">
        <v>588</v>
      </c>
      <c r="FN589" s="1864" t="s">
        <v>588</v>
      </c>
      <c r="FO589" s="1864" t="s">
        <v>588</v>
      </c>
      <c r="FP589" s="1864" t="s">
        <v>588</v>
      </c>
      <c r="FQ589" s="1864" t="s">
        <v>588</v>
      </c>
      <c r="FR589" s="1864" t="s">
        <v>588</v>
      </c>
      <c r="FS589" s="1864" t="s">
        <v>588</v>
      </c>
      <c r="FT589" s="1864" t="s">
        <v>588</v>
      </c>
    </row>
    <row r="590" spans="1:176" s="1484" customFormat="1" ht="15" x14ac:dyDescent="0.25">
      <c r="A590" s="1629"/>
      <c r="B590" s="1862"/>
      <c r="C590" s="2805" t="s">
        <v>8897</v>
      </c>
      <c r="D590" s="2805"/>
      <c r="E590" s="2805"/>
      <c r="F590" s="2805"/>
      <c r="G590" s="2805"/>
      <c r="H590" s="2805"/>
      <c r="I590" s="2805"/>
      <c r="J590" s="2805"/>
      <c r="K590" s="2805"/>
      <c r="L590" s="2805"/>
      <c r="M590" s="2805"/>
      <c r="N590" s="2806"/>
      <c r="EW590" s="2031"/>
      <c r="EX590" s="1619"/>
      <c r="EY590" s="1628"/>
      <c r="EZ590" s="1628"/>
      <c r="FA590" s="1628"/>
      <c r="FB590" s="1864" t="s">
        <v>8897</v>
      </c>
      <c r="FH590" s="1628"/>
    </row>
    <row r="591" spans="1:176" s="1484" customFormat="1" ht="15" x14ac:dyDescent="0.25">
      <c r="A591" s="1650"/>
      <c r="B591" s="1651"/>
      <c r="C591" s="2803" t="s">
        <v>872</v>
      </c>
      <c r="D591" s="2803"/>
      <c r="E591" s="2803"/>
      <c r="F591" s="1621"/>
      <c r="G591" s="1622"/>
      <c r="H591" s="1622"/>
      <c r="I591" s="1622"/>
      <c r="J591" s="1625"/>
      <c r="K591" s="1622"/>
      <c r="L591" s="1648">
        <v>4293.22</v>
      </c>
      <c r="M591" s="2037"/>
      <c r="N591" s="1649">
        <v>39240.03</v>
      </c>
      <c r="EW591" s="2031"/>
      <c r="EX591" s="1619"/>
      <c r="EY591" s="1628"/>
      <c r="EZ591" s="1628"/>
      <c r="FA591" s="1628"/>
      <c r="FH591" s="1628" t="s">
        <v>872</v>
      </c>
    </row>
    <row r="592" spans="1:176" s="1484" customFormat="1" ht="15" x14ac:dyDescent="0.25">
      <c r="A592" s="1620" t="s">
        <v>657</v>
      </c>
      <c r="B592" s="1863" t="s">
        <v>8060</v>
      </c>
      <c r="C592" s="2803" t="s">
        <v>8061</v>
      </c>
      <c r="D592" s="2803"/>
      <c r="E592" s="2803"/>
      <c r="F592" s="1621" t="s">
        <v>835</v>
      </c>
      <c r="G592" s="1622">
        <v>387.2</v>
      </c>
      <c r="H592" s="1623">
        <v>1</v>
      </c>
      <c r="I592" s="1624">
        <v>387.2</v>
      </c>
      <c r="J592" s="2040">
        <v>1.37</v>
      </c>
      <c r="K592" s="1622"/>
      <c r="L592" s="2040">
        <v>530.46</v>
      </c>
      <c r="M592" s="1687">
        <v>9.14</v>
      </c>
      <c r="N592" s="1649">
        <v>4848.3999999999996</v>
      </c>
      <c r="EW592" s="2031"/>
      <c r="EX592" s="1619"/>
      <c r="EY592" s="1628" t="s">
        <v>8061</v>
      </c>
      <c r="EZ592" s="1628" t="s">
        <v>588</v>
      </c>
      <c r="FA592" s="1628" t="s">
        <v>588</v>
      </c>
      <c r="FH592" s="1628"/>
    </row>
    <row r="593" spans="1:176" s="1484" customFormat="1" ht="15" x14ac:dyDescent="0.25">
      <c r="A593" s="1650"/>
      <c r="B593" s="1651"/>
      <c r="C593" s="2805" t="s">
        <v>8640</v>
      </c>
      <c r="D593" s="2805"/>
      <c r="E593" s="2805"/>
      <c r="F593" s="2805"/>
      <c r="G593" s="2805"/>
      <c r="H593" s="2805"/>
      <c r="I593" s="2805"/>
      <c r="J593" s="2805"/>
      <c r="K593" s="2805"/>
      <c r="L593" s="2805"/>
      <c r="M593" s="2805"/>
      <c r="N593" s="2806"/>
      <c r="EW593" s="2031"/>
      <c r="EX593" s="1619"/>
      <c r="EY593" s="1628"/>
      <c r="EZ593" s="1628"/>
      <c r="FA593" s="1628"/>
      <c r="FH593" s="1628"/>
      <c r="FI593" s="1864" t="s">
        <v>8640</v>
      </c>
      <c r="FJ593" s="1864" t="s">
        <v>588</v>
      </c>
      <c r="FK593" s="1864" t="s">
        <v>588</v>
      </c>
      <c r="FL593" s="1864" t="s">
        <v>588</v>
      </c>
      <c r="FM593" s="1864" t="s">
        <v>588</v>
      </c>
      <c r="FN593" s="1864" t="s">
        <v>588</v>
      </c>
      <c r="FO593" s="1864" t="s">
        <v>588</v>
      </c>
      <c r="FP593" s="1864" t="s">
        <v>588</v>
      </c>
      <c r="FQ593" s="1864" t="s">
        <v>588</v>
      </c>
      <c r="FR593" s="1864" t="s">
        <v>588</v>
      </c>
      <c r="FS593" s="1864" t="s">
        <v>588</v>
      </c>
      <c r="FT593" s="1864" t="s">
        <v>588</v>
      </c>
    </row>
    <row r="594" spans="1:176" s="1484" customFormat="1" ht="15" x14ac:dyDescent="0.25">
      <c r="A594" s="1629"/>
      <c r="B594" s="1862"/>
      <c r="C594" s="2805" t="s">
        <v>8896</v>
      </c>
      <c r="D594" s="2805"/>
      <c r="E594" s="2805"/>
      <c r="F594" s="2805"/>
      <c r="G594" s="2805"/>
      <c r="H594" s="2805"/>
      <c r="I594" s="2805"/>
      <c r="J594" s="2805"/>
      <c r="K594" s="2805"/>
      <c r="L594" s="2805"/>
      <c r="M594" s="2805"/>
      <c r="N594" s="2806"/>
      <c r="EW594" s="2031"/>
      <c r="EX594" s="1619"/>
      <c r="EY594" s="1628"/>
      <c r="EZ594" s="1628"/>
      <c r="FA594" s="1628"/>
      <c r="FB594" s="1864" t="s">
        <v>8896</v>
      </c>
      <c r="FH594" s="1628"/>
    </row>
    <row r="595" spans="1:176" s="1484" customFormat="1" ht="15" x14ac:dyDescent="0.25">
      <c r="A595" s="1650"/>
      <c r="B595" s="1651"/>
      <c r="C595" s="2803" t="s">
        <v>872</v>
      </c>
      <c r="D595" s="2803"/>
      <c r="E595" s="2803"/>
      <c r="F595" s="1621"/>
      <c r="G595" s="1622"/>
      <c r="H595" s="1622"/>
      <c r="I595" s="1622"/>
      <c r="J595" s="1625"/>
      <c r="K595" s="1622"/>
      <c r="L595" s="2040">
        <v>530.46</v>
      </c>
      <c r="M595" s="2037"/>
      <c r="N595" s="1649">
        <v>4848.3999999999996</v>
      </c>
      <c r="EW595" s="2031"/>
      <c r="EX595" s="1619"/>
      <c r="EY595" s="1628"/>
      <c r="EZ595" s="1628"/>
      <c r="FA595" s="1628"/>
      <c r="FH595" s="1628" t="s">
        <v>872</v>
      </c>
    </row>
    <row r="596" spans="1:176" s="1484" customFormat="1" ht="33.75" x14ac:dyDescent="0.25">
      <c r="A596" s="1620" t="s">
        <v>658</v>
      </c>
      <c r="B596" s="1863" t="s">
        <v>8062</v>
      </c>
      <c r="C596" s="2803" t="s">
        <v>4978</v>
      </c>
      <c r="D596" s="2803"/>
      <c r="E596" s="2803"/>
      <c r="F596" s="1621" t="s">
        <v>835</v>
      </c>
      <c r="G596" s="1622">
        <v>8.8000000000000007</v>
      </c>
      <c r="H596" s="1623">
        <v>1</v>
      </c>
      <c r="I596" s="1624">
        <v>8.8000000000000007</v>
      </c>
      <c r="J596" s="2040">
        <v>13.08</v>
      </c>
      <c r="K596" s="1622"/>
      <c r="L596" s="2040">
        <v>115.1</v>
      </c>
      <c r="M596" s="1687">
        <v>9.14</v>
      </c>
      <c r="N596" s="1649">
        <v>1052.01</v>
      </c>
      <c r="EW596" s="2031"/>
      <c r="EX596" s="1619"/>
      <c r="EY596" s="1628" t="s">
        <v>4978</v>
      </c>
      <c r="EZ596" s="1628" t="s">
        <v>588</v>
      </c>
      <c r="FA596" s="1628" t="s">
        <v>588</v>
      </c>
      <c r="FH596" s="1628"/>
    </row>
    <row r="597" spans="1:176" s="1484" customFormat="1" ht="15" x14ac:dyDescent="0.25">
      <c r="A597" s="1650"/>
      <c r="B597" s="1651"/>
      <c r="C597" s="2805" t="s">
        <v>8640</v>
      </c>
      <c r="D597" s="2805"/>
      <c r="E597" s="2805"/>
      <c r="F597" s="2805"/>
      <c r="G597" s="2805"/>
      <c r="H597" s="2805"/>
      <c r="I597" s="2805"/>
      <c r="J597" s="2805"/>
      <c r="K597" s="2805"/>
      <c r="L597" s="2805"/>
      <c r="M597" s="2805"/>
      <c r="N597" s="2806"/>
      <c r="EW597" s="2031"/>
      <c r="EX597" s="1619"/>
      <c r="EY597" s="1628"/>
      <c r="EZ597" s="1628"/>
      <c r="FA597" s="1628"/>
      <c r="FH597" s="1628"/>
      <c r="FI597" s="1864" t="s">
        <v>8640</v>
      </c>
      <c r="FJ597" s="1864" t="s">
        <v>588</v>
      </c>
      <c r="FK597" s="1864" t="s">
        <v>588</v>
      </c>
      <c r="FL597" s="1864" t="s">
        <v>588</v>
      </c>
      <c r="FM597" s="1864" t="s">
        <v>588</v>
      </c>
      <c r="FN597" s="1864" t="s">
        <v>588</v>
      </c>
      <c r="FO597" s="1864" t="s">
        <v>588</v>
      </c>
      <c r="FP597" s="1864" t="s">
        <v>588</v>
      </c>
      <c r="FQ597" s="1864" t="s">
        <v>588</v>
      </c>
      <c r="FR597" s="1864" t="s">
        <v>588</v>
      </c>
      <c r="FS597" s="1864" t="s">
        <v>588</v>
      </c>
      <c r="FT597" s="1864" t="s">
        <v>588</v>
      </c>
    </row>
    <row r="598" spans="1:176" s="1484" customFormat="1" ht="15" x14ac:dyDescent="0.25">
      <c r="A598" s="1629"/>
      <c r="B598" s="1862"/>
      <c r="C598" s="2805" t="s">
        <v>8895</v>
      </c>
      <c r="D598" s="2805"/>
      <c r="E598" s="2805"/>
      <c r="F598" s="2805"/>
      <c r="G598" s="2805"/>
      <c r="H598" s="2805"/>
      <c r="I598" s="2805"/>
      <c r="J598" s="2805"/>
      <c r="K598" s="2805"/>
      <c r="L598" s="2805"/>
      <c r="M598" s="2805"/>
      <c r="N598" s="2806"/>
      <c r="EW598" s="2031"/>
      <c r="EX598" s="1619"/>
      <c r="EY598" s="1628"/>
      <c r="EZ598" s="1628"/>
      <c r="FA598" s="1628"/>
      <c r="FB598" s="1864" t="s">
        <v>8895</v>
      </c>
      <c r="FH598" s="1628"/>
    </row>
    <row r="599" spans="1:176" s="1484" customFormat="1" ht="15" x14ac:dyDescent="0.25">
      <c r="A599" s="1650"/>
      <c r="B599" s="1651"/>
      <c r="C599" s="2803" t="s">
        <v>872</v>
      </c>
      <c r="D599" s="2803"/>
      <c r="E599" s="2803"/>
      <c r="F599" s="1621"/>
      <c r="G599" s="1622"/>
      <c r="H599" s="1622"/>
      <c r="I599" s="1622"/>
      <c r="J599" s="1625"/>
      <c r="K599" s="1622"/>
      <c r="L599" s="2040">
        <v>115.1</v>
      </c>
      <c r="M599" s="2037"/>
      <c r="N599" s="1649">
        <v>1052.01</v>
      </c>
      <c r="EW599" s="2031"/>
      <c r="EX599" s="1619"/>
      <c r="EY599" s="1628"/>
      <c r="EZ599" s="1628"/>
      <c r="FA599" s="1628"/>
      <c r="FH599" s="1628" t="s">
        <v>872</v>
      </c>
    </row>
    <row r="600" spans="1:176" s="1484" customFormat="1" ht="15" x14ac:dyDescent="0.25">
      <c r="A600" s="2811" t="s">
        <v>8063</v>
      </c>
      <c r="B600" s="2812"/>
      <c r="C600" s="2812"/>
      <c r="D600" s="2812"/>
      <c r="E600" s="2812"/>
      <c r="F600" s="2812"/>
      <c r="G600" s="2812"/>
      <c r="H600" s="2812"/>
      <c r="I600" s="2812"/>
      <c r="J600" s="2812"/>
      <c r="K600" s="2812"/>
      <c r="L600" s="2812"/>
      <c r="M600" s="2812"/>
      <c r="N600" s="2813"/>
      <c r="EW600" s="2031"/>
      <c r="EX600" s="1619" t="s">
        <v>8063</v>
      </c>
      <c r="EY600" s="1628"/>
      <c r="EZ600" s="1628"/>
      <c r="FA600" s="1628"/>
      <c r="FH600" s="1628"/>
    </row>
    <row r="601" spans="1:176" s="1484" customFormat="1" ht="56.25" x14ac:dyDescent="0.25">
      <c r="A601" s="1620" t="s">
        <v>8064</v>
      </c>
      <c r="B601" s="1863" t="s">
        <v>7990</v>
      </c>
      <c r="C601" s="2803" t="s">
        <v>7991</v>
      </c>
      <c r="D601" s="2803"/>
      <c r="E601" s="2803"/>
      <c r="F601" s="1621" t="s">
        <v>2555</v>
      </c>
      <c r="G601" s="1622">
        <v>0.58899999999999997</v>
      </c>
      <c r="H601" s="1623">
        <v>1</v>
      </c>
      <c r="I601" s="2045">
        <v>0.58899999999999997</v>
      </c>
      <c r="J601" s="1625"/>
      <c r="K601" s="1622"/>
      <c r="L601" s="1625"/>
      <c r="M601" s="1622"/>
      <c r="N601" s="1627"/>
      <c r="EW601" s="2031"/>
      <c r="EX601" s="1619"/>
      <c r="EY601" s="1628" t="s">
        <v>7991</v>
      </c>
      <c r="EZ601" s="1628" t="s">
        <v>588</v>
      </c>
      <c r="FA601" s="1628" t="s">
        <v>588</v>
      </c>
      <c r="FH601" s="1628"/>
    </row>
    <row r="602" spans="1:176" s="1484" customFormat="1" ht="15" x14ac:dyDescent="0.25">
      <c r="A602" s="1629"/>
      <c r="B602" s="1862"/>
      <c r="C602" s="2805" t="s">
        <v>8894</v>
      </c>
      <c r="D602" s="2805"/>
      <c r="E602" s="2805"/>
      <c r="F602" s="2805"/>
      <c r="G602" s="2805"/>
      <c r="H602" s="2805"/>
      <c r="I602" s="2805"/>
      <c r="J602" s="2805"/>
      <c r="K602" s="2805"/>
      <c r="L602" s="2805"/>
      <c r="M602" s="2805"/>
      <c r="N602" s="2806"/>
      <c r="EW602" s="2031"/>
      <c r="EX602" s="1619"/>
      <c r="EY602" s="1628"/>
      <c r="EZ602" s="1628"/>
      <c r="FA602" s="1628"/>
      <c r="FB602" s="1864" t="s">
        <v>8894</v>
      </c>
      <c r="FH602" s="1628"/>
    </row>
    <row r="603" spans="1:176" s="1484" customFormat="1" ht="22.5" x14ac:dyDescent="0.25">
      <c r="A603" s="1630"/>
      <c r="B603" s="1631" t="s">
        <v>6062</v>
      </c>
      <c r="C603" s="2809" t="s">
        <v>6063</v>
      </c>
      <c r="D603" s="2809"/>
      <c r="E603" s="2809"/>
      <c r="F603" s="2809"/>
      <c r="G603" s="2809"/>
      <c r="H603" s="2809"/>
      <c r="I603" s="2809"/>
      <c r="J603" s="2809"/>
      <c r="K603" s="2809"/>
      <c r="L603" s="2809"/>
      <c r="M603" s="2809"/>
      <c r="N603" s="2810"/>
      <c r="EW603" s="2031"/>
      <c r="EX603" s="1619"/>
      <c r="EY603" s="1628"/>
      <c r="EZ603" s="1628"/>
      <c r="FA603" s="1628"/>
      <c r="FC603" s="1864" t="s">
        <v>6063</v>
      </c>
      <c r="FH603" s="1628"/>
    </row>
    <row r="604" spans="1:176" s="1484" customFormat="1" ht="22.5" x14ac:dyDescent="0.25">
      <c r="A604" s="2033"/>
      <c r="B604" s="1631" t="s">
        <v>3260</v>
      </c>
      <c r="C604" s="2805" t="s">
        <v>8636</v>
      </c>
      <c r="D604" s="2805"/>
      <c r="E604" s="2805"/>
      <c r="F604" s="1683" t="s">
        <v>807</v>
      </c>
      <c r="G604" s="1655">
        <v>106.19</v>
      </c>
      <c r="H604" s="1641"/>
      <c r="I604" s="2042">
        <v>62.545909999999999</v>
      </c>
      <c r="J604" s="1654">
        <v>9.18</v>
      </c>
      <c r="K604" s="1655">
        <v>1.25</v>
      </c>
      <c r="L604" s="1654">
        <v>717.71</v>
      </c>
      <c r="M604" s="1641"/>
      <c r="N604" s="1681"/>
      <c r="EW604" s="2031"/>
      <c r="EX604" s="1619"/>
      <c r="EY604" s="1628"/>
      <c r="EZ604" s="1628"/>
      <c r="FA604" s="1628"/>
      <c r="FD604" s="1864" t="s">
        <v>8636</v>
      </c>
      <c r="FH604" s="1628"/>
    </row>
    <row r="605" spans="1:176" s="1484" customFormat="1" ht="22.5" x14ac:dyDescent="0.25">
      <c r="A605" s="2033"/>
      <c r="B605" s="1631" t="s">
        <v>817</v>
      </c>
      <c r="C605" s="2805" t="s">
        <v>818</v>
      </c>
      <c r="D605" s="2805"/>
      <c r="E605" s="2805"/>
      <c r="F605" s="1683" t="s">
        <v>4994</v>
      </c>
      <c r="G605" s="1655">
        <v>0.27</v>
      </c>
      <c r="H605" s="1641"/>
      <c r="I605" s="2042">
        <v>0.15903</v>
      </c>
      <c r="J605" s="1654">
        <v>115.4</v>
      </c>
      <c r="K605" s="1641"/>
      <c r="L605" s="1654">
        <v>18.350000000000001</v>
      </c>
      <c r="M605" s="1641"/>
      <c r="N605" s="1681"/>
      <c r="EW605" s="2031"/>
      <c r="EX605" s="1619"/>
      <c r="EY605" s="1628"/>
      <c r="EZ605" s="1628"/>
      <c r="FA605" s="1628"/>
      <c r="FD605" s="1864" t="s">
        <v>818</v>
      </c>
      <c r="FH605" s="1628"/>
    </row>
    <row r="606" spans="1:176" s="1484" customFormat="1" ht="15" x14ac:dyDescent="0.25">
      <c r="A606" s="2033"/>
      <c r="B606" s="1631" t="s">
        <v>821</v>
      </c>
      <c r="C606" s="2805" t="s">
        <v>822</v>
      </c>
      <c r="D606" s="2805"/>
      <c r="E606" s="2805"/>
      <c r="F606" s="1683" t="s">
        <v>4994</v>
      </c>
      <c r="G606" s="1655">
        <v>0.37</v>
      </c>
      <c r="H606" s="1641"/>
      <c r="I606" s="2042">
        <v>0.21793000000000001</v>
      </c>
      <c r="J606" s="1654">
        <v>65.709999999999994</v>
      </c>
      <c r="K606" s="1641"/>
      <c r="L606" s="1654">
        <v>14.32</v>
      </c>
      <c r="M606" s="1641"/>
      <c r="N606" s="1681"/>
      <c r="EW606" s="2031"/>
      <c r="EX606" s="1619"/>
      <c r="EY606" s="1628"/>
      <c r="EZ606" s="1628"/>
      <c r="FA606" s="1628"/>
      <c r="FD606" s="1864" t="s">
        <v>822</v>
      </c>
      <c r="FH606" s="1628"/>
    </row>
    <row r="607" spans="1:176" s="1484" customFormat="1" ht="15" x14ac:dyDescent="0.25">
      <c r="A607" s="2033"/>
      <c r="B607" s="1631" t="s">
        <v>4907</v>
      </c>
      <c r="C607" s="2805" t="s">
        <v>8890</v>
      </c>
      <c r="D607" s="2805"/>
      <c r="E607" s="2805"/>
      <c r="F607" s="1683" t="s">
        <v>4865</v>
      </c>
      <c r="G607" s="2034">
        <v>7</v>
      </c>
      <c r="H607" s="1641"/>
      <c r="I607" s="2046">
        <v>4.1230000000000002</v>
      </c>
      <c r="J607" s="1654">
        <v>118</v>
      </c>
      <c r="K607" s="1641"/>
      <c r="L607" s="1654">
        <v>486.51</v>
      </c>
      <c r="M607" s="1641"/>
      <c r="N607" s="1681"/>
      <c r="EW607" s="2031"/>
      <c r="EX607" s="1619"/>
      <c r="EY607" s="1628"/>
      <c r="EZ607" s="1628"/>
      <c r="FA607" s="1628"/>
      <c r="FD607" s="1864" t="s">
        <v>8890</v>
      </c>
      <c r="FH607" s="1628"/>
    </row>
    <row r="608" spans="1:176" s="1484" customFormat="1" ht="15" x14ac:dyDescent="0.25">
      <c r="A608" s="2033"/>
      <c r="B608" s="1631" t="s">
        <v>4910</v>
      </c>
      <c r="C608" s="2805" t="s">
        <v>8889</v>
      </c>
      <c r="D608" s="2805"/>
      <c r="E608" s="2805"/>
      <c r="F608" s="1683" t="s">
        <v>4865</v>
      </c>
      <c r="G608" s="2034">
        <v>29</v>
      </c>
      <c r="H608" s="1641"/>
      <c r="I608" s="2046">
        <v>17.081</v>
      </c>
      <c r="J608" s="1654">
        <v>10</v>
      </c>
      <c r="K608" s="1641"/>
      <c r="L608" s="1654">
        <v>170.81</v>
      </c>
      <c r="M608" s="1641"/>
      <c r="N608" s="1681"/>
      <c r="EW608" s="2031"/>
      <c r="EX608" s="1619"/>
      <c r="EY608" s="1628"/>
      <c r="EZ608" s="1628"/>
      <c r="FA608" s="1628"/>
      <c r="FD608" s="1864" t="s">
        <v>8889</v>
      </c>
      <c r="FH608" s="1628"/>
    </row>
    <row r="609" spans="1:164" s="1484" customFormat="1" ht="33.75" x14ac:dyDescent="0.25">
      <c r="A609" s="2033"/>
      <c r="B609" s="1631" t="s">
        <v>4943</v>
      </c>
      <c r="C609" s="2805" t="s">
        <v>8888</v>
      </c>
      <c r="D609" s="2805"/>
      <c r="E609" s="2805"/>
      <c r="F609" s="1683" t="s">
        <v>2647</v>
      </c>
      <c r="G609" s="2034">
        <v>200</v>
      </c>
      <c r="H609" s="1641"/>
      <c r="I609" s="1953">
        <v>117.8</v>
      </c>
      <c r="J609" s="1654">
        <v>6.91</v>
      </c>
      <c r="K609" s="1641"/>
      <c r="L609" s="1654">
        <v>814</v>
      </c>
      <c r="M609" s="1641"/>
      <c r="N609" s="1681"/>
      <c r="EW609" s="2031"/>
      <c r="EX609" s="1619"/>
      <c r="EY609" s="1628"/>
      <c r="EZ609" s="1628"/>
      <c r="FA609" s="1628"/>
      <c r="FD609" s="1864" t="s">
        <v>8888</v>
      </c>
      <c r="FH609" s="1628"/>
    </row>
    <row r="610" spans="1:164" s="1484" customFormat="1" ht="33.75" x14ac:dyDescent="0.25">
      <c r="A610" s="2033"/>
      <c r="B610" s="1631" t="s">
        <v>4949</v>
      </c>
      <c r="C610" s="2805" t="s">
        <v>8887</v>
      </c>
      <c r="D610" s="2805"/>
      <c r="E610" s="2805"/>
      <c r="F610" s="1683" t="s">
        <v>269</v>
      </c>
      <c r="G610" s="2034">
        <v>350</v>
      </c>
      <c r="H610" s="1641"/>
      <c r="I610" s="1655">
        <v>206.15</v>
      </c>
      <c r="J610" s="1654">
        <v>17.32</v>
      </c>
      <c r="K610" s="1641"/>
      <c r="L610" s="1657">
        <v>3570.52</v>
      </c>
      <c r="M610" s="1641"/>
      <c r="N610" s="1681"/>
      <c r="EW610" s="2031"/>
      <c r="EX610" s="1619"/>
      <c r="EY610" s="1628"/>
      <c r="EZ610" s="1628"/>
      <c r="FA610" s="1628"/>
      <c r="FD610" s="1864" t="s">
        <v>8887</v>
      </c>
      <c r="FH610" s="1628"/>
    </row>
    <row r="611" spans="1:164" s="1484" customFormat="1" ht="22.5" x14ac:dyDescent="0.25">
      <c r="A611" s="2033"/>
      <c r="B611" s="1631" t="s">
        <v>4950</v>
      </c>
      <c r="C611" s="2805" t="s">
        <v>8886</v>
      </c>
      <c r="D611" s="2805"/>
      <c r="E611" s="2805"/>
      <c r="F611" s="1683" t="s">
        <v>2647</v>
      </c>
      <c r="G611" s="2034">
        <v>42</v>
      </c>
      <c r="H611" s="1641"/>
      <c r="I611" s="2046">
        <v>24.738</v>
      </c>
      <c r="J611" s="1654">
        <v>23.15</v>
      </c>
      <c r="K611" s="1641"/>
      <c r="L611" s="1654">
        <v>572.67999999999995</v>
      </c>
      <c r="M611" s="1641"/>
      <c r="N611" s="1681"/>
      <c r="EW611" s="2031"/>
      <c r="EX611" s="1619"/>
      <c r="EY611" s="1628"/>
      <c r="EZ611" s="1628"/>
      <c r="FA611" s="1628"/>
      <c r="FD611" s="1864" t="s">
        <v>8886</v>
      </c>
      <c r="FH611" s="1628"/>
    </row>
    <row r="612" spans="1:164" s="1484" customFormat="1" ht="22.5" x14ac:dyDescent="0.25">
      <c r="A612" s="2033"/>
      <c r="B612" s="1631" t="s">
        <v>4951</v>
      </c>
      <c r="C612" s="2805" t="s">
        <v>8885</v>
      </c>
      <c r="D612" s="2805"/>
      <c r="E612" s="2805"/>
      <c r="F612" s="1683" t="s">
        <v>2647</v>
      </c>
      <c r="G612" s="2034">
        <v>12</v>
      </c>
      <c r="H612" s="1641"/>
      <c r="I612" s="2046">
        <v>7.0679999999999996</v>
      </c>
      <c r="J612" s="1654">
        <v>64.47</v>
      </c>
      <c r="K612" s="1641"/>
      <c r="L612" s="1654">
        <v>455.67</v>
      </c>
      <c r="M612" s="1641"/>
      <c r="N612" s="1681"/>
      <c r="EW612" s="2031"/>
      <c r="EX612" s="1619"/>
      <c r="EY612" s="1628"/>
      <c r="EZ612" s="1628"/>
      <c r="FA612" s="1628"/>
      <c r="FD612" s="1864" t="s">
        <v>8885</v>
      </c>
      <c r="FH612" s="1628"/>
    </row>
    <row r="613" spans="1:164" s="1484" customFormat="1" ht="22.5" x14ac:dyDescent="0.25">
      <c r="A613" s="2033"/>
      <c r="B613" s="1631" t="s">
        <v>4952</v>
      </c>
      <c r="C613" s="2805" t="s">
        <v>8884</v>
      </c>
      <c r="D613" s="2805"/>
      <c r="E613" s="2805"/>
      <c r="F613" s="1683" t="s">
        <v>2647</v>
      </c>
      <c r="G613" s="2034">
        <v>55</v>
      </c>
      <c r="H613" s="1641"/>
      <c r="I613" s="2046">
        <v>32.395000000000003</v>
      </c>
      <c r="J613" s="1654">
        <v>7.5</v>
      </c>
      <c r="K613" s="1641"/>
      <c r="L613" s="1654">
        <v>242.96</v>
      </c>
      <c r="M613" s="1641"/>
      <c r="N613" s="1681"/>
      <c r="EW613" s="2031"/>
      <c r="EX613" s="1619"/>
      <c r="EY613" s="1628"/>
      <c r="EZ613" s="1628"/>
      <c r="FA613" s="1628"/>
      <c r="FD613" s="1864" t="s">
        <v>8884</v>
      </c>
      <c r="FH613" s="1628"/>
    </row>
    <row r="614" spans="1:164" s="1484" customFormat="1" ht="15" x14ac:dyDescent="0.25">
      <c r="A614" s="2032"/>
      <c r="B614" s="1631" t="s">
        <v>190</v>
      </c>
      <c r="C614" s="2805" t="s">
        <v>2523</v>
      </c>
      <c r="D614" s="2805"/>
      <c r="E614" s="2805"/>
      <c r="F614" s="1683"/>
      <c r="G614" s="1641"/>
      <c r="H614" s="1641"/>
      <c r="I614" s="1641"/>
      <c r="J614" s="1654">
        <v>974.82</v>
      </c>
      <c r="K614" s="1655">
        <v>1.25</v>
      </c>
      <c r="L614" s="1654">
        <v>717.71</v>
      </c>
      <c r="M614" s="1655">
        <v>35.75</v>
      </c>
      <c r="N614" s="1679">
        <v>25658.13</v>
      </c>
      <c r="EW614" s="2031"/>
      <c r="EX614" s="1619"/>
      <c r="EY614" s="1628"/>
      <c r="EZ614" s="1628"/>
      <c r="FA614" s="1628"/>
      <c r="FE614" s="1864" t="s">
        <v>2523</v>
      </c>
      <c r="FH614" s="1628"/>
    </row>
    <row r="615" spans="1:164" s="1484" customFormat="1" ht="15" x14ac:dyDescent="0.25">
      <c r="A615" s="2032"/>
      <c r="B615" s="1631" t="s">
        <v>639</v>
      </c>
      <c r="C615" s="2805" t="s">
        <v>697</v>
      </c>
      <c r="D615" s="2805"/>
      <c r="E615" s="2805"/>
      <c r="F615" s="1683"/>
      <c r="G615" s="1641"/>
      <c r="H615" s="1641"/>
      <c r="I615" s="1641"/>
      <c r="J615" s="1654">
        <v>55.47</v>
      </c>
      <c r="K615" s="1641"/>
      <c r="L615" s="1654">
        <v>32.67</v>
      </c>
      <c r="M615" s="1655">
        <v>11.97</v>
      </c>
      <c r="N615" s="2039">
        <v>391.06</v>
      </c>
      <c r="EW615" s="2031"/>
      <c r="EX615" s="1619"/>
      <c r="EY615" s="1628"/>
      <c r="EZ615" s="1628"/>
      <c r="FA615" s="1628"/>
      <c r="FE615" s="1864" t="s">
        <v>697</v>
      </c>
      <c r="FH615" s="1628"/>
    </row>
    <row r="616" spans="1:164" s="1484" customFormat="1" ht="15" x14ac:dyDescent="0.25">
      <c r="A616" s="2032"/>
      <c r="B616" s="1631" t="s">
        <v>640</v>
      </c>
      <c r="C616" s="2805" t="s">
        <v>2500</v>
      </c>
      <c r="D616" s="2805"/>
      <c r="E616" s="2805"/>
      <c r="F616" s="1683"/>
      <c r="G616" s="1641"/>
      <c r="H616" s="1641"/>
      <c r="I616" s="1641"/>
      <c r="J616" s="1654">
        <v>7.94</v>
      </c>
      <c r="K616" s="1641"/>
      <c r="L616" s="1654">
        <v>4.68</v>
      </c>
      <c r="M616" s="1655">
        <v>35.75</v>
      </c>
      <c r="N616" s="2039">
        <v>167.31</v>
      </c>
      <c r="EW616" s="2031"/>
      <c r="EX616" s="1619"/>
      <c r="EY616" s="1628"/>
      <c r="EZ616" s="1628"/>
      <c r="FA616" s="1628"/>
      <c r="FE616" s="1864" t="s">
        <v>2500</v>
      </c>
      <c r="FH616" s="1628"/>
    </row>
    <row r="617" spans="1:164" s="1484" customFormat="1" ht="15" x14ac:dyDescent="0.25">
      <c r="A617" s="2032"/>
      <c r="B617" s="1631" t="s">
        <v>232</v>
      </c>
      <c r="C617" s="2805" t="s">
        <v>829</v>
      </c>
      <c r="D617" s="2805"/>
      <c r="E617" s="2805"/>
      <c r="F617" s="1683"/>
      <c r="G617" s="1641"/>
      <c r="H617" s="1641"/>
      <c r="I617" s="1641"/>
      <c r="J617" s="1657">
        <v>10718.44</v>
      </c>
      <c r="K617" s="1641"/>
      <c r="L617" s="1657">
        <v>6313.16</v>
      </c>
      <c r="M617" s="1655">
        <v>9.14</v>
      </c>
      <c r="N617" s="1679">
        <v>57702.28</v>
      </c>
      <c r="EW617" s="2031"/>
      <c r="EX617" s="1619"/>
      <c r="EY617" s="1628"/>
      <c r="EZ617" s="1628"/>
      <c r="FA617" s="1628"/>
      <c r="FE617" s="1864" t="s">
        <v>829</v>
      </c>
      <c r="FH617" s="1628"/>
    </row>
    <row r="618" spans="1:164" s="1484" customFormat="1" ht="15" x14ac:dyDescent="0.25">
      <c r="A618" s="2033"/>
      <c r="B618" s="1631"/>
      <c r="C618" s="2805" t="s">
        <v>2524</v>
      </c>
      <c r="D618" s="2805"/>
      <c r="E618" s="2805"/>
      <c r="F618" s="1683" t="s">
        <v>807</v>
      </c>
      <c r="G618" s="1655">
        <v>106.19</v>
      </c>
      <c r="H618" s="1641"/>
      <c r="I618" s="2042">
        <v>62.545909999999999</v>
      </c>
      <c r="J618" s="1640"/>
      <c r="K618" s="1641"/>
      <c r="L618" s="1640"/>
      <c r="M618" s="1641"/>
      <c r="N618" s="1681"/>
      <c r="EW618" s="2031"/>
      <c r="EX618" s="1619"/>
      <c r="EY618" s="1628"/>
      <c r="EZ618" s="1628"/>
      <c r="FA618" s="1628"/>
      <c r="FF618" s="1864" t="s">
        <v>2524</v>
      </c>
      <c r="FH618" s="1628"/>
    </row>
    <row r="619" spans="1:164" s="1484" customFormat="1" ht="15" x14ac:dyDescent="0.25">
      <c r="A619" s="2033"/>
      <c r="B619" s="1631"/>
      <c r="C619" s="2805" t="s">
        <v>2501</v>
      </c>
      <c r="D619" s="2805"/>
      <c r="E619" s="2805"/>
      <c r="F619" s="1683" t="s">
        <v>807</v>
      </c>
      <c r="G619" s="1655">
        <v>0.64</v>
      </c>
      <c r="H619" s="1641"/>
      <c r="I619" s="2042">
        <v>0.37696000000000002</v>
      </c>
      <c r="J619" s="1640"/>
      <c r="K619" s="1641"/>
      <c r="L619" s="1640"/>
      <c r="M619" s="1641"/>
      <c r="N619" s="1681"/>
      <c r="EW619" s="2031"/>
      <c r="EX619" s="1619"/>
      <c r="EY619" s="1628"/>
      <c r="EZ619" s="1628"/>
      <c r="FA619" s="1628"/>
      <c r="FF619" s="1864" t="s">
        <v>2501</v>
      </c>
      <c r="FH619" s="1628"/>
    </row>
    <row r="620" spans="1:164" s="1484" customFormat="1" ht="15" x14ac:dyDescent="0.25">
      <c r="A620" s="2032"/>
      <c r="B620" s="1631"/>
      <c r="C620" s="2917" t="s">
        <v>2502</v>
      </c>
      <c r="D620" s="2917"/>
      <c r="E620" s="2917"/>
      <c r="F620" s="2036"/>
      <c r="G620" s="2037"/>
      <c r="H620" s="2037"/>
      <c r="I620" s="2037"/>
      <c r="J620" s="2038">
        <v>11748.73</v>
      </c>
      <c r="K620" s="2037"/>
      <c r="L620" s="2038">
        <v>7063.54</v>
      </c>
      <c r="M620" s="2037"/>
      <c r="N620" s="2068">
        <v>83751.47</v>
      </c>
      <c r="EW620" s="2031"/>
      <c r="EX620" s="1619"/>
      <c r="EY620" s="1628"/>
      <c r="EZ620" s="1628"/>
      <c r="FA620" s="1628"/>
      <c r="FG620" s="1864" t="s">
        <v>2502</v>
      </c>
      <c r="FH620" s="1628"/>
    </row>
    <row r="621" spans="1:164" s="1484" customFormat="1" ht="15" x14ac:dyDescent="0.25">
      <c r="A621" s="2033" t="s">
        <v>8065</v>
      </c>
      <c r="B621" s="1631"/>
      <c r="C621" s="2805" t="s">
        <v>7964</v>
      </c>
      <c r="D621" s="2805"/>
      <c r="E621" s="2805"/>
      <c r="F621" s="1683" t="s">
        <v>5928</v>
      </c>
      <c r="G621" s="1641"/>
      <c r="H621" s="1641"/>
      <c r="I621" s="1641"/>
      <c r="J621" s="1640"/>
      <c r="K621" s="1641"/>
      <c r="L621" s="1654">
        <v>1.17</v>
      </c>
      <c r="M621" s="1641"/>
      <c r="N621" s="2039">
        <v>41.83</v>
      </c>
      <c r="EW621" s="2031"/>
      <c r="EX621" s="1619"/>
      <c r="EY621" s="1628"/>
      <c r="EZ621" s="1628"/>
      <c r="FA621" s="1628"/>
      <c r="FF621" s="1864" t="s">
        <v>7964</v>
      </c>
      <c r="FH621" s="1628"/>
    </row>
    <row r="622" spans="1:164" s="1484" customFormat="1" ht="15" x14ac:dyDescent="0.25">
      <c r="A622" s="2033"/>
      <c r="B622" s="1631"/>
      <c r="C622" s="2805" t="s">
        <v>7965</v>
      </c>
      <c r="D622" s="2805"/>
      <c r="E622" s="2805"/>
      <c r="F622" s="1683" t="s">
        <v>5928</v>
      </c>
      <c r="G622" s="1641"/>
      <c r="H622" s="1641"/>
      <c r="I622" s="1641"/>
      <c r="J622" s="1654">
        <v>7.94</v>
      </c>
      <c r="K622" s="1655">
        <v>0.25</v>
      </c>
      <c r="L622" s="1654">
        <v>1.17</v>
      </c>
      <c r="M622" s="1655">
        <v>35.75</v>
      </c>
      <c r="N622" s="2039">
        <v>41.83</v>
      </c>
      <c r="EW622" s="2031"/>
      <c r="EX622" s="1619"/>
      <c r="EY622" s="1628"/>
      <c r="EZ622" s="1628"/>
      <c r="FA622" s="1628"/>
      <c r="FF622" s="1864" t="s">
        <v>7965</v>
      </c>
      <c r="FH622" s="1628"/>
    </row>
    <row r="623" spans="1:164" s="1484" customFormat="1" ht="15" x14ac:dyDescent="0.25">
      <c r="A623" s="2033"/>
      <c r="B623" s="1631"/>
      <c r="C623" s="2805" t="s">
        <v>867</v>
      </c>
      <c r="D623" s="2805"/>
      <c r="E623" s="2805"/>
      <c r="F623" s="1683"/>
      <c r="G623" s="1641"/>
      <c r="H623" s="1641"/>
      <c r="I623" s="1641"/>
      <c r="J623" s="1640"/>
      <c r="K623" s="1641"/>
      <c r="L623" s="1654">
        <v>723.56</v>
      </c>
      <c r="M623" s="1641"/>
      <c r="N623" s="1679">
        <v>25867.27</v>
      </c>
      <c r="EW623" s="2031"/>
      <c r="EX623" s="1619"/>
      <c r="EY623" s="1628"/>
      <c r="EZ623" s="1628"/>
      <c r="FA623" s="1628"/>
      <c r="FF623" s="1864" t="s">
        <v>867</v>
      </c>
      <c r="FH623" s="1628"/>
    </row>
    <row r="624" spans="1:164" s="1484" customFormat="1" ht="15" x14ac:dyDescent="0.25">
      <c r="A624" s="2033"/>
      <c r="B624" s="1631" t="s">
        <v>7966</v>
      </c>
      <c r="C624" s="2805" t="s">
        <v>7967</v>
      </c>
      <c r="D624" s="2805"/>
      <c r="E624" s="2805"/>
      <c r="F624" s="1683" t="s">
        <v>636</v>
      </c>
      <c r="G624" s="2034">
        <v>100</v>
      </c>
      <c r="H624" s="1641"/>
      <c r="I624" s="2034">
        <v>100</v>
      </c>
      <c r="J624" s="1640"/>
      <c r="K624" s="1641"/>
      <c r="L624" s="1654">
        <v>723.56</v>
      </c>
      <c r="M624" s="1641"/>
      <c r="N624" s="1679">
        <v>25867.27</v>
      </c>
      <c r="EW624" s="2031"/>
      <c r="EX624" s="1619"/>
      <c r="EY624" s="1628"/>
      <c r="EZ624" s="1628"/>
      <c r="FA624" s="1628"/>
      <c r="FF624" s="1864" t="s">
        <v>7967</v>
      </c>
      <c r="FH624" s="1628"/>
    </row>
    <row r="625" spans="1:176" s="1484" customFormat="1" ht="15" x14ac:dyDescent="0.25">
      <c r="A625" s="2033"/>
      <c r="B625" s="1631" t="s">
        <v>7968</v>
      </c>
      <c r="C625" s="2805" t="s">
        <v>7969</v>
      </c>
      <c r="D625" s="2805"/>
      <c r="E625" s="2805"/>
      <c r="F625" s="1683" t="s">
        <v>636</v>
      </c>
      <c r="G625" s="2034">
        <v>49</v>
      </c>
      <c r="H625" s="1641"/>
      <c r="I625" s="2034">
        <v>49</v>
      </c>
      <c r="J625" s="1640"/>
      <c r="K625" s="1641"/>
      <c r="L625" s="1654">
        <v>354.54</v>
      </c>
      <c r="M625" s="1641"/>
      <c r="N625" s="1679">
        <v>12674.96</v>
      </c>
      <c r="EW625" s="2031"/>
      <c r="EX625" s="1619"/>
      <c r="EY625" s="1628"/>
      <c r="EZ625" s="1628"/>
      <c r="FA625" s="1628"/>
      <c r="FF625" s="1864" t="s">
        <v>7969</v>
      </c>
      <c r="FH625" s="1628"/>
    </row>
    <row r="626" spans="1:176" s="1484" customFormat="1" ht="15" x14ac:dyDescent="0.25">
      <c r="A626" s="1650"/>
      <c r="B626" s="1651"/>
      <c r="C626" s="2803" t="s">
        <v>872</v>
      </c>
      <c r="D626" s="2803"/>
      <c r="E626" s="2803"/>
      <c r="F626" s="1621"/>
      <c r="G626" s="1622"/>
      <c r="H626" s="1622"/>
      <c r="I626" s="1622"/>
      <c r="J626" s="1625"/>
      <c r="K626" s="1622"/>
      <c r="L626" s="1648">
        <v>8142.81</v>
      </c>
      <c r="M626" s="2037"/>
      <c r="N626" s="1649">
        <v>122335.53</v>
      </c>
      <c r="EW626" s="2031"/>
      <c r="EX626" s="1619"/>
      <c r="EY626" s="1628"/>
      <c r="EZ626" s="1628"/>
      <c r="FA626" s="1628"/>
      <c r="FH626" s="1628" t="s">
        <v>872</v>
      </c>
    </row>
    <row r="627" spans="1:176" s="1484" customFormat="1" ht="45" x14ac:dyDescent="0.25">
      <c r="A627" s="1620" t="s">
        <v>1068</v>
      </c>
      <c r="B627" s="1863" t="s">
        <v>8893</v>
      </c>
      <c r="C627" s="2803" t="s">
        <v>7993</v>
      </c>
      <c r="D627" s="2803"/>
      <c r="E627" s="2803"/>
      <c r="F627" s="1621" t="s">
        <v>130</v>
      </c>
      <c r="G627" s="1622">
        <v>69.501999999999995</v>
      </c>
      <c r="H627" s="1623">
        <v>1</v>
      </c>
      <c r="I627" s="2045">
        <v>69.501999999999995</v>
      </c>
      <c r="J627" s="1648">
        <v>9053.35</v>
      </c>
      <c r="K627" s="1622"/>
      <c r="L627" s="1648">
        <v>68843.100000000006</v>
      </c>
      <c r="M627" s="1687">
        <v>9.14</v>
      </c>
      <c r="N627" s="1649">
        <v>629225.93000000005</v>
      </c>
      <c r="EW627" s="2031"/>
      <c r="EX627" s="1619"/>
      <c r="EY627" s="1628" t="s">
        <v>7993</v>
      </c>
      <c r="EZ627" s="1628" t="s">
        <v>588</v>
      </c>
      <c r="FA627" s="1628" t="s">
        <v>588</v>
      </c>
      <c r="FH627" s="1628"/>
    </row>
    <row r="628" spans="1:176" s="1484" customFormat="1" ht="15" x14ac:dyDescent="0.25">
      <c r="A628" s="1650"/>
      <c r="B628" s="1651"/>
      <c r="C628" s="2805" t="s">
        <v>8689</v>
      </c>
      <c r="D628" s="2805"/>
      <c r="E628" s="2805"/>
      <c r="F628" s="2805"/>
      <c r="G628" s="2805"/>
      <c r="H628" s="2805"/>
      <c r="I628" s="2805"/>
      <c r="J628" s="2805"/>
      <c r="K628" s="2805"/>
      <c r="L628" s="2805"/>
      <c r="M628" s="2805"/>
      <c r="N628" s="2806"/>
      <c r="EW628" s="2031"/>
      <c r="EX628" s="1619"/>
      <c r="EY628" s="1628"/>
      <c r="EZ628" s="1628"/>
      <c r="FA628" s="1628"/>
      <c r="FH628" s="1628"/>
      <c r="FI628" s="1864" t="s">
        <v>8689</v>
      </c>
      <c r="FJ628" s="1864" t="s">
        <v>588</v>
      </c>
      <c r="FK628" s="1864" t="s">
        <v>588</v>
      </c>
      <c r="FL628" s="1864" t="s">
        <v>588</v>
      </c>
      <c r="FM628" s="1864" t="s">
        <v>588</v>
      </c>
      <c r="FN628" s="1864" t="s">
        <v>588</v>
      </c>
      <c r="FO628" s="1864" t="s">
        <v>588</v>
      </c>
      <c r="FP628" s="1864" t="s">
        <v>588</v>
      </c>
      <c r="FQ628" s="1864" t="s">
        <v>588</v>
      </c>
      <c r="FR628" s="1864" t="s">
        <v>588</v>
      </c>
      <c r="FS628" s="1864" t="s">
        <v>588</v>
      </c>
      <c r="FT628" s="1864" t="s">
        <v>588</v>
      </c>
    </row>
    <row r="629" spans="1:176" s="1484" customFormat="1" ht="15" x14ac:dyDescent="0.25">
      <c r="A629" s="1629"/>
      <c r="B629" s="1862"/>
      <c r="C629" s="2805" t="s">
        <v>8892</v>
      </c>
      <c r="D629" s="2805"/>
      <c r="E629" s="2805"/>
      <c r="F629" s="2805"/>
      <c r="G629" s="2805"/>
      <c r="H629" s="2805"/>
      <c r="I629" s="2805"/>
      <c r="J629" s="2805"/>
      <c r="K629" s="2805"/>
      <c r="L629" s="2805"/>
      <c r="M629" s="2805"/>
      <c r="N629" s="2806"/>
      <c r="EW629" s="2031"/>
      <c r="EX629" s="1619"/>
      <c r="EY629" s="1628"/>
      <c r="EZ629" s="1628"/>
      <c r="FA629" s="1628"/>
      <c r="FB629" s="1864" t="s">
        <v>8892</v>
      </c>
      <c r="FH629" s="1628"/>
    </row>
    <row r="630" spans="1:176" s="1484" customFormat="1" ht="15" x14ac:dyDescent="0.25">
      <c r="A630" s="1650"/>
      <c r="B630" s="1651"/>
      <c r="C630" s="2803" t="s">
        <v>872</v>
      </c>
      <c r="D630" s="2803"/>
      <c r="E630" s="2803"/>
      <c r="F630" s="1621"/>
      <c r="G630" s="1622"/>
      <c r="H630" s="1622"/>
      <c r="I630" s="1622"/>
      <c r="J630" s="1625"/>
      <c r="K630" s="1622"/>
      <c r="L630" s="1648">
        <v>68843.100000000006</v>
      </c>
      <c r="M630" s="2037"/>
      <c r="N630" s="1649">
        <v>629225.93000000005</v>
      </c>
      <c r="EW630" s="2031"/>
      <c r="EX630" s="1619"/>
      <c r="EY630" s="1628"/>
      <c r="EZ630" s="1628"/>
      <c r="FA630" s="1628"/>
      <c r="FH630" s="1628" t="s">
        <v>872</v>
      </c>
    </row>
    <row r="631" spans="1:176" s="1484" customFormat="1" ht="15" x14ac:dyDescent="0.25">
      <c r="A631" s="2811" t="s">
        <v>8066</v>
      </c>
      <c r="B631" s="2812"/>
      <c r="C631" s="2812"/>
      <c r="D631" s="2812"/>
      <c r="E631" s="2812"/>
      <c r="F631" s="2812"/>
      <c r="G631" s="2812"/>
      <c r="H631" s="2812"/>
      <c r="I631" s="2812"/>
      <c r="J631" s="2812"/>
      <c r="K631" s="2812"/>
      <c r="L631" s="2812"/>
      <c r="M631" s="2812"/>
      <c r="N631" s="2813"/>
      <c r="EW631" s="2031"/>
      <c r="EX631" s="1619" t="s">
        <v>8066</v>
      </c>
      <c r="EY631" s="1628"/>
      <c r="EZ631" s="1628"/>
      <c r="FA631" s="1628"/>
      <c r="FH631" s="1628"/>
    </row>
    <row r="632" spans="1:176" s="1484" customFormat="1" ht="56.25" x14ac:dyDescent="0.25">
      <c r="A632" s="1620" t="s">
        <v>8067</v>
      </c>
      <c r="B632" s="1863" t="s">
        <v>8068</v>
      </c>
      <c r="C632" s="2803" t="s">
        <v>8069</v>
      </c>
      <c r="D632" s="2803"/>
      <c r="E632" s="2803"/>
      <c r="F632" s="1621" t="s">
        <v>2555</v>
      </c>
      <c r="G632" s="1622">
        <v>0.152</v>
      </c>
      <c r="H632" s="1623">
        <v>1</v>
      </c>
      <c r="I632" s="2045">
        <v>0.152</v>
      </c>
      <c r="J632" s="1625"/>
      <c r="K632" s="1622"/>
      <c r="L632" s="1625"/>
      <c r="M632" s="1622"/>
      <c r="N632" s="1627"/>
      <c r="EW632" s="2031"/>
      <c r="EX632" s="1619"/>
      <c r="EY632" s="1628" t="s">
        <v>8069</v>
      </c>
      <c r="EZ632" s="1628" t="s">
        <v>588</v>
      </c>
      <c r="FA632" s="1628" t="s">
        <v>588</v>
      </c>
      <c r="FH632" s="1628"/>
    </row>
    <row r="633" spans="1:176" s="1484" customFormat="1" ht="15" x14ac:dyDescent="0.25">
      <c r="A633" s="1629"/>
      <c r="B633" s="1862"/>
      <c r="C633" s="2805" t="s">
        <v>8891</v>
      </c>
      <c r="D633" s="2805"/>
      <c r="E633" s="2805"/>
      <c r="F633" s="2805"/>
      <c r="G633" s="2805"/>
      <c r="H633" s="2805"/>
      <c r="I633" s="2805"/>
      <c r="J633" s="2805"/>
      <c r="K633" s="2805"/>
      <c r="L633" s="2805"/>
      <c r="M633" s="2805"/>
      <c r="N633" s="2806"/>
      <c r="EW633" s="2031"/>
      <c r="EX633" s="1619"/>
      <c r="EY633" s="1628"/>
      <c r="EZ633" s="1628"/>
      <c r="FA633" s="1628"/>
      <c r="FB633" s="1864" t="s">
        <v>8891</v>
      </c>
      <c r="FH633" s="1628"/>
    </row>
    <row r="634" spans="1:176" s="1484" customFormat="1" ht="22.5" x14ac:dyDescent="0.25">
      <c r="A634" s="1630"/>
      <c r="B634" s="1631" t="s">
        <v>6062</v>
      </c>
      <c r="C634" s="2809" t="s">
        <v>6063</v>
      </c>
      <c r="D634" s="2809"/>
      <c r="E634" s="2809"/>
      <c r="F634" s="2809"/>
      <c r="G634" s="2809"/>
      <c r="H634" s="2809"/>
      <c r="I634" s="2809"/>
      <c r="J634" s="2809"/>
      <c r="K634" s="2809"/>
      <c r="L634" s="2809"/>
      <c r="M634" s="2809"/>
      <c r="N634" s="2810"/>
      <c r="EW634" s="2031"/>
      <c r="EX634" s="1619"/>
      <c r="EY634" s="1628"/>
      <c r="EZ634" s="1628"/>
      <c r="FA634" s="1628"/>
      <c r="FC634" s="1864" t="s">
        <v>6063</v>
      </c>
      <c r="FH634" s="1628"/>
    </row>
    <row r="635" spans="1:176" s="1484" customFormat="1" ht="22.5" x14ac:dyDescent="0.25">
      <c r="A635" s="2033"/>
      <c r="B635" s="1631" t="s">
        <v>3260</v>
      </c>
      <c r="C635" s="2805" t="s">
        <v>8636</v>
      </c>
      <c r="D635" s="2805"/>
      <c r="E635" s="2805"/>
      <c r="F635" s="1683" t="s">
        <v>807</v>
      </c>
      <c r="G635" s="1953">
        <v>118.4</v>
      </c>
      <c r="H635" s="1641"/>
      <c r="I635" s="2035">
        <v>17.9968</v>
      </c>
      <c r="J635" s="1654">
        <v>9.18</v>
      </c>
      <c r="K635" s="1655">
        <v>1.25</v>
      </c>
      <c r="L635" s="1654">
        <v>206.51</v>
      </c>
      <c r="M635" s="1641"/>
      <c r="N635" s="1681"/>
      <c r="EW635" s="2031"/>
      <c r="EX635" s="1619"/>
      <c r="EY635" s="1628"/>
      <c r="EZ635" s="1628"/>
      <c r="FA635" s="1628"/>
      <c r="FD635" s="1864" t="s">
        <v>8636</v>
      </c>
      <c r="FH635" s="1628"/>
    </row>
    <row r="636" spans="1:176" s="1484" customFormat="1" ht="22.5" x14ac:dyDescent="0.25">
      <c r="A636" s="2033"/>
      <c r="B636" s="1631" t="s">
        <v>817</v>
      </c>
      <c r="C636" s="2805" t="s">
        <v>818</v>
      </c>
      <c r="D636" s="2805"/>
      <c r="E636" s="2805"/>
      <c r="F636" s="1683" t="s">
        <v>4994</v>
      </c>
      <c r="G636" s="1655">
        <v>0.27</v>
      </c>
      <c r="H636" s="1641"/>
      <c r="I636" s="2042">
        <v>4.104E-2</v>
      </c>
      <c r="J636" s="1654">
        <v>115.4</v>
      </c>
      <c r="K636" s="1641"/>
      <c r="L636" s="1654">
        <v>4.74</v>
      </c>
      <c r="M636" s="1641"/>
      <c r="N636" s="1681"/>
      <c r="EW636" s="2031"/>
      <c r="EX636" s="1619"/>
      <c r="EY636" s="1628"/>
      <c r="EZ636" s="1628"/>
      <c r="FA636" s="1628"/>
      <c r="FD636" s="1864" t="s">
        <v>818</v>
      </c>
      <c r="FH636" s="1628"/>
    </row>
    <row r="637" spans="1:176" s="1484" customFormat="1" ht="15" x14ac:dyDescent="0.25">
      <c r="A637" s="2033"/>
      <c r="B637" s="1631" t="s">
        <v>821</v>
      </c>
      <c r="C637" s="2805" t="s">
        <v>822</v>
      </c>
      <c r="D637" s="2805"/>
      <c r="E637" s="2805"/>
      <c r="F637" s="1683" t="s">
        <v>4994</v>
      </c>
      <c r="G637" s="1655">
        <v>0.37</v>
      </c>
      <c r="H637" s="1641"/>
      <c r="I637" s="2042">
        <v>5.6239999999999998E-2</v>
      </c>
      <c r="J637" s="1654">
        <v>65.709999999999994</v>
      </c>
      <c r="K637" s="1641"/>
      <c r="L637" s="1654">
        <v>3.7</v>
      </c>
      <c r="M637" s="1641"/>
      <c r="N637" s="1681"/>
      <c r="EW637" s="2031"/>
      <c r="EX637" s="1619"/>
      <c r="EY637" s="1628"/>
      <c r="EZ637" s="1628"/>
      <c r="FA637" s="1628"/>
      <c r="FD637" s="1864" t="s">
        <v>822</v>
      </c>
      <c r="FH637" s="1628"/>
    </row>
    <row r="638" spans="1:176" s="1484" customFormat="1" ht="15" x14ac:dyDescent="0.25">
      <c r="A638" s="2033"/>
      <c r="B638" s="1631" t="s">
        <v>4907</v>
      </c>
      <c r="C638" s="2805" t="s">
        <v>8890</v>
      </c>
      <c r="D638" s="2805"/>
      <c r="E638" s="2805"/>
      <c r="F638" s="1683" t="s">
        <v>4865</v>
      </c>
      <c r="G638" s="2034">
        <v>7</v>
      </c>
      <c r="H638" s="1641"/>
      <c r="I638" s="2046">
        <v>1.0640000000000001</v>
      </c>
      <c r="J638" s="1654">
        <v>118</v>
      </c>
      <c r="K638" s="1641"/>
      <c r="L638" s="1654">
        <v>125.55</v>
      </c>
      <c r="M638" s="1641"/>
      <c r="N638" s="1681"/>
      <c r="EW638" s="2031"/>
      <c r="EX638" s="1619"/>
      <c r="EY638" s="1628"/>
      <c r="EZ638" s="1628"/>
      <c r="FA638" s="1628"/>
      <c r="FD638" s="1864" t="s">
        <v>8890</v>
      </c>
      <c r="FH638" s="1628"/>
    </row>
    <row r="639" spans="1:176" s="1484" customFormat="1" ht="15" x14ac:dyDescent="0.25">
      <c r="A639" s="2033"/>
      <c r="B639" s="1631" t="s">
        <v>4910</v>
      </c>
      <c r="C639" s="2805" t="s">
        <v>8889</v>
      </c>
      <c r="D639" s="2805"/>
      <c r="E639" s="2805"/>
      <c r="F639" s="1683" t="s">
        <v>4865</v>
      </c>
      <c r="G639" s="2034">
        <v>29</v>
      </c>
      <c r="H639" s="1641"/>
      <c r="I639" s="2046">
        <v>4.4080000000000004</v>
      </c>
      <c r="J639" s="1654">
        <v>10</v>
      </c>
      <c r="K639" s="1641"/>
      <c r="L639" s="1654">
        <v>44.08</v>
      </c>
      <c r="M639" s="1641"/>
      <c r="N639" s="1681"/>
      <c r="EW639" s="2031"/>
      <c r="EX639" s="1619"/>
      <c r="EY639" s="1628"/>
      <c r="EZ639" s="1628"/>
      <c r="FA639" s="1628"/>
      <c r="FD639" s="1864" t="s">
        <v>8889</v>
      </c>
      <c r="FH639" s="1628"/>
    </row>
    <row r="640" spans="1:176" s="1484" customFormat="1" ht="33.75" x14ac:dyDescent="0.25">
      <c r="A640" s="2033"/>
      <c r="B640" s="1631" t="s">
        <v>4943</v>
      </c>
      <c r="C640" s="2805" t="s">
        <v>8888</v>
      </c>
      <c r="D640" s="2805"/>
      <c r="E640" s="2805"/>
      <c r="F640" s="1683" t="s">
        <v>2647</v>
      </c>
      <c r="G640" s="1953">
        <v>205.7</v>
      </c>
      <c r="H640" s="1641"/>
      <c r="I640" s="2035">
        <v>31.266400000000001</v>
      </c>
      <c r="J640" s="1654">
        <v>6.91</v>
      </c>
      <c r="K640" s="1641"/>
      <c r="L640" s="1654">
        <v>216.05</v>
      </c>
      <c r="M640" s="1641"/>
      <c r="N640" s="1681"/>
      <c r="EW640" s="2031"/>
      <c r="EX640" s="1619"/>
      <c r="EY640" s="1628"/>
      <c r="EZ640" s="1628"/>
      <c r="FA640" s="1628"/>
      <c r="FD640" s="1864" t="s">
        <v>8888</v>
      </c>
      <c r="FH640" s="1628"/>
    </row>
    <row r="641" spans="1:164" s="1484" customFormat="1" ht="33.75" x14ac:dyDescent="0.25">
      <c r="A641" s="2033"/>
      <c r="B641" s="1631" t="s">
        <v>4949</v>
      </c>
      <c r="C641" s="2805" t="s">
        <v>8887</v>
      </c>
      <c r="D641" s="2805"/>
      <c r="E641" s="2805"/>
      <c r="F641" s="1683" t="s">
        <v>269</v>
      </c>
      <c r="G641" s="2034">
        <v>350</v>
      </c>
      <c r="H641" s="1641"/>
      <c r="I641" s="1953">
        <v>53.2</v>
      </c>
      <c r="J641" s="1654">
        <v>17.32</v>
      </c>
      <c r="K641" s="1641"/>
      <c r="L641" s="1654">
        <v>921.42</v>
      </c>
      <c r="M641" s="1641"/>
      <c r="N641" s="1681"/>
      <c r="EW641" s="2031"/>
      <c r="EX641" s="1619"/>
      <c r="EY641" s="1628"/>
      <c r="EZ641" s="1628"/>
      <c r="FA641" s="1628"/>
      <c r="FD641" s="1864" t="s">
        <v>8887</v>
      </c>
      <c r="FH641" s="1628"/>
    </row>
    <row r="642" spans="1:164" s="1484" customFormat="1" ht="22.5" x14ac:dyDescent="0.25">
      <c r="A642" s="2033"/>
      <c r="B642" s="1631" t="s">
        <v>4950</v>
      </c>
      <c r="C642" s="2805" t="s">
        <v>8886</v>
      </c>
      <c r="D642" s="2805"/>
      <c r="E642" s="2805"/>
      <c r="F642" s="1683" t="s">
        <v>2647</v>
      </c>
      <c r="G642" s="2034">
        <v>42</v>
      </c>
      <c r="H642" s="1641"/>
      <c r="I642" s="2046">
        <v>6.3840000000000003</v>
      </c>
      <c r="J642" s="1654">
        <v>23.15</v>
      </c>
      <c r="K642" s="1641"/>
      <c r="L642" s="1654">
        <v>147.79</v>
      </c>
      <c r="M642" s="1641"/>
      <c r="N642" s="1681"/>
      <c r="EW642" s="2031"/>
      <c r="EX642" s="1619"/>
      <c r="EY642" s="1628"/>
      <c r="EZ642" s="1628"/>
      <c r="FA642" s="1628"/>
      <c r="FD642" s="1864" t="s">
        <v>8886</v>
      </c>
      <c r="FH642" s="1628"/>
    </row>
    <row r="643" spans="1:164" s="1484" customFormat="1" ht="22.5" x14ac:dyDescent="0.25">
      <c r="A643" s="2033"/>
      <c r="B643" s="1631" t="s">
        <v>4951</v>
      </c>
      <c r="C643" s="2805" t="s">
        <v>8885</v>
      </c>
      <c r="D643" s="2805"/>
      <c r="E643" s="2805"/>
      <c r="F643" s="1683" t="s">
        <v>2647</v>
      </c>
      <c r="G643" s="2034">
        <v>12</v>
      </c>
      <c r="H643" s="1641"/>
      <c r="I643" s="2046">
        <v>1.8240000000000001</v>
      </c>
      <c r="J643" s="1654">
        <v>64.47</v>
      </c>
      <c r="K643" s="1641"/>
      <c r="L643" s="1654">
        <v>117.59</v>
      </c>
      <c r="M643" s="1641"/>
      <c r="N643" s="1681"/>
      <c r="EW643" s="2031"/>
      <c r="EX643" s="1619"/>
      <c r="EY643" s="1628"/>
      <c r="EZ643" s="1628"/>
      <c r="FA643" s="1628"/>
      <c r="FD643" s="1864" t="s">
        <v>8885</v>
      </c>
      <c r="FH643" s="1628"/>
    </row>
    <row r="644" spans="1:164" s="1484" customFormat="1" ht="22.5" x14ac:dyDescent="0.25">
      <c r="A644" s="2033"/>
      <c r="B644" s="1631" t="s">
        <v>4952</v>
      </c>
      <c r="C644" s="2805" t="s">
        <v>8884</v>
      </c>
      <c r="D644" s="2805"/>
      <c r="E644" s="2805"/>
      <c r="F644" s="1683" t="s">
        <v>2647</v>
      </c>
      <c r="G644" s="2034">
        <v>55</v>
      </c>
      <c r="H644" s="1641"/>
      <c r="I644" s="1655">
        <v>8.36</v>
      </c>
      <c r="J644" s="1654">
        <v>7.5</v>
      </c>
      <c r="K644" s="1641"/>
      <c r="L644" s="1654">
        <v>62.7</v>
      </c>
      <c r="M644" s="1641"/>
      <c r="N644" s="1681"/>
      <c r="EW644" s="2031"/>
      <c r="EX644" s="1619"/>
      <c r="EY644" s="1628"/>
      <c r="EZ644" s="1628"/>
      <c r="FA644" s="1628"/>
      <c r="FD644" s="1864" t="s">
        <v>8884</v>
      </c>
      <c r="FH644" s="1628"/>
    </row>
    <row r="645" spans="1:164" s="1484" customFormat="1" ht="15" x14ac:dyDescent="0.25">
      <c r="A645" s="2032"/>
      <c r="B645" s="1631" t="s">
        <v>190</v>
      </c>
      <c r="C645" s="2805" t="s">
        <v>2523</v>
      </c>
      <c r="D645" s="2805"/>
      <c r="E645" s="2805"/>
      <c r="F645" s="1683"/>
      <c r="G645" s="1641"/>
      <c r="H645" s="1641"/>
      <c r="I645" s="1641"/>
      <c r="J645" s="1657">
        <v>1086.9100000000001</v>
      </c>
      <c r="K645" s="1655">
        <v>1.25</v>
      </c>
      <c r="L645" s="1654">
        <v>206.51</v>
      </c>
      <c r="M645" s="1655">
        <v>35.75</v>
      </c>
      <c r="N645" s="1679">
        <v>7382.73</v>
      </c>
      <c r="EW645" s="2031"/>
      <c r="EX645" s="1619"/>
      <c r="EY645" s="1628"/>
      <c r="EZ645" s="1628"/>
      <c r="FA645" s="1628"/>
      <c r="FE645" s="1864" t="s">
        <v>2523</v>
      </c>
      <c r="FH645" s="1628"/>
    </row>
    <row r="646" spans="1:164" s="1484" customFormat="1" ht="15" x14ac:dyDescent="0.25">
      <c r="A646" s="2032"/>
      <c r="B646" s="1631" t="s">
        <v>639</v>
      </c>
      <c r="C646" s="2805" t="s">
        <v>697</v>
      </c>
      <c r="D646" s="2805"/>
      <c r="E646" s="2805"/>
      <c r="F646" s="1683"/>
      <c r="G646" s="1641"/>
      <c r="H646" s="1641"/>
      <c r="I646" s="1641"/>
      <c r="J646" s="1654">
        <v>55.47</v>
      </c>
      <c r="K646" s="1641"/>
      <c r="L646" s="1654">
        <v>8.43</v>
      </c>
      <c r="M646" s="1655">
        <v>11.97</v>
      </c>
      <c r="N646" s="2039">
        <v>100.91</v>
      </c>
      <c r="EW646" s="2031"/>
      <c r="EX646" s="1619"/>
      <c r="EY646" s="1628"/>
      <c r="EZ646" s="1628"/>
      <c r="FA646" s="1628"/>
      <c r="FE646" s="1864" t="s">
        <v>697</v>
      </c>
      <c r="FH646" s="1628"/>
    </row>
    <row r="647" spans="1:164" s="1484" customFormat="1" ht="15" x14ac:dyDescent="0.25">
      <c r="A647" s="2032"/>
      <c r="B647" s="1631" t="s">
        <v>640</v>
      </c>
      <c r="C647" s="2805" t="s">
        <v>2500</v>
      </c>
      <c r="D647" s="2805"/>
      <c r="E647" s="2805"/>
      <c r="F647" s="1683"/>
      <c r="G647" s="1641"/>
      <c r="H647" s="1641"/>
      <c r="I647" s="1641"/>
      <c r="J647" s="1654">
        <v>7.94</v>
      </c>
      <c r="K647" s="1641"/>
      <c r="L647" s="1654">
        <v>1.21</v>
      </c>
      <c r="M647" s="1655">
        <v>35.75</v>
      </c>
      <c r="N647" s="2039">
        <v>43.26</v>
      </c>
      <c r="EW647" s="2031"/>
      <c r="EX647" s="1619"/>
      <c r="EY647" s="1628"/>
      <c r="EZ647" s="1628"/>
      <c r="FA647" s="1628"/>
      <c r="FE647" s="1864" t="s">
        <v>2500</v>
      </c>
      <c r="FH647" s="1628"/>
    </row>
    <row r="648" spans="1:164" s="1484" customFormat="1" ht="15" x14ac:dyDescent="0.25">
      <c r="A648" s="2032"/>
      <c r="B648" s="1631" t="s">
        <v>232</v>
      </c>
      <c r="C648" s="2805" t="s">
        <v>829</v>
      </c>
      <c r="D648" s="2805"/>
      <c r="E648" s="2805"/>
      <c r="F648" s="1683"/>
      <c r="G648" s="1641"/>
      <c r="H648" s="1641"/>
      <c r="I648" s="1641"/>
      <c r="J648" s="1657">
        <v>10757.83</v>
      </c>
      <c r="K648" s="1641"/>
      <c r="L648" s="1657">
        <v>1635.19</v>
      </c>
      <c r="M648" s="1655">
        <v>9.14</v>
      </c>
      <c r="N648" s="1679">
        <v>14945.64</v>
      </c>
      <c r="EW648" s="2031"/>
      <c r="EX648" s="1619"/>
      <c r="EY648" s="1628"/>
      <c r="EZ648" s="1628"/>
      <c r="FA648" s="1628"/>
      <c r="FE648" s="1864" t="s">
        <v>829</v>
      </c>
      <c r="FH648" s="1628"/>
    </row>
    <row r="649" spans="1:164" s="1484" customFormat="1" ht="15" x14ac:dyDescent="0.25">
      <c r="A649" s="2033"/>
      <c r="B649" s="1631"/>
      <c r="C649" s="2805" t="s">
        <v>2524</v>
      </c>
      <c r="D649" s="2805"/>
      <c r="E649" s="2805"/>
      <c r="F649" s="1683" t="s">
        <v>807</v>
      </c>
      <c r="G649" s="1953">
        <v>118.4</v>
      </c>
      <c r="H649" s="1641"/>
      <c r="I649" s="2035">
        <v>17.9968</v>
      </c>
      <c r="J649" s="1640"/>
      <c r="K649" s="1641"/>
      <c r="L649" s="1640"/>
      <c r="M649" s="1641"/>
      <c r="N649" s="1681"/>
      <c r="EW649" s="2031"/>
      <c r="EX649" s="1619"/>
      <c r="EY649" s="1628"/>
      <c r="EZ649" s="1628"/>
      <c r="FA649" s="1628"/>
      <c r="FF649" s="1864" t="s">
        <v>2524</v>
      </c>
      <c r="FH649" s="1628"/>
    </row>
    <row r="650" spans="1:164" s="1484" customFormat="1" ht="15" x14ac:dyDescent="0.25">
      <c r="A650" s="2033"/>
      <c r="B650" s="1631"/>
      <c r="C650" s="2805" t="s">
        <v>2501</v>
      </c>
      <c r="D650" s="2805"/>
      <c r="E650" s="2805"/>
      <c r="F650" s="1683" t="s">
        <v>807</v>
      </c>
      <c r="G650" s="1655">
        <v>0.64</v>
      </c>
      <c r="H650" s="1641"/>
      <c r="I650" s="2042">
        <v>9.7280000000000005E-2</v>
      </c>
      <c r="J650" s="1640"/>
      <c r="K650" s="1641"/>
      <c r="L650" s="1640"/>
      <c r="M650" s="1641"/>
      <c r="N650" s="1681"/>
      <c r="EW650" s="2031"/>
      <c r="EX650" s="1619"/>
      <c r="EY650" s="1628"/>
      <c r="EZ650" s="1628"/>
      <c r="FA650" s="1628"/>
      <c r="FF650" s="1864" t="s">
        <v>2501</v>
      </c>
      <c r="FH650" s="1628"/>
    </row>
    <row r="651" spans="1:164" s="1484" customFormat="1" ht="15" x14ac:dyDescent="0.25">
      <c r="A651" s="2032"/>
      <c r="B651" s="1631"/>
      <c r="C651" s="2917" t="s">
        <v>2502</v>
      </c>
      <c r="D651" s="2917"/>
      <c r="E651" s="2917"/>
      <c r="F651" s="2036"/>
      <c r="G651" s="2037"/>
      <c r="H651" s="2037"/>
      <c r="I651" s="2037"/>
      <c r="J651" s="2038">
        <v>11900.21</v>
      </c>
      <c r="K651" s="2037"/>
      <c r="L651" s="2038">
        <v>1850.13</v>
      </c>
      <c r="M651" s="2037"/>
      <c r="N651" s="2068">
        <v>22429.279999999999</v>
      </c>
      <c r="EW651" s="2031"/>
      <c r="EX651" s="1619"/>
      <c r="EY651" s="1628"/>
      <c r="EZ651" s="1628"/>
      <c r="FA651" s="1628"/>
      <c r="FG651" s="1864" t="s">
        <v>2502</v>
      </c>
      <c r="FH651" s="1628"/>
    </row>
    <row r="652" spans="1:164" s="1484" customFormat="1" ht="15" x14ac:dyDescent="0.25">
      <c r="A652" s="2033" t="s">
        <v>8070</v>
      </c>
      <c r="B652" s="1631"/>
      <c r="C652" s="2805" t="s">
        <v>7964</v>
      </c>
      <c r="D652" s="2805"/>
      <c r="E652" s="2805"/>
      <c r="F652" s="1683" t="s">
        <v>5928</v>
      </c>
      <c r="G652" s="1641"/>
      <c r="H652" s="1641"/>
      <c r="I652" s="1641"/>
      <c r="J652" s="1640"/>
      <c r="K652" s="1641"/>
      <c r="L652" s="1654">
        <v>0.3</v>
      </c>
      <c r="M652" s="1641"/>
      <c r="N652" s="2039">
        <v>10.73</v>
      </c>
      <c r="EW652" s="2031"/>
      <c r="EX652" s="1619"/>
      <c r="EY652" s="1628"/>
      <c r="EZ652" s="1628"/>
      <c r="FA652" s="1628"/>
      <c r="FF652" s="1864" t="s">
        <v>7964</v>
      </c>
      <c r="FH652" s="1628"/>
    </row>
    <row r="653" spans="1:164" s="1484" customFormat="1" ht="15" x14ac:dyDescent="0.25">
      <c r="A653" s="2033"/>
      <c r="B653" s="1631"/>
      <c r="C653" s="2805" t="s">
        <v>7965</v>
      </c>
      <c r="D653" s="2805"/>
      <c r="E653" s="2805"/>
      <c r="F653" s="1683" t="s">
        <v>5928</v>
      </c>
      <c r="G653" s="1641"/>
      <c r="H653" s="1641"/>
      <c r="I653" s="1641"/>
      <c r="J653" s="1654">
        <v>7.94</v>
      </c>
      <c r="K653" s="1655">
        <v>0.25</v>
      </c>
      <c r="L653" s="1654">
        <v>0.3</v>
      </c>
      <c r="M653" s="1655">
        <v>35.75</v>
      </c>
      <c r="N653" s="2039">
        <v>10.73</v>
      </c>
      <c r="EW653" s="2031"/>
      <c r="EX653" s="1619"/>
      <c r="EY653" s="1628"/>
      <c r="EZ653" s="1628"/>
      <c r="FA653" s="1628"/>
      <c r="FF653" s="1864" t="s">
        <v>7965</v>
      </c>
      <c r="FH653" s="1628"/>
    </row>
    <row r="654" spans="1:164" s="1484" customFormat="1" ht="15" x14ac:dyDescent="0.25">
      <c r="A654" s="2033"/>
      <c r="B654" s="1631"/>
      <c r="C654" s="2805" t="s">
        <v>867</v>
      </c>
      <c r="D654" s="2805"/>
      <c r="E654" s="2805"/>
      <c r="F654" s="1683"/>
      <c r="G654" s="1641"/>
      <c r="H654" s="1641"/>
      <c r="I654" s="1641"/>
      <c r="J654" s="1640"/>
      <c r="K654" s="1641"/>
      <c r="L654" s="1654">
        <v>208.02</v>
      </c>
      <c r="M654" s="1641"/>
      <c r="N654" s="1679">
        <v>7436.72</v>
      </c>
      <c r="EW654" s="2031"/>
      <c r="EX654" s="1619"/>
      <c r="EY654" s="1628"/>
      <c r="EZ654" s="1628"/>
      <c r="FA654" s="1628"/>
      <c r="FF654" s="1864" t="s">
        <v>867</v>
      </c>
      <c r="FH654" s="1628"/>
    </row>
    <row r="655" spans="1:164" s="1484" customFormat="1" ht="15" x14ac:dyDescent="0.25">
      <c r="A655" s="2033"/>
      <c r="B655" s="1631" t="s">
        <v>7966</v>
      </c>
      <c r="C655" s="2805" t="s">
        <v>7967</v>
      </c>
      <c r="D655" s="2805"/>
      <c r="E655" s="2805"/>
      <c r="F655" s="1683" t="s">
        <v>636</v>
      </c>
      <c r="G655" s="2034">
        <v>100</v>
      </c>
      <c r="H655" s="1641"/>
      <c r="I655" s="2034">
        <v>100</v>
      </c>
      <c r="J655" s="1640"/>
      <c r="K655" s="1641"/>
      <c r="L655" s="1654">
        <v>208.02</v>
      </c>
      <c r="M655" s="1641"/>
      <c r="N655" s="1679">
        <v>7436.72</v>
      </c>
      <c r="EW655" s="2031"/>
      <c r="EX655" s="1619"/>
      <c r="EY655" s="1628"/>
      <c r="EZ655" s="1628"/>
      <c r="FA655" s="1628"/>
      <c r="FF655" s="1864" t="s">
        <v>7967</v>
      </c>
      <c r="FH655" s="1628"/>
    </row>
    <row r="656" spans="1:164" s="1484" customFormat="1" ht="15" x14ac:dyDescent="0.25">
      <c r="A656" s="2033"/>
      <c r="B656" s="1631" t="s">
        <v>7968</v>
      </c>
      <c r="C656" s="2805" t="s">
        <v>7969</v>
      </c>
      <c r="D656" s="2805"/>
      <c r="E656" s="2805"/>
      <c r="F656" s="1683" t="s">
        <v>636</v>
      </c>
      <c r="G656" s="2034">
        <v>49</v>
      </c>
      <c r="H656" s="1641"/>
      <c r="I656" s="2034">
        <v>49</v>
      </c>
      <c r="J656" s="1640"/>
      <c r="K656" s="1641"/>
      <c r="L656" s="1654">
        <v>101.93</v>
      </c>
      <c r="M656" s="1641"/>
      <c r="N656" s="1679">
        <v>3643.99</v>
      </c>
      <c r="EW656" s="2031"/>
      <c r="EX656" s="1619"/>
      <c r="EY656" s="1628"/>
      <c r="EZ656" s="1628"/>
      <c r="FA656" s="1628"/>
      <c r="FF656" s="1864" t="s">
        <v>7969</v>
      </c>
      <c r="FH656" s="1628"/>
    </row>
    <row r="657" spans="1:176" s="1484" customFormat="1" ht="15" x14ac:dyDescent="0.25">
      <c r="A657" s="1650"/>
      <c r="B657" s="1651"/>
      <c r="C657" s="2803" t="s">
        <v>872</v>
      </c>
      <c r="D657" s="2803"/>
      <c r="E657" s="2803"/>
      <c r="F657" s="1621"/>
      <c r="G657" s="1622"/>
      <c r="H657" s="1622"/>
      <c r="I657" s="1622"/>
      <c r="J657" s="1625"/>
      <c r="K657" s="1622"/>
      <c r="L657" s="1648">
        <v>2160.38</v>
      </c>
      <c r="M657" s="2037"/>
      <c r="N657" s="1649">
        <v>33520.720000000001</v>
      </c>
      <c r="EW657" s="2031"/>
      <c r="EX657" s="1619"/>
      <c r="EY657" s="1628"/>
      <c r="EZ657" s="1628"/>
      <c r="FA657" s="1628"/>
      <c r="FH657" s="1628" t="s">
        <v>872</v>
      </c>
    </row>
    <row r="658" spans="1:176" s="1484" customFormat="1" ht="22.5" x14ac:dyDescent="0.25">
      <c r="A658" s="1620" t="s">
        <v>8071</v>
      </c>
      <c r="B658" s="1863" t="s">
        <v>8072</v>
      </c>
      <c r="C658" s="2803" t="s">
        <v>8073</v>
      </c>
      <c r="D658" s="2803"/>
      <c r="E658" s="2803"/>
      <c r="F658" s="1621" t="s">
        <v>130</v>
      </c>
      <c r="G658" s="1622">
        <v>17.936</v>
      </c>
      <c r="H658" s="1623">
        <v>1</v>
      </c>
      <c r="I658" s="2045">
        <v>17.936</v>
      </c>
      <c r="J658" s="2040">
        <v>63.29</v>
      </c>
      <c r="K658" s="1622"/>
      <c r="L658" s="1648">
        <v>1135.17</v>
      </c>
      <c r="M658" s="1687">
        <v>9.14</v>
      </c>
      <c r="N658" s="1649">
        <v>10375.450000000001</v>
      </c>
      <c r="EW658" s="2031"/>
      <c r="EX658" s="1619"/>
      <c r="EY658" s="1628" t="s">
        <v>8073</v>
      </c>
      <c r="EZ658" s="1628" t="s">
        <v>588</v>
      </c>
      <c r="FA658" s="1628" t="s">
        <v>588</v>
      </c>
      <c r="FH658" s="1628"/>
    </row>
    <row r="659" spans="1:176" s="1484" customFormat="1" ht="15" x14ac:dyDescent="0.25">
      <c r="A659" s="1650"/>
      <c r="B659" s="1651"/>
      <c r="C659" s="2805" t="s">
        <v>8689</v>
      </c>
      <c r="D659" s="2805"/>
      <c r="E659" s="2805"/>
      <c r="F659" s="2805"/>
      <c r="G659" s="2805"/>
      <c r="H659" s="2805"/>
      <c r="I659" s="2805"/>
      <c r="J659" s="2805"/>
      <c r="K659" s="2805"/>
      <c r="L659" s="2805"/>
      <c r="M659" s="2805"/>
      <c r="N659" s="2806"/>
      <c r="EW659" s="2031"/>
      <c r="EX659" s="1619"/>
      <c r="EY659" s="1628"/>
      <c r="EZ659" s="1628"/>
      <c r="FA659" s="1628"/>
      <c r="FH659" s="1628"/>
      <c r="FI659" s="1864" t="s">
        <v>8689</v>
      </c>
      <c r="FJ659" s="1864" t="s">
        <v>588</v>
      </c>
      <c r="FK659" s="1864" t="s">
        <v>588</v>
      </c>
      <c r="FL659" s="1864" t="s">
        <v>588</v>
      </c>
      <c r="FM659" s="1864" t="s">
        <v>588</v>
      </c>
      <c r="FN659" s="1864" t="s">
        <v>588</v>
      </c>
      <c r="FO659" s="1864" t="s">
        <v>588</v>
      </c>
      <c r="FP659" s="1864" t="s">
        <v>588</v>
      </c>
      <c r="FQ659" s="1864" t="s">
        <v>588</v>
      </c>
      <c r="FR659" s="1864" t="s">
        <v>588</v>
      </c>
      <c r="FS659" s="1864" t="s">
        <v>588</v>
      </c>
      <c r="FT659" s="1864" t="s">
        <v>588</v>
      </c>
    </row>
    <row r="660" spans="1:176" s="1484" customFormat="1" ht="15" x14ac:dyDescent="0.25">
      <c r="A660" s="1629"/>
      <c r="B660" s="1862"/>
      <c r="C660" s="2805" t="s">
        <v>8883</v>
      </c>
      <c r="D660" s="2805"/>
      <c r="E660" s="2805"/>
      <c r="F660" s="2805"/>
      <c r="G660" s="2805"/>
      <c r="H660" s="2805"/>
      <c r="I660" s="2805"/>
      <c r="J660" s="2805"/>
      <c r="K660" s="2805"/>
      <c r="L660" s="2805"/>
      <c r="M660" s="2805"/>
      <c r="N660" s="2806"/>
      <c r="EW660" s="2031"/>
      <c r="EX660" s="1619"/>
      <c r="EY660" s="1628"/>
      <c r="EZ660" s="1628"/>
      <c r="FA660" s="1628"/>
      <c r="FB660" s="1864" t="s">
        <v>8883</v>
      </c>
      <c r="FH660" s="1628"/>
    </row>
    <row r="661" spans="1:176" s="1484" customFormat="1" ht="15" x14ac:dyDescent="0.25">
      <c r="A661" s="1650"/>
      <c r="B661" s="1651"/>
      <c r="C661" s="2803" t="s">
        <v>872</v>
      </c>
      <c r="D661" s="2803"/>
      <c r="E661" s="2803"/>
      <c r="F661" s="1621"/>
      <c r="G661" s="1622"/>
      <c r="H661" s="1622"/>
      <c r="I661" s="1622"/>
      <c r="J661" s="1625"/>
      <c r="K661" s="1622"/>
      <c r="L661" s="1648">
        <v>1135.17</v>
      </c>
      <c r="M661" s="2037"/>
      <c r="N661" s="1649">
        <v>10375.450000000001</v>
      </c>
      <c r="EW661" s="2031"/>
      <c r="EX661" s="1619"/>
      <c r="EY661" s="1628"/>
      <c r="EZ661" s="1628"/>
      <c r="FA661" s="1628"/>
      <c r="FH661" s="1628" t="s">
        <v>872</v>
      </c>
    </row>
    <row r="662" spans="1:176" s="1484" customFormat="1" ht="15" x14ac:dyDescent="0.25">
      <c r="A662" s="2811" t="s">
        <v>8074</v>
      </c>
      <c r="B662" s="2812"/>
      <c r="C662" s="2812"/>
      <c r="D662" s="2812"/>
      <c r="E662" s="2812"/>
      <c r="F662" s="2812"/>
      <c r="G662" s="2812"/>
      <c r="H662" s="2812"/>
      <c r="I662" s="2812"/>
      <c r="J662" s="2812"/>
      <c r="K662" s="2812"/>
      <c r="L662" s="2812"/>
      <c r="M662" s="2812"/>
      <c r="N662" s="2813"/>
      <c r="EW662" s="2031"/>
      <c r="EX662" s="1619" t="s">
        <v>8074</v>
      </c>
      <c r="EY662" s="1628"/>
      <c r="EZ662" s="1628"/>
      <c r="FA662" s="1628"/>
      <c r="FH662" s="1628"/>
    </row>
    <row r="663" spans="1:176" s="1484" customFormat="1" ht="33.75" x14ac:dyDescent="0.25">
      <c r="A663" s="1620" t="s">
        <v>8075</v>
      </c>
      <c r="B663" s="1863" t="s">
        <v>8076</v>
      </c>
      <c r="C663" s="2803" t="s">
        <v>8077</v>
      </c>
      <c r="D663" s="2803"/>
      <c r="E663" s="2803"/>
      <c r="F663" s="1621" t="s">
        <v>8078</v>
      </c>
      <c r="G663" s="1622">
        <v>3.24</v>
      </c>
      <c r="H663" s="1623">
        <v>1</v>
      </c>
      <c r="I663" s="1687">
        <v>3.24</v>
      </c>
      <c r="J663" s="1625"/>
      <c r="K663" s="1622"/>
      <c r="L663" s="1625"/>
      <c r="M663" s="1622"/>
      <c r="N663" s="1627"/>
      <c r="EW663" s="2031"/>
      <c r="EX663" s="1619"/>
      <c r="EY663" s="1628" t="s">
        <v>8077</v>
      </c>
      <c r="EZ663" s="1628" t="s">
        <v>588</v>
      </c>
      <c r="FA663" s="1628" t="s">
        <v>588</v>
      </c>
      <c r="FH663" s="1628"/>
    </row>
    <row r="664" spans="1:176" s="1484" customFormat="1" ht="15" x14ac:dyDescent="0.25">
      <c r="A664" s="1629"/>
      <c r="B664" s="1862"/>
      <c r="C664" s="2805" t="s">
        <v>8882</v>
      </c>
      <c r="D664" s="2805"/>
      <c r="E664" s="2805"/>
      <c r="F664" s="2805"/>
      <c r="G664" s="2805"/>
      <c r="H664" s="2805"/>
      <c r="I664" s="2805"/>
      <c r="J664" s="2805"/>
      <c r="K664" s="2805"/>
      <c r="L664" s="2805"/>
      <c r="M664" s="2805"/>
      <c r="N664" s="2806"/>
      <c r="EW664" s="2031"/>
      <c r="EX664" s="1619"/>
      <c r="EY664" s="1628"/>
      <c r="EZ664" s="1628"/>
      <c r="FA664" s="1628"/>
      <c r="FB664" s="1864" t="s">
        <v>8882</v>
      </c>
      <c r="FH664" s="1628"/>
    </row>
    <row r="665" spans="1:176" s="1484" customFormat="1" ht="22.5" x14ac:dyDescent="0.25">
      <c r="A665" s="1630"/>
      <c r="B665" s="1631" t="s">
        <v>6062</v>
      </c>
      <c r="C665" s="2809" t="s">
        <v>6063</v>
      </c>
      <c r="D665" s="2809"/>
      <c r="E665" s="2809"/>
      <c r="F665" s="2809"/>
      <c r="G665" s="2809"/>
      <c r="H665" s="2809"/>
      <c r="I665" s="2809"/>
      <c r="J665" s="2809"/>
      <c r="K665" s="2809"/>
      <c r="L665" s="2809"/>
      <c r="M665" s="2809"/>
      <c r="N665" s="2810"/>
      <c r="EW665" s="2031"/>
      <c r="EX665" s="1619"/>
      <c r="EY665" s="1628"/>
      <c r="EZ665" s="1628"/>
      <c r="FA665" s="1628"/>
      <c r="FC665" s="1864" t="s">
        <v>6063</v>
      </c>
      <c r="FH665" s="1628"/>
    </row>
    <row r="666" spans="1:176" s="1484" customFormat="1" ht="22.5" x14ac:dyDescent="0.25">
      <c r="A666" s="2033"/>
      <c r="B666" s="1631" t="s">
        <v>1729</v>
      </c>
      <c r="C666" s="2805" t="s">
        <v>8712</v>
      </c>
      <c r="D666" s="2805"/>
      <c r="E666" s="2805"/>
      <c r="F666" s="1683" t="s">
        <v>807</v>
      </c>
      <c r="G666" s="1655">
        <v>5.36</v>
      </c>
      <c r="H666" s="1641"/>
      <c r="I666" s="2035">
        <v>17.366399999999999</v>
      </c>
      <c r="J666" s="1654">
        <v>8.5299999999999994</v>
      </c>
      <c r="K666" s="1655">
        <v>1.25</v>
      </c>
      <c r="L666" s="1654">
        <v>185.17</v>
      </c>
      <c r="M666" s="1641"/>
      <c r="N666" s="1681"/>
      <c r="EW666" s="2031"/>
      <c r="EX666" s="1619"/>
      <c r="EY666" s="1628"/>
      <c r="EZ666" s="1628"/>
      <c r="FA666" s="1628"/>
      <c r="FD666" s="1864" t="s">
        <v>8712</v>
      </c>
      <c r="FH666" s="1628"/>
    </row>
    <row r="667" spans="1:176" s="1484" customFormat="1" ht="15" x14ac:dyDescent="0.25">
      <c r="A667" s="2032"/>
      <c r="B667" s="1631" t="s">
        <v>190</v>
      </c>
      <c r="C667" s="2805" t="s">
        <v>2523</v>
      </c>
      <c r="D667" s="2805"/>
      <c r="E667" s="2805"/>
      <c r="F667" s="1683"/>
      <c r="G667" s="1641"/>
      <c r="H667" s="1641"/>
      <c r="I667" s="1641"/>
      <c r="J667" s="1654">
        <v>45.72</v>
      </c>
      <c r="K667" s="1655">
        <v>1.25</v>
      </c>
      <c r="L667" s="1654">
        <v>185.17</v>
      </c>
      <c r="M667" s="1655">
        <v>35.75</v>
      </c>
      <c r="N667" s="1679">
        <v>6619.83</v>
      </c>
      <c r="EW667" s="2031"/>
      <c r="EX667" s="1619"/>
      <c r="EY667" s="1628"/>
      <c r="EZ667" s="1628"/>
      <c r="FA667" s="1628"/>
      <c r="FE667" s="1864" t="s">
        <v>2523</v>
      </c>
      <c r="FH667" s="1628"/>
    </row>
    <row r="668" spans="1:176" s="1484" customFormat="1" ht="15" x14ac:dyDescent="0.25">
      <c r="A668" s="2033"/>
      <c r="B668" s="1631"/>
      <c r="C668" s="2805" t="s">
        <v>2524</v>
      </c>
      <c r="D668" s="2805"/>
      <c r="E668" s="2805"/>
      <c r="F668" s="1683" t="s">
        <v>807</v>
      </c>
      <c r="G668" s="1655">
        <v>5.36</v>
      </c>
      <c r="H668" s="1641"/>
      <c r="I668" s="2035">
        <v>17.366399999999999</v>
      </c>
      <c r="J668" s="1640"/>
      <c r="K668" s="1641"/>
      <c r="L668" s="1640"/>
      <c r="M668" s="1641"/>
      <c r="N668" s="1681"/>
      <c r="EW668" s="2031"/>
      <c r="EX668" s="1619"/>
      <c r="EY668" s="1628"/>
      <c r="EZ668" s="1628"/>
      <c r="FA668" s="1628"/>
      <c r="FF668" s="1864" t="s">
        <v>2524</v>
      </c>
      <c r="FH668" s="1628"/>
    </row>
    <row r="669" spans="1:176" s="1484" customFormat="1" ht="15" x14ac:dyDescent="0.25">
      <c r="A669" s="2032"/>
      <c r="B669" s="1631"/>
      <c r="C669" s="2917" t="s">
        <v>2502</v>
      </c>
      <c r="D669" s="2917"/>
      <c r="E669" s="2917"/>
      <c r="F669" s="2036"/>
      <c r="G669" s="2037"/>
      <c r="H669" s="2037"/>
      <c r="I669" s="2037"/>
      <c r="J669" s="2044">
        <v>45.72</v>
      </c>
      <c r="K669" s="2037"/>
      <c r="L669" s="2044">
        <v>185.17</v>
      </c>
      <c r="M669" s="2037"/>
      <c r="N669" s="2068">
        <v>6619.83</v>
      </c>
      <c r="EW669" s="2031"/>
      <c r="EX669" s="1619"/>
      <c r="EY669" s="1628"/>
      <c r="EZ669" s="1628"/>
      <c r="FA669" s="1628"/>
      <c r="FG669" s="1864" t="s">
        <v>2502</v>
      </c>
      <c r="FH669" s="1628"/>
    </row>
    <row r="670" spans="1:176" s="1484" customFormat="1" ht="15" x14ac:dyDescent="0.25">
      <c r="A670" s="2033"/>
      <c r="B670" s="1631"/>
      <c r="C670" s="2805" t="s">
        <v>867</v>
      </c>
      <c r="D670" s="2805"/>
      <c r="E670" s="2805"/>
      <c r="F670" s="1683"/>
      <c r="G670" s="1641"/>
      <c r="H670" s="1641"/>
      <c r="I670" s="1641"/>
      <c r="J670" s="1640"/>
      <c r="K670" s="1641"/>
      <c r="L670" s="1654">
        <v>185.17</v>
      </c>
      <c r="M670" s="1641"/>
      <c r="N670" s="1679">
        <v>6619.83</v>
      </c>
      <c r="EW670" s="2031"/>
      <c r="EX670" s="1619"/>
      <c r="EY670" s="1628"/>
      <c r="EZ670" s="1628"/>
      <c r="FA670" s="1628"/>
      <c r="FF670" s="1864" t="s">
        <v>867</v>
      </c>
      <c r="FH670" s="1628"/>
    </row>
    <row r="671" spans="1:176" s="1484" customFormat="1" ht="15" x14ac:dyDescent="0.25">
      <c r="A671" s="2033"/>
      <c r="B671" s="1631" t="s">
        <v>8079</v>
      </c>
      <c r="C671" s="2805" t="s">
        <v>8080</v>
      </c>
      <c r="D671" s="2805"/>
      <c r="E671" s="2805"/>
      <c r="F671" s="1683" t="s">
        <v>636</v>
      </c>
      <c r="G671" s="2034">
        <v>92</v>
      </c>
      <c r="H671" s="1641"/>
      <c r="I671" s="2034">
        <v>92</v>
      </c>
      <c r="J671" s="1640"/>
      <c r="K671" s="1641"/>
      <c r="L671" s="1654">
        <v>170.36</v>
      </c>
      <c r="M671" s="1641"/>
      <c r="N671" s="1679">
        <v>6090.24</v>
      </c>
      <c r="EW671" s="2031"/>
      <c r="EX671" s="1619"/>
      <c r="EY671" s="1628"/>
      <c r="EZ671" s="1628"/>
      <c r="FA671" s="1628"/>
      <c r="FF671" s="1864" t="s">
        <v>8080</v>
      </c>
      <c r="FH671" s="1628"/>
    </row>
    <row r="672" spans="1:176" s="1484" customFormat="1" ht="15" x14ac:dyDescent="0.25">
      <c r="A672" s="2033"/>
      <c r="B672" s="1631" t="s">
        <v>8081</v>
      </c>
      <c r="C672" s="2805" t="s">
        <v>8082</v>
      </c>
      <c r="D672" s="2805"/>
      <c r="E672" s="2805"/>
      <c r="F672" s="1683" t="s">
        <v>636</v>
      </c>
      <c r="G672" s="2034">
        <v>44</v>
      </c>
      <c r="H672" s="1641"/>
      <c r="I672" s="2034">
        <v>44</v>
      </c>
      <c r="J672" s="1640"/>
      <c r="K672" s="1641"/>
      <c r="L672" s="1654">
        <v>81.47</v>
      </c>
      <c r="M672" s="1641"/>
      <c r="N672" s="1679">
        <v>2912.73</v>
      </c>
      <c r="EW672" s="2031"/>
      <c r="EX672" s="1619"/>
      <c r="EY672" s="1628"/>
      <c r="EZ672" s="1628"/>
      <c r="FA672" s="1628"/>
      <c r="FF672" s="1864" t="s">
        <v>8082</v>
      </c>
      <c r="FH672" s="1628"/>
    </row>
    <row r="673" spans="1:164" s="1484" customFormat="1" ht="15" x14ac:dyDescent="0.25">
      <c r="A673" s="1650"/>
      <c r="B673" s="1651"/>
      <c r="C673" s="2803" t="s">
        <v>872</v>
      </c>
      <c r="D673" s="2803"/>
      <c r="E673" s="2803"/>
      <c r="F673" s="1621"/>
      <c r="G673" s="1622"/>
      <c r="H673" s="1622"/>
      <c r="I673" s="1622"/>
      <c r="J673" s="1625"/>
      <c r="K673" s="1622"/>
      <c r="L673" s="2040">
        <v>437</v>
      </c>
      <c r="M673" s="2037"/>
      <c r="N673" s="1649">
        <v>15622.8</v>
      </c>
      <c r="EW673" s="2031"/>
      <c r="EX673" s="1619"/>
      <c r="EY673" s="1628"/>
      <c r="EZ673" s="1628"/>
      <c r="FA673" s="1628"/>
      <c r="FH673" s="1628" t="s">
        <v>872</v>
      </c>
    </row>
    <row r="674" spans="1:164" s="1484" customFormat="1" ht="15" x14ac:dyDescent="0.25">
      <c r="A674" s="1620" t="s">
        <v>8083</v>
      </c>
      <c r="B674" s="1863" t="s">
        <v>8084</v>
      </c>
      <c r="C674" s="2803" t="s">
        <v>8085</v>
      </c>
      <c r="D674" s="2803"/>
      <c r="E674" s="2803"/>
      <c r="F674" s="1621" t="s">
        <v>4865</v>
      </c>
      <c r="G674" s="1622">
        <v>3.24</v>
      </c>
      <c r="H674" s="1623">
        <v>1</v>
      </c>
      <c r="I674" s="1687">
        <v>3.24</v>
      </c>
      <c r="J674" s="1625"/>
      <c r="K674" s="1622"/>
      <c r="L674" s="1625"/>
      <c r="M674" s="1622"/>
      <c r="N674" s="1627"/>
      <c r="EW674" s="2031"/>
      <c r="EX674" s="1619"/>
      <c r="EY674" s="1628" t="s">
        <v>8085</v>
      </c>
      <c r="EZ674" s="1628" t="s">
        <v>588</v>
      </c>
      <c r="FA674" s="1628" t="s">
        <v>588</v>
      </c>
      <c r="FH674" s="1628"/>
    </row>
    <row r="675" spans="1:164" s="1484" customFormat="1" ht="15" x14ac:dyDescent="0.25">
      <c r="A675" s="1629"/>
      <c r="B675" s="1862"/>
      <c r="C675" s="2805" t="s">
        <v>8882</v>
      </c>
      <c r="D675" s="2805"/>
      <c r="E675" s="2805"/>
      <c r="F675" s="2805"/>
      <c r="G675" s="2805"/>
      <c r="H675" s="2805"/>
      <c r="I675" s="2805"/>
      <c r="J675" s="2805"/>
      <c r="K675" s="2805"/>
      <c r="L675" s="2805"/>
      <c r="M675" s="2805"/>
      <c r="N675" s="2806"/>
      <c r="EW675" s="2031"/>
      <c r="EX675" s="1619"/>
      <c r="EY675" s="1628"/>
      <c r="EZ675" s="1628"/>
      <c r="FA675" s="1628"/>
      <c r="FB675" s="1864" t="s">
        <v>8882</v>
      </c>
      <c r="FH675" s="1628"/>
    </row>
    <row r="676" spans="1:164" s="1484" customFormat="1" ht="22.5" x14ac:dyDescent="0.25">
      <c r="A676" s="1630"/>
      <c r="B676" s="1631" t="s">
        <v>6062</v>
      </c>
      <c r="C676" s="2809" t="s">
        <v>6063</v>
      </c>
      <c r="D676" s="2809"/>
      <c r="E676" s="2809"/>
      <c r="F676" s="2809"/>
      <c r="G676" s="2809"/>
      <c r="H676" s="2809"/>
      <c r="I676" s="2809"/>
      <c r="J676" s="2809"/>
      <c r="K676" s="2809"/>
      <c r="L676" s="2809"/>
      <c r="M676" s="2809"/>
      <c r="N676" s="2810"/>
      <c r="EW676" s="2031"/>
      <c r="EX676" s="1619"/>
      <c r="EY676" s="1628"/>
      <c r="EZ676" s="1628"/>
      <c r="FA676" s="1628"/>
      <c r="FC676" s="1864" t="s">
        <v>6063</v>
      </c>
      <c r="FH676" s="1628"/>
    </row>
    <row r="677" spans="1:164" s="1484" customFormat="1" ht="22.5" x14ac:dyDescent="0.25">
      <c r="A677" s="2033"/>
      <c r="B677" s="1631" t="s">
        <v>1883</v>
      </c>
      <c r="C677" s="2805" t="s">
        <v>8708</v>
      </c>
      <c r="D677" s="2805"/>
      <c r="E677" s="2805"/>
      <c r="F677" s="1683" t="s">
        <v>807</v>
      </c>
      <c r="G677" s="1953">
        <v>16.100000000000001</v>
      </c>
      <c r="H677" s="1641"/>
      <c r="I677" s="2046">
        <v>52.164000000000001</v>
      </c>
      <c r="J677" s="1654">
        <v>9.6199999999999992</v>
      </c>
      <c r="K677" s="1655">
        <v>1.25</v>
      </c>
      <c r="L677" s="1654">
        <v>627.27</v>
      </c>
      <c r="M677" s="1641"/>
      <c r="N677" s="1681"/>
      <c r="EW677" s="2031"/>
      <c r="EX677" s="1619"/>
      <c r="EY677" s="1628"/>
      <c r="EZ677" s="1628"/>
      <c r="FA677" s="1628"/>
      <c r="FD677" s="1864" t="s">
        <v>8708</v>
      </c>
      <c r="FH677" s="1628"/>
    </row>
    <row r="678" spans="1:164" s="1484" customFormat="1" ht="15" x14ac:dyDescent="0.25">
      <c r="A678" s="2033"/>
      <c r="B678" s="1631" t="s">
        <v>821</v>
      </c>
      <c r="C678" s="2805" t="s">
        <v>822</v>
      </c>
      <c r="D678" s="2805"/>
      <c r="E678" s="2805"/>
      <c r="F678" s="1683" t="s">
        <v>4994</v>
      </c>
      <c r="G678" s="2046">
        <v>4.5999999999999999E-2</v>
      </c>
      <c r="H678" s="1641"/>
      <c r="I678" s="2042">
        <v>0.14904000000000001</v>
      </c>
      <c r="J678" s="1654">
        <v>65.709999999999994</v>
      </c>
      <c r="K678" s="1641"/>
      <c r="L678" s="1654">
        <v>9.7899999999999991</v>
      </c>
      <c r="M678" s="1641"/>
      <c r="N678" s="1681"/>
      <c r="EW678" s="2031"/>
      <c r="EX678" s="1619"/>
      <c r="EY678" s="1628"/>
      <c r="EZ678" s="1628"/>
      <c r="FA678" s="1628"/>
      <c r="FD678" s="1864" t="s">
        <v>822</v>
      </c>
      <c r="FH678" s="1628"/>
    </row>
    <row r="679" spans="1:164" s="1484" customFormat="1" ht="15" x14ac:dyDescent="0.25">
      <c r="A679" s="2033"/>
      <c r="B679" s="1631" t="s">
        <v>825</v>
      </c>
      <c r="C679" s="2805" t="s">
        <v>826</v>
      </c>
      <c r="D679" s="2805"/>
      <c r="E679" s="2805"/>
      <c r="F679" s="1683" t="s">
        <v>4994</v>
      </c>
      <c r="G679" s="2034">
        <v>6</v>
      </c>
      <c r="H679" s="1641"/>
      <c r="I679" s="1655">
        <v>19.440000000000001</v>
      </c>
      <c r="J679" s="1654">
        <v>1.2</v>
      </c>
      <c r="K679" s="1641"/>
      <c r="L679" s="1654">
        <v>23.33</v>
      </c>
      <c r="M679" s="1641"/>
      <c r="N679" s="1681"/>
      <c r="EW679" s="2031"/>
      <c r="EX679" s="1619"/>
      <c r="EY679" s="1628"/>
      <c r="EZ679" s="1628"/>
      <c r="FA679" s="1628"/>
      <c r="FD679" s="1864" t="s">
        <v>826</v>
      </c>
      <c r="FH679" s="1628"/>
    </row>
    <row r="680" spans="1:164" s="1484" customFormat="1" ht="15" x14ac:dyDescent="0.25">
      <c r="A680" s="2033"/>
      <c r="B680" s="1631" t="s">
        <v>4869</v>
      </c>
      <c r="C680" s="2805" t="s">
        <v>4870</v>
      </c>
      <c r="D680" s="2805"/>
      <c r="E680" s="2805"/>
      <c r="F680" s="1683" t="s">
        <v>801</v>
      </c>
      <c r="G680" s="2046">
        <v>2E-3</v>
      </c>
      <c r="H680" s="1641"/>
      <c r="I680" s="2042">
        <v>6.4799999999999996E-3</v>
      </c>
      <c r="J680" s="1657">
        <v>4488.3999999999996</v>
      </c>
      <c r="K680" s="1641"/>
      <c r="L680" s="1654">
        <v>29.08</v>
      </c>
      <c r="M680" s="1641"/>
      <c r="N680" s="1681"/>
      <c r="EW680" s="2031"/>
      <c r="EX680" s="1619"/>
      <c r="EY680" s="1628"/>
      <c r="EZ680" s="1628"/>
      <c r="FA680" s="1628"/>
      <c r="FD680" s="1864" t="s">
        <v>4870</v>
      </c>
      <c r="FH680" s="1628"/>
    </row>
    <row r="681" spans="1:164" s="1484" customFormat="1" ht="15" x14ac:dyDescent="0.25">
      <c r="A681" s="2033"/>
      <c r="B681" s="1631" t="s">
        <v>4877</v>
      </c>
      <c r="C681" s="2805" t="s">
        <v>4878</v>
      </c>
      <c r="D681" s="2805"/>
      <c r="E681" s="2805"/>
      <c r="F681" s="1683" t="s">
        <v>801</v>
      </c>
      <c r="G681" s="2042">
        <v>4.1599999999999996E-3</v>
      </c>
      <c r="H681" s="1641"/>
      <c r="I681" s="2049">
        <v>1.34784E-2</v>
      </c>
      <c r="J681" s="1657">
        <v>30540</v>
      </c>
      <c r="K681" s="1641"/>
      <c r="L681" s="1654">
        <v>411.63</v>
      </c>
      <c r="M681" s="1641"/>
      <c r="N681" s="1681"/>
      <c r="EW681" s="2031"/>
      <c r="EX681" s="1619"/>
      <c r="EY681" s="1628"/>
      <c r="EZ681" s="1628"/>
      <c r="FA681" s="1628"/>
      <c r="FD681" s="1864" t="s">
        <v>4878</v>
      </c>
      <c r="FH681" s="1628"/>
    </row>
    <row r="682" spans="1:164" s="1484" customFormat="1" ht="15" x14ac:dyDescent="0.25">
      <c r="A682" s="2033"/>
      <c r="B682" s="1631" t="s">
        <v>830</v>
      </c>
      <c r="C682" s="2805" t="s">
        <v>831</v>
      </c>
      <c r="D682" s="2805"/>
      <c r="E682" s="2805"/>
      <c r="F682" s="1683" t="s">
        <v>832</v>
      </c>
      <c r="G682" s="2034">
        <v>6</v>
      </c>
      <c r="H682" s="1641"/>
      <c r="I682" s="1655">
        <v>19.440000000000001</v>
      </c>
      <c r="J682" s="1654">
        <v>6.22</v>
      </c>
      <c r="K682" s="1641"/>
      <c r="L682" s="1654">
        <v>120.92</v>
      </c>
      <c r="M682" s="1641"/>
      <c r="N682" s="1681"/>
      <c r="EW682" s="2031"/>
      <c r="EX682" s="1619"/>
      <c r="EY682" s="1628"/>
      <c r="EZ682" s="1628"/>
      <c r="FA682" s="1628"/>
      <c r="FD682" s="1864" t="s">
        <v>831</v>
      </c>
      <c r="FH682" s="1628"/>
    </row>
    <row r="683" spans="1:164" s="1484" customFormat="1" ht="15" x14ac:dyDescent="0.25">
      <c r="A683" s="2033"/>
      <c r="B683" s="1631" t="s">
        <v>4987</v>
      </c>
      <c r="C683" s="2805" t="s">
        <v>4988</v>
      </c>
      <c r="D683" s="2805"/>
      <c r="E683" s="2805"/>
      <c r="F683" s="1683" t="s">
        <v>801</v>
      </c>
      <c r="G683" s="2042">
        <v>5.0000000000000002E-5</v>
      </c>
      <c r="H683" s="1641"/>
      <c r="I683" s="2043">
        <v>1.6200000000000001E-4</v>
      </c>
      <c r="J683" s="1657">
        <v>67872</v>
      </c>
      <c r="K683" s="1641"/>
      <c r="L683" s="1654">
        <v>11</v>
      </c>
      <c r="M683" s="1641"/>
      <c r="N683" s="1681"/>
      <c r="EW683" s="2031"/>
      <c r="EX683" s="1619"/>
      <c r="EY683" s="1628"/>
      <c r="EZ683" s="1628"/>
      <c r="FA683" s="1628"/>
      <c r="FD683" s="1864" t="s">
        <v>4988</v>
      </c>
      <c r="FH683" s="1628"/>
    </row>
    <row r="684" spans="1:164" s="1484" customFormat="1" ht="15" x14ac:dyDescent="0.25">
      <c r="A684" s="2033"/>
      <c r="B684" s="1631" t="s">
        <v>858</v>
      </c>
      <c r="C684" s="2805" t="s">
        <v>859</v>
      </c>
      <c r="D684" s="2805"/>
      <c r="E684" s="2805"/>
      <c r="F684" s="1683" t="s">
        <v>835</v>
      </c>
      <c r="G684" s="1655">
        <v>0.02</v>
      </c>
      <c r="H684" s="1641"/>
      <c r="I684" s="2035">
        <v>6.4799999999999996E-2</v>
      </c>
      <c r="J684" s="1654">
        <v>9.42</v>
      </c>
      <c r="K684" s="1641"/>
      <c r="L684" s="1654">
        <v>0.61</v>
      </c>
      <c r="M684" s="1641"/>
      <c r="N684" s="1681"/>
      <c r="EW684" s="2031"/>
      <c r="EX684" s="1619"/>
      <c r="EY684" s="1628"/>
      <c r="EZ684" s="1628"/>
      <c r="FA684" s="1628"/>
      <c r="FD684" s="1864" t="s">
        <v>859</v>
      </c>
      <c r="FH684" s="1628"/>
    </row>
    <row r="685" spans="1:164" s="1484" customFormat="1" ht="15" x14ac:dyDescent="0.25">
      <c r="A685" s="2033"/>
      <c r="B685" s="1631" t="s">
        <v>8881</v>
      </c>
      <c r="C685" s="2805" t="s">
        <v>8880</v>
      </c>
      <c r="D685" s="2805"/>
      <c r="E685" s="2805"/>
      <c r="F685" s="1683" t="s">
        <v>801</v>
      </c>
      <c r="G685" s="2035">
        <v>1.4E-3</v>
      </c>
      <c r="H685" s="1641"/>
      <c r="I685" s="2043">
        <v>4.5360000000000001E-3</v>
      </c>
      <c r="J685" s="1657">
        <v>18950</v>
      </c>
      <c r="K685" s="1641"/>
      <c r="L685" s="1654">
        <v>85.96</v>
      </c>
      <c r="M685" s="1641"/>
      <c r="N685" s="1681"/>
      <c r="EW685" s="2031"/>
      <c r="EX685" s="1619"/>
      <c r="EY685" s="1628"/>
      <c r="EZ685" s="1628"/>
      <c r="FA685" s="1628"/>
      <c r="FD685" s="1864" t="s">
        <v>8880</v>
      </c>
      <c r="FH685" s="1628"/>
    </row>
    <row r="686" spans="1:164" s="1484" customFormat="1" ht="15" x14ac:dyDescent="0.25">
      <c r="A686" s="2032"/>
      <c r="B686" s="1631" t="s">
        <v>190</v>
      </c>
      <c r="C686" s="2805" t="s">
        <v>2523</v>
      </c>
      <c r="D686" s="2805"/>
      <c r="E686" s="2805"/>
      <c r="F686" s="1683"/>
      <c r="G686" s="1641"/>
      <c r="H686" s="1641"/>
      <c r="I686" s="1641"/>
      <c r="J686" s="1654">
        <v>154.88</v>
      </c>
      <c r="K686" s="1655">
        <v>1.25</v>
      </c>
      <c r="L686" s="1654">
        <v>627.26</v>
      </c>
      <c r="M686" s="1655">
        <v>35.75</v>
      </c>
      <c r="N686" s="1679">
        <v>22424.55</v>
      </c>
      <c r="EW686" s="2031"/>
      <c r="EX686" s="1619"/>
      <c r="EY686" s="1628"/>
      <c r="EZ686" s="1628"/>
      <c r="FA686" s="1628"/>
      <c r="FE686" s="1864" t="s">
        <v>2523</v>
      </c>
      <c r="FH686" s="1628"/>
    </row>
    <row r="687" spans="1:164" s="1484" customFormat="1" ht="15" x14ac:dyDescent="0.25">
      <c r="A687" s="2032"/>
      <c r="B687" s="1631" t="s">
        <v>639</v>
      </c>
      <c r="C687" s="2805" t="s">
        <v>697</v>
      </c>
      <c r="D687" s="2805"/>
      <c r="E687" s="2805"/>
      <c r="F687" s="1683"/>
      <c r="G687" s="1641"/>
      <c r="H687" s="1641"/>
      <c r="I687" s="1641"/>
      <c r="J687" s="1654">
        <v>10.220000000000001</v>
      </c>
      <c r="K687" s="1641"/>
      <c r="L687" s="1654">
        <v>33.11</v>
      </c>
      <c r="M687" s="1655">
        <v>11.97</v>
      </c>
      <c r="N687" s="2039">
        <v>396.33</v>
      </c>
      <c r="EW687" s="2031"/>
      <c r="EX687" s="1619"/>
      <c r="EY687" s="1628"/>
      <c r="EZ687" s="1628"/>
      <c r="FA687" s="1628"/>
      <c r="FE687" s="1864" t="s">
        <v>697</v>
      </c>
      <c r="FH687" s="1628"/>
    </row>
    <row r="688" spans="1:164" s="1484" customFormat="1" ht="15" x14ac:dyDescent="0.25">
      <c r="A688" s="2032"/>
      <c r="B688" s="1631" t="s">
        <v>640</v>
      </c>
      <c r="C688" s="2805" t="s">
        <v>2500</v>
      </c>
      <c r="D688" s="2805"/>
      <c r="E688" s="2805"/>
      <c r="F688" s="1683"/>
      <c r="G688" s="1641"/>
      <c r="H688" s="1641"/>
      <c r="I688" s="1641"/>
      <c r="J688" s="1654">
        <v>0.53</v>
      </c>
      <c r="K688" s="1641"/>
      <c r="L688" s="1654">
        <v>1.72</v>
      </c>
      <c r="M688" s="1655">
        <v>35.75</v>
      </c>
      <c r="N688" s="2039">
        <v>61.49</v>
      </c>
      <c r="EW688" s="2031"/>
      <c r="EX688" s="1619"/>
      <c r="EY688" s="1628"/>
      <c r="EZ688" s="1628"/>
      <c r="FA688" s="1628"/>
      <c r="FE688" s="1864" t="s">
        <v>2500</v>
      </c>
      <c r="FH688" s="1628"/>
    </row>
    <row r="689" spans="1:176" s="1484" customFormat="1" ht="15" x14ac:dyDescent="0.25">
      <c r="A689" s="2032"/>
      <c r="B689" s="1631" t="s">
        <v>232</v>
      </c>
      <c r="C689" s="2805" t="s">
        <v>829</v>
      </c>
      <c r="D689" s="2805"/>
      <c r="E689" s="2805"/>
      <c r="F689" s="1683"/>
      <c r="G689" s="1641"/>
      <c r="H689" s="1641"/>
      <c r="I689" s="1641"/>
      <c r="J689" s="1654">
        <v>203.46</v>
      </c>
      <c r="K689" s="1641"/>
      <c r="L689" s="1654">
        <v>659.21</v>
      </c>
      <c r="M689" s="1655">
        <v>9.14</v>
      </c>
      <c r="N689" s="1679">
        <v>6025.18</v>
      </c>
      <c r="EW689" s="2031"/>
      <c r="EX689" s="1619"/>
      <c r="EY689" s="1628"/>
      <c r="EZ689" s="1628"/>
      <c r="FA689" s="1628"/>
      <c r="FE689" s="1864" t="s">
        <v>829</v>
      </c>
      <c r="FH689" s="1628"/>
    </row>
    <row r="690" spans="1:176" s="1484" customFormat="1" ht="15" x14ac:dyDescent="0.25">
      <c r="A690" s="2033"/>
      <c r="B690" s="1631"/>
      <c r="C690" s="2805" t="s">
        <v>2524</v>
      </c>
      <c r="D690" s="2805"/>
      <c r="E690" s="2805"/>
      <c r="F690" s="1683" t="s">
        <v>807</v>
      </c>
      <c r="G690" s="1953">
        <v>16.100000000000001</v>
      </c>
      <c r="H690" s="1641"/>
      <c r="I690" s="2046">
        <v>52.164000000000001</v>
      </c>
      <c r="J690" s="1640"/>
      <c r="K690" s="1641"/>
      <c r="L690" s="1640"/>
      <c r="M690" s="1641"/>
      <c r="N690" s="1681"/>
      <c r="EW690" s="2031"/>
      <c r="EX690" s="1619"/>
      <c r="EY690" s="1628"/>
      <c r="EZ690" s="1628"/>
      <c r="FA690" s="1628"/>
      <c r="FF690" s="1864" t="s">
        <v>2524</v>
      </c>
      <c r="FH690" s="1628"/>
    </row>
    <row r="691" spans="1:176" s="1484" customFormat="1" ht="15" x14ac:dyDescent="0.25">
      <c r="A691" s="2033"/>
      <c r="B691" s="1631"/>
      <c r="C691" s="2805" t="s">
        <v>2501</v>
      </c>
      <c r="D691" s="2805"/>
      <c r="E691" s="2805"/>
      <c r="F691" s="1683" t="s">
        <v>807</v>
      </c>
      <c r="G691" s="1655">
        <v>0.05</v>
      </c>
      <c r="H691" s="1641"/>
      <c r="I691" s="2046">
        <v>0.16200000000000001</v>
      </c>
      <c r="J691" s="1640"/>
      <c r="K691" s="1641"/>
      <c r="L691" s="1640"/>
      <c r="M691" s="1641"/>
      <c r="N691" s="1681"/>
      <c r="EW691" s="2031"/>
      <c r="EX691" s="1619"/>
      <c r="EY691" s="1628"/>
      <c r="EZ691" s="1628"/>
      <c r="FA691" s="1628"/>
      <c r="FF691" s="1864" t="s">
        <v>2501</v>
      </c>
      <c r="FH691" s="1628"/>
    </row>
    <row r="692" spans="1:176" s="1484" customFormat="1" ht="15" x14ac:dyDescent="0.25">
      <c r="A692" s="2032"/>
      <c r="B692" s="1631"/>
      <c r="C692" s="2917" t="s">
        <v>2502</v>
      </c>
      <c r="D692" s="2917"/>
      <c r="E692" s="2917"/>
      <c r="F692" s="2036"/>
      <c r="G692" s="2037"/>
      <c r="H692" s="2037"/>
      <c r="I692" s="2037"/>
      <c r="J692" s="2044">
        <v>368.56</v>
      </c>
      <c r="K692" s="2037"/>
      <c r="L692" s="2038">
        <v>1319.58</v>
      </c>
      <c r="M692" s="2037"/>
      <c r="N692" s="2068">
        <v>28846.06</v>
      </c>
      <c r="EW692" s="2031"/>
      <c r="EX692" s="1619"/>
      <c r="EY692" s="1628"/>
      <c r="EZ692" s="1628"/>
      <c r="FA692" s="1628"/>
      <c r="FG692" s="1864" t="s">
        <v>2502</v>
      </c>
      <c r="FH692" s="1628"/>
    </row>
    <row r="693" spans="1:176" s="1484" customFormat="1" ht="15" x14ac:dyDescent="0.25">
      <c r="A693" s="2033" t="s">
        <v>8086</v>
      </c>
      <c r="B693" s="1631"/>
      <c r="C693" s="2805" t="s">
        <v>7964</v>
      </c>
      <c r="D693" s="2805"/>
      <c r="E693" s="2805"/>
      <c r="F693" s="1683" t="s">
        <v>5928</v>
      </c>
      <c r="G693" s="1641"/>
      <c r="H693" s="1641"/>
      <c r="I693" s="1641"/>
      <c r="J693" s="1640"/>
      <c r="K693" s="1641"/>
      <c r="L693" s="1654">
        <v>0.43</v>
      </c>
      <c r="M693" s="1641"/>
      <c r="N693" s="2039">
        <v>15.37</v>
      </c>
      <c r="EW693" s="2031"/>
      <c r="EX693" s="1619"/>
      <c r="EY693" s="1628"/>
      <c r="EZ693" s="1628"/>
      <c r="FA693" s="1628"/>
      <c r="FF693" s="1864" t="s">
        <v>7964</v>
      </c>
      <c r="FH693" s="1628"/>
    </row>
    <row r="694" spans="1:176" s="1484" customFormat="1" ht="15" x14ac:dyDescent="0.25">
      <c r="A694" s="2033"/>
      <c r="B694" s="1631"/>
      <c r="C694" s="2805" t="s">
        <v>7965</v>
      </c>
      <c r="D694" s="2805"/>
      <c r="E694" s="2805"/>
      <c r="F694" s="1683" t="s">
        <v>5928</v>
      </c>
      <c r="G694" s="1641"/>
      <c r="H694" s="1641"/>
      <c r="I694" s="1641"/>
      <c r="J694" s="1654">
        <v>0.53</v>
      </c>
      <c r="K694" s="1655">
        <v>0.25</v>
      </c>
      <c r="L694" s="1654">
        <v>0.43</v>
      </c>
      <c r="M694" s="1655">
        <v>35.75</v>
      </c>
      <c r="N694" s="2039">
        <v>15.37</v>
      </c>
      <c r="EW694" s="2031"/>
      <c r="EX694" s="1619"/>
      <c r="EY694" s="1628"/>
      <c r="EZ694" s="1628"/>
      <c r="FA694" s="1628"/>
      <c r="FF694" s="1864" t="s">
        <v>7965</v>
      </c>
      <c r="FH694" s="1628"/>
    </row>
    <row r="695" spans="1:176" s="1484" customFormat="1" ht="15" x14ac:dyDescent="0.25">
      <c r="A695" s="2033"/>
      <c r="B695" s="1631"/>
      <c r="C695" s="2805" t="s">
        <v>867</v>
      </c>
      <c r="D695" s="2805"/>
      <c r="E695" s="2805"/>
      <c r="F695" s="1683"/>
      <c r="G695" s="1641"/>
      <c r="H695" s="1641"/>
      <c r="I695" s="1641"/>
      <c r="J695" s="1640"/>
      <c r="K695" s="1641"/>
      <c r="L695" s="1654">
        <v>629.41</v>
      </c>
      <c r="M695" s="1641"/>
      <c r="N695" s="1679">
        <v>22501.41</v>
      </c>
      <c r="EW695" s="2031"/>
      <c r="EX695" s="1619"/>
      <c r="EY695" s="1628"/>
      <c r="EZ695" s="1628"/>
      <c r="FA695" s="1628"/>
      <c r="FF695" s="1864" t="s">
        <v>867</v>
      </c>
      <c r="FH695" s="1628"/>
    </row>
    <row r="696" spans="1:176" s="1484" customFormat="1" ht="15" x14ac:dyDescent="0.25">
      <c r="A696" s="2033"/>
      <c r="B696" s="1631" t="s">
        <v>868</v>
      </c>
      <c r="C696" s="2805" t="s">
        <v>869</v>
      </c>
      <c r="D696" s="2805"/>
      <c r="E696" s="2805"/>
      <c r="F696" s="1683" t="s">
        <v>636</v>
      </c>
      <c r="G696" s="2034">
        <v>93</v>
      </c>
      <c r="H696" s="1641"/>
      <c r="I696" s="2034">
        <v>93</v>
      </c>
      <c r="J696" s="1640"/>
      <c r="K696" s="1641"/>
      <c r="L696" s="1654">
        <v>585.35</v>
      </c>
      <c r="M696" s="1641"/>
      <c r="N696" s="1679">
        <v>20926.310000000001</v>
      </c>
      <c r="EW696" s="2031"/>
      <c r="EX696" s="1619"/>
      <c r="EY696" s="1628"/>
      <c r="EZ696" s="1628"/>
      <c r="FA696" s="1628"/>
      <c r="FF696" s="1864" t="s">
        <v>869</v>
      </c>
      <c r="FH696" s="1628"/>
    </row>
    <row r="697" spans="1:176" s="1484" customFormat="1" ht="15" x14ac:dyDescent="0.25">
      <c r="A697" s="2033"/>
      <c r="B697" s="1631" t="s">
        <v>8087</v>
      </c>
      <c r="C697" s="2805" t="s">
        <v>871</v>
      </c>
      <c r="D697" s="2805"/>
      <c r="E697" s="2805"/>
      <c r="F697" s="1683" t="s">
        <v>636</v>
      </c>
      <c r="G697" s="2034">
        <v>62</v>
      </c>
      <c r="H697" s="1641"/>
      <c r="I697" s="2034">
        <v>62</v>
      </c>
      <c r="J697" s="1640"/>
      <c r="K697" s="1641"/>
      <c r="L697" s="1654">
        <v>390.23</v>
      </c>
      <c r="M697" s="1641"/>
      <c r="N697" s="1679">
        <v>13950.87</v>
      </c>
      <c r="EW697" s="2031"/>
      <c r="EX697" s="1619"/>
      <c r="EY697" s="1628"/>
      <c r="EZ697" s="1628"/>
      <c r="FA697" s="1628"/>
      <c r="FF697" s="1864" t="s">
        <v>871</v>
      </c>
      <c r="FH697" s="1628"/>
    </row>
    <row r="698" spans="1:176" s="1484" customFormat="1" ht="15" x14ac:dyDescent="0.25">
      <c r="A698" s="1650"/>
      <c r="B698" s="1651"/>
      <c r="C698" s="2803" t="s">
        <v>872</v>
      </c>
      <c r="D698" s="2803"/>
      <c r="E698" s="2803"/>
      <c r="F698" s="1621"/>
      <c r="G698" s="1622"/>
      <c r="H698" s="1622"/>
      <c r="I698" s="1622"/>
      <c r="J698" s="1625"/>
      <c r="K698" s="1622"/>
      <c r="L698" s="1648">
        <v>2295.59</v>
      </c>
      <c r="M698" s="2037"/>
      <c r="N698" s="1649">
        <v>63738.61</v>
      </c>
      <c r="EW698" s="2031"/>
      <c r="EX698" s="1619"/>
      <c r="EY698" s="1628"/>
      <c r="EZ698" s="1628"/>
      <c r="FA698" s="1628"/>
      <c r="FH698" s="1628" t="s">
        <v>872</v>
      </c>
    </row>
    <row r="699" spans="1:176" s="1484" customFormat="1" ht="15" x14ac:dyDescent="0.25">
      <c r="A699" s="1620" t="s">
        <v>8088</v>
      </c>
      <c r="B699" s="1863" t="s">
        <v>8089</v>
      </c>
      <c r="C699" s="2803" t="s">
        <v>4904</v>
      </c>
      <c r="D699" s="2803"/>
      <c r="E699" s="2803"/>
      <c r="F699" s="1621" t="s">
        <v>801</v>
      </c>
      <c r="G699" s="1622">
        <v>0.10270799999999999</v>
      </c>
      <c r="H699" s="1623">
        <v>1</v>
      </c>
      <c r="I699" s="2047">
        <v>0.10270799999999999</v>
      </c>
      <c r="J699" s="1648">
        <v>25542.66</v>
      </c>
      <c r="K699" s="1622"/>
      <c r="L699" s="1648">
        <v>2623.44</v>
      </c>
      <c r="M699" s="1687">
        <v>9.14</v>
      </c>
      <c r="N699" s="1649">
        <v>23978.240000000002</v>
      </c>
      <c r="EW699" s="2031"/>
      <c r="EX699" s="1619"/>
      <c r="EY699" s="1628" t="s">
        <v>4904</v>
      </c>
      <c r="EZ699" s="1628" t="s">
        <v>588</v>
      </c>
      <c r="FA699" s="1628" t="s">
        <v>588</v>
      </c>
      <c r="FH699" s="1628"/>
    </row>
    <row r="700" spans="1:176" s="1484" customFormat="1" ht="15" x14ac:dyDescent="0.25">
      <c r="A700" s="1650"/>
      <c r="B700" s="1651"/>
      <c r="C700" s="2805" t="s">
        <v>882</v>
      </c>
      <c r="D700" s="2805"/>
      <c r="E700" s="2805"/>
      <c r="F700" s="2805"/>
      <c r="G700" s="2805"/>
      <c r="H700" s="2805"/>
      <c r="I700" s="2805"/>
      <c r="J700" s="2805"/>
      <c r="K700" s="2805"/>
      <c r="L700" s="2805"/>
      <c r="M700" s="2805"/>
      <c r="N700" s="2806"/>
      <c r="EW700" s="2031"/>
      <c r="EX700" s="1619"/>
      <c r="EY700" s="1628"/>
      <c r="EZ700" s="1628"/>
      <c r="FA700" s="1628"/>
      <c r="FH700" s="1628"/>
      <c r="FI700" s="1864" t="s">
        <v>882</v>
      </c>
      <c r="FJ700" s="1864" t="s">
        <v>588</v>
      </c>
      <c r="FK700" s="1864" t="s">
        <v>588</v>
      </c>
      <c r="FL700" s="1864" t="s">
        <v>588</v>
      </c>
      <c r="FM700" s="1864" t="s">
        <v>588</v>
      </c>
      <c r="FN700" s="1864" t="s">
        <v>588</v>
      </c>
      <c r="FO700" s="1864" t="s">
        <v>588</v>
      </c>
      <c r="FP700" s="1864" t="s">
        <v>588</v>
      </c>
      <c r="FQ700" s="1864" t="s">
        <v>588</v>
      </c>
      <c r="FR700" s="1864" t="s">
        <v>588</v>
      </c>
      <c r="FS700" s="1864" t="s">
        <v>588</v>
      </c>
      <c r="FT700" s="1864" t="s">
        <v>588</v>
      </c>
    </row>
    <row r="701" spans="1:176" s="1484" customFormat="1" ht="15" x14ac:dyDescent="0.25">
      <c r="A701" s="1629"/>
      <c r="B701" s="1862"/>
      <c r="C701" s="2805" t="s">
        <v>8879</v>
      </c>
      <c r="D701" s="2805"/>
      <c r="E701" s="2805"/>
      <c r="F701" s="2805"/>
      <c r="G701" s="2805"/>
      <c r="H701" s="2805"/>
      <c r="I701" s="2805"/>
      <c r="J701" s="2805"/>
      <c r="K701" s="2805"/>
      <c r="L701" s="2805"/>
      <c r="M701" s="2805"/>
      <c r="N701" s="2806"/>
      <c r="EW701" s="2031"/>
      <c r="EX701" s="1619"/>
      <c r="EY701" s="1628"/>
      <c r="EZ701" s="1628"/>
      <c r="FA701" s="1628"/>
      <c r="FB701" s="1864" t="s">
        <v>8879</v>
      </c>
      <c r="FH701" s="1628"/>
    </row>
    <row r="702" spans="1:176" s="1484" customFormat="1" ht="15" x14ac:dyDescent="0.25">
      <c r="A702" s="1650"/>
      <c r="B702" s="1651"/>
      <c r="C702" s="2803" t="s">
        <v>872</v>
      </c>
      <c r="D702" s="2803"/>
      <c r="E702" s="2803"/>
      <c r="F702" s="1621"/>
      <c r="G702" s="1622"/>
      <c r="H702" s="1622"/>
      <c r="I702" s="1622"/>
      <c r="J702" s="1625"/>
      <c r="K702" s="1622"/>
      <c r="L702" s="1648">
        <v>2623.44</v>
      </c>
      <c r="M702" s="2037"/>
      <c r="N702" s="1649">
        <v>23978.240000000002</v>
      </c>
      <c r="EW702" s="2031"/>
      <c r="EX702" s="1619"/>
      <c r="EY702" s="1628"/>
      <c r="EZ702" s="1628"/>
      <c r="FA702" s="1628"/>
      <c r="FH702" s="1628" t="s">
        <v>872</v>
      </c>
    </row>
    <row r="703" spans="1:176" s="1484" customFormat="1" ht="22.5" x14ac:dyDescent="0.25">
      <c r="A703" s="1620" t="s">
        <v>8090</v>
      </c>
      <c r="B703" s="1863" t="s">
        <v>8091</v>
      </c>
      <c r="C703" s="2803" t="s">
        <v>8092</v>
      </c>
      <c r="D703" s="2803"/>
      <c r="E703" s="2803"/>
      <c r="F703" s="1621" t="s">
        <v>4883</v>
      </c>
      <c r="G703" s="1622">
        <v>86</v>
      </c>
      <c r="H703" s="1623">
        <v>1</v>
      </c>
      <c r="I703" s="1623">
        <v>86</v>
      </c>
      <c r="J703" s="1625"/>
      <c r="K703" s="1622"/>
      <c r="L703" s="1625"/>
      <c r="M703" s="1622"/>
      <c r="N703" s="1627"/>
      <c r="EW703" s="2031"/>
      <c r="EX703" s="1619"/>
      <c r="EY703" s="1628" t="s">
        <v>8092</v>
      </c>
      <c r="EZ703" s="1628" t="s">
        <v>588</v>
      </c>
      <c r="FA703" s="1628" t="s">
        <v>588</v>
      </c>
      <c r="FH703" s="1628"/>
    </row>
    <row r="704" spans="1:176" s="1484" customFormat="1" ht="15" x14ac:dyDescent="0.25">
      <c r="A704" s="1629"/>
      <c r="B704" s="1862"/>
      <c r="C704" s="2805" t="s">
        <v>8878</v>
      </c>
      <c r="D704" s="2805"/>
      <c r="E704" s="2805"/>
      <c r="F704" s="2805"/>
      <c r="G704" s="2805"/>
      <c r="H704" s="2805"/>
      <c r="I704" s="2805"/>
      <c r="J704" s="2805"/>
      <c r="K704" s="2805"/>
      <c r="L704" s="2805"/>
      <c r="M704" s="2805"/>
      <c r="N704" s="2806"/>
      <c r="EW704" s="2031"/>
      <c r="EX704" s="1619"/>
      <c r="EY704" s="1628"/>
      <c r="EZ704" s="1628"/>
      <c r="FA704" s="1628"/>
      <c r="FB704" s="1864" t="s">
        <v>8878</v>
      </c>
      <c r="FH704" s="1628"/>
    </row>
    <row r="705" spans="1:164" s="1484" customFormat="1" ht="22.5" x14ac:dyDescent="0.25">
      <c r="A705" s="1630"/>
      <c r="B705" s="1631" t="s">
        <v>6062</v>
      </c>
      <c r="C705" s="2809" t="s">
        <v>6063</v>
      </c>
      <c r="D705" s="2809"/>
      <c r="E705" s="2809"/>
      <c r="F705" s="2809"/>
      <c r="G705" s="2809"/>
      <c r="H705" s="2809"/>
      <c r="I705" s="2809"/>
      <c r="J705" s="2809"/>
      <c r="K705" s="2809"/>
      <c r="L705" s="2809"/>
      <c r="M705" s="2809"/>
      <c r="N705" s="2810"/>
      <c r="EW705" s="2031"/>
      <c r="EX705" s="1619"/>
      <c r="EY705" s="1628"/>
      <c r="EZ705" s="1628"/>
      <c r="FA705" s="1628"/>
      <c r="FC705" s="1864" t="s">
        <v>6063</v>
      </c>
      <c r="FH705" s="1628"/>
    </row>
    <row r="706" spans="1:164" s="1484" customFormat="1" ht="22.5" x14ac:dyDescent="0.25">
      <c r="A706" s="2033"/>
      <c r="B706" s="1631" t="s">
        <v>8704</v>
      </c>
      <c r="C706" s="2805" t="s">
        <v>8703</v>
      </c>
      <c r="D706" s="2805"/>
      <c r="E706" s="2805"/>
      <c r="F706" s="1683" t="s">
        <v>807</v>
      </c>
      <c r="G706" s="1953">
        <v>6.2</v>
      </c>
      <c r="H706" s="1641"/>
      <c r="I706" s="1953">
        <v>533.20000000000005</v>
      </c>
      <c r="J706" s="1654">
        <v>9.4</v>
      </c>
      <c r="K706" s="1655">
        <v>1.25</v>
      </c>
      <c r="L706" s="1657">
        <v>6265.1</v>
      </c>
      <c r="M706" s="1641"/>
      <c r="N706" s="1681"/>
      <c r="EW706" s="2031"/>
      <c r="EX706" s="1619"/>
      <c r="EY706" s="1628"/>
      <c r="EZ706" s="1628"/>
      <c r="FA706" s="1628"/>
      <c r="FD706" s="1864" t="s">
        <v>8703</v>
      </c>
      <c r="FH706" s="1628"/>
    </row>
    <row r="707" spans="1:164" s="1484" customFormat="1" ht="22.5" x14ac:dyDescent="0.25">
      <c r="A707" s="2033"/>
      <c r="B707" s="1631" t="s">
        <v>1668</v>
      </c>
      <c r="C707" s="2805" t="s">
        <v>8876</v>
      </c>
      <c r="D707" s="2805"/>
      <c r="E707" s="2805"/>
      <c r="F707" s="1683" t="s">
        <v>8877</v>
      </c>
      <c r="G707" s="1655">
        <v>1.17</v>
      </c>
      <c r="H707" s="1641"/>
      <c r="I707" s="1655">
        <v>100.62</v>
      </c>
      <c r="J707" s="1654">
        <v>1</v>
      </c>
      <c r="K707" s="1641"/>
      <c r="L707" s="1654">
        <v>100.62</v>
      </c>
      <c r="M707" s="1641"/>
      <c r="N707" s="1681"/>
      <c r="EW707" s="2031"/>
      <c r="EX707" s="1619"/>
      <c r="EY707" s="1628"/>
      <c r="EZ707" s="1628"/>
      <c r="FA707" s="1628"/>
      <c r="FD707" s="1864" t="s">
        <v>8876</v>
      </c>
      <c r="FH707" s="1628"/>
    </row>
    <row r="708" spans="1:164" s="1484" customFormat="1" ht="15" x14ac:dyDescent="0.25">
      <c r="A708" s="2032"/>
      <c r="B708" s="1631" t="s">
        <v>190</v>
      </c>
      <c r="C708" s="2805" t="s">
        <v>2523</v>
      </c>
      <c r="D708" s="2805"/>
      <c r="E708" s="2805"/>
      <c r="F708" s="1683"/>
      <c r="G708" s="1641"/>
      <c r="H708" s="1641"/>
      <c r="I708" s="1641"/>
      <c r="J708" s="1654">
        <v>58.28</v>
      </c>
      <c r="K708" s="1655">
        <v>1.25</v>
      </c>
      <c r="L708" s="1657">
        <v>6265.1</v>
      </c>
      <c r="M708" s="1655">
        <v>35.75</v>
      </c>
      <c r="N708" s="1679">
        <v>223977.33</v>
      </c>
      <c r="EW708" s="2031"/>
      <c r="EX708" s="1619"/>
      <c r="EY708" s="1628"/>
      <c r="EZ708" s="1628"/>
      <c r="FA708" s="1628"/>
      <c r="FE708" s="1864" t="s">
        <v>2523</v>
      </c>
      <c r="FH708" s="1628"/>
    </row>
    <row r="709" spans="1:164" s="1484" customFormat="1" ht="15" x14ac:dyDescent="0.25">
      <c r="A709" s="2032"/>
      <c r="B709" s="1631" t="s">
        <v>232</v>
      </c>
      <c r="C709" s="2805" t="s">
        <v>829</v>
      </c>
      <c r="D709" s="2805"/>
      <c r="E709" s="2805"/>
      <c r="F709" s="1683"/>
      <c r="G709" s="1641"/>
      <c r="H709" s="1641"/>
      <c r="I709" s="1641"/>
      <c r="J709" s="1654">
        <v>1.17</v>
      </c>
      <c r="K709" s="1641"/>
      <c r="L709" s="1654">
        <v>100.62</v>
      </c>
      <c r="M709" s="1655">
        <v>9.14</v>
      </c>
      <c r="N709" s="2039">
        <v>919.67</v>
      </c>
      <c r="EW709" s="2031"/>
      <c r="EX709" s="1619"/>
      <c r="EY709" s="1628"/>
      <c r="EZ709" s="1628"/>
      <c r="FA709" s="1628"/>
      <c r="FE709" s="1864" t="s">
        <v>829</v>
      </c>
      <c r="FH709" s="1628"/>
    </row>
    <row r="710" spans="1:164" s="1484" customFormat="1" ht="15" x14ac:dyDescent="0.25">
      <c r="A710" s="2033"/>
      <c r="B710" s="1631"/>
      <c r="C710" s="2805" t="s">
        <v>2524</v>
      </c>
      <c r="D710" s="2805"/>
      <c r="E710" s="2805"/>
      <c r="F710" s="1683" t="s">
        <v>807</v>
      </c>
      <c r="G710" s="1953">
        <v>6.2</v>
      </c>
      <c r="H710" s="1641"/>
      <c r="I710" s="1953">
        <v>533.20000000000005</v>
      </c>
      <c r="J710" s="1640"/>
      <c r="K710" s="1641"/>
      <c r="L710" s="1640"/>
      <c r="M710" s="1641"/>
      <c r="N710" s="1681"/>
      <c r="EW710" s="2031"/>
      <c r="EX710" s="1619"/>
      <c r="EY710" s="1628"/>
      <c r="EZ710" s="1628"/>
      <c r="FA710" s="1628"/>
      <c r="FF710" s="1864" t="s">
        <v>2524</v>
      </c>
      <c r="FH710" s="1628"/>
    </row>
    <row r="711" spans="1:164" s="1484" customFormat="1" ht="15" x14ac:dyDescent="0.25">
      <c r="A711" s="2032"/>
      <c r="B711" s="1631"/>
      <c r="C711" s="2917" t="s">
        <v>2502</v>
      </c>
      <c r="D711" s="2917"/>
      <c r="E711" s="2917"/>
      <c r="F711" s="2036"/>
      <c r="G711" s="2037"/>
      <c r="H711" s="2037"/>
      <c r="I711" s="2037"/>
      <c r="J711" s="2044">
        <v>59.45</v>
      </c>
      <c r="K711" s="2037"/>
      <c r="L711" s="2038">
        <v>6365.72</v>
      </c>
      <c r="M711" s="2037"/>
      <c r="N711" s="2068">
        <v>224897</v>
      </c>
      <c r="EW711" s="2031"/>
      <c r="EX711" s="1619"/>
      <c r="EY711" s="1628"/>
      <c r="EZ711" s="1628"/>
      <c r="FA711" s="1628"/>
      <c r="FG711" s="1864" t="s">
        <v>2502</v>
      </c>
      <c r="FH711" s="1628"/>
    </row>
    <row r="712" spans="1:164" s="1484" customFormat="1" ht="15" x14ac:dyDescent="0.25">
      <c r="A712" s="2033"/>
      <c r="B712" s="1631"/>
      <c r="C712" s="2805" t="s">
        <v>867</v>
      </c>
      <c r="D712" s="2805"/>
      <c r="E712" s="2805"/>
      <c r="F712" s="1683"/>
      <c r="G712" s="1641"/>
      <c r="H712" s="1641"/>
      <c r="I712" s="1641"/>
      <c r="J712" s="1640"/>
      <c r="K712" s="1641"/>
      <c r="L712" s="1657">
        <v>6265.1</v>
      </c>
      <c r="M712" s="1641"/>
      <c r="N712" s="1679">
        <v>223977.33</v>
      </c>
      <c r="EW712" s="2031"/>
      <c r="EX712" s="1619"/>
      <c r="EY712" s="1628"/>
      <c r="EZ712" s="1628"/>
      <c r="FA712" s="1628"/>
      <c r="FF712" s="1864" t="s">
        <v>867</v>
      </c>
      <c r="FH712" s="1628"/>
    </row>
    <row r="713" spans="1:164" s="1484" customFormat="1" ht="22.5" x14ac:dyDescent="0.25">
      <c r="A713" s="2033"/>
      <c r="B713" s="1631" t="s">
        <v>8093</v>
      </c>
      <c r="C713" s="2805" t="s">
        <v>8094</v>
      </c>
      <c r="D713" s="2805"/>
      <c r="E713" s="2805"/>
      <c r="F713" s="1683" t="s">
        <v>636</v>
      </c>
      <c r="G713" s="2034">
        <v>87</v>
      </c>
      <c r="H713" s="1641"/>
      <c r="I713" s="2034">
        <v>87</v>
      </c>
      <c r="J713" s="1640"/>
      <c r="K713" s="1641"/>
      <c r="L713" s="1657">
        <v>5450.64</v>
      </c>
      <c r="M713" s="1641"/>
      <c r="N713" s="1679">
        <v>194860.28</v>
      </c>
      <c r="EW713" s="2031"/>
      <c r="EX713" s="1619"/>
      <c r="EY713" s="1628"/>
      <c r="EZ713" s="1628"/>
      <c r="FA713" s="1628"/>
      <c r="FF713" s="1864" t="s">
        <v>8094</v>
      </c>
      <c r="FH713" s="1628"/>
    </row>
    <row r="714" spans="1:164" s="1484" customFormat="1" ht="22.5" x14ac:dyDescent="0.25">
      <c r="A714" s="2033"/>
      <c r="B714" s="1631" t="s">
        <v>8095</v>
      </c>
      <c r="C714" s="2805" t="s">
        <v>8096</v>
      </c>
      <c r="D714" s="2805"/>
      <c r="E714" s="2805"/>
      <c r="F714" s="1683" t="s">
        <v>636</v>
      </c>
      <c r="G714" s="2034">
        <v>44</v>
      </c>
      <c r="H714" s="1641"/>
      <c r="I714" s="2034">
        <v>44</v>
      </c>
      <c r="J714" s="1640"/>
      <c r="K714" s="1641"/>
      <c r="L714" s="1657">
        <v>2756.64</v>
      </c>
      <c r="M714" s="1641"/>
      <c r="N714" s="1679">
        <v>98550.03</v>
      </c>
      <c r="EW714" s="2031"/>
      <c r="EX714" s="1619"/>
      <c r="EY714" s="1628"/>
      <c r="EZ714" s="1628"/>
      <c r="FA714" s="1628"/>
      <c r="FF714" s="1864" t="s">
        <v>8096</v>
      </c>
      <c r="FH714" s="1628"/>
    </row>
    <row r="715" spans="1:164" s="1484" customFormat="1" ht="15" x14ac:dyDescent="0.25">
      <c r="A715" s="1650"/>
      <c r="B715" s="1651"/>
      <c r="C715" s="2803" t="s">
        <v>872</v>
      </c>
      <c r="D715" s="2803"/>
      <c r="E715" s="2803"/>
      <c r="F715" s="1621"/>
      <c r="G715" s="1622"/>
      <c r="H715" s="1622"/>
      <c r="I715" s="1622"/>
      <c r="J715" s="1625"/>
      <c r="K715" s="1622"/>
      <c r="L715" s="1648">
        <v>14573</v>
      </c>
      <c r="M715" s="2037"/>
      <c r="N715" s="1649">
        <v>518307.31</v>
      </c>
      <c r="EW715" s="2031"/>
      <c r="EX715" s="1619"/>
      <c r="EY715" s="1628"/>
      <c r="EZ715" s="1628"/>
      <c r="FA715" s="1628"/>
      <c r="FH715" s="1628" t="s">
        <v>872</v>
      </c>
    </row>
    <row r="716" spans="1:164" s="1484" customFormat="1" ht="45" x14ac:dyDescent="0.25">
      <c r="A716" s="1620" t="s">
        <v>8097</v>
      </c>
      <c r="B716" s="1863" t="s">
        <v>8875</v>
      </c>
      <c r="C716" s="2803" t="s">
        <v>8098</v>
      </c>
      <c r="D716" s="2803"/>
      <c r="E716" s="2803"/>
      <c r="F716" s="1621" t="s">
        <v>2555</v>
      </c>
      <c r="G716" s="1622">
        <v>0.95699999999999996</v>
      </c>
      <c r="H716" s="1623">
        <v>1</v>
      </c>
      <c r="I716" s="2045">
        <v>0.95699999999999996</v>
      </c>
      <c r="J716" s="1625"/>
      <c r="K716" s="1622"/>
      <c r="L716" s="1625"/>
      <c r="M716" s="1622"/>
      <c r="N716" s="1627"/>
      <c r="EW716" s="2031"/>
      <c r="EX716" s="1619"/>
      <c r="EY716" s="1628" t="s">
        <v>8098</v>
      </c>
      <c r="EZ716" s="1628" t="s">
        <v>588</v>
      </c>
      <c r="FA716" s="1628" t="s">
        <v>588</v>
      </c>
      <c r="FH716" s="1628"/>
    </row>
    <row r="717" spans="1:164" s="1484" customFormat="1" ht="15" x14ac:dyDescent="0.25">
      <c r="A717" s="1629"/>
      <c r="B717" s="1862"/>
      <c r="C717" s="2805" t="s">
        <v>8874</v>
      </c>
      <c r="D717" s="2805"/>
      <c r="E717" s="2805"/>
      <c r="F717" s="2805"/>
      <c r="G717" s="2805"/>
      <c r="H717" s="2805"/>
      <c r="I717" s="2805"/>
      <c r="J717" s="2805"/>
      <c r="K717" s="2805"/>
      <c r="L717" s="2805"/>
      <c r="M717" s="2805"/>
      <c r="N717" s="2806"/>
      <c r="EW717" s="2031"/>
      <c r="EX717" s="1619"/>
      <c r="EY717" s="1628"/>
      <c r="EZ717" s="1628"/>
      <c r="FA717" s="1628"/>
      <c r="FB717" s="1864" t="s">
        <v>8874</v>
      </c>
      <c r="FH717" s="1628"/>
    </row>
    <row r="718" spans="1:164" s="1484" customFormat="1" ht="22.5" x14ac:dyDescent="0.25">
      <c r="A718" s="1630"/>
      <c r="B718" s="1631" t="s">
        <v>6062</v>
      </c>
      <c r="C718" s="2809" t="s">
        <v>6063</v>
      </c>
      <c r="D718" s="2809"/>
      <c r="E718" s="2809"/>
      <c r="F718" s="2809"/>
      <c r="G718" s="2809"/>
      <c r="H718" s="2809"/>
      <c r="I718" s="2809"/>
      <c r="J718" s="2809"/>
      <c r="K718" s="2809"/>
      <c r="L718" s="2809"/>
      <c r="M718" s="2809"/>
      <c r="N718" s="2810"/>
      <c r="EW718" s="2031"/>
      <c r="EX718" s="1619"/>
      <c r="EY718" s="1628"/>
      <c r="EZ718" s="1628"/>
      <c r="FA718" s="1628"/>
      <c r="FC718" s="1864" t="s">
        <v>6063</v>
      </c>
      <c r="FH718" s="1628"/>
    </row>
    <row r="719" spans="1:164" s="1484" customFormat="1" ht="22.5" x14ac:dyDescent="0.25">
      <c r="A719" s="2033"/>
      <c r="B719" s="1631" t="s">
        <v>2119</v>
      </c>
      <c r="C719" s="2805" t="s">
        <v>8859</v>
      </c>
      <c r="D719" s="2805"/>
      <c r="E719" s="2805"/>
      <c r="F719" s="1683" t="s">
        <v>807</v>
      </c>
      <c r="G719" s="1953">
        <v>272.5</v>
      </c>
      <c r="H719" s="1641"/>
      <c r="I719" s="2035">
        <v>260.78250000000003</v>
      </c>
      <c r="J719" s="1654">
        <v>9.07</v>
      </c>
      <c r="K719" s="1655">
        <v>1.25</v>
      </c>
      <c r="L719" s="1657">
        <v>2956.62</v>
      </c>
      <c r="M719" s="1641"/>
      <c r="N719" s="1681"/>
      <c r="EW719" s="2031"/>
      <c r="EX719" s="1619"/>
      <c r="EY719" s="1628"/>
      <c r="EZ719" s="1628"/>
      <c r="FA719" s="1628"/>
      <c r="FD719" s="1864" t="s">
        <v>8859</v>
      </c>
      <c r="FH719" s="1628"/>
    </row>
    <row r="720" spans="1:164" s="1484" customFormat="1" ht="22.5" x14ac:dyDescent="0.25">
      <c r="A720" s="2033"/>
      <c r="B720" s="1631" t="s">
        <v>817</v>
      </c>
      <c r="C720" s="2805" t="s">
        <v>818</v>
      </c>
      <c r="D720" s="2805"/>
      <c r="E720" s="2805"/>
      <c r="F720" s="1683" t="s">
        <v>4994</v>
      </c>
      <c r="G720" s="1655">
        <v>12.97</v>
      </c>
      <c r="H720" s="1641"/>
      <c r="I720" s="2042">
        <v>12.41229</v>
      </c>
      <c r="J720" s="1654">
        <v>115.4</v>
      </c>
      <c r="K720" s="1641"/>
      <c r="L720" s="1657">
        <v>1432.38</v>
      </c>
      <c r="M720" s="1641"/>
      <c r="N720" s="1681"/>
      <c r="EW720" s="2031"/>
      <c r="EX720" s="1619"/>
      <c r="EY720" s="1628"/>
      <c r="EZ720" s="1628"/>
      <c r="FA720" s="1628"/>
      <c r="FD720" s="1864" t="s">
        <v>818</v>
      </c>
      <c r="FH720" s="1628"/>
    </row>
    <row r="721" spans="1:164" s="1484" customFormat="1" ht="22.5" x14ac:dyDescent="0.25">
      <c r="A721" s="2033"/>
      <c r="B721" s="1631" t="s">
        <v>2046</v>
      </c>
      <c r="C721" s="2805" t="s">
        <v>5005</v>
      </c>
      <c r="D721" s="2805"/>
      <c r="E721" s="2805"/>
      <c r="F721" s="1683" t="s">
        <v>4994</v>
      </c>
      <c r="G721" s="1655">
        <v>6.76</v>
      </c>
      <c r="H721" s="1641"/>
      <c r="I721" s="2042">
        <v>6.4693199999999997</v>
      </c>
      <c r="J721" s="1654">
        <v>6.9</v>
      </c>
      <c r="K721" s="1641"/>
      <c r="L721" s="1654">
        <v>44.64</v>
      </c>
      <c r="M721" s="1641"/>
      <c r="N721" s="1681"/>
      <c r="EW721" s="2031"/>
      <c r="EX721" s="1619"/>
      <c r="EY721" s="1628"/>
      <c r="EZ721" s="1628"/>
      <c r="FA721" s="1628"/>
      <c r="FD721" s="1864" t="s">
        <v>5005</v>
      </c>
      <c r="FH721" s="1628"/>
    </row>
    <row r="722" spans="1:164" s="1484" customFormat="1" ht="15" x14ac:dyDescent="0.25">
      <c r="A722" s="2033"/>
      <c r="B722" s="1631" t="s">
        <v>1741</v>
      </c>
      <c r="C722" s="2805" t="s">
        <v>8697</v>
      </c>
      <c r="D722" s="2805"/>
      <c r="E722" s="2805"/>
      <c r="F722" s="1683" t="s">
        <v>4994</v>
      </c>
      <c r="G722" s="1655">
        <v>0.81</v>
      </c>
      <c r="H722" s="1641"/>
      <c r="I722" s="2042">
        <v>0.77517000000000003</v>
      </c>
      <c r="J722" s="1654">
        <v>89.99</v>
      </c>
      <c r="K722" s="1641"/>
      <c r="L722" s="1654">
        <v>69.760000000000005</v>
      </c>
      <c r="M722" s="1641"/>
      <c r="N722" s="1681"/>
      <c r="EW722" s="2031"/>
      <c r="EX722" s="1619"/>
      <c r="EY722" s="1628"/>
      <c r="EZ722" s="1628"/>
      <c r="FA722" s="1628"/>
      <c r="FD722" s="1864" t="s">
        <v>8697</v>
      </c>
      <c r="FH722" s="1628"/>
    </row>
    <row r="723" spans="1:164" s="1484" customFormat="1" ht="15" x14ac:dyDescent="0.25">
      <c r="A723" s="2033"/>
      <c r="B723" s="1631" t="s">
        <v>821</v>
      </c>
      <c r="C723" s="2805" t="s">
        <v>822</v>
      </c>
      <c r="D723" s="2805"/>
      <c r="E723" s="2805"/>
      <c r="F723" s="1683" t="s">
        <v>4994</v>
      </c>
      <c r="G723" s="1655">
        <v>1.18</v>
      </c>
      <c r="H723" s="1641"/>
      <c r="I723" s="2042">
        <v>1.1292599999999999</v>
      </c>
      <c r="J723" s="1654">
        <v>65.709999999999994</v>
      </c>
      <c r="K723" s="1641"/>
      <c r="L723" s="1654">
        <v>74.2</v>
      </c>
      <c r="M723" s="1641"/>
      <c r="N723" s="1681"/>
      <c r="EW723" s="2031"/>
      <c r="EX723" s="1619"/>
      <c r="EY723" s="1628"/>
      <c r="EZ723" s="1628"/>
      <c r="FA723" s="1628"/>
      <c r="FD723" s="1864" t="s">
        <v>822</v>
      </c>
      <c r="FH723" s="1628"/>
    </row>
    <row r="724" spans="1:164" s="1484" customFormat="1" ht="15" x14ac:dyDescent="0.25">
      <c r="A724" s="2033"/>
      <c r="B724" s="1631" t="s">
        <v>825</v>
      </c>
      <c r="C724" s="2805" t="s">
        <v>826</v>
      </c>
      <c r="D724" s="2805"/>
      <c r="E724" s="2805"/>
      <c r="F724" s="1683" t="s">
        <v>4994</v>
      </c>
      <c r="G724" s="1655">
        <v>0.98</v>
      </c>
      <c r="H724" s="1641"/>
      <c r="I724" s="2042">
        <v>0.93786000000000003</v>
      </c>
      <c r="J724" s="1654">
        <v>1.2</v>
      </c>
      <c r="K724" s="1641"/>
      <c r="L724" s="1654">
        <v>1.1299999999999999</v>
      </c>
      <c r="M724" s="1641"/>
      <c r="N724" s="1681"/>
      <c r="EW724" s="2031"/>
      <c r="EX724" s="1619"/>
      <c r="EY724" s="1628"/>
      <c r="EZ724" s="1628"/>
      <c r="FA724" s="1628"/>
      <c r="FD724" s="1864" t="s">
        <v>826</v>
      </c>
      <c r="FH724" s="1628"/>
    </row>
    <row r="725" spans="1:164" s="1484" customFormat="1" ht="15" x14ac:dyDescent="0.25">
      <c r="A725" s="2033"/>
      <c r="B725" s="1631" t="s">
        <v>830</v>
      </c>
      <c r="C725" s="2805" t="s">
        <v>831</v>
      </c>
      <c r="D725" s="2805"/>
      <c r="E725" s="2805"/>
      <c r="F725" s="1683" t="s">
        <v>832</v>
      </c>
      <c r="G725" s="1655">
        <v>0.88</v>
      </c>
      <c r="H725" s="1641"/>
      <c r="I725" s="2042">
        <v>0.84216000000000002</v>
      </c>
      <c r="J725" s="1654">
        <v>6.22</v>
      </c>
      <c r="K725" s="1641"/>
      <c r="L725" s="1654">
        <v>5.24</v>
      </c>
      <c r="M725" s="1641"/>
      <c r="N725" s="1681"/>
      <c r="EW725" s="2031"/>
      <c r="EX725" s="1619"/>
      <c r="EY725" s="1628"/>
      <c r="EZ725" s="1628"/>
      <c r="FA725" s="1628"/>
      <c r="FD725" s="1864" t="s">
        <v>831</v>
      </c>
      <c r="FH725" s="1628"/>
    </row>
    <row r="726" spans="1:164" s="1484" customFormat="1" ht="15" x14ac:dyDescent="0.25">
      <c r="A726" s="2033"/>
      <c r="B726" s="1631" t="s">
        <v>833</v>
      </c>
      <c r="C726" s="2805" t="s">
        <v>834</v>
      </c>
      <c r="D726" s="2805"/>
      <c r="E726" s="2805"/>
      <c r="F726" s="1683" t="s">
        <v>835</v>
      </c>
      <c r="G726" s="1655">
        <v>0.26</v>
      </c>
      <c r="H726" s="1641"/>
      <c r="I726" s="2042">
        <v>0.24882000000000001</v>
      </c>
      <c r="J726" s="1654">
        <v>6.09</v>
      </c>
      <c r="K726" s="1641"/>
      <c r="L726" s="1654">
        <v>1.52</v>
      </c>
      <c r="M726" s="1641"/>
      <c r="N726" s="1681"/>
      <c r="EW726" s="2031"/>
      <c r="EX726" s="1619"/>
      <c r="EY726" s="1628"/>
      <c r="EZ726" s="1628"/>
      <c r="FA726" s="1628"/>
      <c r="FD726" s="1864" t="s">
        <v>834</v>
      </c>
      <c r="FH726" s="1628"/>
    </row>
    <row r="727" spans="1:164" s="1484" customFormat="1" ht="15" x14ac:dyDescent="0.25">
      <c r="A727" s="2033"/>
      <c r="B727" s="1631" t="s">
        <v>4893</v>
      </c>
      <c r="C727" s="2805" t="s">
        <v>8873</v>
      </c>
      <c r="D727" s="2805"/>
      <c r="E727" s="2805"/>
      <c r="F727" s="1683" t="s">
        <v>269</v>
      </c>
      <c r="G727" s="1655">
        <v>8.1300000000000008</v>
      </c>
      <c r="H727" s="1641"/>
      <c r="I727" s="2042">
        <v>7.7804099999999998</v>
      </c>
      <c r="J727" s="1654">
        <v>4.5</v>
      </c>
      <c r="K727" s="1641"/>
      <c r="L727" s="1654">
        <v>35.01</v>
      </c>
      <c r="M727" s="1641"/>
      <c r="N727" s="1681"/>
      <c r="EW727" s="2031"/>
      <c r="EX727" s="1619"/>
      <c r="EY727" s="1628"/>
      <c r="EZ727" s="1628"/>
      <c r="FA727" s="1628"/>
      <c r="FD727" s="1864" t="s">
        <v>8873</v>
      </c>
      <c r="FH727" s="1628"/>
    </row>
    <row r="728" spans="1:164" s="1484" customFormat="1" ht="15" x14ac:dyDescent="0.25">
      <c r="A728" s="2033"/>
      <c r="B728" s="1631" t="s">
        <v>839</v>
      </c>
      <c r="C728" s="2805" t="s">
        <v>8632</v>
      </c>
      <c r="D728" s="2805"/>
      <c r="E728" s="2805"/>
      <c r="F728" s="1683" t="s">
        <v>835</v>
      </c>
      <c r="G728" s="1953">
        <v>1.5</v>
      </c>
      <c r="H728" s="1641"/>
      <c r="I728" s="2035">
        <v>1.4355</v>
      </c>
      <c r="J728" s="1654">
        <v>10.75</v>
      </c>
      <c r="K728" s="1641"/>
      <c r="L728" s="1654">
        <v>15.43</v>
      </c>
      <c r="M728" s="1641"/>
      <c r="N728" s="1681"/>
      <c r="EW728" s="2031"/>
      <c r="EX728" s="1619"/>
      <c r="EY728" s="1628"/>
      <c r="EZ728" s="1628"/>
      <c r="FA728" s="1628"/>
      <c r="FD728" s="1864" t="s">
        <v>8632</v>
      </c>
      <c r="FH728" s="1628"/>
    </row>
    <row r="729" spans="1:164" s="1484" customFormat="1" ht="15" x14ac:dyDescent="0.25">
      <c r="A729" s="2033"/>
      <c r="B729" s="1631" t="s">
        <v>861</v>
      </c>
      <c r="C729" s="2805" t="s">
        <v>862</v>
      </c>
      <c r="D729" s="2805"/>
      <c r="E729" s="2805"/>
      <c r="F729" s="1683" t="s">
        <v>835</v>
      </c>
      <c r="G729" s="2034">
        <v>2</v>
      </c>
      <c r="H729" s="1641"/>
      <c r="I729" s="2046">
        <v>1.9139999999999999</v>
      </c>
      <c r="J729" s="1654">
        <v>9.0399999999999991</v>
      </c>
      <c r="K729" s="1641"/>
      <c r="L729" s="1654">
        <v>17.3</v>
      </c>
      <c r="M729" s="1641"/>
      <c r="N729" s="1681"/>
      <c r="EW729" s="2031"/>
      <c r="EX729" s="1619"/>
      <c r="EY729" s="1628"/>
      <c r="EZ729" s="1628"/>
      <c r="FA729" s="1628"/>
      <c r="FD729" s="1864" t="s">
        <v>862</v>
      </c>
      <c r="FH729" s="1628"/>
    </row>
    <row r="730" spans="1:164" s="1484" customFormat="1" ht="33.75" x14ac:dyDescent="0.25">
      <c r="A730" s="2033"/>
      <c r="B730" s="1631" t="s">
        <v>8872</v>
      </c>
      <c r="C730" s="2805" t="s">
        <v>8871</v>
      </c>
      <c r="D730" s="2805"/>
      <c r="E730" s="2805"/>
      <c r="F730" s="1683" t="s">
        <v>801</v>
      </c>
      <c r="G730" s="2046">
        <v>8.0000000000000002E-3</v>
      </c>
      <c r="H730" s="1641"/>
      <c r="I730" s="2043">
        <v>7.6559999999999996E-3</v>
      </c>
      <c r="J730" s="1657">
        <v>35011</v>
      </c>
      <c r="K730" s="1641"/>
      <c r="L730" s="1654">
        <v>268.04000000000002</v>
      </c>
      <c r="M730" s="1641"/>
      <c r="N730" s="1681"/>
      <c r="EW730" s="2031"/>
      <c r="EX730" s="1619"/>
      <c r="EY730" s="1628"/>
      <c r="EZ730" s="1628"/>
      <c r="FA730" s="1628"/>
      <c r="FD730" s="1864" t="s">
        <v>8871</v>
      </c>
      <c r="FH730" s="1628"/>
    </row>
    <row r="731" spans="1:164" s="1484" customFormat="1" ht="15" x14ac:dyDescent="0.25">
      <c r="A731" s="2033"/>
      <c r="B731" s="1631" t="s">
        <v>841</v>
      </c>
      <c r="C731" s="2805" t="s">
        <v>842</v>
      </c>
      <c r="D731" s="2805"/>
      <c r="E731" s="2805"/>
      <c r="F731" s="1683" t="s">
        <v>801</v>
      </c>
      <c r="G731" s="2042">
        <v>1.65E-3</v>
      </c>
      <c r="H731" s="1641"/>
      <c r="I731" s="2049">
        <v>1.5790999999999999E-3</v>
      </c>
      <c r="J731" s="1657">
        <v>11978</v>
      </c>
      <c r="K731" s="1641"/>
      <c r="L731" s="1654">
        <v>18.91</v>
      </c>
      <c r="M731" s="1641"/>
      <c r="N731" s="1681"/>
      <c r="EW731" s="2031"/>
      <c r="EX731" s="1619"/>
      <c r="EY731" s="1628"/>
      <c r="EZ731" s="1628"/>
      <c r="FA731" s="1628"/>
      <c r="FD731" s="1864" t="s">
        <v>842</v>
      </c>
      <c r="FH731" s="1628"/>
    </row>
    <row r="732" spans="1:164" s="1484" customFormat="1" ht="15" x14ac:dyDescent="0.25">
      <c r="A732" s="2033"/>
      <c r="B732" s="1631" t="s">
        <v>4918</v>
      </c>
      <c r="C732" s="2805" t="s">
        <v>4919</v>
      </c>
      <c r="D732" s="2805"/>
      <c r="E732" s="2805"/>
      <c r="F732" s="1683" t="s">
        <v>835</v>
      </c>
      <c r="G732" s="2034">
        <v>40</v>
      </c>
      <c r="H732" s="1641"/>
      <c r="I732" s="1655">
        <v>38.28</v>
      </c>
      <c r="J732" s="1654">
        <v>28.26</v>
      </c>
      <c r="K732" s="1641"/>
      <c r="L732" s="1657">
        <v>1081.79</v>
      </c>
      <c r="M732" s="1641"/>
      <c r="N732" s="1681"/>
      <c r="EW732" s="2031"/>
      <c r="EX732" s="1619"/>
      <c r="EY732" s="1628"/>
      <c r="EZ732" s="1628"/>
      <c r="FA732" s="1628"/>
      <c r="FD732" s="1864" t="s">
        <v>4919</v>
      </c>
      <c r="FH732" s="1628"/>
    </row>
    <row r="733" spans="1:164" s="1484" customFormat="1" ht="15" x14ac:dyDescent="0.25">
      <c r="A733" s="2033"/>
      <c r="B733" s="1631" t="s">
        <v>4922</v>
      </c>
      <c r="C733" s="2805" t="s">
        <v>8707</v>
      </c>
      <c r="D733" s="2805"/>
      <c r="E733" s="2805"/>
      <c r="F733" s="1683" t="s">
        <v>835</v>
      </c>
      <c r="G733" s="1655">
        <v>10.84</v>
      </c>
      <c r="H733" s="1641"/>
      <c r="I733" s="2042">
        <v>10.37388</v>
      </c>
      <c r="J733" s="1654">
        <v>1.82</v>
      </c>
      <c r="K733" s="1641"/>
      <c r="L733" s="1654">
        <v>18.88</v>
      </c>
      <c r="M733" s="1641"/>
      <c r="N733" s="1681"/>
      <c r="EW733" s="2031"/>
      <c r="EX733" s="1619"/>
      <c r="EY733" s="1628"/>
      <c r="EZ733" s="1628"/>
      <c r="FA733" s="1628"/>
      <c r="FD733" s="1864" t="s">
        <v>8707</v>
      </c>
      <c r="FH733" s="1628"/>
    </row>
    <row r="734" spans="1:164" s="1484" customFormat="1" ht="15" x14ac:dyDescent="0.25">
      <c r="A734" s="2033"/>
      <c r="B734" s="1631" t="s">
        <v>843</v>
      </c>
      <c r="C734" s="2805" t="s">
        <v>8870</v>
      </c>
      <c r="D734" s="2805"/>
      <c r="E734" s="2805"/>
      <c r="F734" s="1683" t="s">
        <v>801</v>
      </c>
      <c r="G734" s="2042">
        <v>1.0200000000000001E-3</v>
      </c>
      <c r="H734" s="1641"/>
      <c r="I734" s="2049">
        <v>9.7610000000000004E-4</v>
      </c>
      <c r="J734" s="1657">
        <v>37900</v>
      </c>
      <c r="K734" s="1641"/>
      <c r="L734" s="1654">
        <v>36.99</v>
      </c>
      <c r="M734" s="1641"/>
      <c r="N734" s="1681"/>
      <c r="EW734" s="2031"/>
      <c r="EX734" s="1619"/>
      <c r="EY734" s="1628"/>
      <c r="EZ734" s="1628"/>
      <c r="FA734" s="1628"/>
      <c r="FD734" s="1864" t="s">
        <v>8870</v>
      </c>
      <c r="FH734" s="1628"/>
    </row>
    <row r="735" spans="1:164" s="1484" customFormat="1" ht="33.75" x14ac:dyDescent="0.25">
      <c r="A735" s="2033"/>
      <c r="B735" s="1631" t="s">
        <v>1829</v>
      </c>
      <c r="C735" s="2805" t="s">
        <v>8869</v>
      </c>
      <c r="D735" s="2805"/>
      <c r="E735" s="2805"/>
      <c r="F735" s="1683" t="s">
        <v>801</v>
      </c>
      <c r="G735" s="1655">
        <v>0.03</v>
      </c>
      <c r="H735" s="1641"/>
      <c r="I735" s="2042">
        <v>2.8709999999999999E-2</v>
      </c>
      <c r="J735" s="1657">
        <v>7712</v>
      </c>
      <c r="K735" s="1641"/>
      <c r="L735" s="1654">
        <v>221.41</v>
      </c>
      <c r="M735" s="1641"/>
      <c r="N735" s="1681"/>
      <c r="EW735" s="2031"/>
      <c r="EX735" s="1619"/>
      <c r="EY735" s="1628"/>
      <c r="EZ735" s="1628"/>
      <c r="FA735" s="1628"/>
      <c r="FD735" s="1864" t="s">
        <v>8869</v>
      </c>
      <c r="FH735" s="1628"/>
    </row>
    <row r="736" spans="1:164" s="1484" customFormat="1" ht="15" x14ac:dyDescent="0.25">
      <c r="A736" s="2033"/>
      <c r="B736" s="1631" t="s">
        <v>1910</v>
      </c>
      <c r="C736" s="2805" t="s">
        <v>8791</v>
      </c>
      <c r="D736" s="2805"/>
      <c r="E736" s="2805"/>
      <c r="F736" s="1683" t="s">
        <v>801</v>
      </c>
      <c r="G736" s="2042">
        <v>5.1000000000000004E-4</v>
      </c>
      <c r="H736" s="1641"/>
      <c r="I736" s="2049">
        <v>4.8809999999999999E-4</v>
      </c>
      <c r="J736" s="1657">
        <v>5989</v>
      </c>
      <c r="K736" s="1641"/>
      <c r="L736" s="1654">
        <v>2.92</v>
      </c>
      <c r="M736" s="1641"/>
      <c r="N736" s="1681"/>
      <c r="EW736" s="2031"/>
      <c r="EX736" s="1619"/>
      <c r="EY736" s="1628"/>
      <c r="EZ736" s="1628"/>
      <c r="FA736" s="1628"/>
      <c r="FD736" s="1864" t="s">
        <v>8791</v>
      </c>
      <c r="FH736" s="1628"/>
    </row>
    <row r="737" spans="1:164" s="1484" customFormat="1" ht="45" x14ac:dyDescent="0.25">
      <c r="A737" s="2033"/>
      <c r="B737" s="1631" t="s">
        <v>847</v>
      </c>
      <c r="C737" s="2805" t="s">
        <v>8868</v>
      </c>
      <c r="D737" s="2805"/>
      <c r="E737" s="2805"/>
      <c r="F737" s="1683" t="s">
        <v>849</v>
      </c>
      <c r="G737" s="1655">
        <v>0.33</v>
      </c>
      <c r="H737" s="1641"/>
      <c r="I737" s="2042">
        <v>0.31580999999999998</v>
      </c>
      <c r="J737" s="1654">
        <v>50.24</v>
      </c>
      <c r="K737" s="1641"/>
      <c r="L737" s="1654">
        <v>15.87</v>
      </c>
      <c r="M737" s="1641"/>
      <c r="N737" s="1681"/>
      <c r="EW737" s="2031"/>
      <c r="EX737" s="1619"/>
      <c r="EY737" s="1628"/>
      <c r="EZ737" s="1628"/>
      <c r="FA737" s="1628"/>
      <c r="FD737" s="1864" t="s">
        <v>8868</v>
      </c>
      <c r="FH737" s="1628"/>
    </row>
    <row r="738" spans="1:164" s="1484" customFormat="1" ht="22.5" x14ac:dyDescent="0.25">
      <c r="A738" s="2033"/>
      <c r="B738" s="1631" t="s">
        <v>1841</v>
      </c>
      <c r="C738" s="2805" t="s">
        <v>8867</v>
      </c>
      <c r="D738" s="2805"/>
      <c r="E738" s="2805"/>
      <c r="F738" s="1683" t="s">
        <v>832</v>
      </c>
      <c r="G738" s="1655">
        <v>0.17</v>
      </c>
      <c r="H738" s="1641"/>
      <c r="I738" s="2042">
        <v>0.16269</v>
      </c>
      <c r="J738" s="1657">
        <v>1700</v>
      </c>
      <c r="K738" s="1641"/>
      <c r="L738" s="1654">
        <v>276.57</v>
      </c>
      <c r="M738" s="1641"/>
      <c r="N738" s="1681"/>
      <c r="EW738" s="2031"/>
      <c r="EX738" s="1619"/>
      <c r="EY738" s="1628"/>
      <c r="EZ738" s="1628"/>
      <c r="FA738" s="1628"/>
      <c r="FD738" s="1864" t="s">
        <v>8867</v>
      </c>
      <c r="FH738" s="1628"/>
    </row>
    <row r="739" spans="1:164" s="1484" customFormat="1" ht="15" x14ac:dyDescent="0.25">
      <c r="A739" s="2033"/>
      <c r="B739" s="1631" t="s">
        <v>8866</v>
      </c>
      <c r="C739" s="2805" t="s">
        <v>8865</v>
      </c>
      <c r="D739" s="2805"/>
      <c r="E739" s="2805"/>
      <c r="F739" s="1683" t="s">
        <v>835</v>
      </c>
      <c r="G739" s="1655">
        <v>5.19</v>
      </c>
      <c r="H739" s="1641"/>
      <c r="I739" s="2042">
        <v>4.9668299999999999</v>
      </c>
      <c r="J739" s="1654">
        <v>22.6</v>
      </c>
      <c r="K739" s="1641"/>
      <c r="L739" s="1654">
        <v>112.25</v>
      </c>
      <c r="M739" s="1641"/>
      <c r="N739" s="1681"/>
      <c r="EW739" s="2031"/>
      <c r="EX739" s="1619"/>
      <c r="EY739" s="1628"/>
      <c r="EZ739" s="1628"/>
      <c r="FA739" s="1628"/>
      <c r="FD739" s="1864" t="s">
        <v>8865</v>
      </c>
      <c r="FH739" s="1628"/>
    </row>
    <row r="740" spans="1:164" s="1484" customFormat="1" ht="15" x14ac:dyDescent="0.25">
      <c r="A740" s="2032"/>
      <c r="B740" s="1631" t="s">
        <v>190</v>
      </c>
      <c r="C740" s="2805" t="s">
        <v>2523</v>
      </c>
      <c r="D740" s="2805"/>
      <c r="E740" s="2805"/>
      <c r="F740" s="1683"/>
      <c r="G740" s="1641"/>
      <c r="H740" s="1641"/>
      <c r="I740" s="1641"/>
      <c r="J740" s="1657">
        <v>2471.58</v>
      </c>
      <c r="K740" s="1655">
        <v>1.25</v>
      </c>
      <c r="L740" s="1657">
        <v>2956.63</v>
      </c>
      <c r="M740" s="1655">
        <v>35.75</v>
      </c>
      <c r="N740" s="1679">
        <v>105699.52</v>
      </c>
      <c r="EW740" s="2031"/>
      <c r="EX740" s="1619"/>
      <c r="EY740" s="1628"/>
      <c r="EZ740" s="1628"/>
      <c r="FA740" s="1628"/>
      <c r="FE740" s="1864" t="s">
        <v>2523</v>
      </c>
      <c r="FH740" s="1628"/>
    </row>
    <row r="741" spans="1:164" s="1484" customFormat="1" ht="15" x14ac:dyDescent="0.25">
      <c r="A741" s="2032"/>
      <c r="B741" s="1631" t="s">
        <v>639</v>
      </c>
      <c r="C741" s="2805" t="s">
        <v>697</v>
      </c>
      <c r="D741" s="2805"/>
      <c r="E741" s="2805"/>
      <c r="F741" s="1683"/>
      <c r="G741" s="1641"/>
      <c r="H741" s="1641"/>
      <c r="I741" s="1641"/>
      <c r="J741" s="1657">
        <v>1694.99</v>
      </c>
      <c r="K741" s="1641"/>
      <c r="L741" s="1657">
        <v>1622.11</v>
      </c>
      <c r="M741" s="1655">
        <v>11.97</v>
      </c>
      <c r="N741" s="1679">
        <v>19416.66</v>
      </c>
      <c r="EW741" s="2031"/>
      <c r="EX741" s="1619"/>
      <c r="EY741" s="1628"/>
      <c r="EZ741" s="1628"/>
      <c r="FA741" s="1628"/>
      <c r="FE741" s="1864" t="s">
        <v>697</v>
      </c>
      <c r="FH741" s="1628"/>
    </row>
    <row r="742" spans="1:164" s="1484" customFormat="1" ht="15" x14ac:dyDescent="0.25">
      <c r="A742" s="2032"/>
      <c r="B742" s="1631" t="s">
        <v>640</v>
      </c>
      <c r="C742" s="2805" t="s">
        <v>2500</v>
      </c>
      <c r="D742" s="2805"/>
      <c r="E742" s="2805"/>
      <c r="F742" s="1683"/>
      <c r="G742" s="1641"/>
      <c r="H742" s="1641"/>
      <c r="I742" s="1641"/>
      <c r="J742" s="1654">
        <v>196.94</v>
      </c>
      <c r="K742" s="1641"/>
      <c r="L742" s="1654">
        <v>188.47</v>
      </c>
      <c r="M742" s="1655">
        <v>35.75</v>
      </c>
      <c r="N742" s="1679">
        <v>6737.8</v>
      </c>
      <c r="EW742" s="2031"/>
      <c r="EX742" s="1619"/>
      <c r="EY742" s="1628"/>
      <c r="EZ742" s="1628"/>
      <c r="FA742" s="1628"/>
      <c r="FE742" s="1864" t="s">
        <v>2500</v>
      </c>
      <c r="FH742" s="1628"/>
    </row>
    <row r="743" spans="1:164" s="1484" customFormat="1" ht="15" x14ac:dyDescent="0.25">
      <c r="A743" s="2032"/>
      <c r="B743" s="1631" t="s">
        <v>232</v>
      </c>
      <c r="C743" s="2805" t="s">
        <v>829</v>
      </c>
      <c r="D743" s="2805"/>
      <c r="E743" s="2805"/>
      <c r="F743" s="1683"/>
      <c r="G743" s="1641"/>
      <c r="H743" s="1641"/>
      <c r="I743" s="1641"/>
      <c r="J743" s="1657">
        <v>2223.77</v>
      </c>
      <c r="K743" s="1641"/>
      <c r="L743" s="1657">
        <v>2128.15</v>
      </c>
      <c r="M743" s="1655">
        <v>9.14</v>
      </c>
      <c r="N743" s="1679">
        <v>19451.29</v>
      </c>
      <c r="EW743" s="2031"/>
      <c r="EX743" s="1619"/>
      <c r="EY743" s="1628"/>
      <c r="EZ743" s="1628"/>
      <c r="FA743" s="1628"/>
      <c r="FE743" s="1864" t="s">
        <v>829</v>
      </c>
      <c r="FH743" s="1628"/>
    </row>
    <row r="744" spans="1:164" s="1484" customFormat="1" ht="15" x14ac:dyDescent="0.25">
      <c r="A744" s="2033"/>
      <c r="B744" s="1631"/>
      <c r="C744" s="2805" t="s">
        <v>2524</v>
      </c>
      <c r="D744" s="2805"/>
      <c r="E744" s="2805"/>
      <c r="F744" s="1683" t="s">
        <v>807</v>
      </c>
      <c r="G744" s="1953">
        <v>272.5</v>
      </c>
      <c r="H744" s="1641"/>
      <c r="I744" s="2035">
        <v>260.78250000000003</v>
      </c>
      <c r="J744" s="1640"/>
      <c r="K744" s="1641"/>
      <c r="L744" s="1640"/>
      <c r="M744" s="1641"/>
      <c r="N744" s="1681"/>
      <c r="EW744" s="2031"/>
      <c r="EX744" s="1619"/>
      <c r="EY744" s="1628"/>
      <c r="EZ744" s="1628"/>
      <c r="FA744" s="1628"/>
      <c r="FF744" s="1864" t="s">
        <v>2524</v>
      </c>
      <c r="FH744" s="1628"/>
    </row>
    <row r="745" spans="1:164" s="1484" customFormat="1" ht="15" x14ac:dyDescent="0.25">
      <c r="A745" s="2033"/>
      <c r="B745" s="1631"/>
      <c r="C745" s="2805" t="s">
        <v>2501</v>
      </c>
      <c r="D745" s="2805"/>
      <c r="E745" s="2805"/>
      <c r="F745" s="1683" t="s">
        <v>807</v>
      </c>
      <c r="G745" s="1655">
        <v>14.96</v>
      </c>
      <c r="H745" s="1641"/>
      <c r="I745" s="2042">
        <v>14.31672</v>
      </c>
      <c r="J745" s="1640"/>
      <c r="K745" s="1641"/>
      <c r="L745" s="1640"/>
      <c r="M745" s="1641"/>
      <c r="N745" s="1681"/>
      <c r="EW745" s="2031"/>
      <c r="EX745" s="1619"/>
      <c r="EY745" s="1628"/>
      <c r="EZ745" s="1628"/>
      <c r="FA745" s="1628"/>
      <c r="FF745" s="1864" t="s">
        <v>2501</v>
      </c>
      <c r="FH745" s="1628"/>
    </row>
    <row r="746" spans="1:164" s="1484" customFormat="1" ht="15" x14ac:dyDescent="0.25">
      <c r="A746" s="2032"/>
      <c r="B746" s="1631"/>
      <c r="C746" s="2917" t="s">
        <v>2502</v>
      </c>
      <c r="D746" s="2917"/>
      <c r="E746" s="2917"/>
      <c r="F746" s="2036"/>
      <c r="G746" s="2037"/>
      <c r="H746" s="2037"/>
      <c r="I746" s="2037"/>
      <c r="J746" s="2038">
        <v>6390.34</v>
      </c>
      <c r="K746" s="2037"/>
      <c r="L746" s="2038">
        <v>6706.89</v>
      </c>
      <c r="M746" s="2037"/>
      <c r="N746" s="2068">
        <v>144567.47</v>
      </c>
      <c r="EW746" s="2031"/>
      <c r="EX746" s="1619"/>
      <c r="EY746" s="1628"/>
      <c r="EZ746" s="1628"/>
      <c r="FA746" s="1628"/>
      <c r="FG746" s="1864" t="s">
        <v>2502</v>
      </c>
      <c r="FH746" s="1628"/>
    </row>
    <row r="747" spans="1:164" s="1484" customFormat="1" ht="15" x14ac:dyDescent="0.25">
      <c r="A747" s="2033" t="s">
        <v>8099</v>
      </c>
      <c r="B747" s="1631"/>
      <c r="C747" s="2805" t="s">
        <v>7964</v>
      </c>
      <c r="D747" s="2805"/>
      <c r="E747" s="2805"/>
      <c r="F747" s="1683" t="s">
        <v>5928</v>
      </c>
      <c r="G747" s="1641"/>
      <c r="H747" s="1641"/>
      <c r="I747" s="1641"/>
      <c r="J747" s="1640"/>
      <c r="K747" s="1641"/>
      <c r="L747" s="1654">
        <v>47.12</v>
      </c>
      <c r="M747" s="1641"/>
      <c r="N747" s="1679">
        <v>1684.54</v>
      </c>
      <c r="EW747" s="2031"/>
      <c r="EX747" s="1619"/>
      <c r="EY747" s="1628"/>
      <c r="EZ747" s="1628"/>
      <c r="FA747" s="1628"/>
      <c r="FF747" s="1864" t="s">
        <v>7964</v>
      </c>
      <c r="FH747" s="1628"/>
    </row>
    <row r="748" spans="1:164" s="1484" customFormat="1" ht="15" x14ac:dyDescent="0.25">
      <c r="A748" s="2033"/>
      <c r="B748" s="1631"/>
      <c r="C748" s="2805" t="s">
        <v>7965</v>
      </c>
      <c r="D748" s="2805"/>
      <c r="E748" s="2805"/>
      <c r="F748" s="1683" t="s">
        <v>5928</v>
      </c>
      <c r="G748" s="1641"/>
      <c r="H748" s="1641"/>
      <c r="I748" s="1641"/>
      <c r="J748" s="1654">
        <v>196.94</v>
      </c>
      <c r="K748" s="1655">
        <v>0.25</v>
      </c>
      <c r="L748" s="1654">
        <v>47.12</v>
      </c>
      <c r="M748" s="1655">
        <v>35.75</v>
      </c>
      <c r="N748" s="1679">
        <v>1684.54</v>
      </c>
      <c r="EW748" s="2031"/>
      <c r="EX748" s="1619"/>
      <c r="EY748" s="1628"/>
      <c r="EZ748" s="1628"/>
      <c r="FA748" s="1628"/>
      <c r="FF748" s="1864" t="s">
        <v>7965</v>
      </c>
      <c r="FH748" s="1628"/>
    </row>
    <row r="749" spans="1:164" s="1484" customFormat="1" ht="15" x14ac:dyDescent="0.25">
      <c r="A749" s="2033"/>
      <c r="B749" s="1631"/>
      <c r="C749" s="2805" t="s">
        <v>867</v>
      </c>
      <c r="D749" s="2805"/>
      <c r="E749" s="2805"/>
      <c r="F749" s="1683"/>
      <c r="G749" s="1641"/>
      <c r="H749" s="1641"/>
      <c r="I749" s="1641"/>
      <c r="J749" s="1640"/>
      <c r="K749" s="1641"/>
      <c r="L749" s="1657">
        <v>3192.22</v>
      </c>
      <c r="M749" s="1641"/>
      <c r="N749" s="1679">
        <v>114121.86</v>
      </c>
      <c r="EW749" s="2031"/>
      <c r="EX749" s="1619"/>
      <c r="EY749" s="1628"/>
      <c r="EZ749" s="1628"/>
      <c r="FA749" s="1628"/>
      <c r="FF749" s="1864" t="s">
        <v>867</v>
      </c>
      <c r="FH749" s="1628"/>
    </row>
    <row r="750" spans="1:164" s="1484" customFormat="1" ht="15" x14ac:dyDescent="0.25">
      <c r="A750" s="2033"/>
      <c r="B750" s="1631" t="s">
        <v>868</v>
      </c>
      <c r="C750" s="2805" t="s">
        <v>869</v>
      </c>
      <c r="D750" s="2805"/>
      <c r="E750" s="2805"/>
      <c r="F750" s="1683" t="s">
        <v>636</v>
      </c>
      <c r="G750" s="2034">
        <v>93</v>
      </c>
      <c r="H750" s="1641"/>
      <c r="I750" s="2034">
        <v>93</v>
      </c>
      <c r="J750" s="1640"/>
      <c r="K750" s="1641"/>
      <c r="L750" s="1657">
        <v>2968.76</v>
      </c>
      <c r="M750" s="1641"/>
      <c r="N750" s="1679">
        <v>106133.33</v>
      </c>
      <c r="EW750" s="2031"/>
      <c r="EX750" s="1619"/>
      <c r="EY750" s="1628"/>
      <c r="EZ750" s="1628"/>
      <c r="FA750" s="1628"/>
      <c r="FF750" s="1864" t="s">
        <v>869</v>
      </c>
      <c r="FH750" s="1628"/>
    </row>
    <row r="751" spans="1:164" s="1484" customFormat="1" ht="15" x14ac:dyDescent="0.25">
      <c r="A751" s="2033"/>
      <c r="B751" s="1631" t="s">
        <v>8087</v>
      </c>
      <c r="C751" s="2805" t="s">
        <v>871</v>
      </c>
      <c r="D751" s="2805"/>
      <c r="E751" s="2805"/>
      <c r="F751" s="1683" t="s">
        <v>636</v>
      </c>
      <c r="G751" s="2034">
        <v>62</v>
      </c>
      <c r="H751" s="1641"/>
      <c r="I751" s="2034">
        <v>62</v>
      </c>
      <c r="J751" s="1640"/>
      <c r="K751" s="1641"/>
      <c r="L751" s="1657">
        <v>1979.18</v>
      </c>
      <c r="M751" s="1641"/>
      <c r="N751" s="1679">
        <v>70755.55</v>
      </c>
      <c r="EW751" s="2031"/>
      <c r="EX751" s="1619"/>
      <c r="EY751" s="1628"/>
      <c r="EZ751" s="1628"/>
      <c r="FA751" s="1628"/>
      <c r="FF751" s="1864" t="s">
        <v>871</v>
      </c>
      <c r="FH751" s="1628"/>
    </row>
    <row r="752" spans="1:164" s="1484" customFormat="1" ht="15" x14ac:dyDescent="0.25">
      <c r="A752" s="1650"/>
      <c r="B752" s="1651"/>
      <c r="C752" s="2803" t="s">
        <v>872</v>
      </c>
      <c r="D752" s="2803"/>
      <c r="E752" s="2803"/>
      <c r="F752" s="1621"/>
      <c r="G752" s="1622"/>
      <c r="H752" s="1622"/>
      <c r="I752" s="1622"/>
      <c r="J752" s="1625"/>
      <c r="K752" s="1622"/>
      <c r="L752" s="1648">
        <v>11701.95</v>
      </c>
      <c r="M752" s="2037"/>
      <c r="N752" s="1649">
        <v>323140.89</v>
      </c>
      <c r="EW752" s="2031"/>
      <c r="EX752" s="1619"/>
      <c r="EY752" s="1628"/>
      <c r="EZ752" s="1628"/>
      <c r="FA752" s="1628"/>
      <c r="FH752" s="1628" t="s">
        <v>872</v>
      </c>
    </row>
    <row r="753" spans="1:176" s="1484" customFormat="1" ht="33.75" x14ac:dyDescent="0.25">
      <c r="A753" s="1620" t="s">
        <v>1073</v>
      </c>
      <c r="B753" s="1863" t="s">
        <v>8864</v>
      </c>
      <c r="C753" s="2803" t="s">
        <v>8100</v>
      </c>
      <c r="D753" s="2803"/>
      <c r="E753" s="2803"/>
      <c r="F753" s="1621" t="s">
        <v>319</v>
      </c>
      <c r="G753" s="1622">
        <v>65.3</v>
      </c>
      <c r="H753" s="1623">
        <v>1</v>
      </c>
      <c r="I753" s="1624">
        <v>65.3</v>
      </c>
      <c r="J753" s="1648">
        <v>66742</v>
      </c>
      <c r="K753" s="1622"/>
      <c r="L753" s="1648">
        <v>476832.89</v>
      </c>
      <c r="M753" s="1687">
        <v>9.14</v>
      </c>
      <c r="N753" s="1649">
        <v>4358252.5999999996</v>
      </c>
      <c r="EW753" s="2031"/>
      <c r="EX753" s="1619"/>
      <c r="EY753" s="1628" t="s">
        <v>8100</v>
      </c>
      <c r="EZ753" s="1628" t="s">
        <v>588</v>
      </c>
      <c r="FA753" s="1628" t="s">
        <v>588</v>
      </c>
      <c r="FH753" s="1628"/>
    </row>
    <row r="754" spans="1:176" s="1484" customFormat="1" ht="15" x14ac:dyDescent="0.25">
      <c r="A754" s="1650"/>
      <c r="B754" s="1651"/>
      <c r="C754" s="2805" t="s">
        <v>882</v>
      </c>
      <c r="D754" s="2805"/>
      <c r="E754" s="2805"/>
      <c r="F754" s="2805"/>
      <c r="G754" s="2805"/>
      <c r="H754" s="2805"/>
      <c r="I754" s="2805"/>
      <c r="J754" s="2805"/>
      <c r="K754" s="2805"/>
      <c r="L754" s="2805"/>
      <c r="M754" s="2805"/>
      <c r="N754" s="2806"/>
      <c r="EW754" s="2031"/>
      <c r="EX754" s="1619"/>
      <c r="EY754" s="1628"/>
      <c r="EZ754" s="1628"/>
      <c r="FA754" s="1628"/>
      <c r="FH754" s="1628"/>
      <c r="FI754" s="1864" t="s">
        <v>882</v>
      </c>
      <c r="FJ754" s="1864" t="s">
        <v>588</v>
      </c>
      <c r="FK754" s="1864" t="s">
        <v>588</v>
      </c>
      <c r="FL754" s="1864" t="s">
        <v>588</v>
      </c>
      <c r="FM754" s="1864" t="s">
        <v>588</v>
      </c>
      <c r="FN754" s="1864" t="s">
        <v>588</v>
      </c>
      <c r="FO754" s="1864" t="s">
        <v>588</v>
      </c>
      <c r="FP754" s="1864" t="s">
        <v>588</v>
      </c>
      <c r="FQ754" s="1864" t="s">
        <v>588</v>
      </c>
      <c r="FR754" s="1864" t="s">
        <v>588</v>
      </c>
      <c r="FS754" s="1864" t="s">
        <v>588</v>
      </c>
      <c r="FT754" s="1864" t="s">
        <v>588</v>
      </c>
    </row>
    <row r="755" spans="1:176" s="1484" customFormat="1" ht="15" x14ac:dyDescent="0.25">
      <c r="A755" s="1629"/>
      <c r="B755" s="1862"/>
      <c r="C755" s="2805" t="s">
        <v>8863</v>
      </c>
      <c r="D755" s="2805"/>
      <c r="E755" s="2805"/>
      <c r="F755" s="2805"/>
      <c r="G755" s="2805"/>
      <c r="H755" s="2805"/>
      <c r="I755" s="2805"/>
      <c r="J755" s="2805"/>
      <c r="K755" s="2805"/>
      <c r="L755" s="2805"/>
      <c r="M755" s="2805"/>
      <c r="N755" s="2806"/>
      <c r="EW755" s="2031"/>
      <c r="EX755" s="1619"/>
      <c r="EY755" s="1628"/>
      <c r="EZ755" s="1628"/>
      <c r="FA755" s="1628"/>
      <c r="FB755" s="1864" t="s">
        <v>8863</v>
      </c>
      <c r="FH755" s="1628"/>
    </row>
    <row r="756" spans="1:176" s="1484" customFormat="1" ht="15" x14ac:dyDescent="0.25">
      <c r="A756" s="1650"/>
      <c r="B756" s="1651"/>
      <c r="C756" s="2803" t="s">
        <v>872</v>
      </c>
      <c r="D756" s="2803"/>
      <c r="E756" s="2803"/>
      <c r="F756" s="1621"/>
      <c r="G756" s="1622"/>
      <c r="H756" s="1622"/>
      <c r="I756" s="1622"/>
      <c r="J756" s="1625"/>
      <c r="K756" s="1622"/>
      <c r="L756" s="1648">
        <v>476832.89</v>
      </c>
      <c r="M756" s="2037"/>
      <c r="N756" s="1649">
        <v>4358252.5999999996</v>
      </c>
      <c r="EW756" s="2031"/>
      <c r="EX756" s="1619"/>
      <c r="EY756" s="1628"/>
      <c r="EZ756" s="1628"/>
      <c r="FA756" s="1628"/>
      <c r="FH756" s="1628" t="s">
        <v>872</v>
      </c>
    </row>
    <row r="757" spans="1:176" s="1484" customFormat="1" ht="15" x14ac:dyDescent="0.25">
      <c r="A757" s="2811" t="s">
        <v>8101</v>
      </c>
      <c r="B757" s="2812"/>
      <c r="C757" s="2812"/>
      <c r="D757" s="2812"/>
      <c r="E757" s="2812"/>
      <c r="F757" s="2812"/>
      <c r="G757" s="2812"/>
      <c r="H757" s="2812"/>
      <c r="I757" s="2812"/>
      <c r="J757" s="2812"/>
      <c r="K757" s="2812"/>
      <c r="L757" s="2812"/>
      <c r="M757" s="2812"/>
      <c r="N757" s="2813"/>
      <c r="EW757" s="2031"/>
      <c r="EX757" s="1619" t="s">
        <v>8101</v>
      </c>
      <c r="EY757" s="1628"/>
      <c r="EZ757" s="1628"/>
      <c r="FA757" s="1628"/>
      <c r="FH757" s="1628"/>
    </row>
    <row r="758" spans="1:176" s="1484" customFormat="1" ht="45" x14ac:dyDescent="0.25">
      <c r="A758" s="1620" t="s">
        <v>8102</v>
      </c>
      <c r="B758" s="1863" t="s">
        <v>8638</v>
      </c>
      <c r="C758" s="2803" t="s">
        <v>8103</v>
      </c>
      <c r="D758" s="2803"/>
      <c r="E758" s="2803"/>
      <c r="F758" s="1621" t="s">
        <v>4886</v>
      </c>
      <c r="G758" s="1622">
        <v>41.88</v>
      </c>
      <c r="H758" s="1623">
        <v>1</v>
      </c>
      <c r="I758" s="1687">
        <v>41.88</v>
      </c>
      <c r="J758" s="1625"/>
      <c r="K758" s="1622"/>
      <c r="L758" s="1625"/>
      <c r="M758" s="1622"/>
      <c r="N758" s="1627"/>
      <c r="EW758" s="2031"/>
      <c r="EX758" s="1619"/>
      <c r="EY758" s="1628" t="s">
        <v>8103</v>
      </c>
      <c r="EZ758" s="1628" t="s">
        <v>588</v>
      </c>
      <c r="FA758" s="1628" t="s">
        <v>588</v>
      </c>
      <c r="FH758" s="1628"/>
    </row>
    <row r="759" spans="1:176" s="1484" customFormat="1" ht="15" x14ac:dyDescent="0.25">
      <c r="A759" s="1629"/>
      <c r="B759" s="1862"/>
      <c r="C759" s="2805" t="s">
        <v>8862</v>
      </c>
      <c r="D759" s="2805"/>
      <c r="E759" s="2805"/>
      <c r="F759" s="2805"/>
      <c r="G759" s="2805"/>
      <c r="H759" s="2805"/>
      <c r="I759" s="2805"/>
      <c r="J759" s="2805"/>
      <c r="K759" s="2805"/>
      <c r="L759" s="2805"/>
      <c r="M759" s="2805"/>
      <c r="N759" s="2806"/>
      <c r="EW759" s="2031"/>
      <c r="EX759" s="1619"/>
      <c r="EY759" s="1628"/>
      <c r="EZ759" s="1628"/>
      <c r="FA759" s="1628"/>
      <c r="FB759" s="1864" t="s">
        <v>8862</v>
      </c>
      <c r="FH759" s="1628"/>
    </row>
    <row r="760" spans="1:176" s="1484" customFormat="1" ht="22.5" x14ac:dyDescent="0.25">
      <c r="A760" s="1630"/>
      <c r="B760" s="1631" t="s">
        <v>6062</v>
      </c>
      <c r="C760" s="2809" t="s">
        <v>6063</v>
      </c>
      <c r="D760" s="2809"/>
      <c r="E760" s="2809"/>
      <c r="F760" s="2809"/>
      <c r="G760" s="2809"/>
      <c r="H760" s="2809"/>
      <c r="I760" s="2809"/>
      <c r="J760" s="2809"/>
      <c r="K760" s="2809"/>
      <c r="L760" s="2809"/>
      <c r="M760" s="2809"/>
      <c r="N760" s="2810"/>
      <c r="EW760" s="2031"/>
      <c r="EX760" s="1619"/>
      <c r="EY760" s="1628"/>
      <c r="EZ760" s="1628"/>
      <c r="FA760" s="1628"/>
      <c r="FC760" s="1864" t="s">
        <v>6063</v>
      </c>
      <c r="FH760" s="1628"/>
    </row>
    <row r="761" spans="1:176" s="1484" customFormat="1" ht="22.5" x14ac:dyDescent="0.25">
      <c r="A761" s="2033"/>
      <c r="B761" s="1631" t="s">
        <v>3260</v>
      </c>
      <c r="C761" s="2805" t="s">
        <v>8636</v>
      </c>
      <c r="D761" s="2805"/>
      <c r="E761" s="2805"/>
      <c r="F761" s="1683" t="s">
        <v>807</v>
      </c>
      <c r="G761" s="1655">
        <v>27.14</v>
      </c>
      <c r="H761" s="1641"/>
      <c r="I761" s="2035">
        <v>1136.6232</v>
      </c>
      <c r="J761" s="1654">
        <v>9.18</v>
      </c>
      <c r="K761" s="1655">
        <v>1.25</v>
      </c>
      <c r="L761" s="1657">
        <v>13042.75</v>
      </c>
      <c r="M761" s="1641"/>
      <c r="N761" s="1681"/>
      <c r="EW761" s="2031"/>
      <c r="EX761" s="1619"/>
      <c r="EY761" s="1628"/>
      <c r="EZ761" s="1628"/>
      <c r="FA761" s="1628"/>
      <c r="FD761" s="1864" t="s">
        <v>8636</v>
      </c>
      <c r="FH761" s="1628"/>
    </row>
    <row r="762" spans="1:176" s="1484" customFormat="1" ht="22.5" x14ac:dyDescent="0.25">
      <c r="A762" s="2033"/>
      <c r="B762" s="1631" t="s">
        <v>5003</v>
      </c>
      <c r="C762" s="2805" t="s">
        <v>5004</v>
      </c>
      <c r="D762" s="2805"/>
      <c r="E762" s="2805"/>
      <c r="F762" s="1683" t="s">
        <v>4994</v>
      </c>
      <c r="G762" s="1655">
        <v>0.76</v>
      </c>
      <c r="H762" s="1641"/>
      <c r="I762" s="2035">
        <v>31.828800000000001</v>
      </c>
      <c r="J762" s="1654">
        <v>3.28</v>
      </c>
      <c r="K762" s="1641"/>
      <c r="L762" s="1654">
        <v>104.4</v>
      </c>
      <c r="M762" s="1641"/>
      <c r="N762" s="1681"/>
      <c r="EW762" s="2031"/>
      <c r="EX762" s="1619"/>
      <c r="EY762" s="1628"/>
      <c r="EZ762" s="1628"/>
      <c r="FA762" s="1628"/>
      <c r="FD762" s="1864" t="s">
        <v>5004</v>
      </c>
      <c r="FH762" s="1628"/>
    </row>
    <row r="763" spans="1:176" s="1484" customFormat="1" ht="22.5" x14ac:dyDescent="0.25">
      <c r="A763" s="2033"/>
      <c r="B763" s="1631" t="s">
        <v>5026</v>
      </c>
      <c r="C763" s="2805" t="s">
        <v>8635</v>
      </c>
      <c r="D763" s="2805"/>
      <c r="E763" s="2805"/>
      <c r="F763" s="1683" t="s">
        <v>4994</v>
      </c>
      <c r="G763" s="1655">
        <v>2.44</v>
      </c>
      <c r="H763" s="1641"/>
      <c r="I763" s="2035">
        <v>102.1872</v>
      </c>
      <c r="J763" s="1654">
        <v>8.1</v>
      </c>
      <c r="K763" s="1641"/>
      <c r="L763" s="1654">
        <v>827.72</v>
      </c>
      <c r="M763" s="1641"/>
      <c r="N763" s="1681"/>
      <c r="EW763" s="2031"/>
      <c r="EX763" s="1619"/>
      <c r="EY763" s="1628"/>
      <c r="EZ763" s="1628"/>
      <c r="FA763" s="1628"/>
      <c r="FD763" s="1864" t="s">
        <v>8635</v>
      </c>
      <c r="FH763" s="1628"/>
    </row>
    <row r="764" spans="1:176" s="1484" customFormat="1" ht="22.5" x14ac:dyDescent="0.25">
      <c r="A764" s="2033"/>
      <c r="B764" s="1631" t="s">
        <v>4885</v>
      </c>
      <c r="C764" s="2805" t="s">
        <v>8634</v>
      </c>
      <c r="D764" s="2805"/>
      <c r="E764" s="2805"/>
      <c r="F764" s="1683" t="s">
        <v>130</v>
      </c>
      <c r="G764" s="1655">
        <v>3.97</v>
      </c>
      <c r="H764" s="1641"/>
      <c r="I764" s="2035">
        <v>166.2636</v>
      </c>
      <c r="J764" s="1654">
        <v>86.74</v>
      </c>
      <c r="K764" s="1641"/>
      <c r="L764" s="1657">
        <v>14421.7</v>
      </c>
      <c r="M764" s="1641"/>
      <c r="N764" s="1681"/>
      <c r="EW764" s="2031"/>
      <c r="EX764" s="1619"/>
      <c r="EY764" s="1628"/>
      <c r="EZ764" s="1628"/>
      <c r="FA764" s="1628"/>
      <c r="FD764" s="1864" t="s">
        <v>8634</v>
      </c>
      <c r="FH764" s="1628"/>
    </row>
    <row r="765" spans="1:176" s="1484" customFormat="1" ht="15" x14ac:dyDescent="0.25">
      <c r="A765" s="2033"/>
      <c r="B765" s="1631" t="s">
        <v>4892</v>
      </c>
      <c r="C765" s="2805" t="s">
        <v>8633</v>
      </c>
      <c r="D765" s="2805"/>
      <c r="E765" s="2805"/>
      <c r="F765" s="1683" t="s">
        <v>849</v>
      </c>
      <c r="G765" s="2046">
        <v>0.27700000000000002</v>
      </c>
      <c r="H765" s="1641"/>
      <c r="I765" s="2042">
        <v>11.600759999999999</v>
      </c>
      <c r="J765" s="1654">
        <v>64.099999999999994</v>
      </c>
      <c r="K765" s="1641"/>
      <c r="L765" s="1654">
        <v>743.61</v>
      </c>
      <c r="M765" s="1641"/>
      <c r="N765" s="1681"/>
      <c r="EW765" s="2031"/>
      <c r="EX765" s="1619"/>
      <c r="EY765" s="1628"/>
      <c r="EZ765" s="1628"/>
      <c r="FA765" s="1628"/>
      <c r="FD765" s="1864" t="s">
        <v>8633</v>
      </c>
      <c r="FH765" s="1628"/>
    </row>
    <row r="766" spans="1:176" s="1484" customFormat="1" ht="15" x14ac:dyDescent="0.25">
      <c r="A766" s="2033"/>
      <c r="B766" s="1631" t="s">
        <v>839</v>
      </c>
      <c r="C766" s="2805" t="s">
        <v>8632</v>
      </c>
      <c r="D766" s="2805"/>
      <c r="E766" s="2805"/>
      <c r="F766" s="1683" t="s">
        <v>835</v>
      </c>
      <c r="G766" s="2035">
        <v>0.94130000000000003</v>
      </c>
      <c r="H766" s="1641"/>
      <c r="I766" s="2043">
        <v>39.421644000000001</v>
      </c>
      <c r="J766" s="1654">
        <v>10.75</v>
      </c>
      <c r="K766" s="1641"/>
      <c r="L766" s="1654">
        <v>423.78</v>
      </c>
      <c r="M766" s="1641"/>
      <c r="N766" s="1681"/>
      <c r="EW766" s="2031"/>
      <c r="EX766" s="1619"/>
      <c r="EY766" s="1628"/>
      <c r="EZ766" s="1628"/>
      <c r="FA766" s="1628"/>
      <c r="FD766" s="1864" t="s">
        <v>8632</v>
      </c>
      <c r="FH766" s="1628"/>
    </row>
    <row r="767" spans="1:176" s="1484" customFormat="1" ht="15" x14ac:dyDescent="0.25">
      <c r="A767" s="2033"/>
      <c r="B767" s="1631" t="s">
        <v>4903</v>
      </c>
      <c r="C767" s="2805" t="s">
        <v>8631</v>
      </c>
      <c r="D767" s="2805"/>
      <c r="E767" s="2805"/>
      <c r="F767" s="1683" t="s">
        <v>269</v>
      </c>
      <c r="G767" s="2034">
        <v>5</v>
      </c>
      <c r="H767" s="1641"/>
      <c r="I767" s="1953">
        <v>209.4</v>
      </c>
      <c r="J767" s="1654">
        <v>3.23</v>
      </c>
      <c r="K767" s="1641"/>
      <c r="L767" s="1654">
        <v>676.36</v>
      </c>
      <c r="M767" s="1641"/>
      <c r="N767" s="1681"/>
      <c r="EW767" s="2031"/>
      <c r="EX767" s="1619"/>
      <c r="EY767" s="1628"/>
      <c r="EZ767" s="1628"/>
      <c r="FA767" s="1628"/>
      <c r="FD767" s="1864" t="s">
        <v>8631</v>
      </c>
      <c r="FH767" s="1628"/>
    </row>
    <row r="768" spans="1:176" s="1484" customFormat="1" ht="45" x14ac:dyDescent="0.25">
      <c r="A768" s="2033"/>
      <c r="B768" s="1631" t="s">
        <v>8630</v>
      </c>
      <c r="C768" s="2805" t="s">
        <v>8629</v>
      </c>
      <c r="D768" s="2805"/>
      <c r="E768" s="2805"/>
      <c r="F768" s="1683" t="s">
        <v>4865</v>
      </c>
      <c r="G768" s="1655">
        <v>0.16</v>
      </c>
      <c r="H768" s="1641"/>
      <c r="I768" s="2035">
        <v>6.7008000000000001</v>
      </c>
      <c r="J768" s="1654">
        <v>40</v>
      </c>
      <c r="K768" s="1641"/>
      <c r="L768" s="1654">
        <v>268.02999999999997</v>
      </c>
      <c r="M768" s="1641"/>
      <c r="N768" s="1681"/>
      <c r="EW768" s="2031"/>
      <c r="EX768" s="1619"/>
      <c r="EY768" s="1628"/>
      <c r="EZ768" s="1628"/>
      <c r="FA768" s="1628"/>
      <c r="FD768" s="1864" t="s">
        <v>8629</v>
      </c>
      <c r="FH768" s="1628"/>
    </row>
    <row r="769" spans="1:164" s="1484" customFormat="1" ht="15" x14ac:dyDescent="0.25">
      <c r="A769" s="2033"/>
      <c r="B769" s="1631" t="s">
        <v>4908</v>
      </c>
      <c r="C769" s="2805" t="s">
        <v>8628</v>
      </c>
      <c r="D769" s="2805"/>
      <c r="E769" s="2805"/>
      <c r="F769" s="1683" t="s">
        <v>4865</v>
      </c>
      <c r="G769" s="1655">
        <v>0.16</v>
      </c>
      <c r="H769" s="1641"/>
      <c r="I769" s="2035">
        <v>6.7008000000000001</v>
      </c>
      <c r="J769" s="1654">
        <v>11</v>
      </c>
      <c r="K769" s="1641"/>
      <c r="L769" s="1654">
        <v>73.709999999999994</v>
      </c>
      <c r="M769" s="1641"/>
      <c r="N769" s="1681"/>
      <c r="EW769" s="2031"/>
      <c r="EX769" s="1619"/>
      <c r="EY769" s="1628"/>
      <c r="EZ769" s="1628"/>
      <c r="FA769" s="1628"/>
      <c r="FD769" s="1864" t="s">
        <v>8628</v>
      </c>
      <c r="FH769" s="1628"/>
    </row>
    <row r="770" spans="1:164" s="1484" customFormat="1" ht="22.5" x14ac:dyDescent="0.25">
      <c r="A770" s="2033"/>
      <c r="B770" s="1631" t="s">
        <v>4909</v>
      </c>
      <c r="C770" s="2805" t="s">
        <v>8627</v>
      </c>
      <c r="D770" s="2805"/>
      <c r="E770" s="2805"/>
      <c r="F770" s="1683" t="s">
        <v>4865</v>
      </c>
      <c r="G770" s="1655">
        <v>0.39</v>
      </c>
      <c r="H770" s="1641"/>
      <c r="I770" s="2035">
        <v>16.333200000000001</v>
      </c>
      <c r="J770" s="1654">
        <v>24</v>
      </c>
      <c r="K770" s="1641"/>
      <c r="L770" s="1654">
        <v>392</v>
      </c>
      <c r="M770" s="1641"/>
      <c r="N770" s="1681"/>
      <c r="EW770" s="2031"/>
      <c r="EX770" s="1619"/>
      <c r="EY770" s="1628"/>
      <c r="EZ770" s="1628"/>
      <c r="FA770" s="1628"/>
      <c r="FD770" s="1864" t="s">
        <v>8627</v>
      </c>
      <c r="FH770" s="1628"/>
    </row>
    <row r="771" spans="1:164" s="1484" customFormat="1" ht="15" x14ac:dyDescent="0.25">
      <c r="A771" s="2033"/>
      <c r="B771" s="1631" t="s">
        <v>4920</v>
      </c>
      <c r="C771" s="2805" t="s">
        <v>4921</v>
      </c>
      <c r="D771" s="2805"/>
      <c r="E771" s="2805"/>
      <c r="F771" s="1683" t="s">
        <v>849</v>
      </c>
      <c r="G771" s="1655">
        <v>0.28000000000000003</v>
      </c>
      <c r="H771" s="1641"/>
      <c r="I771" s="2035">
        <v>11.7264</v>
      </c>
      <c r="J771" s="1654">
        <v>228.4</v>
      </c>
      <c r="K771" s="1641"/>
      <c r="L771" s="1657">
        <v>2678.31</v>
      </c>
      <c r="M771" s="1641"/>
      <c r="N771" s="1681"/>
      <c r="EW771" s="2031"/>
      <c r="EX771" s="1619"/>
      <c r="EY771" s="1628"/>
      <c r="EZ771" s="1628"/>
      <c r="FA771" s="1628"/>
      <c r="FD771" s="1864" t="s">
        <v>4921</v>
      </c>
      <c r="FH771" s="1628"/>
    </row>
    <row r="772" spans="1:164" s="1484" customFormat="1" ht="15" x14ac:dyDescent="0.25">
      <c r="A772" s="2033"/>
      <c r="B772" s="1631" t="s">
        <v>8626</v>
      </c>
      <c r="C772" s="2805" t="s">
        <v>8625</v>
      </c>
      <c r="D772" s="2805"/>
      <c r="E772" s="2805"/>
      <c r="F772" s="1683" t="s">
        <v>4865</v>
      </c>
      <c r="G772" s="1655">
        <v>0.03</v>
      </c>
      <c r="H772" s="1641"/>
      <c r="I772" s="2035">
        <v>1.2564</v>
      </c>
      <c r="J772" s="1657">
        <v>2007</v>
      </c>
      <c r="K772" s="1641"/>
      <c r="L772" s="1657">
        <v>2521.59</v>
      </c>
      <c r="M772" s="1641"/>
      <c r="N772" s="1681"/>
      <c r="EW772" s="2031"/>
      <c r="EX772" s="1619"/>
      <c r="EY772" s="1628"/>
      <c r="EZ772" s="1628"/>
      <c r="FA772" s="1628"/>
      <c r="FD772" s="1864" t="s">
        <v>8625</v>
      </c>
      <c r="FH772" s="1628"/>
    </row>
    <row r="773" spans="1:164" s="1484" customFormat="1" ht="15" x14ac:dyDescent="0.25">
      <c r="A773" s="2033"/>
      <c r="B773" s="1631" t="s">
        <v>8624</v>
      </c>
      <c r="C773" s="2805" t="s">
        <v>8623</v>
      </c>
      <c r="D773" s="2805"/>
      <c r="E773" s="2805"/>
      <c r="F773" s="1683" t="s">
        <v>4865</v>
      </c>
      <c r="G773" s="1655">
        <v>0.02</v>
      </c>
      <c r="H773" s="1641"/>
      <c r="I773" s="2035">
        <v>0.83760000000000001</v>
      </c>
      <c r="J773" s="1657">
        <v>2456</v>
      </c>
      <c r="K773" s="1641"/>
      <c r="L773" s="1657">
        <v>2057.15</v>
      </c>
      <c r="M773" s="1641"/>
      <c r="N773" s="1681"/>
      <c r="EW773" s="2031"/>
      <c r="EX773" s="1619"/>
      <c r="EY773" s="1628"/>
      <c r="EZ773" s="1628"/>
      <c r="FA773" s="1628"/>
      <c r="FD773" s="1864" t="s">
        <v>8623</v>
      </c>
      <c r="FH773" s="1628"/>
    </row>
    <row r="774" spans="1:164" s="1484" customFormat="1" ht="15" x14ac:dyDescent="0.25">
      <c r="A774" s="2033"/>
      <c r="B774" s="1631" t="s">
        <v>4944</v>
      </c>
      <c r="C774" s="2805" t="s">
        <v>8622</v>
      </c>
      <c r="D774" s="2805"/>
      <c r="E774" s="2805"/>
      <c r="F774" s="1683" t="s">
        <v>4865</v>
      </c>
      <c r="G774" s="1655">
        <v>7.0000000000000007E-2</v>
      </c>
      <c r="H774" s="1641"/>
      <c r="I774" s="2035">
        <v>2.9316</v>
      </c>
      <c r="J774" s="1657">
        <v>1888</v>
      </c>
      <c r="K774" s="1641"/>
      <c r="L774" s="1657">
        <v>5534.86</v>
      </c>
      <c r="M774" s="1641"/>
      <c r="N774" s="1681"/>
      <c r="EW774" s="2031"/>
      <c r="EX774" s="1619"/>
      <c r="EY774" s="1628"/>
      <c r="EZ774" s="1628"/>
      <c r="FA774" s="1628"/>
      <c r="FD774" s="1864" t="s">
        <v>8622</v>
      </c>
      <c r="FH774" s="1628"/>
    </row>
    <row r="775" spans="1:164" s="1484" customFormat="1" ht="15" x14ac:dyDescent="0.25">
      <c r="A775" s="2033"/>
      <c r="B775" s="1631" t="s">
        <v>4945</v>
      </c>
      <c r="C775" s="2805" t="s">
        <v>8621</v>
      </c>
      <c r="D775" s="2805"/>
      <c r="E775" s="2805"/>
      <c r="F775" s="1683" t="s">
        <v>2647</v>
      </c>
      <c r="G775" s="1655">
        <v>7.22</v>
      </c>
      <c r="H775" s="1641"/>
      <c r="I775" s="2035">
        <v>302.37360000000001</v>
      </c>
      <c r="J775" s="1654">
        <v>6.99</v>
      </c>
      <c r="K775" s="1641"/>
      <c r="L775" s="1657">
        <v>2113.59</v>
      </c>
      <c r="M775" s="1641"/>
      <c r="N775" s="1681"/>
      <c r="EW775" s="2031"/>
      <c r="EX775" s="1619"/>
      <c r="EY775" s="1628"/>
      <c r="EZ775" s="1628"/>
      <c r="FA775" s="1628"/>
      <c r="FD775" s="1864" t="s">
        <v>8621</v>
      </c>
      <c r="FH775" s="1628"/>
    </row>
    <row r="776" spans="1:164" s="1484" customFormat="1" ht="15" x14ac:dyDescent="0.25">
      <c r="A776" s="2033"/>
      <c r="B776" s="1631" t="s">
        <v>4946</v>
      </c>
      <c r="C776" s="2805" t="s">
        <v>8620</v>
      </c>
      <c r="D776" s="2805"/>
      <c r="E776" s="2805"/>
      <c r="F776" s="1683" t="s">
        <v>2647</v>
      </c>
      <c r="G776" s="1953">
        <v>2.8</v>
      </c>
      <c r="H776" s="1641"/>
      <c r="I776" s="2046">
        <v>117.264</v>
      </c>
      <c r="J776" s="1654">
        <v>57.43</v>
      </c>
      <c r="K776" s="1641"/>
      <c r="L776" s="1657">
        <v>6734.47</v>
      </c>
      <c r="M776" s="1641"/>
      <c r="N776" s="1681"/>
      <c r="EW776" s="2031"/>
      <c r="EX776" s="1619"/>
      <c r="EY776" s="1628"/>
      <c r="EZ776" s="1628"/>
      <c r="FA776" s="1628"/>
      <c r="FD776" s="1864" t="s">
        <v>8620</v>
      </c>
      <c r="FH776" s="1628"/>
    </row>
    <row r="777" spans="1:164" s="1484" customFormat="1" ht="15" x14ac:dyDescent="0.25">
      <c r="A777" s="2033"/>
      <c r="B777" s="1631" t="s">
        <v>4947</v>
      </c>
      <c r="C777" s="2805" t="s">
        <v>8619</v>
      </c>
      <c r="D777" s="2805"/>
      <c r="E777" s="2805"/>
      <c r="F777" s="1683" t="s">
        <v>4865</v>
      </c>
      <c r="G777" s="1655">
        <v>0.06</v>
      </c>
      <c r="H777" s="1641"/>
      <c r="I777" s="2035">
        <v>2.5127999999999999</v>
      </c>
      <c r="J777" s="1654">
        <v>425</v>
      </c>
      <c r="K777" s="1641"/>
      <c r="L777" s="1657">
        <v>1067.94</v>
      </c>
      <c r="M777" s="1641"/>
      <c r="N777" s="1681"/>
      <c r="EW777" s="2031"/>
      <c r="EX777" s="1619"/>
      <c r="EY777" s="1628"/>
      <c r="EZ777" s="1628"/>
      <c r="FA777" s="1628"/>
      <c r="FD777" s="1864" t="s">
        <v>8619</v>
      </c>
      <c r="FH777" s="1628"/>
    </row>
    <row r="778" spans="1:164" s="1484" customFormat="1" ht="22.5" x14ac:dyDescent="0.25">
      <c r="A778" s="2033"/>
      <c r="B778" s="1631" t="s">
        <v>4956</v>
      </c>
      <c r="C778" s="2805" t="s">
        <v>8618</v>
      </c>
      <c r="D778" s="2805"/>
      <c r="E778" s="2805"/>
      <c r="F778" s="1683" t="s">
        <v>130</v>
      </c>
      <c r="G778" s="1655">
        <v>1.19</v>
      </c>
      <c r="H778" s="1641"/>
      <c r="I778" s="2035">
        <v>49.837200000000003</v>
      </c>
      <c r="J778" s="1654">
        <v>33.46</v>
      </c>
      <c r="K778" s="1641"/>
      <c r="L778" s="1657">
        <v>1667.55</v>
      </c>
      <c r="M778" s="1641"/>
      <c r="N778" s="1681"/>
      <c r="EW778" s="2031"/>
      <c r="EX778" s="1619"/>
      <c r="EY778" s="1628"/>
      <c r="EZ778" s="1628"/>
      <c r="FA778" s="1628"/>
      <c r="FD778" s="1864" t="s">
        <v>8618</v>
      </c>
      <c r="FH778" s="1628"/>
    </row>
    <row r="779" spans="1:164" s="1484" customFormat="1" ht="22.5" x14ac:dyDescent="0.25">
      <c r="A779" s="2033"/>
      <c r="B779" s="1631" t="s">
        <v>8617</v>
      </c>
      <c r="C779" s="2805" t="s">
        <v>8616</v>
      </c>
      <c r="D779" s="2805"/>
      <c r="E779" s="2805"/>
      <c r="F779" s="1683" t="s">
        <v>801</v>
      </c>
      <c r="G779" s="2035">
        <v>9.4000000000000004E-3</v>
      </c>
      <c r="H779" s="1641"/>
      <c r="I779" s="2043">
        <v>0.39367200000000002</v>
      </c>
      <c r="J779" s="1657">
        <v>6100</v>
      </c>
      <c r="K779" s="1641"/>
      <c r="L779" s="1657">
        <v>2401.4</v>
      </c>
      <c r="M779" s="1641"/>
      <c r="N779" s="1681"/>
      <c r="EW779" s="2031"/>
      <c r="EX779" s="1619"/>
      <c r="EY779" s="1628"/>
      <c r="EZ779" s="1628"/>
      <c r="FA779" s="1628"/>
      <c r="FD779" s="1864" t="s">
        <v>8616</v>
      </c>
      <c r="FH779" s="1628"/>
    </row>
    <row r="780" spans="1:164" s="1484" customFormat="1" ht="22.5" x14ac:dyDescent="0.25">
      <c r="A780" s="2033"/>
      <c r="B780" s="1631" t="s">
        <v>8615</v>
      </c>
      <c r="C780" s="2805" t="s">
        <v>8614</v>
      </c>
      <c r="D780" s="2805"/>
      <c r="E780" s="2805"/>
      <c r="F780" s="1683" t="s">
        <v>801</v>
      </c>
      <c r="G780" s="2035">
        <v>1.61E-2</v>
      </c>
      <c r="H780" s="1641"/>
      <c r="I780" s="2043">
        <v>0.67426799999999998</v>
      </c>
      <c r="J780" s="1657">
        <v>5995.55</v>
      </c>
      <c r="K780" s="1641"/>
      <c r="L780" s="1657">
        <v>4042.61</v>
      </c>
      <c r="M780" s="1641"/>
      <c r="N780" s="1681"/>
      <c r="EW780" s="2031"/>
      <c r="EX780" s="1619"/>
      <c r="EY780" s="1628"/>
      <c r="EZ780" s="1628"/>
      <c r="FA780" s="1628"/>
      <c r="FD780" s="1864" t="s">
        <v>8614</v>
      </c>
      <c r="FH780" s="1628"/>
    </row>
    <row r="781" spans="1:164" s="1484" customFormat="1" ht="33.75" x14ac:dyDescent="0.25">
      <c r="A781" s="2033"/>
      <c r="B781" s="1631" t="s">
        <v>4958</v>
      </c>
      <c r="C781" s="2805" t="s">
        <v>8613</v>
      </c>
      <c r="D781" s="2805"/>
      <c r="E781" s="2805"/>
      <c r="F781" s="1683" t="s">
        <v>801</v>
      </c>
      <c r="G781" s="2035">
        <v>2.3999999999999998E-3</v>
      </c>
      <c r="H781" s="1641"/>
      <c r="I781" s="2043">
        <v>0.100512</v>
      </c>
      <c r="J781" s="1657">
        <v>8014.15</v>
      </c>
      <c r="K781" s="1641"/>
      <c r="L781" s="1654">
        <v>805.52</v>
      </c>
      <c r="M781" s="1641"/>
      <c r="N781" s="1681"/>
      <c r="EW781" s="2031"/>
      <c r="EX781" s="1619"/>
      <c r="EY781" s="1628"/>
      <c r="EZ781" s="1628"/>
      <c r="FA781" s="1628"/>
      <c r="FD781" s="1864" t="s">
        <v>8613</v>
      </c>
      <c r="FH781" s="1628"/>
    </row>
    <row r="782" spans="1:164" s="1484" customFormat="1" ht="22.5" x14ac:dyDescent="0.25">
      <c r="A782" s="2033"/>
      <c r="B782" s="1631" t="s">
        <v>4976</v>
      </c>
      <c r="C782" s="2805" t="s">
        <v>8612</v>
      </c>
      <c r="D782" s="2805"/>
      <c r="E782" s="2805"/>
      <c r="F782" s="1683" t="s">
        <v>835</v>
      </c>
      <c r="G782" s="1655">
        <v>7.0000000000000007E-2</v>
      </c>
      <c r="H782" s="1641"/>
      <c r="I782" s="2035">
        <v>2.9316</v>
      </c>
      <c r="J782" s="1654">
        <v>13.4</v>
      </c>
      <c r="K782" s="1641"/>
      <c r="L782" s="1654">
        <v>39.28</v>
      </c>
      <c r="M782" s="1641"/>
      <c r="N782" s="1681"/>
      <c r="EW782" s="2031"/>
      <c r="EX782" s="1619"/>
      <c r="EY782" s="1628"/>
      <c r="EZ782" s="1628"/>
      <c r="FA782" s="1628"/>
      <c r="FD782" s="1864" t="s">
        <v>8612</v>
      </c>
      <c r="FH782" s="1628"/>
    </row>
    <row r="783" spans="1:164" s="1484" customFormat="1" ht="22.5" x14ac:dyDescent="0.25">
      <c r="A783" s="2033"/>
      <c r="B783" s="1631" t="s">
        <v>4979</v>
      </c>
      <c r="C783" s="2805" t="s">
        <v>4980</v>
      </c>
      <c r="D783" s="2805"/>
      <c r="E783" s="2805"/>
      <c r="F783" s="1683" t="s">
        <v>835</v>
      </c>
      <c r="G783" s="1655">
        <v>0.15</v>
      </c>
      <c r="H783" s="1641"/>
      <c r="I783" s="2046">
        <v>6.282</v>
      </c>
      <c r="J783" s="1654">
        <v>18.05</v>
      </c>
      <c r="K783" s="1641"/>
      <c r="L783" s="1654">
        <v>113.39</v>
      </c>
      <c r="M783" s="1641"/>
      <c r="N783" s="1681"/>
      <c r="EW783" s="2031"/>
      <c r="EX783" s="1619"/>
      <c r="EY783" s="1628"/>
      <c r="EZ783" s="1628"/>
      <c r="FA783" s="1628"/>
      <c r="FD783" s="1864" t="s">
        <v>4980</v>
      </c>
      <c r="FH783" s="1628"/>
    </row>
    <row r="784" spans="1:164" s="1484" customFormat="1" ht="45" x14ac:dyDescent="0.25">
      <c r="A784" s="2033"/>
      <c r="B784" s="1631" t="s">
        <v>4981</v>
      </c>
      <c r="C784" s="2805" t="s">
        <v>8611</v>
      </c>
      <c r="D784" s="2805"/>
      <c r="E784" s="2805"/>
      <c r="F784" s="1683" t="s">
        <v>4868</v>
      </c>
      <c r="G784" s="1655">
        <v>0.43</v>
      </c>
      <c r="H784" s="1641"/>
      <c r="I784" s="2035">
        <v>18.008400000000002</v>
      </c>
      <c r="J784" s="1654">
        <v>45.91</v>
      </c>
      <c r="K784" s="1641"/>
      <c r="L784" s="1654">
        <v>826.77</v>
      </c>
      <c r="M784" s="1641"/>
      <c r="N784" s="1681"/>
      <c r="EW784" s="2031"/>
      <c r="EX784" s="1619"/>
      <c r="EY784" s="1628"/>
      <c r="EZ784" s="1628"/>
      <c r="FA784" s="1628"/>
      <c r="FD784" s="1864" t="s">
        <v>8611</v>
      </c>
      <c r="FH784" s="1628"/>
    </row>
    <row r="785" spans="1:176" s="1484" customFormat="1" ht="33.75" x14ac:dyDescent="0.25">
      <c r="A785" s="2033"/>
      <c r="B785" s="1631" t="s">
        <v>4982</v>
      </c>
      <c r="C785" s="2805" t="s">
        <v>8610</v>
      </c>
      <c r="D785" s="2805"/>
      <c r="E785" s="2805"/>
      <c r="F785" s="1683" t="s">
        <v>4868</v>
      </c>
      <c r="G785" s="1655">
        <v>0.34</v>
      </c>
      <c r="H785" s="1641"/>
      <c r="I785" s="2035">
        <v>14.2392</v>
      </c>
      <c r="J785" s="1654">
        <v>39.229999999999997</v>
      </c>
      <c r="K785" s="1641"/>
      <c r="L785" s="1654">
        <v>558.6</v>
      </c>
      <c r="M785" s="1641"/>
      <c r="N785" s="1681"/>
      <c r="EW785" s="2031"/>
      <c r="EX785" s="1619"/>
      <c r="EY785" s="1628"/>
      <c r="EZ785" s="1628"/>
      <c r="FA785" s="1628"/>
      <c r="FD785" s="1864" t="s">
        <v>8610</v>
      </c>
      <c r="FH785" s="1628"/>
    </row>
    <row r="786" spans="1:176" s="1484" customFormat="1" ht="56.25" x14ac:dyDescent="0.25">
      <c r="A786" s="2033"/>
      <c r="B786" s="1631" t="s">
        <v>4993</v>
      </c>
      <c r="C786" s="2805" t="s">
        <v>8609</v>
      </c>
      <c r="D786" s="2805"/>
      <c r="E786" s="2805"/>
      <c r="F786" s="1683" t="s">
        <v>801</v>
      </c>
      <c r="G786" s="2035">
        <v>1.2699999999999999E-2</v>
      </c>
      <c r="H786" s="1641"/>
      <c r="I786" s="2043">
        <v>0.53187600000000002</v>
      </c>
      <c r="J786" s="1657">
        <v>6673.16</v>
      </c>
      <c r="K786" s="1641"/>
      <c r="L786" s="1657">
        <v>3549.29</v>
      </c>
      <c r="M786" s="1641"/>
      <c r="N786" s="1681"/>
      <c r="EW786" s="2031"/>
      <c r="EX786" s="1619"/>
      <c r="EY786" s="1628"/>
      <c r="EZ786" s="1628"/>
      <c r="FA786" s="1628"/>
      <c r="FD786" s="1864" t="s">
        <v>8609</v>
      </c>
      <c r="FH786" s="1628"/>
    </row>
    <row r="787" spans="1:176" s="1484" customFormat="1" ht="15" x14ac:dyDescent="0.25">
      <c r="A787" s="2032"/>
      <c r="B787" s="1631" t="s">
        <v>190</v>
      </c>
      <c r="C787" s="2805" t="s">
        <v>2523</v>
      </c>
      <c r="D787" s="2805"/>
      <c r="E787" s="2805"/>
      <c r="F787" s="1683"/>
      <c r="G787" s="1641"/>
      <c r="H787" s="1641"/>
      <c r="I787" s="1641"/>
      <c r="J787" s="1654">
        <v>249.15</v>
      </c>
      <c r="K787" s="1655">
        <v>1.25</v>
      </c>
      <c r="L787" s="1657">
        <v>13043</v>
      </c>
      <c r="M787" s="1655">
        <v>35.75</v>
      </c>
      <c r="N787" s="1679">
        <v>466287.25</v>
      </c>
      <c r="EW787" s="2031"/>
      <c r="EX787" s="1619"/>
      <c r="EY787" s="1628"/>
      <c r="EZ787" s="1628"/>
      <c r="FA787" s="1628"/>
      <c r="FE787" s="1864" t="s">
        <v>2523</v>
      </c>
      <c r="FH787" s="1628"/>
    </row>
    <row r="788" spans="1:176" s="1484" customFormat="1" ht="15" x14ac:dyDescent="0.25">
      <c r="A788" s="2032"/>
      <c r="B788" s="1631" t="s">
        <v>639</v>
      </c>
      <c r="C788" s="2805" t="s">
        <v>697</v>
      </c>
      <c r="D788" s="2805"/>
      <c r="E788" s="2805"/>
      <c r="F788" s="1683"/>
      <c r="G788" s="1641"/>
      <c r="H788" s="1641"/>
      <c r="I788" s="1641"/>
      <c r="J788" s="1654">
        <v>22.25</v>
      </c>
      <c r="K788" s="1641"/>
      <c r="L788" s="1654">
        <v>931.83</v>
      </c>
      <c r="M788" s="1655">
        <v>11.97</v>
      </c>
      <c r="N788" s="1679">
        <v>11154.01</v>
      </c>
      <c r="EW788" s="2031"/>
      <c r="EX788" s="1619"/>
      <c r="EY788" s="1628"/>
      <c r="EZ788" s="1628"/>
      <c r="FA788" s="1628"/>
      <c r="FE788" s="1864" t="s">
        <v>697</v>
      </c>
      <c r="FH788" s="1628"/>
    </row>
    <row r="789" spans="1:176" s="1484" customFormat="1" ht="15" x14ac:dyDescent="0.25">
      <c r="A789" s="2032"/>
      <c r="B789" s="1631" t="s">
        <v>232</v>
      </c>
      <c r="C789" s="2805" t="s">
        <v>829</v>
      </c>
      <c r="D789" s="2805"/>
      <c r="E789" s="2805"/>
      <c r="F789" s="1683"/>
      <c r="G789" s="1641"/>
      <c r="H789" s="1641"/>
      <c r="I789" s="1641"/>
      <c r="J789" s="1657">
        <v>1282.52</v>
      </c>
      <c r="K789" s="1641"/>
      <c r="L789" s="1657">
        <v>53711.94</v>
      </c>
      <c r="M789" s="1655">
        <v>9.14</v>
      </c>
      <c r="N789" s="1679">
        <v>490927.13</v>
      </c>
      <c r="EW789" s="2031"/>
      <c r="EX789" s="1619"/>
      <c r="EY789" s="1628"/>
      <c r="EZ789" s="1628"/>
      <c r="FA789" s="1628"/>
      <c r="FE789" s="1864" t="s">
        <v>829</v>
      </c>
      <c r="FH789" s="1628"/>
    </row>
    <row r="790" spans="1:176" s="1484" customFormat="1" ht="15" x14ac:dyDescent="0.25">
      <c r="A790" s="2033"/>
      <c r="B790" s="1631"/>
      <c r="C790" s="2805" t="s">
        <v>2524</v>
      </c>
      <c r="D790" s="2805"/>
      <c r="E790" s="2805"/>
      <c r="F790" s="1683" t="s">
        <v>807</v>
      </c>
      <c r="G790" s="1655">
        <v>27.14</v>
      </c>
      <c r="H790" s="1641"/>
      <c r="I790" s="2035">
        <v>1136.6232</v>
      </c>
      <c r="J790" s="1640"/>
      <c r="K790" s="1641"/>
      <c r="L790" s="1640"/>
      <c r="M790" s="1641"/>
      <c r="N790" s="1681"/>
      <c r="EW790" s="2031"/>
      <c r="EX790" s="1619"/>
      <c r="EY790" s="1628"/>
      <c r="EZ790" s="1628"/>
      <c r="FA790" s="1628"/>
      <c r="FF790" s="1864" t="s">
        <v>2524</v>
      </c>
      <c r="FH790" s="1628"/>
    </row>
    <row r="791" spans="1:176" s="1484" customFormat="1" ht="15" x14ac:dyDescent="0.25">
      <c r="A791" s="2032"/>
      <c r="B791" s="1631"/>
      <c r="C791" s="2917" t="s">
        <v>2502</v>
      </c>
      <c r="D791" s="2917"/>
      <c r="E791" s="2917"/>
      <c r="F791" s="2036"/>
      <c r="G791" s="2037"/>
      <c r="H791" s="2037"/>
      <c r="I791" s="2037"/>
      <c r="J791" s="2038">
        <v>1553.92</v>
      </c>
      <c r="K791" s="2037"/>
      <c r="L791" s="2038">
        <v>67686.77</v>
      </c>
      <c r="M791" s="2037"/>
      <c r="N791" s="2068">
        <v>968368.39</v>
      </c>
      <c r="EW791" s="2031"/>
      <c r="EX791" s="1619"/>
      <c r="EY791" s="1628"/>
      <c r="EZ791" s="1628"/>
      <c r="FA791" s="1628"/>
      <c r="FG791" s="1864" t="s">
        <v>2502</v>
      </c>
      <c r="FH791" s="1628"/>
    </row>
    <row r="792" spans="1:176" s="1484" customFormat="1" ht="15" x14ac:dyDescent="0.25">
      <c r="A792" s="2033"/>
      <c r="B792" s="1631"/>
      <c r="C792" s="2805" t="s">
        <v>867</v>
      </c>
      <c r="D792" s="2805"/>
      <c r="E792" s="2805"/>
      <c r="F792" s="1683"/>
      <c r="G792" s="1641"/>
      <c r="H792" s="1641"/>
      <c r="I792" s="1641"/>
      <c r="J792" s="1640"/>
      <c r="K792" s="1641"/>
      <c r="L792" s="1657">
        <v>13043</v>
      </c>
      <c r="M792" s="1641"/>
      <c r="N792" s="1679">
        <v>466287.25</v>
      </c>
      <c r="EW792" s="2031"/>
      <c r="EX792" s="1619"/>
      <c r="EY792" s="1628"/>
      <c r="EZ792" s="1628"/>
      <c r="FA792" s="1628"/>
      <c r="FF792" s="1864" t="s">
        <v>867</v>
      </c>
      <c r="FH792" s="1628"/>
    </row>
    <row r="793" spans="1:176" s="1484" customFormat="1" ht="15" x14ac:dyDescent="0.25">
      <c r="A793" s="2033"/>
      <c r="B793" s="1631" t="s">
        <v>868</v>
      </c>
      <c r="C793" s="2805" t="s">
        <v>869</v>
      </c>
      <c r="D793" s="2805"/>
      <c r="E793" s="2805"/>
      <c r="F793" s="1683" t="s">
        <v>636</v>
      </c>
      <c r="G793" s="2034">
        <v>93</v>
      </c>
      <c r="H793" s="1641"/>
      <c r="I793" s="2034">
        <v>93</v>
      </c>
      <c r="J793" s="1640"/>
      <c r="K793" s="1641"/>
      <c r="L793" s="1657">
        <v>12129.99</v>
      </c>
      <c r="M793" s="1641"/>
      <c r="N793" s="1679">
        <v>433647.14</v>
      </c>
      <c r="EW793" s="2031"/>
      <c r="EX793" s="1619"/>
      <c r="EY793" s="1628"/>
      <c r="EZ793" s="1628"/>
      <c r="FA793" s="1628"/>
      <c r="FF793" s="1864" t="s">
        <v>869</v>
      </c>
      <c r="FH793" s="1628"/>
    </row>
    <row r="794" spans="1:176" s="1484" customFormat="1" ht="15" x14ac:dyDescent="0.25">
      <c r="A794" s="2033"/>
      <c r="B794" s="1631" t="s">
        <v>8087</v>
      </c>
      <c r="C794" s="2805" t="s">
        <v>871</v>
      </c>
      <c r="D794" s="2805"/>
      <c r="E794" s="2805"/>
      <c r="F794" s="1683" t="s">
        <v>636</v>
      </c>
      <c r="G794" s="2034">
        <v>62</v>
      </c>
      <c r="H794" s="1641"/>
      <c r="I794" s="2034">
        <v>62</v>
      </c>
      <c r="J794" s="1640"/>
      <c r="K794" s="1641"/>
      <c r="L794" s="1657">
        <v>8086.66</v>
      </c>
      <c r="M794" s="1641"/>
      <c r="N794" s="1679">
        <v>289098.09999999998</v>
      </c>
      <c r="EW794" s="2031"/>
      <c r="EX794" s="1619"/>
      <c r="EY794" s="1628"/>
      <c r="EZ794" s="1628"/>
      <c r="FA794" s="1628"/>
      <c r="FF794" s="1864" t="s">
        <v>871</v>
      </c>
      <c r="FH794" s="1628"/>
    </row>
    <row r="795" spans="1:176" s="1484" customFormat="1" ht="15" x14ac:dyDescent="0.25">
      <c r="A795" s="1650"/>
      <c r="B795" s="1651"/>
      <c r="C795" s="2803" t="s">
        <v>872</v>
      </c>
      <c r="D795" s="2803"/>
      <c r="E795" s="2803"/>
      <c r="F795" s="1621"/>
      <c r="G795" s="1622"/>
      <c r="H795" s="1622"/>
      <c r="I795" s="1622"/>
      <c r="J795" s="1625"/>
      <c r="K795" s="1622"/>
      <c r="L795" s="1648">
        <v>87903.42</v>
      </c>
      <c r="M795" s="2037"/>
      <c r="N795" s="1649">
        <v>1691113.63</v>
      </c>
      <c r="EW795" s="2031"/>
      <c r="EX795" s="1619"/>
      <c r="EY795" s="1628"/>
      <c r="EZ795" s="1628"/>
      <c r="FA795" s="1628"/>
      <c r="FH795" s="1628" t="s">
        <v>872</v>
      </c>
    </row>
    <row r="796" spans="1:176" s="1484" customFormat="1" ht="33.75" x14ac:dyDescent="0.25">
      <c r="A796" s="1620" t="s">
        <v>1078</v>
      </c>
      <c r="B796" s="1863" t="s">
        <v>8861</v>
      </c>
      <c r="C796" s="2803" t="s">
        <v>8104</v>
      </c>
      <c r="D796" s="2803"/>
      <c r="E796" s="2803"/>
      <c r="F796" s="1621" t="s">
        <v>319</v>
      </c>
      <c r="G796" s="1622">
        <v>349</v>
      </c>
      <c r="H796" s="1623">
        <v>1</v>
      </c>
      <c r="I796" s="1623">
        <v>349</v>
      </c>
      <c r="J796" s="1648">
        <v>31892</v>
      </c>
      <c r="K796" s="1622"/>
      <c r="L796" s="1648">
        <v>1217757.99</v>
      </c>
      <c r="M796" s="1687">
        <v>9.14</v>
      </c>
      <c r="N796" s="1649">
        <v>11130308</v>
      </c>
      <c r="EW796" s="2031"/>
      <c r="EX796" s="1619"/>
      <c r="EY796" s="1628" t="s">
        <v>8104</v>
      </c>
      <c r="EZ796" s="1628" t="s">
        <v>588</v>
      </c>
      <c r="FA796" s="1628" t="s">
        <v>588</v>
      </c>
      <c r="FH796" s="1628"/>
    </row>
    <row r="797" spans="1:176" s="1484" customFormat="1" ht="15" x14ac:dyDescent="0.25">
      <c r="A797" s="1650"/>
      <c r="B797" s="1651"/>
      <c r="C797" s="2805" t="s">
        <v>882</v>
      </c>
      <c r="D797" s="2805"/>
      <c r="E797" s="2805"/>
      <c r="F797" s="2805"/>
      <c r="G797" s="2805"/>
      <c r="H797" s="2805"/>
      <c r="I797" s="2805"/>
      <c r="J797" s="2805"/>
      <c r="K797" s="2805"/>
      <c r="L797" s="2805"/>
      <c r="M797" s="2805"/>
      <c r="N797" s="2806"/>
      <c r="EW797" s="2031"/>
      <c r="EX797" s="1619"/>
      <c r="EY797" s="1628"/>
      <c r="EZ797" s="1628"/>
      <c r="FA797" s="1628"/>
      <c r="FH797" s="1628"/>
      <c r="FI797" s="1864" t="s">
        <v>882</v>
      </c>
      <c r="FJ797" s="1864" t="s">
        <v>588</v>
      </c>
      <c r="FK797" s="1864" t="s">
        <v>588</v>
      </c>
      <c r="FL797" s="1864" t="s">
        <v>588</v>
      </c>
      <c r="FM797" s="1864" t="s">
        <v>588</v>
      </c>
      <c r="FN797" s="1864" t="s">
        <v>588</v>
      </c>
      <c r="FO797" s="1864" t="s">
        <v>588</v>
      </c>
      <c r="FP797" s="1864" t="s">
        <v>588</v>
      </c>
      <c r="FQ797" s="1864" t="s">
        <v>588</v>
      </c>
      <c r="FR797" s="1864" t="s">
        <v>588</v>
      </c>
      <c r="FS797" s="1864" t="s">
        <v>588</v>
      </c>
      <c r="FT797" s="1864" t="s">
        <v>588</v>
      </c>
    </row>
    <row r="798" spans="1:176" s="1484" customFormat="1" ht="15" x14ac:dyDescent="0.25">
      <c r="A798" s="1650"/>
      <c r="B798" s="1651"/>
      <c r="C798" s="2803" t="s">
        <v>872</v>
      </c>
      <c r="D798" s="2803"/>
      <c r="E798" s="2803"/>
      <c r="F798" s="1621"/>
      <c r="G798" s="1622"/>
      <c r="H798" s="1622"/>
      <c r="I798" s="1622"/>
      <c r="J798" s="1625"/>
      <c r="K798" s="1622"/>
      <c r="L798" s="1648">
        <v>1217757.99</v>
      </c>
      <c r="M798" s="2037"/>
      <c r="N798" s="1649">
        <v>11130308</v>
      </c>
      <c r="EW798" s="2031"/>
      <c r="EX798" s="1619"/>
      <c r="EY798" s="1628"/>
      <c r="EZ798" s="1628"/>
      <c r="FA798" s="1628"/>
      <c r="FH798" s="1628" t="s">
        <v>872</v>
      </c>
    </row>
    <row r="799" spans="1:176" s="1484" customFormat="1" ht="15" x14ac:dyDescent="0.25">
      <c r="A799" s="2811" t="s">
        <v>8105</v>
      </c>
      <c r="B799" s="2812"/>
      <c r="C799" s="2812"/>
      <c r="D799" s="2812"/>
      <c r="E799" s="2812"/>
      <c r="F799" s="2812"/>
      <c r="G799" s="2812"/>
      <c r="H799" s="2812"/>
      <c r="I799" s="2812"/>
      <c r="J799" s="2812"/>
      <c r="K799" s="2812"/>
      <c r="L799" s="2812"/>
      <c r="M799" s="2812"/>
      <c r="N799" s="2813"/>
      <c r="EW799" s="2031"/>
      <c r="EX799" s="1619" t="s">
        <v>8105</v>
      </c>
      <c r="EY799" s="1628"/>
      <c r="EZ799" s="1628"/>
      <c r="FA799" s="1628"/>
      <c r="FH799" s="1628"/>
    </row>
    <row r="800" spans="1:176" s="1484" customFormat="1" ht="33.75" x14ac:dyDescent="0.25">
      <c r="A800" s="1620" t="s">
        <v>8106</v>
      </c>
      <c r="B800" s="1863" t="s">
        <v>8107</v>
      </c>
      <c r="C800" s="2803" t="s">
        <v>8108</v>
      </c>
      <c r="D800" s="2803"/>
      <c r="E800" s="2803"/>
      <c r="F800" s="1621" t="s">
        <v>4865</v>
      </c>
      <c r="G800" s="1622">
        <v>0.76</v>
      </c>
      <c r="H800" s="1623">
        <v>1</v>
      </c>
      <c r="I800" s="1687">
        <v>0.76</v>
      </c>
      <c r="J800" s="1625"/>
      <c r="K800" s="1622"/>
      <c r="L800" s="1625"/>
      <c r="M800" s="1622"/>
      <c r="N800" s="1627"/>
      <c r="EW800" s="2031"/>
      <c r="EX800" s="1619"/>
      <c r="EY800" s="1628" t="s">
        <v>8108</v>
      </c>
      <c r="EZ800" s="1628" t="s">
        <v>588</v>
      </c>
      <c r="FA800" s="1628" t="s">
        <v>588</v>
      </c>
      <c r="FH800" s="1628"/>
    </row>
    <row r="801" spans="1:164" s="1484" customFormat="1" ht="15" x14ac:dyDescent="0.25">
      <c r="A801" s="1629"/>
      <c r="B801" s="1862"/>
      <c r="C801" s="2805" t="s">
        <v>8860</v>
      </c>
      <c r="D801" s="2805"/>
      <c r="E801" s="2805"/>
      <c r="F801" s="2805"/>
      <c r="G801" s="2805"/>
      <c r="H801" s="2805"/>
      <c r="I801" s="2805"/>
      <c r="J801" s="2805"/>
      <c r="K801" s="2805"/>
      <c r="L801" s="2805"/>
      <c r="M801" s="2805"/>
      <c r="N801" s="2806"/>
      <c r="EW801" s="2031"/>
      <c r="EX801" s="1619"/>
      <c r="EY801" s="1628"/>
      <c r="EZ801" s="1628"/>
      <c r="FA801" s="1628"/>
      <c r="FB801" s="1864" t="s">
        <v>8860</v>
      </c>
      <c r="FH801" s="1628"/>
    </row>
    <row r="802" spans="1:164" s="1484" customFormat="1" ht="22.5" x14ac:dyDescent="0.25">
      <c r="A802" s="1630"/>
      <c r="B802" s="1631" t="s">
        <v>6062</v>
      </c>
      <c r="C802" s="2809" t="s">
        <v>6063</v>
      </c>
      <c r="D802" s="2809"/>
      <c r="E802" s="2809"/>
      <c r="F802" s="2809"/>
      <c r="G802" s="2809"/>
      <c r="H802" s="2809"/>
      <c r="I802" s="2809"/>
      <c r="J802" s="2809"/>
      <c r="K802" s="2809"/>
      <c r="L802" s="2809"/>
      <c r="M802" s="2809"/>
      <c r="N802" s="2810"/>
      <c r="EW802" s="2031"/>
      <c r="EX802" s="1619"/>
      <c r="EY802" s="1628"/>
      <c r="EZ802" s="1628"/>
      <c r="FA802" s="1628"/>
      <c r="FC802" s="1864" t="s">
        <v>6063</v>
      </c>
      <c r="FH802" s="1628"/>
    </row>
    <row r="803" spans="1:164" s="1484" customFormat="1" ht="22.5" x14ac:dyDescent="0.25">
      <c r="A803" s="2033"/>
      <c r="B803" s="1631" t="s">
        <v>2119</v>
      </c>
      <c r="C803" s="2805" t="s">
        <v>8859</v>
      </c>
      <c r="D803" s="2805"/>
      <c r="E803" s="2805"/>
      <c r="F803" s="1683" t="s">
        <v>807</v>
      </c>
      <c r="G803" s="2034">
        <v>103</v>
      </c>
      <c r="H803" s="1641"/>
      <c r="I803" s="1655">
        <v>78.28</v>
      </c>
      <c r="J803" s="1654">
        <v>9.07</v>
      </c>
      <c r="K803" s="1655">
        <v>1.25</v>
      </c>
      <c r="L803" s="1654">
        <v>887.5</v>
      </c>
      <c r="M803" s="1641"/>
      <c r="N803" s="1681"/>
      <c r="EW803" s="2031"/>
      <c r="EX803" s="1619"/>
      <c r="EY803" s="1628"/>
      <c r="EZ803" s="1628"/>
      <c r="FA803" s="1628"/>
      <c r="FD803" s="1864" t="s">
        <v>8859</v>
      </c>
      <c r="FH803" s="1628"/>
    </row>
    <row r="804" spans="1:164" s="1484" customFormat="1" ht="15" x14ac:dyDescent="0.25">
      <c r="A804" s="2033"/>
      <c r="B804" s="1631" t="s">
        <v>1734</v>
      </c>
      <c r="C804" s="2805" t="s">
        <v>5002</v>
      </c>
      <c r="D804" s="2805"/>
      <c r="E804" s="2805"/>
      <c r="F804" s="1683" t="s">
        <v>4994</v>
      </c>
      <c r="G804" s="1655">
        <v>0.96</v>
      </c>
      <c r="H804" s="1641"/>
      <c r="I804" s="2035">
        <v>0.72960000000000003</v>
      </c>
      <c r="J804" s="1654">
        <v>86.4</v>
      </c>
      <c r="K804" s="1641"/>
      <c r="L804" s="1654">
        <v>63.04</v>
      </c>
      <c r="M804" s="1641"/>
      <c r="N804" s="1681"/>
      <c r="EW804" s="2031"/>
      <c r="EX804" s="1619"/>
      <c r="EY804" s="1628"/>
      <c r="EZ804" s="1628"/>
      <c r="FA804" s="1628"/>
      <c r="FD804" s="1864" t="s">
        <v>5002</v>
      </c>
      <c r="FH804" s="1628"/>
    </row>
    <row r="805" spans="1:164" s="1484" customFormat="1" ht="15" x14ac:dyDescent="0.25">
      <c r="A805" s="2033"/>
      <c r="B805" s="1631" t="s">
        <v>4933</v>
      </c>
      <c r="C805" s="2805" t="s">
        <v>4934</v>
      </c>
      <c r="D805" s="2805"/>
      <c r="E805" s="2805"/>
      <c r="F805" s="1683" t="s">
        <v>832</v>
      </c>
      <c r="G805" s="1953">
        <v>3.3</v>
      </c>
      <c r="H805" s="1641"/>
      <c r="I805" s="2046">
        <v>2.508</v>
      </c>
      <c r="J805" s="1654">
        <v>519.79999999999995</v>
      </c>
      <c r="K805" s="1641"/>
      <c r="L805" s="1657">
        <v>1303.6600000000001</v>
      </c>
      <c r="M805" s="1641"/>
      <c r="N805" s="1681"/>
      <c r="EW805" s="2031"/>
      <c r="EX805" s="1619"/>
      <c r="EY805" s="1628"/>
      <c r="EZ805" s="1628"/>
      <c r="FA805" s="1628"/>
      <c r="FD805" s="1864" t="s">
        <v>4934</v>
      </c>
      <c r="FH805" s="1628"/>
    </row>
    <row r="806" spans="1:164" s="1484" customFormat="1" ht="15" x14ac:dyDescent="0.25">
      <c r="A806" s="2032"/>
      <c r="B806" s="1631" t="s">
        <v>190</v>
      </c>
      <c r="C806" s="2805" t="s">
        <v>2523</v>
      </c>
      <c r="D806" s="2805"/>
      <c r="E806" s="2805"/>
      <c r="F806" s="1683"/>
      <c r="G806" s="1641"/>
      <c r="H806" s="1641"/>
      <c r="I806" s="1641"/>
      <c r="J806" s="1654">
        <v>934.21</v>
      </c>
      <c r="K806" s="1655">
        <v>1.25</v>
      </c>
      <c r="L806" s="1654">
        <v>887.5</v>
      </c>
      <c r="M806" s="1655">
        <v>35.75</v>
      </c>
      <c r="N806" s="1679">
        <v>31728.13</v>
      </c>
      <c r="EW806" s="2031"/>
      <c r="EX806" s="1619"/>
      <c r="EY806" s="1628"/>
      <c r="EZ806" s="1628"/>
      <c r="FA806" s="1628"/>
      <c r="FE806" s="1864" t="s">
        <v>2523</v>
      </c>
      <c r="FH806" s="1628"/>
    </row>
    <row r="807" spans="1:164" s="1484" customFormat="1" ht="15" x14ac:dyDescent="0.25">
      <c r="A807" s="2032"/>
      <c r="B807" s="1631" t="s">
        <v>639</v>
      </c>
      <c r="C807" s="2805" t="s">
        <v>697</v>
      </c>
      <c r="D807" s="2805"/>
      <c r="E807" s="2805"/>
      <c r="F807" s="1683"/>
      <c r="G807" s="1641"/>
      <c r="H807" s="1641"/>
      <c r="I807" s="1641"/>
      <c r="J807" s="1654">
        <v>82.94</v>
      </c>
      <c r="K807" s="1641"/>
      <c r="L807" s="1654">
        <v>63.03</v>
      </c>
      <c r="M807" s="1655">
        <v>11.97</v>
      </c>
      <c r="N807" s="2039">
        <v>754.47</v>
      </c>
      <c r="EW807" s="2031"/>
      <c r="EX807" s="1619"/>
      <c r="EY807" s="1628"/>
      <c r="EZ807" s="1628"/>
      <c r="FA807" s="1628"/>
      <c r="FE807" s="1864" t="s">
        <v>697</v>
      </c>
      <c r="FH807" s="1628"/>
    </row>
    <row r="808" spans="1:164" s="1484" customFormat="1" ht="15" x14ac:dyDescent="0.25">
      <c r="A808" s="2032"/>
      <c r="B808" s="1631" t="s">
        <v>640</v>
      </c>
      <c r="C808" s="2805" t="s">
        <v>2500</v>
      </c>
      <c r="D808" s="2805"/>
      <c r="E808" s="2805"/>
      <c r="F808" s="1683"/>
      <c r="G808" s="1641"/>
      <c r="H808" s="1641"/>
      <c r="I808" s="1641"/>
      <c r="J808" s="1654">
        <v>12.96</v>
      </c>
      <c r="K808" s="1641"/>
      <c r="L808" s="1654">
        <v>9.85</v>
      </c>
      <c r="M808" s="1655">
        <v>35.75</v>
      </c>
      <c r="N808" s="2039">
        <v>352.14</v>
      </c>
      <c r="EW808" s="2031"/>
      <c r="EX808" s="1619"/>
      <c r="EY808" s="1628"/>
      <c r="EZ808" s="1628"/>
      <c r="FA808" s="1628"/>
      <c r="FE808" s="1864" t="s">
        <v>2500</v>
      </c>
      <c r="FH808" s="1628"/>
    </row>
    <row r="809" spans="1:164" s="1484" customFormat="1" ht="15" x14ac:dyDescent="0.25">
      <c r="A809" s="2032"/>
      <c r="B809" s="1631" t="s">
        <v>232</v>
      </c>
      <c r="C809" s="2805" t="s">
        <v>829</v>
      </c>
      <c r="D809" s="2805"/>
      <c r="E809" s="2805"/>
      <c r="F809" s="1683"/>
      <c r="G809" s="1641"/>
      <c r="H809" s="1641"/>
      <c r="I809" s="1641"/>
      <c r="J809" s="1657">
        <v>1715.34</v>
      </c>
      <c r="K809" s="1641"/>
      <c r="L809" s="1657">
        <v>1303.6600000000001</v>
      </c>
      <c r="M809" s="1655">
        <v>9.14</v>
      </c>
      <c r="N809" s="1679">
        <v>11915.45</v>
      </c>
      <c r="EW809" s="2031"/>
      <c r="EX809" s="1619"/>
      <c r="EY809" s="1628"/>
      <c r="EZ809" s="1628"/>
      <c r="FA809" s="1628"/>
      <c r="FE809" s="1864" t="s">
        <v>829</v>
      </c>
      <c r="FH809" s="1628"/>
    </row>
    <row r="810" spans="1:164" s="1484" customFormat="1" ht="15" x14ac:dyDescent="0.25">
      <c r="A810" s="2033"/>
      <c r="B810" s="1631"/>
      <c r="C810" s="2805" t="s">
        <v>2524</v>
      </c>
      <c r="D810" s="2805"/>
      <c r="E810" s="2805"/>
      <c r="F810" s="1683" t="s">
        <v>807</v>
      </c>
      <c r="G810" s="2034">
        <v>103</v>
      </c>
      <c r="H810" s="1641"/>
      <c r="I810" s="1655">
        <v>78.28</v>
      </c>
      <c r="J810" s="1640"/>
      <c r="K810" s="1641"/>
      <c r="L810" s="1640"/>
      <c r="M810" s="1641"/>
      <c r="N810" s="1681"/>
      <c r="EW810" s="2031"/>
      <c r="EX810" s="1619"/>
      <c r="EY810" s="1628"/>
      <c r="EZ810" s="1628"/>
      <c r="FA810" s="1628"/>
      <c r="FF810" s="1864" t="s">
        <v>2524</v>
      </c>
      <c r="FH810" s="1628"/>
    </row>
    <row r="811" spans="1:164" s="1484" customFormat="1" ht="15" x14ac:dyDescent="0.25">
      <c r="A811" s="2033"/>
      <c r="B811" s="1631"/>
      <c r="C811" s="2805" t="s">
        <v>2501</v>
      </c>
      <c r="D811" s="2805"/>
      <c r="E811" s="2805"/>
      <c r="F811" s="1683" t="s">
        <v>807</v>
      </c>
      <c r="G811" s="1655">
        <v>0.96</v>
      </c>
      <c r="H811" s="1641"/>
      <c r="I811" s="2035">
        <v>0.72960000000000003</v>
      </c>
      <c r="J811" s="1640"/>
      <c r="K811" s="1641"/>
      <c r="L811" s="1640"/>
      <c r="M811" s="1641"/>
      <c r="N811" s="1681"/>
      <c r="EW811" s="2031"/>
      <c r="EX811" s="1619"/>
      <c r="EY811" s="1628"/>
      <c r="EZ811" s="1628"/>
      <c r="FA811" s="1628"/>
      <c r="FF811" s="1864" t="s">
        <v>2501</v>
      </c>
      <c r="FH811" s="1628"/>
    </row>
    <row r="812" spans="1:164" s="1484" customFormat="1" ht="15" x14ac:dyDescent="0.25">
      <c r="A812" s="2032"/>
      <c r="B812" s="1631"/>
      <c r="C812" s="2917" t="s">
        <v>2502</v>
      </c>
      <c r="D812" s="2917"/>
      <c r="E812" s="2917"/>
      <c r="F812" s="2036"/>
      <c r="G812" s="2037"/>
      <c r="H812" s="2037"/>
      <c r="I812" s="2037"/>
      <c r="J812" s="2038">
        <v>2732.49</v>
      </c>
      <c r="K812" s="2037"/>
      <c r="L812" s="2038">
        <v>2254.19</v>
      </c>
      <c r="M812" s="2037"/>
      <c r="N812" s="2068">
        <v>44398.05</v>
      </c>
      <c r="EW812" s="2031"/>
      <c r="EX812" s="1619"/>
      <c r="EY812" s="1628"/>
      <c r="EZ812" s="1628"/>
      <c r="FA812" s="1628"/>
      <c r="FG812" s="1864" t="s">
        <v>2502</v>
      </c>
      <c r="FH812" s="1628"/>
    </row>
    <row r="813" spans="1:164" s="1484" customFormat="1" ht="15" x14ac:dyDescent="0.25">
      <c r="A813" s="2033" t="s">
        <v>8109</v>
      </c>
      <c r="B813" s="1631"/>
      <c r="C813" s="2805" t="s">
        <v>7964</v>
      </c>
      <c r="D813" s="2805"/>
      <c r="E813" s="2805"/>
      <c r="F813" s="1683" t="s">
        <v>5928</v>
      </c>
      <c r="G813" s="1641"/>
      <c r="H813" s="1641"/>
      <c r="I813" s="1641"/>
      <c r="J813" s="1640"/>
      <c r="K813" s="1641"/>
      <c r="L813" s="1654">
        <v>2.46</v>
      </c>
      <c r="M813" s="1641"/>
      <c r="N813" s="2039">
        <v>87.95</v>
      </c>
      <c r="EW813" s="2031"/>
      <c r="EX813" s="1619"/>
      <c r="EY813" s="1628"/>
      <c r="EZ813" s="1628"/>
      <c r="FA813" s="1628"/>
      <c r="FF813" s="1864" t="s">
        <v>7964</v>
      </c>
      <c r="FH813" s="1628"/>
    </row>
    <row r="814" spans="1:164" s="1484" customFormat="1" ht="15" x14ac:dyDescent="0.25">
      <c r="A814" s="2033"/>
      <c r="B814" s="1631"/>
      <c r="C814" s="2805" t="s">
        <v>7965</v>
      </c>
      <c r="D814" s="2805"/>
      <c r="E814" s="2805"/>
      <c r="F814" s="1683" t="s">
        <v>5928</v>
      </c>
      <c r="G814" s="1641"/>
      <c r="H814" s="1641"/>
      <c r="I814" s="1641"/>
      <c r="J814" s="1654">
        <v>12.96</v>
      </c>
      <c r="K814" s="1655">
        <v>0.25</v>
      </c>
      <c r="L814" s="1654">
        <v>2.46</v>
      </c>
      <c r="M814" s="1655">
        <v>35.75</v>
      </c>
      <c r="N814" s="2039">
        <v>87.95</v>
      </c>
      <c r="EW814" s="2031"/>
      <c r="EX814" s="1619"/>
      <c r="EY814" s="1628"/>
      <c r="EZ814" s="1628"/>
      <c r="FA814" s="1628"/>
      <c r="FF814" s="1864" t="s">
        <v>7965</v>
      </c>
      <c r="FH814" s="1628"/>
    </row>
    <row r="815" spans="1:164" s="1484" customFormat="1" ht="15" x14ac:dyDescent="0.25">
      <c r="A815" s="2033"/>
      <c r="B815" s="1631"/>
      <c r="C815" s="2805" t="s">
        <v>867</v>
      </c>
      <c r="D815" s="2805"/>
      <c r="E815" s="2805"/>
      <c r="F815" s="1683"/>
      <c r="G815" s="1641"/>
      <c r="H815" s="1641"/>
      <c r="I815" s="1641"/>
      <c r="J815" s="1640"/>
      <c r="K815" s="1641"/>
      <c r="L815" s="1654">
        <v>899.81</v>
      </c>
      <c r="M815" s="1641"/>
      <c r="N815" s="1679">
        <v>32168.22</v>
      </c>
      <c r="EW815" s="2031"/>
      <c r="EX815" s="1619"/>
      <c r="EY815" s="1628"/>
      <c r="EZ815" s="1628"/>
      <c r="FA815" s="1628"/>
      <c r="FF815" s="1864" t="s">
        <v>867</v>
      </c>
      <c r="FH815" s="1628"/>
    </row>
    <row r="816" spans="1:164" s="1484" customFormat="1" ht="45" x14ac:dyDescent="0.25">
      <c r="A816" s="2033"/>
      <c r="B816" s="1631" t="s">
        <v>8110</v>
      </c>
      <c r="C816" s="2805" t="s">
        <v>8111</v>
      </c>
      <c r="D816" s="2805"/>
      <c r="E816" s="2805"/>
      <c r="F816" s="1683" t="s">
        <v>636</v>
      </c>
      <c r="G816" s="2034">
        <v>116</v>
      </c>
      <c r="H816" s="1641"/>
      <c r="I816" s="2034">
        <v>116</v>
      </c>
      <c r="J816" s="1640"/>
      <c r="K816" s="1641"/>
      <c r="L816" s="1657">
        <v>1043.78</v>
      </c>
      <c r="M816" s="1641"/>
      <c r="N816" s="1679">
        <v>37315.14</v>
      </c>
      <c r="EW816" s="2031"/>
      <c r="EX816" s="1619"/>
      <c r="EY816" s="1628"/>
      <c r="EZ816" s="1628"/>
      <c r="FA816" s="1628"/>
      <c r="FF816" s="1864" t="s">
        <v>8111</v>
      </c>
      <c r="FH816" s="1628"/>
    </row>
    <row r="817" spans="1:176" s="1484" customFormat="1" ht="45" x14ac:dyDescent="0.25">
      <c r="A817" s="2033"/>
      <c r="B817" s="1631" t="s">
        <v>8112</v>
      </c>
      <c r="C817" s="2805" t="s">
        <v>8113</v>
      </c>
      <c r="D817" s="2805"/>
      <c r="E817" s="2805"/>
      <c r="F817" s="1683" t="s">
        <v>636</v>
      </c>
      <c r="G817" s="2034">
        <v>80</v>
      </c>
      <c r="H817" s="1641"/>
      <c r="I817" s="2034">
        <v>80</v>
      </c>
      <c r="J817" s="1640"/>
      <c r="K817" s="1641"/>
      <c r="L817" s="1654">
        <v>719.85</v>
      </c>
      <c r="M817" s="1641"/>
      <c r="N817" s="1679">
        <v>25734.58</v>
      </c>
      <c r="EW817" s="2031"/>
      <c r="EX817" s="1619"/>
      <c r="EY817" s="1628"/>
      <c r="EZ817" s="1628"/>
      <c r="FA817" s="1628"/>
      <c r="FF817" s="1864" t="s">
        <v>8113</v>
      </c>
      <c r="FH817" s="1628"/>
    </row>
    <row r="818" spans="1:176" s="1484" customFormat="1" ht="15" x14ac:dyDescent="0.25">
      <c r="A818" s="1650"/>
      <c r="B818" s="1651"/>
      <c r="C818" s="2803" t="s">
        <v>872</v>
      </c>
      <c r="D818" s="2803"/>
      <c r="E818" s="2803"/>
      <c r="F818" s="1621"/>
      <c r="G818" s="1622"/>
      <c r="H818" s="1622"/>
      <c r="I818" s="1622"/>
      <c r="J818" s="1625"/>
      <c r="K818" s="1622"/>
      <c r="L818" s="1648">
        <v>4020.28</v>
      </c>
      <c r="M818" s="2037"/>
      <c r="N818" s="1649">
        <v>107535.72</v>
      </c>
      <c r="EW818" s="2031"/>
      <c r="EX818" s="1619"/>
      <c r="EY818" s="1628"/>
      <c r="EZ818" s="1628"/>
      <c r="FA818" s="1628"/>
      <c r="FH818" s="1628" t="s">
        <v>872</v>
      </c>
    </row>
    <row r="819" spans="1:176" s="1484" customFormat="1" ht="33.75" x14ac:dyDescent="0.25">
      <c r="A819" s="1620" t="s">
        <v>8114</v>
      </c>
      <c r="B819" s="1863" t="s">
        <v>8858</v>
      </c>
      <c r="C819" s="2803" t="s">
        <v>8115</v>
      </c>
      <c r="D819" s="2803"/>
      <c r="E819" s="2803"/>
      <c r="F819" s="1621" t="s">
        <v>2647</v>
      </c>
      <c r="G819" s="1622">
        <v>165.95</v>
      </c>
      <c r="H819" s="1623">
        <v>1</v>
      </c>
      <c r="I819" s="1687">
        <v>165.95</v>
      </c>
      <c r="J819" s="2040">
        <v>26.41</v>
      </c>
      <c r="K819" s="1622"/>
      <c r="L819" s="1648">
        <v>4382.74</v>
      </c>
      <c r="M819" s="1687">
        <v>9.14</v>
      </c>
      <c r="N819" s="1649">
        <v>40058.239999999998</v>
      </c>
      <c r="EW819" s="2031"/>
      <c r="EX819" s="1619"/>
      <c r="EY819" s="1628" t="s">
        <v>8115</v>
      </c>
      <c r="EZ819" s="1628" t="s">
        <v>588</v>
      </c>
      <c r="FA819" s="1628" t="s">
        <v>588</v>
      </c>
      <c r="FH819" s="1628"/>
    </row>
    <row r="820" spans="1:176" s="1484" customFormat="1" ht="15" x14ac:dyDescent="0.25">
      <c r="A820" s="1650"/>
      <c r="B820" s="1651"/>
      <c r="C820" s="2805" t="s">
        <v>8857</v>
      </c>
      <c r="D820" s="2805"/>
      <c r="E820" s="2805"/>
      <c r="F820" s="2805"/>
      <c r="G820" s="2805"/>
      <c r="H820" s="2805"/>
      <c r="I820" s="2805"/>
      <c r="J820" s="2805"/>
      <c r="K820" s="2805"/>
      <c r="L820" s="2805"/>
      <c r="M820" s="2805"/>
      <c r="N820" s="2806"/>
      <c r="EW820" s="2031"/>
      <c r="EX820" s="1619"/>
      <c r="EY820" s="1628"/>
      <c r="EZ820" s="1628"/>
      <c r="FA820" s="1628"/>
      <c r="FH820" s="1628"/>
      <c r="FI820" s="1864" t="s">
        <v>8857</v>
      </c>
      <c r="FJ820" s="1864" t="s">
        <v>588</v>
      </c>
      <c r="FK820" s="1864" t="s">
        <v>588</v>
      </c>
      <c r="FL820" s="1864" t="s">
        <v>588</v>
      </c>
      <c r="FM820" s="1864" t="s">
        <v>588</v>
      </c>
      <c r="FN820" s="1864" t="s">
        <v>588</v>
      </c>
      <c r="FO820" s="1864" t="s">
        <v>588</v>
      </c>
      <c r="FP820" s="1864" t="s">
        <v>588</v>
      </c>
      <c r="FQ820" s="1864" t="s">
        <v>588</v>
      </c>
      <c r="FR820" s="1864" t="s">
        <v>588</v>
      </c>
      <c r="FS820" s="1864" t="s">
        <v>588</v>
      </c>
      <c r="FT820" s="1864" t="s">
        <v>588</v>
      </c>
    </row>
    <row r="821" spans="1:176" s="1484" customFormat="1" ht="15" x14ac:dyDescent="0.25">
      <c r="A821" s="1629"/>
      <c r="B821" s="1862"/>
      <c r="C821" s="2805" t="s">
        <v>8856</v>
      </c>
      <c r="D821" s="2805"/>
      <c r="E821" s="2805"/>
      <c r="F821" s="2805"/>
      <c r="G821" s="2805"/>
      <c r="H821" s="2805"/>
      <c r="I821" s="2805"/>
      <c r="J821" s="2805"/>
      <c r="K821" s="2805"/>
      <c r="L821" s="2805"/>
      <c r="M821" s="2805"/>
      <c r="N821" s="2806"/>
      <c r="EW821" s="2031"/>
      <c r="EX821" s="1619"/>
      <c r="EY821" s="1628"/>
      <c r="EZ821" s="1628"/>
      <c r="FA821" s="1628"/>
      <c r="FB821" s="1864" t="s">
        <v>8856</v>
      </c>
      <c r="FH821" s="1628"/>
    </row>
    <row r="822" spans="1:176" s="1484" customFormat="1" ht="15" x14ac:dyDescent="0.25">
      <c r="A822" s="1650"/>
      <c r="B822" s="1651"/>
      <c r="C822" s="2803" t="s">
        <v>872</v>
      </c>
      <c r="D822" s="2803"/>
      <c r="E822" s="2803"/>
      <c r="F822" s="1621"/>
      <c r="G822" s="1622"/>
      <c r="H822" s="1622"/>
      <c r="I822" s="1622"/>
      <c r="J822" s="1625"/>
      <c r="K822" s="1622"/>
      <c r="L822" s="1648">
        <v>4382.74</v>
      </c>
      <c r="M822" s="2037"/>
      <c r="N822" s="1649">
        <v>40058.239999999998</v>
      </c>
      <c r="EW822" s="2031"/>
      <c r="EX822" s="1619"/>
      <c r="EY822" s="1628"/>
      <c r="EZ822" s="1628"/>
      <c r="FA822" s="1628"/>
      <c r="FH822" s="1628" t="s">
        <v>872</v>
      </c>
    </row>
    <row r="823" spans="1:176" s="1484" customFormat="1" ht="15" x14ac:dyDescent="0.25">
      <c r="A823" s="2811" t="s">
        <v>8116</v>
      </c>
      <c r="B823" s="2812"/>
      <c r="C823" s="2812"/>
      <c r="D823" s="2812"/>
      <c r="E823" s="2812"/>
      <c r="F823" s="2812"/>
      <c r="G823" s="2812"/>
      <c r="H823" s="2812"/>
      <c r="I823" s="2812"/>
      <c r="J823" s="2812"/>
      <c r="K823" s="2812"/>
      <c r="L823" s="2812"/>
      <c r="M823" s="2812"/>
      <c r="N823" s="2813"/>
      <c r="EW823" s="2031"/>
      <c r="EX823" s="1619" t="s">
        <v>8116</v>
      </c>
      <c r="EY823" s="1628"/>
      <c r="EZ823" s="1628"/>
      <c r="FA823" s="1628"/>
      <c r="FH823" s="1628"/>
    </row>
    <row r="824" spans="1:176" s="1484" customFormat="1" ht="33.75" x14ac:dyDescent="0.25">
      <c r="A824" s="1620" t="s">
        <v>8117</v>
      </c>
      <c r="B824" s="1863" t="s">
        <v>8118</v>
      </c>
      <c r="C824" s="2803" t="s">
        <v>8119</v>
      </c>
      <c r="D824" s="2803"/>
      <c r="E824" s="2803"/>
      <c r="F824" s="1621" t="s">
        <v>2555</v>
      </c>
      <c r="G824" s="1622">
        <v>0.85596000000000005</v>
      </c>
      <c r="H824" s="1623">
        <v>1</v>
      </c>
      <c r="I824" s="2048">
        <v>0.85596000000000005</v>
      </c>
      <c r="J824" s="1625"/>
      <c r="K824" s="1622"/>
      <c r="L824" s="1625"/>
      <c r="M824" s="1622"/>
      <c r="N824" s="1627"/>
      <c r="EW824" s="2031"/>
      <c r="EX824" s="1619"/>
      <c r="EY824" s="1628" t="s">
        <v>8119</v>
      </c>
      <c r="EZ824" s="1628" t="s">
        <v>588</v>
      </c>
      <c r="FA824" s="1628" t="s">
        <v>588</v>
      </c>
      <c r="FH824" s="1628"/>
    </row>
    <row r="825" spans="1:176" s="1484" customFormat="1" ht="15" x14ac:dyDescent="0.25">
      <c r="A825" s="1629"/>
      <c r="B825" s="1862"/>
      <c r="C825" s="2805" t="s">
        <v>8855</v>
      </c>
      <c r="D825" s="2805"/>
      <c r="E825" s="2805"/>
      <c r="F825" s="2805"/>
      <c r="G825" s="2805"/>
      <c r="H825" s="2805"/>
      <c r="I825" s="2805"/>
      <c r="J825" s="2805"/>
      <c r="K825" s="2805"/>
      <c r="L825" s="2805"/>
      <c r="M825" s="2805"/>
      <c r="N825" s="2806"/>
      <c r="EW825" s="2031"/>
      <c r="EX825" s="1619"/>
      <c r="EY825" s="1628"/>
      <c r="EZ825" s="1628"/>
      <c r="FA825" s="1628"/>
      <c r="FB825" s="1864" t="s">
        <v>8855</v>
      </c>
      <c r="FH825" s="1628"/>
    </row>
    <row r="826" spans="1:176" s="1484" customFormat="1" ht="22.5" x14ac:dyDescent="0.25">
      <c r="A826" s="1630"/>
      <c r="B826" s="1631" t="s">
        <v>6062</v>
      </c>
      <c r="C826" s="2809" t="s">
        <v>6063</v>
      </c>
      <c r="D826" s="2809"/>
      <c r="E826" s="2809"/>
      <c r="F826" s="2809"/>
      <c r="G826" s="2809"/>
      <c r="H826" s="2809"/>
      <c r="I826" s="2809"/>
      <c r="J826" s="2809"/>
      <c r="K826" s="2809"/>
      <c r="L826" s="2809"/>
      <c r="M826" s="2809"/>
      <c r="N826" s="2810"/>
      <c r="EW826" s="2031"/>
      <c r="EX826" s="1619"/>
      <c r="EY826" s="1628"/>
      <c r="EZ826" s="1628"/>
      <c r="FA826" s="1628"/>
      <c r="FC826" s="1864" t="s">
        <v>6063</v>
      </c>
      <c r="FH826" s="1628"/>
    </row>
    <row r="827" spans="1:176" s="1484" customFormat="1" ht="22.5" x14ac:dyDescent="0.25">
      <c r="A827" s="2033"/>
      <c r="B827" s="1631" t="s">
        <v>1729</v>
      </c>
      <c r="C827" s="2805" t="s">
        <v>8712</v>
      </c>
      <c r="D827" s="2805"/>
      <c r="E827" s="2805"/>
      <c r="F827" s="1683" t="s">
        <v>807</v>
      </c>
      <c r="G827" s="1655">
        <v>34.56</v>
      </c>
      <c r="H827" s="1641"/>
      <c r="I827" s="2049">
        <v>29.581977599999998</v>
      </c>
      <c r="J827" s="1654">
        <v>8.5299999999999994</v>
      </c>
      <c r="K827" s="1655">
        <v>1.25</v>
      </c>
      <c r="L827" s="1654">
        <v>315.42</v>
      </c>
      <c r="M827" s="1641"/>
      <c r="N827" s="1681"/>
      <c r="EW827" s="2031"/>
      <c r="EX827" s="1619"/>
      <c r="EY827" s="1628"/>
      <c r="EZ827" s="1628"/>
      <c r="FA827" s="1628"/>
      <c r="FD827" s="1864" t="s">
        <v>8712</v>
      </c>
      <c r="FH827" s="1628"/>
    </row>
    <row r="828" spans="1:176" s="1484" customFormat="1" ht="33.75" x14ac:dyDescent="0.25">
      <c r="A828" s="2033"/>
      <c r="B828" s="1631" t="s">
        <v>4959</v>
      </c>
      <c r="C828" s="2805" t="s">
        <v>8854</v>
      </c>
      <c r="D828" s="2805"/>
      <c r="E828" s="2805"/>
      <c r="F828" s="1683" t="s">
        <v>130</v>
      </c>
      <c r="G828" s="2034">
        <v>100</v>
      </c>
      <c r="H828" s="1641"/>
      <c r="I828" s="2046">
        <v>85.596000000000004</v>
      </c>
      <c r="J828" s="1654">
        <v>701.31</v>
      </c>
      <c r="K828" s="1641"/>
      <c r="L828" s="1657">
        <v>60029.33</v>
      </c>
      <c r="M828" s="1641"/>
      <c r="N828" s="1681"/>
      <c r="EW828" s="2031"/>
      <c r="EX828" s="1619"/>
      <c r="EY828" s="1628"/>
      <c r="EZ828" s="1628"/>
      <c r="FA828" s="1628"/>
      <c r="FD828" s="1864" t="s">
        <v>8854</v>
      </c>
      <c r="FH828" s="1628"/>
    </row>
    <row r="829" spans="1:176" s="1484" customFormat="1" ht="15" x14ac:dyDescent="0.25">
      <c r="A829" s="2032"/>
      <c r="B829" s="1631" t="s">
        <v>190</v>
      </c>
      <c r="C829" s="2805" t="s">
        <v>2523</v>
      </c>
      <c r="D829" s="2805"/>
      <c r="E829" s="2805"/>
      <c r="F829" s="1683"/>
      <c r="G829" s="1641"/>
      <c r="H829" s="1641"/>
      <c r="I829" s="1641"/>
      <c r="J829" s="1654">
        <v>294.8</v>
      </c>
      <c r="K829" s="1655">
        <v>1.25</v>
      </c>
      <c r="L829" s="1654">
        <v>315.42</v>
      </c>
      <c r="M829" s="1655">
        <v>35.75</v>
      </c>
      <c r="N829" s="1679">
        <v>11276.27</v>
      </c>
      <c r="EW829" s="2031"/>
      <c r="EX829" s="1619"/>
      <c r="EY829" s="1628"/>
      <c r="EZ829" s="1628"/>
      <c r="FA829" s="1628"/>
      <c r="FE829" s="1864" t="s">
        <v>2523</v>
      </c>
      <c r="FH829" s="1628"/>
    </row>
    <row r="830" spans="1:176" s="1484" customFormat="1" ht="15" x14ac:dyDescent="0.25">
      <c r="A830" s="2032"/>
      <c r="B830" s="1631" t="s">
        <v>232</v>
      </c>
      <c r="C830" s="2805" t="s">
        <v>829</v>
      </c>
      <c r="D830" s="2805"/>
      <c r="E830" s="2805"/>
      <c r="F830" s="1683"/>
      <c r="G830" s="1641"/>
      <c r="H830" s="1641"/>
      <c r="I830" s="1641"/>
      <c r="J830" s="1657">
        <v>70131</v>
      </c>
      <c r="K830" s="1641"/>
      <c r="L830" s="1657">
        <v>60029.33</v>
      </c>
      <c r="M830" s="1655">
        <v>9.14</v>
      </c>
      <c r="N830" s="1679">
        <v>548668.07999999996</v>
      </c>
      <c r="EW830" s="2031"/>
      <c r="EX830" s="1619"/>
      <c r="EY830" s="1628"/>
      <c r="EZ830" s="1628"/>
      <c r="FA830" s="1628"/>
      <c r="FE830" s="1864" t="s">
        <v>829</v>
      </c>
      <c r="FH830" s="1628"/>
    </row>
    <row r="831" spans="1:176" s="1484" customFormat="1" ht="15" x14ac:dyDescent="0.25">
      <c r="A831" s="2033"/>
      <c r="B831" s="1631"/>
      <c r="C831" s="2805" t="s">
        <v>2524</v>
      </c>
      <c r="D831" s="2805"/>
      <c r="E831" s="2805"/>
      <c r="F831" s="1683" t="s">
        <v>807</v>
      </c>
      <c r="G831" s="1655">
        <v>34.56</v>
      </c>
      <c r="H831" s="1641"/>
      <c r="I831" s="2049">
        <v>29.581977599999998</v>
      </c>
      <c r="J831" s="1640"/>
      <c r="K831" s="1641"/>
      <c r="L831" s="1640"/>
      <c r="M831" s="1641"/>
      <c r="N831" s="1681"/>
      <c r="EW831" s="2031"/>
      <c r="EX831" s="1619"/>
      <c r="EY831" s="1628"/>
      <c r="EZ831" s="1628"/>
      <c r="FA831" s="1628"/>
      <c r="FF831" s="1864" t="s">
        <v>2524</v>
      </c>
      <c r="FH831" s="1628"/>
    </row>
    <row r="832" spans="1:176" s="1484" customFormat="1" ht="15" x14ac:dyDescent="0.25">
      <c r="A832" s="2032"/>
      <c r="B832" s="1631"/>
      <c r="C832" s="2917" t="s">
        <v>2502</v>
      </c>
      <c r="D832" s="2917"/>
      <c r="E832" s="2917"/>
      <c r="F832" s="2036"/>
      <c r="G832" s="2037"/>
      <c r="H832" s="2037"/>
      <c r="I832" s="2037"/>
      <c r="J832" s="2038">
        <v>70425.8</v>
      </c>
      <c r="K832" s="2037"/>
      <c r="L832" s="2038">
        <v>60344.75</v>
      </c>
      <c r="M832" s="2037"/>
      <c r="N832" s="2068">
        <v>559944.35</v>
      </c>
      <c r="EW832" s="2031"/>
      <c r="EX832" s="1619"/>
      <c r="EY832" s="1628"/>
      <c r="EZ832" s="1628"/>
      <c r="FA832" s="1628"/>
      <c r="FG832" s="1864" t="s">
        <v>2502</v>
      </c>
      <c r="FH832" s="1628"/>
    </row>
    <row r="833" spans="1:178" s="1484" customFormat="1" ht="15" x14ac:dyDescent="0.25">
      <c r="A833" s="2033"/>
      <c r="B833" s="1631"/>
      <c r="C833" s="2805" t="s">
        <v>867</v>
      </c>
      <c r="D833" s="2805"/>
      <c r="E833" s="2805"/>
      <c r="F833" s="1683"/>
      <c r="G833" s="1641"/>
      <c r="H833" s="1641"/>
      <c r="I833" s="1641"/>
      <c r="J833" s="1640"/>
      <c r="K833" s="1641"/>
      <c r="L833" s="1654">
        <v>315.42</v>
      </c>
      <c r="M833" s="1641"/>
      <c r="N833" s="1679">
        <v>11276.27</v>
      </c>
      <c r="EW833" s="2031"/>
      <c r="EX833" s="1619"/>
      <c r="EY833" s="1628"/>
      <c r="EZ833" s="1628"/>
      <c r="FA833" s="1628"/>
      <c r="FF833" s="1864" t="s">
        <v>867</v>
      </c>
      <c r="FH833" s="1628"/>
    </row>
    <row r="834" spans="1:178" s="1484" customFormat="1" ht="15" x14ac:dyDescent="0.25">
      <c r="A834" s="2033"/>
      <c r="B834" s="1631" t="s">
        <v>8043</v>
      </c>
      <c r="C834" s="2805" t="s">
        <v>8044</v>
      </c>
      <c r="D834" s="2805"/>
      <c r="E834" s="2805"/>
      <c r="F834" s="1683" t="s">
        <v>636</v>
      </c>
      <c r="G834" s="2034">
        <v>108</v>
      </c>
      <c r="H834" s="1641"/>
      <c r="I834" s="2034">
        <v>108</v>
      </c>
      <c r="J834" s="1640"/>
      <c r="K834" s="1641"/>
      <c r="L834" s="1654">
        <v>340.65</v>
      </c>
      <c r="M834" s="1641"/>
      <c r="N834" s="1679">
        <v>12178.37</v>
      </c>
      <c r="EW834" s="2031"/>
      <c r="EX834" s="1619"/>
      <c r="EY834" s="1628"/>
      <c r="EZ834" s="1628"/>
      <c r="FA834" s="1628"/>
      <c r="FF834" s="1864" t="s">
        <v>8044</v>
      </c>
      <c r="FH834" s="1628"/>
    </row>
    <row r="835" spans="1:178" s="1484" customFormat="1" ht="15" x14ac:dyDescent="0.25">
      <c r="A835" s="2033"/>
      <c r="B835" s="1631" t="s">
        <v>8045</v>
      </c>
      <c r="C835" s="2805" t="s">
        <v>8046</v>
      </c>
      <c r="D835" s="2805"/>
      <c r="E835" s="2805"/>
      <c r="F835" s="1683" t="s">
        <v>636</v>
      </c>
      <c r="G835" s="2034">
        <v>55</v>
      </c>
      <c r="H835" s="1641"/>
      <c r="I835" s="2034">
        <v>55</v>
      </c>
      <c r="J835" s="1640"/>
      <c r="K835" s="1641"/>
      <c r="L835" s="1654">
        <v>173.48</v>
      </c>
      <c r="M835" s="1641"/>
      <c r="N835" s="1679">
        <v>6201.95</v>
      </c>
      <c r="EW835" s="2031"/>
      <c r="EX835" s="1619"/>
      <c r="EY835" s="1628"/>
      <c r="EZ835" s="1628"/>
      <c r="FA835" s="1628"/>
      <c r="FF835" s="1864" t="s">
        <v>8046</v>
      </c>
      <c r="FH835" s="1628"/>
    </row>
    <row r="836" spans="1:178" s="1484" customFormat="1" ht="15" x14ac:dyDescent="0.25">
      <c r="A836" s="1650"/>
      <c r="B836" s="1651"/>
      <c r="C836" s="2803" t="s">
        <v>872</v>
      </c>
      <c r="D836" s="2803"/>
      <c r="E836" s="2803"/>
      <c r="F836" s="1621"/>
      <c r="G836" s="1622"/>
      <c r="H836" s="1622"/>
      <c r="I836" s="1622"/>
      <c r="J836" s="1625"/>
      <c r="K836" s="1622"/>
      <c r="L836" s="1648">
        <v>60858.879999999997</v>
      </c>
      <c r="M836" s="2037"/>
      <c r="N836" s="1649">
        <v>578324.67000000004</v>
      </c>
      <c r="EW836" s="2031"/>
      <c r="EX836" s="1619"/>
      <c r="EY836" s="1628"/>
      <c r="EZ836" s="1628"/>
      <c r="FA836" s="1628"/>
      <c r="FH836" s="1628" t="s">
        <v>872</v>
      </c>
    </row>
    <row r="837" spans="1:178" s="1484" customFormat="1" ht="1.5" customHeight="1" x14ac:dyDescent="0.25">
      <c r="A837" s="2050"/>
      <c r="B837" s="2051"/>
      <c r="C837" s="1668"/>
      <c r="D837" s="1668"/>
      <c r="E837" s="1668"/>
      <c r="F837" s="1668"/>
      <c r="G837" s="1669"/>
      <c r="H837" s="1669"/>
      <c r="I837" s="1669"/>
      <c r="J837" s="1669"/>
      <c r="K837" s="1670"/>
      <c r="L837" s="1669"/>
      <c r="M837" s="1670"/>
      <c r="N837" s="2052"/>
      <c r="EW837" s="2031"/>
      <c r="EX837" s="1619"/>
      <c r="EY837" s="1628"/>
      <c r="EZ837" s="1628"/>
      <c r="FA837" s="1628"/>
      <c r="FH837" s="1628"/>
    </row>
    <row r="838" spans="1:178" s="1484" customFormat="1" ht="15" x14ac:dyDescent="0.25">
      <c r="A838" s="1650"/>
      <c r="B838" s="1676"/>
      <c r="C838" s="2802" t="s">
        <v>8120</v>
      </c>
      <c r="D838" s="2802"/>
      <c r="E838" s="2802"/>
      <c r="F838" s="2802"/>
      <c r="G838" s="2802"/>
      <c r="H838" s="2802"/>
      <c r="I838" s="2802"/>
      <c r="J838" s="2802"/>
      <c r="K838" s="2802"/>
      <c r="L838" s="2053"/>
      <c r="M838" s="2054"/>
      <c r="N838" s="2055"/>
      <c r="EW838" s="2031"/>
      <c r="EX838" s="1619"/>
      <c r="EY838" s="1628"/>
      <c r="EZ838" s="1628"/>
      <c r="FA838" s="1628"/>
      <c r="FH838" s="1628"/>
      <c r="FU838" s="1678" t="s">
        <v>8120</v>
      </c>
    </row>
    <row r="839" spans="1:178" s="1484" customFormat="1" ht="15" x14ac:dyDescent="0.25">
      <c r="A839" s="1647"/>
      <c r="B839" s="1631"/>
      <c r="C839" s="2801" t="s">
        <v>922</v>
      </c>
      <c r="D839" s="2801"/>
      <c r="E839" s="2801"/>
      <c r="F839" s="2801"/>
      <c r="G839" s="2801"/>
      <c r="H839" s="2801"/>
      <c r="I839" s="2801"/>
      <c r="J839" s="2801"/>
      <c r="K839" s="2801"/>
      <c r="L839" s="2056">
        <v>9696583.0099999998</v>
      </c>
      <c r="M839" s="2057"/>
      <c r="N839" s="2058">
        <v>92294811.530000001</v>
      </c>
      <c r="EW839" s="2031"/>
      <c r="EX839" s="1619"/>
      <c r="EY839" s="1628"/>
      <c r="EZ839" s="1628"/>
      <c r="FA839" s="1628"/>
      <c r="FH839" s="1628"/>
      <c r="FU839" s="1678"/>
      <c r="FV839" s="1680" t="s">
        <v>922</v>
      </c>
    </row>
    <row r="840" spans="1:178" s="1484" customFormat="1" ht="15" x14ac:dyDescent="0.25">
      <c r="A840" s="1647"/>
      <c r="B840" s="1631"/>
      <c r="C840" s="2801" t="s">
        <v>891</v>
      </c>
      <c r="D840" s="2801"/>
      <c r="E840" s="2801"/>
      <c r="F840" s="2801"/>
      <c r="G840" s="2801"/>
      <c r="H840" s="2801"/>
      <c r="I840" s="2801"/>
      <c r="J840" s="2801"/>
      <c r="K840" s="2801"/>
      <c r="L840" s="1708"/>
      <c r="M840" s="2057"/>
      <c r="N840" s="2059"/>
      <c r="EW840" s="2031"/>
      <c r="EX840" s="1619"/>
      <c r="EY840" s="1628"/>
      <c r="EZ840" s="1628"/>
      <c r="FA840" s="1628"/>
      <c r="FH840" s="1628"/>
      <c r="FU840" s="1678"/>
      <c r="FV840" s="1680" t="s">
        <v>891</v>
      </c>
    </row>
    <row r="841" spans="1:178" s="1484" customFormat="1" ht="15" x14ac:dyDescent="0.25">
      <c r="A841" s="1647"/>
      <c r="B841" s="1631"/>
      <c r="C841" s="2801" t="s">
        <v>892</v>
      </c>
      <c r="D841" s="2801"/>
      <c r="E841" s="2801"/>
      <c r="F841" s="2801"/>
      <c r="G841" s="2801"/>
      <c r="H841" s="2801"/>
      <c r="I841" s="2801"/>
      <c r="J841" s="2801"/>
      <c r="K841" s="2801"/>
      <c r="L841" s="2056">
        <v>136899.82999999999</v>
      </c>
      <c r="M841" s="2057"/>
      <c r="N841" s="2058">
        <v>4894168.96</v>
      </c>
      <c r="EW841" s="2031"/>
      <c r="EX841" s="1619"/>
      <c r="EY841" s="1628"/>
      <c r="EZ841" s="1628"/>
      <c r="FA841" s="1628"/>
      <c r="FH841" s="1628"/>
      <c r="FU841" s="1678"/>
      <c r="FV841" s="1680" t="s">
        <v>892</v>
      </c>
    </row>
    <row r="842" spans="1:178" s="1484" customFormat="1" ht="15" x14ac:dyDescent="0.25">
      <c r="A842" s="1647"/>
      <c r="B842" s="1631"/>
      <c r="C842" s="2801" t="s">
        <v>893</v>
      </c>
      <c r="D842" s="2801"/>
      <c r="E842" s="2801"/>
      <c r="F842" s="2801"/>
      <c r="G842" s="2801"/>
      <c r="H842" s="2801"/>
      <c r="I842" s="2801"/>
      <c r="J842" s="2801"/>
      <c r="K842" s="2801"/>
      <c r="L842" s="2056">
        <v>7177.07</v>
      </c>
      <c r="M842" s="2057"/>
      <c r="N842" s="2058">
        <v>90736.91</v>
      </c>
      <c r="EW842" s="2031"/>
      <c r="EX842" s="1619"/>
      <c r="EY842" s="1628"/>
      <c r="EZ842" s="1628"/>
      <c r="FA842" s="1628"/>
      <c r="FH842" s="1628"/>
      <c r="FU842" s="1678"/>
      <c r="FV842" s="1680" t="s">
        <v>893</v>
      </c>
    </row>
    <row r="843" spans="1:178" s="1484" customFormat="1" ht="15" x14ac:dyDescent="0.25">
      <c r="A843" s="1647"/>
      <c r="B843" s="1631"/>
      <c r="C843" s="2801" t="s">
        <v>2578</v>
      </c>
      <c r="D843" s="2801"/>
      <c r="E843" s="2801"/>
      <c r="F843" s="2801"/>
      <c r="G843" s="2801"/>
      <c r="H843" s="2801"/>
      <c r="I843" s="2801"/>
      <c r="J843" s="2801"/>
      <c r="K843" s="2801"/>
      <c r="L843" s="2056">
        <v>1015.05</v>
      </c>
      <c r="M843" s="2057"/>
      <c r="N843" s="2058">
        <v>36288.1</v>
      </c>
      <c r="EW843" s="2031"/>
      <c r="EX843" s="1619"/>
      <c r="EY843" s="1628"/>
      <c r="EZ843" s="1628"/>
      <c r="FA843" s="1628"/>
      <c r="FH843" s="1628"/>
      <c r="FU843" s="1678"/>
      <c r="FV843" s="1680" t="s">
        <v>2578</v>
      </c>
    </row>
    <row r="844" spans="1:178" s="1484" customFormat="1" ht="15" x14ac:dyDescent="0.25">
      <c r="A844" s="1647"/>
      <c r="B844" s="1631"/>
      <c r="C844" s="2801" t="s">
        <v>895</v>
      </c>
      <c r="D844" s="2801"/>
      <c r="E844" s="2801"/>
      <c r="F844" s="2801"/>
      <c r="G844" s="2801"/>
      <c r="H844" s="2801"/>
      <c r="I844" s="2801"/>
      <c r="J844" s="2801"/>
      <c r="K844" s="2801"/>
      <c r="L844" s="2056">
        <v>9552506.1099999994</v>
      </c>
      <c r="M844" s="2057"/>
      <c r="N844" s="2058">
        <v>87309905.659999996</v>
      </c>
      <c r="EW844" s="2031"/>
      <c r="EX844" s="1619"/>
      <c r="EY844" s="1628"/>
      <c r="EZ844" s="1628"/>
      <c r="FA844" s="1628"/>
      <c r="FH844" s="1628"/>
      <c r="FU844" s="1678"/>
      <c r="FV844" s="1680" t="s">
        <v>895</v>
      </c>
    </row>
    <row r="845" spans="1:178" s="1484" customFormat="1" ht="15" x14ac:dyDescent="0.25">
      <c r="A845" s="1647"/>
      <c r="B845" s="1631"/>
      <c r="C845" s="2801" t="s">
        <v>897</v>
      </c>
      <c r="D845" s="2801"/>
      <c r="E845" s="2801"/>
      <c r="F845" s="2801"/>
      <c r="G845" s="2801"/>
      <c r="H845" s="2801"/>
      <c r="I845" s="2801"/>
      <c r="J845" s="2801"/>
      <c r="K845" s="2801"/>
      <c r="L845" s="2056">
        <v>9889736.0600000005</v>
      </c>
      <c r="M845" s="2057"/>
      <c r="N845" s="2058">
        <v>99202711.510000005</v>
      </c>
      <c r="EW845" s="2031"/>
      <c r="EX845" s="1619"/>
      <c r="EY845" s="1628"/>
      <c r="EZ845" s="1628"/>
      <c r="FA845" s="1628"/>
      <c r="FH845" s="1628"/>
      <c r="FU845" s="1678"/>
      <c r="FV845" s="1680" t="s">
        <v>897</v>
      </c>
    </row>
    <row r="846" spans="1:178" s="1484" customFormat="1" ht="15" x14ac:dyDescent="0.25">
      <c r="A846" s="1647"/>
      <c r="B846" s="1631"/>
      <c r="C846" s="2801" t="s">
        <v>891</v>
      </c>
      <c r="D846" s="2801"/>
      <c r="E846" s="2801"/>
      <c r="F846" s="2801"/>
      <c r="G846" s="2801"/>
      <c r="H846" s="2801"/>
      <c r="I846" s="2801"/>
      <c r="J846" s="2801"/>
      <c r="K846" s="2801"/>
      <c r="L846" s="1708"/>
      <c r="M846" s="2057"/>
      <c r="N846" s="2059"/>
      <c r="EW846" s="2031"/>
      <c r="EX846" s="1619"/>
      <c r="EY846" s="1628"/>
      <c r="EZ846" s="1628"/>
      <c r="FA846" s="1628"/>
      <c r="FH846" s="1628"/>
      <c r="FU846" s="1678"/>
      <c r="FV846" s="1680" t="s">
        <v>891</v>
      </c>
    </row>
    <row r="847" spans="1:178" s="1484" customFormat="1" ht="15" x14ac:dyDescent="0.25">
      <c r="A847" s="1647"/>
      <c r="B847" s="1631"/>
      <c r="C847" s="2801" t="s">
        <v>6121</v>
      </c>
      <c r="D847" s="2801"/>
      <c r="E847" s="2801"/>
      <c r="F847" s="2801"/>
      <c r="G847" s="2801"/>
      <c r="H847" s="2801"/>
      <c r="I847" s="2801"/>
      <c r="J847" s="2801"/>
      <c r="K847" s="2801"/>
      <c r="L847" s="2056">
        <v>130634.73</v>
      </c>
      <c r="M847" s="2057"/>
      <c r="N847" s="2058">
        <v>4670191.63</v>
      </c>
      <c r="EW847" s="2031"/>
      <c r="EX847" s="1619"/>
      <c r="EY847" s="1628"/>
      <c r="EZ847" s="1628"/>
      <c r="FA847" s="1628"/>
      <c r="FH847" s="1628"/>
      <c r="FU847" s="1678"/>
      <c r="FV847" s="1680" t="s">
        <v>6121</v>
      </c>
    </row>
    <row r="848" spans="1:178" s="1484" customFormat="1" ht="15" x14ac:dyDescent="0.25">
      <c r="A848" s="1647"/>
      <c r="B848" s="1631"/>
      <c r="C848" s="2801" t="s">
        <v>6122</v>
      </c>
      <c r="D848" s="2801"/>
      <c r="E848" s="2801"/>
      <c r="F848" s="2801"/>
      <c r="G848" s="2801"/>
      <c r="H848" s="2801"/>
      <c r="I848" s="2801"/>
      <c r="J848" s="2801"/>
      <c r="K848" s="2801"/>
      <c r="L848" s="2056">
        <v>7177.07</v>
      </c>
      <c r="M848" s="2057"/>
      <c r="N848" s="2058">
        <v>90736.91</v>
      </c>
      <c r="EW848" s="2031"/>
      <c r="EX848" s="1619"/>
      <c r="EY848" s="1628"/>
      <c r="EZ848" s="1628"/>
      <c r="FA848" s="1628"/>
      <c r="FH848" s="1628"/>
      <c r="FU848" s="1678"/>
      <c r="FV848" s="1680" t="s">
        <v>6122</v>
      </c>
    </row>
    <row r="849" spans="1:178" s="1484" customFormat="1" ht="15" x14ac:dyDescent="0.25">
      <c r="A849" s="1647"/>
      <c r="B849" s="1631"/>
      <c r="C849" s="2801" t="s">
        <v>8121</v>
      </c>
      <c r="D849" s="2801"/>
      <c r="E849" s="2801"/>
      <c r="F849" s="2801"/>
      <c r="G849" s="2801"/>
      <c r="H849" s="2801"/>
      <c r="I849" s="2801"/>
      <c r="J849" s="2801"/>
      <c r="K849" s="2801"/>
      <c r="L849" s="1708"/>
      <c r="M849" s="2057"/>
      <c r="N849" s="2059"/>
      <c r="EW849" s="2031"/>
      <c r="EX849" s="1619"/>
      <c r="EY849" s="1628"/>
      <c r="EZ849" s="1628"/>
      <c r="FA849" s="1628"/>
      <c r="FH849" s="1628"/>
      <c r="FU849" s="1678"/>
      <c r="FV849" s="1680" t="s">
        <v>8121</v>
      </c>
    </row>
    <row r="850" spans="1:178" s="1484" customFormat="1" ht="15" x14ac:dyDescent="0.25">
      <c r="A850" s="1647"/>
      <c r="B850" s="1631"/>
      <c r="C850" s="2801" t="s">
        <v>8122</v>
      </c>
      <c r="D850" s="2801"/>
      <c r="E850" s="2801"/>
      <c r="F850" s="2801"/>
      <c r="G850" s="2801"/>
      <c r="H850" s="2801"/>
      <c r="I850" s="2801"/>
      <c r="J850" s="2801"/>
      <c r="K850" s="2801"/>
      <c r="L850" s="2056">
        <v>6974.07</v>
      </c>
      <c r="M850" s="2057"/>
      <c r="N850" s="2058">
        <v>83479.63</v>
      </c>
      <c r="EW850" s="2031"/>
      <c r="EX850" s="1619"/>
      <c r="EY850" s="1628"/>
      <c r="EZ850" s="1628"/>
      <c r="FA850" s="1628"/>
      <c r="FH850" s="1628"/>
      <c r="FU850" s="1678"/>
      <c r="FV850" s="1680" t="s">
        <v>8122</v>
      </c>
    </row>
    <row r="851" spans="1:178" s="1484" customFormat="1" ht="15" x14ac:dyDescent="0.25">
      <c r="A851" s="1647"/>
      <c r="B851" s="1631"/>
      <c r="C851" s="2801" t="s">
        <v>8123</v>
      </c>
      <c r="D851" s="2801"/>
      <c r="E851" s="2801"/>
      <c r="F851" s="2801"/>
      <c r="G851" s="2801"/>
      <c r="H851" s="2801"/>
      <c r="I851" s="2801"/>
      <c r="J851" s="2801"/>
      <c r="K851" s="2801"/>
      <c r="L851" s="2060">
        <v>812.05</v>
      </c>
      <c r="M851" s="2057"/>
      <c r="N851" s="2058">
        <v>29030.82</v>
      </c>
      <c r="EW851" s="2031"/>
      <c r="EX851" s="1619"/>
      <c r="EY851" s="1628"/>
      <c r="EZ851" s="1628"/>
      <c r="FA851" s="1628"/>
      <c r="FH851" s="1628"/>
      <c r="FU851" s="1678"/>
      <c r="FV851" s="1680" t="s">
        <v>8123</v>
      </c>
    </row>
    <row r="852" spans="1:178" s="1484" customFormat="1" ht="15" x14ac:dyDescent="0.25">
      <c r="A852" s="1647"/>
      <c r="B852" s="1631"/>
      <c r="C852" s="2801" t="s">
        <v>8124</v>
      </c>
      <c r="D852" s="2801"/>
      <c r="E852" s="2801"/>
      <c r="F852" s="2801"/>
      <c r="G852" s="2801"/>
      <c r="H852" s="2801"/>
      <c r="I852" s="2801"/>
      <c r="J852" s="2801"/>
      <c r="K852" s="2801"/>
      <c r="L852" s="2060">
        <v>203</v>
      </c>
      <c r="M852" s="2057"/>
      <c r="N852" s="2058">
        <v>7257.28</v>
      </c>
      <c r="EW852" s="2031"/>
      <c r="EX852" s="1619"/>
      <c r="EY852" s="1628"/>
      <c r="EZ852" s="1628"/>
      <c r="FA852" s="1628"/>
      <c r="FH852" s="1628"/>
      <c r="FU852" s="1678"/>
      <c r="FV852" s="1680" t="s">
        <v>8124</v>
      </c>
    </row>
    <row r="853" spans="1:178" s="1484" customFormat="1" ht="15" x14ac:dyDescent="0.25">
      <c r="A853" s="1647"/>
      <c r="B853" s="1631"/>
      <c r="C853" s="2801" t="s">
        <v>6124</v>
      </c>
      <c r="D853" s="2801"/>
      <c r="E853" s="2801"/>
      <c r="F853" s="2801"/>
      <c r="G853" s="2801"/>
      <c r="H853" s="2801"/>
      <c r="I853" s="2801"/>
      <c r="J853" s="2801"/>
      <c r="K853" s="2801"/>
      <c r="L853" s="2056">
        <v>9552405.4900000002</v>
      </c>
      <c r="M853" s="2057"/>
      <c r="N853" s="2058">
        <v>87308985.989999995</v>
      </c>
      <c r="EW853" s="2031"/>
      <c r="EX853" s="1619"/>
      <c r="EY853" s="1628"/>
      <c r="EZ853" s="1628"/>
      <c r="FA853" s="1628"/>
      <c r="FH853" s="1628"/>
      <c r="FU853" s="1678"/>
      <c r="FV853" s="1680" t="s">
        <v>6124</v>
      </c>
    </row>
    <row r="854" spans="1:178" s="1484" customFormat="1" ht="15" x14ac:dyDescent="0.25">
      <c r="A854" s="1647"/>
      <c r="B854" s="1631"/>
      <c r="C854" s="2801" t="s">
        <v>6125</v>
      </c>
      <c r="D854" s="2801"/>
      <c r="E854" s="2801"/>
      <c r="F854" s="2801"/>
      <c r="G854" s="2801"/>
      <c r="H854" s="2801"/>
      <c r="I854" s="2801"/>
      <c r="J854" s="2801"/>
      <c r="K854" s="2801"/>
      <c r="L854" s="2056">
        <v>130380.15</v>
      </c>
      <c r="M854" s="2057"/>
      <c r="N854" s="2058">
        <v>4661090.68</v>
      </c>
      <c r="EW854" s="2031"/>
      <c r="EX854" s="1619"/>
      <c r="EY854" s="1628"/>
      <c r="EZ854" s="1628"/>
      <c r="FA854" s="1628"/>
      <c r="FH854" s="1628"/>
      <c r="FU854" s="1678"/>
      <c r="FV854" s="1680" t="s">
        <v>6125</v>
      </c>
    </row>
    <row r="855" spans="1:178" s="1484" customFormat="1" ht="15" x14ac:dyDescent="0.25">
      <c r="A855" s="1647"/>
      <c r="B855" s="1631"/>
      <c r="C855" s="2801" t="s">
        <v>6126</v>
      </c>
      <c r="D855" s="2801"/>
      <c r="E855" s="2801"/>
      <c r="F855" s="2801"/>
      <c r="G855" s="2801"/>
      <c r="H855" s="2801"/>
      <c r="I855" s="2801"/>
      <c r="J855" s="2801"/>
      <c r="K855" s="2801"/>
      <c r="L855" s="2056">
        <v>69138.62</v>
      </c>
      <c r="M855" s="2057"/>
      <c r="N855" s="2058">
        <v>2471706.2999999998</v>
      </c>
      <c r="EW855" s="2031"/>
      <c r="EX855" s="1619"/>
      <c r="EY855" s="1628"/>
      <c r="EZ855" s="1628"/>
      <c r="FA855" s="1628"/>
      <c r="FH855" s="1628"/>
      <c r="FU855" s="1678"/>
      <c r="FV855" s="1680" t="s">
        <v>6126</v>
      </c>
    </row>
    <row r="856" spans="1:178" s="1484" customFormat="1" ht="15" x14ac:dyDescent="0.25">
      <c r="A856" s="1647"/>
      <c r="B856" s="1631"/>
      <c r="C856" s="2801" t="s">
        <v>8125</v>
      </c>
      <c r="D856" s="2801"/>
      <c r="E856" s="2801"/>
      <c r="F856" s="2801"/>
      <c r="G856" s="2801"/>
      <c r="H856" s="2801"/>
      <c r="I856" s="2801"/>
      <c r="J856" s="2801"/>
      <c r="K856" s="2801"/>
      <c r="L856" s="2056">
        <v>14573</v>
      </c>
      <c r="M856" s="2057"/>
      <c r="N856" s="2058">
        <v>518307.31</v>
      </c>
      <c r="EW856" s="2031"/>
      <c r="EX856" s="1619"/>
      <c r="EY856" s="1628"/>
      <c r="EZ856" s="1628"/>
      <c r="FA856" s="1628"/>
      <c r="FH856" s="1628"/>
      <c r="FU856" s="1678"/>
      <c r="FV856" s="1680" t="s">
        <v>8125</v>
      </c>
    </row>
    <row r="857" spans="1:178" s="1484" customFormat="1" ht="15" x14ac:dyDescent="0.25">
      <c r="A857" s="1647"/>
      <c r="B857" s="1631"/>
      <c r="C857" s="2801" t="s">
        <v>891</v>
      </c>
      <c r="D857" s="2801"/>
      <c r="E857" s="2801"/>
      <c r="F857" s="2801"/>
      <c r="G857" s="2801"/>
      <c r="H857" s="2801"/>
      <c r="I857" s="2801"/>
      <c r="J857" s="2801"/>
      <c r="K857" s="2801"/>
      <c r="L857" s="1708"/>
      <c r="M857" s="2057"/>
      <c r="N857" s="2059"/>
      <c r="EW857" s="2031"/>
      <c r="EX857" s="1619"/>
      <c r="EY857" s="1628"/>
      <c r="EZ857" s="1628"/>
      <c r="FA857" s="1628"/>
      <c r="FH857" s="1628"/>
      <c r="FU857" s="1678"/>
      <c r="FV857" s="1680" t="s">
        <v>891</v>
      </c>
    </row>
    <row r="858" spans="1:178" s="1484" customFormat="1" ht="15" x14ac:dyDescent="0.25">
      <c r="A858" s="1647"/>
      <c r="B858" s="1631"/>
      <c r="C858" s="2801" t="s">
        <v>6121</v>
      </c>
      <c r="D858" s="2801"/>
      <c r="E858" s="2801"/>
      <c r="F858" s="2801"/>
      <c r="G858" s="2801"/>
      <c r="H858" s="2801"/>
      <c r="I858" s="2801"/>
      <c r="J858" s="2801"/>
      <c r="K858" s="2801"/>
      <c r="L858" s="2056">
        <v>6265.1</v>
      </c>
      <c r="M858" s="2057"/>
      <c r="N858" s="2058">
        <v>223977.33</v>
      </c>
      <c r="EW858" s="2031"/>
      <c r="EX858" s="1619"/>
      <c r="EY858" s="1628"/>
      <c r="EZ858" s="1628"/>
      <c r="FA858" s="1628"/>
      <c r="FH858" s="1628"/>
      <c r="FU858" s="1678"/>
      <c r="FV858" s="1680" t="s">
        <v>6121</v>
      </c>
    </row>
    <row r="859" spans="1:178" s="1484" customFormat="1" ht="15" x14ac:dyDescent="0.25">
      <c r="A859" s="1647"/>
      <c r="B859" s="1631"/>
      <c r="C859" s="2801" t="s">
        <v>6124</v>
      </c>
      <c r="D859" s="2801"/>
      <c r="E859" s="2801"/>
      <c r="F859" s="2801"/>
      <c r="G859" s="2801"/>
      <c r="H859" s="2801"/>
      <c r="I859" s="2801"/>
      <c r="J859" s="2801"/>
      <c r="K859" s="2801"/>
      <c r="L859" s="2060">
        <v>100.62</v>
      </c>
      <c r="M859" s="2057"/>
      <c r="N859" s="2061">
        <v>919.67</v>
      </c>
      <c r="EW859" s="2031"/>
      <c r="EX859" s="1619"/>
      <c r="EY859" s="1628"/>
      <c r="EZ859" s="1628"/>
      <c r="FA859" s="1628"/>
      <c r="FH859" s="1628"/>
      <c r="FU859" s="1678"/>
      <c r="FV859" s="1680" t="s">
        <v>6124</v>
      </c>
    </row>
    <row r="860" spans="1:178" s="1484" customFormat="1" ht="15" x14ac:dyDescent="0.25">
      <c r="A860" s="1647"/>
      <c r="B860" s="1631"/>
      <c r="C860" s="2801" t="s">
        <v>6125</v>
      </c>
      <c r="D860" s="2801"/>
      <c r="E860" s="2801"/>
      <c r="F860" s="2801"/>
      <c r="G860" s="2801"/>
      <c r="H860" s="2801"/>
      <c r="I860" s="2801"/>
      <c r="J860" s="2801"/>
      <c r="K860" s="2801"/>
      <c r="L860" s="2056">
        <v>5450.64</v>
      </c>
      <c r="M860" s="2057"/>
      <c r="N860" s="2058">
        <v>194860.28</v>
      </c>
      <c r="EW860" s="2031"/>
      <c r="EX860" s="1619"/>
      <c r="EY860" s="1628"/>
      <c r="EZ860" s="1628"/>
      <c r="FA860" s="1628"/>
      <c r="FH860" s="1628"/>
      <c r="FU860" s="1678"/>
      <c r="FV860" s="1680" t="s">
        <v>6125</v>
      </c>
    </row>
    <row r="861" spans="1:178" s="1484" customFormat="1" ht="15" x14ac:dyDescent="0.25">
      <c r="A861" s="1647"/>
      <c r="B861" s="1631"/>
      <c r="C861" s="2801" t="s">
        <v>6126</v>
      </c>
      <c r="D861" s="2801"/>
      <c r="E861" s="2801"/>
      <c r="F861" s="2801"/>
      <c r="G861" s="2801"/>
      <c r="H861" s="2801"/>
      <c r="I861" s="2801"/>
      <c r="J861" s="2801"/>
      <c r="K861" s="2801"/>
      <c r="L861" s="2056">
        <v>2756.64</v>
      </c>
      <c r="M861" s="2057"/>
      <c r="N861" s="2058">
        <v>98550.03</v>
      </c>
      <c r="EW861" s="2031"/>
      <c r="EX861" s="1619"/>
      <c r="EY861" s="1628"/>
      <c r="EZ861" s="1628"/>
      <c r="FA861" s="1628"/>
      <c r="FH861" s="1628"/>
      <c r="FU861" s="1678"/>
      <c r="FV861" s="1680" t="s">
        <v>6126</v>
      </c>
    </row>
    <row r="862" spans="1:178" s="1484" customFormat="1" ht="15" x14ac:dyDescent="0.25">
      <c r="A862" s="1647"/>
      <c r="B862" s="1631"/>
      <c r="C862" s="2801" t="s">
        <v>923</v>
      </c>
      <c r="D862" s="2801"/>
      <c r="E862" s="2801"/>
      <c r="F862" s="2801"/>
      <c r="G862" s="2801"/>
      <c r="H862" s="2801"/>
      <c r="I862" s="2801"/>
      <c r="J862" s="2801"/>
      <c r="K862" s="2801"/>
      <c r="L862" s="2056">
        <v>137914.88</v>
      </c>
      <c r="M862" s="2057"/>
      <c r="N862" s="2058">
        <v>4930457.0599999996</v>
      </c>
      <c r="EW862" s="2031"/>
      <c r="EX862" s="1619"/>
      <c r="EY862" s="1628"/>
      <c r="EZ862" s="1628"/>
      <c r="FA862" s="1628"/>
      <c r="FH862" s="1628"/>
      <c r="FU862" s="1678"/>
      <c r="FV862" s="1680" t="s">
        <v>923</v>
      </c>
    </row>
    <row r="863" spans="1:178" s="1484" customFormat="1" ht="15" x14ac:dyDescent="0.25">
      <c r="A863" s="1647"/>
      <c r="B863" s="1631"/>
      <c r="C863" s="2801" t="s">
        <v>924</v>
      </c>
      <c r="D863" s="2801"/>
      <c r="E863" s="2801"/>
      <c r="F863" s="2801"/>
      <c r="G863" s="2801"/>
      <c r="H863" s="2801"/>
      <c r="I863" s="2801"/>
      <c r="J863" s="2801"/>
      <c r="K863" s="2801"/>
      <c r="L863" s="2056">
        <v>135830.79</v>
      </c>
      <c r="M863" s="2057"/>
      <c r="N863" s="2058">
        <v>4855950.96</v>
      </c>
      <c r="EW863" s="2031"/>
      <c r="EX863" s="1619"/>
      <c r="EY863" s="1628"/>
      <c r="EZ863" s="1628"/>
      <c r="FA863" s="1628"/>
      <c r="FH863" s="1628"/>
      <c r="FU863" s="1678"/>
      <c r="FV863" s="1680" t="s">
        <v>924</v>
      </c>
    </row>
    <row r="864" spans="1:178" s="1484" customFormat="1" ht="15" x14ac:dyDescent="0.25">
      <c r="A864" s="1647"/>
      <c r="B864" s="1631"/>
      <c r="C864" s="2801" t="s">
        <v>925</v>
      </c>
      <c r="D864" s="2801"/>
      <c r="E864" s="2801"/>
      <c r="F864" s="2801"/>
      <c r="G864" s="2801"/>
      <c r="H864" s="2801"/>
      <c r="I864" s="2801"/>
      <c r="J864" s="2801"/>
      <c r="K864" s="2801"/>
      <c r="L864" s="2056">
        <v>71895.259999999995</v>
      </c>
      <c r="M864" s="2057"/>
      <c r="N864" s="2058">
        <v>2570256.33</v>
      </c>
      <c r="EW864" s="2031"/>
      <c r="EX864" s="1619"/>
      <c r="EY864" s="1628"/>
      <c r="EZ864" s="1628"/>
      <c r="FA864" s="1628"/>
      <c r="FH864" s="1628"/>
      <c r="FU864" s="1678"/>
      <c r="FV864" s="1680" t="s">
        <v>925</v>
      </c>
    </row>
    <row r="865" spans="1:180" s="1484" customFormat="1" ht="15" x14ac:dyDescent="0.25">
      <c r="A865" s="1647"/>
      <c r="B865" s="1676"/>
      <c r="C865" s="2802" t="s">
        <v>8126</v>
      </c>
      <c r="D865" s="2802"/>
      <c r="E865" s="2802"/>
      <c r="F865" s="2802"/>
      <c r="G865" s="2802"/>
      <c r="H865" s="2802"/>
      <c r="I865" s="2802"/>
      <c r="J865" s="2802"/>
      <c r="K865" s="2802"/>
      <c r="L865" s="1705">
        <v>9904309.0600000005</v>
      </c>
      <c r="M865" s="2054"/>
      <c r="N865" s="2066">
        <v>99721018.819999993</v>
      </c>
      <c r="EW865" s="2031"/>
      <c r="EX865" s="1619"/>
      <c r="EY865" s="1628"/>
      <c r="EZ865" s="1628"/>
      <c r="FA865" s="1628"/>
      <c r="FH865" s="1628"/>
      <c r="FU865" s="1678"/>
      <c r="FW865" s="1678" t="s">
        <v>8126</v>
      </c>
    </row>
    <row r="866" spans="1:180" s="1484" customFormat="1" ht="15" x14ac:dyDescent="0.25">
      <c r="A866" s="1647"/>
      <c r="B866" s="1631"/>
      <c r="C866" s="2801" t="s">
        <v>6094</v>
      </c>
      <c r="D866" s="2801"/>
      <c r="E866" s="2801"/>
      <c r="F866" s="2801"/>
      <c r="G866" s="2801"/>
      <c r="H866" s="2801"/>
      <c r="I866" s="2801"/>
      <c r="J866" s="2801"/>
      <c r="K866" s="2801"/>
      <c r="L866" s="1708"/>
      <c r="M866" s="2057"/>
      <c r="N866" s="2059"/>
      <c r="EW866" s="2031"/>
      <c r="EX866" s="1619"/>
      <c r="EY866" s="1628"/>
      <c r="EZ866" s="1628"/>
      <c r="FA866" s="1628"/>
      <c r="FH866" s="1628"/>
      <c r="FU866" s="1678"/>
      <c r="FV866" s="1680" t="s">
        <v>6094</v>
      </c>
      <c r="FW866" s="1678"/>
    </row>
    <row r="867" spans="1:180" s="1484" customFormat="1" ht="15" x14ac:dyDescent="0.25">
      <c r="A867" s="1647"/>
      <c r="B867" s="1631"/>
      <c r="C867" s="2801" t="s">
        <v>8127</v>
      </c>
      <c r="D867" s="2801"/>
      <c r="E867" s="2801"/>
      <c r="F867" s="2801"/>
      <c r="G867" s="2801"/>
      <c r="H867" s="2801"/>
      <c r="I867" s="2801"/>
      <c r="J867" s="2801"/>
      <c r="K867" s="2801"/>
      <c r="L867" s="2056">
        <v>8578084.0299999993</v>
      </c>
      <c r="M867" s="2057"/>
      <c r="N867" s="2058">
        <v>78403687.859999999</v>
      </c>
      <c r="EW867" s="2031"/>
      <c r="EX867" s="1619"/>
      <c r="EY867" s="1628"/>
      <c r="EZ867" s="1628"/>
      <c r="FA867" s="1628"/>
      <c r="FH867" s="1628"/>
      <c r="FU867" s="1678"/>
      <c r="FV867" s="1680" t="s">
        <v>8127</v>
      </c>
      <c r="FW867" s="1678"/>
    </row>
    <row r="868" spans="1:180" s="1484" customFormat="1" ht="15" x14ac:dyDescent="0.25">
      <c r="A868" s="1647"/>
      <c r="B868" s="1631"/>
      <c r="C868" s="2801" t="s">
        <v>6095</v>
      </c>
      <c r="D868" s="2801"/>
      <c r="E868" s="2801"/>
      <c r="F868" s="2801"/>
      <c r="G868" s="2801"/>
      <c r="H868" s="2801"/>
      <c r="I868" s="1683" t="s">
        <v>8128</v>
      </c>
      <c r="J868" s="1860"/>
      <c r="K868" s="1860"/>
      <c r="L868" s="1708"/>
      <c r="M868" s="2057"/>
      <c r="N868" s="2059"/>
      <c r="EW868" s="2031"/>
      <c r="EX868" s="1619"/>
      <c r="EY868" s="1628"/>
      <c r="EZ868" s="1628"/>
      <c r="FA868" s="1628"/>
      <c r="FH868" s="1628"/>
      <c r="FU868" s="1678"/>
      <c r="FW868" s="1678"/>
      <c r="FX868" s="1680" t="s">
        <v>6095</v>
      </c>
    </row>
    <row r="869" spans="1:180" s="1484" customFormat="1" ht="15" x14ac:dyDescent="0.25">
      <c r="A869" s="1647"/>
      <c r="B869" s="1631"/>
      <c r="C869" s="2801" t="s">
        <v>6096</v>
      </c>
      <c r="D869" s="2801"/>
      <c r="E869" s="2801"/>
      <c r="F869" s="2801"/>
      <c r="G869" s="2801"/>
      <c r="H869" s="2801"/>
      <c r="I869" s="1683" t="s">
        <v>8129</v>
      </c>
      <c r="J869" s="1860"/>
      <c r="K869" s="1860"/>
      <c r="L869" s="1708"/>
      <c r="M869" s="2057"/>
      <c r="N869" s="2059"/>
      <c r="EW869" s="2031"/>
      <c r="EX869" s="1619"/>
      <c r="EY869" s="1628"/>
      <c r="EZ869" s="1628"/>
      <c r="FA869" s="1628"/>
      <c r="FH869" s="1628"/>
      <c r="FU869" s="1678"/>
      <c r="FW869" s="1678"/>
      <c r="FX869" s="1680" t="s">
        <v>6096</v>
      </c>
    </row>
    <row r="870" spans="1:180" s="1484" customFormat="1" ht="15" x14ac:dyDescent="0.25">
      <c r="A870" s="2918" t="s">
        <v>8130</v>
      </c>
      <c r="B870" s="2919"/>
      <c r="C870" s="2919"/>
      <c r="D870" s="2919"/>
      <c r="E870" s="2919"/>
      <c r="F870" s="2919"/>
      <c r="G870" s="2919"/>
      <c r="H870" s="2919"/>
      <c r="I870" s="2919"/>
      <c r="J870" s="2919"/>
      <c r="K870" s="2919"/>
      <c r="L870" s="2919"/>
      <c r="M870" s="2919"/>
      <c r="N870" s="2920"/>
      <c r="EW870" s="2031" t="s">
        <v>8130</v>
      </c>
      <c r="EX870" s="1619"/>
      <c r="EY870" s="1628"/>
      <c r="EZ870" s="1628"/>
      <c r="FA870" s="1628"/>
      <c r="FH870" s="1628"/>
      <c r="FU870" s="1678"/>
      <c r="FW870" s="1678"/>
    </row>
    <row r="871" spans="1:180" s="1484" customFormat="1" ht="15" x14ac:dyDescent="0.25">
      <c r="A871" s="2811" t="s">
        <v>8131</v>
      </c>
      <c r="B871" s="2812"/>
      <c r="C871" s="2812"/>
      <c r="D871" s="2812"/>
      <c r="E871" s="2812"/>
      <c r="F871" s="2812"/>
      <c r="G871" s="2812"/>
      <c r="H871" s="2812"/>
      <c r="I871" s="2812"/>
      <c r="J871" s="2812"/>
      <c r="K871" s="2812"/>
      <c r="L871" s="2812"/>
      <c r="M871" s="2812"/>
      <c r="N871" s="2813"/>
      <c r="EW871" s="2031"/>
      <c r="EX871" s="1619" t="s">
        <v>8131</v>
      </c>
      <c r="EY871" s="1628"/>
      <c r="EZ871" s="1628"/>
      <c r="FA871" s="1628"/>
      <c r="FH871" s="1628"/>
      <c r="FU871" s="1678"/>
      <c r="FW871" s="1678"/>
    </row>
    <row r="872" spans="1:180" s="1484" customFormat="1" ht="15" x14ac:dyDescent="0.25">
      <c r="A872" s="2811" t="s">
        <v>8132</v>
      </c>
      <c r="B872" s="2812"/>
      <c r="C872" s="2812"/>
      <c r="D872" s="2812"/>
      <c r="E872" s="2812"/>
      <c r="F872" s="2812"/>
      <c r="G872" s="2812"/>
      <c r="H872" s="2812"/>
      <c r="I872" s="2812"/>
      <c r="J872" s="2812"/>
      <c r="K872" s="2812"/>
      <c r="L872" s="2812"/>
      <c r="M872" s="2812"/>
      <c r="N872" s="2813"/>
      <c r="EW872" s="2031"/>
      <c r="EX872" s="1619" t="s">
        <v>8132</v>
      </c>
      <c r="EY872" s="1628"/>
      <c r="EZ872" s="1628"/>
      <c r="FA872" s="1628"/>
      <c r="FH872" s="1628"/>
      <c r="FU872" s="1678"/>
      <c r="FW872" s="1678"/>
    </row>
    <row r="873" spans="1:180" s="1484" customFormat="1" ht="33.75" x14ac:dyDescent="0.25">
      <c r="A873" s="1620" t="s">
        <v>1312</v>
      </c>
      <c r="B873" s="1863" t="s">
        <v>8133</v>
      </c>
      <c r="C873" s="2803" t="s">
        <v>8134</v>
      </c>
      <c r="D873" s="2803"/>
      <c r="E873" s="2803"/>
      <c r="F873" s="1621" t="s">
        <v>2555</v>
      </c>
      <c r="G873" s="1622">
        <v>0.11799999999999999</v>
      </c>
      <c r="H873" s="1623">
        <v>1</v>
      </c>
      <c r="I873" s="2045">
        <v>0.11799999999999999</v>
      </c>
      <c r="J873" s="1625"/>
      <c r="K873" s="1622"/>
      <c r="L873" s="1625"/>
      <c r="M873" s="1622"/>
      <c r="N873" s="1627"/>
      <c r="EW873" s="2031"/>
      <c r="EX873" s="1619"/>
      <c r="EY873" s="1628" t="s">
        <v>8134</v>
      </c>
      <c r="EZ873" s="1628" t="s">
        <v>588</v>
      </c>
      <c r="FA873" s="1628" t="s">
        <v>588</v>
      </c>
      <c r="FH873" s="1628"/>
      <c r="FU873" s="1678"/>
      <c r="FW873" s="1678"/>
    </row>
    <row r="874" spans="1:180" s="1484" customFormat="1" ht="15" x14ac:dyDescent="0.25">
      <c r="A874" s="1629"/>
      <c r="B874" s="1862"/>
      <c r="C874" s="2805" t="s">
        <v>8851</v>
      </c>
      <c r="D874" s="2805"/>
      <c r="E874" s="2805"/>
      <c r="F874" s="2805"/>
      <c r="G874" s="2805"/>
      <c r="H874" s="2805"/>
      <c r="I874" s="2805"/>
      <c r="J874" s="2805"/>
      <c r="K874" s="2805"/>
      <c r="L874" s="2805"/>
      <c r="M874" s="2805"/>
      <c r="N874" s="2806"/>
      <c r="EW874" s="2031"/>
      <c r="EX874" s="1619"/>
      <c r="EY874" s="1628"/>
      <c r="EZ874" s="1628"/>
      <c r="FA874" s="1628"/>
      <c r="FB874" s="1864" t="s">
        <v>8851</v>
      </c>
      <c r="FH874" s="1628"/>
      <c r="FU874" s="1678"/>
      <c r="FW874" s="1678"/>
    </row>
    <row r="875" spans="1:180" s="1484" customFormat="1" ht="22.5" x14ac:dyDescent="0.25">
      <c r="A875" s="1630"/>
      <c r="B875" s="1631" t="s">
        <v>6062</v>
      </c>
      <c r="C875" s="2809" t="s">
        <v>6063</v>
      </c>
      <c r="D875" s="2809"/>
      <c r="E875" s="2809"/>
      <c r="F875" s="2809"/>
      <c r="G875" s="2809"/>
      <c r="H875" s="2809"/>
      <c r="I875" s="2809"/>
      <c r="J875" s="2809"/>
      <c r="K875" s="2809"/>
      <c r="L875" s="2809"/>
      <c r="M875" s="2809"/>
      <c r="N875" s="2810"/>
      <c r="EW875" s="2031"/>
      <c r="EX875" s="1619"/>
      <c r="EY875" s="1628"/>
      <c r="EZ875" s="1628"/>
      <c r="FA875" s="1628"/>
      <c r="FC875" s="1864" t="s">
        <v>6063</v>
      </c>
      <c r="FH875" s="1628"/>
      <c r="FU875" s="1678"/>
      <c r="FW875" s="1678"/>
    </row>
    <row r="876" spans="1:180" s="1484" customFormat="1" ht="15" x14ac:dyDescent="0.25">
      <c r="A876" s="1630"/>
      <c r="B876" s="1631" t="s">
        <v>8135</v>
      </c>
      <c r="C876" s="2809" t="s">
        <v>8136</v>
      </c>
      <c r="D876" s="2809"/>
      <c r="E876" s="2809"/>
      <c r="F876" s="2809"/>
      <c r="G876" s="2809"/>
      <c r="H876" s="2809"/>
      <c r="I876" s="2809"/>
      <c r="J876" s="2809"/>
      <c r="K876" s="2809"/>
      <c r="L876" s="2809"/>
      <c r="M876" s="2809"/>
      <c r="N876" s="2810"/>
      <c r="EW876" s="2031"/>
      <c r="EX876" s="1619"/>
      <c r="EY876" s="1628"/>
      <c r="EZ876" s="1628"/>
      <c r="FA876" s="1628"/>
      <c r="FC876" s="1864" t="s">
        <v>8136</v>
      </c>
      <c r="FH876" s="1628"/>
      <c r="FU876" s="1678"/>
      <c r="FW876" s="1678"/>
    </row>
    <row r="877" spans="1:180" s="1484" customFormat="1" ht="22.5" x14ac:dyDescent="0.25">
      <c r="A877" s="2033"/>
      <c r="B877" s="1631" t="s">
        <v>8732</v>
      </c>
      <c r="C877" s="2805" t="s">
        <v>8731</v>
      </c>
      <c r="D877" s="2805"/>
      <c r="E877" s="2805"/>
      <c r="F877" s="1683" t="s">
        <v>807</v>
      </c>
      <c r="G877" s="1953">
        <v>25.8</v>
      </c>
      <c r="H877" s="1655">
        <v>0.75</v>
      </c>
      <c r="I877" s="2035">
        <v>2.2833000000000001</v>
      </c>
      <c r="J877" s="1654">
        <v>8.9700000000000006</v>
      </c>
      <c r="K877" s="1655">
        <v>1.25</v>
      </c>
      <c r="L877" s="1654">
        <v>25.6</v>
      </c>
      <c r="M877" s="1641"/>
      <c r="N877" s="1681"/>
      <c r="EW877" s="2031"/>
      <c r="EX877" s="1619"/>
      <c r="EY877" s="1628"/>
      <c r="EZ877" s="1628"/>
      <c r="FA877" s="1628"/>
      <c r="FD877" s="1864" t="s">
        <v>8731</v>
      </c>
      <c r="FH877" s="1628"/>
      <c r="FU877" s="1678"/>
      <c r="FW877" s="1678"/>
    </row>
    <row r="878" spans="1:180" s="1484" customFormat="1" ht="22.5" x14ac:dyDescent="0.25">
      <c r="A878" s="2033"/>
      <c r="B878" s="1631" t="s">
        <v>5010</v>
      </c>
      <c r="C878" s="2805" t="s">
        <v>5011</v>
      </c>
      <c r="D878" s="2805"/>
      <c r="E878" s="2805"/>
      <c r="F878" s="1683" t="s">
        <v>4994</v>
      </c>
      <c r="G878" s="1655">
        <v>0.18</v>
      </c>
      <c r="H878" s="1641"/>
      <c r="I878" s="2042">
        <v>2.1239999999999998E-2</v>
      </c>
      <c r="J878" s="1654">
        <v>31.26</v>
      </c>
      <c r="K878" s="1641"/>
      <c r="L878" s="1654">
        <v>0.66</v>
      </c>
      <c r="M878" s="1641"/>
      <c r="N878" s="1681"/>
      <c r="EW878" s="2031"/>
      <c r="EX878" s="1619"/>
      <c r="EY878" s="1628"/>
      <c r="EZ878" s="1628"/>
      <c r="FA878" s="1628"/>
      <c r="FD878" s="1864" t="s">
        <v>5011</v>
      </c>
      <c r="FH878" s="1628"/>
      <c r="FU878" s="1678"/>
      <c r="FW878" s="1678"/>
    </row>
    <row r="879" spans="1:180" s="1484" customFormat="1" ht="15" x14ac:dyDescent="0.25">
      <c r="A879" s="2033"/>
      <c r="B879" s="1631" t="s">
        <v>821</v>
      </c>
      <c r="C879" s="2805" t="s">
        <v>822</v>
      </c>
      <c r="D879" s="2805"/>
      <c r="E879" s="2805"/>
      <c r="F879" s="1683" t="s">
        <v>4994</v>
      </c>
      <c r="G879" s="1953">
        <v>0.9</v>
      </c>
      <c r="H879" s="1641"/>
      <c r="I879" s="2035">
        <v>0.1062</v>
      </c>
      <c r="J879" s="1654">
        <v>65.709999999999994</v>
      </c>
      <c r="K879" s="1641"/>
      <c r="L879" s="1654">
        <v>6.98</v>
      </c>
      <c r="M879" s="1641"/>
      <c r="N879" s="1681"/>
      <c r="EW879" s="2031"/>
      <c r="EX879" s="1619"/>
      <c r="EY879" s="1628"/>
      <c r="EZ879" s="1628"/>
      <c r="FA879" s="1628"/>
      <c r="FD879" s="1864" t="s">
        <v>822</v>
      </c>
      <c r="FH879" s="1628"/>
      <c r="FU879" s="1678"/>
      <c r="FW879" s="1678"/>
    </row>
    <row r="880" spans="1:180" s="1484" customFormat="1" ht="15" x14ac:dyDescent="0.25">
      <c r="A880" s="2032"/>
      <c r="B880" s="1631" t="s">
        <v>190</v>
      </c>
      <c r="C880" s="2805" t="s">
        <v>2523</v>
      </c>
      <c r="D880" s="2805"/>
      <c r="E880" s="2805"/>
      <c r="F880" s="1683"/>
      <c r="G880" s="1641"/>
      <c r="H880" s="1641"/>
      <c r="I880" s="1641"/>
      <c r="J880" s="1654">
        <v>231.43</v>
      </c>
      <c r="K880" s="2035">
        <v>0.9375</v>
      </c>
      <c r="L880" s="1654">
        <v>25.6</v>
      </c>
      <c r="M880" s="1655">
        <v>35.75</v>
      </c>
      <c r="N880" s="2039">
        <v>915.2</v>
      </c>
      <c r="EW880" s="2031"/>
      <c r="EX880" s="1619"/>
      <c r="EY880" s="1628"/>
      <c r="EZ880" s="1628"/>
      <c r="FA880" s="1628"/>
      <c r="FE880" s="1864" t="s">
        <v>2523</v>
      </c>
      <c r="FH880" s="1628"/>
      <c r="FU880" s="1678"/>
      <c r="FW880" s="1678"/>
    </row>
    <row r="881" spans="1:179" s="1484" customFormat="1" ht="15" x14ac:dyDescent="0.25">
      <c r="A881" s="2032"/>
      <c r="B881" s="1631" t="s">
        <v>639</v>
      </c>
      <c r="C881" s="2805" t="s">
        <v>697</v>
      </c>
      <c r="D881" s="2805"/>
      <c r="E881" s="2805"/>
      <c r="F881" s="1683"/>
      <c r="G881" s="1641"/>
      <c r="H881" s="1641"/>
      <c r="I881" s="1641"/>
      <c r="J881" s="1654">
        <v>64.77</v>
      </c>
      <c r="K881" s="1641"/>
      <c r="L881" s="1654">
        <v>7.64</v>
      </c>
      <c r="M881" s="1655">
        <v>11.97</v>
      </c>
      <c r="N881" s="2039">
        <v>91.45</v>
      </c>
      <c r="EW881" s="2031"/>
      <c r="EX881" s="1619"/>
      <c r="EY881" s="1628"/>
      <c r="EZ881" s="1628"/>
      <c r="FA881" s="1628"/>
      <c r="FE881" s="1864" t="s">
        <v>697</v>
      </c>
      <c r="FH881" s="1628"/>
      <c r="FU881" s="1678"/>
      <c r="FW881" s="1678"/>
    </row>
    <row r="882" spans="1:179" s="1484" customFormat="1" ht="15" x14ac:dyDescent="0.25">
      <c r="A882" s="2032"/>
      <c r="B882" s="1631" t="s">
        <v>640</v>
      </c>
      <c r="C882" s="2805" t="s">
        <v>2500</v>
      </c>
      <c r="D882" s="2805"/>
      <c r="E882" s="2805"/>
      <c r="F882" s="1683"/>
      <c r="G882" s="1641"/>
      <c r="H882" s="1641"/>
      <c r="I882" s="1641"/>
      <c r="J882" s="1654">
        <v>12.87</v>
      </c>
      <c r="K882" s="1641"/>
      <c r="L882" s="1654">
        <v>1.52</v>
      </c>
      <c r="M882" s="1655">
        <v>35.75</v>
      </c>
      <c r="N882" s="2039">
        <v>54.34</v>
      </c>
      <c r="EW882" s="2031"/>
      <c r="EX882" s="1619"/>
      <c r="EY882" s="1628"/>
      <c r="EZ882" s="1628"/>
      <c r="FA882" s="1628"/>
      <c r="FE882" s="1864" t="s">
        <v>2500</v>
      </c>
      <c r="FH882" s="1628"/>
      <c r="FU882" s="1678"/>
      <c r="FW882" s="1678"/>
    </row>
    <row r="883" spans="1:179" s="1484" customFormat="1" ht="15" x14ac:dyDescent="0.25">
      <c r="A883" s="2033"/>
      <c r="B883" s="1631"/>
      <c r="C883" s="2805" t="s">
        <v>2524</v>
      </c>
      <c r="D883" s="2805"/>
      <c r="E883" s="2805"/>
      <c r="F883" s="1683" t="s">
        <v>807</v>
      </c>
      <c r="G883" s="1953">
        <v>25.8</v>
      </c>
      <c r="H883" s="1655">
        <v>0.75</v>
      </c>
      <c r="I883" s="2035">
        <v>2.2833000000000001</v>
      </c>
      <c r="J883" s="1640"/>
      <c r="K883" s="1641"/>
      <c r="L883" s="1640"/>
      <c r="M883" s="1641"/>
      <c r="N883" s="1681"/>
      <c r="EW883" s="2031"/>
      <c r="EX883" s="1619"/>
      <c r="EY883" s="1628"/>
      <c r="EZ883" s="1628"/>
      <c r="FA883" s="1628"/>
      <c r="FF883" s="1864" t="s">
        <v>2524</v>
      </c>
      <c r="FH883" s="1628"/>
      <c r="FU883" s="1678"/>
      <c r="FW883" s="1678"/>
    </row>
    <row r="884" spans="1:179" s="1484" customFormat="1" ht="15" x14ac:dyDescent="0.25">
      <c r="A884" s="2033"/>
      <c r="B884" s="1631"/>
      <c r="C884" s="2805" t="s">
        <v>2501</v>
      </c>
      <c r="D884" s="2805"/>
      <c r="E884" s="2805"/>
      <c r="F884" s="1683" t="s">
        <v>807</v>
      </c>
      <c r="G884" s="1655">
        <v>1.08</v>
      </c>
      <c r="H884" s="1641"/>
      <c r="I884" s="2042">
        <v>0.12744</v>
      </c>
      <c r="J884" s="1640"/>
      <c r="K884" s="1641"/>
      <c r="L884" s="1640"/>
      <c r="M884" s="1641"/>
      <c r="N884" s="1681"/>
      <c r="EW884" s="2031"/>
      <c r="EX884" s="1619"/>
      <c r="EY884" s="1628"/>
      <c r="EZ884" s="1628"/>
      <c r="FA884" s="1628"/>
      <c r="FF884" s="1864" t="s">
        <v>2501</v>
      </c>
      <c r="FH884" s="1628"/>
      <c r="FU884" s="1678"/>
      <c r="FW884" s="1678"/>
    </row>
    <row r="885" spans="1:179" s="1484" customFormat="1" ht="15" x14ac:dyDescent="0.25">
      <c r="A885" s="2032"/>
      <c r="B885" s="1631"/>
      <c r="C885" s="2917" t="s">
        <v>2502</v>
      </c>
      <c r="D885" s="2917"/>
      <c r="E885" s="2917"/>
      <c r="F885" s="2036"/>
      <c r="G885" s="2037"/>
      <c r="H885" s="2037"/>
      <c r="I885" s="2037"/>
      <c r="J885" s="2044">
        <v>296.2</v>
      </c>
      <c r="K885" s="2037"/>
      <c r="L885" s="2044">
        <v>33.24</v>
      </c>
      <c r="M885" s="2037"/>
      <c r="N885" s="2068">
        <v>1006.65</v>
      </c>
      <c r="EW885" s="2031"/>
      <c r="EX885" s="1619"/>
      <c r="EY885" s="1628"/>
      <c r="EZ885" s="1628"/>
      <c r="FA885" s="1628"/>
      <c r="FG885" s="1864" t="s">
        <v>2502</v>
      </c>
      <c r="FH885" s="1628"/>
      <c r="FU885" s="1678"/>
      <c r="FW885" s="1678"/>
    </row>
    <row r="886" spans="1:179" s="1484" customFormat="1" ht="15" x14ac:dyDescent="0.25">
      <c r="A886" s="2033" t="s">
        <v>5127</v>
      </c>
      <c r="B886" s="1631"/>
      <c r="C886" s="2805" t="s">
        <v>7964</v>
      </c>
      <c r="D886" s="2805"/>
      <c r="E886" s="2805"/>
      <c r="F886" s="1683" t="s">
        <v>5928</v>
      </c>
      <c r="G886" s="1641"/>
      <c r="H886" s="1641"/>
      <c r="I886" s="1641"/>
      <c r="J886" s="1640"/>
      <c r="K886" s="1641"/>
      <c r="L886" s="1654">
        <v>0.38</v>
      </c>
      <c r="M886" s="1641"/>
      <c r="N886" s="2039">
        <v>13.59</v>
      </c>
      <c r="EW886" s="2031"/>
      <c r="EX886" s="1619"/>
      <c r="EY886" s="1628"/>
      <c r="EZ886" s="1628"/>
      <c r="FA886" s="1628"/>
      <c r="FF886" s="1864" t="s">
        <v>7964</v>
      </c>
      <c r="FH886" s="1628"/>
      <c r="FU886" s="1678"/>
      <c r="FW886" s="1678"/>
    </row>
    <row r="887" spans="1:179" s="1484" customFormat="1" ht="15" x14ac:dyDescent="0.25">
      <c r="A887" s="2033"/>
      <c r="B887" s="1631"/>
      <c r="C887" s="2805" t="s">
        <v>7965</v>
      </c>
      <c r="D887" s="2805"/>
      <c r="E887" s="2805"/>
      <c r="F887" s="1683" t="s">
        <v>5928</v>
      </c>
      <c r="G887" s="1641"/>
      <c r="H887" s="1641"/>
      <c r="I887" s="1641"/>
      <c r="J887" s="1654">
        <v>12.87</v>
      </c>
      <c r="K887" s="1655">
        <v>0.25</v>
      </c>
      <c r="L887" s="1654">
        <v>0.38</v>
      </c>
      <c r="M887" s="1655">
        <v>35.75</v>
      </c>
      <c r="N887" s="2039">
        <v>13.59</v>
      </c>
      <c r="EW887" s="2031"/>
      <c r="EX887" s="1619"/>
      <c r="EY887" s="1628"/>
      <c r="EZ887" s="1628"/>
      <c r="FA887" s="1628"/>
      <c r="FF887" s="1864" t="s">
        <v>7965</v>
      </c>
      <c r="FH887" s="1628"/>
      <c r="FU887" s="1678"/>
      <c r="FW887" s="1678"/>
    </row>
    <row r="888" spans="1:179" s="1484" customFormat="1" ht="15" x14ac:dyDescent="0.25">
      <c r="A888" s="2033"/>
      <c r="B888" s="1631"/>
      <c r="C888" s="2805" t="s">
        <v>867</v>
      </c>
      <c r="D888" s="2805"/>
      <c r="E888" s="2805"/>
      <c r="F888" s="1683"/>
      <c r="G888" s="1641"/>
      <c r="H888" s="1641"/>
      <c r="I888" s="1641"/>
      <c r="J888" s="1640"/>
      <c r="K888" s="1641"/>
      <c r="L888" s="1654">
        <v>27.5</v>
      </c>
      <c r="M888" s="1641"/>
      <c r="N888" s="2039">
        <v>983.13</v>
      </c>
      <c r="EW888" s="2031"/>
      <c r="EX888" s="1619"/>
      <c r="EY888" s="1628"/>
      <c r="EZ888" s="1628"/>
      <c r="FA888" s="1628"/>
      <c r="FF888" s="1864" t="s">
        <v>867</v>
      </c>
      <c r="FH888" s="1628"/>
      <c r="FU888" s="1678"/>
      <c r="FW888" s="1678"/>
    </row>
    <row r="889" spans="1:179" s="1484" customFormat="1" ht="15" x14ac:dyDescent="0.25">
      <c r="A889" s="2033"/>
      <c r="B889" s="1631" t="s">
        <v>8054</v>
      </c>
      <c r="C889" s="2805" t="s">
        <v>8055</v>
      </c>
      <c r="D889" s="2805"/>
      <c r="E889" s="2805"/>
      <c r="F889" s="1683" t="s">
        <v>636</v>
      </c>
      <c r="G889" s="2034">
        <v>112</v>
      </c>
      <c r="H889" s="1641"/>
      <c r="I889" s="2034">
        <v>112</v>
      </c>
      <c r="J889" s="1640"/>
      <c r="K889" s="1641"/>
      <c r="L889" s="1654">
        <v>30.8</v>
      </c>
      <c r="M889" s="1641"/>
      <c r="N889" s="1679">
        <v>1101.1099999999999</v>
      </c>
      <c r="EW889" s="2031"/>
      <c r="EX889" s="1619"/>
      <c r="EY889" s="1628"/>
      <c r="EZ889" s="1628"/>
      <c r="FA889" s="1628"/>
      <c r="FF889" s="1864" t="s">
        <v>8055</v>
      </c>
      <c r="FH889" s="1628"/>
      <c r="FU889" s="1678"/>
      <c r="FW889" s="1678"/>
    </row>
    <row r="890" spans="1:179" s="1484" customFormat="1" ht="15" x14ac:dyDescent="0.25">
      <c r="A890" s="2033"/>
      <c r="B890" s="1631" t="s">
        <v>8056</v>
      </c>
      <c r="C890" s="2805" t="s">
        <v>8057</v>
      </c>
      <c r="D890" s="2805"/>
      <c r="E890" s="2805"/>
      <c r="F890" s="1683" t="s">
        <v>636</v>
      </c>
      <c r="G890" s="2034">
        <v>65</v>
      </c>
      <c r="H890" s="1641"/>
      <c r="I890" s="2034">
        <v>65</v>
      </c>
      <c r="J890" s="1640"/>
      <c r="K890" s="1641"/>
      <c r="L890" s="1654">
        <v>17.88</v>
      </c>
      <c r="M890" s="1641"/>
      <c r="N890" s="2039">
        <v>639.03</v>
      </c>
      <c r="EW890" s="2031"/>
      <c r="EX890" s="1619"/>
      <c r="EY890" s="1628"/>
      <c r="EZ890" s="1628"/>
      <c r="FA890" s="1628"/>
      <c r="FF890" s="1864" t="s">
        <v>8057</v>
      </c>
      <c r="FH890" s="1628"/>
      <c r="FU890" s="1678"/>
      <c r="FW890" s="1678"/>
    </row>
    <row r="891" spans="1:179" s="1484" customFormat="1" ht="15" x14ac:dyDescent="0.25">
      <c r="A891" s="1650"/>
      <c r="B891" s="1651"/>
      <c r="C891" s="2803" t="s">
        <v>872</v>
      </c>
      <c r="D891" s="2803"/>
      <c r="E891" s="2803"/>
      <c r="F891" s="1621"/>
      <c r="G891" s="1622"/>
      <c r="H891" s="1622"/>
      <c r="I891" s="1622"/>
      <c r="J891" s="1625"/>
      <c r="K891" s="1622"/>
      <c r="L891" s="2040">
        <v>82.3</v>
      </c>
      <c r="M891" s="2037"/>
      <c r="N891" s="1649">
        <v>2760.38</v>
      </c>
      <c r="EW891" s="2031"/>
      <c r="EX891" s="1619"/>
      <c r="EY891" s="1628"/>
      <c r="EZ891" s="1628"/>
      <c r="FA891" s="1628"/>
      <c r="FH891" s="1628" t="s">
        <v>872</v>
      </c>
      <c r="FU891" s="1678"/>
      <c r="FW891" s="1678"/>
    </row>
    <row r="892" spans="1:179" s="1484" customFormat="1" ht="22.5" x14ac:dyDescent="0.25">
      <c r="A892" s="1620" t="s">
        <v>1316</v>
      </c>
      <c r="B892" s="1863" t="s">
        <v>8137</v>
      </c>
      <c r="C892" s="2803" t="s">
        <v>8138</v>
      </c>
      <c r="D892" s="2803"/>
      <c r="E892" s="2803"/>
      <c r="F892" s="1621" t="s">
        <v>2555</v>
      </c>
      <c r="G892" s="1622">
        <v>0.11799999999999999</v>
      </c>
      <c r="H892" s="1623">
        <v>1</v>
      </c>
      <c r="I892" s="2045">
        <v>0.11799999999999999</v>
      </c>
      <c r="J892" s="1625"/>
      <c r="K892" s="1622"/>
      <c r="L892" s="1625"/>
      <c r="M892" s="1622"/>
      <c r="N892" s="1627"/>
      <c r="EW892" s="2031"/>
      <c r="EX892" s="1619"/>
      <c r="EY892" s="1628" t="s">
        <v>8138</v>
      </c>
      <c r="EZ892" s="1628" t="s">
        <v>588</v>
      </c>
      <c r="FA892" s="1628" t="s">
        <v>588</v>
      </c>
      <c r="FH892" s="1628"/>
      <c r="FU892" s="1678"/>
      <c r="FW892" s="1678"/>
    </row>
    <row r="893" spans="1:179" s="1484" customFormat="1" ht="15" x14ac:dyDescent="0.25">
      <c r="A893" s="1629"/>
      <c r="B893" s="1862"/>
      <c r="C893" s="2805" t="s">
        <v>8851</v>
      </c>
      <c r="D893" s="2805"/>
      <c r="E893" s="2805"/>
      <c r="F893" s="2805"/>
      <c r="G893" s="2805"/>
      <c r="H893" s="2805"/>
      <c r="I893" s="2805"/>
      <c r="J893" s="2805"/>
      <c r="K893" s="2805"/>
      <c r="L893" s="2805"/>
      <c r="M893" s="2805"/>
      <c r="N893" s="2806"/>
      <c r="EW893" s="2031"/>
      <c r="EX893" s="1619"/>
      <c r="EY893" s="1628"/>
      <c r="EZ893" s="1628"/>
      <c r="FA893" s="1628"/>
      <c r="FB893" s="1864" t="s">
        <v>8851</v>
      </c>
      <c r="FH893" s="1628"/>
      <c r="FU893" s="1678"/>
      <c r="FW893" s="1678"/>
    </row>
    <row r="894" spans="1:179" s="1484" customFormat="1" ht="22.5" x14ac:dyDescent="0.25">
      <c r="A894" s="1630"/>
      <c r="B894" s="1631" t="s">
        <v>6062</v>
      </c>
      <c r="C894" s="2809" t="s">
        <v>6063</v>
      </c>
      <c r="D894" s="2809"/>
      <c r="E894" s="2809"/>
      <c r="F894" s="2809"/>
      <c r="G894" s="2809"/>
      <c r="H894" s="2809"/>
      <c r="I894" s="2809"/>
      <c r="J894" s="2809"/>
      <c r="K894" s="2809"/>
      <c r="L894" s="2809"/>
      <c r="M894" s="2809"/>
      <c r="N894" s="2810"/>
      <c r="EW894" s="2031"/>
      <c r="EX894" s="1619"/>
      <c r="EY894" s="1628"/>
      <c r="EZ894" s="1628"/>
      <c r="FA894" s="1628"/>
      <c r="FC894" s="1864" t="s">
        <v>6063</v>
      </c>
      <c r="FH894" s="1628"/>
      <c r="FU894" s="1678"/>
      <c r="FW894" s="1678"/>
    </row>
    <row r="895" spans="1:179" s="1484" customFormat="1" ht="22.5" x14ac:dyDescent="0.25">
      <c r="A895" s="2033"/>
      <c r="B895" s="1631" t="s">
        <v>1729</v>
      </c>
      <c r="C895" s="2805" t="s">
        <v>8712</v>
      </c>
      <c r="D895" s="2805"/>
      <c r="E895" s="2805"/>
      <c r="F895" s="1683" t="s">
        <v>807</v>
      </c>
      <c r="G895" s="1655">
        <v>3.45</v>
      </c>
      <c r="H895" s="1641"/>
      <c r="I895" s="2035">
        <v>0.40710000000000002</v>
      </c>
      <c r="J895" s="1654">
        <v>8.5299999999999994</v>
      </c>
      <c r="K895" s="1655">
        <v>1.25</v>
      </c>
      <c r="L895" s="1654">
        <v>4.34</v>
      </c>
      <c r="M895" s="1641"/>
      <c r="N895" s="1681"/>
      <c r="EW895" s="2031"/>
      <c r="EX895" s="1619"/>
      <c r="EY895" s="1628"/>
      <c r="EZ895" s="1628"/>
      <c r="FA895" s="1628"/>
      <c r="FD895" s="1864" t="s">
        <v>8712</v>
      </c>
      <c r="FH895" s="1628"/>
      <c r="FU895" s="1678"/>
      <c r="FW895" s="1678"/>
    </row>
    <row r="896" spans="1:179" s="1484" customFormat="1" ht="15" x14ac:dyDescent="0.25">
      <c r="A896" s="2033"/>
      <c r="B896" s="1631" t="s">
        <v>821</v>
      </c>
      <c r="C896" s="2805" t="s">
        <v>822</v>
      </c>
      <c r="D896" s="2805"/>
      <c r="E896" s="2805"/>
      <c r="F896" s="1683" t="s">
        <v>4994</v>
      </c>
      <c r="G896" s="1655">
        <v>0.02</v>
      </c>
      <c r="H896" s="1641"/>
      <c r="I896" s="2042">
        <v>2.3600000000000001E-3</v>
      </c>
      <c r="J896" s="1654">
        <v>65.709999999999994</v>
      </c>
      <c r="K896" s="1641"/>
      <c r="L896" s="1654">
        <v>0.16</v>
      </c>
      <c r="M896" s="1641"/>
      <c r="N896" s="1681"/>
      <c r="EW896" s="2031"/>
      <c r="EX896" s="1619"/>
      <c r="EY896" s="1628"/>
      <c r="EZ896" s="1628"/>
      <c r="FA896" s="1628"/>
      <c r="FD896" s="1864" t="s">
        <v>822</v>
      </c>
      <c r="FH896" s="1628"/>
      <c r="FU896" s="1678"/>
      <c r="FW896" s="1678"/>
    </row>
    <row r="897" spans="1:179" s="1484" customFormat="1" ht="15" x14ac:dyDescent="0.25">
      <c r="A897" s="2033"/>
      <c r="B897" s="1631" t="s">
        <v>4894</v>
      </c>
      <c r="C897" s="2805" t="s">
        <v>4895</v>
      </c>
      <c r="D897" s="2805"/>
      <c r="E897" s="2805"/>
      <c r="F897" s="1683" t="s">
        <v>130</v>
      </c>
      <c r="G897" s="1953">
        <v>122.4</v>
      </c>
      <c r="H897" s="1641"/>
      <c r="I897" s="2035">
        <v>14.443199999999999</v>
      </c>
      <c r="J897" s="1654">
        <v>12.19</v>
      </c>
      <c r="K897" s="1641"/>
      <c r="L897" s="1654">
        <v>176.06</v>
      </c>
      <c r="M897" s="1641"/>
      <c r="N897" s="1681"/>
      <c r="EW897" s="2031"/>
      <c r="EX897" s="1619"/>
      <c r="EY897" s="1628"/>
      <c r="EZ897" s="1628"/>
      <c r="FA897" s="1628"/>
      <c r="FD897" s="1864" t="s">
        <v>4895</v>
      </c>
      <c r="FH897" s="1628"/>
      <c r="FU897" s="1678"/>
      <c r="FW897" s="1678"/>
    </row>
    <row r="898" spans="1:179" s="1484" customFormat="1" ht="15" x14ac:dyDescent="0.25">
      <c r="A898" s="2032"/>
      <c r="B898" s="1631" t="s">
        <v>190</v>
      </c>
      <c r="C898" s="2805" t="s">
        <v>2523</v>
      </c>
      <c r="D898" s="2805"/>
      <c r="E898" s="2805"/>
      <c r="F898" s="1683"/>
      <c r="G898" s="1641"/>
      <c r="H898" s="1641"/>
      <c r="I898" s="1641"/>
      <c r="J898" s="1654">
        <v>29.43</v>
      </c>
      <c r="K898" s="1655">
        <v>1.25</v>
      </c>
      <c r="L898" s="1654">
        <v>4.34</v>
      </c>
      <c r="M898" s="1655">
        <v>35.75</v>
      </c>
      <c r="N898" s="2039">
        <v>155.16</v>
      </c>
      <c r="EW898" s="2031"/>
      <c r="EX898" s="1619"/>
      <c r="EY898" s="1628"/>
      <c r="EZ898" s="1628"/>
      <c r="FA898" s="1628"/>
      <c r="FE898" s="1864" t="s">
        <v>2523</v>
      </c>
      <c r="FH898" s="1628"/>
      <c r="FU898" s="1678"/>
      <c r="FW898" s="1678"/>
    </row>
    <row r="899" spans="1:179" s="1484" customFormat="1" ht="15" x14ac:dyDescent="0.25">
      <c r="A899" s="2032"/>
      <c r="B899" s="1631" t="s">
        <v>639</v>
      </c>
      <c r="C899" s="2805" t="s">
        <v>697</v>
      </c>
      <c r="D899" s="2805"/>
      <c r="E899" s="2805"/>
      <c r="F899" s="1683"/>
      <c r="G899" s="1641"/>
      <c r="H899" s="1641"/>
      <c r="I899" s="1641"/>
      <c r="J899" s="1654">
        <v>1.31</v>
      </c>
      <c r="K899" s="1641"/>
      <c r="L899" s="1654">
        <v>0.15</v>
      </c>
      <c r="M899" s="1655">
        <v>11.97</v>
      </c>
      <c r="N899" s="2039">
        <v>1.8</v>
      </c>
      <c r="EW899" s="2031"/>
      <c r="EX899" s="1619"/>
      <c r="EY899" s="1628"/>
      <c r="EZ899" s="1628"/>
      <c r="FA899" s="1628"/>
      <c r="FE899" s="1864" t="s">
        <v>697</v>
      </c>
      <c r="FH899" s="1628"/>
      <c r="FU899" s="1678"/>
      <c r="FW899" s="1678"/>
    </row>
    <row r="900" spans="1:179" s="1484" customFormat="1" ht="15" x14ac:dyDescent="0.25">
      <c r="A900" s="2032"/>
      <c r="B900" s="1631" t="s">
        <v>640</v>
      </c>
      <c r="C900" s="2805" t="s">
        <v>2500</v>
      </c>
      <c r="D900" s="2805"/>
      <c r="E900" s="2805"/>
      <c r="F900" s="1683"/>
      <c r="G900" s="1641"/>
      <c r="H900" s="1641"/>
      <c r="I900" s="1641"/>
      <c r="J900" s="1654">
        <v>0.23</v>
      </c>
      <c r="K900" s="1641"/>
      <c r="L900" s="1654">
        <v>0.03</v>
      </c>
      <c r="M900" s="1655">
        <v>35.75</v>
      </c>
      <c r="N900" s="2039">
        <v>1.07</v>
      </c>
      <c r="EW900" s="2031"/>
      <c r="EX900" s="1619"/>
      <c r="EY900" s="1628"/>
      <c r="EZ900" s="1628"/>
      <c r="FA900" s="1628"/>
      <c r="FE900" s="1864" t="s">
        <v>2500</v>
      </c>
      <c r="FH900" s="1628"/>
      <c r="FU900" s="1678"/>
      <c r="FW900" s="1678"/>
    </row>
    <row r="901" spans="1:179" s="1484" customFormat="1" ht="15" x14ac:dyDescent="0.25">
      <c r="A901" s="2032"/>
      <c r="B901" s="1631" t="s">
        <v>232</v>
      </c>
      <c r="C901" s="2805" t="s">
        <v>829</v>
      </c>
      <c r="D901" s="2805"/>
      <c r="E901" s="2805"/>
      <c r="F901" s="1683"/>
      <c r="G901" s="1641"/>
      <c r="H901" s="1641"/>
      <c r="I901" s="1641"/>
      <c r="J901" s="1657">
        <v>1492.06</v>
      </c>
      <c r="K901" s="1641"/>
      <c r="L901" s="1654">
        <v>176.06</v>
      </c>
      <c r="M901" s="1655">
        <v>9.14</v>
      </c>
      <c r="N901" s="1679">
        <v>1609.19</v>
      </c>
      <c r="EW901" s="2031"/>
      <c r="EX901" s="1619"/>
      <c r="EY901" s="1628"/>
      <c r="EZ901" s="1628"/>
      <c r="FA901" s="1628"/>
      <c r="FE901" s="1864" t="s">
        <v>829</v>
      </c>
      <c r="FH901" s="1628"/>
      <c r="FU901" s="1678"/>
      <c r="FW901" s="1678"/>
    </row>
    <row r="902" spans="1:179" s="1484" customFormat="1" ht="15" x14ac:dyDescent="0.25">
      <c r="A902" s="2033"/>
      <c r="B902" s="1631"/>
      <c r="C902" s="2805" t="s">
        <v>2524</v>
      </c>
      <c r="D902" s="2805"/>
      <c r="E902" s="2805"/>
      <c r="F902" s="1683" t="s">
        <v>807</v>
      </c>
      <c r="G902" s="1655">
        <v>3.45</v>
      </c>
      <c r="H902" s="1641"/>
      <c r="I902" s="2035">
        <v>0.40710000000000002</v>
      </c>
      <c r="J902" s="1640"/>
      <c r="K902" s="1641"/>
      <c r="L902" s="1640"/>
      <c r="M902" s="1641"/>
      <c r="N902" s="1681"/>
      <c r="EW902" s="2031"/>
      <c r="EX902" s="1619"/>
      <c r="EY902" s="1628"/>
      <c r="EZ902" s="1628"/>
      <c r="FA902" s="1628"/>
      <c r="FF902" s="1864" t="s">
        <v>2524</v>
      </c>
      <c r="FH902" s="1628"/>
      <c r="FU902" s="1678"/>
      <c r="FW902" s="1678"/>
    </row>
    <row r="903" spans="1:179" s="1484" customFormat="1" ht="15" x14ac:dyDescent="0.25">
      <c r="A903" s="2033"/>
      <c r="B903" s="1631"/>
      <c r="C903" s="2805" t="s">
        <v>2501</v>
      </c>
      <c r="D903" s="2805"/>
      <c r="E903" s="2805"/>
      <c r="F903" s="1683" t="s">
        <v>807</v>
      </c>
      <c r="G903" s="1655">
        <v>0.02</v>
      </c>
      <c r="H903" s="1641"/>
      <c r="I903" s="2042">
        <v>2.3600000000000001E-3</v>
      </c>
      <c r="J903" s="1640"/>
      <c r="K903" s="1641"/>
      <c r="L903" s="1640"/>
      <c r="M903" s="1641"/>
      <c r="N903" s="1681"/>
      <c r="EW903" s="2031"/>
      <c r="EX903" s="1619"/>
      <c r="EY903" s="1628"/>
      <c r="EZ903" s="1628"/>
      <c r="FA903" s="1628"/>
      <c r="FF903" s="1864" t="s">
        <v>2501</v>
      </c>
      <c r="FH903" s="1628"/>
      <c r="FU903" s="1678"/>
      <c r="FW903" s="1678"/>
    </row>
    <row r="904" spans="1:179" s="1484" customFormat="1" ht="15" x14ac:dyDescent="0.25">
      <c r="A904" s="2032"/>
      <c r="B904" s="1631"/>
      <c r="C904" s="2917" t="s">
        <v>2502</v>
      </c>
      <c r="D904" s="2917"/>
      <c r="E904" s="2917"/>
      <c r="F904" s="2036"/>
      <c r="G904" s="2037"/>
      <c r="H904" s="2037"/>
      <c r="I904" s="2037"/>
      <c r="J904" s="2038">
        <v>1522.8</v>
      </c>
      <c r="K904" s="2037"/>
      <c r="L904" s="2044">
        <v>180.55</v>
      </c>
      <c r="M904" s="2037"/>
      <c r="N904" s="2068">
        <v>1766.15</v>
      </c>
      <c r="EW904" s="2031"/>
      <c r="EX904" s="1619"/>
      <c r="EY904" s="1628"/>
      <c r="EZ904" s="1628"/>
      <c r="FA904" s="1628"/>
      <c r="FG904" s="1864" t="s">
        <v>2502</v>
      </c>
      <c r="FH904" s="1628"/>
      <c r="FU904" s="1678"/>
      <c r="FW904" s="1678"/>
    </row>
    <row r="905" spans="1:179" s="1484" customFormat="1" ht="15" x14ac:dyDescent="0.25">
      <c r="A905" s="2033" t="s">
        <v>5133</v>
      </c>
      <c r="B905" s="1631"/>
      <c r="C905" s="2805" t="s">
        <v>7964</v>
      </c>
      <c r="D905" s="2805"/>
      <c r="E905" s="2805"/>
      <c r="F905" s="1683" t="s">
        <v>5928</v>
      </c>
      <c r="G905" s="1641"/>
      <c r="H905" s="1641"/>
      <c r="I905" s="1641"/>
      <c r="J905" s="1640"/>
      <c r="K905" s="1641"/>
      <c r="L905" s="1654">
        <v>0.01</v>
      </c>
      <c r="M905" s="1641"/>
      <c r="N905" s="2039">
        <v>0.36</v>
      </c>
      <c r="EW905" s="2031"/>
      <c r="EX905" s="1619"/>
      <c r="EY905" s="1628"/>
      <c r="EZ905" s="1628"/>
      <c r="FA905" s="1628"/>
      <c r="FF905" s="1864" t="s">
        <v>7964</v>
      </c>
      <c r="FH905" s="1628"/>
      <c r="FU905" s="1678"/>
      <c r="FW905" s="1678"/>
    </row>
    <row r="906" spans="1:179" s="1484" customFormat="1" ht="15" x14ac:dyDescent="0.25">
      <c r="A906" s="2033"/>
      <c r="B906" s="1631"/>
      <c r="C906" s="2805" t="s">
        <v>7965</v>
      </c>
      <c r="D906" s="2805"/>
      <c r="E906" s="2805"/>
      <c r="F906" s="1683" t="s">
        <v>5928</v>
      </c>
      <c r="G906" s="1641"/>
      <c r="H906" s="1641"/>
      <c r="I906" s="1641"/>
      <c r="J906" s="1654">
        <v>0.23</v>
      </c>
      <c r="K906" s="1655">
        <v>0.25</v>
      </c>
      <c r="L906" s="1654">
        <v>0.01</v>
      </c>
      <c r="M906" s="1655">
        <v>35.75</v>
      </c>
      <c r="N906" s="2039">
        <v>0.36</v>
      </c>
      <c r="EW906" s="2031"/>
      <c r="EX906" s="1619"/>
      <c r="EY906" s="1628"/>
      <c r="EZ906" s="1628"/>
      <c r="FA906" s="1628"/>
      <c r="FF906" s="1864" t="s">
        <v>7965</v>
      </c>
      <c r="FH906" s="1628"/>
      <c r="FU906" s="1678"/>
      <c r="FW906" s="1678"/>
    </row>
    <row r="907" spans="1:179" s="1484" customFormat="1" ht="15" x14ac:dyDescent="0.25">
      <c r="A907" s="2033"/>
      <c r="B907" s="1631"/>
      <c r="C907" s="2805" t="s">
        <v>867</v>
      </c>
      <c r="D907" s="2805"/>
      <c r="E907" s="2805"/>
      <c r="F907" s="1683"/>
      <c r="G907" s="1641"/>
      <c r="H907" s="1641"/>
      <c r="I907" s="1641"/>
      <c r="J907" s="1640"/>
      <c r="K907" s="1641"/>
      <c r="L907" s="1654">
        <v>4.38</v>
      </c>
      <c r="M907" s="1641"/>
      <c r="N907" s="2039">
        <v>156.59</v>
      </c>
      <c r="EW907" s="2031"/>
      <c r="EX907" s="1619"/>
      <c r="EY907" s="1628"/>
      <c r="EZ907" s="1628"/>
      <c r="FA907" s="1628"/>
      <c r="FF907" s="1864" t="s">
        <v>867</v>
      </c>
      <c r="FH907" s="1628"/>
      <c r="FU907" s="1678"/>
      <c r="FW907" s="1678"/>
    </row>
    <row r="908" spans="1:179" s="1484" customFormat="1" ht="15" x14ac:dyDescent="0.25">
      <c r="A908" s="2033"/>
      <c r="B908" s="1631" t="s">
        <v>8054</v>
      </c>
      <c r="C908" s="2805" t="s">
        <v>8055</v>
      </c>
      <c r="D908" s="2805"/>
      <c r="E908" s="2805"/>
      <c r="F908" s="1683" t="s">
        <v>636</v>
      </c>
      <c r="G908" s="2034">
        <v>112</v>
      </c>
      <c r="H908" s="1641"/>
      <c r="I908" s="2034">
        <v>112</v>
      </c>
      <c r="J908" s="1640"/>
      <c r="K908" s="1641"/>
      <c r="L908" s="1654">
        <v>4.91</v>
      </c>
      <c r="M908" s="1641"/>
      <c r="N908" s="2039">
        <v>175.38</v>
      </c>
      <c r="EW908" s="2031"/>
      <c r="EX908" s="1619"/>
      <c r="EY908" s="1628"/>
      <c r="EZ908" s="1628"/>
      <c r="FA908" s="1628"/>
      <c r="FF908" s="1864" t="s">
        <v>8055</v>
      </c>
      <c r="FH908" s="1628"/>
      <c r="FU908" s="1678"/>
      <c r="FW908" s="1678"/>
    </row>
    <row r="909" spans="1:179" s="1484" customFormat="1" ht="15" x14ac:dyDescent="0.25">
      <c r="A909" s="2033"/>
      <c r="B909" s="1631" t="s">
        <v>8056</v>
      </c>
      <c r="C909" s="2805" t="s">
        <v>8057</v>
      </c>
      <c r="D909" s="2805"/>
      <c r="E909" s="2805"/>
      <c r="F909" s="1683" t="s">
        <v>636</v>
      </c>
      <c r="G909" s="2034">
        <v>65</v>
      </c>
      <c r="H909" s="1641"/>
      <c r="I909" s="2034">
        <v>65</v>
      </c>
      <c r="J909" s="1640"/>
      <c r="K909" s="1641"/>
      <c r="L909" s="1654">
        <v>2.85</v>
      </c>
      <c r="M909" s="1641"/>
      <c r="N909" s="2039">
        <v>101.78</v>
      </c>
      <c r="EW909" s="2031"/>
      <c r="EX909" s="1619"/>
      <c r="EY909" s="1628"/>
      <c r="EZ909" s="1628"/>
      <c r="FA909" s="1628"/>
      <c r="FF909" s="1864" t="s">
        <v>8057</v>
      </c>
      <c r="FH909" s="1628"/>
      <c r="FU909" s="1678"/>
      <c r="FW909" s="1678"/>
    </row>
    <row r="910" spans="1:179" s="1484" customFormat="1" ht="15" x14ac:dyDescent="0.25">
      <c r="A910" s="1650"/>
      <c r="B910" s="1651"/>
      <c r="C910" s="2803" t="s">
        <v>872</v>
      </c>
      <c r="D910" s="2803"/>
      <c r="E910" s="2803"/>
      <c r="F910" s="1621"/>
      <c r="G910" s="1622"/>
      <c r="H910" s="1622"/>
      <c r="I910" s="1622"/>
      <c r="J910" s="1625"/>
      <c r="K910" s="1622"/>
      <c r="L910" s="2040">
        <v>188.32</v>
      </c>
      <c r="M910" s="2037"/>
      <c r="N910" s="1649">
        <v>2043.67</v>
      </c>
      <c r="EW910" s="2031"/>
      <c r="EX910" s="1619"/>
      <c r="EY910" s="1628"/>
      <c r="EZ910" s="1628"/>
      <c r="FA910" s="1628"/>
      <c r="FH910" s="1628" t="s">
        <v>872</v>
      </c>
      <c r="FU910" s="1678"/>
      <c r="FW910" s="1678"/>
    </row>
    <row r="911" spans="1:179" s="1484" customFormat="1" ht="22.5" x14ac:dyDescent="0.25">
      <c r="A911" s="1620" t="s">
        <v>1325</v>
      </c>
      <c r="B911" s="1863" t="s">
        <v>8139</v>
      </c>
      <c r="C911" s="2803" t="s">
        <v>8140</v>
      </c>
      <c r="D911" s="2803"/>
      <c r="E911" s="2803"/>
      <c r="F911" s="1621" t="s">
        <v>2555</v>
      </c>
      <c r="G911" s="1622">
        <v>0.11799999999999999</v>
      </c>
      <c r="H911" s="1623">
        <v>1</v>
      </c>
      <c r="I911" s="2045">
        <v>0.11799999999999999</v>
      </c>
      <c r="J911" s="1625"/>
      <c r="K911" s="1622"/>
      <c r="L911" s="1625"/>
      <c r="M911" s="1622"/>
      <c r="N911" s="1627"/>
      <c r="EW911" s="2031"/>
      <c r="EX911" s="1619"/>
      <c r="EY911" s="1628" t="s">
        <v>8140</v>
      </c>
      <c r="EZ911" s="1628" t="s">
        <v>588</v>
      </c>
      <c r="FA911" s="1628" t="s">
        <v>588</v>
      </c>
      <c r="FH911" s="1628"/>
      <c r="FU911" s="1678"/>
      <c r="FW911" s="1678"/>
    </row>
    <row r="912" spans="1:179" s="1484" customFormat="1" ht="15" x14ac:dyDescent="0.25">
      <c r="A912" s="1629"/>
      <c r="B912" s="1862"/>
      <c r="C912" s="2805" t="s">
        <v>8851</v>
      </c>
      <c r="D912" s="2805"/>
      <c r="E912" s="2805"/>
      <c r="F912" s="2805"/>
      <c r="G912" s="2805"/>
      <c r="H912" s="2805"/>
      <c r="I912" s="2805"/>
      <c r="J912" s="2805"/>
      <c r="K912" s="2805"/>
      <c r="L912" s="2805"/>
      <c r="M912" s="2805"/>
      <c r="N912" s="2806"/>
      <c r="EW912" s="2031"/>
      <c r="EX912" s="1619"/>
      <c r="EY912" s="1628"/>
      <c r="EZ912" s="1628"/>
      <c r="FA912" s="1628"/>
      <c r="FB912" s="1864" t="s">
        <v>8851</v>
      </c>
      <c r="FH912" s="1628"/>
      <c r="FU912" s="1678"/>
      <c r="FW912" s="1678"/>
    </row>
    <row r="913" spans="1:179" s="1484" customFormat="1" ht="22.5" x14ac:dyDescent="0.25">
      <c r="A913" s="1630"/>
      <c r="B913" s="1631" t="s">
        <v>6062</v>
      </c>
      <c r="C913" s="2809" t="s">
        <v>6063</v>
      </c>
      <c r="D913" s="2809"/>
      <c r="E913" s="2809"/>
      <c r="F913" s="2809"/>
      <c r="G913" s="2809"/>
      <c r="H913" s="2809"/>
      <c r="I913" s="2809"/>
      <c r="J913" s="2809"/>
      <c r="K913" s="2809"/>
      <c r="L913" s="2809"/>
      <c r="M913" s="2809"/>
      <c r="N913" s="2810"/>
      <c r="EW913" s="2031"/>
      <c r="EX913" s="1619"/>
      <c r="EY913" s="1628"/>
      <c r="EZ913" s="1628"/>
      <c r="FA913" s="1628"/>
      <c r="FC913" s="1864" t="s">
        <v>6063</v>
      </c>
      <c r="FH913" s="1628"/>
      <c r="FU913" s="1678"/>
      <c r="FW913" s="1678"/>
    </row>
    <row r="914" spans="1:179" s="1484" customFormat="1" ht="22.5" x14ac:dyDescent="0.25">
      <c r="A914" s="2033"/>
      <c r="B914" s="1631" t="s">
        <v>8756</v>
      </c>
      <c r="C914" s="2805" t="s">
        <v>8755</v>
      </c>
      <c r="D914" s="2805"/>
      <c r="E914" s="2805"/>
      <c r="F914" s="1683" t="s">
        <v>807</v>
      </c>
      <c r="G914" s="1953">
        <v>35.6</v>
      </c>
      <c r="H914" s="1641"/>
      <c r="I914" s="2035">
        <v>4.2008000000000001</v>
      </c>
      <c r="J914" s="1654">
        <v>7.94</v>
      </c>
      <c r="K914" s="1655">
        <v>1.25</v>
      </c>
      <c r="L914" s="1654">
        <v>41.69</v>
      </c>
      <c r="M914" s="1641"/>
      <c r="N914" s="1681"/>
      <c r="EW914" s="2031"/>
      <c r="EX914" s="1619"/>
      <c r="EY914" s="1628"/>
      <c r="EZ914" s="1628"/>
      <c r="FA914" s="1628"/>
      <c r="FD914" s="1864" t="s">
        <v>8755</v>
      </c>
      <c r="FH914" s="1628"/>
      <c r="FU914" s="1678"/>
      <c r="FW914" s="1678"/>
    </row>
    <row r="915" spans="1:179" s="1484" customFormat="1" ht="22.5" x14ac:dyDescent="0.25">
      <c r="A915" s="2033"/>
      <c r="B915" s="1631" t="s">
        <v>5010</v>
      </c>
      <c r="C915" s="2805" t="s">
        <v>5011</v>
      </c>
      <c r="D915" s="2805"/>
      <c r="E915" s="2805"/>
      <c r="F915" s="1683" t="s">
        <v>4994</v>
      </c>
      <c r="G915" s="1655">
        <v>1.27</v>
      </c>
      <c r="H915" s="1641"/>
      <c r="I915" s="2042">
        <v>0.14985999999999999</v>
      </c>
      <c r="J915" s="1654">
        <v>31.26</v>
      </c>
      <c r="K915" s="1641"/>
      <c r="L915" s="1654">
        <v>4.68</v>
      </c>
      <c r="M915" s="1641"/>
      <c r="N915" s="1681"/>
      <c r="EW915" s="2031"/>
      <c r="EX915" s="1619"/>
      <c r="EY915" s="1628"/>
      <c r="EZ915" s="1628"/>
      <c r="FA915" s="1628"/>
      <c r="FD915" s="1864" t="s">
        <v>5011</v>
      </c>
      <c r="FH915" s="1628"/>
      <c r="FU915" s="1678"/>
      <c r="FW915" s="1678"/>
    </row>
    <row r="916" spans="1:179" s="1484" customFormat="1" ht="15" x14ac:dyDescent="0.25">
      <c r="A916" s="2033"/>
      <c r="B916" s="1631" t="s">
        <v>5012</v>
      </c>
      <c r="C916" s="2805" t="s">
        <v>5013</v>
      </c>
      <c r="D916" s="2805"/>
      <c r="E916" s="2805"/>
      <c r="F916" s="1683" t="s">
        <v>4994</v>
      </c>
      <c r="G916" s="1655">
        <v>7.82</v>
      </c>
      <c r="H916" s="1641"/>
      <c r="I916" s="2042">
        <v>0.92276000000000002</v>
      </c>
      <c r="J916" s="1654">
        <v>0.5</v>
      </c>
      <c r="K916" s="1641"/>
      <c r="L916" s="1654">
        <v>0.46</v>
      </c>
      <c r="M916" s="1641"/>
      <c r="N916" s="1681"/>
      <c r="EW916" s="2031"/>
      <c r="EX916" s="1619"/>
      <c r="EY916" s="1628"/>
      <c r="EZ916" s="1628"/>
      <c r="FA916" s="1628"/>
      <c r="FD916" s="1864" t="s">
        <v>5013</v>
      </c>
      <c r="FH916" s="1628"/>
      <c r="FU916" s="1678"/>
      <c r="FW916" s="1678"/>
    </row>
    <row r="917" spans="1:179" s="1484" customFormat="1" ht="15" x14ac:dyDescent="0.25">
      <c r="A917" s="2033"/>
      <c r="B917" s="1631" t="s">
        <v>1755</v>
      </c>
      <c r="C917" s="2805" t="s">
        <v>2634</v>
      </c>
      <c r="D917" s="2805"/>
      <c r="E917" s="2805"/>
      <c r="F917" s="1683" t="s">
        <v>832</v>
      </c>
      <c r="G917" s="1953">
        <v>3.5</v>
      </c>
      <c r="H917" s="1641"/>
      <c r="I917" s="2046">
        <v>0.41299999999999998</v>
      </c>
      <c r="J917" s="1654">
        <v>2.44</v>
      </c>
      <c r="K917" s="1641"/>
      <c r="L917" s="1654">
        <v>1.01</v>
      </c>
      <c r="M917" s="1641"/>
      <c r="N917" s="1681"/>
      <c r="EW917" s="2031"/>
      <c r="EX917" s="1619"/>
      <c r="EY917" s="1628"/>
      <c r="EZ917" s="1628"/>
      <c r="FA917" s="1628"/>
      <c r="FD917" s="1864" t="s">
        <v>2634</v>
      </c>
      <c r="FH917" s="1628"/>
      <c r="FU917" s="1678"/>
      <c r="FW917" s="1678"/>
    </row>
    <row r="918" spans="1:179" s="1484" customFormat="1" ht="15" x14ac:dyDescent="0.25">
      <c r="A918" s="2032"/>
      <c r="B918" s="1631" t="s">
        <v>190</v>
      </c>
      <c r="C918" s="2805" t="s">
        <v>2523</v>
      </c>
      <c r="D918" s="2805"/>
      <c r="E918" s="2805"/>
      <c r="F918" s="1683"/>
      <c r="G918" s="1641"/>
      <c r="H918" s="1641"/>
      <c r="I918" s="1641"/>
      <c r="J918" s="1654">
        <v>282.66000000000003</v>
      </c>
      <c r="K918" s="1655">
        <v>1.25</v>
      </c>
      <c r="L918" s="1654">
        <v>41.69</v>
      </c>
      <c r="M918" s="1655">
        <v>35.75</v>
      </c>
      <c r="N918" s="1679">
        <v>1490.42</v>
      </c>
      <c r="EW918" s="2031"/>
      <c r="EX918" s="1619"/>
      <c r="EY918" s="1628"/>
      <c r="EZ918" s="1628"/>
      <c r="FA918" s="1628"/>
      <c r="FE918" s="1864" t="s">
        <v>2523</v>
      </c>
      <c r="FH918" s="1628"/>
      <c r="FU918" s="1678"/>
      <c r="FW918" s="1678"/>
    </row>
    <row r="919" spans="1:179" s="1484" customFormat="1" ht="15" x14ac:dyDescent="0.25">
      <c r="A919" s="2032"/>
      <c r="B919" s="1631" t="s">
        <v>639</v>
      </c>
      <c r="C919" s="2805" t="s">
        <v>697</v>
      </c>
      <c r="D919" s="2805"/>
      <c r="E919" s="2805"/>
      <c r="F919" s="1683"/>
      <c r="G919" s="1641"/>
      <c r="H919" s="1641"/>
      <c r="I919" s="1641"/>
      <c r="J919" s="1654">
        <v>43.61</v>
      </c>
      <c r="K919" s="1641"/>
      <c r="L919" s="1654">
        <v>5.15</v>
      </c>
      <c r="M919" s="1655">
        <v>11.97</v>
      </c>
      <c r="N919" s="2039">
        <v>61.65</v>
      </c>
      <c r="EW919" s="2031"/>
      <c r="EX919" s="1619"/>
      <c r="EY919" s="1628"/>
      <c r="EZ919" s="1628"/>
      <c r="FA919" s="1628"/>
      <c r="FE919" s="1864" t="s">
        <v>697</v>
      </c>
      <c r="FH919" s="1628"/>
      <c r="FU919" s="1678"/>
      <c r="FW919" s="1678"/>
    </row>
    <row r="920" spans="1:179" s="1484" customFormat="1" ht="15" x14ac:dyDescent="0.25">
      <c r="A920" s="2032"/>
      <c r="B920" s="1631" t="s">
        <v>640</v>
      </c>
      <c r="C920" s="2805" t="s">
        <v>2500</v>
      </c>
      <c r="D920" s="2805"/>
      <c r="E920" s="2805"/>
      <c r="F920" s="1683"/>
      <c r="G920" s="1641"/>
      <c r="H920" s="1641"/>
      <c r="I920" s="1641"/>
      <c r="J920" s="1654">
        <v>17.149999999999999</v>
      </c>
      <c r="K920" s="1641"/>
      <c r="L920" s="1654">
        <v>2.02</v>
      </c>
      <c r="M920" s="1655">
        <v>35.75</v>
      </c>
      <c r="N920" s="2039">
        <v>72.22</v>
      </c>
      <c r="EW920" s="2031"/>
      <c r="EX920" s="1619"/>
      <c r="EY920" s="1628"/>
      <c r="EZ920" s="1628"/>
      <c r="FA920" s="1628"/>
      <c r="FE920" s="1864" t="s">
        <v>2500</v>
      </c>
      <c r="FH920" s="1628"/>
      <c r="FU920" s="1678"/>
      <c r="FW920" s="1678"/>
    </row>
    <row r="921" spans="1:179" s="1484" customFormat="1" ht="15" x14ac:dyDescent="0.25">
      <c r="A921" s="2032"/>
      <c r="B921" s="1631" t="s">
        <v>232</v>
      </c>
      <c r="C921" s="2805" t="s">
        <v>829</v>
      </c>
      <c r="D921" s="2805"/>
      <c r="E921" s="2805"/>
      <c r="F921" s="1683"/>
      <c r="G921" s="1641"/>
      <c r="H921" s="1641"/>
      <c r="I921" s="1641"/>
      <c r="J921" s="1654">
        <v>8.5399999999999991</v>
      </c>
      <c r="K921" s="1641"/>
      <c r="L921" s="1654">
        <v>1.01</v>
      </c>
      <c r="M921" s="1655">
        <v>9.14</v>
      </c>
      <c r="N921" s="2039">
        <v>9.23</v>
      </c>
      <c r="EW921" s="2031"/>
      <c r="EX921" s="1619"/>
      <c r="EY921" s="1628"/>
      <c r="EZ921" s="1628"/>
      <c r="FA921" s="1628"/>
      <c r="FE921" s="1864" t="s">
        <v>829</v>
      </c>
      <c r="FH921" s="1628"/>
      <c r="FU921" s="1678"/>
      <c r="FW921" s="1678"/>
    </row>
    <row r="922" spans="1:179" s="1484" customFormat="1" ht="15" x14ac:dyDescent="0.25">
      <c r="A922" s="2033"/>
      <c r="B922" s="1631"/>
      <c r="C922" s="2805" t="s">
        <v>2524</v>
      </c>
      <c r="D922" s="2805"/>
      <c r="E922" s="2805"/>
      <c r="F922" s="1683" t="s">
        <v>807</v>
      </c>
      <c r="G922" s="1953">
        <v>35.6</v>
      </c>
      <c r="H922" s="1641"/>
      <c r="I922" s="2035">
        <v>4.2008000000000001</v>
      </c>
      <c r="J922" s="1640"/>
      <c r="K922" s="1641"/>
      <c r="L922" s="1640"/>
      <c r="M922" s="1641"/>
      <c r="N922" s="1681"/>
      <c r="EW922" s="2031"/>
      <c r="EX922" s="1619"/>
      <c r="EY922" s="1628"/>
      <c r="EZ922" s="1628"/>
      <c r="FA922" s="1628"/>
      <c r="FF922" s="1864" t="s">
        <v>2524</v>
      </c>
      <c r="FH922" s="1628"/>
      <c r="FU922" s="1678"/>
      <c r="FW922" s="1678"/>
    </row>
    <row r="923" spans="1:179" s="1484" customFormat="1" ht="15" x14ac:dyDescent="0.25">
      <c r="A923" s="2033"/>
      <c r="B923" s="1631"/>
      <c r="C923" s="2805" t="s">
        <v>2501</v>
      </c>
      <c r="D923" s="2805"/>
      <c r="E923" s="2805"/>
      <c r="F923" s="1683" t="s">
        <v>807</v>
      </c>
      <c r="G923" s="1655">
        <v>1.27</v>
      </c>
      <c r="H923" s="1641"/>
      <c r="I923" s="2042">
        <v>0.14985999999999999</v>
      </c>
      <c r="J923" s="1640"/>
      <c r="K923" s="1641"/>
      <c r="L923" s="1640"/>
      <c r="M923" s="1641"/>
      <c r="N923" s="1681"/>
      <c r="EW923" s="2031"/>
      <c r="EX923" s="1619"/>
      <c r="EY923" s="1628"/>
      <c r="EZ923" s="1628"/>
      <c r="FA923" s="1628"/>
      <c r="FF923" s="1864" t="s">
        <v>2501</v>
      </c>
      <c r="FH923" s="1628"/>
      <c r="FU923" s="1678"/>
      <c r="FW923" s="1678"/>
    </row>
    <row r="924" spans="1:179" s="1484" customFormat="1" ht="15" x14ac:dyDescent="0.25">
      <c r="A924" s="2032"/>
      <c r="B924" s="1631"/>
      <c r="C924" s="2917" t="s">
        <v>2502</v>
      </c>
      <c r="D924" s="2917"/>
      <c r="E924" s="2917"/>
      <c r="F924" s="2036"/>
      <c r="G924" s="2037"/>
      <c r="H924" s="2037"/>
      <c r="I924" s="2037"/>
      <c r="J924" s="2044">
        <v>334.81</v>
      </c>
      <c r="K924" s="2037"/>
      <c r="L924" s="2044">
        <v>47.85</v>
      </c>
      <c r="M924" s="2037"/>
      <c r="N924" s="2068">
        <v>1561.3</v>
      </c>
      <c r="EW924" s="2031"/>
      <c r="EX924" s="1619"/>
      <c r="EY924" s="1628"/>
      <c r="EZ924" s="1628"/>
      <c r="FA924" s="1628"/>
      <c r="FG924" s="1864" t="s">
        <v>2502</v>
      </c>
      <c r="FH924" s="1628"/>
      <c r="FU924" s="1678"/>
      <c r="FW924" s="1678"/>
    </row>
    <row r="925" spans="1:179" s="1484" customFormat="1" ht="15" x14ac:dyDescent="0.25">
      <c r="A925" s="2033" t="s">
        <v>5465</v>
      </c>
      <c r="B925" s="1631"/>
      <c r="C925" s="2805" t="s">
        <v>7964</v>
      </c>
      <c r="D925" s="2805"/>
      <c r="E925" s="2805"/>
      <c r="F925" s="1683" t="s">
        <v>5928</v>
      </c>
      <c r="G925" s="1641"/>
      <c r="H925" s="1641"/>
      <c r="I925" s="1641"/>
      <c r="J925" s="1640"/>
      <c r="K925" s="1641"/>
      <c r="L925" s="1654">
        <v>0.51</v>
      </c>
      <c r="M925" s="1641"/>
      <c r="N925" s="2039">
        <v>18.23</v>
      </c>
      <c r="EW925" s="2031"/>
      <c r="EX925" s="1619"/>
      <c r="EY925" s="1628"/>
      <c r="EZ925" s="1628"/>
      <c r="FA925" s="1628"/>
      <c r="FF925" s="1864" t="s">
        <v>7964</v>
      </c>
      <c r="FH925" s="1628"/>
      <c r="FU925" s="1678"/>
      <c r="FW925" s="1678"/>
    </row>
    <row r="926" spans="1:179" s="1484" customFormat="1" ht="15" x14ac:dyDescent="0.25">
      <c r="A926" s="2033"/>
      <c r="B926" s="1631"/>
      <c r="C926" s="2805" t="s">
        <v>7965</v>
      </c>
      <c r="D926" s="2805"/>
      <c r="E926" s="2805"/>
      <c r="F926" s="1683" t="s">
        <v>5928</v>
      </c>
      <c r="G926" s="1641"/>
      <c r="H926" s="1641"/>
      <c r="I926" s="1641"/>
      <c r="J926" s="1654">
        <v>17.149999999999999</v>
      </c>
      <c r="K926" s="1655">
        <v>0.25</v>
      </c>
      <c r="L926" s="1654">
        <v>0.51</v>
      </c>
      <c r="M926" s="1655">
        <v>35.75</v>
      </c>
      <c r="N926" s="2039">
        <v>18.23</v>
      </c>
      <c r="EW926" s="2031"/>
      <c r="EX926" s="1619"/>
      <c r="EY926" s="1628"/>
      <c r="EZ926" s="1628"/>
      <c r="FA926" s="1628"/>
      <c r="FF926" s="1864" t="s">
        <v>7965</v>
      </c>
      <c r="FH926" s="1628"/>
      <c r="FU926" s="1678"/>
      <c r="FW926" s="1678"/>
    </row>
    <row r="927" spans="1:179" s="1484" customFormat="1" ht="15" x14ac:dyDescent="0.25">
      <c r="A927" s="2033"/>
      <c r="B927" s="1631"/>
      <c r="C927" s="2805" t="s">
        <v>867</v>
      </c>
      <c r="D927" s="2805"/>
      <c r="E927" s="2805"/>
      <c r="F927" s="1683"/>
      <c r="G927" s="1641"/>
      <c r="H927" s="1641"/>
      <c r="I927" s="1641"/>
      <c r="J927" s="1640"/>
      <c r="K927" s="1641"/>
      <c r="L927" s="1654">
        <v>44.22</v>
      </c>
      <c r="M927" s="1641"/>
      <c r="N927" s="1679">
        <v>1580.87</v>
      </c>
      <c r="EW927" s="2031"/>
      <c r="EX927" s="1619"/>
      <c r="EY927" s="1628"/>
      <c r="EZ927" s="1628"/>
      <c r="FA927" s="1628"/>
      <c r="FF927" s="1864" t="s">
        <v>867</v>
      </c>
      <c r="FH927" s="1628"/>
      <c r="FU927" s="1678"/>
      <c r="FW927" s="1678"/>
    </row>
    <row r="928" spans="1:179" s="1484" customFormat="1" ht="15" x14ac:dyDescent="0.25">
      <c r="A928" s="2033"/>
      <c r="B928" s="1631" t="s">
        <v>8054</v>
      </c>
      <c r="C928" s="2805" t="s">
        <v>8055</v>
      </c>
      <c r="D928" s="2805"/>
      <c r="E928" s="2805"/>
      <c r="F928" s="1683" t="s">
        <v>636</v>
      </c>
      <c r="G928" s="2034">
        <v>112</v>
      </c>
      <c r="H928" s="1641"/>
      <c r="I928" s="2034">
        <v>112</v>
      </c>
      <c r="J928" s="1640"/>
      <c r="K928" s="1641"/>
      <c r="L928" s="1654">
        <v>49.53</v>
      </c>
      <c r="M928" s="1641"/>
      <c r="N928" s="1679">
        <v>1770.57</v>
      </c>
      <c r="EW928" s="2031"/>
      <c r="EX928" s="1619"/>
      <c r="EY928" s="1628"/>
      <c r="EZ928" s="1628"/>
      <c r="FA928" s="1628"/>
      <c r="FF928" s="1864" t="s">
        <v>8055</v>
      </c>
      <c r="FH928" s="1628"/>
      <c r="FU928" s="1678"/>
      <c r="FW928" s="1678"/>
    </row>
    <row r="929" spans="1:179" s="1484" customFormat="1" ht="15" x14ac:dyDescent="0.25">
      <c r="A929" s="2033"/>
      <c r="B929" s="1631" t="s">
        <v>8056</v>
      </c>
      <c r="C929" s="2805" t="s">
        <v>8057</v>
      </c>
      <c r="D929" s="2805"/>
      <c r="E929" s="2805"/>
      <c r="F929" s="1683" t="s">
        <v>636</v>
      </c>
      <c r="G929" s="2034">
        <v>65</v>
      </c>
      <c r="H929" s="1641"/>
      <c r="I929" s="2034">
        <v>65</v>
      </c>
      <c r="J929" s="1640"/>
      <c r="K929" s="1641"/>
      <c r="L929" s="1654">
        <v>28.74</v>
      </c>
      <c r="M929" s="1641"/>
      <c r="N929" s="1679">
        <v>1027.57</v>
      </c>
      <c r="EW929" s="2031"/>
      <c r="EX929" s="1619"/>
      <c r="EY929" s="1628"/>
      <c r="EZ929" s="1628"/>
      <c r="FA929" s="1628"/>
      <c r="FF929" s="1864" t="s">
        <v>8057</v>
      </c>
      <c r="FH929" s="1628"/>
      <c r="FU929" s="1678"/>
      <c r="FW929" s="1678"/>
    </row>
    <row r="930" spans="1:179" s="1484" customFormat="1" ht="15" x14ac:dyDescent="0.25">
      <c r="A930" s="1650"/>
      <c r="B930" s="1651"/>
      <c r="C930" s="2803" t="s">
        <v>872</v>
      </c>
      <c r="D930" s="2803"/>
      <c r="E930" s="2803"/>
      <c r="F930" s="1621"/>
      <c r="G930" s="1622"/>
      <c r="H930" s="1622"/>
      <c r="I930" s="1622"/>
      <c r="J930" s="1625"/>
      <c r="K930" s="1622"/>
      <c r="L930" s="2040">
        <v>126.63</v>
      </c>
      <c r="M930" s="2037"/>
      <c r="N930" s="1649">
        <v>4377.67</v>
      </c>
      <c r="EW930" s="2031"/>
      <c r="EX930" s="1619"/>
      <c r="EY930" s="1628"/>
      <c r="EZ930" s="1628"/>
      <c r="FA930" s="1628"/>
      <c r="FH930" s="1628" t="s">
        <v>872</v>
      </c>
      <c r="FU930" s="1678"/>
      <c r="FW930" s="1678"/>
    </row>
    <row r="931" spans="1:179" s="1484" customFormat="1" ht="33.75" x14ac:dyDescent="0.25">
      <c r="A931" s="1620" t="s">
        <v>1329</v>
      </c>
      <c r="B931" s="1863" t="s">
        <v>8757</v>
      </c>
      <c r="C931" s="2803" t="s">
        <v>8141</v>
      </c>
      <c r="D931" s="2803"/>
      <c r="E931" s="2803"/>
      <c r="F931" s="1621" t="s">
        <v>2555</v>
      </c>
      <c r="G931" s="1622">
        <v>0.11799999999999999</v>
      </c>
      <c r="H931" s="1623">
        <v>1</v>
      </c>
      <c r="I931" s="2045">
        <v>0.11799999999999999</v>
      </c>
      <c r="J931" s="1625"/>
      <c r="K931" s="1622"/>
      <c r="L931" s="1625"/>
      <c r="M931" s="1622"/>
      <c r="N931" s="1627"/>
      <c r="EW931" s="2031"/>
      <c r="EX931" s="1619"/>
      <c r="EY931" s="1628" t="s">
        <v>8141</v>
      </c>
      <c r="EZ931" s="1628" t="s">
        <v>588</v>
      </c>
      <c r="FA931" s="1628" t="s">
        <v>588</v>
      </c>
      <c r="FH931" s="1628"/>
      <c r="FU931" s="1678"/>
      <c r="FW931" s="1678"/>
    </row>
    <row r="932" spans="1:179" s="1484" customFormat="1" ht="15" x14ac:dyDescent="0.25">
      <c r="A932" s="1629"/>
      <c r="B932" s="1862"/>
      <c r="C932" s="2805" t="s">
        <v>8851</v>
      </c>
      <c r="D932" s="2805"/>
      <c r="E932" s="2805"/>
      <c r="F932" s="2805"/>
      <c r="G932" s="2805"/>
      <c r="H932" s="2805"/>
      <c r="I932" s="2805"/>
      <c r="J932" s="2805"/>
      <c r="K932" s="2805"/>
      <c r="L932" s="2805"/>
      <c r="M932" s="2805"/>
      <c r="N932" s="2806"/>
      <c r="EW932" s="2031"/>
      <c r="EX932" s="1619"/>
      <c r="EY932" s="1628"/>
      <c r="EZ932" s="1628"/>
      <c r="FA932" s="1628"/>
      <c r="FB932" s="1864" t="s">
        <v>8851</v>
      </c>
      <c r="FH932" s="1628"/>
      <c r="FU932" s="1678"/>
      <c r="FW932" s="1678"/>
    </row>
    <row r="933" spans="1:179" s="1484" customFormat="1" ht="22.5" x14ac:dyDescent="0.25">
      <c r="A933" s="1630"/>
      <c r="B933" s="1631" t="s">
        <v>6062</v>
      </c>
      <c r="C933" s="2809" t="s">
        <v>6063</v>
      </c>
      <c r="D933" s="2809"/>
      <c r="E933" s="2809"/>
      <c r="F933" s="2809"/>
      <c r="G933" s="2809"/>
      <c r="H933" s="2809"/>
      <c r="I933" s="2809"/>
      <c r="J933" s="2809"/>
      <c r="K933" s="2809"/>
      <c r="L933" s="2809"/>
      <c r="M933" s="2809"/>
      <c r="N933" s="2810"/>
      <c r="EW933" s="2031"/>
      <c r="EX933" s="1619"/>
      <c r="EY933" s="1628"/>
      <c r="EZ933" s="1628"/>
      <c r="FA933" s="1628"/>
      <c r="FC933" s="1864" t="s">
        <v>6063</v>
      </c>
      <c r="FH933" s="1628"/>
      <c r="FU933" s="1678"/>
      <c r="FW933" s="1678"/>
    </row>
    <row r="934" spans="1:179" s="1484" customFormat="1" ht="15" x14ac:dyDescent="0.25">
      <c r="A934" s="1630"/>
      <c r="B934" s="1631" t="s">
        <v>8142</v>
      </c>
      <c r="C934" s="2809" t="s">
        <v>8143</v>
      </c>
      <c r="D934" s="2809"/>
      <c r="E934" s="2809"/>
      <c r="F934" s="2809"/>
      <c r="G934" s="2809"/>
      <c r="H934" s="2809"/>
      <c r="I934" s="2809"/>
      <c r="J934" s="2809"/>
      <c r="K934" s="2809"/>
      <c r="L934" s="2809"/>
      <c r="M934" s="2809"/>
      <c r="N934" s="2810"/>
      <c r="EW934" s="2031"/>
      <c r="EX934" s="1619"/>
      <c r="EY934" s="1628"/>
      <c r="EZ934" s="1628"/>
      <c r="FA934" s="1628"/>
      <c r="FC934" s="1864" t="s">
        <v>8143</v>
      </c>
      <c r="FH934" s="1628"/>
      <c r="FU934" s="1678"/>
      <c r="FW934" s="1678"/>
    </row>
    <row r="935" spans="1:179" s="1484" customFormat="1" ht="22.5" x14ac:dyDescent="0.25">
      <c r="A935" s="2033"/>
      <c r="B935" s="1631" t="s">
        <v>8756</v>
      </c>
      <c r="C935" s="2805" t="s">
        <v>8755</v>
      </c>
      <c r="D935" s="2805"/>
      <c r="E935" s="2805"/>
      <c r="F935" s="1683" t="s">
        <v>807</v>
      </c>
      <c r="G935" s="1655">
        <v>0.44</v>
      </c>
      <c r="H935" s="2034">
        <v>4</v>
      </c>
      <c r="I935" s="2042">
        <v>0.20768</v>
      </c>
      <c r="J935" s="1654">
        <v>7.94</v>
      </c>
      <c r="K935" s="1655">
        <v>1.25</v>
      </c>
      <c r="L935" s="1654">
        <v>2.06</v>
      </c>
      <c r="M935" s="1641"/>
      <c r="N935" s="1681"/>
      <c r="EW935" s="2031"/>
      <c r="EX935" s="1619"/>
      <c r="EY935" s="1628"/>
      <c r="EZ935" s="1628"/>
      <c r="FA935" s="1628"/>
      <c r="FD935" s="1864" t="s">
        <v>8755</v>
      </c>
      <c r="FH935" s="1628"/>
      <c r="FU935" s="1678"/>
      <c r="FW935" s="1678"/>
    </row>
    <row r="936" spans="1:179" s="1484" customFormat="1" ht="22.5" x14ac:dyDescent="0.25">
      <c r="A936" s="2033"/>
      <c r="B936" s="1631" t="s">
        <v>5010</v>
      </c>
      <c r="C936" s="2805" t="s">
        <v>5011</v>
      </c>
      <c r="D936" s="2805"/>
      <c r="E936" s="2805"/>
      <c r="F936" s="1683" t="s">
        <v>4994</v>
      </c>
      <c r="G936" s="1655">
        <v>0.21</v>
      </c>
      <c r="H936" s="2034">
        <v>4</v>
      </c>
      <c r="I936" s="2042">
        <v>9.912E-2</v>
      </c>
      <c r="J936" s="1654">
        <v>31.26</v>
      </c>
      <c r="K936" s="1641"/>
      <c r="L936" s="1654">
        <v>3.1</v>
      </c>
      <c r="M936" s="1641"/>
      <c r="N936" s="1681"/>
      <c r="EW936" s="2031"/>
      <c r="EX936" s="1619"/>
      <c r="EY936" s="1628"/>
      <c r="EZ936" s="1628"/>
      <c r="FA936" s="1628"/>
      <c r="FD936" s="1864" t="s">
        <v>5011</v>
      </c>
      <c r="FH936" s="1628"/>
      <c r="FU936" s="1678"/>
      <c r="FW936" s="1678"/>
    </row>
    <row r="937" spans="1:179" s="1484" customFormat="1" ht="15" x14ac:dyDescent="0.25">
      <c r="A937" s="2033"/>
      <c r="B937" s="1631" t="s">
        <v>5012</v>
      </c>
      <c r="C937" s="2805" t="s">
        <v>5013</v>
      </c>
      <c r="D937" s="2805"/>
      <c r="E937" s="2805"/>
      <c r="F937" s="1683" t="s">
        <v>4994</v>
      </c>
      <c r="G937" s="2034">
        <v>2</v>
      </c>
      <c r="H937" s="2034">
        <v>4</v>
      </c>
      <c r="I937" s="2046">
        <v>0.94399999999999995</v>
      </c>
      <c r="J937" s="1654">
        <v>0.5</v>
      </c>
      <c r="K937" s="1641"/>
      <c r="L937" s="1654">
        <v>0.47</v>
      </c>
      <c r="M937" s="1641"/>
      <c r="N937" s="1681"/>
      <c r="EW937" s="2031"/>
      <c r="EX937" s="1619"/>
      <c r="EY937" s="1628"/>
      <c r="EZ937" s="1628"/>
      <c r="FA937" s="1628"/>
      <c r="FD937" s="1864" t="s">
        <v>5013</v>
      </c>
      <c r="FH937" s="1628"/>
      <c r="FU937" s="1678"/>
      <c r="FW937" s="1678"/>
    </row>
    <row r="938" spans="1:179" s="1484" customFormat="1" ht="15" x14ac:dyDescent="0.25">
      <c r="A938" s="2032"/>
      <c r="B938" s="1631" t="s">
        <v>190</v>
      </c>
      <c r="C938" s="2805" t="s">
        <v>2523</v>
      </c>
      <c r="D938" s="2805"/>
      <c r="E938" s="2805"/>
      <c r="F938" s="1683"/>
      <c r="G938" s="1641"/>
      <c r="H938" s="1641"/>
      <c r="I938" s="1641"/>
      <c r="J938" s="1654">
        <v>3.49</v>
      </c>
      <c r="K938" s="2034">
        <v>5</v>
      </c>
      <c r="L938" s="1654">
        <v>2.06</v>
      </c>
      <c r="M938" s="1655">
        <v>35.75</v>
      </c>
      <c r="N938" s="2039">
        <v>73.650000000000006</v>
      </c>
      <c r="EW938" s="2031"/>
      <c r="EX938" s="1619"/>
      <c r="EY938" s="1628"/>
      <c r="EZ938" s="1628"/>
      <c r="FA938" s="1628"/>
      <c r="FE938" s="1864" t="s">
        <v>2523</v>
      </c>
      <c r="FH938" s="1628"/>
      <c r="FU938" s="1678"/>
      <c r="FW938" s="1678"/>
    </row>
    <row r="939" spans="1:179" s="1484" customFormat="1" ht="15" x14ac:dyDescent="0.25">
      <c r="A939" s="2032"/>
      <c r="B939" s="1631" t="s">
        <v>639</v>
      </c>
      <c r="C939" s="2805" t="s">
        <v>697</v>
      </c>
      <c r="D939" s="2805"/>
      <c r="E939" s="2805"/>
      <c r="F939" s="1683"/>
      <c r="G939" s="1641"/>
      <c r="H939" s="1641"/>
      <c r="I939" s="1641"/>
      <c r="J939" s="1654">
        <v>7.56</v>
      </c>
      <c r="K939" s="2034">
        <v>4</v>
      </c>
      <c r="L939" s="1654">
        <v>3.57</v>
      </c>
      <c r="M939" s="1655">
        <v>11.97</v>
      </c>
      <c r="N939" s="2039">
        <v>42.73</v>
      </c>
      <c r="EW939" s="2031"/>
      <c r="EX939" s="1619"/>
      <c r="EY939" s="1628"/>
      <c r="EZ939" s="1628"/>
      <c r="FA939" s="1628"/>
      <c r="FE939" s="1864" t="s">
        <v>697</v>
      </c>
      <c r="FH939" s="1628"/>
      <c r="FU939" s="1678"/>
      <c r="FW939" s="1678"/>
    </row>
    <row r="940" spans="1:179" s="1484" customFormat="1" ht="15" x14ac:dyDescent="0.25">
      <c r="A940" s="2032"/>
      <c r="B940" s="1631" t="s">
        <v>640</v>
      </c>
      <c r="C940" s="2805" t="s">
        <v>2500</v>
      </c>
      <c r="D940" s="2805"/>
      <c r="E940" s="2805"/>
      <c r="F940" s="1683"/>
      <c r="G940" s="1641"/>
      <c r="H940" s="1641"/>
      <c r="I940" s="1641"/>
      <c r="J940" s="1654">
        <v>2.84</v>
      </c>
      <c r="K940" s="2034">
        <v>4</v>
      </c>
      <c r="L940" s="1654">
        <v>1.34</v>
      </c>
      <c r="M940" s="1655">
        <v>35.75</v>
      </c>
      <c r="N940" s="2039">
        <v>47.91</v>
      </c>
      <c r="EW940" s="2031"/>
      <c r="EX940" s="1619"/>
      <c r="EY940" s="1628"/>
      <c r="EZ940" s="1628"/>
      <c r="FA940" s="1628"/>
      <c r="FE940" s="1864" t="s">
        <v>2500</v>
      </c>
      <c r="FH940" s="1628"/>
      <c r="FU940" s="1678"/>
      <c r="FW940" s="1678"/>
    </row>
    <row r="941" spans="1:179" s="1484" customFormat="1" ht="15" x14ac:dyDescent="0.25">
      <c r="A941" s="2033"/>
      <c r="B941" s="1631"/>
      <c r="C941" s="2805" t="s">
        <v>2524</v>
      </c>
      <c r="D941" s="2805"/>
      <c r="E941" s="2805"/>
      <c r="F941" s="1683" t="s">
        <v>807</v>
      </c>
      <c r="G941" s="1655">
        <v>0.44</v>
      </c>
      <c r="H941" s="2034">
        <v>4</v>
      </c>
      <c r="I941" s="2042">
        <v>0.20768</v>
      </c>
      <c r="J941" s="1640"/>
      <c r="K941" s="1641"/>
      <c r="L941" s="1640"/>
      <c r="M941" s="1641"/>
      <c r="N941" s="1681"/>
      <c r="EW941" s="2031"/>
      <c r="EX941" s="1619"/>
      <c r="EY941" s="1628"/>
      <c r="EZ941" s="1628"/>
      <c r="FA941" s="1628"/>
      <c r="FF941" s="1864" t="s">
        <v>2524</v>
      </c>
      <c r="FH941" s="1628"/>
      <c r="FU941" s="1678"/>
      <c r="FW941" s="1678"/>
    </row>
    <row r="942" spans="1:179" s="1484" customFormat="1" ht="15" x14ac:dyDescent="0.25">
      <c r="A942" s="2033"/>
      <c r="B942" s="1631"/>
      <c r="C942" s="2805" t="s">
        <v>2501</v>
      </c>
      <c r="D942" s="2805"/>
      <c r="E942" s="2805"/>
      <c r="F942" s="1683" t="s">
        <v>807</v>
      </c>
      <c r="G942" s="1655">
        <v>0.21</v>
      </c>
      <c r="H942" s="2034">
        <v>4</v>
      </c>
      <c r="I942" s="2042">
        <v>9.912E-2</v>
      </c>
      <c r="J942" s="1640"/>
      <c r="K942" s="1641"/>
      <c r="L942" s="1640"/>
      <c r="M942" s="1641"/>
      <c r="N942" s="1681"/>
      <c r="EW942" s="2031"/>
      <c r="EX942" s="1619"/>
      <c r="EY942" s="1628"/>
      <c r="EZ942" s="1628"/>
      <c r="FA942" s="1628"/>
      <c r="FF942" s="1864" t="s">
        <v>2501</v>
      </c>
      <c r="FH942" s="1628"/>
      <c r="FU942" s="1678"/>
      <c r="FW942" s="1678"/>
    </row>
    <row r="943" spans="1:179" s="1484" customFormat="1" ht="15" x14ac:dyDescent="0.25">
      <c r="A943" s="2032"/>
      <c r="B943" s="1631"/>
      <c r="C943" s="2917" t="s">
        <v>2502</v>
      </c>
      <c r="D943" s="2917"/>
      <c r="E943" s="2917"/>
      <c r="F943" s="2036"/>
      <c r="G943" s="2037"/>
      <c r="H943" s="2037"/>
      <c r="I943" s="2037"/>
      <c r="J943" s="2044">
        <v>11.05</v>
      </c>
      <c r="K943" s="2037"/>
      <c r="L943" s="2044">
        <v>5.63</v>
      </c>
      <c r="M943" s="2037"/>
      <c r="N943" s="2070">
        <v>116.38</v>
      </c>
      <c r="EW943" s="2031"/>
      <c r="EX943" s="1619"/>
      <c r="EY943" s="1628"/>
      <c r="EZ943" s="1628"/>
      <c r="FA943" s="1628"/>
      <c r="FG943" s="1864" t="s">
        <v>2502</v>
      </c>
      <c r="FH943" s="1628"/>
      <c r="FU943" s="1678"/>
      <c r="FW943" s="1678"/>
    </row>
    <row r="944" spans="1:179" s="1484" customFormat="1" ht="15" x14ac:dyDescent="0.25">
      <c r="A944" s="2033" t="s">
        <v>8144</v>
      </c>
      <c r="B944" s="1631"/>
      <c r="C944" s="2805" t="s">
        <v>7964</v>
      </c>
      <c r="D944" s="2805"/>
      <c r="E944" s="2805"/>
      <c r="F944" s="1683" t="s">
        <v>5928</v>
      </c>
      <c r="G944" s="1641"/>
      <c r="H944" s="1641"/>
      <c r="I944" s="1641"/>
      <c r="J944" s="1640"/>
      <c r="K944" s="1641"/>
      <c r="L944" s="1654">
        <v>0.34</v>
      </c>
      <c r="M944" s="1641"/>
      <c r="N944" s="2039">
        <v>12.16</v>
      </c>
      <c r="EW944" s="2031"/>
      <c r="EX944" s="1619"/>
      <c r="EY944" s="1628"/>
      <c r="EZ944" s="1628"/>
      <c r="FA944" s="1628"/>
      <c r="FF944" s="1864" t="s">
        <v>7964</v>
      </c>
      <c r="FH944" s="1628"/>
      <c r="FU944" s="1678"/>
      <c r="FW944" s="1678"/>
    </row>
    <row r="945" spans="1:179" s="1484" customFormat="1" ht="15" x14ac:dyDescent="0.25">
      <c r="A945" s="2033"/>
      <c r="B945" s="1631"/>
      <c r="C945" s="2805" t="s">
        <v>7965</v>
      </c>
      <c r="D945" s="2805"/>
      <c r="E945" s="2805"/>
      <c r="F945" s="1683" t="s">
        <v>5928</v>
      </c>
      <c r="G945" s="1641"/>
      <c r="H945" s="1641"/>
      <c r="I945" s="1641"/>
      <c r="J945" s="1654">
        <v>2.84</v>
      </c>
      <c r="K945" s="2034">
        <v>1</v>
      </c>
      <c r="L945" s="1654">
        <v>0.34</v>
      </c>
      <c r="M945" s="1655">
        <v>35.75</v>
      </c>
      <c r="N945" s="2039">
        <v>12.16</v>
      </c>
      <c r="EW945" s="2031"/>
      <c r="EX945" s="1619"/>
      <c r="EY945" s="1628"/>
      <c r="EZ945" s="1628"/>
      <c r="FA945" s="1628"/>
      <c r="FF945" s="1864" t="s">
        <v>7965</v>
      </c>
      <c r="FH945" s="1628"/>
      <c r="FU945" s="1678"/>
      <c r="FW945" s="1678"/>
    </row>
    <row r="946" spans="1:179" s="1484" customFormat="1" ht="15" x14ac:dyDescent="0.25">
      <c r="A946" s="2033"/>
      <c r="B946" s="1631"/>
      <c r="C946" s="2805" t="s">
        <v>867</v>
      </c>
      <c r="D946" s="2805"/>
      <c r="E946" s="2805"/>
      <c r="F946" s="1683"/>
      <c r="G946" s="1641"/>
      <c r="H946" s="1641"/>
      <c r="I946" s="1641"/>
      <c r="J946" s="1640"/>
      <c r="K946" s="1641"/>
      <c r="L946" s="1654">
        <v>3.74</v>
      </c>
      <c r="M946" s="1641"/>
      <c r="N946" s="2039">
        <v>133.72</v>
      </c>
      <c r="EW946" s="2031"/>
      <c r="EX946" s="1619"/>
      <c r="EY946" s="1628"/>
      <c r="EZ946" s="1628"/>
      <c r="FA946" s="1628"/>
      <c r="FF946" s="1864" t="s">
        <v>867</v>
      </c>
      <c r="FH946" s="1628"/>
      <c r="FU946" s="1678"/>
      <c r="FW946" s="1678"/>
    </row>
    <row r="947" spans="1:179" s="1484" customFormat="1" ht="15" x14ac:dyDescent="0.25">
      <c r="A947" s="2033"/>
      <c r="B947" s="1631" t="s">
        <v>8054</v>
      </c>
      <c r="C947" s="2805" t="s">
        <v>8055</v>
      </c>
      <c r="D947" s="2805"/>
      <c r="E947" s="2805"/>
      <c r="F947" s="1683" t="s">
        <v>636</v>
      </c>
      <c r="G947" s="2034">
        <v>112</v>
      </c>
      <c r="H947" s="1641"/>
      <c r="I947" s="2034">
        <v>112</v>
      </c>
      <c r="J947" s="1640"/>
      <c r="K947" s="1641"/>
      <c r="L947" s="1654">
        <v>4.1900000000000004</v>
      </c>
      <c r="M947" s="1641"/>
      <c r="N947" s="2039">
        <v>149.77000000000001</v>
      </c>
      <c r="EW947" s="2031"/>
      <c r="EX947" s="1619"/>
      <c r="EY947" s="1628"/>
      <c r="EZ947" s="1628"/>
      <c r="FA947" s="1628"/>
      <c r="FF947" s="1864" t="s">
        <v>8055</v>
      </c>
      <c r="FH947" s="1628"/>
      <c r="FU947" s="1678"/>
      <c r="FW947" s="1678"/>
    </row>
    <row r="948" spans="1:179" s="1484" customFormat="1" ht="15" x14ac:dyDescent="0.25">
      <c r="A948" s="2033"/>
      <c r="B948" s="1631" t="s">
        <v>8056</v>
      </c>
      <c r="C948" s="2805" t="s">
        <v>8057</v>
      </c>
      <c r="D948" s="2805"/>
      <c r="E948" s="2805"/>
      <c r="F948" s="1683" t="s">
        <v>636</v>
      </c>
      <c r="G948" s="2034">
        <v>65</v>
      </c>
      <c r="H948" s="1641"/>
      <c r="I948" s="2034">
        <v>65</v>
      </c>
      <c r="J948" s="1640"/>
      <c r="K948" s="1641"/>
      <c r="L948" s="1654">
        <v>2.4300000000000002</v>
      </c>
      <c r="M948" s="1641"/>
      <c r="N948" s="2039">
        <v>86.92</v>
      </c>
      <c r="EW948" s="2031"/>
      <c r="EX948" s="1619"/>
      <c r="EY948" s="1628"/>
      <c r="EZ948" s="1628"/>
      <c r="FA948" s="1628"/>
      <c r="FF948" s="1864" t="s">
        <v>8057</v>
      </c>
      <c r="FH948" s="1628"/>
      <c r="FU948" s="1678"/>
      <c r="FW948" s="1678"/>
    </row>
    <row r="949" spans="1:179" s="1484" customFormat="1" ht="15" x14ac:dyDescent="0.25">
      <c r="A949" s="1650"/>
      <c r="B949" s="1651"/>
      <c r="C949" s="2803" t="s">
        <v>872</v>
      </c>
      <c r="D949" s="2803"/>
      <c r="E949" s="2803"/>
      <c r="F949" s="1621"/>
      <c r="G949" s="1622"/>
      <c r="H949" s="1622"/>
      <c r="I949" s="1622"/>
      <c r="J949" s="1625"/>
      <c r="K949" s="1622"/>
      <c r="L949" s="2040">
        <v>12.59</v>
      </c>
      <c r="M949" s="2037"/>
      <c r="N949" s="2069">
        <v>365.23</v>
      </c>
      <c r="EW949" s="2031"/>
      <c r="EX949" s="1619"/>
      <c r="EY949" s="1628"/>
      <c r="EZ949" s="1628"/>
      <c r="FA949" s="1628"/>
      <c r="FH949" s="1628" t="s">
        <v>872</v>
      </c>
      <c r="FU949" s="1678"/>
      <c r="FW949" s="1678"/>
    </row>
    <row r="950" spans="1:179" s="1484" customFormat="1" ht="56.25" x14ac:dyDescent="0.25">
      <c r="A950" s="1620" t="s">
        <v>8145</v>
      </c>
      <c r="B950" s="1863" t="s">
        <v>8146</v>
      </c>
      <c r="C950" s="2803" t="s">
        <v>8147</v>
      </c>
      <c r="D950" s="2803"/>
      <c r="E950" s="2803"/>
      <c r="F950" s="1621" t="s">
        <v>835</v>
      </c>
      <c r="G950" s="1622">
        <v>5156.1734399999996</v>
      </c>
      <c r="H950" s="1623">
        <v>1</v>
      </c>
      <c r="I950" s="2048">
        <v>5156.1734399999996</v>
      </c>
      <c r="J950" s="2040">
        <v>23.7</v>
      </c>
      <c r="K950" s="1622"/>
      <c r="L950" s="1648">
        <v>122201.31</v>
      </c>
      <c r="M950" s="1687">
        <v>9.14</v>
      </c>
      <c r="N950" s="1649">
        <v>1116919.97</v>
      </c>
      <c r="EW950" s="2031"/>
      <c r="EX950" s="1619"/>
      <c r="EY950" s="1628" t="s">
        <v>8147</v>
      </c>
      <c r="EZ950" s="1628" t="s">
        <v>588</v>
      </c>
      <c r="FA950" s="1628" t="s">
        <v>588</v>
      </c>
      <c r="FH950" s="1628"/>
      <c r="FU950" s="1678"/>
      <c r="FW950" s="1678"/>
    </row>
    <row r="951" spans="1:179" s="1484" customFormat="1" ht="15" x14ac:dyDescent="0.25">
      <c r="A951" s="1650"/>
      <c r="B951" s="1651"/>
      <c r="C951" s="2805" t="s">
        <v>8722</v>
      </c>
      <c r="D951" s="2805"/>
      <c r="E951" s="2805"/>
      <c r="F951" s="2805"/>
      <c r="G951" s="2805"/>
      <c r="H951" s="2805"/>
      <c r="I951" s="2805"/>
      <c r="J951" s="2805"/>
      <c r="K951" s="2805"/>
      <c r="L951" s="2805"/>
      <c r="M951" s="2805"/>
      <c r="N951" s="2806"/>
      <c r="EW951" s="2031"/>
      <c r="EX951" s="1619"/>
      <c r="EY951" s="1628"/>
      <c r="EZ951" s="1628"/>
      <c r="FA951" s="1628"/>
      <c r="FH951" s="1628"/>
      <c r="FI951" s="1864" t="s">
        <v>8722</v>
      </c>
      <c r="FJ951" s="1864" t="s">
        <v>588</v>
      </c>
      <c r="FK951" s="1864" t="s">
        <v>588</v>
      </c>
      <c r="FL951" s="1864" t="s">
        <v>588</v>
      </c>
      <c r="FM951" s="1864" t="s">
        <v>588</v>
      </c>
      <c r="FN951" s="1864" t="s">
        <v>588</v>
      </c>
      <c r="FO951" s="1864" t="s">
        <v>588</v>
      </c>
      <c r="FP951" s="1864" t="s">
        <v>588</v>
      </c>
      <c r="FQ951" s="1864" t="s">
        <v>588</v>
      </c>
      <c r="FR951" s="1864" t="s">
        <v>588</v>
      </c>
      <c r="FS951" s="1864" t="s">
        <v>588</v>
      </c>
      <c r="FT951" s="1864" t="s">
        <v>588</v>
      </c>
      <c r="FU951" s="1678"/>
      <c r="FW951" s="1678"/>
    </row>
    <row r="952" spans="1:179" s="1484" customFormat="1" ht="15" x14ac:dyDescent="0.25">
      <c r="A952" s="1629"/>
      <c r="B952" s="1862"/>
      <c r="C952" s="2805" t="s">
        <v>8853</v>
      </c>
      <c r="D952" s="2805"/>
      <c r="E952" s="2805"/>
      <c r="F952" s="2805"/>
      <c r="G952" s="2805"/>
      <c r="H952" s="2805"/>
      <c r="I952" s="2805"/>
      <c r="J952" s="2805"/>
      <c r="K952" s="2805"/>
      <c r="L952" s="2805"/>
      <c r="M952" s="2805"/>
      <c r="N952" s="2806"/>
      <c r="EW952" s="2031"/>
      <c r="EX952" s="1619"/>
      <c r="EY952" s="1628"/>
      <c r="EZ952" s="1628"/>
      <c r="FA952" s="1628"/>
      <c r="FB952" s="1864" t="s">
        <v>8853</v>
      </c>
      <c r="FH952" s="1628"/>
      <c r="FU952" s="1678"/>
      <c r="FW952" s="1678"/>
    </row>
    <row r="953" spans="1:179" s="1484" customFormat="1" ht="15" x14ac:dyDescent="0.25">
      <c r="A953" s="1650"/>
      <c r="B953" s="1651"/>
      <c r="C953" s="2803" t="s">
        <v>872</v>
      </c>
      <c r="D953" s="2803"/>
      <c r="E953" s="2803"/>
      <c r="F953" s="1621"/>
      <c r="G953" s="1622"/>
      <c r="H953" s="1622"/>
      <c r="I953" s="1622"/>
      <c r="J953" s="1625"/>
      <c r="K953" s="1622"/>
      <c r="L953" s="1648">
        <v>122201.31</v>
      </c>
      <c r="M953" s="2037"/>
      <c r="N953" s="1649">
        <v>1116919.97</v>
      </c>
      <c r="EW953" s="2031"/>
      <c r="EX953" s="1619"/>
      <c r="EY953" s="1628"/>
      <c r="EZ953" s="1628"/>
      <c r="FA953" s="1628"/>
      <c r="FH953" s="1628" t="s">
        <v>872</v>
      </c>
      <c r="FU953" s="1678"/>
      <c r="FW953" s="1678"/>
    </row>
    <row r="954" spans="1:179" s="1484" customFormat="1" ht="33.75" x14ac:dyDescent="0.25">
      <c r="A954" s="1620" t="s">
        <v>1334</v>
      </c>
      <c r="B954" s="1863" t="s">
        <v>8148</v>
      </c>
      <c r="C954" s="2803" t="s">
        <v>8149</v>
      </c>
      <c r="D954" s="2803"/>
      <c r="E954" s="2803"/>
      <c r="F954" s="1621" t="s">
        <v>2555</v>
      </c>
      <c r="G954" s="1622">
        <v>14.361000000000001</v>
      </c>
      <c r="H954" s="1623">
        <v>1</v>
      </c>
      <c r="I954" s="2045">
        <v>14.361000000000001</v>
      </c>
      <c r="J954" s="1625"/>
      <c r="K954" s="1622"/>
      <c r="L954" s="1625"/>
      <c r="M954" s="1622"/>
      <c r="N954" s="1627"/>
      <c r="EW954" s="2031"/>
      <c r="EX954" s="1619"/>
      <c r="EY954" s="1628" t="s">
        <v>8149</v>
      </c>
      <c r="EZ954" s="1628" t="s">
        <v>588</v>
      </c>
      <c r="FA954" s="1628" t="s">
        <v>588</v>
      </c>
      <c r="FH954" s="1628"/>
      <c r="FU954" s="1678"/>
      <c r="FW954" s="1678"/>
    </row>
    <row r="955" spans="1:179" s="1484" customFormat="1" ht="15" x14ac:dyDescent="0.25">
      <c r="A955" s="1629"/>
      <c r="B955" s="1862"/>
      <c r="C955" s="2805" t="s">
        <v>8852</v>
      </c>
      <c r="D955" s="2805"/>
      <c r="E955" s="2805"/>
      <c r="F955" s="2805"/>
      <c r="G955" s="2805"/>
      <c r="H955" s="2805"/>
      <c r="I955" s="2805"/>
      <c r="J955" s="2805"/>
      <c r="K955" s="2805"/>
      <c r="L955" s="2805"/>
      <c r="M955" s="2805"/>
      <c r="N955" s="2806"/>
      <c r="EW955" s="2031"/>
      <c r="EX955" s="1619"/>
      <c r="EY955" s="1628"/>
      <c r="EZ955" s="1628"/>
      <c r="FA955" s="1628"/>
      <c r="FB955" s="1864" t="s">
        <v>8852</v>
      </c>
      <c r="FH955" s="1628"/>
      <c r="FU955" s="1678"/>
      <c r="FW955" s="1678"/>
    </row>
    <row r="956" spans="1:179" s="1484" customFormat="1" ht="22.5" x14ac:dyDescent="0.25">
      <c r="A956" s="1630"/>
      <c r="B956" s="1631" t="s">
        <v>6062</v>
      </c>
      <c r="C956" s="2809" t="s">
        <v>6063</v>
      </c>
      <c r="D956" s="2809"/>
      <c r="E956" s="2809"/>
      <c r="F956" s="2809"/>
      <c r="G956" s="2809"/>
      <c r="H956" s="2809"/>
      <c r="I956" s="2809"/>
      <c r="J956" s="2809"/>
      <c r="K956" s="2809"/>
      <c r="L956" s="2809"/>
      <c r="M956" s="2809"/>
      <c r="N956" s="2810"/>
      <c r="EW956" s="2031"/>
      <c r="EX956" s="1619"/>
      <c r="EY956" s="1628"/>
      <c r="EZ956" s="1628"/>
      <c r="FA956" s="1628"/>
      <c r="FC956" s="1864" t="s">
        <v>6063</v>
      </c>
      <c r="FH956" s="1628"/>
      <c r="FU956" s="1678"/>
      <c r="FW956" s="1678"/>
    </row>
    <row r="957" spans="1:179" s="1484" customFormat="1" ht="22.5" x14ac:dyDescent="0.25">
      <c r="A957" s="2033"/>
      <c r="B957" s="1631" t="s">
        <v>3260</v>
      </c>
      <c r="C957" s="2805" t="s">
        <v>8636</v>
      </c>
      <c r="D957" s="2805"/>
      <c r="E957" s="2805"/>
      <c r="F957" s="1683" t="s">
        <v>807</v>
      </c>
      <c r="G957" s="1655">
        <v>3.69</v>
      </c>
      <c r="H957" s="1641"/>
      <c r="I957" s="2042">
        <v>52.992089999999997</v>
      </c>
      <c r="J957" s="1654">
        <v>9.18</v>
      </c>
      <c r="K957" s="1655">
        <v>1.25</v>
      </c>
      <c r="L957" s="1654">
        <v>608.08000000000004</v>
      </c>
      <c r="M957" s="1641"/>
      <c r="N957" s="1681"/>
      <c r="EW957" s="2031"/>
      <c r="EX957" s="1619"/>
      <c r="EY957" s="1628"/>
      <c r="EZ957" s="1628"/>
      <c r="FA957" s="1628"/>
      <c r="FD957" s="1864" t="s">
        <v>8636</v>
      </c>
      <c r="FH957" s="1628"/>
      <c r="FU957" s="1678"/>
      <c r="FW957" s="1678"/>
    </row>
    <row r="958" spans="1:179" s="1484" customFormat="1" ht="22.5" x14ac:dyDescent="0.25">
      <c r="A958" s="2033"/>
      <c r="B958" s="1631" t="s">
        <v>5008</v>
      </c>
      <c r="C958" s="2805" t="s">
        <v>5009</v>
      </c>
      <c r="D958" s="2805"/>
      <c r="E958" s="2805"/>
      <c r="F958" s="1683" t="s">
        <v>4994</v>
      </c>
      <c r="G958" s="1655">
        <v>0.01</v>
      </c>
      <c r="H958" s="1641"/>
      <c r="I958" s="2042">
        <v>0.14360999999999999</v>
      </c>
      <c r="J958" s="1654">
        <v>27.66</v>
      </c>
      <c r="K958" s="1641"/>
      <c r="L958" s="1654">
        <v>3.97</v>
      </c>
      <c r="M958" s="1641"/>
      <c r="N958" s="1681"/>
      <c r="EW958" s="2031"/>
      <c r="EX958" s="1619"/>
      <c r="EY958" s="1628"/>
      <c r="EZ958" s="1628"/>
      <c r="FA958" s="1628"/>
      <c r="FD958" s="1864" t="s">
        <v>5009</v>
      </c>
      <c r="FH958" s="1628"/>
      <c r="FU958" s="1678"/>
      <c r="FW958" s="1678"/>
    </row>
    <row r="959" spans="1:179" s="1484" customFormat="1" ht="15" x14ac:dyDescent="0.25">
      <c r="A959" s="2033"/>
      <c r="B959" s="1631" t="s">
        <v>821</v>
      </c>
      <c r="C959" s="2805" t="s">
        <v>822</v>
      </c>
      <c r="D959" s="2805"/>
      <c r="E959" s="2805"/>
      <c r="F959" s="1683" t="s">
        <v>4994</v>
      </c>
      <c r="G959" s="1655">
        <v>0.04</v>
      </c>
      <c r="H959" s="1641"/>
      <c r="I959" s="2042">
        <v>0.57443999999999995</v>
      </c>
      <c r="J959" s="1654">
        <v>65.709999999999994</v>
      </c>
      <c r="K959" s="1641"/>
      <c r="L959" s="1654">
        <v>37.75</v>
      </c>
      <c r="M959" s="1641"/>
      <c r="N959" s="1681"/>
      <c r="EW959" s="2031"/>
      <c r="EX959" s="1619"/>
      <c r="EY959" s="1628"/>
      <c r="EZ959" s="1628"/>
      <c r="FA959" s="1628"/>
      <c r="FD959" s="1864" t="s">
        <v>822</v>
      </c>
      <c r="FH959" s="1628"/>
      <c r="FU959" s="1678"/>
      <c r="FW959" s="1678"/>
    </row>
    <row r="960" spans="1:179" s="1484" customFormat="1" ht="33.75" x14ac:dyDescent="0.25">
      <c r="A960" s="2033"/>
      <c r="B960" s="1631" t="s">
        <v>5029</v>
      </c>
      <c r="C960" s="2805" t="s">
        <v>5030</v>
      </c>
      <c r="D960" s="2805"/>
      <c r="E960" s="2805"/>
      <c r="F960" s="1683" t="s">
        <v>4994</v>
      </c>
      <c r="G960" s="1655">
        <v>2.82</v>
      </c>
      <c r="H960" s="1641"/>
      <c r="I960" s="2042">
        <v>40.498019999999997</v>
      </c>
      <c r="J960" s="1654">
        <v>6.82</v>
      </c>
      <c r="K960" s="1641"/>
      <c r="L960" s="1654">
        <v>276.2</v>
      </c>
      <c r="M960" s="1641"/>
      <c r="N960" s="1681"/>
      <c r="EW960" s="2031"/>
      <c r="EX960" s="1619"/>
      <c r="EY960" s="1628"/>
      <c r="EZ960" s="1628"/>
      <c r="FA960" s="1628"/>
      <c r="FD960" s="1864" t="s">
        <v>5030</v>
      </c>
      <c r="FH960" s="1628"/>
      <c r="FU960" s="1678"/>
      <c r="FW960" s="1678"/>
    </row>
    <row r="961" spans="1:179" s="1484" customFormat="1" ht="15" x14ac:dyDescent="0.25">
      <c r="A961" s="2033"/>
      <c r="B961" s="1631" t="s">
        <v>1755</v>
      </c>
      <c r="C961" s="2805" t="s">
        <v>2634</v>
      </c>
      <c r="D961" s="2805"/>
      <c r="E961" s="2805"/>
      <c r="F961" s="1683" t="s">
        <v>832</v>
      </c>
      <c r="G961" s="1655">
        <v>0.01</v>
      </c>
      <c r="H961" s="1641"/>
      <c r="I961" s="2042">
        <v>0.14360999999999999</v>
      </c>
      <c r="J961" s="1654">
        <v>2.44</v>
      </c>
      <c r="K961" s="1641"/>
      <c r="L961" s="1654">
        <v>0.35</v>
      </c>
      <c r="M961" s="1641"/>
      <c r="N961" s="1681"/>
      <c r="EW961" s="2031"/>
      <c r="EX961" s="1619"/>
      <c r="EY961" s="1628"/>
      <c r="EZ961" s="1628"/>
      <c r="FA961" s="1628"/>
      <c r="FD961" s="1864" t="s">
        <v>2634</v>
      </c>
      <c r="FH961" s="1628"/>
      <c r="FU961" s="1678"/>
      <c r="FW961" s="1678"/>
    </row>
    <row r="962" spans="1:179" s="1484" customFormat="1" ht="15" x14ac:dyDescent="0.25">
      <c r="A962" s="2033"/>
      <c r="B962" s="1631" t="s">
        <v>4922</v>
      </c>
      <c r="C962" s="2805" t="s">
        <v>8707</v>
      </c>
      <c r="D962" s="2805"/>
      <c r="E962" s="2805"/>
      <c r="F962" s="1683" t="s">
        <v>835</v>
      </c>
      <c r="G962" s="2034">
        <v>1</v>
      </c>
      <c r="H962" s="1641"/>
      <c r="I962" s="2046">
        <v>14.361000000000001</v>
      </c>
      <c r="J962" s="1654">
        <v>1.82</v>
      </c>
      <c r="K962" s="1641"/>
      <c r="L962" s="1654">
        <v>26.14</v>
      </c>
      <c r="M962" s="1641"/>
      <c r="N962" s="1681"/>
      <c r="EW962" s="2031"/>
      <c r="EX962" s="1619"/>
      <c r="EY962" s="1628"/>
      <c r="EZ962" s="1628"/>
      <c r="FA962" s="1628"/>
      <c r="FD962" s="1864" t="s">
        <v>8707</v>
      </c>
      <c r="FH962" s="1628"/>
      <c r="FU962" s="1678"/>
      <c r="FW962" s="1678"/>
    </row>
    <row r="963" spans="1:179" s="1484" customFormat="1" ht="15" x14ac:dyDescent="0.25">
      <c r="A963" s="2032"/>
      <c r="B963" s="1631" t="s">
        <v>190</v>
      </c>
      <c r="C963" s="2805" t="s">
        <v>2523</v>
      </c>
      <c r="D963" s="2805"/>
      <c r="E963" s="2805"/>
      <c r="F963" s="1683"/>
      <c r="G963" s="1641"/>
      <c r="H963" s="1641"/>
      <c r="I963" s="1641"/>
      <c r="J963" s="1654">
        <v>33.869999999999997</v>
      </c>
      <c r="K963" s="1655">
        <v>1.25</v>
      </c>
      <c r="L963" s="1654">
        <v>608.01</v>
      </c>
      <c r="M963" s="1655">
        <v>35.75</v>
      </c>
      <c r="N963" s="1679">
        <v>21736.36</v>
      </c>
      <c r="EW963" s="2031"/>
      <c r="EX963" s="1619"/>
      <c r="EY963" s="1628"/>
      <c r="EZ963" s="1628"/>
      <c r="FA963" s="1628"/>
      <c r="FE963" s="1864" t="s">
        <v>2523</v>
      </c>
      <c r="FH963" s="1628"/>
      <c r="FU963" s="1678"/>
      <c r="FW963" s="1678"/>
    </row>
    <row r="964" spans="1:179" s="1484" customFormat="1" ht="15" x14ac:dyDescent="0.25">
      <c r="A964" s="2032"/>
      <c r="B964" s="1631" t="s">
        <v>639</v>
      </c>
      <c r="C964" s="2805" t="s">
        <v>697</v>
      </c>
      <c r="D964" s="2805"/>
      <c r="E964" s="2805"/>
      <c r="F964" s="1683"/>
      <c r="G964" s="1641"/>
      <c r="H964" s="1641"/>
      <c r="I964" s="1641"/>
      <c r="J964" s="1654">
        <v>22.14</v>
      </c>
      <c r="K964" s="1641"/>
      <c r="L964" s="1654">
        <v>317.95</v>
      </c>
      <c r="M964" s="1655">
        <v>11.97</v>
      </c>
      <c r="N964" s="1679">
        <v>3805.86</v>
      </c>
      <c r="EW964" s="2031"/>
      <c r="EX964" s="1619"/>
      <c r="EY964" s="1628"/>
      <c r="EZ964" s="1628"/>
      <c r="FA964" s="1628"/>
      <c r="FE964" s="1864" t="s">
        <v>697</v>
      </c>
      <c r="FH964" s="1628"/>
      <c r="FU964" s="1678"/>
      <c r="FW964" s="1678"/>
    </row>
    <row r="965" spans="1:179" s="1484" customFormat="1" ht="15" x14ac:dyDescent="0.25">
      <c r="A965" s="2032"/>
      <c r="B965" s="1631" t="s">
        <v>640</v>
      </c>
      <c r="C965" s="2805" t="s">
        <v>2500</v>
      </c>
      <c r="D965" s="2805"/>
      <c r="E965" s="2805"/>
      <c r="F965" s="1683"/>
      <c r="G965" s="1641"/>
      <c r="H965" s="1641"/>
      <c r="I965" s="1641"/>
      <c r="J965" s="1654">
        <v>0.57999999999999996</v>
      </c>
      <c r="K965" s="1641"/>
      <c r="L965" s="1654">
        <v>8.33</v>
      </c>
      <c r="M965" s="1655">
        <v>35.75</v>
      </c>
      <c r="N965" s="2039">
        <v>297.8</v>
      </c>
      <c r="EW965" s="2031"/>
      <c r="EX965" s="1619"/>
      <c r="EY965" s="1628"/>
      <c r="EZ965" s="1628"/>
      <c r="FA965" s="1628"/>
      <c r="FE965" s="1864" t="s">
        <v>2500</v>
      </c>
      <c r="FH965" s="1628"/>
      <c r="FU965" s="1678"/>
      <c r="FW965" s="1678"/>
    </row>
    <row r="966" spans="1:179" s="1484" customFormat="1" ht="15" x14ac:dyDescent="0.25">
      <c r="A966" s="2032"/>
      <c r="B966" s="1631" t="s">
        <v>232</v>
      </c>
      <c r="C966" s="2805" t="s">
        <v>829</v>
      </c>
      <c r="D966" s="2805"/>
      <c r="E966" s="2805"/>
      <c r="F966" s="1683"/>
      <c r="G966" s="1641"/>
      <c r="H966" s="1641"/>
      <c r="I966" s="1641"/>
      <c r="J966" s="1654">
        <v>1.84</v>
      </c>
      <c r="K966" s="1641"/>
      <c r="L966" s="1654">
        <v>26.42</v>
      </c>
      <c r="M966" s="1655">
        <v>9.14</v>
      </c>
      <c r="N966" s="2039">
        <v>241.48</v>
      </c>
      <c r="EW966" s="2031"/>
      <c r="EX966" s="1619"/>
      <c r="EY966" s="1628"/>
      <c r="EZ966" s="1628"/>
      <c r="FA966" s="1628"/>
      <c r="FE966" s="1864" t="s">
        <v>829</v>
      </c>
      <c r="FH966" s="1628"/>
      <c r="FU966" s="1678"/>
      <c r="FW966" s="1678"/>
    </row>
    <row r="967" spans="1:179" s="1484" customFormat="1" ht="15" x14ac:dyDescent="0.25">
      <c r="A967" s="2033"/>
      <c r="B967" s="1631"/>
      <c r="C967" s="2805" t="s">
        <v>2524</v>
      </c>
      <c r="D967" s="2805"/>
      <c r="E967" s="2805"/>
      <c r="F967" s="1683" t="s">
        <v>807</v>
      </c>
      <c r="G967" s="1655">
        <v>3.69</v>
      </c>
      <c r="H967" s="1641"/>
      <c r="I967" s="2042">
        <v>52.992089999999997</v>
      </c>
      <c r="J967" s="1640"/>
      <c r="K967" s="1641"/>
      <c r="L967" s="1640"/>
      <c r="M967" s="1641"/>
      <c r="N967" s="1681"/>
      <c r="EW967" s="2031"/>
      <c r="EX967" s="1619"/>
      <c r="EY967" s="1628"/>
      <c r="EZ967" s="1628"/>
      <c r="FA967" s="1628"/>
      <c r="FF967" s="1864" t="s">
        <v>2524</v>
      </c>
      <c r="FH967" s="1628"/>
      <c r="FU967" s="1678"/>
      <c r="FW967" s="1678"/>
    </row>
    <row r="968" spans="1:179" s="1484" customFormat="1" ht="15" x14ac:dyDescent="0.25">
      <c r="A968" s="2033"/>
      <c r="B968" s="1631"/>
      <c r="C968" s="2805" t="s">
        <v>2501</v>
      </c>
      <c r="D968" s="2805"/>
      <c r="E968" s="2805"/>
      <c r="F968" s="1683" t="s">
        <v>807</v>
      </c>
      <c r="G968" s="1655">
        <v>0.05</v>
      </c>
      <c r="H968" s="1641"/>
      <c r="I968" s="2042">
        <v>0.71804999999999997</v>
      </c>
      <c r="J968" s="1640"/>
      <c r="K968" s="1641"/>
      <c r="L968" s="1640"/>
      <c r="M968" s="1641"/>
      <c r="N968" s="1681"/>
      <c r="EW968" s="2031"/>
      <c r="EX968" s="1619"/>
      <c r="EY968" s="1628"/>
      <c r="EZ968" s="1628"/>
      <c r="FA968" s="1628"/>
      <c r="FF968" s="1864" t="s">
        <v>2501</v>
      </c>
      <c r="FH968" s="1628"/>
      <c r="FU968" s="1678"/>
      <c r="FW968" s="1678"/>
    </row>
    <row r="969" spans="1:179" s="1484" customFormat="1" ht="15" x14ac:dyDescent="0.25">
      <c r="A969" s="2032"/>
      <c r="B969" s="1631"/>
      <c r="C969" s="2917" t="s">
        <v>2502</v>
      </c>
      <c r="D969" s="2917"/>
      <c r="E969" s="2917"/>
      <c r="F969" s="2036"/>
      <c r="G969" s="2037"/>
      <c r="H969" s="2037"/>
      <c r="I969" s="2037"/>
      <c r="J969" s="2044">
        <v>57.85</v>
      </c>
      <c r="K969" s="2037"/>
      <c r="L969" s="2044">
        <v>952.38</v>
      </c>
      <c r="M969" s="2037"/>
      <c r="N969" s="2068">
        <v>25783.7</v>
      </c>
      <c r="EW969" s="2031"/>
      <c r="EX969" s="1619"/>
      <c r="EY969" s="1628"/>
      <c r="EZ969" s="1628"/>
      <c r="FA969" s="1628"/>
      <c r="FG969" s="1864" t="s">
        <v>2502</v>
      </c>
      <c r="FH969" s="1628"/>
      <c r="FU969" s="1678"/>
      <c r="FW969" s="1678"/>
    </row>
    <row r="970" spans="1:179" s="1484" customFormat="1" ht="15" x14ac:dyDescent="0.25">
      <c r="A970" s="2033" t="s">
        <v>8150</v>
      </c>
      <c r="B970" s="1631"/>
      <c r="C970" s="2805" t="s">
        <v>7964</v>
      </c>
      <c r="D970" s="2805"/>
      <c r="E970" s="2805"/>
      <c r="F970" s="1683" t="s">
        <v>5928</v>
      </c>
      <c r="G970" s="1641"/>
      <c r="H970" s="1641"/>
      <c r="I970" s="1641"/>
      <c r="J970" s="1640"/>
      <c r="K970" s="1641"/>
      <c r="L970" s="1654">
        <v>2.08</v>
      </c>
      <c r="M970" s="1641"/>
      <c r="N970" s="2039">
        <v>74.36</v>
      </c>
      <c r="EW970" s="2031"/>
      <c r="EX970" s="1619"/>
      <c r="EY970" s="1628"/>
      <c r="EZ970" s="1628"/>
      <c r="FA970" s="1628"/>
      <c r="FF970" s="1864" t="s">
        <v>7964</v>
      </c>
      <c r="FH970" s="1628"/>
      <c r="FU970" s="1678"/>
      <c r="FW970" s="1678"/>
    </row>
    <row r="971" spans="1:179" s="1484" customFormat="1" ht="15" x14ac:dyDescent="0.25">
      <c r="A971" s="2033"/>
      <c r="B971" s="1631"/>
      <c r="C971" s="2805" t="s">
        <v>7965</v>
      </c>
      <c r="D971" s="2805"/>
      <c r="E971" s="2805"/>
      <c r="F971" s="1683" t="s">
        <v>5928</v>
      </c>
      <c r="G971" s="1641"/>
      <c r="H971" s="1641"/>
      <c r="I971" s="1641"/>
      <c r="J971" s="1654">
        <v>0.57999999999999996</v>
      </c>
      <c r="K971" s="1655">
        <v>0.25</v>
      </c>
      <c r="L971" s="1654">
        <v>2.08</v>
      </c>
      <c r="M971" s="1655">
        <v>35.75</v>
      </c>
      <c r="N971" s="2039">
        <v>74.36</v>
      </c>
      <c r="EW971" s="2031"/>
      <c r="EX971" s="1619"/>
      <c r="EY971" s="1628"/>
      <c r="EZ971" s="1628"/>
      <c r="FA971" s="1628"/>
      <c r="FF971" s="1864" t="s">
        <v>7965</v>
      </c>
      <c r="FH971" s="1628"/>
      <c r="FU971" s="1678"/>
      <c r="FW971" s="1678"/>
    </row>
    <row r="972" spans="1:179" s="1484" customFormat="1" ht="15" x14ac:dyDescent="0.25">
      <c r="A972" s="2033"/>
      <c r="B972" s="1631"/>
      <c r="C972" s="2805" t="s">
        <v>867</v>
      </c>
      <c r="D972" s="2805"/>
      <c r="E972" s="2805"/>
      <c r="F972" s="1683"/>
      <c r="G972" s="1641"/>
      <c r="H972" s="1641"/>
      <c r="I972" s="1641"/>
      <c r="J972" s="1640"/>
      <c r="K972" s="1641"/>
      <c r="L972" s="1654">
        <v>618.41999999999996</v>
      </c>
      <c r="M972" s="1641"/>
      <c r="N972" s="1679">
        <v>22108.52</v>
      </c>
      <c r="EW972" s="2031"/>
      <c r="EX972" s="1619"/>
      <c r="EY972" s="1628"/>
      <c r="EZ972" s="1628"/>
      <c r="FA972" s="1628"/>
      <c r="FF972" s="1864" t="s">
        <v>867</v>
      </c>
      <c r="FH972" s="1628"/>
      <c r="FU972" s="1678"/>
      <c r="FW972" s="1678"/>
    </row>
    <row r="973" spans="1:179" s="1484" customFormat="1" ht="15" x14ac:dyDescent="0.25">
      <c r="A973" s="2033"/>
      <c r="B973" s="1631" t="s">
        <v>7966</v>
      </c>
      <c r="C973" s="2805" t="s">
        <v>7967</v>
      </c>
      <c r="D973" s="2805"/>
      <c r="E973" s="2805"/>
      <c r="F973" s="1683" t="s">
        <v>636</v>
      </c>
      <c r="G973" s="2034">
        <v>100</v>
      </c>
      <c r="H973" s="1641"/>
      <c r="I973" s="2034">
        <v>100</v>
      </c>
      <c r="J973" s="1640"/>
      <c r="K973" s="1641"/>
      <c r="L973" s="1654">
        <v>618.41999999999996</v>
      </c>
      <c r="M973" s="1641"/>
      <c r="N973" s="1679">
        <v>22108.52</v>
      </c>
      <c r="EW973" s="2031"/>
      <c r="EX973" s="1619"/>
      <c r="EY973" s="1628"/>
      <c r="EZ973" s="1628"/>
      <c r="FA973" s="1628"/>
      <c r="FF973" s="1864" t="s">
        <v>7967</v>
      </c>
      <c r="FH973" s="1628"/>
      <c r="FU973" s="1678"/>
      <c r="FW973" s="1678"/>
    </row>
    <row r="974" spans="1:179" s="1484" customFormat="1" ht="15" x14ac:dyDescent="0.25">
      <c r="A974" s="2033"/>
      <c r="B974" s="1631" t="s">
        <v>7968</v>
      </c>
      <c r="C974" s="2805" t="s">
        <v>7969</v>
      </c>
      <c r="D974" s="2805"/>
      <c r="E974" s="2805"/>
      <c r="F974" s="1683" t="s">
        <v>636</v>
      </c>
      <c r="G974" s="2034">
        <v>49</v>
      </c>
      <c r="H974" s="1641"/>
      <c r="I974" s="2034">
        <v>49</v>
      </c>
      <c r="J974" s="1640"/>
      <c r="K974" s="1641"/>
      <c r="L974" s="1654">
        <v>303.02999999999997</v>
      </c>
      <c r="M974" s="1641"/>
      <c r="N974" s="1679">
        <v>10833.17</v>
      </c>
      <c r="EW974" s="2031"/>
      <c r="EX974" s="1619"/>
      <c r="EY974" s="1628"/>
      <c r="EZ974" s="1628"/>
      <c r="FA974" s="1628"/>
      <c r="FF974" s="1864" t="s">
        <v>7969</v>
      </c>
      <c r="FH974" s="1628"/>
      <c r="FU974" s="1678"/>
      <c r="FW974" s="1678"/>
    </row>
    <row r="975" spans="1:179" s="1484" customFormat="1" ht="15" x14ac:dyDescent="0.25">
      <c r="A975" s="1650"/>
      <c r="B975" s="1651"/>
      <c r="C975" s="2803" t="s">
        <v>872</v>
      </c>
      <c r="D975" s="2803"/>
      <c r="E975" s="2803"/>
      <c r="F975" s="1621"/>
      <c r="G975" s="1622"/>
      <c r="H975" s="1622"/>
      <c r="I975" s="1622"/>
      <c r="J975" s="1625"/>
      <c r="K975" s="1622"/>
      <c r="L975" s="1648">
        <v>1875.91</v>
      </c>
      <c r="M975" s="2037"/>
      <c r="N975" s="1649">
        <v>58799.75</v>
      </c>
      <c r="EW975" s="2031"/>
      <c r="EX975" s="1619"/>
      <c r="EY975" s="1628"/>
      <c r="EZ975" s="1628"/>
      <c r="FA975" s="1628"/>
      <c r="FH975" s="1628" t="s">
        <v>872</v>
      </c>
      <c r="FU975" s="1678"/>
      <c r="FW975" s="1678"/>
    </row>
    <row r="976" spans="1:179" s="1484" customFormat="1" ht="33.75" x14ac:dyDescent="0.25">
      <c r="A976" s="1620" t="s">
        <v>1336</v>
      </c>
      <c r="B976" s="1863" t="s">
        <v>8062</v>
      </c>
      <c r="C976" s="2803" t="s">
        <v>4978</v>
      </c>
      <c r="D976" s="2803"/>
      <c r="E976" s="2803"/>
      <c r="F976" s="1621" t="s">
        <v>835</v>
      </c>
      <c r="G976" s="1622">
        <v>198.18180000000001</v>
      </c>
      <c r="H976" s="1623">
        <v>1</v>
      </c>
      <c r="I976" s="2041">
        <v>198.18180000000001</v>
      </c>
      <c r="J976" s="2040">
        <v>13.08</v>
      </c>
      <c r="K976" s="1622"/>
      <c r="L976" s="1648">
        <v>2592.2199999999998</v>
      </c>
      <c r="M976" s="1687">
        <v>9.14</v>
      </c>
      <c r="N976" s="1649">
        <v>23692.89</v>
      </c>
      <c r="EW976" s="2031"/>
      <c r="EX976" s="1619"/>
      <c r="EY976" s="1628" t="s">
        <v>4978</v>
      </c>
      <c r="EZ976" s="1628" t="s">
        <v>588</v>
      </c>
      <c r="FA976" s="1628" t="s">
        <v>588</v>
      </c>
      <c r="FH976" s="1628"/>
      <c r="FU976" s="1678"/>
      <c r="FW976" s="1678"/>
    </row>
    <row r="977" spans="1:179" s="1484" customFormat="1" ht="15" x14ac:dyDescent="0.25">
      <c r="A977" s="1650"/>
      <c r="B977" s="1651"/>
      <c r="C977" s="2805" t="s">
        <v>8689</v>
      </c>
      <c r="D977" s="2805"/>
      <c r="E977" s="2805"/>
      <c r="F977" s="2805"/>
      <c r="G977" s="2805"/>
      <c r="H977" s="2805"/>
      <c r="I977" s="2805"/>
      <c r="J977" s="2805"/>
      <c r="K977" s="2805"/>
      <c r="L977" s="2805"/>
      <c r="M977" s="2805"/>
      <c r="N977" s="2806"/>
      <c r="EW977" s="2031"/>
      <c r="EX977" s="1619"/>
      <c r="EY977" s="1628"/>
      <c r="EZ977" s="1628"/>
      <c r="FA977" s="1628"/>
      <c r="FH977" s="1628"/>
      <c r="FI977" s="1864" t="s">
        <v>8689</v>
      </c>
      <c r="FJ977" s="1864" t="s">
        <v>588</v>
      </c>
      <c r="FK977" s="1864" t="s">
        <v>588</v>
      </c>
      <c r="FL977" s="1864" t="s">
        <v>588</v>
      </c>
      <c r="FM977" s="1864" t="s">
        <v>588</v>
      </c>
      <c r="FN977" s="1864" t="s">
        <v>588</v>
      </c>
      <c r="FO977" s="1864" t="s">
        <v>588</v>
      </c>
      <c r="FP977" s="1864" t="s">
        <v>588</v>
      </c>
      <c r="FQ977" s="1864" t="s">
        <v>588</v>
      </c>
      <c r="FR977" s="1864" t="s">
        <v>588</v>
      </c>
      <c r="FS977" s="1864" t="s">
        <v>588</v>
      </c>
      <c r="FT977" s="1864" t="s">
        <v>588</v>
      </c>
      <c r="FU977" s="1678"/>
      <c r="FW977" s="1678"/>
    </row>
    <row r="978" spans="1:179" s="1484" customFormat="1" ht="15" x14ac:dyDescent="0.25">
      <c r="A978" s="1650"/>
      <c r="B978" s="1651"/>
      <c r="C978" s="2803" t="s">
        <v>872</v>
      </c>
      <c r="D978" s="2803"/>
      <c r="E978" s="2803"/>
      <c r="F978" s="1621"/>
      <c r="G978" s="1622"/>
      <c r="H978" s="1622"/>
      <c r="I978" s="1622"/>
      <c r="J978" s="1625"/>
      <c r="K978" s="1622"/>
      <c r="L978" s="1648">
        <v>2592.2199999999998</v>
      </c>
      <c r="M978" s="2037"/>
      <c r="N978" s="1649">
        <v>23692.89</v>
      </c>
      <c r="EW978" s="2031"/>
      <c r="EX978" s="1619"/>
      <c r="EY978" s="1628"/>
      <c r="EZ978" s="1628"/>
      <c r="FA978" s="1628"/>
      <c r="FH978" s="1628" t="s">
        <v>872</v>
      </c>
      <c r="FU978" s="1678"/>
      <c r="FW978" s="1678"/>
    </row>
    <row r="979" spans="1:179" s="1484" customFormat="1" ht="22.5" x14ac:dyDescent="0.25">
      <c r="A979" s="1620" t="s">
        <v>1339</v>
      </c>
      <c r="B979" s="1863" t="s">
        <v>8052</v>
      </c>
      <c r="C979" s="2803" t="s">
        <v>8053</v>
      </c>
      <c r="D979" s="2803"/>
      <c r="E979" s="2803"/>
      <c r="F979" s="1621" t="s">
        <v>2555</v>
      </c>
      <c r="G979" s="1622">
        <v>0.11799999999999999</v>
      </c>
      <c r="H979" s="1623">
        <v>1</v>
      </c>
      <c r="I979" s="2045">
        <v>0.11799999999999999</v>
      </c>
      <c r="J979" s="1625"/>
      <c r="K979" s="1622"/>
      <c r="L979" s="1625"/>
      <c r="M979" s="1622"/>
      <c r="N979" s="1627"/>
      <c r="EW979" s="2031"/>
      <c r="EX979" s="1619"/>
      <c r="EY979" s="1628" t="s">
        <v>8053</v>
      </c>
      <c r="EZ979" s="1628" t="s">
        <v>588</v>
      </c>
      <c r="FA979" s="1628" t="s">
        <v>588</v>
      </c>
      <c r="FH979" s="1628"/>
      <c r="FU979" s="1678"/>
      <c r="FW979" s="1678"/>
    </row>
    <row r="980" spans="1:179" s="1484" customFormat="1" ht="15" x14ac:dyDescent="0.25">
      <c r="A980" s="1629"/>
      <c r="B980" s="1862"/>
      <c r="C980" s="2805" t="s">
        <v>8851</v>
      </c>
      <c r="D980" s="2805"/>
      <c r="E980" s="2805"/>
      <c r="F980" s="2805"/>
      <c r="G980" s="2805"/>
      <c r="H980" s="2805"/>
      <c r="I980" s="2805"/>
      <c r="J980" s="2805"/>
      <c r="K980" s="2805"/>
      <c r="L980" s="2805"/>
      <c r="M980" s="2805"/>
      <c r="N980" s="2806"/>
      <c r="EW980" s="2031"/>
      <c r="EX980" s="1619"/>
      <c r="EY980" s="1628"/>
      <c r="EZ980" s="1628"/>
      <c r="FA980" s="1628"/>
      <c r="FB980" s="1864" t="s">
        <v>8851</v>
      </c>
      <c r="FH980" s="1628"/>
      <c r="FU980" s="1678"/>
      <c r="FW980" s="1678"/>
    </row>
    <row r="981" spans="1:179" s="1484" customFormat="1" ht="22.5" x14ac:dyDescent="0.25">
      <c r="A981" s="1630"/>
      <c r="B981" s="1631" t="s">
        <v>6062</v>
      </c>
      <c r="C981" s="2809" t="s">
        <v>6063</v>
      </c>
      <c r="D981" s="2809"/>
      <c r="E981" s="2809"/>
      <c r="F981" s="2809"/>
      <c r="G981" s="2809"/>
      <c r="H981" s="2809"/>
      <c r="I981" s="2809"/>
      <c r="J981" s="2809"/>
      <c r="K981" s="2809"/>
      <c r="L981" s="2809"/>
      <c r="M981" s="2809"/>
      <c r="N981" s="2810"/>
      <c r="EW981" s="2031"/>
      <c r="EX981" s="1619"/>
      <c r="EY981" s="1628"/>
      <c r="EZ981" s="1628"/>
      <c r="FA981" s="1628"/>
      <c r="FC981" s="1864" t="s">
        <v>6063</v>
      </c>
      <c r="FH981" s="1628"/>
      <c r="FU981" s="1678"/>
      <c r="FW981" s="1678"/>
    </row>
    <row r="982" spans="1:179" s="1484" customFormat="1" ht="22.5" x14ac:dyDescent="0.25">
      <c r="A982" s="2033"/>
      <c r="B982" s="1631" t="s">
        <v>3204</v>
      </c>
      <c r="C982" s="2805" t="s">
        <v>8647</v>
      </c>
      <c r="D982" s="2805"/>
      <c r="E982" s="2805"/>
      <c r="F982" s="1683" t="s">
        <v>807</v>
      </c>
      <c r="G982" s="1655">
        <v>234.92</v>
      </c>
      <c r="H982" s="1641"/>
      <c r="I982" s="2042">
        <v>27.720559999999999</v>
      </c>
      <c r="J982" s="1654">
        <v>8.74</v>
      </c>
      <c r="K982" s="1655">
        <v>1.25</v>
      </c>
      <c r="L982" s="1654">
        <v>302.85000000000002</v>
      </c>
      <c r="M982" s="1641"/>
      <c r="N982" s="1681"/>
      <c r="EW982" s="2031"/>
      <c r="EX982" s="1619"/>
      <c r="EY982" s="1628"/>
      <c r="EZ982" s="1628"/>
      <c r="FA982" s="1628"/>
      <c r="FD982" s="1864" t="s">
        <v>8647</v>
      </c>
      <c r="FH982" s="1628"/>
      <c r="FU982" s="1678"/>
      <c r="FW982" s="1678"/>
    </row>
    <row r="983" spans="1:179" s="1484" customFormat="1" ht="15" x14ac:dyDescent="0.25">
      <c r="A983" s="2033"/>
      <c r="B983" s="1631" t="s">
        <v>5000</v>
      </c>
      <c r="C983" s="2805" t="s">
        <v>5001</v>
      </c>
      <c r="D983" s="2805"/>
      <c r="E983" s="2805"/>
      <c r="F983" s="1683" t="s">
        <v>4994</v>
      </c>
      <c r="G983" s="1655">
        <v>0.02</v>
      </c>
      <c r="H983" s="1641"/>
      <c r="I983" s="2042">
        <v>2.3600000000000001E-3</v>
      </c>
      <c r="J983" s="1654">
        <v>83.43</v>
      </c>
      <c r="K983" s="1641"/>
      <c r="L983" s="1654">
        <v>0.2</v>
      </c>
      <c r="M983" s="1641"/>
      <c r="N983" s="1681"/>
      <c r="EW983" s="2031"/>
      <c r="EX983" s="1619"/>
      <c r="EY983" s="1628"/>
      <c r="EZ983" s="1628"/>
      <c r="FA983" s="1628"/>
      <c r="FD983" s="1864" t="s">
        <v>5001</v>
      </c>
      <c r="FH983" s="1628"/>
      <c r="FU983" s="1678"/>
      <c r="FW983" s="1678"/>
    </row>
    <row r="984" spans="1:179" s="1484" customFormat="1" ht="22.5" x14ac:dyDescent="0.25">
      <c r="A984" s="2033"/>
      <c r="B984" s="1631" t="s">
        <v>817</v>
      </c>
      <c r="C984" s="2805" t="s">
        <v>818</v>
      </c>
      <c r="D984" s="2805"/>
      <c r="E984" s="2805"/>
      <c r="F984" s="1683" t="s">
        <v>4994</v>
      </c>
      <c r="G984" s="1655">
        <v>0.01</v>
      </c>
      <c r="H984" s="1641"/>
      <c r="I984" s="2042">
        <v>1.1800000000000001E-3</v>
      </c>
      <c r="J984" s="1654">
        <v>115.4</v>
      </c>
      <c r="K984" s="1641"/>
      <c r="L984" s="1654">
        <v>0.14000000000000001</v>
      </c>
      <c r="M984" s="1641"/>
      <c r="N984" s="1681"/>
      <c r="EW984" s="2031"/>
      <c r="EX984" s="1619"/>
      <c r="EY984" s="1628"/>
      <c r="EZ984" s="1628"/>
      <c r="FA984" s="1628"/>
      <c r="FD984" s="1864" t="s">
        <v>818</v>
      </c>
      <c r="FH984" s="1628"/>
      <c r="FU984" s="1678"/>
      <c r="FW984" s="1678"/>
    </row>
    <row r="985" spans="1:179" s="1484" customFormat="1" ht="22.5" x14ac:dyDescent="0.25">
      <c r="A985" s="2033"/>
      <c r="B985" s="1631" t="s">
        <v>5016</v>
      </c>
      <c r="C985" s="2805" t="s">
        <v>5017</v>
      </c>
      <c r="D985" s="2805"/>
      <c r="E985" s="2805"/>
      <c r="F985" s="1683" t="s">
        <v>4994</v>
      </c>
      <c r="G985" s="1655">
        <v>1.69</v>
      </c>
      <c r="H985" s="1641"/>
      <c r="I985" s="2042">
        <v>0.19941999999999999</v>
      </c>
      <c r="J985" s="1654">
        <v>12.39</v>
      </c>
      <c r="K985" s="1641"/>
      <c r="L985" s="1654">
        <v>2.4700000000000002</v>
      </c>
      <c r="M985" s="1641"/>
      <c r="N985" s="1681"/>
      <c r="EW985" s="2031"/>
      <c r="EX985" s="1619"/>
      <c r="EY985" s="1628"/>
      <c r="EZ985" s="1628"/>
      <c r="FA985" s="1628"/>
      <c r="FD985" s="1864" t="s">
        <v>5017</v>
      </c>
      <c r="FH985" s="1628"/>
      <c r="FU985" s="1678"/>
      <c r="FW985" s="1678"/>
    </row>
    <row r="986" spans="1:179" s="1484" customFormat="1" ht="15" x14ac:dyDescent="0.25">
      <c r="A986" s="2033"/>
      <c r="B986" s="1631" t="s">
        <v>821</v>
      </c>
      <c r="C986" s="2805" t="s">
        <v>822</v>
      </c>
      <c r="D986" s="2805"/>
      <c r="E986" s="2805"/>
      <c r="F986" s="1683" t="s">
        <v>4994</v>
      </c>
      <c r="G986" s="1655">
        <v>0.01</v>
      </c>
      <c r="H986" s="1641"/>
      <c r="I986" s="2042">
        <v>1.1800000000000001E-3</v>
      </c>
      <c r="J986" s="1654">
        <v>65.709999999999994</v>
      </c>
      <c r="K986" s="1641"/>
      <c r="L986" s="1654">
        <v>0.08</v>
      </c>
      <c r="M986" s="1641"/>
      <c r="N986" s="1681"/>
      <c r="EW986" s="2031"/>
      <c r="EX986" s="1619"/>
      <c r="EY986" s="1628"/>
      <c r="EZ986" s="1628"/>
      <c r="FA986" s="1628"/>
      <c r="FD986" s="1864" t="s">
        <v>822</v>
      </c>
      <c r="FH986" s="1628"/>
      <c r="FU986" s="1678"/>
      <c r="FW986" s="1678"/>
    </row>
    <row r="987" spans="1:179" s="1484" customFormat="1" ht="15" x14ac:dyDescent="0.25">
      <c r="A987" s="2033"/>
      <c r="B987" s="1631" t="s">
        <v>1755</v>
      </c>
      <c r="C987" s="2805" t="s">
        <v>2634</v>
      </c>
      <c r="D987" s="2805"/>
      <c r="E987" s="2805"/>
      <c r="F987" s="1683" t="s">
        <v>832</v>
      </c>
      <c r="G987" s="1655">
        <v>0.44</v>
      </c>
      <c r="H987" s="1641"/>
      <c r="I987" s="2042">
        <v>5.1920000000000001E-2</v>
      </c>
      <c r="J987" s="1654">
        <v>2.44</v>
      </c>
      <c r="K987" s="1641"/>
      <c r="L987" s="1654">
        <v>0.13</v>
      </c>
      <c r="M987" s="1641"/>
      <c r="N987" s="1681"/>
      <c r="EW987" s="2031"/>
      <c r="EX987" s="1619"/>
      <c r="EY987" s="1628"/>
      <c r="EZ987" s="1628"/>
      <c r="FA987" s="1628"/>
      <c r="FD987" s="1864" t="s">
        <v>2634</v>
      </c>
      <c r="FH987" s="1628"/>
      <c r="FU987" s="1678"/>
      <c r="FW987" s="1678"/>
    </row>
    <row r="988" spans="1:179" s="1484" customFormat="1" ht="33.75" x14ac:dyDescent="0.25">
      <c r="A988" s="2033"/>
      <c r="B988" s="1631" t="s">
        <v>4940</v>
      </c>
      <c r="C988" s="2805" t="s">
        <v>4941</v>
      </c>
      <c r="D988" s="2805"/>
      <c r="E988" s="2805"/>
      <c r="F988" s="1683" t="s">
        <v>801</v>
      </c>
      <c r="G988" s="2046">
        <v>8.9999999999999993E-3</v>
      </c>
      <c r="H988" s="1641"/>
      <c r="I988" s="2043">
        <v>1.062E-3</v>
      </c>
      <c r="J988" s="1657">
        <v>6513</v>
      </c>
      <c r="K988" s="1641"/>
      <c r="L988" s="1654">
        <v>6.92</v>
      </c>
      <c r="M988" s="1641"/>
      <c r="N988" s="1681"/>
      <c r="EW988" s="2031"/>
      <c r="EX988" s="1619"/>
      <c r="EY988" s="1628"/>
      <c r="EZ988" s="1628"/>
      <c r="FA988" s="1628"/>
      <c r="FD988" s="1864" t="s">
        <v>4941</v>
      </c>
      <c r="FH988" s="1628"/>
      <c r="FU988" s="1678"/>
      <c r="FW988" s="1678"/>
    </row>
    <row r="989" spans="1:179" s="1484" customFormat="1" ht="15" x14ac:dyDescent="0.25">
      <c r="A989" s="2032"/>
      <c r="B989" s="1631" t="s">
        <v>190</v>
      </c>
      <c r="C989" s="2805" t="s">
        <v>2523</v>
      </c>
      <c r="D989" s="2805"/>
      <c r="E989" s="2805"/>
      <c r="F989" s="1683"/>
      <c r="G989" s="1641"/>
      <c r="H989" s="1641"/>
      <c r="I989" s="1641"/>
      <c r="J989" s="1657">
        <v>2053.1999999999998</v>
      </c>
      <c r="K989" s="1655">
        <v>1.25</v>
      </c>
      <c r="L989" s="1654">
        <v>302.85000000000002</v>
      </c>
      <c r="M989" s="1655">
        <v>35.75</v>
      </c>
      <c r="N989" s="1679">
        <v>10826.89</v>
      </c>
      <c r="EW989" s="2031"/>
      <c r="EX989" s="1619"/>
      <c r="EY989" s="1628"/>
      <c r="EZ989" s="1628"/>
      <c r="FA989" s="1628"/>
      <c r="FE989" s="1864" t="s">
        <v>2523</v>
      </c>
      <c r="FH989" s="1628"/>
      <c r="FU989" s="1678"/>
      <c r="FW989" s="1678"/>
    </row>
    <row r="990" spans="1:179" s="1484" customFormat="1" ht="15" x14ac:dyDescent="0.25">
      <c r="A990" s="2032"/>
      <c r="B990" s="1631" t="s">
        <v>639</v>
      </c>
      <c r="C990" s="2805" t="s">
        <v>697</v>
      </c>
      <c r="D990" s="2805"/>
      <c r="E990" s="2805"/>
      <c r="F990" s="1683"/>
      <c r="G990" s="1641"/>
      <c r="H990" s="1641"/>
      <c r="I990" s="1641"/>
      <c r="J990" s="1654">
        <v>24.42</v>
      </c>
      <c r="K990" s="1641"/>
      <c r="L990" s="1654">
        <v>2.88</v>
      </c>
      <c r="M990" s="1655">
        <v>11.97</v>
      </c>
      <c r="N990" s="2039">
        <v>34.47</v>
      </c>
      <c r="EW990" s="2031"/>
      <c r="EX990" s="1619"/>
      <c r="EY990" s="1628"/>
      <c r="EZ990" s="1628"/>
      <c r="FA990" s="1628"/>
      <c r="FE990" s="1864" t="s">
        <v>697</v>
      </c>
      <c r="FH990" s="1628"/>
      <c r="FU990" s="1678"/>
      <c r="FW990" s="1678"/>
    </row>
    <row r="991" spans="1:179" s="1484" customFormat="1" ht="15" x14ac:dyDescent="0.25">
      <c r="A991" s="2032"/>
      <c r="B991" s="1631" t="s">
        <v>640</v>
      </c>
      <c r="C991" s="2805" t="s">
        <v>2500</v>
      </c>
      <c r="D991" s="2805"/>
      <c r="E991" s="2805"/>
      <c r="F991" s="1683"/>
      <c r="G991" s="1641"/>
      <c r="H991" s="1641"/>
      <c r="I991" s="1641"/>
      <c r="J991" s="1654">
        <v>17.53</v>
      </c>
      <c r="K991" s="1641"/>
      <c r="L991" s="1654">
        <v>2.0699999999999998</v>
      </c>
      <c r="M991" s="1655">
        <v>35.75</v>
      </c>
      <c r="N991" s="2039">
        <v>74</v>
      </c>
      <c r="EW991" s="2031"/>
      <c r="EX991" s="1619"/>
      <c r="EY991" s="1628"/>
      <c r="EZ991" s="1628"/>
      <c r="FA991" s="1628"/>
      <c r="FE991" s="1864" t="s">
        <v>2500</v>
      </c>
      <c r="FH991" s="1628"/>
      <c r="FU991" s="1678"/>
      <c r="FW991" s="1678"/>
    </row>
    <row r="992" spans="1:179" s="1484" customFormat="1" ht="15" x14ac:dyDescent="0.25">
      <c r="A992" s="2032"/>
      <c r="B992" s="1631" t="s">
        <v>232</v>
      </c>
      <c r="C992" s="2805" t="s">
        <v>829</v>
      </c>
      <c r="D992" s="2805"/>
      <c r="E992" s="2805"/>
      <c r="F992" s="1683"/>
      <c r="G992" s="1641"/>
      <c r="H992" s="1641"/>
      <c r="I992" s="1641"/>
      <c r="J992" s="1654">
        <v>59.69</v>
      </c>
      <c r="K992" s="1641"/>
      <c r="L992" s="1654">
        <v>7.04</v>
      </c>
      <c r="M992" s="1655">
        <v>9.14</v>
      </c>
      <c r="N992" s="2039">
        <v>64.349999999999994</v>
      </c>
      <c r="EW992" s="2031"/>
      <c r="EX992" s="1619"/>
      <c r="EY992" s="1628"/>
      <c r="EZ992" s="1628"/>
      <c r="FA992" s="1628"/>
      <c r="FE992" s="1864" t="s">
        <v>829</v>
      </c>
      <c r="FH992" s="1628"/>
      <c r="FU992" s="1678"/>
      <c r="FW992" s="1678"/>
    </row>
    <row r="993" spans="1:179" s="1484" customFormat="1" ht="15" x14ac:dyDescent="0.25">
      <c r="A993" s="2033"/>
      <c r="B993" s="1631"/>
      <c r="C993" s="2805" t="s">
        <v>2524</v>
      </c>
      <c r="D993" s="2805"/>
      <c r="E993" s="2805"/>
      <c r="F993" s="1683" t="s">
        <v>807</v>
      </c>
      <c r="G993" s="1655">
        <v>234.92</v>
      </c>
      <c r="H993" s="1641"/>
      <c r="I993" s="2042">
        <v>27.720559999999999</v>
      </c>
      <c r="J993" s="1640"/>
      <c r="K993" s="1641"/>
      <c r="L993" s="1640"/>
      <c r="M993" s="1641"/>
      <c r="N993" s="1681"/>
      <c r="EW993" s="2031"/>
      <c r="EX993" s="1619"/>
      <c r="EY993" s="1628"/>
      <c r="EZ993" s="1628"/>
      <c r="FA993" s="1628"/>
      <c r="FF993" s="1864" t="s">
        <v>2524</v>
      </c>
      <c r="FH993" s="1628"/>
      <c r="FU993" s="1678"/>
      <c r="FW993" s="1678"/>
    </row>
    <row r="994" spans="1:179" s="1484" customFormat="1" ht="15" x14ac:dyDescent="0.25">
      <c r="A994" s="2033"/>
      <c r="B994" s="1631"/>
      <c r="C994" s="2805" t="s">
        <v>2501</v>
      </c>
      <c r="D994" s="2805"/>
      <c r="E994" s="2805"/>
      <c r="F994" s="1683" t="s">
        <v>807</v>
      </c>
      <c r="G994" s="1655">
        <v>1.73</v>
      </c>
      <c r="H994" s="1641"/>
      <c r="I994" s="2042">
        <v>0.20413999999999999</v>
      </c>
      <c r="J994" s="1640"/>
      <c r="K994" s="1641"/>
      <c r="L994" s="1640"/>
      <c r="M994" s="1641"/>
      <c r="N994" s="1681"/>
      <c r="EW994" s="2031"/>
      <c r="EX994" s="1619"/>
      <c r="EY994" s="1628"/>
      <c r="EZ994" s="1628"/>
      <c r="FA994" s="1628"/>
      <c r="FF994" s="1864" t="s">
        <v>2501</v>
      </c>
      <c r="FH994" s="1628"/>
      <c r="FU994" s="1678"/>
      <c r="FW994" s="1678"/>
    </row>
    <row r="995" spans="1:179" s="1484" customFormat="1" ht="15" x14ac:dyDescent="0.25">
      <c r="A995" s="2032"/>
      <c r="B995" s="1631"/>
      <c r="C995" s="2917" t="s">
        <v>2502</v>
      </c>
      <c r="D995" s="2917"/>
      <c r="E995" s="2917"/>
      <c r="F995" s="2036"/>
      <c r="G995" s="2037"/>
      <c r="H995" s="2037"/>
      <c r="I995" s="2037"/>
      <c r="J995" s="2038">
        <v>2137.31</v>
      </c>
      <c r="K995" s="2037"/>
      <c r="L995" s="2044">
        <v>312.77</v>
      </c>
      <c r="M995" s="2037"/>
      <c r="N995" s="2068">
        <v>10925.71</v>
      </c>
      <c r="EW995" s="2031"/>
      <c r="EX995" s="1619"/>
      <c r="EY995" s="1628"/>
      <c r="EZ995" s="1628"/>
      <c r="FA995" s="1628"/>
      <c r="FG995" s="1864" t="s">
        <v>2502</v>
      </c>
      <c r="FH995" s="1628"/>
      <c r="FU995" s="1678"/>
      <c r="FW995" s="1678"/>
    </row>
    <row r="996" spans="1:179" s="1484" customFormat="1" ht="15" x14ac:dyDescent="0.25">
      <c r="A996" s="2033" t="s">
        <v>8151</v>
      </c>
      <c r="B996" s="1631"/>
      <c r="C996" s="2805" t="s">
        <v>7964</v>
      </c>
      <c r="D996" s="2805"/>
      <c r="E996" s="2805"/>
      <c r="F996" s="1683" t="s">
        <v>5928</v>
      </c>
      <c r="G996" s="1641"/>
      <c r="H996" s="1641"/>
      <c r="I996" s="1641"/>
      <c r="J996" s="1640"/>
      <c r="K996" s="1641"/>
      <c r="L996" s="1654">
        <v>0.52</v>
      </c>
      <c r="M996" s="1641"/>
      <c r="N996" s="2039">
        <v>18.59</v>
      </c>
      <c r="EW996" s="2031"/>
      <c r="EX996" s="1619"/>
      <c r="EY996" s="1628"/>
      <c r="EZ996" s="1628"/>
      <c r="FA996" s="1628"/>
      <c r="FF996" s="1864" t="s">
        <v>7964</v>
      </c>
      <c r="FH996" s="1628"/>
      <c r="FU996" s="1678"/>
      <c r="FW996" s="1678"/>
    </row>
    <row r="997" spans="1:179" s="1484" customFormat="1" ht="15" x14ac:dyDescent="0.25">
      <c r="A997" s="2033"/>
      <c r="B997" s="1631"/>
      <c r="C997" s="2805" t="s">
        <v>7965</v>
      </c>
      <c r="D997" s="2805"/>
      <c r="E997" s="2805"/>
      <c r="F997" s="1683" t="s">
        <v>5928</v>
      </c>
      <c r="G997" s="1641"/>
      <c r="H997" s="1641"/>
      <c r="I997" s="1641"/>
      <c r="J997" s="1654">
        <v>17.53</v>
      </c>
      <c r="K997" s="1655">
        <v>0.25</v>
      </c>
      <c r="L997" s="1654">
        <v>0.52</v>
      </c>
      <c r="M997" s="1655">
        <v>35.75</v>
      </c>
      <c r="N997" s="2039">
        <v>18.59</v>
      </c>
      <c r="EW997" s="2031"/>
      <c r="EX997" s="1619"/>
      <c r="EY997" s="1628"/>
      <c r="EZ997" s="1628"/>
      <c r="FA997" s="1628"/>
      <c r="FF997" s="1864" t="s">
        <v>7965</v>
      </c>
      <c r="FH997" s="1628"/>
      <c r="FU997" s="1678"/>
      <c r="FW997" s="1678"/>
    </row>
    <row r="998" spans="1:179" s="1484" customFormat="1" ht="15" x14ac:dyDescent="0.25">
      <c r="A998" s="2033"/>
      <c r="B998" s="1631"/>
      <c r="C998" s="2805" t="s">
        <v>867</v>
      </c>
      <c r="D998" s="2805"/>
      <c r="E998" s="2805"/>
      <c r="F998" s="1683"/>
      <c r="G998" s="1641"/>
      <c r="H998" s="1641"/>
      <c r="I998" s="1641"/>
      <c r="J998" s="1640"/>
      <c r="K998" s="1641"/>
      <c r="L998" s="1654">
        <v>305.44</v>
      </c>
      <c r="M998" s="1641"/>
      <c r="N998" s="1679">
        <v>10919.48</v>
      </c>
      <c r="EW998" s="2031"/>
      <c r="EX998" s="1619"/>
      <c r="EY998" s="1628"/>
      <c r="EZ998" s="1628"/>
      <c r="FA998" s="1628"/>
      <c r="FF998" s="1864" t="s">
        <v>867</v>
      </c>
      <c r="FH998" s="1628"/>
      <c r="FU998" s="1678"/>
      <c r="FW998" s="1678"/>
    </row>
    <row r="999" spans="1:179" s="1484" customFormat="1" ht="15" x14ac:dyDescent="0.25">
      <c r="A999" s="2033"/>
      <c r="B999" s="1631" t="s">
        <v>8054</v>
      </c>
      <c r="C999" s="2805" t="s">
        <v>8055</v>
      </c>
      <c r="D999" s="2805"/>
      <c r="E999" s="2805"/>
      <c r="F999" s="1683" t="s">
        <v>636</v>
      </c>
      <c r="G999" s="2034">
        <v>112</v>
      </c>
      <c r="H999" s="1641"/>
      <c r="I999" s="2034">
        <v>112</v>
      </c>
      <c r="J999" s="1640"/>
      <c r="K999" s="1641"/>
      <c r="L999" s="1654">
        <v>342.09</v>
      </c>
      <c r="M999" s="1641"/>
      <c r="N999" s="1679">
        <v>12229.82</v>
      </c>
      <c r="EW999" s="2031"/>
      <c r="EX999" s="1619"/>
      <c r="EY999" s="1628"/>
      <c r="EZ999" s="1628"/>
      <c r="FA999" s="1628"/>
      <c r="FF999" s="1864" t="s">
        <v>8055</v>
      </c>
      <c r="FH999" s="1628"/>
      <c r="FU999" s="1678"/>
      <c r="FW999" s="1678"/>
    </row>
    <row r="1000" spans="1:179" s="1484" customFormat="1" ht="15" x14ac:dyDescent="0.25">
      <c r="A1000" s="2033"/>
      <c r="B1000" s="1631" t="s">
        <v>8056</v>
      </c>
      <c r="C1000" s="2805" t="s">
        <v>8057</v>
      </c>
      <c r="D1000" s="2805"/>
      <c r="E1000" s="2805"/>
      <c r="F1000" s="1683" t="s">
        <v>636</v>
      </c>
      <c r="G1000" s="2034">
        <v>65</v>
      </c>
      <c r="H1000" s="1641"/>
      <c r="I1000" s="2034">
        <v>65</v>
      </c>
      <c r="J1000" s="1640"/>
      <c r="K1000" s="1641"/>
      <c r="L1000" s="1654">
        <v>198.54</v>
      </c>
      <c r="M1000" s="1641"/>
      <c r="N1000" s="1679">
        <v>7097.66</v>
      </c>
      <c r="EW1000" s="2031"/>
      <c r="EX1000" s="1619"/>
      <c r="EY1000" s="1628"/>
      <c r="EZ1000" s="1628"/>
      <c r="FA1000" s="1628"/>
      <c r="FF1000" s="1864" t="s">
        <v>8057</v>
      </c>
      <c r="FH1000" s="1628"/>
      <c r="FU1000" s="1678"/>
      <c r="FW1000" s="1678"/>
    </row>
    <row r="1001" spans="1:179" s="1484" customFormat="1" ht="15" x14ac:dyDescent="0.25">
      <c r="A1001" s="1650"/>
      <c r="B1001" s="1651"/>
      <c r="C1001" s="2803" t="s">
        <v>872</v>
      </c>
      <c r="D1001" s="2803"/>
      <c r="E1001" s="2803"/>
      <c r="F1001" s="1621"/>
      <c r="G1001" s="1622"/>
      <c r="H1001" s="1622"/>
      <c r="I1001" s="1622"/>
      <c r="J1001" s="1625"/>
      <c r="K1001" s="1622"/>
      <c r="L1001" s="2040">
        <v>853.92</v>
      </c>
      <c r="M1001" s="2037"/>
      <c r="N1001" s="1649">
        <v>30271.78</v>
      </c>
      <c r="EW1001" s="2031"/>
      <c r="EX1001" s="1619"/>
      <c r="EY1001" s="1628"/>
      <c r="EZ1001" s="1628"/>
      <c r="FA1001" s="1628"/>
      <c r="FH1001" s="1628" t="s">
        <v>872</v>
      </c>
      <c r="FU1001" s="1678"/>
      <c r="FW1001" s="1678"/>
    </row>
    <row r="1002" spans="1:179" s="1484" customFormat="1" ht="15" x14ac:dyDescent="0.25">
      <c r="A1002" s="1620" t="s">
        <v>1342</v>
      </c>
      <c r="B1002" s="1863" t="s">
        <v>8152</v>
      </c>
      <c r="C1002" s="2803" t="s">
        <v>8153</v>
      </c>
      <c r="D1002" s="2803"/>
      <c r="E1002" s="2803"/>
      <c r="F1002" s="1621" t="s">
        <v>832</v>
      </c>
      <c r="G1002" s="1622">
        <v>1.1800000000000001E-3</v>
      </c>
      <c r="H1002" s="1623">
        <v>1</v>
      </c>
      <c r="I1002" s="2048">
        <v>1.1800000000000001E-3</v>
      </c>
      <c r="J1002" s="1648">
        <v>2500</v>
      </c>
      <c r="K1002" s="1622"/>
      <c r="L1002" s="2040">
        <v>2.95</v>
      </c>
      <c r="M1002" s="1687">
        <v>9.14</v>
      </c>
      <c r="N1002" s="2069">
        <v>26.96</v>
      </c>
      <c r="EW1002" s="2031"/>
      <c r="EX1002" s="1619"/>
      <c r="EY1002" s="1628" t="s">
        <v>8153</v>
      </c>
      <c r="EZ1002" s="1628" t="s">
        <v>588</v>
      </c>
      <c r="FA1002" s="1628" t="s">
        <v>588</v>
      </c>
      <c r="FH1002" s="1628"/>
      <c r="FU1002" s="1678"/>
      <c r="FW1002" s="1678"/>
    </row>
    <row r="1003" spans="1:179" s="1484" customFormat="1" ht="15" x14ac:dyDescent="0.25">
      <c r="A1003" s="1650"/>
      <c r="B1003" s="1651"/>
      <c r="C1003" s="2805" t="s">
        <v>8722</v>
      </c>
      <c r="D1003" s="2805"/>
      <c r="E1003" s="2805"/>
      <c r="F1003" s="2805"/>
      <c r="G1003" s="2805"/>
      <c r="H1003" s="2805"/>
      <c r="I1003" s="2805"/>
      <c r="J1003" s="2805"/>
      <c r="K1003" s="2805"/>
      <c r="L1003" s="2805"/>
      <c r="M1003" s="2805"/>
      <c r="N1003" s="2806"/>
      <c r="EW1003" s="2031"/>
      <c r="EX1003" s="1619"/>
      <c r="EY1003" s="1628"/>
      <c r="EZ1003" s="1628"/>
      <c r="FA1003" s="1628"/>
      <c r="FH1003" s="1628"/>
      <c r="FI1003" s="1864" t="s">
        <v>8722</v>
      </c>
      <c r="FJ1003" s="1864" t="s">
        <v>588</v>
      </c>
      <c r="FK1003" s="1864" t="s">
        <v>588</v>
      </c>
      <c r="FL1003" s="1864" t="s">
        <v>588</v>
      </c>
      <c r="FM1003" s="1864" t="s">
        <v>588</v>
      </c>
      <c r="FN1003" s="1864" t="s">
        <v>588</v>
      </c>
      <c r="FO1003" s="1864" t="s">
        <v>588</v>
      </c>
      <c r="FP1003" s="1864" t="s">
        <v>588</v>
      </c>
      <c r="FQ1003" s="1864" t="s">
        <v>588</v>
      </c>
      <c r="FR1003" s="1864" t="s">
        <v>588</v>
      </c>
      <c r="FS1003" s="1864" t="s">
        <v>588</v>
      </c>
      <c r="FT1003" s="1864" t="s">
        <v>588</v>
      </c>
      <c r="FU1003" s="1678"/>
      <c r="FW1003" s="1678"/>
    </row>
    <row r="1004" spans="1:179" s="1484" customFormat="1" ht="15" x14ac:dyDescent="0.25">
      <c r="A1004" s="1629"/>
      <c r="B1004" s="1862"/>
      <c r="C1004" s="2805" t="s">
        <v>8850</v>
      </c>
      <c r="D1004" s="2805"/>
      <c r="E1004" s="2805"/>
      <c r="F1004" s="2805"/>
      <c r="G1004" s="2805"/>
      <c r="H1004" s="2805"/>
      <c r="I1004" s="2805"/>
      <c r="J1004" s="2805"/>
      <c r="K1004" s="2805"/>
      <c r="L1004" s="2805"/>
      <c r="M1004" s="2805"/>
      <c r="N1004" s="2806"/>
      <c r="EW1004" s="2031"/>
      <c r="EX1004" s="1619"/>
      <c r="EY1004" s="1628"/>
      <c r="EZ1004" s="1628"/>
      <c r="FA1004" s="1628"/>
      <c r="FB1004" s="1864" t="s">
        <v>8850</v>
      </c>
      <c r="FH1004" s="1628"/>
      <c r="FU1004" s="1678"/>
      <c r="FW1004" s="1678"/>
    </row>
    <row r="1005" spans="1:179" s="1484" customFormat="1" ht="15" x14ac:dyDescent="0.25">
      <c r="A1005" s="1650"/>
      <c r="B1005" s="1651"/>
      <c r="C1005" s="2803" t="s">
        <v>872</v>
      </c>
      <c r="D1005" s="2803"/>
      <c r="E1005" s="2803"/>
      <c r="F1005" s="1621"/>
      <c r="G1005" s="1622"/>
      <c r="H1005" s="1622"/>
      <c r="I1005" s="1622"/>
      <c r="J1005" s="1625"/>
      <c r="K1005" s="1622"/>
      <c r="L1005" s="2040">
        <v>2.95</v>
      </c>
      <c r="M1005" s="2037"/>
      <c r="N1005" s="2069">
        <v>26.96</v>
      </c>
      <c r="EW1005" s="2031"/>
      <c r="EX1005" s="1619"/>
      <c r="EY1005" s="1628"/>
      <c r="EZ1005" s="1628"/>
      <c r="FA1005" s="1628"/>
      <c r="FH1005" s="1628" t="s">
        <v>872</v>
      </c>
      <c r="FU1005" s="1678"/>
      <c r="FW1005" s="1678"/>
    </row>
    <row r="1006" spans="1:179" s="1484" customFormat="1" ht="22.5" x14ac:dyDescent="0.25">
      <c r="A1006" s="1620" t="s">
        <v>1345</v>
      </c>
      <c r="B1006" s="1863" t="s">
        <v>8154</v>
      </c>
      <c r="C1006" s="2803" t="s">
        <v>8155</v>
      </c>
      <c r="D1006" s="2803"/>
      <c r="E1006" s="2803"/>
      <c r="F1006" s="1621" t="s">
        <v>130</v>
      </c>
      <c r="G1006" s="1622">
        <v>12.036</v>
      </c>
      <c r="H1006" s="1623">
        <v>1</v>
      </c>
      <c r="I1006" s="2045">
        <v>12.036</v>
      </c>
      <c r="J1006" s="2040">
        <v>85</v>
      </c>
      <c r="K1006" s="1622"/>
      <c r="L1006" s="1648">
        <v>1023.06</v>
      </c>
      <c r="M1006" s="1687">
        <v>9.14</v>
      </c>
      <c r="N1006" s="1649">
        <v>9350.77</v>
      </c>
      <c r="EW1006" s="2031"/>
      <c r="EX1006" s="1619"/>
      <c r="EY1006" s="1628" t="s">
        <v>8155</v>
      </c>
      <c r="EZ1006" s="1628" t="s">
        <v>588</v>
      </c>
      <c r="FA1006" s="1628" t="s">
        <v>588</v>
      </c>
      <c r="FH1006" s="1628"/>
      <c r="FU1006" s="1678"/>
      <c r="FW1006" s="1678"/>
    </row>
    <row r="1007" spans="1:179" s="1484" customFormat="1" ht="15" x14ac:dyDescent="0.25">
      <c r="A1007" s="1650"/>
      <c r="B1007" s="1651"/>
      <c r="C1007" s="2805" t="s">
        <v>8640</v>
      </c>
      <c r="D1007" s="2805"/>
      <c r="E1007" s="2805"/>
      <c r="F1007" s="2805"/>
      <c r="G1007" s="2805"/>
      <c r="H1007" s="2805"/>
      <c r="I1007" s="2805"/>
      <c r="J1007" s="2805"/>
      <c r="K1007" s="2805"/>
      <c r="L1007" s="2805"/>
      <c r="M1007" s="2805"/>
      <c r="N1007" s="2806"/>
      <c r="EW1007" s="2031"/>
      <c r="EX1007" s="1619"/>
      <c r="EY1007" s="1628"/>
      <c r="EZ1007" s="1628"/>
      <c r="FA1007" s="1628"/>
      <c r="FH1007" s="1628"/>
      <c r="FI1007" s="1864" t="s">
        <v>8640</v>
      </c>
      <c r="FJ1007" s="1864" t="s">
        <v>588</v>
      </c>
      <c r="FK1007" s="1864" t="s">
        <v>588</v>
      </c>
      <c r="FL1007" s="1864" t="s">
        <v>588</v>
      </c>
      <c r="FM1007" s="1864" t="s">
        <v>588</v>
      </c>
      <c r="FN1007" s="1864" t="s">
        <v>588</v>
      </c>
      <c r="FO1007" s="1864" t="s">
        <v>588</v>
      </c>
      <c r="FP1007" s="1864" t="s">
        <v>588</v>
      </c>
      <c r="FQ1007" s="1864" t="s">
        <v>588</v>
      </c>
      <c r="FR1007" s="1864" t="s">
        <v>588</v>
      </c>
      <c r="FS1007" s="1864" t="s">
        <v>588</v>
      </c>
      <c r="FT1007" s="1864" t="s">
        <v>588</v>
      </c>
      <c r="FU1007" s="1678"/>
      <c r="FW1007" s="1678"/>
    </row>
    <row r="1008" spans="1:179" s="1484" customFormat="1" ht="15" x14ac:dyDescent="0.25">
      <c r="A1008" s="1629"/>
      <c r="B1008" s="1862"/>
      <c r="C1008" s="2805" t="s">
        <v>8849</v>
      </c>
      <c r="D1008" s="2805"/>
      <c r="E1008" s="2805"/>
      <c r="F1008" s="2805"/>
      <c r="G1008" s="2805"/>
      <c r="H1008" s="2805"/>
      <c r="I1008" s="2805"/>
      <c r="J1008" s="2805"/>
      <c r="K1008" s="2805"/>
      <c r="L1008" s="2805"/>
      <c r="M1008" s="2805"/>
      <c r="N1008" s="2806"/>
      <c r="EW1008" s="2031"/>
      <c r="EX1008" s="1619"/>
      <c r="EY1008" s="1628"/>
      <c r="EZ1008" s="1628"/>
      <c r="FA1008" s="1628"/>
      <c r="FB1008" s="1864" t="s">
        <v>8849</v>
      </c>
      <c r="FH1008" s="1628"/>
      <c r="FU1008" s="1678"/>
      <c r="FW1008" s="1678"/>
    </row>
    <row r="1009" spans="1:179" s="1484" customFormat="1" ht="15" x14ac:dyDescent="0.25">
      <c r="A1009" s="1650"/>
      <c r="B1009" s="1651"/>
      <c r="C1009" s="2803" t="s">
        <v>872</v>
      </c>
      <c r="D1009" s="2803"/>
      <c r="E1009" s="2803"/>
      <c r="F1009" s="1621"/>
      <c r="G1009" s="1622"/>
      <c r="H1009" s="1622"/>
      <c r="I1009" s="1622"/>
      <c r="J1009" s="1625"/>
      <c r="K1009" s="1622"/>
      <c r="L1009" s="1648">
        <v>1023.06</v>
      </c>
      <c r="M1009" s="2037"/>
      <c r="N1009" s="1649">
        <v>9350.77</v>
      </c>
      <c r="EW1009" s="2031"/>
      <c r="EX1009" s="1619"/>
      <c r="EY1009" s="1628"/>
      <c r="EZ1009" s="1628"/>
      <c r="FA1009" s="1628"/>
      <c r="FH1009" s="1628" t="s">
        <v>872</v>
      </c>
      <c r="FU1009" s="1678"/>
      <c r="FW1009" s="1678"/>
    </row>
    <row r="1010" spans="1:179" s="1484" customFormat="1" ht="15" x14ac:dyDescent="0.25">
      <c r="A1010" s="1620" t="s">
        <v>1347</v>
      </c>
      <c r="B1010" s="1863" t="s">
        <v>8060</v>
      </c>
      <c r="C1010" s="2803" t="s">
        <v>8061</v>
      </c>
      <c r="D1010" s="2803"/>
      <c r="E1010" s="2803"/>
      <c r="F1010" s="1621" t="s">
        <v>835</v>
      </c>
      <c r="G1010" s="1622">
        <v>1942.4</v>
      </c>
      <c r="H1010" s="1623">
        <v>1</v>
      </c>
      <c r="I1010" s="1624">
        <v>1942.4</v>
      </c>
      <c r="J1010" s="2040">
        <v>1.37</v>
      </c>
      <c r="K1010" s="1622"/>
      <c r="L1010" s="1648">
        <v>2661.09</v>
      </c>
      <c r="M1010" s="1687">
        <v>9.14</v>
      </c>
      <c r="N1010" s="1649">
        <v>24322.36</v>
      </c>
      <c r="EW1010" s="2031"/>
      <c r="EX1010" s="1619"/>
      <c r="EY1010" s="1628" t="s">
        <v>8061</v>
      </c>
      <c r="EZ1010" s="1628" t="s">
        <v>588</v>
      </c>
      <c r="FA1010" s="1628" t="s">
        <v>588</v>
      </c>
      <c r="FH1010" s="1628"/>
      <c r="FU1010" s="1678"/>
      <c r="FW1010" s="1678"/>
    </row>
    <row r="1011" spans="1:179" s="1484" customFormat="1" ht="15" x14ac:dyDescent="0.25">
      <c r="A1011" s="1650"/>
      <c r="B1011" s="1651"/>
      <c r="C1011" s="2805" t="s">
        <v>8640</v>
      </c>
      <c r="D1011" s="2805"/>
      <c r="E1011" s="2805"/>
      <c r="F1011" s="2805"/>
      <c r="G1011" s="2805"/>
      <c r="H1011" s="2805"/>
      <c r="I1011" s="2805"/>
      <c r="J1011" s="2805"/>
      <c r="K1011" s="2805"/>
      <c r="L1011" s="2805"/>
      <c r="M1011" s="2805"/>
      <c r="N1011" s="2806"/>
      <c r="EW1011" s="2031"/>
      <c r="EX1011" s="1619"/>
      <c r="EY1011" s="1628"/>
      <c r="EZ1011" s="1628"/>
      <c r="FA1011" s="1628"/>
      <c r="FH1011" s="1628"/>
      <c r="FI1011" s="1864" t="s">
        <v>8640</v>
      </c>
      <c r="FJ1011" s="1864" t="s">
        <v>588</v>
      </c>
      <c r="FK1011" s="1864" t="s">
        <v>588</v>
      </c>
      <c r="FL1011" s="1864" t="s">
        <v>588</v>
      </c>
      <c r="FM1011" s="1864" t="s">
        <v>588</v>
      </c>
      <c r="FN1011" s="1864" t="s">
        <v>588</v>
      </c>
      <c r="FO1011" s="1864" t="s">
        <v>588</v>
      </c>
      <c r="FP1011" s="1864" t="s">
        <v>588</v>
      </c>
      <c r="FQ1011" s="1864" t="s">
        <v>588</v>
      </c>
      <c r="FR1011" s="1864" t="s">
        <v>588</v>
      </c>
      <c r="FS1011" s="1864" t="s">
        <v>588</v>
      </c>
      <c r="FT1011" s="1864" t="s">
        <v>588</v>
      </c>
      <c r="FU1011" s="1678"/>
      <c r="FW1011" s="1678"/>
    </row>
    <row r="1012" spans="1:179" s="1484" customFormat="1" ht="15" x14ac:dyDescent="0.25">
      <c r="A1012" s="1629"/>
      <c r="B1012" s="1862"/>
      <c r="C1012" s="2805" t="s">
        <v>8848</v>
      </c>
      <c r="D1012" s="2805"/>
      <c r="E1012" s="2805"/>
      <c r="F1012" s="2805"/>
      <c r="G1012" s="2805"/>
      <c r="H1012" s="2805"/>
      <c r="I1012" s="2805"/>
      <c r="J1012" s="2805"/>
      <c r="K1012" s="2805"/>
      <c r="L1012" s="2805"/>
      <c r="M1012" s="2805"/>
      <c r="N1012" s="2806"/>
      <c r="EW1012" s="2031"/>
      <c r="EX1012" s="1619"/>
      <c r="EY1012" s="1628"/>
      <c r="EZ1012" s="1628"/>
      <c r="FA1012" s="1628"/>
      <c r="FB1012" s="1864" t="s">
        <v>8848</v>
      </c>
      <c r="FH1012" s="1628"/>
      <c r="FU1012" s="1678"/>
      <c r="FW1012" s="1678"/>
    </row>
    <row r="1013" spans="1:179" s="1484" customFormat="1" ht="15" x14ac:dyDescent="0.25">
      <c r="A1013" s="1650"/>
      <c r="B1013" s="1651"/>
      <c r="C1013" s="2803" t="s">
        <v>872</v>
      </c>
      <c r="D1013" s="2803"/>
      <c r="E1013" s="2803"/>
      <c r="F1013" s="1621"/>
      <c r="G1013" s="1622"/>
      <c r="H1013" s="1622"/>
      <c r="I1013" s="1622"/>
      <c r="J1013" s="1625"/>
      <c r="K1013" s="1622"/>
      <c r="L1013" s="1648">
        <v>2661.09</v>
      </c>
      <c r="M1013" s="2037"/>
      <c r="N1013" s="1649">
        <v>24322.36</v>
      </c>
      <c r="EW1013" s="2031"/>
      <c r="EX1013" s="1619"/>
      <c r="EY1013" s="1628"/>
      <c r="EZ1013" s="1628"/>
      <c r="FA1013" s="1628"/>
      <c r="FH1013" s="1628" t="s">
        <v>872</v>
      </c>
      <c r="FU1013" s="1678"/>
      <c r="FW1013" s="1678"/>
    </row>
    <row r="1014" spans="1:179" s="1484" customFormat="1" ht="15" x14ac:dyDescent="0.25">
      <c r="A1014" s="2811" t="s">
        <v>8156</v>
      </c>
      <c r="B1014" s="2812"/>
      <c r="C1014" s="2812"/>
      <c r="D1014" s="2812"/>
      <c r="E1014" s="2812"/>
      <c r="F1014" s="2812"/>
      <c r="G1014" s="2812"/>
      <c r="H1014" s="2812"/>
      <c r="I1014" s="2812"/>
      <c r="J1014" s="2812"/>
      <c r="K1014" s="2812"/>
      <c r="L1014" s="2812"/>
      <c r="M1014" s="2812"/>
      <c r="N1014" s="2813"/>
      <c r="EW1014" s="2031"/>
      <c r="EX1014" s="1619" t="s">
        <v>8156</v>
      </c>
      <c r="EY1014" s="1628"/>
      <c r="EZ1014" s="1628"/>
      <c r="FA1014" s="1628"/>
      <c r="FH1014" s="1628"/>
      <c r="FU1014" s="1678"/>
      <c r="FW1014" s="1678"/>
    </row>
    <row r="1015" spans="1:179" s="1484" customFormat="1" ht="33.75" x14ac:dyDescent="0.25">
      <c r="A1015" s="1620" t="s">
        <v>1349</v>
      </c>
      <c r="B1015" s="1863" t="s">
        <v>8157</v>
      </c>
      <c r="C1015" s="2803" t="s">
        <v>8158</v>
      </c>
      <c r="D1015" s="2803"/>
      <c r="E1015" s="2803"/>
      <c r="F1015" s="1621" t="s">
        <v>2555</v>
      </c>
      <c r="G1015" s="1622">
        <v>1.9E-2</v>
      </c>
      <c r="H1015" s="1623">
        <v>1</v>
      </c>
      <c r="I1015" s="2045">
        <v>1.9E-2</v>
      </c>
      <c r="J1015" s="1625"/>
      <c r="K1015" s="1622"/>
      <c r="L1015" s="1625"/>
      <c r="M1015" s="1622"/>
      <c r="N1015" s="1627"/>
      <c r="EW1015" s="2031"/>
      <c r="EX1015" s="1619"/>
      <c r="EY1015" s="1628" t="s">
        <v>8158</v>
      </c>
      <c r="EZ1015" s="1628" t="s">
        <v>588</v>
      </c>
      <c r="FA1015" s="1628" t="s">
        <v>588</v>
      </c>
      <c r="FH1015" s="1628"/>
      <c r="FU1015" s="1678"/>
      <c r="FW1015" s="1678"/>
    </row>
    <row r="1016" spans="1:179" s="1484" customFormat="1" ht="15" x14ac:dyDescent="0.25">
      <c r="A1016" s="1629"/>
      <c r="B1016" s="1862"/>
      <c r="C1016" s="2805" t="s">
        <v>8847</v>
      </c>
      <c r="D1016" s="2805"/>
      <c r="E1016" s="2805"/>
      <c r="F1016" s="2805"/>
      <c r="G1016" s="2805"/>
      <c r="H1016" s="2805"/>
      <c r="I1016" s="2805"/>
      <c r="J1016" s="2805"/>
      <c r="K1016" s="2805"/>
      <c r="L1016" s="2805"/>
      <c r="M1016" s="2805"/>
      <c r="N1016" s="2806"/>
      <c r="EW1016" s="2031"/>
      <c r="EX1016" s="1619"/>
      <c r="EY1016" s="1628"/>
      <c r="EZ1016" s="1628"/>
      <c r="FA1016" s="1628"/>
      <c r="FB1016" s="1864" t="s">
        <v>8847</v>
      </c>
      <c r="FH1016" s="1628"/>
      <c r="FU1016" s="1678"/>
      <c r="FW1016" s="1678"/>
    </row>
    <row r="1017" spans="1:179" s="1484" customFormat="1" ht="22.5" x14ac:dyDescent="0.25">
      <c r="A1017" s="1630"/>
      <c r="B1017" s="1631" t="s">
        <v>6062</v>
      </c>
      <c r="C1017" s="2809" t="s">
        <v>6063</v>
      </c>
      <c r="D1017" s="2809"/>
      <c r="E1017" s="2809"/>
      <c r="F1017" s="2809"/>
      <c r="G1017" s="2809"/>
      <c r="H1017" s="2809"/>
      <c r="I1017" s="2809"/>
      <c r="J1017" s="2809"/>
      <c r="K1017" s="2809"/>
      <c r="L1017" s="2809"/>
      <c r="M1017" s="2809"/>
      <c r="N1017" s="2810"/>
      <c r="EW1017" s="2031"/>
      <c r="EX1017" s="1619"/>
      <c r="EY1017" s="1628"/>
      <c r="EZ1017" s="1628"/>
      <c r="FA1017" s="1628"/>
      <c r="FC1017" s="1864" t="s">
        <v>6063</v>
      </c>
      <c r="FH1017" s="1628"/>
      <c r="FU1017" s="1678"/>
      <c r="FW1017" s="1678"/>
    </row>
    <row r="1018" spans="1:179" s="1484" customFormat="1" ht="22.5" x14ac:dyDescent="0.25">
      <c r="A1018" s="2033"/>
      <c r="B1018" s="1631" t="s">
        <v>8657</v>
      </c>
      <c r="C1018" s="2805" t="s">
        <v>8656</v>
      </c>
      <c r="D1018" s="2805"/>
      <c r="E1018" s="2805"/>
      <c r="F1018" s="1683" t="s">
        <v>807</v>
      </c>
      <c r="G1018" s="1953">
        <v>29.6</v>
      </c>
      <c r="H1018" s="1641"/>
      <c r="I1018" s="2035">
        <v>0.56240000000000001</v>
      </c>
      <c r="J1018" s="1654">
        <v>10.06</v>
      </c>
      <c r="K1018" s="1655">
        <v>1.25</v>
      </c>
      <c r="L1018" s="1654">
        <v>7.07</v>
      </c>
      <c r="M1018" s="1641"/>
      <c r="N1018" s="1681"/>
      <c r="EW1018" s="2031"/>
      <c r="EX1018" s="1619"/>
      <c r="EY1018" s="1628"/>
      <c r="EZ1018" s="1628"/>
      <c r="FA1018" s="1628"/>
      <c r="FD1018" s="1864" t="s">
        <v>8656</v>
      </c>
      <c r="FH1018" s="1628"/>
      <c r="FU1018" s="1678"/>
      <c r="FW1018" s="1678"/>
    </row>
    <row r="1019" spans="1:179" s="1484" customFormat="1" ht="22.5" x14ac:dyDescent="0.25">
      <c r="A1019" s="2033"/>
      <c r="B1019" s="1631" t="s">
        <v>5010</v>
      </c>
      <c r="C1019" s="2805" t="s">
        <v>5011</v>
      </c>
      <c r="D1019" s="2805"/>
      <c r="E1019" s="2805"/>
      <c r="F1019" s="1683" t="s">
        <v>4994</v>
      </c>
      <c r="G1019" s="1655">
        <v>0.23</v>
      </c>
      <c r="H1019" s="1641"/>
      <c r="I1019" s="2042">
        <v>4.3699999999999998E-3</v>
      </c>
      <c r="J1019" s="1654">
        <v>31.26</v>
      </c>
      <c r="K1019" s="1641"/>
      <c r="L1019" s="1654">
        <v>0.14000000000000001</v>
      </c>
      <c r="M1019" s="1641"/>
      <c r="N1019" s="1681"/>
      <c r="EW1019" s="2031"/>
      <c r="EX1019" s="1619"/>
      <c r="EY1019" s="1628"/>
      <c r="EZ1019" s="1628"/>
      <c r="FA1019" s="1628"/>
      <c r="FD1019" s="1864" t="s">
        <v>5011</v>
      </c>
      <c r="FH1019" s="1628"/>
      <c r="FU1019" s="1678"/>
      <c r="FW1019" s="1678"/>
    </row>
    <row r="1020" spans="1:179" s="1484" customFormat="1" ht="15" x14ac:dyDescent="0.25">
      <c r="A1020" s="2033"/>
      <c r="B1020" s="1631" t="s">
        <v>821</v>
      </c>
      <c r="C1020" s="2805" t="s">
        <v>822</v>
      </c>
      <c r="D1020" s="2805"/>
      <c r="E1020" s="2805"/>
      <c r="F1020" s="1683" t="s">
        <v>4994</v>
      </c>
      <c r="G1020" s="1655">
        <v>0.33</v>
      </c>
      <c r="H1020" s="1641"/>
      <c r="I1020" s="2042">
        <v>6.2700000000000004E-3</v>
      </c>
      <c r="J1020" s="1654">
        <v>65.709999999999994</v>
      </c>
      <c r="K1020" s="1641"/>
      <c r="L1020" s="1654">
        <v>0.41</v>
      </c>
      <c r="M1020" s="1641"/>
      <c r="N1020" s="1681"/>
      <c r="EW1020" s="2031"/>
      <c r="EX1020" s="1619"/>
      <c r="EY1020" s="1628"/>
      <c r="EZ1020" s="1628"/>
      <c r="FA1020" s="1628"/>
      <c r="FD1020" s="1864" t="s">
        <v>822</v>
      </c>
      <c r="FH1020" s="1628"/>
      <c r="FU1020" s="1678"/>
      <c r="FW1020" s="1678"/>
    </row>
    <row r="1021" spans="1:179" s="1484" customFormat="1" ht="15" x14ac:dyDescent="0.25">
      <c r="A1021" s="2033"/>
      <c r="B1021" s="1631" t="s">
        <v>5033</v>
      </c>
      <c r="C1021" s="2805" t="s">
        <v>5034</v>
      </c>
      <c r="D1021" s="2805"/>
      <c r="E1021" s="2805"/>
      <c r="F1021" s="1683" t="s">
        <v>4994</v>
      </c>
      <c r="G1021" s="2034">
        <v>7</v>
      </c>
      <c r="H1021" s="1641"/>
      <c r="I1021" s="2046">
        <v>0.13300000000000001</v>
      </c>
      <c r="J1021" s="1654">
        <v>2.7</v>
      </c>
      <c r="K1021" s="1641"/>
      <c r="L1021" s="1654">
        <v>0.36</v>
      </c>
      <c r="M1021" s="1641"/>
      <c r="N1021" s="1681"/>
      <c r="EW1021" s="2031"/>
      <c r="EX1021" s="1619"/>
      <c r="EY1021" s="1628"/>
      <c r="EZ1021" s="1628"/>
      <c r="FA1021" s="1628"/>
      <c r="FD1021" s="1864" t="s">
        <v>5034</v>
      </c>
      <c r="FH1021" s="1628"/>
      <c r="FU1021" s="1678"/>
      <c r="FW1021" s="1678"/>
    </row>
    <row r="1022" spans="1:179" s="1484" customFormat="1" ht="22.5" x14ac:dyDescent="0.25">
      <c r="A1022" s="2033"/>
      <c r="B1022" s="1631" t="s">
        <v>4866</v>
      </c>
      <c r="C1022" s="2805" t="s">
        <v>8779</v>
      </c>
      <c r="D1022" s="2805"/>
      <c r="E1022" s="2805"/>
      <c r="F1022" s="1683" t="s">
        <v>801</v>
      </c>
      <c r="G1022" s="2046">
        <v>2.3E-2</v>
      </c>
      <c r="H1022" s="1641"/>
      <c r="I1022" s="2043">
        <v>4.37E-4</v>
      </c>
      <c r="J1022" s="1657">
        <v>1412.5</v>
      </c>
      <c r="K1022" s="1641"/>
      <c r="L1022" s="1654">
        <v>0.62</v>
      </c>
      <c r="M1022" s="1641"/>
      <c r="N1022" s="1681"/>
      <c r="EW1022" s="2031"/>
      <c r="EX1022" s="1619"/>
      <c r="EY1022" s="1628"/>
      <c r="EZ1022" s="1628"/>
      <c r="FA1022" s="1628"/>
      <c r="FD1022" s="1864" t="s">
        <v>8779</v>
      </c>
      <c r="FH1022" s="1628"/>
      <c r="FU1022" s="1678"/>
      <c r="FW1022" s="1678"/>
    </row>
    <row r="1023" spans="1:179" s="1484" customFormat="1" ht="15" x14ac:dyDescent="0.25">
      <c r="A1023" s="2033"/>
      <c r="B1023" s="1631" t="s">
        <v>8778</v>
      </c>
      <c r="C1023" s="2805" t="s">
        <v>8777</v>
      </c>
      <c r="D1023" s="2805"/>
      <c r="E1023" s="2805"/>
      <c r="F1023" s="1683" t="s">
        <v>801</v>
      </c>
      <c r="G1023" s="2046">
        <v>0.246</v>
      </c>
      <c r="H1023" s="1641"/>
      <c r="I1023" s="2043">
        <v>4.6740000000000002E-3</v>
      </c>
      <c r="J1023" s="1657">
        <v>1995</v>
      </c>
      <c r="K1023" s="1641"/>
      <c r="L1023" s="1654">
        <v>9.32</v>
      </c>
      <c r="M1023" s="1641"/>
      <c r="N1023" s="1681"/>
      <c r="EW1023" s="2031"/>
      <c r="EX1023" s="1619"/>
      <c r="EY1023" s="1628"/>
      <c r="EZ1023" s="1628"/>
      <c r="FA1023" s="1628"/>
      <c r="FD1023" s="1864" t="s">
        <v>8777</v>
      </c>
      <c r="FH1023" s="1628"/>
      <c r="FU1023" s="1678"/>
      <c r="FW1023" s="1678"/>
    </row>
    <row r="1024" spans="1:179" s="1484" customFormat="1" ht="15" x14ac:dyDescent="0.25">
      <c r="A1024" s="2033"/>
      <c r="B1024" s="1631" t="s">
        <v>4873</v>
      </c>
      <c r="C1024" s="2805" t="s">
        <v>4874</v>
      </c>
      <c r="D1024" s="2805"/>
      <c r="E1024" s="2805"/>
      <c r="F1024" s="1683" t="s">
        <v>835</v>
      </c>
      <c r="G1024" s="2034">
        <v>54</v>
      </c>
      <c r="H1024" s="1641"/>
      <c r="I1024" s="2046">
        <v>1.026</v>
      </c>
      <c r="J1024" s="1654">
        <v>6.15</v>
      </c>
      <c r="K1024" s="1641"/>
      <c r="L1024" s="1654">
        <v>6.31</v>
      </c>
      <c r="M1024" s="1641"/>
      <c r="N1024" s="1681"/>
      <c r="EW1024" s="2031"/>
      <c r="EX1024" s="1619"/>
      <c r="EY1024" s="1628"/>
      <c r="EZ1024" s="1628"/>
      <c r="FA1024" s="1628"/>
      <c r="FD1024" s="1864" t="s">
        <v>4874</v>
      </c>
      <c r="FH1024" s="1628"/>
      <c r="FU1024" s="1678"/>
      <c r="FW1024" s="1678"/>
    </row>
    <row r="1025" spans="1:179" s="1484" customFormat="1" ht="22.5" x14ac:dyDescent="0.25">
      <c r="A1025" s="2033"/>
      <c r="B1025" s="1631" t="s">
        <v>4881</v>
      </c>
      <c r="C1025" s="2805" t="s">
        <v>4882</v>
      </c>
      <c r="D1025" s="2805"/>
      <c r="E1025" s="2805"/>
      <c r="F1025" s="1683" t="s">
        <v>801</v>
      </c>
      <c r="G1025" s="2046">
        <v>4.0000000000000001E-3</v>
      </c>
      <c r="H1025" s="1641"/>
      <c r="I1025" s="2043">
        <v>7.6000000000000004E-5</v>
      </c>
      <c r="J1025" s="1657">
        <v>37870</v>
      </c>
      <c r="K1025" s="1641"/>
      <c r="L1025" s="1654">
        <v>2.88</v>
      </c>
      <c r="M1025" s="1641"/>
      <c r="N1025" s="1681"/>
      <c r="EW1025" s="2031"/>
      <c r="EX1025" s="1619"/>
      <c r="EY1025" s="1628"/>
      <c r="EZ1025" s="1628"/>
      <c r="FA1025" s="1628"/>
      <c r="FD1025" s="1864" t="s">
        <v>4882</v>
      </c>
      <c r="FH1025" s="1628"/>
      <c r="FU1025" s="1678"/>
      <c r="FW1025" s="1678"/>
    </row>
    <row r="1026" spans="1:179" s="1484" customFormat="1" ht="15" x14ac:dyDescent="0.25">
      <c r="A1026" s="2033"/>
      <c r="B1026" s="1631" t="s">
        <v>4922</v>
      </c>
      <c r="C1026" s="2805" t="s">
        <v>8707</v>
      </c>
      <c r="D1026" s="2805"/>
      <c r="E1026" s="2805"/>
      <c r="F1026" s="1683" t="s">
        <v>835</v>
      </c>
      <c r="G1026" s="1953">
        <v>0.5</v>
      </c>
      <c r="H1026" s="1641"/>
      <c r="I1026" s="2035">
        <v>9.4999999999999998E-3</v>
      </c>
      <c r="J1026" s="1654">
        <v>1.82</v>
      </c>
      <c r="K1026" s="1641"/>
      <c r="L1026" s="1654">
        <v>0.02</v>
      </c>
      <c r="M1026" s="1641"/>
      <c r="N1026" s="1681"/>
      <c r="EW1026" s="2031"/>
      <c r="EX1026" s="1619"/>
      <c r="EY1026" s="1628"/>
      <c r="EZ1026" s="1628"/>
      <c r="FA1026" s="1628"/>
      <c r="FD1026" s="1864" t="s">
        <v>8707</v>
      </c>
      <c r="FH1026" s="1628"/>
      <c r="FU1026" s="1678"/>
      <c r="FW1026" s="1678"/>
    </row>
    <row r="1027" spans="1:179" s="1484" customFormat="1" ht="15" x14ac:dyDescent="0.25">
      <c r="A1027" s="2032"/>
      <c r="B1027" s="1631" t="s">
        <v>190</v>
      </c>
      <c r="C1027" s="2805" t="s">
        <v>2523</v>
      </c>
      <c r="D1027" s="2805"/>
      <c r="E1027" s="2805"/>
      <c r="F1027" s="1683"/>
      <c r="G1027" s="1641"/>
      <c r="H1027" s="1641"/>
      <c r="I1027" s="1641"/>
      <c r="J1027" s="1654">
        <v>297.77999999999997</v>
      </c>
      <c r="K1027" s="1655">
        <v>1.25</v>
      </c>
      <c r="L1027" s="1654">
        <v>7.07</v>
      </c>
      <c r="M1027" s="1655">
        <v>35.75</v>
      </c>
      <c r="N1027" s="2039">
        <v>252.75</v>
      </c>
      <c r="EW1027" s="2031"/>
      <c r="EX1027" s="1619"/>
      <c r="EY1027" s="1628"/>
      <c r="EZ1027" s="1628"/>
      <c r="FA1027" s="1628"/>
      <c r="FE1027" s="1864" t="s">
        <v>2523</v>
      </c>
      <c r="FH1027" s="1628"/>
      <c r="FU1027" s="1678"/>
      <c r="FW1027" s="1678"/>
    </row>
    <row r="1028" spans="1:179" s="1484" customFormat="1" ht="15" x14ac:dyDescent="0.25">
      <c r="A1028" s="2032"/>
      <c r="B1028" s="1631" t="s">
        <v>639</v>
      </c>
      <c r="C1028" s="2805" t="s">
        <v>697</v>
      </c>
      <c r="D1028" s="2805"/>
      <c r="E1028" s="2805"/>
      <c r="F1028" s="1683"/>
      <c r="G1028" s="1641"/>
      <c r="H1028" s="1641"/>
      <c r="I1028" s="1641"/>
      <c r="J1028" s="1654">
        <v>47.77</v>
      </c>
      <c r="K1028" s="1641"/>
      <c r="L1028" s="1654">
        <v>0.91</v>
      </c>
      <c r="M1028" s="1655">
        <v>11.97</v>
      </c>
      <c r="N1028" s="2039">
        <v>10.89</v>
      </c>
      <c r="EW1028" s="2031"/>
      <c r="EX1028" s="1619"/>
      <c r="EY1028" s="1628"/>
      <c r="EZ1028" s="1628"/>
      <c r="FA1028" s="1628"/>
      <c r="FE1028" s="1864" t="s">
        <v>697</v>
      </c>
      <c r="FH1028" s="1628"/>
      <c r="FU1028" s="1678"/>
      <c r="FW1028" s="1678"/>
    </row>
    <row r="1029" spans="1:179" s="1484" customFormat="1" ht="15" x14ac:dyDescent="0.25">
      <c r="A1029" s="2032"/>
      <c r="B1029" s="1631" t="s">
        <v>640</v>
      </c>
      <c r="C1029" s="2805" t="s">
        <v>2500</v>
      </c>
      <c r="D1029" s="2805"/>
      <c r="E1029" s="2805"/>
      <c r="F1029" s="1683"/>
      <c r="G1029" s="1641"/>
      <c r="H1029" s="1641"/>
      <c r="I1029" s="1641"/>
      <c r="J1029" s="1654">
        <v>6.94</v>
      </c>
      <c r="K1029" s="1641"/>
      <c r="L1029" s="1654">
        <v>0.13</v>
      </c>
      <c r="M1029" s="1655">
        <v>35.75</v>
      </c>
      <c r="N1029" s="2039">
        <v>4.6500000000000004</v>
      </c>
      <c r="EW1029" s="2031"/>
      <c r="EX1029" s="1619"/>
      <c r="EY1029" s="1628"/>
      <c r="EZ1029" s="1628"/>
      <c r="FA1029" s="1628"/>
      <c r="FE1029" s="1864" t="s">
        <v>2500</v>
      </c>
      <c r="FH1029" s="1628"/>
      <c r="FU1029" s="1678"/>
      <c r="FW1029" s="1678"/>
    </row>
    <row r="1030" spans="1:179" s="1484" customFormat="1" ht="15" x14ac:dyDescent="0.25">
      <c r="A1030" s="2032"/>
      <c r="B1030" s="1631" t="s">
        <v>232</v>
      </c>
      <c r="C1030" s="2805" t="s">
        <v>829</v>
      </c>
      <c r="D1030" s="2805"/>
      <c r="E1030" s="2805"/>
      <c r="F1030" s="1683"/>
      <c r="G1030" s="1641"/>
      <c r="H1030" s="1641"/>
      <c r="I1030" s="1641"/>
      <c r="J1030" s="1657">
        <v>1007.75</v>
      </c>
      <c r="K1030" s="1641"/>
      <c r="L1030" s="1654">
        <v>19.149999999999999</v>
      </c>
      <c r="M1030" s="1655">
        <v>9.14</v>
      </c>
      <c r="N1030" s="2039">
        <v>175.03</v>
      </c>
      <c r="EW1030" s="2031"/>
      <c r="EX1030" s="1619"/>
      <c r="EY1030" s="1628"/>
      <c r="EZ1030" s="1628"/>
      <c r="FA1030" s="1628"/>
      <c r="FE1030" s="1864" t="s">
        <v>829</v>
      </c>
      <c r="FH1030" s="1628"/>
      <c r="FU1030" s="1678"/>
      <c r="FW1030" s="1678"/>
    </row>
    <row r="1031" spans="1:179" s="1484" customFormat="1" ht="15" x14ac:dyDescent="0.25">
      <c r="A1031" s="2033"/>
      <c r="B1031" s="1631"/>
      <c r="C1031" s="2805" t="s">
        <v>2524</v>
      </c>
      <c r="D1031" s="2805"/>
      <c r="E1031" s="2805"/>
      <c r="F1031" s="1683" t="s">
        <v>807</v>
      </c>
      <c r="G1031" s="1953">
        <v>29.6</v>
      </c>
      <c r="H1031" s="1641"/>
      <c r="I1031" s="2035">
        <v>0.56240000000000001</v>
      </c>
      <c r="J1031" s="1640"/>
      <c r="K1031" s="1641"/>
      <c r="L1031" s="1640"/>
      <c r="M1031" s="1641"/>
      <c r="N1031" s="1681"/>
      <c r="EW1031" s="2031"/>
      <c r="EX1031" s="1619"/>
      <c r="EY1031" s="1628"/>
      <c r="EZ1031" s="1628"/>
      <c r="FA1031" s="1628"/>
      <c r="FF1031" s="1864" t="s">
        <v>2524</v>
      </c>
      <c r="FH1031" s="1628"/>
      <c r="FU1031" s="1678"/>
      <c r="FW1031" s="1678"/>
    </row>
    <row r="1032" spans="1:179" s="1484" customFormat="1" ht="15" x14ac:dyDescent="0.25">
      <c r="A1032" s="2033"/>
      <c r="B1032" s="1631"/>
      <c r="C1032" s="2805" t="s">
        <v>2501</v>
      </c>
      <c r="D1032" s="2805"/>
      <c r="E1032" s="2805"/>
      <c r="F1032" s="1683" t="s">
        <v>807</v>
      </c>
      <c r="G1032" s="1655">
        <v>0.56000000000000005</v>
      </c>
      <c r="H1032" s="1641"/>
      <c r="I1032" s="2042">
        <v>1.064E-2</v>
      </c>
      <c r="J1032" s="1640"/>
      <c r="K1032" s="1641"/>
      <c r="L1032" s="1640"/>
      <c r="M1032" s="1641"/>
      <c r="N1032" s="1681"/>
      <c r="EW1032" s="2031"/>
      <c r="EX1032" s="1619"/>
      <c r="EY1032" s="1628"/>
      <c r="EZ1032" s="1628"/>
      <c r="FA1032" s="1628"/>
      <c r="FF1032" s="1864" t="s">
        <v>2501</v>
      </c>
      <c r="FH1032" s="1628"/>
      <c r="FU1032" s="1678"/>
      <c r="FW1032" s="1678"/>
    </row>
    <row r="1033" spans="1:179" s="1484" customFormat="1" ht="15" x14ac:dyDescent="0.25">
      <c r="A1033" s="2032"/>
      <c r="B1033" s="1631"/>
      <c r="C1033" s="2917" t="s">
        <v>2502</v>
      </c>
      <c r="D1033" s="2917"/>
      <c r="E1033" s="2917"/>
      <c r="F1033" s="2036"/>
      <c r="G1033" s="2037"/>
      <c r="H1033" s="2037"/>
      <c r="I1033" s="2037"/>
      <c r="J1033" s="2038">
        <v>1353.3</v>
      </c>
      <c r="K1033" s="2037"/>
      <c r="L1033" s="2044">
        <v>27.13</v>
      </c>
      <c r="M1033" s="2037"/>
      <c r="N1033" s="2070">
        <v>438.67</v>
      </c>
      <c r="EW1033" s="2031"/>
      <c r="EX1033" s="1619"/>
      <c r="EY1033" s="1628"/>
      <c r="EZ1033" s="1628"/>
      <c r="FA1033" s="1628"/>
      <c r="FG1033" s="1864" t="s">
        <v>2502</v>
      </c>
      <c r="FH1033" s="1628"/>
      <c r="FU1033" s="1678"/>
      <c r="FW1033" s="1678"/>
    </row>
    <row r="1034" spans="1:179" s="1484" customFormat="1" ht="15" x14ac:dyDescent="0.25">
      <c r="A1034" s="2033" t="s">
        <v>8159</v>
      </c>
      <c r="B1034" s="1631"/>
      <c r="C1034" s="2805" t="s">
        <v>7964</v>
      </c>
      <c r="D1034" s="2805"/>
      <c r="E1034" s="2805"/>
      <c r="F1034" s="1683" t="s">
        <v>5928</v>
      </c>
      <c r="G1034" s="1641"/>
      <c r="H1034" s="1641"/>
      <c r="I1034" s="1641"/>
      <c r="J1034" s="1640"/>
      <c r="K1034" s="1641"/>
      <c r="L1034" s="1654">
        <v>0.03</v>
      </c>
      <c r="M1034" s="1641"/>
      <c r="N1034" s="2039">
        <v>1.07</v>
      </c>
      <c r="EW1034" s="2031"/>
      <c r="EX1034" s="1619"/>
      <c r="EY1034" s="1628"/>
      <c r="EZ1034" s="1628"/>
      <c r="FA1034" s="1628"/>
      <c r="FF1034" s="1864" t="s">
        <v>7964</v>
      </c>
      <c r="FH1034" s="1628"/>
      <c r="FU1034" s="1678"/>
      <c r="FW1034" s="1678"/>
    </row>
    <row r="1035" spans="1:179" s="1484" customFormat="1" ht="15" x14ac:dyDescent="0.25">
      <c r="A1035" s="2033"/>
      <c r="B1035" s="1631"/>
      <c r="C1035" s="2805" t="s">
        <v>7965</v>
      </c>
      <c r="D1035" s="2805"/>
      <c r="E1035" s="2805"/>
      <c r="F1035" s="1683" t="s">
        <v>5928</v>
      </c>
      <c r="G1035" s="1641"/>
      <c r="H1035" s="1641"/>
      <c r="I1035" s="1641"/>
      <c r="J1035" s="1654">
        <v>6.94</v>
      </c>
      <c r="K1035" s="1655">
        <v>0.25</v>
      </c>
      <c r="L1035" s="1654">
        <v>0.03</v>
      </c>
      <c r="M1035" s="1655">
        <v>35.75</v>
      </c>
      <c r="N1035" s="2039">
        <v>1.07</v>
      </c>
      <c r="EW1035" s="2031"/>
      <c r="EX1035" s="1619"/>
      <c r="EY1035" s="1628"/>
      <c r="EZ1035" s="1628"/>
      <c r="FA1035" s="1628"/>
      <c r="FF1035" s="1864" t="s">
        <v>7965</v>
      </c>
      <c r="FH1035" s="1628"/>
      <c r="FU1035" s="1678"/>
      <c r="FW1035" s="1678"/>
    </row>
    <row r="1036" spans="1:179" s="1484" customFormat="1" ht="15" x14ac:dyDescent="0.25">
      <c r="A1036" s="2033"/>
      <c r="B1036" s="1631"/>
      <c r="C1036" s="2805" t="s">
        <v>867</v>
      </c>
      <c r="D1036" s="2805"/>
      <c r="E1036" s="2805"/>
      <c r="F1036" s="1683"/>
      <c r="G1036" s="1641"/>
      <c r="H1036" s="1641"/>
      <c r="I1036" s="1641"/>
      <c r="J1036" s="1640"/>
      <c r="K1036" s="1641"/>
      <c r="L1036" s="1654">
        <v>7.23</v>
      </c>
      <c r="M1036" s="1641"/>
      <c r="N1036" s="2039">
        <v>258.47000000000003</v>
      </c>
      <c r="EW1036" s="2031"/>
      <c r="EX1036" s="1619"/>
      <c r="EY1036" s="1628"/>
      <c r="EZ1036" s="1628"/>
      <c r="FA1036" s="1628"/>
      <c r="FF1036" s="1864" t="s">
        <v>867</v>
      </c>
      <c r="FH1036" s="1628"/>
      <c r="FU1036" s="1678"/>
      <c r="FW1036" s="1678"/>
    </row>
    <row r="1037" spans="1:179" s="1484" customFormat="1" ht="15" x14ac:dyDescent="0.25">
      <c r="A1037" s="2033"/>
      <c r="B1037" s="1631" t="s">
        <v>8054</v>
      </c>
      <c r="C1037" s="2805" t="s">
        <v>8055</v>
      </c>
      <c r="D1037" s="2805"/>
      <c r="E1037" s="2805"/>
      <c r="F1037" s="1683" t="s">
        <v>636</v>
      </c>
      <c r="G1037" s="2034">
        <v>112</v>
      </c>
      <c r="H1037" s="1641"/>
      <c r="I1037" s="2034">
        <v>112</v>
      </c>
      <c r="J1037" s="1640"/>
      <c r="K1037" s="1641"/>
      <c r="L1037" s="1654">
        <v>8.1</v>
      </c>
      <c r="M1037" s="1641"/>
      <c r="N1037" s="2039">
        <v>289.49</v>
      </c>
      <c r="EW1037" s="2031"/>
      <c r="EX1037" s="1619"/>
      <c r="EY1037" s="1628"/>
      <c r="EZ1037" s="1628"/>
      <c r="FA1037" s="1628"/>
      <c r="FF1037" s="1864" t="s">
        <v>8055</v>
      </c>
      <c r="FH1037" s="1628"/>
      <c r="FU1037" s="1678"/>
      <c r="FW1037" s="1678"/>
    </row>
    <row r="1038" spans="1:179" s="1484" customFormat="1" ht="15" x14ac:dyDescent="0.25">
      <c r="A1038" s="2033"/>
      <c r="B1038" s="1631" t="s">
        <v>8056</v>
      </c>
      <c r="C1038" s="2805" t="s">
        <v>8057</v>
      </c>
      <c r="D1038" s="2805"/>
      <c r="E1038" s="2805"/>
      <c r="F1038" s="1683" t="s">
        <v>636</v>
      </c>
      <c r="G1038" s="2034">
        <v>65</v>
      </c>
      <c r="H1038" s="1641"/>
      <c r="I1038" s="2034">
        <v>65</v>
      </c>
      <c r="J1038" s="1640"/>
      <c r="K1038" s="1641"/>
      <c r="L1038" s="1654">
        <v>4.7</v>
      </c>
      <c r="M1038" s="1641"/>
      <c r="N1038" s="2039">
        <v>168.01</v>
      </c>
      <c r="EW1038" s="2031"/>
      <c r="EX1038" s="1619"/>
      <c r="EY1038" s="1628"/>
      <c r="EZ1038" s="1628"/>
      <c r="FA1038" s="1628"/>
      <c r="FF1038" s="1864" t="s">
        <v>8057</v>
      </c>
      <c r="FH1038" s="1628"/>
      <c r="FU1038" s="1678"/>
      <c r="FW1038" s="1678"/>
    </row>
    <row r="1039" spans="1:179" s="1484" customFormat="1" ht="15" x14ac:dyDescent="0.25">
      <c r="A1039" s="1650"/>
      <c r="B1039" s="1651"/>
      <c r="C1039" s="2803" t="s">
        <v>872</v>
      </c>
      <c r="D1039" s="2803"/>
      <c r="E1039" s="2803"/>
      <c r="F1039" s="1621"/>
      <c r="G1039" s="1622"/>
      <c r="H1039" s="1622"/>
      <c r="I1039" s="1622"/>
      <c r="J1039" s="1625"/>
      <c r="K1039" s="1622"/>
      <c r="L1039" s="2040">
        <v>39.96</v>
      </c>
      <c r="M1039" s="2037"/>
      <c r="N1039" s="2069">
        <v>897.24</v>
      </c>
      <c r="EW1039" s="2031"/>
      <c r="EX1039" s="1619"/>
      <c r="EY1039" s="1628"/>
      <c r="EZ1039" s="1628"/>
      <c r="FA1039" s="1628"/>
      <c r="FH1039" s="1628" t="s">
        <v>872</v>
      </c>
      <c r="FU1039" s="1678"/>
      <c r="FW1039" s="1678"/>
    </row>
    <row r="1040" spans="1:179" s="1484" customFormat="1" ht="15" x14ac:dyDescent="0.25">
      <c r="A1040" s="1620" t="s">
        <v>1352</v>
      </c>
      <c r="B1040" s="1863" t="s">
        <v>8160</v>
      </c>
      <c r="C1040" s="2803" t="s">
        <v>8161</v>
      </c>
      <c r="D1040" s="2803"/>
      <c r="E1040" s="2803"/>
      <c r="F1040" s="1621" t="s">
        <v>130</v>
      </c>
      <c r="G1040" s="1622">
        <v>2.13</v>
      </c>
      <c r="H1040" s="1623">
        <v>1</v>
      </c>
      <c r="I1040" s="1687">
        <v>2.13</v>
      </c>
      <c r="J1040" s="2040">
        <v>28.51</v>
      </c>
      <c r="K1040" s="1622"/>
      <c r="L1040" s="2040">
        <v>60.73</v>
      </c>
      <c r="M1040" s="1687">
        <v>9.14</v>
      </c>
      <c r="N1040" s="2069">
        <v>555.07000000000005</v>
      </c>
      <c r="EW1040" s="2031"/>
      <c r="EX1040" s="1619"/>
      <c r="EY1040" s="1628" t="s">
        <v>8161</v>
      </c>
      <c r="EZ1040" s="1628" t="s">
        <v>588</v>
      </c>
      <c r="FA1040" s="1628" t="s">
        <v>588</v>
      </c>
      <c r="FH1040" s="1628"/>
      <c r="FU1040" s="1678"/>
      <c r="FW1040" s="1678"/>
    </row>
    <row r="1041" spans="1:179" s="1484" customFormat="1" ht="15" x14ac:dyDescent="0.25">
      <c r="A1041" s="1650"/>
      <c r="B1041" s="1651"/>
      <c r="C1041" s="2805" t="s">
        <v>8640</v>
      </c>
      <c r="D1041" s="2805"/>
      <c r="E1041" s="2805"/>
      <c r="F1041" s="2805"/>
      <c r="G1041" s="2805"/>
      <c r="H1041" s="2805"/>
      <c r="I1041" s="2805"/>
      <c r="J1041" s="2805"/>
      <c r="K1041" s="2805"/>
      <c r="L1041" s="2805"/>
      <c r="M1041" s="2805"/>
      <c r="N1041" s="2806"/>
      <c r="EW1041" s="2031"/>
      <c r="EX1041" s="1619"/>
      <c r="EY1041" s="1628"/>
      <c r="EZ1041" s="1628"/>
      <c r="FA1041" s="1628"/>
      <c r="FH1041" s="1628"/>
      <c r="FI1041" s="1864" t="s">
        <v>8640</v>
      </c>
      <c r="FJ1041" s="1864" t="s">
        <v>588</v>
      </c>
      <c r="FK1041" s="1864" t="s">
        <v>588</v>
      </c>
      <c r="FL1041" s="1864" t="s">
        <v>588</v>
      </c>
      <c r="FM1041" s="1864" t="s">
        <v>588</v>
      </c>
      <c r="FN1041" s="1864" t="s">
        <v>588</v>
      </c>
      <c r="FO1041" s="1864" t="s">
        <v>588</v>
      </c>
      <c r="FP1041" s="1864" t="s">
        <v>588</v>
      </c>
      <c r="FQ1041" s="1864" t="s">
        <v>588</v>
      </c>
      <c r="FR1041" s="1864" t="s">
        <v>588</v>
      </c>
      <c r="FS1041" s="1864" t="s">
        <v>588</v>
      </c>
      <c r="FT1041" s="1864" t="s">
        <v>588</v>
      </c>
      <c r="FU1041" s="1678"/>
      <c r="FW1041" s="1678"/>
    </row>
    <row r="1042" spans="1:179" s="1484" customFormat="1" ht="15" x14ac:dyDescent="0.25">
      <c r="A1042" s="1629"/>
      <c r="B1042" s="1862"/>
      <c r="C1042" s="2805" t="s">
        <v>8846</v>
      </c>
      <c r="D1042" s="2805"/>
      <c r="E1042" s="2805"/>
      <c r="F1042" s="2805"/>
      <c r="G1042" s="2805"/>
      <c r="H1042" s="2805"/>
      <c r="I1042" s="2805"/>
      <c r="J1042" s="2805"/>
      <c r="K1042" s="2805"/>
      <c r="L1042" s="2805"/>
      <c r="M1042" s="2805"/>
      <c r="N1042" s="2806"/>
      <c r="EW1042" s="2031"/>
      <c r="EX1042" s="1619"/>
      <c r="EY1042" s="1628"/>
      <c r="EZ1042" s="1628"/>
      <c r="FA1042" s="1628"/>
      <c r="FB1042" s="1864" t="s">
        <v>8846</v>
      </c>
      <c r="FH1042" s="1628"/>
      <c r="FU1042" s="1678"/>
      <c r="FW1042" s="1678"/>
    </row>
    <row r="1043" spans="1:179" s="1484" customFormat="1" ht="15" x14ac:dyDescent="0.25">
      <c r="A1043" s="1650"/>
      <c r="B1043" s="1651"/>
      <c r="C1043" s="2803" t="s">
        <v>872</v>
      </c>
      <c r="D1043" s="2803"/>
      <c r="E1043" s="2803"/>
      <c r="F1043" s="1621"/>
      <c r="G1043" s="1622"/>
      <c r="H1043" s="1622"/>
      <c r="I1043" s="1622"/>
      <c r="J1043" s="1625"/>
      <c r="K1043" s="1622"/>
      <c r="L1043" s="2040">
        <v>60.73</v>
      </c>
      <c r="M1043" s="2037"/>
      <c r="N1043" s="2069">
        <v>555.07000000000005</v>
      </c>
      <c r="EW1043" s="2031"/>
      <c r="EX1043" s="1619"/>
      <c r="EY1043" s="1628"/>
      <c r="EZ1043" s="1628"/>
      <c r="FA1043" s="1628"/>
      <c r="FH1043" s="1628" t="s">
        <v>872</v>
      </c>
      <c r="FU1043" s="1678"/>
      <c r="FW1043" s="1678"/>
    </row>
    <row r="1044" spans="1:179" s="1484" customFormat="1" ht="33.75" x14ac:dyDescent="0.25">
      <c r="A1044" s="1620" t="s">
        <v>1355</v>
      </c>
      <c r="B1044" s="1863" t="s">
        <v>8162</v>
      </c>
      <c r="C1044" s="2803" t="s">
        <v>8163</v>
      </c>
      <c r="D1044" s="2803"/>
      <c r="E1044" s="2803"/>
      <c r="F1044" s="1621" t="s">
        <v>2555</v>
      </c>
      <c r="G1044" s="1622">
        <v>1.9E-2</v>
      </c>
      <c r="H1044" s="1623">
        <v>1</v>
      </c>
      <c r="I1044" s="2045">
        <v>1.9E-2</v>
      </c>
      <c r="J1044" s="1625"/>
      <c r="K1044" s="1622"/>
      <c r="L1044" s="1625"/>
      <c r="M1044" s="1622"/>
      <c r="N1044" s="1627"/>
      <c r="EW1044" s="2031"/>
      <c r="EX1044" s="1619"/>
      <c r="EY1044" s="1628" t="s">
        <v>8163</v>
      </c>
      <c r="EZ1044" s="1628" t="s">
        <v>588</v>
      </c>
      <c r="FA1044" s="1628" t="s">
        <v>588</v>
      </c>
      <c r="FH1044" s="1628"/>
      <c r="FU1044" s="1678"/>
      <c r="FW1044" s="1678"/>
    </row>
    <row r="1045" spans="1:179" s="1484" customFormat="1" ht="15" x14ac:dyDescent="0.25">
      <c r="A1045" s="1629"/>
      <c r="B1045" s="1862"/>
      <c r="C1045" s="2805" t="s">
        <v>8847</v>
      </c>
      <c r="D1045" s="2805"/>
      <c r="E1045" s="2805"/>
      <c r="F1045" s="2805"/>
      <c r="G1045" s="2805"/>
      <c r="H1045" s="2805"/>
      <c r="I1045" s="2805"/>
      <c r="J1045" s="2805"/>
      <c r="K1045" s="2805"/>
      <c r="L1045" s="2805"/>
      <c r="M1045" s="2805"/>
      <c r="N1045" s="2806"/>
      <c r="EW1045" s="2031"/>
      <c r="EX1045" s="1619"/>
      <c r="EY1045" s="1628"/>
      <c r="EZ1045" s="1628"/>
      <c r="FA1045" s="1628"/>
      <c r="FB1045" s="1864" t="s">
        <v>8847</v>
      </c>
      <c r="FH1045" s="1628"/>
      <c r="FU1045" s="1678"/>
      <c r="FW1045" s="1678"/>
    </row>
    <row r="1046" spans="1:179" s="1484" customFormat="1" ht="22.5" x14ac:dyDescent="0.25">
      <c r="A1046" s="1630"/>
      <c r="B1046" s="1631" t="s">
        <v>6062</v>
      </c>
      <c r="C1046" s="2809" t="s">
        <v>6063</v>
      </c>
      <c r="D1046" s="2809"/>
      <c r="E1046" s="2809"/>
      <c r="F1046" s="2809"/>
      <c r="G1046" s="2809"/>
      <c r="H1046" s="2809"/>
      <c r="I1046" s="2809"/>
      <c r="J1046" s="2809"/>
      <c r="K1046" s="2809"/>
      <c r="L1046" s="2809"/>
      <c r="M1046" s="2809"/>
      <c r="N1046" s="2810"/>
      <c r="EW1046" s="2031"/>
      <c r="EX1046" s="1619"/>
      <c r="EY1046" s="1628"/>
      <c r="EZ1046" s="1628"/>
      <c r="FA1046" s="1628"/>
      <c r="FC1046" s="1864" t="s">
        <v>6063</v>
      </c>
      <c r="FH1046" s="1628"/>
      <c r="FU1046" s="1678"/>
      <c r="FW1046" s="1678"/>
    </row>
    <row r="1047" spans="1:179" s="1484" customFormat="1" ht="22.5" x14ac:dyDescent="0.25">
      <c r="A1047" s="2033"/>
      <c r="B1047" s="1631" t="s">
        <v>8657</v>
      </c>
      <c r="C1047" s="2805" t="s">
        <v>8656</v>
      </c>
      <c r="D1047" s="2805"/>
      <c r="E1047" s="2805"/>
      <c r="F1047" s="1683" t="s">
        <v>807</v>
      </c>
      <c r="G1047" s="1953">
        <v>21.3</v>
      </c>
      <c r="H1047" s="1641"/>
      <c r="I1047" s="2035">
        <v>0.4047</v>
      </c>
      <c r="J1047" s="1654">
        <v>10.06</v>
      </c>
      <c r="K1047" s="1655">
        <v>1.25</v>
      </c>
      <c r="L1047" s="1654">
        <v>5.09</v>
      </c>
      <c r="M1047" s="1641"/>
      <c r="N1047" s="1681"/>
      <c r="EW1047" s="2031"/>
      <c r="EX1047" s="1619"/>
      <c r="EY1047" s="1628"/>
      <c r="EZ1047" s="1628"/>
      <c r="FA1047" s="1628"/>
      <c r="FD1047" s="1864" t="s">
        <v>8656</v>
      </c>
      <c r="FH1047" s="1628"/>
      <c r="FU1047" s="1678"/>
      <c r="FW1047" s="1678"/>
    </row>
    <row r="1048" spans="1:179" s="1484" customFormat="1" ht="22.5" x14ac:dyDescent="0.25">
      <c r="A1048" s="2033"/>
      <c r="B1048" s="1631" t="s">
        <v>5010</v>
      </c>
      <c r="C1048" s="2805" t="s">
        <v>5011</v>
      </c>
      <c r="D1048" s="2805"/>
      <c r="E1048" s="2805"/>
      <c r="F1048" s="1683" t="s">
        <v>4994</v>
      </c>
      <c r="G1048" s="1655">
        <v>0.16</v>
      </c>
      <c r="H1048" s="1641"/>
      <c r="I1048" s="2042">
        <v>3.0400000000000002E-3</v>
      </c>
      <c r="J1048" s="1654">
        <v>31.26</v>
      </c>
      <c r="K1048" s="1641"/>
      <c r="L1048" s="1654">
        <v>0.1</v>
      </c>
      <c r="M1048" s="1641"/>
      <c r="N1048" s="1681"/>
      <c r="EW1048" s="2031"/>
      <c r="EX1048" s="1619"/>
      <c r="EY1048" s="1628"/>
      <c r="EZ1048" s="1628"/>
      <c r="FA1048" s="1628"/>
      <c r="FD1048" s="1864" t="s">
        <v>5011</v>
      </c>
      <c r="FH1048" s="1628"/>
      <c r="FU1048" s="1678"/>
      <c r="FW1048" s="1678"/>
    </row>
    <row r="1049" spans="1:179" s="1484" customFormat="1" ht="15" x14ac:dyDescent="0.25">
      <c r="A1049" s="2033"/>
      <c r="B1049" s="1631" t="s">
        <v>821</v>
      </c>
      <c r="C1049" s="2805" t="s">
        <v>822</v>
      </c>
      <c r="D1049" s="2805"/>
      <c r="E1049" s="2805"/>
      <c r="F1049" s="1683" t="s">
        <v>4994</v>
      </c>
      <c r="G1049" s="1655">
        <v>0.22</v>
      </c>
      <c r="H1049" s="1641"/>
      <c r="I1049" s="2042">
        <v>4.1799999999999997E-3</v>
      </c>
      <c r="J1049" s="1654">
        <v>65.709999999999994</v>
      </c>
      <c r="K1049" s="1641"/>
      <c r="L1049" s="1654">
        <v>0.27</v>
      </c>
      <c r="M1049" s="1641"/>
      <c r="N1049" s="1681"/>
      <c r="EW1049" s="2031"/>
      <c r="EX1049" s="1619"/>
      <c r="EY1049" s="1628"/>
      <c r="EZ1049" s="1628"/>
      <c r="FA1049" s="1628"/>
      <c r="FD1049" s="1864" t="s">
        <v>822</v>
      </c>
      <c r="FH1049" s="1628"/>
      <c r="FU1049" s="1678"/>
      <c r="FW1049" s="1678"/>
    </row>
    <row r="1050" spans="1:179" s="1484" customFormat="1" ht="15" x14ac:dyDescent="0.25">
      <c r="A1050" s="2033"/>
      <c r="B1050" s="1631" t="s">
        <v>5033</v>
      </c>
      <c r="C1050" s="2805" t="s">
        <v>5034</v>
      </c>
      <c r="D1050" s="2805"/>
      <c r="E1050" s="2805"/>
      <c r="F1050" s="1683" t="s">
        <v>4994</v>
      </c>
      <c r="G1050" s="1953">
        <v>4.5</v>
      </c>
      <c r="H1050" s="1641"/>
      <c r="I1050" s="2035">
        <v>8.5500000000000007E-2</v>
      </c>
      <c r="J1050" s="1654">
        <v>2.7</v>
      </c>
      <c r="K1050" s="1641"/>
      <c r="L1050" s="1654">
        <v>0.23</v>
      </c>
      <c r="M1050" s="1641"/>
      <c r="N1050" s="1681"/>
      <c r="EW1050" s="2031"/>
      <c r="EX1050" s="1619"/>
      <c r="EY1050" s="1628"/>
      <c r="EZ1050" s="1628"/>
      <c r="FA1050" s="1628"/>
      <c r="FD1050" s="1864" t="s">
        <v>5034</v>
      </c>
      <c r="FH1050" s="1628"/>
      <c r="FU1050" s="1678"/>
      <c r="FW1050" s="1678"/>
    </row>
    <row r="1051" spans="1:179" s="1484" customFormat="1" ht="22.5" x14ac:dyDescent="0.25">
      <c r="A1051" s="2033"/>
      <c r="B1051" s="1631" t="s">
        <v>4866</v>
      </c>
      <c r="C1051" s="2805" t="s">
        <v>8779</v>
      </c>
      <c r="D1051" s="2805"/>
      <c r="E1051" s="2805"/>
      <c r="F1051" s="1683" t="s">
        <v>801</v>
      </c>
      <c r="G1051" s="2046">
        <v>2.3E-2</v>
      </c>
      <c r="H1051" s="1641"/>
      <c r="I1051" s="2043">
        <v>4.37E-4</v>
      </c>
      <c r="J1051" s="1657">
        <v>1412.5</v>
      </c>
      <c r="K1051" s="1641"/>
      <c r="L1051" s="1654">
        <v>0.62</v>
      </c>
      <c r="M1051" s="1641"/>
      <c r="N1051" s="1681"/>
      <c r="EW1051" s="2031"/>
      <c r="EX1051" s="1619"/>
      <c r="EY1051" s="1628"/>
      <c r="EZ1051" s="1628"/>
      <c r="FA1051" s="1628"/>
      <c r="FD1051" s="1864" t="s">
        <v>8779</v>
      </c>
      <c r="FH1051" s="1628"/>
      <c r="FU1051" s="1678"/>
      <c r="FW1051" s="1678"/>
    </row>
    <row r="1052" spans="1:179" s="1484" customFormat="1" ht="15" x14ac:dyDescent="0.25">
      <c r="A1052" s="2033"/>
      <c r="B1052" s="1631" t="s">
        <v>8778</v>
      </c>
      <c r="C1052" s="2805" t="s">
        <v>8777</v>
      </c>
      <c r="D1052" s="2805"/>
      <c r="E1052" s="2805"/>
      <c r="F1052" s="1683" t="s">
        <v>801</v>
      </c>
      <c r="G1052" s="1655">
        <v>0.13</v>
      </c>
      <c r="H1052" s="1641"/>
      <c r="I1052" s="2042">
        <v>2.47E-3</v>
      </c>
      <c r="J1052" s="1657">
        <v>1995</v>
      </c>
      <c r="K1052" s="1641"/>
      <c r="L1052" s="1654">
        <v>4.93</v>
      </c>
      <c r="M1052" s="1641"/>
      <c r="N1052" s="1681"/>
      <c r="EW1052" s="2031"/>
      <c r="EX1052" s="1619"/>
      <c r="EY1052" s="1628"/>
      <c r="EZ1052" s="1628"/>
      <c r="FA1052" s="1628"/>
      <c r="FD1052" s="1864" t="s">
        <v>8777</v>
      </c>
      <c r="FH1052" s="1628"/>
      <c r="FU1052" s="1678"/>
      <c r="FW1052" s="1678"/>
    </row>
    <row r="1053" spans="1:179" s="1484" customFormat="1" ht="15" x14ac:dyDescent="0.25">
      <c r="A1053" s="2033"/>
      <c r="B1053" s="1631" t="s">
        <v>4873</v>
      </c>
      <c r="C1053" s="2805" t="s">
        <v>4874</v>
      </c>
      <c r="D1053" s="2805"/>
      <c r="E1053" s="2805"/>
      <c r="F1053" s="1683" t="s">
        <v>835</v>
      </c>
      <c r="G1053" s="2034">
        <v>54</v>
      </c>
      <c r="H1053" s="1641"/>
      <c r="I1053" s="2046">
        <v>1.026</v>
      </c>
      <c r="J1053" s="1654">
        <v>6.15</v>
      </c>
      <c r="K1053" s="1641"/>
      <c r="L1053" s="1654">
        <v>6.31</v>
      </c>
      <c r="M1053" s="1641"/>
      <c r="N1053" s="1681"/>
      <c r="EW1053" s="2031"/>
      <c r="EX1053" s="1619"/>
      <c r="EY1053" s="1628"/>
      <c r="EZ1053" s="1628"/>
      <c r="FA1053" s="1628"/>
      <c r="FD1053" s="1864" t="s">
        <v>4874</v>
      </c>
      <c r="FH1053" s="1628"/>
      <c r="FU1053" s="1678"/>
      <c r="FW1053" s="1678"/>
    </row>
    <row r="1054" spans="1:179" s="1484" customFormat="1" ht="22.5" x14ac:dyDescent="0.25">
      <c r="A1054" s="2033"/>
      <c r="B1054" s="1631" t="s">
        <v>4881</v>
      </c>
      <c r="C1054" s="2805" t="s">
        <v>4882</v>
      </c>
      <c r="D1054" s="2805"/>
      <c r="E1054" s="2805"/>
      <c r="F1054" s="1683" t="s">
        <v>801</v>
      </c>
      <c r="G1054" s="2046">
        <v>4.0000000000000001E-3</v>
      </c>
      <c r="H1054" s="1641"/>
      <c r="I1054" s="2043">
        <v>7.6000000000000004E-5</v>
      </c>
      <c r="J1054" s="1657">
        <v>37870</v>
      </c>
      <c r="K1054" s="1641"/>
      <c r="L1054" s="1654">
        <v>2.88</v>
      </c>
      <c r="M1054" s="1641"/>
      <c r="N1054" s="1681"/>
      <c r="EW1054" s="2031"/>
      <c r="EX1054" s="1619"/>
      <c r="EY1054" s="1628"/>
      <c r="EZ1054" s="1628"/>
      <c r="FA1054" s="1628"/>
      <c r="FD1054" s="1864" t="s">
        <v>4882</v>
      </c>
      <c r="FH1054" s="1628"/>
      <c r="FU1054" s="1678"/>
      <c r="FW1054" s="1678"/>
    </row>
    <row r="1055" spans="1:179" s="1484" customFormat="1" ht="15" x14ac:dyDescent="0.25">
      <c r="A1055" s="2032"/>
      <c r="B1055" s="1631" t="s">
        <v>190</v>
      </c>
      <c r="C1055" s="2805" t="s">
        <v>2523</v>
      </c>
      <c r="D1055" s="2805"/>
      <c r="E1055" s="2805"/>
      <c r="F1055" s="1683"/>
      <c r="G1055" s="1641"/>
      <c r="H1055" s="1641"/>
      <c r="I1055" s="1641"/>
      <c r="J1055" s="1654">
        <v>214.28</v>
      </c>
      <c r="K1055" s="1655">
        <v>1.25</v>
      </c>
      <c r="L1055" s="1654">
        <v>5.09</v>
      </c>
      <c r="M1055" s="1655">
        <v>35.75</v>
      </c>
      <c r="N1055" s="2039">
        <v>181.97</v>
      </c>
      <c r="EW1055" s="2031"/>
      <c r="EX1055" s="1619"/>
      <c r="EY1055" s="1628"/>
      <c r="EZ1055" s="1628"/>
      <c r="FA1055" s="1628"/>
      <c r="FE1055" s="1864" t="s">
        <v>2523</v>
      </c>
      <c r="FH1055" s="1628"/>
      <c r="FU1055" s="1678"/>
      <c r="FW1055" s="1678"/>
    </row>
    <row r="1056" spans="1:179" s="1484" customFormat="1" ht="15" x14ac:dyDescent="0.25">
      <c r="A1056" s="2032"/>
      <c r="B1056" s="1631" t="s">
        <v>639</v>
      </c>
      <c r="C1056" s="2805" t="s">
        <v>697</v>
      </c>
      <c r="D1056" s="2805"/>
      <c r="E1056" s="2805"/>
      <c r="F1056" s="1683"/>
      <c r="G1056" s="1641"/>
      <c r="H1056" s="1641"/>
      <c r="I1056" s="1641"/>
      <c r="J1056" s="1654">
        <v>31.61</v>
      </c>
      <c r="K1056" s="1641"/>
      <c r="L1056" s="1654">
        <v>0.6</v>
      </c>
      <c r="M1056" s="1655">
        <v>11.97</v>
      </c>
      <c r="N1056" s="2039">
        <v>7.18</v>
      </c>
      <c r="EW1056" s="2031"/>
      <c r="EX1056" s="1619"/>
      <c r="EY1056" s="1628"/>
      <c r="EZ1056" s="1628"/>
      <c r="FA1056" s="1628"/>
      <c r="FE1056" s="1864" t="s">
        <v>697</v>
      </c>
      <c r="FH1056" s="1628"/>
      <c r="FU1056" s="1678"/>
      <c r="FW1056" s="1678"/>
    </row>
    <row r="1057" spans="1:179" s="1484" customFormat="1" ht="15" x14ac:dyDescent="0.25">
      <c r="A1057" s="2032"/>
      <c r="B1057" s="1631" t="s">
        <v>640</v>
      </c>
      <c r="C1057" s="2805" t="s">
        <v>2500</v>
      </c>
      <c r="D1057" s="2805"/>
      <c r="E1057" s="2805"/>
      <c r="F1057" s="1683"/>
      <c r="G1057" s="1641"/>
      <c r="H1057" s="1641"/>
      <c r="I1057" s="1641"/>
      <c r="J1057" s="1654">
        <v>4.71</v>
      </c>
      <c r="K1057" s="1641"/>
      <c r="L1057" s="1654">
        <v>0.09</v>
      </c>
      <c r="M1057" s="1655">
        <v>35.75</v>
      </c>
      <c r="N1057" s="2039">
        <v>3.22</v>
      </c>
      <c r="EW1057" s="2031"/>
      <c r="EX1057" s="1619"/>
      <c r="EY1057" s="1628"/>
      <c r="EZ1057" s="1628"/>
      <c r="FA1057" s="1628"/>
      <c r="FE1057" s="1864" t="s">
        <v>2500</v>
      </c>
      <c r="FH1057" s="1628"/>
      <c r="FU1057" s="1678"/>
      <c r="FW1057" s="1678"/>
    </row>
    <row r="1058" spans="1:179" s="1484" customFormat="1" ht="15" x14ac:dyDescent="0.25">
      <c r="A1058" s="2032"/>
      <c r="B1058" s="1631" t="s">
        <v>232</v>
      </c>
      <c r="C1058" s="2805" t="s">
        <v>829</v>
      </c>
      <c r="D1058" s="2805"/>
      <c r="E1058" s="2805"/>
      <c r="F1058" s="1683"/>
      <c r="G1058" s="1641"/>
      <c r="H1058" s="1641"/>
      <c r="I1058" s="1641"/>
      <c r="J1058" s="1654">
        <v>775.42</v>
      </c>
      <c r="K1058" s="1641"/>
      <c r="L1058" s="1654">
        <v>14.73</v>
      </c>
      <c r="M1058" s="1655">
        <v>9.14</v>
      </c>
      <c r="N1058" s="2039">
        <v>134.63</v>
      </c>
      <c r="EW1058" s="2031"/>
      <c r="EX1058" s="1619"/>
      <c r="EY1058" s="1628"/>
      <c r="EZ1058" s="1628"/>
      <c r="FA1058" s="1628"/>
      <c r="FE1058" s="1864" t="s">
        <v>829</v>
      </c>
      <c r="FH1058" s="1628"/>
      <c r="FU1058" s="1678"/>
      <c r="FW1058" s="1678"/>
    </row>
    <row r="1059" spans="1:179" s="1484" customFormat="1" ht="15" x14ac:dyDescent="0.25">
      <c r="A1059" s="2033"/>
      <c r="B1059" s="1631"/>
      <c r="C1059" s="2805" t="s">
        <v>2524</v>
      </c>
      <c r="D1059" s="2805"/>
      <c r="E1059" s="2805"/>
      <c r="F1059" s="1683" t="s">
        <v>807</v>
      </c>
      <c r="G1059" s="1953">
        <v>21.3</v>
      </c>
      <c r="H1059" s="1641"/>
      <c r="I1059" s="2035">
        <v>0.4047</v>
      </c>
      <c r="J1059" s="1640"/>
      <c r="K1059" s="1641"/>
      <c r="L1059" s="1640"/>
      <c r="M1059" s="1641"/>
      <c r="N1059" s="1681"/>
      <c r="EW1059" s="2031"/>
      <c r="EX1059" s="1619"/>
      <c r="EY1059" s="1628"/>
      <c r="EZ1059" s="1628"/>
      <c r="FA1059" s="1628"/>
      <c r="FF1059" s="1864" t="s">
        <v>2524</v>
      </c>
      <c r="FH1059" s="1628"/>
      <c r="FU1059" s="1678"/>
      <c r="FW1059" s="1678"/>
    </row>
    <row r="1060" spans="1:179" s="1484" customFormat="1" ht="15" x14ac:dyDescent="0.25">
      <c r="A1060" s="2033"/>
      <c r="B1060" s="1631"/>
      <c r="C1060" s="2805" t="s">
        <v>2501</v>
      </c>
      <c r="D1060" s="2805"/>
      <c r="E1060" s="2805"/>
      <c r="F1060" s="1683" t="s">
        <v>807</v>
      </c>
      <c r="G1060" s="1655">
        <v>0.38</v>
      </c>
      <c r="H1060" s="1641"/>
      <c r="I1060" s="2042">
        <v>7.2199999999999999E-3</v>
      </c>
      <c r="J1060" s="1640"/>
      <c r="K1060" s="1641"/>
      <c r="L1060" s="1640"/>
      <c r="M1060" s="1641"/>
      <c r="N1060" s="1681"/>
      <c r="EW1060" s="2031"/>
      <c r="EX1060" s="1619"/>
      <c r="EY1060" s="1628"/>
      <c r="EZ1060" s="1628"/>
      <c r="FA1060" s="1628"/>
      <c r="FF1060" s="1864" t="s">
        <v>2501</v>
      </c>
      <c r="FH1060" s="1628"/>
      <c r="FU1060" s="1678"/>
      <c r="FW1060" s="1678"/>
    </row>
    <row r="1061" spans="1:179" s="1484" customFormat="1" ht="15" x14ac:dyDescent="0.25">
      <c r="A1061" s="2032"/>
      <c r="B1061" s="1631"/>
      <c r="C1061" s="2917" t="s">
        <v>2502</v>
      </c>
      <c r="D1061" s="2917"/>
      <c r="E1061" s="2917"/>
      <c r="F1061" s="2036"/>
      <c r="G1061" s="2037"/>
      <c r="H1061" s="2037"/>
      <c r="I1061" s="2037"/>
      <c r="J1061" s="2038">
        <v>1021.31</v>
      </c>
      <c r="K1061" s="2037"/>
      <c r="L1061" s="2044">
        <v>20.420000000000002</v>
      </c>
      <c r="M1061" s="2037"/>
      <c r="N1061" s="2070">
        <v>323.77999999999997</v>
      </c>
      <c r="EW1061" s="2031"/>
      <c r="EX1061" s="1619"/>
      <c r="EY1061" s="1628"/>
      <c r="EZ1061" s="1628"/>
      <c r="FA1061" s="1628"/>
      <c r="FG1061" s="1864" t="s">
        <v>2502</v>
      </c>
      <c r="FH1061" s="1628"/>
      <c r="FU1061" s="1678"/>
      <c r="FW1061" s="1678"/>
    </row>
    <row r="1062" spans="1:179" s="1484" customFormat="1" ht="15" x14ac:dyDescent="0.25">
      <c r="A1062" s="2033" t="s">
        <v>8164</v>
      </c>
      <c r="B1062" s="1631"/>
      <c r="C1062" s="2805" t="s">
        <v>7964</v>
      </c>
      <c r="D1062" s="2805"/>
      <c r="E1062" s="2805"/>
      <c r="F1062" s="1683" t="s">
        <v>5928</v>
      </c>
      <c r="G1062" s="1641"/>
      <c r="H1062" s="1641"/>
      <c r="I1062" s="1641"/>
      <c r="J1062" s="1640"/>
      <c r="K1062" s="1641"/>
      <c r="L1062" s="1654">
        <v>0.02</v>
      </c>
      <c r="M1062" s="1641"/>
      <c r="N1062" s="2039">
        <v>0.72</v>
      </c>
      <c r="EW1062" s="2031"/>
      <c r="EX1062" s="1619"/>
      <c r="EY1062" s="1628"/>
      <c r="EZ1062" s="1628"/>
      <c r="FA1062" s="1628"/>
      <c r="FF1062" s="1864" t="s">
        <v>7964</v>
      </c>
      <c r="FH1062" s="1628"/>
      <c r="FU1062" s="1678"/>
      <c r="FW1062" s="1678"/>
    </row>
    <row r="1063" spans="1:179" s="1484" customFormat="1" ht="15" x14ac:dyDescent="0.25">
      <c r="A1063" s="2033"/>
      <c r="B1063" s="1631"/>
      <c r="C1063" s="2805" t="s">
        <v>7965</v>
      </c>
      <c r="D1063" s="2805"/>
      <c r="E1063" s="2805"/>
      <c r="F1063" s="1683" t="s">
        <v>5928</v>
      </c>
      <c r="G1063" s="1641"/>
      <c r="H1063" s="1641"/>
      <c r="I1063" s="1641"/>
      <c r="J1063" s="1654">
        <v>4.71</v>
      </c>
      <c r="K1063" s="1655">
        <v>0.25</v>
      </c>
      <c r="L1063" s="1654">
        <v>0.02</v>
      </c>
      <c r="M1063" s="1655">
        <v>35.75</v>
      </c>
      <c r="N1063" s="2039">
        <v>0.72</v>
      </c>
      <c r="EW1063" s="2031"/>
      <c r="EX1063" s="1619"/>
      <c r="EY1063" s="1628"/>
      <c r="EZ1063" s="1628"/>
      <c r="FA1063" s="1628"/>
      <c r="FF1063" s="1864" t="s">
        <v>7965</v>
      </c>
      <c r="FH1063" s="1628"/>
      <c r="FU1063" s="1678"/>
      <c r="FW1063" s="1678"/>
    </row>
    <row r="1064" spans="1:179" s="1484" customFormat="1" ht="15" x14ac:dyDescent="0.25">
      <c r="A1064" s="2033"/>
      <c r="B1064" s="1631"/>
      <c r="C1064" s="2805" t="s">
        <v>867</v>
      </c>
      <c r="D1064" s="2805"/>
      <c r="E1064" s="2805"/>
      <c r="F1064" s="1683"/>
      <c r="G1064" s="1641"/>
      <c r="H1064" s="1641"/>
      <c r="I1064" s="1641"/>
      <c r="J1064" s="1640"/>
      <c r="K1064" s="1641"/>
      <c r="L1064" s="1654">
        <v>5.2</v>
      </c>
      <c r="M1064" s="1641"/>
      <c r="N1064" s="2039">
        <v>185.91</v>
      </c>
      <c r="EW1064" s="2031"/>
      <c r="EX1064" s="1619"/>
      <c r="EY1064" s="1628"/>
      <c r="EZ1064" s="1628"/>
      <c r="FA1064" s="1628"/>
      <c r="FF1064" s="1864" t="s">
        <v>867</v>
      </c>
      <c r="FH1064" s="1628"/>
      <c r="FU1064" s="1678"/>
      <c r="FW1064" s="1678"/>
    </row>
    <row r="1065" spans="1:179" s="1484" customFormat="1" ht="15" x14ac:dyDescent="0.25">
      <c r="A1065" s="2033"/>
      <c r="B1065" s="1631" t="s">
        <v>8054</v>
      </c>
      <c r="C1065" s="2805" t="s">
        <v>8055</v>
      </c>
      <c r="D1065" s="2805"/>
      <c r="E1065" s="2805"/>
      <c r="F1065" s="1683" t="s">
        <v>636</v>
      </c>
      <c r="G1065" s="2034">
        <v>112</v>
      </c>
      <c r="H1065" s="1641"/>
      <c r="I1065" s="2034">
        <v>112</v>
      </c>
      <c r="J1065" s="1640"/>
      <c r="K1065" s="1641"/>
      <c r="L1065" s="1654">
        <v>5.82</v>
      </c>
      <c r="M1065" s="1641"/>
      <c r="N1065" s="2039">
        <v>208.22</v>
      </c>
      <c r="EW1065" s="2031"/>
      <c r="EX1065" s="1619"/>
      <c r="EY1065" s="1628"/>
      <c r="EZ1065" s="1628"/>
      <c r="FA1065" s="1628"/>
      <c r="FF1065" s="1864" t="s">
        <v>8055</v>
      </c>
      <c r="FH1065" s="1628"/>
      <c r="FU1065" s="1678"/>
      <c r="FW1065" s="1678"/>
    </row>
    <row r="1066" spans="1:179" s="1484" customFormat="1" ht="15" x14ac:dyDescent="0.25">
      <c r="A1066" s="2033"/>
      <c r="B1066" s="1631" t="s">
        <v>8056</v>
      </c>
      <c r="C1066" s="2805" t="s">
        <v>8057</v>
      </c>
      <c r="D1066" s="2805"/>
      <c r="E1066" s="2805"/>
      <c r="F1066" s="1683" t="s">
        <v>636</v>
      </c>
      <c r="G1066" s="2034">
        <v>65</v>
      </c>
      <c r="H1066" s="1641"/>
      <c r="I1066" s="2034">
        <v>65</v>
      </c>
      <c r="J1066" s="1640"/>
      <c r="K1066" s="1641"/>
      <c r="L1066" s="1654">
        <v>3.38</v>
      </c>
      <c r="M1066" s="1641"/>
      <c r="N1066" s="2039">
        <v>120.84</v>
      </c>
      <c r="EW1066" s="2031"/>
      <c r="EX1066" s="1619"/>
      <c r="EY1066" s="1628"/>
      <c r="EZ1066" s="1628"/>
      <c r="FA1066" s="1628"/>
      <c r="FF1066" s="1864" t="s">
        <v>8057</v>
      </c>
      <c r="FH1066" s="1628"/>
      <c r="FU1066" s="1678"/>
      <c r="FW1066" s="1678"/>
    </row>
    <row r="1067" spans="1:179" s="1484" customFormat="1" ht="15" x14ac:dyDescent="0.25">
      <c r="A1067" s="1650"/>
      <c r="B1067" s="1651"/>
      <c r="C1067" s="2803" t="s">
        <v>872</v>
      </c>
      <c r="D1067" s="2803"/>
      <c r="E1067" s="2803"/>
      <c r="F1067" s="1621"/>
      <c r="G1067" s="1622"/>
      <c r="H1067" s="1622"/>
      <c r="I1067" s="1622"/>
      <c r="J1067" s="1625"/>
      <c r="K1067" s="1622"/>
      <c r="L1067" s="2040">
        <v>29.64</v>
      </c>
      <c r="M1067" s="2037"/>
      <c r="N1067" s="2069">
        <v>653.55999999999995</v>
      </c>
      <c r="EW1067" s="2031"/>
      <c r="EX1067" s="1619"/>
      <c r="EY1067" s="1628"/>
      <c r="EZ1067" s="1628"/>
      <c r="FA1067" s="1628"/>
      <c r="FH1067" s="1628" t="s">
        <v>872</v>
      </c>
      <c r="FU1067" s="1678"/>
      <c r="FW1067" s="1678"/>
    </row>
    <row r="1068" spans="1:179" s="1484" customFormat="1" ht="15" x14ac:dyDescent="0.25">
      <c r="A1068" s="1620" t="s">
        <v>1358</v>
      </c>
      <c r="B1068" s="1863" t="s">
        <v>8160</v>
      </c>
      <c r="C1068" s="2803" t="s">
        <v>8161</v>
      </c>
      <c r="D1068" s="2803"/>
      <c r="E1068" s="2803"/>
      <c r="F1068" s="1621" t="s">
        <v>130</v>
      </c>
      <c r="G1068" s="1622">
        <v>2.13</v>
      </c>
      <c r="H1068" s="1623">
        <v>1</v>
      </c>
      <c r="I1068" s="1687">
        <v>2.13</v>
      </c>
      <c r="J1068" s="2040">
        <v>28.51</v>
      </c>
      <c r="K1068" s="1622"/>
      <c r="L1068" s="2040">
        <v>60.73</v>
      </c>
      <c r="M1068" s="1687">
        <v>9.14</v>
      </c>
      <c r="N1068" s="2069">
        <v>555.07000000000005</v>
      </c>
      <c r="EW1068" s="2031"/>
      <c r="EX1068" s="1619"/>
      <c r="EY1068" s="1628" t="s">
        <v>8161</v>
      </c>
      <c r="EZ1068" s="1628" t="s">
        <v>588</v>
      </c>
      <c r="FA1068" s="1628" t="s">
        <v>588</v>
      </c>
      <c r="FH1068" s="1628"/>
      <c r="FU1068" s="1678"/>
      <c r="FW1068" s="1678"/>
    </row>
    <row r="1069" spans="1:179" s="1484" customFormat="1" ht="15" x14ac:dyDescent="0.25">
      <c r="A1069" s="1650"/>
      <c r="B1069" s="1651"/>
      <c r="C1069" s="2805" t="s">
        <v>8640</v>
      </c>
      <c r="D1069" s="2805"/>
      <c r="E1069" s="2805"/>
      <c r="F1069" s="2805"/>
      <c r="G1069" s="2805"/>
      <c r="H1069" s="2805"/>
      <c r="I1069" s="2805"/>
      <c r="J1069" s="2805"/>
      <c r="K1069" s="2805"/>
      <c r="L1069" s="2805"/>
      <c r="M1069" s="2805"/>
      <c r="N1069" s="2806"/>
      <c r="EW1069" s="2031"/>
      <c r="EX1069" s="1619"/>
      <c r="EY1069" s="1628"/>
      <c r="EZ1069" s="1628"/>
      <c r="FA1069" s="1628"/>
      <c r="FH1069" s="1628"/>
      <c r="FI1069" s="1864" t="s">
        <v>8640</v>
      </c>
      <c r="FJ1069" s="1864" t="s">
        <v>588</v>
      </c>
      <c r="FK1069" s="1864" t="s">
        <v>588</v>
      </c>
      <c r="FL1069" s="1864" t="s">
        <v>588</v>
      </c>
      <c r="FM1069" s="1864" t="s">
        <v>588</v>
      </c>
      <c r="FN1069" s="1864" t="s">
        <v>588</v>
      </c>
      <c r="FO1069" s="1864" t="s">
        <v>588</v>
      </c>
      <c r="FP1069" s="1864" t="s">
        <v>588</v>
      </c>
      <c r="FQ1069" s="1864" t="s">
        <v>588</v>
      </c>
      <c r="FR1069" s="1864" t="s">
        <v>588</v>
      </c>
      <c r="FS1069" s="1864" t="s">
        <v>588</v>
      </c>
      <c r="FT1069" s="1864" t="s">
        <v>588</v>
      </c>
      <c r="FU1069" s="1678"/>
      <c r="FW1069" s="1678"/>
    </row>
    <row r="1070" spans="1:179" s="1484" customFormat="1" ht="15" x14ac:dyDescent="0.25">
      <c r="A1070" s="1629"/>
      <c r="B1070" s="1862"/>
      <c r="C1070" s="2805" t="s">
        <v>8846</v>
      </c>
      <c r="D1070" s="2805"/>
      <c r="E1070" s="2805"/>
      <c r="F1070" s="2805"/>
      <c r="G1070" s="2805"/>
      <c r="H1070" s="2805"/>
      <c r="I1070" s="2805"/>
      <c r="J1070" s="2805"/>
      <c r="K1070" s="2805"/>
      <c r="L1070" s="2805"/>
      <c r="M1070" s="2805"/>
      <c r="N1070" s="2806"/>
      <c r="EW1070" s="2031"/>
      <c r="EX1070" s="1619"/>
      <c r="EY1070" s="1628"/>
      <c r="EZ1070" s="1628"/>
      <c r="FA1070" s="1628"/>
      <c r="FB1070" s="1864" t="s">
        <v>8846</v>
      </c>
      <c r="FH1070" s="1628"/>
      <c r="FU1070" s="1678"/>
      <c r="FW1070" s="1678"/>
    </row>
    <row r="1071" spans="1:179" s="1484" customFormat="1" ht="15" x14ac:dyDescent="0.25">
      <c r="A1071" s="1650"/>
      <c r="B1071" s="1651"/>
      <c r="C1071" s="2803" t="s">
        <v>872</v>
      </c>
      <c r="D1071" s="2803"/>
      <c r="E1071" s="2803"/>
      <c r="F1071" s="1621"/>
      <c r="G1071" s="1622"/>
      <c r="H1071" s="1622"/>
      <c r="I1071" s="1622"/>
      <c r="J1071" s="1625"/>
      <c r="K1071" s="1622"/>
      <c r="L1071" s="2040">
        <v>60.73</v>
      </c>
      <c r="M1071" s="2037"/>
      <c r="N1071" s="2069">
        <v>555.07000000000005</v>
      </c>
      <c r="EW1071" s="2031"/>
      <c r="EX1071" s="1619"/>
      <c r="EY1071" s="1628"/>
      <c r="EZ1071" s="1628"/>
      <c r="FA1071" s="1628"/>
      <c r="FH1071" s="1628" t="s">
        <v>872</v>
      </c>
      <c r="FU1071" s="1678"/>
      <c r="FW1071" s="1678"/>
    </row>
    <row r="1072" spans="1:179" s="1484" customFormat="1" ht="33.75" x14ac:dyDescent="0.25">
      <c r="A1072" s="1620" t="s">
        <v>1360</v>
      </c>
      <c r="B1072" s="1863" t="s">
        <v>8133</v>
      </c>
      <c r="C1072" s="2803" t="s">
        <v>8134</v>
      </c>
      <c r="D1072" s="2803"/>
      <c r="E1072" s="2803"/>
      <c r="F1072" s="1621" t="s">
        <v>2555</v>
      </c>
      <c r="G1072" s="1622">
        <v>8.9999999999999993E-3</v>
      </c>
      <c r="H1072" s="1623">
        <v>1</v>
      </c>
      <c r="I1072" s="2045">
        <v>8.9999999999999993E-3</v>
      </c>
      <c r="J1072" s="1625"/>
      <c r="K1072" s="1622"/>
      <c r="L1072" s="1625"/>
      <c r="M1072" s="1622"/>
      <c r="N1072" s="1627"/>
      <c r="EW1072" s="2031"/>
      <c r="EX1072" s="1619"/>
      <c r="EY1072" s="1628" t="s">
        <v>8134</v>
      </c>
      <c r="EZ1072" s="1628" t="s">
        <v>588</v>
      </c>
      <c r="FA1072" s="1628" t="s">
        <v>588</v>
      </c>
      <c r="FH1072" s="1628"/>
      <c r="FU1072" s="1678"/>
      <c r="FW1072" s="1678"/>
    </row>
    <row r="1073" spans="1:179" s="1484" customFormat="1" ht="15" x14ac:dyDescent="0.25">
      <c r="A1073" s="1629"/>
      <c r="B1073" s="1862"/>
      <c r="C1073" s="2805" t="s">
        <v>8844</v>
      </c>
      <c r="D1073" s="2805"/>
      <c r="E1073" s="2805"/>
      <c r="F1073" s="2805"/>
      <c r="G1073" s="2805"/>
      <c r="H1073" s="2805"/>
      <c r="I1073" s="2805"/>
      <c r="J1073" s="2805"/>
      <c r="K1073" s="2805"/>
      <c r="L1073" s="2805"/>
      <c r="M1073" s="2805"/>
      <c r="N1073" s="2806"/>
      <c r="EW1073" s="2031"/>
      <c r="EX1073" s="1619"/>
      <c r="EY1073" s="1628"/>
      <c r="EZ1073" s="1628"/>
      <c r="FA1073" s="1628"/>
      <c r="FB1073" s="1864" t="s">
        <v>8844</v>
      </c>
      <c r="FH1073" s="1628"/>
      <c r="FU1073" s="1678"/>
      <c r="FW1073" s="1678"/>
    </row>
    <row r="1074" spans="1:179" s="1484" customFormat="1" ht="22.5" x14ac:dyDescent="0.25">
      <c r="A1074" s="1630"/>
      <c r="B1074" s="1631" t="s">
        <v>6062</v>
      </c>
      <c r="C1074" s="2809" t="s">
        <v>6063</v>
      </c>
      <c r="D1074" s="2809"/>
      <c r="E1074" s="2809"/>
      <c r="F1074" s="2809"/>
      <c r="G1074" s="2809"/>
      <c r="H1074" s="2809"/>
      <c r="I1074" s="2809"/>
      <c r="J1074" s="2809"/>
      <c r="K1074" s="2809"/>
      <c r="L1074" s="2809"/>
      <c r="M1074" s="2809"/>
      <c r="N1074" s="2810"/>
      <c r="EW1074" s="2031"/>
      <c r="EX1074" s="1619"/>
      <c r="EY1074" s="1628"/>
      <c r="EZ1074" s="1628"/>
      <c r="FA1074" s="1628"/>
      <c r="FC1074" s="1864" t="s">
        <v>6063</v>
      </c>
      <c r="FH1074" s="1628"/>
      <c r="FU1074" s="1678"/>
      <c r="FW1074" s="1678"/>
    </row>
    <row r="1075" spans="1:179" s="1484" customFormat="1" ht="15" x14ac:dyDescent="0.25">
      <c r="A1075" s="1630"/>
      <c r="B1075" s="1631" t="s">
        <v>8135</v>
      </c>
      <c r="C1075" s="2809" t="s">
        <v>8136</v>
      </c>
      <c r="D1075" s="2809"/>
      <c r="E1075" s="2809"/>
      <c r="F1075" s="2809"/>
      <c r="G1075" s="2809"/>
      <c r="H1075" s="2809"/>
      <c r="I1075" s="2809"/>
      <c r="J1075" s="2809"/>
      <c r="K1075" s="2809"/>
      <c r="L1075" s="2809"/>
      <c r="M1075" s="2809"/>
      <c r="N1075" s="2810"/>
      <c r="EW1075" s="2031"/>
      <c r="EX1075" s="1619"/>
      <c r="EY1075" s="1628"/>
      <c r="EZ1075" s="1628"/>
      <c r="FA1075" s="1628"/>
      <c r="FC1075" s="1864" t="s">
        <v>8136</v>
      </c>
      <c r="FH1075" s="1628"/>
      <c r="FU1075" s="1678"/>
      <c r="FW1075" s="1678"/>
    </row>
    <row r="1076" spans="1:179" s="1484" customFormat="1" ht="22.5" x14ac:dyDescent="0.25">
      <c r="A1076" s="2033"/>
      <c r="B1076" s="1631" t="s">
        <v>8732</v>
      </c>
      <c r="C1076" s="2805" t="s">
        <v>8731</v>
      </c>
      <c r="D1076" s="2805"/>
      <c r="E1076" s="2805"/>
      <c r="F1076" s="1683" t="s">
        <v>807</v>
      </c>
      <c r="G1076" s="1953">
        <v>25.8</v>
      </c>
      <c r="H1076" s="1655">
        <v>0.75</v>
      </c>
      <c r="I1076" s="2042">
        <v>0.17415</v>
      </c>
      <c r="J1076" s="1654">
        <v>8.9700000000000006</v>
      </c>
      <c r="K1076" s="1655">
        <v>1.25</v>
      </c>
      <c r="L1076" s="1654">
        <v>1.95</v>
      </c>
      <c r="M1076" s="1641"/>
      <c r="N1076" s="1681"/>
      <c r="EW1076" s="2031"/>
      <c r="EX1076" s="1619"/>
      <c r="EY1076" s="1628"/>
      <c r="EZ1076" s="1628"/>
      <c r="FA1076" s="1628"/>
      <c r="FD1076" s="1864" t="s">
        <v>8731</v>
      </c>
      <c r="FH1076" s="1628"/>
      <c r="FU1076" s="1678"/>
      <c r="FW1076" s="1678"/>
    </row>
    <row r="1077" spans="1:179" s="1484" customFormat="1" ht="22.5" x14ac:dyDescent="0.25">
      <c r="A1077" s="2033"/>
      <c r="B1077" s="1631" t="s">
        <v>5010</v>
      </c>
      <c r="C1077" s="2805" t="s">
        <v>5011</v>
      </c>
      <c r="D1077" s="2805"/>
      <c r="E1077" s="2805"/>
      <c r="F1077" s="1683" t="s">
        <v>4994</v>
      </c>
      <c r="G1077" s="1655">
        <v>0.18</v>
      </c>
      <c r="H1077" s="1641"/>
      <c r="I1077" s="2042">
        <v>1.6199999999999999E-3</v>
      </c>
      <c r="J1077" s="1654">
        <v>31.26</v>
      </c>
      <c r="K1077" s="1641"/>
      <c r="L1077" s="1654">
        <v>0.05</v>
      </c>
      <c r="M1077" s="1641"/>
      <c r="N1077" s="1681"/>
      <c r="EW1077" s="2031"/>
      <c r="EX1077" s="1619"/>
      <c r="EY1077" s="1628"/>
      <c r="EZ1077" s="1628"/>
      <c r="FA1077" s="1628"/>
      <c r="FD1077" s="1864" t="s">
        <v>5011</v>
      </c>
      <c r="FH1077" s="1628"/>
      <c r="FU1077" s="1678"/>
      <c r="FW1077" s="1678"/>
    </row>
    <row r="1078" spans="1:179" s="1484" customFormat="1" ht="15" x14ac:dyDescent="0.25">
      <c r="A1078" s="2033"/>
      <c r="B1078" s="1631" t="s">
        <v>821</v>
      </c>
      <c r="C1078" s="2805" t="s">
        <v>822</v>
      </c>
      <c r="D1078" s="2805"/>
      <c r="E1078" s="2805"/>
      <c r="F1078" s="1683" t="s">
        <v>4994</v>
      </c>
      <c r="G1078" s="1953">
        <v>0.9</v>
      </c>
      <c r="H1078" s="1641"/>
      <c r="I1078" s="2035">
        <v>8.0999999999999996E-3</v>
      </c>
      <c r="J1078" s="1654">
        <v>65.709999999999994</v>
      </c>
      <c r="K1078" s="1641"/>
      <c r="L1078" s="1654">
        <v>0.53</v>
      </c>
      <c r="M1078" s="1641"/>
      <c r="N1078" s="1681"/>
      <c r="EW1078" s="2031"/>
      <c r="EX1078" s="1619"/>
      <c r="EY1078" s="1628"/>
      <c r="EZ1078" s="1628"/>
      <c r="FA1078" s="1628"/>
      <c r="FD1078" s="1864" t="s">
        <v>822</v>
      </c>
      <c r="FH1078" s="1628"/>
      <c r="FU1078" s="1678"/>
      <c r="FW1078" s="1678"/>
    </row>
    <row r="1079" spans="1:179" s="1484" customFormat="1" ht="15" x14ac:dyDescent="0.25">
      <c r="A1079" s="2032"/>
      <c r="B1079" s="1631" t="s">
        <v>190</v>
      </c>
      <c r="C1079" s="2805" t="s">
        <v>2523</v>
      </c>
      <c r="D1079" s="2805"/>
      <c r="E1079" s="2805"/>
      <c r="F1079" s="1683"/>
      <c r="G1079" s="1641"/>
      <c r="H1079" s="1641"/>
      <c r="I1079" s="1641"/>
      <c r="J1079" s="1654">
        <v>231.43</v>
      </c>
      <c r="K1079" s="2035">
        <v>0.9375</v>
      </c>
      <c r="L1079" s="1654">
        <v>1.95</v>
      </c>
      <c r="M1079" s="1655">
        <v>35.75</v>
      </c>
      <c r="N1079" s="2039">
        <v>69.709999999999994</v>
      </c>
      <c r="EW1079" s="2031"/>
      <c r="EX1079" s="1619"/>
      <c r="EY1079" s="1628"/>
      <c r="EZ1079" s="1628"/>
      <c r="FA1079" s="1628"/>
      <c r="FE1079" s="1864" t="s">
        <v>2523</v>
      </c>
      <c r="FH1079" s="1628"/>
      <c r="FU1079" s="1678"/>
      <c r="FW1079" s="1678"/>
    </row>
    <row r="1080" spans="1:179" s="1484" customFormat="1" ht="15" x14ac:dyDescent="0.25">
      <c r="A1080" s="2032"/>
      <c r="B1080" s="1631" t="s">
        <v>639</v>
      </c>
      <c r="C1080" s="2805" t="s">
        <v>697</v>
      </c>
      <c r="D1080" s="2805"/>
      <c r="E1080" s="2805"/>
      <c r="F1080" s="1683"/>
      <c r="G1080" s="1641"/>
      <c r="H1080" s="1641"/>
      <c r="I1080" s="1641"/>
      <c r="J1080" s="1654">
        <v>64.77</v>
      </c>
      <c r="K1080" s="1641"/>
      <c r="L1080" s="1654">
        <v>0.57999999999999996</v>
      </c>
      <c r="M1080" s="1655">
        <v>11.97</v>
      </c>
      <c r="N1080" s="2039">
        <v>6.94</v>
      </c>
      <c r="EW1080" s="2031"/>
      <c r="EX1080" s="1619"/>
      <c r="EY1080" s="1628"/>
      <c r="EZ1080" s="1628"/>
      <c r="FA1080" s="1628"/>
      <c r="FE1080" s="1864" t="s">
        <v>697</v>
      </c>
      <c r="FH1080" s="1628"/>
      <c r="FU1080" s="1678"/>
      <c r="FW1080" s="1678"/>
    </row>
    <row r="1081" spans="1:179" s="1484" customFormat="1" ht="15" x14ac:dyDescent="0.25">
      <c r="A1081" s="2032"/>
      <c r="B1081" s="1631" t="s">
        <v>640</v>
      </c>
      <c r="C1081" s="2805" t="s">
        <v>2500</v>
      </c>
      <c r="D1081" s="2805"/>
      <c r="E1081" s="2805"/>
      <c r="F1081" s="1683"/>
      <c r="G1081" s="1641"/>
      <c r="H1081" s="1641"/>
      <c r="I1081" s="1641"/>
      <c r="J1081" s="1654">
        <v>12.87</v>
      </c>
      <c r="K1081" s="1641"/>
      <c r="L1081" s="1654">
        <v>0.12</v>
      </c>
      <c r="M1081" s="1655">
        <v>35.75</v>
      </c>
      <c r="N1081" s="2039">
        <v>4.29</v>
      </c>
      <c r="EW1081" s="2031"/>
      <c r="EX1081" s="1619"/>
      <c r="EY1081" s="1628"/>
      <c r="EZ1081" s="1628"/>
      <c r="FA1081" s="1628"/>
      <c r="FE1081" s="1864" t="s">
        <v>2500</v>
      </c>
      <c r="FH1081" s="1628"/>
      <c r="FU1081" s="1678"/>
      <c r="FW1081" s="1678"/>
    </row>
    <row r="1082" spans="1:179" s="1484" customFormat="1" ht="15" x14ac:dyDescent="0.25">
      <c r="A1082" s="2033"/>
      <c r="B1082" s="1631"/>
      <c r="C1082" s="2805" t="s">
        <v>2524</v>
      </c>
      <c r="D1082" s="2805"/>
      <c r="E1082" s="2805"/>
      <c r="F1082" s="1683" t="s">
        <v>807</v>
      </c>
      <c r="G1082" s="1953">
        <v>25.8</v>
      </c>
      <c r="H1082" s="1655">
        <v>0.75</v>
      </c>
      <c r="I1082" s="2042">
        <v>0.17415</v>
      </c>
      <c r="J1082" s="1640"/>
      <c r="K1082" s="1641"/>
      <c r="L1082" s="1640"/>
      <c r="M1082" s="1641"/>
      <c r="N1082" s="1681"/>
      <c r="EW1082" s="2031"/>
      <c r="EX1082" s="1619"/>
      <c r="EY1082" s="1628"/>
      <c r="EZ1082" s="1628"/>
      <c r="FA1082" s="1628"/>
      <c r="FF1082" s="1864" t="s">
        <v>2524</v>
      </c>
      <c r="FH1082" s="1628"/>
      <c r="FU1082" s="1678"/>
      <c r="FW1082" s="1678"/>
    </row>
    <row r="1083" spans="1:179" s="1484" customFormat="1" ht="15" x14ac:dyDescent="0.25">
      <c r="A1083" s="2033"/>
      <c r="B1083" s="1631"/>
      <c r="C1083" s="2805" t="s">
        <v>2501</v>
      </c>
      <c r="D1083" s="2805"/>
      <c r="E1083" s="2805"/>
      <c r="F1083" s="1683" t="s">
        <v>807</v>
      </c>
      <c r="G1083" s="1655">
        <v>1.08</v>
      </c>
      <c r="H1083" s="1641"/>
      <c r="I1083" s="2042">
        <v>9.7199999999999995E-3</v>
      </c>
      <c r="J1083" s="1640"/>
      <c r="K1083" s="1641"/>
      <c r="L1083" s="1640"/>
      <c r="M1083" s="1641"/>
      <c r="N1083" s="1681"/>
      <c r="EW1083" s="2031"/>
      <c r="EX1083" s="1619"/>
      <c r="EY1083" s="1628"/>
      <c r="EZ1083" s="1628"/>
      <c r="FA1083" s="1628"/>
      <c r="FF1083" s="1864" t="s">
        <v>2501</v>
      </c>
      <c r="FH1083" s="1628"/>
      <c r="FU1083" s="1678"/>
      <c r="FW1083" s="1678"/>
    </row>
    <row r="1084" spans="1:179" s="1484" customFormat="1" ht="15" x14ac:dyDescent="0.25">
      <c r="A1084" s="2032"/>
      <c r="B1084" s="1631"/>
      <c r="C1084" s="2917" t="s">
        <v>2502</v>
      </c>
      <c r="D1084" s="2917"/>
      <c r="E1084" s="2917"/>
      <c r="F1084" s="2036"/>
      <c r="G1084" s="2037"/>
      <c r="H1084" s="2037"/>
      <c r="I1084" s="2037"/>
      <c r="J1084" s="2044">
        <v>296.2</v>
      </c>
      <c r="K1084" s="2037"/>
      <c r="L1084" s="2044">
        <v>2.5299999999999998</v>
      </c>
      <c r="M1084" s="2037"/>
      <c r="N1084" s="2070">
        <v>76.650000000000006</v>
      </c>
      <c r="EW1084" s="2031"/>
      <c r="EX1084" s="1619"/>
      <c r="EY1084" s="1628"/>
      <c r="EZ1084" s="1628"/>
      <c r="FA1084" s="1628"/>
      <c r="FG1084" s="1864" t="s">
        <v>2502</v>
      </c>
      <c r="FH1084" s="1628"/>
      <c r="FU1084" s="1678"/>
      <c r="FW1084" s="1678"/>
    </row>
    <row r="1085" spans="1:179" s="1484" customFormat="1" ht="15" x14ac:dyDescent="0.25">
      <c r="A1085" s="2033" t="s">
        <v>8165</v>
      </c>
      <c r="B1085" s="1631"/>
      <c r="C1085" s="2805" t="s">
        <v>7964</v>
      </c>
      <c r="D1085" s="2805"/>
      <c r="E1085" s="2805"/>
      <c r="F1085" s="1683" t="s">
        <v>5928</v>
      </c>
      <c r="G1085" s="1641"/>
      <c r="H1085" s="1641"/>
      <c r="I1085" s="1641"/>
      <c r="J1085" s="1640"/>
      <c r="K1085" s="1641"/>
      <c r="L1085" s="1654">
        <v>0.03</v>
      </c>
      <c r="M1085" s="1641"/>
      <c r="N1085" s="2039">
        <v>1.07</v>
      </c>
      <c r="EW1085" s="2031"/>
      <c r="EX1085" s="1619"/>
      <c r="EY1085" s="1628"/>
      <c r="EZ1085" s="1628"/>
      <c r="FA1085" s="1628"/>
      <c r="FF1085" s="1864" t="s">
        <v>7964</v>
      </c>
      <c r="FH1085" s="1628"/>
      <c r="FU1085" s="1678"/>
      <c r="FW1085" s="1678"/>
    </row>
    <row r="1086" spans="1:179" s="1484" customFormat="1" ht="15" x14ac:dyDescent="0.25">
      <c r="A1086" s="2033"/>
      <c r="B1086" s="1631"/>
      <c r="C1086" s="2805" t="s">
        <v>7965</v>
      </c>
      <c r="D1086" s="2805"/>
      <c r="E1086" s="2805"/>
      <c r="F1086" s="1683" t="s">
        <v>5928</v>
      </c>
      <c r="G1086" s="1641"/>
      <c r="H1086" s="1641"/>
      <c r="I1086" s="1641"/>
      <c r="J1086" s="1654">
        <v>12.87</v>
      </c>
      <c r="K1086" s="1655">
        <v>0.25</v>
      </c>
      <c r="L1086" s="1654">
        <v>0.03</v>
      </c>
      <c r="M1086" s="1655">
        <v>35.75</v>
      </c>
      <c r="N1086" s="2039">
        <v>1.07</v>
      </c>
      <c r="EW1086" s="2031"/>
      <c r="EX1086" s="1619"/>
      <c r="EY1086" s="1628"/>
      <c r="EZ1086" s="1628"/>
      <c r="FA1086" s="1628"/>
      <c r="FF1086" s="1864" t="s">
        <v>7965</v>
      </c>
      <c r="FH1086" s="1628"/>
      <c r="FU1086" s="1678"/>
      <c r="FW1086" s="1678"/>
    </row>
    <row r="1087" spans="1:179" s="1484" customFormat="1" ht="15" x14ac:dyDescent="0.25">
      <c r="A1087" s="2033"/>
      <c r="B1087" s="1631"/>
      <c r="C1087" s="2805" t="s">
        <v>867</v>
      </c>
      <c r="D1087" s="2805"/>
      <c r="E1087" s="2805"/>
      <c r="F1087" s="1683"/>
      <c r="G1087" s="1641"/>
      <c r="H1087" s="1641"/>
      <c r="I1087" s="1641"/>
      <c r="J1087" s="1640"/>
      <c r="K1087" s="1641"/>
      <c r="L1087" s="1654">
        <v>2.1</v>
      </c>
      <c r="M1087" s="1641"/>
      <c r="N1087" s="2039">
        <v>75.069999999999993</v>
      </c>
      <c r="EW1087" s="2031"/>
      <c r="EX1087" s="1619"/>
      <c r="EY1087" s="1628"/>
      <c r="EZ1087" s="1628"/>
      <c r="FA1087" s="1628"/>
      <c r="FF1087" s="1864" t="s">
        <v>867</v>
      </c>
      <c r="FH1087" s="1628"/>
      <c r="FU1087" s="1678"/>
      <c r="FW1087" s="1678"/>
    </row>
    <row r="1088" spans="1:179" s="1484" customFormat="1" ht="15" x14ac:dyDescent="0.25">
      <c r="A1088" s="2033"/>
      <c r="B1088" s="1631" t="s">
        <v>8054</v>
      </c>
      <c r="C1088" s="2805" t="s">
        <v>8055</v>
      </c>
      <c r="D1088" s="2805"/>
      <c r="E1088" s="2805"/>
      <c r="F1088" s="1683" t="s">
        <v>636</v>
      </c>
      <c r="G1088" s="2034">
        <v>112</v>
      </c>
      <c r="H1088" s="1641"/>
      <c r="I1088" s="2034">
        <v>112</v>
      </c>
      <c r="J1088" s="1640"/>
      <c r="K1088" s="1641"/>
      <c r="L1088" s="1654">
        <v>2.35</v>
      </c>
      <c r="M1088" s="1641"/>
      <c r="N1088" s="2039">
        <v>84.08</v>
      </c>
      <c r="EW1088" s="2031"/>
      <c r="EX1088" s="1619"/>
      <c r="EY1088" s="1628"/>
      <c r="EZ1088" s="1628"/>
      <c r="FA1088" s="1628"/>
      <c r="FF1088" s="1864" t="s">
        <v>8055</v>
      </c>
      <c r="FH1088" s="1628"/>
      <c r="FU1088" s="1678"/>
      <c r="FW1088" s="1678"/>
    </row>
    <row r="1089" spans="1:179" s="1484" customFormat="1" ht="15" x14ac:dyDescent="0.25">
      <c r="A1089" s="2033"/>
      <c r="B1089" s="1631" t="s">
        <v>8056</v>
      </c>
      <c r="C1089" s="2805" t="s">
        <v>8057</v>
      </c>
      <c r="D1089" s="2805"/>
      <c r="E1089" s="2805"/>
      <c r="F1089" s="1683" t="s">
        <v>636</v>
      </c>
      <c r="G1089" s="2034">
        <v>65</v>
      </c>
      <c r="H1089" s="1641"/>
      <c r="I1089" s="2034">
        <v>65</v>
      </c>
      <c r="J1089" s="1640"/>
      <c r="K1089" s="1641"/>
      <c r="L1089" s="1654">
        <v>1.37</v>
      </c>
      <c r="M1089" s="1641"/>
      <c r="N1089" s="2039">
        <v>48.8</v>
      </c>
      <c r="EW1089" s="2031"/>
      <c r="EX1089" s="1619"/>
      <c r="EY1089" s="1628"/>
      <c r="EZ1089" s="1628"/>
      <c r="FA1089" s="1628"/>
      <c r="FF1089" s="1864" t="s">
        <v>8057</v>
      </c>
      <c r="FH1089" s="1628"/>
      <c r="FU1089" s="1678"/>
      <c r="FW1089" s="1678"/>
    </row>
    <row r="1090" spans="1:179" s="1484" customFormat="1" ht="15" x14ac:dyDescent="0.25">
      <c r="A1090" s="1650"/>
      <c r="B1090" s="1651"/>
      <c r="C1090" s="2803" t="s">
        <v>872</v>
      </c>
      <c r="D1090" s="2803"/>
      <c r="E1090" s="2803"/>
      <c r="F1090" s="1621"/>
      <c r="G1090" s="1622"/>
      <c r="H1090" s="1622"/>
      <c r="I1090" s="1622"/>
      <c r="J1090" s="1625"/>
      <c r="K1090" s="1622"/>
      <c r="L1090" s="2040">
        <v>6.28</v>
      </c>
      <c r="M1090" s="2037"/>
      <c r="N1090" s="2069">
        <v>210.6</v>
      </c>
      <c r="EW1090" s="2031"/>
      <c r="EX1090" s="1619"/>
      <c r="EY1090" s="1628"/>
      <c r="EZ1090" s="1628"/>
      <c r="FA1090" s="1628"/>
      <c r="FH1090" s="1628" t="s">
        <v>872</v>
      </c>
      <c r="FU1090" s="1678"/>
      <c r="FW1090" s="1678"/>
    </row>
    <row r="1091" spans="1:179" s="1484" customFormat="1" ht="22.5" x14ac:dyDescent="0.25">
      <c r="A1091" s="1620" t="s">
        <v>1362</v>
      </c>
      <c r="B1091" s="1863" t="s">
        <v>8166</v>
      </c>
      <c r="C1091" s="2803" t="s">
        <v>8167</v>
      </c>
      <c r="D1091" s="2803"/>
      <c r="E1091" s="2803"/>
      <c r="F1091" s="1621" t="s">
        <v>832</v>
      </c>
      <c r="G1091" s="1622">
        <v>5.6000000000000001E-2</v>
      </c>
      <c r="H1091" s="1623">
        <v>1</v>
      </c>
      <c r="I1091" s="2045">
        <v>5.6000000000000001E-2</v>
      </c>
      <c r="J1091" s="1648">
        <v>1208.43</v>
      </c>
      <c r="K1091" s="1622"/>
      <c r="L1091" s="2040">
        <v>67.67</v>
      </c>
      <c r="M1091" s="1687">
        <v>9.14</v>
      </c>
      <c r="N1091" s="2069">
        <v>618.5</v>
      </c>
      <c r="EW1091" s="2031"/>
      <c r="EX1091" s="1619"/>
      <c r="EY1091" s="1628" t="s">
        <v>8167</v>
      </c>
      <c r="EZ1091" s="1628" t="s">
        <v>588</v>
      </c>
      <c r="FA1091" s="1628" t="s">
        <v>588</v>
      </c>
      <c r="FH1091" s="1628"/>
      <c r="FU1091" s="1678"/>
      <c r="FW1091" s="1678"/>
    </row>
    <row r="1092" spans="1:179" s="1484" customFormat="1" ht="15" x14ac:dyDescent="0.25">
      <c r="A1092" s="1650"/>
      <c r="B1092" s="1651"/>
      <c r="C1092" s="2805" t="s">
        <v>8640</v>
      </c>
      <c r="D1092" s="2805"/>
      <c r="E1092" s="2805"/>
      <c r="F1092" s="2805"/>
      <c r="G1092" s="2805"/>
      <c r="H1092" s="2805"/>
      <c r="I1092" s="2805"/>
      <c r="J1092" s="2805"/>
      <c r="K1092" s="2805"/>
      <c r="L1092" s="2805"/>
      <c r="M1092" s="2805"/>
      <c r="N1092" s="2806"/>
      <c r="EW1092" s="2031"/>
      <c r="EX1092" s="1619"/>
      <c r="EY1092" s="1628"/>
      <c r="EZ1092" s="1628"/>
      <c r="FA1092" s="1628"/>
      <c r="FH1092" s="1628"/>
      <c r="FI1092" s="1864" t="s">
        <v>8640</v>
      </c>
      <c r="FJ1092" s="1864" t="s">
        <v>588</v>
      </c>
      <c r="FK1092" s="1864" t="s">
        <v>588</v>
      </c>
      <c r="FL1092" s="1864" t="s">
        <v>588</v>
      </c>
      <c r="FM1092" s="1864" t="s">
        <v>588</v>
      </c>
      <c r="FN1092" s="1864" t="s">
        <v>588</v>
      </c>
      <c r="FO1092" s="1864" t="s">
        <v>588</v>
      </c>
      <c r="FP1092" s="1864" t="s">
        <v>588</v>
      </c>
      <c r="FQ1092" s="1864" t="s">
        <v>588</v>
      </c>
      <c r="FR1092" s="1864" t="s">
        <v>588</v>
      </c>
      <c r="FS1092" s="1864" t="s">
        <v>588</v>
      </c>
      <c r="FT1092" s="1864" t="s">
        <v>588</v>
      </c>
      <c r="FU1092" s="1678"/>
      <c r="FW1092" s="1678"/>
    </row>
    <row r="1093" spans="1:179" s="1484" customFormat="1" ht="15" x14ac:dyDescent="0.25">
      <c r="A1093" s="1629"/>
      <c r="B1093" s="1862"/>
      <c r="C1093" s="2805" t="s">
        <v>8845</v>
      </c>
      <c r="D1093" s="2805"/>
      <c r="E1093" s="2805"/>
      <c r="F1093" s="2805"/>
      <c r="G1093" s="2805"/>
      <c r="H1093" s="2805"/>
      <c r="I1093" s="2805"/>
      <c r="J1093" s="2805"/>
      <c r="K1093" s="2805"/>
      <c r="L1093" s="2805"/>
      <c r="M1093" s="2805"/>
      <c r="N1093" s="2806"/>
      <c r="EW1093" s="2031"/>
      <c r="EX1093" s="1619"/>
      <c r="EY1093" s="1628"/>
      <c r="EZ1093" s="1628"/>
      <c r="FA1093" s="1628"/>
      <c r="FB1093" s="1864" t="s">
        <v>8845</v>
      </c>
      <c r="FH1093" s="1628"/>
      <c r="FU1093" s="1678"/>
      <c r="FW1093" s="1678"/>
    </row>
    <row r="1094" spans="1:179" s="1484" customFormat="1" ht="15" x14ac:dyDescent="0.25">
      <c r="A1094" s="1650"/>
      <c r="B1094" s="1651"/>
      <c r="C1094" s="2803" t="s">
        <v>872</v>
      </c>
      <c r="D1094" s="2803"/>
      <c r="E1094" s="2803"/>
      <c r="F1094" s="1621"/>
      <c r="G1094" s="1622"/>
      <c r="H1094" s="1622"/>
      <c r="I1094" s="1622"/>
      <c r="J1094" s="1625"/>
      <c r="K1094" s="1622"/>
      <c r="L1094" s="2040">
        <v>67.67</v>
      </c>
      <c r="M1094" s="2037"/>
      <c r="N1094" s="2069">
        <v>618.5</v>
      </c>
      <c r="EW1094" s="2031"/>
      <c r="EX1094" s="1619"/>
      <c r="EY1094" s="1628"/>
      <c r="EZ1094" s="1628"/>
      <c r="FA1094" s="1628"/>
      <c r="FH1094" s="1628" t="s">
        <v>872</v>
      </c>
      <c r="FU1094" s="1678"/>
      <c r="FW1094" s="1678"/>
    </row>
    <row r="1095" spans="1:179" s="1484" customFormat="1" ht="22.5" x14ac:dyDescent="0.25">
      <c r="A1095" s="1620" t="s">
        <v>1365</v>
      </c>
      <c r="B1095" s="1863" t="s">
        <v>8137</v>
      </c>
      <c r="C1095" s="2803" t="s">
        <v>8138</v>
      </c>
      <c r="D1095" s="2803"/>
      <c r="E1095" s="2803"/>
      <c r="F1095" s="1621" t="s">
        <v>2555</v>
      </c>
      <c r="G1095" s="1622">
        <v>8.9999999999999993E-3</v>
      </c>
      <c r="H1095" s="1623">
        <v>1</v>
      </c>
      <c r="I1095" s="2045">
        <v>8.9999999999999993E-3</v>
      </c>
      <c r="J1095" s="1625"/>
      <c r="K1095" s="1622"/>
      <c r="L1095" s="1625"/>
      <c r="M1095" s="1622"/>
      <c r="N1095" s="1627"/>
      <c r="EW1095" s="2031"/>
      <c r="EX1095" s="1619"/>
      <c r="EY1095" s="1628" t="s">
        <v>8138</v>
      </c>
      <c r="EZ1095" s="1628" t="s">
        <v>588</v>
      </c>
      <c r="FA1095" s="1628" t="s">
        <v>588</v>
      </c>
      <c r="FH1095" s="1628"/>
      <c r="FU1095" s="1678"/>
      <c r="FW1095" s="1678"/>
    </row>
    <row r="1096" spans="1:179" s="1484" customFormat="1" ht="15" x14ac:dyDescent="0.25">
      <c r="A1096" s="1629"/>
      <c r="B1096" s="1862"/>
      <c r="C1096" s="2805" t="s">
        <v>8844</v>
      </c>
      <c r="D1096" s="2805"/>
      <c r="E1096" s="2805"/>
      <c r="F1096" s="2805"/>
      <c r="G1096" s="2805"/>
      <c r="H1096" s="2805"/>
      <c r="I1096" s="2805"/>
      <c r="J1096" s="2805"/>
      <c r="K1096" s="2805"/>
      <c r="L1096" s="2805"/>
      <c r="M1096" s="2805"/>
      <c r="N1096" s="2806"/>
      <c r="EW1096" s="2031"/>
      <c r="EX1096" s="1619"/>
      <c r="EY1096" s="1628"/>
      <c r="EZ1096" s="1628"/>
      <c r="FA1096" s="1628"/>
      <c r="FB1096" s="1864" t="s">
        <v>8844</v>
      </c>
      <c r="FH1096" s="1628"/>
      <c r="FU1096" s="1678"/>
      <c r="FW1096" s="1678"/>
    </row>
    <row r="1097" spans="1:179" s="1484" customFormat="1" ht="22.5" x14ac:dyDescent="0.25">
      <c r="A1097" s="1630"/>
      <c r="B1097" s="1631" t="s">
        <v>6062</v>
      </c>
      <c r="C1097" s="2809" t="s">
        <v>6063</v>
      </c>
      <c r="D1097" s="2809"/>
      <c r="E1097" s="2809"/>
      <c r="F1097" s="2809"/>
      <c r="G1097" s="2809"/>
      <c r="H1097" s="2809"/>
      <c r="I1097" s="2809"/>
      <c r="J1097" s="2809"/>
      <c r="K1097" s="2809"/>
      <c r="L1097" s="2809"/>
      <c r="M1097" s="2809"/>
      <c r="N1097" s="2810"/>
      <c r="EW1097" s="2031"/>
      <c r="EX1097" s="1619"/>
      <c r="EY1097" s="1628"/>
      <c r="EZ1097" s="1628"/>
      <c r="FA1097" s="1628"/>
      <c r="FC1097" s="1864" t="s">
        <v>6063</v>
      </c>
      <c r="FH1097" s="1628"/>
      <c r="FU1097" s="1678"/>
      <c r="FW1097" s="1678"/>
    </row>
    <row r="1098" spans="1:179" s="1484" customFormat="1" ht="22.5" x14ac:dyDescent="0.25">
      <c r="A1098" s="2033"/>
      <c r="B1098" s="1631" t="s">
        <v>1729</v>
      </c>
      <c r="C1098" s="2805" t="s">
        <v>8712</v>
      </c>
      <c r="D1098" s="2805"/>
      <c r="E1098" s="2805"/>
      <c r="F1098" s="1683" t="s">
        <v>807</v>
      </c>
      <c r="G1098" s="1655">
        <v>3.45</v>
      </c>
      <c r="H1098" s="1641"/>
      <c r="I1098" s="2042">
        <v>3.1050000000000001E-2</v>
      </c>
      <c r="J1098" s="1654">
        <v>8.5299999999999994</v>
      </c>
      <c r="K1098" s="1655">
        <v>1.25</v>
      </c>
      <c r="L1098" s="1654">
        <v>0.33</v>
      </c>
      <c r="M1098" s="1641"/>
      <c r="N1098" s="1681"/>
      <c r="EW1098" s="2031"/>
      <c r="EX1098" s="1619"/>
      <c r="EY1098" s="1628"/>
      <c r="EZ1098" s="1628"/>
      <c r="FA1098" s="1628"/>
      <c r="FD1098" s="1864" t="s">
        <v>8712</v>
      </c>
      <c r="FH1098" s="1628"/>
      <c r="FU1098" s="1678"/>
      <c r="FW1098" s="1678"/>
    </row>
    <row r="1099" spans="1:179" s="1484" customFormat="1" ht="15" x14ac:dyDescent="0.25">
      <c r="A1099" s="2033"/>
      <c r="B1099" s="1631" t="s">
        <v>821</v>
      </c>
      <c r="C1099" s="2805" t="s">
        <v>822</v>
      </c>
      <c r="D1099" s="2805"/>
      <c r="E1099" s="2805"/>
      <c r="F1099" s="1683" t="s">
        <v>4994</v>
      </c>
      <c r="G1099" s="1655">
        <v>0.02</v>
      </c>
      <c r="H1099" s="1641"/>
      <c r="I1099" s="2042">
        <v>1.8000000000000001E-4</v>
      </c>
      <c r="J1099" s="1654">
        <v>65.709999999999994</v>
      </c>
      <c r="K1099" s="1641"/>
      <c r="L1099" s="1654">
        <v>0.01</v>
      </c>
      <c r="M1099" s="1641"/>
      <c r="N1099" s="1681"/>
      <c r="EW1099" s="2031"/>
      <c r="EX1099" s="1619"/>
      <c r="EY1099" s="1628"/>
      <c r="EZ1099" s="1628"/>
      <c r="FA1099" s="1628"/>
      <c r="FD1099" s="1864" t="s">
        <v>822</v>
      </c>
      <c r="FH1099" s="1628"/>
      <c r="FU1099" s="1678"/>
      <c r="FW1099" s="1678"/>
    </row>
    <row r="1100" spans="1:179" s="1484" customFormat="1" ht="15" x14ac:dyDescent="0.25">
      <c r="A1100" s="2033"/>
      <c r="B1100" s="1631" t="s">
        <v>4894</v>
      </c>
      <c r="C1100" s="2805" t="s">
        <v>4895</v>
      </c>
      <c r="D1100" s="2805"/>
      <c r="E1100" s="2805"/>
      <c r="F1100" s="1683" t="s">
        <v>130</v>
      </c>
      <c r="G1100" s="1953">
        <v>122.4</v>
      </c>
      <c r="H1100" s="1641"/>
      <c r="I1100" s="2035">
        <v>1.1015999999999999</v>
      </c>
      <c r="J1100" s="1654">
        <v>12.19</v>
      </c>
      <c r="K1100" s="1641"/>
      <c r="L1100" s="1654">
        <v>13.43</v>
      </c>
      <c r="M1100" s="1641"/>
      <c r="N1100" s="1681"/>
      <c r="EW1100" s="2031"/>
      <c r="EX1100" s="1619"/>
      <c r="EY1100" s="1628"/>
      <c r="EZ1100" s="1628"/>
      <c r="FA1100" s="1628"/>
      <c r="FD1100" s="1864" t="s">
        <v>4895</v>
      </c>
      <c r="FH1100" s="1628"/>
      <c r="FU1100" s="1678"/>
      <c r="FW1100" s="1678"/>
    </row>
    <row r="1101" spans="1:179" s="1484" customFormat="1" ht="15" x14ac:dyDescent="0.25">
      <c r="A1101" s="2032"/>
      <c r="B1101" s="1631" t="s">
        <v>190</v>
      </c>
      <c r="C1101" s="2805" t="s">
        <v>2523</v>
      </c>
      <c r="D1101" s="2805"/>
      <c r="E1101" s="2805"/>
      <c r="F1101" s="1683"/>
      <c r="G1101" s="1641"/>
      <c r="H1101" s="1641"/>
      <c r="I1101" s="1641"/>
      <c r="J1101" s="1654">
        <v>29.43</v>
      </c>
      <c r="K1101" s="1655">
        <v>1.25</v>
      </c>
      <c r="L1101" s="1654">
        <v>0.33</v>
      </c>
      <c r="M1101" s="1655">
        <v>35.75</v>
      </c>
      <c r="N1101" s="2039">
        <v>11.8</v>
      </c>
      <c r="EW1101" s="2031"/>
      <c r="EX1101" s="1619"/>
      <c r="EY1101" s="1628"/>
      <c r="EZ1101" s="1628"/>
      <c r="FA1101" s="1628"/>
      <c r="FE1101" s="1864" t="s">
        <v>2523</v>
      </c>
      <c r="FH1101" s="1628"/>
      <c r="FU1101" s="1678"/>
      <c r="FW1101" s="1678"/>
    </row>
    <row r="1102" spans="1:179" s="1484" customFormat="1" ht="15" x14ac:dyDescent="0.25">
      <c r="A1102" s="2032"/>
      <c r="B1102" s="1631" t="s">
        <v>639</v>
      </c>
      <c r="C1102" s="2805" t="s">
        <v>697</v>
      </c>
      <c r="D1102" s="2805"/>
      <c r="E1102" s="2805"/>
      <c r="F1102" s="1683"/>
      <c r="G1102" s="1641"/>
      <c r="H1102" s="1641"/>
      <c r="I1102" s="1641"/>
      <c r="J1102" s="1654">
        <v>1.31</v>
      </c>
      <c r="K1102" s="1641"/>
      <c r="L1102" s="1654">
        <v>0.01</v>
      </c>
      <c r="M1102" s="1655">
        <v>11.97</v>
      </c>
      <c r="N1102" s="2039">
        <v>0.12</v>
      </c>
      <c r="EW1102" s="2031"/>
      <c r="EX1102" s="1619"/>
      <c r="EY1102" s="1628"/>
      <c r="EZ1102" s="1628"/>
      <c r="FA1102" s="1628"/>
      <c r="FE1102" s="1864" t="s">
        <v>697</v>
      </c>
      <c r="FH1102" s="1628"/>
      <c r="FU1102" s="1678"/>
      <c r="FW1102" s="1678"/>
    </row>
    <row r="1103" spans="1:179" s="1484" customFormat="1" ht="15" x14ac:dyDescent="0.25">
      <c r="A1103" s="2032"/>
      <c r="B1103" s="1631" t="s">
        <v>640</v>
      </c>
      <c r="C1103" s="2805" t="s">
        <v>2500</v>
      </c>
      <c r="D1103" s="2805"/>
      <c r="E1103" s="2805"/>
      <c r="F1103" s="1683"/>
      <c r="G1103" s="1641"/>
      <c r="H1103" s="1641"/>
      <c r="I1103" s="1641"/>
      <c r="J1103" s="1654">
        <v>0.23</v>
      </c>
      <c r="K1103" s="1641"/>
      <c r="L1103" s="1654">
        <v>0</v>
      </c>
      <c r="M1103" s="1655">
        <v>35.75</v>
      </c>
      <c r="N1103" s="1681"/>
      <c r="EW1103" s="2031"/>
      <c r="EX1103" s="1619"/>
      <c r="EY1103" s="1628"/>
      <c r="EZ1103" s="1628"/>
      <c r="FA1103" s="1628"/>
      <c r="FE1103" s="1864" t="s">
        <v>2500</v>
      </c>
      <c r="FH1103" s="1628"/>
      <c r="FU1103" s="1678"/>
      <c r="FW1103" s="1678"/>
    </row>
    <row r="1104" spans="1:179" s="1484" customFormat="1" ht="15" x14ac:dyDescent="0.25">
      <c r="A1104" s="2032"/>
      <c r="B1104" s="1631" t="s">
        <v>232</v>
      </c>
      <c r="C1104" s="2805" t="s">
        <v>829</v>
      </c>
      <c r="D1104" s="2805"/>
      <c r="E1104" s="2805"/>
      <c r="F1104" s="1683"/>
      <c r="G1104" s="1641"/>
      <c r="H1104" s="1641"/>
      <c r="I1104" s="1641"/>
      <c r="J1104" s="1657">
        <v>1492.06</v>
      </c>
      <c r="K1104" s="1641"/>
      <c r="L1104" s="1654">
        <v>13.43</v>
      </c>
      <c r="M1104" s="1655">
        <v>9.14</v>
      </c>
      <c r="N1104" s="2039">
        <v>122.75</v>
      </c>
      <c r="EW1104" s="2031"/>
      <c r="EX1104" s="1619"/>
      <c r="EY1104" s="1628"/>
      <c r="EZ1104" s="1628"/>
      <c r="FA1104" s="1628"/>
      <c r="FE1104" s="1864" t="s">
        <v>829</v>
      </c>
      <c r="FH1104" s="1628"/>
      <c r="FU1104" s="1678"/>
      <c r="FW1104" s="1678"/>
    </row>
    <row r="1105" spans="1:179" s="1484" customFormat="1" ht="15" x14ac:dyDescent="0.25">
      <c r="A1105" s="2033"/>
      <c r="B1105" s="1631"/>
      <c r="C1105" s="2805" t="s">
        <v>2524</v>
      </c>
      <c r="D1105" s="2805"/>
      <c r="E1105" s="2805"/>
      <c r="F1105" s="1683" t="s">
        <v>807</v>
      </c>
      <c r="G1105" s="1655">
        <v>3.45</v>
      </c>
      <c r="H1105" s="1641"/>
      <c r="I1105" s="2042">
        <v>3.1050000000000001E-2</v>
      </c>
      <c r="J1105" s="1640"/>
      <c r="K1105" s="1641"/>
      <c r="L1105" s="1640"/>
      <c r="M1105" s="1641"/>
      <c r="N1105" s="1681"/>
      <c r="EW1105" s="2031"/>
      <c r="EX1105" s="1619"/>
      <c r="EY1105" s="1628"/>
      <c r="EZ1105" s="1628"/>
      <c r="FA1105" s="1628"/>
      <c r="FF1105" s="1864" t="s">
        <v>2524</v>
      </c>
      <c r="FH1105" s="1628"/>
      <c r="FU1105" s="1678"/>
      <c r="FW1105" s="1678"/>
    </row>
    <row r="1106" spans="1:179" s="1484" customFormat="1" ht="15" x14ac:dyDescent="0.25">
      <c r="A1106" s="2033"/>
      <c r="B1106" s="1631"/>
      <c r="C1106" s="2805" t="s">
        <v>2501</v>
      </c>
      <c r="D1106" s="2805"/>
      <c r="E1106" s="2805"/>
      <c r="F1106" s="1683" t="s">
        <v>807</v>
      </c>
      <c r="G1106" s="1655">
        <v>0.02</v>
      </c>
      <c r="H1106" s="1641"/>
      <c r="I1106" s="2042">
        <v>1.8000000000000001E-4</v>
      </c>
      <c r="J1106" s="1640"/>
      <c r="K1106" s="1641"/>
      <c r="L1106" s="1640"/>
      <c r="M1106" s="1641"/>
      <c r="N1106" s="1681"/>
      <c r="EW1106" s="2031"/>
      <c r="EX1106" s="1619"/>
      <c r="EY1106" s="1628"/>
      <c r="EZ1106" s="1628"/>
      <c r="FA1106" s="1628"/>
      <c r="FF1106" s="1864" t="s">
        <v>2501</v>
      </c>
      <c r="FH1106" s="1628"/>
      <c r="FU1106" s="1678"/>
      <c r="FW1106" s="1678"/>
    </row>
    <row r="1107" spans="1:179" s="1484" customFormat="1" ht="15" x14ac:dyDescent="0.25">
      <c r="A1107" s="2032"/>
      <c r="B1107" s="1631"/>
      <c r="C1107" s="2917" t="s">
        <v>2502</v>
      </c>
      <c r="D1107" s="2917"/>
      <c r="E1107" s="2917"/>
      <c r="F1107" s="2036"/>
      <c r="G1107" s="2037"/>
      <c r="H1107" s="2037"/>
      <c r="I1107" s="2037"/>
      <c r="J1107" s="2038">
        <v>1522.8</v>
      </c>
      <c r="K1107" s="2037"/>
      <c r="L1107" s="2044">
        <v>13.77</v>
      </c>
      <c r="M1107" s="2037"/>
      <c r="N1107" s="2070">
        <v>134.66999999999999</v>
      </c>
      <c r="EW1107" s="2031"/>
      <c r="EX1107" s="1619"/>
      <c r="EY1107" s="1628"/>
      <c r="EZ1107" s="1628"/>
      <c r="FA1107" s="1628"/>
      <c r="FG1107" s="1864" t="s">
        <v>2502</v>
      </c>
      <c r="FH1107" s="1628"/>
      <c r="FU1107" s="1678"/>
      <c r="FW1107" s="1678"/>
    </row>
    <row r="1108" spans="1:179" s="1484" customFormat="1" ht="15" x14ac:dyDescent="0.25">
      <c r="A1108" s="2033"/>
      <c r="B1108" s="1631"/>
      <c r="C1108" s="2805" t="s">
        <v>867</v>
      </c>
      <c r="D1108" s="2805"/>
      <c r="E1108" s="2805"/>
      <c r="F1108" s="1683"/>
      <c r="G1108" s="1641"/>
      <c r="H1108" s="1641"/>
      <c r="I1108" s="1641"/>
      <c r="J1108" s="1640"/>
      <c r="K1108" s="1641"/>
      <c r="L1108" s="1654">
        <v>0.33</v>
      </c>
      <c r="M1108" s="1641"/>
      <c r="N1108" s="2039">
        <v>11.8</v>
      </c>
      <c r="EW1108" s="2031"/>
      <c r="EX1108" s="1619"/>
      <c r="EY1108" s="1628"/>
      <c r="EZ1108" s="1628"/>
      <c r="FA1108" s="1628"/>
      <c r="FF1108" s="1864" t="s">
        <v>867</v>
      </c>
      <c r="FH1108" s="1628"/>
      <c r="FU1108" s="1678"/>
      <c r="FW1108" s="1678"/>
    </row>
    <row r="1109" spans="1:179" s="1484" customFormat="1" ht="15" x14ac:dyDescent="0.25">
      <c r="A1109" s="2033"/>
      <c r="B1109" s="1631" t="s">
        <v>8054</v>
      </c>
      <c r="C1109" s="2805" t="s">
        <v>8055</v>
      </c>
      <c r="D1109" s="2805"/>
      <c r="E1109" s="2805"/>
      <c r="F1109" s="1683" t="s">
        <v>636</v>
      </c>
      <c r="G1109" s="2034">
        <v>112</v>
      </c>
      <c r="H1109" s="1641"/>
      <c r="I1109" s="2034">
        <v>112</v>
      </c>
      <c r="J1109" s="1640"/>
      <c r="K1109" s="1641"/>
      <c r="L1109" s="1654">
        <v>0.37</v>
      </c>
      <c r="M1109" s="1641"/>
      <c r="N1109" s="2039">
        <v>13.22</v>
      </c>
      <c r="EW1109" s="2031"/>
      <c r="EX1109" s="1619"/>
      <c r="EY1109" s="1628"/>
      <c r="EZ1109" s="1628"/>
      <c r="FA1109" s="1628"/>
      <c r="FF1109" s="1864" t="s">
        <v>8055</v>
      </c>
      <c r="FH1109" s="1628"/>
      <c r="FU1109" s="1678"/>
      <c r="FW1109" s="1678"/>
    </row>
    <row r="1110" spans="1:179" s="1484" customFormat="1" ht="15" x14ac:dyDescent="0.25">
      <c r="A1110" s="2033"/>
      <c r="B1110" s="1631" t="s">
        <v>8056</v>
      </c>
      <c r="C1110" s="2805" t="s">
        <v>8057</v>
      </c>
      <c r="D1110" s="2805"/>
      <c r="E1110" s="2805"/>
      <c r="F1110" s="1683" t="s">
        <v>636</v>
      </c>
      <c r="G1110" s="2034">
        <v>65</v>
      </c>
      <c r="H1110" s="1641"/>
      <c r="I1110" s="2034">
        <v>65</v>
      </c>
      <c r="J1110" s="1640"/>
      <c r="K1110" s="1641"/>
      <c r="L1110" s="1654">
        <v>0.21</v>
      </c>
      <c r="M1110" s="1641"/>
      <c r="N1110" s="2039">
        <v>7.67</v>
      </c>
      <c r="EW1110" s="2031"/>
      <c r="EX1110" s="1619"/>
      <c r="EY1110" s="1628"/>
      <c r="EZ1110" s="1628"/>
      <c r="FA1110" s="1628"/>
      <c r="FF1110" s="1864" t="s">
        <v>8057</v>
      </c>
      <c r="FH1110" s="1628"/>
      <c r="FU1110" s="1678"/>
      <c r="FW1110" s="1678"/>
    </row>
    <row r="1111" spans="1:179" s="1484" customFormat="1" ht="15" x14ac:dyDescent="0.25">
      <c r="A1111" s="1650"/>
      <c r="B1111" s="1651"/>
      <c r="C1111" s="2803" t="s">
        <v>872</v>
      </c>
      <c r="D1111" s="2803"/>
      <c r="E1111" s="2803"/>
      <c r="F1111" s="1621"/>
      <c r="G1111" s="1622"/>
      <c r="H1111" s="1622"/>
      <c r="I1111" s="1622"/>
      <c r="J1111" s="1625"/>
      <c r="K1111" s="1622"/>
      <c r="L1111" s="2040">
        <v>14.35</v>
      </c>
      <c r="M1111" s="2037"/>
      <c r="N1111" s="2069">
        <v>155.56</v>
      </c>
      <c r="EW1111" s="2031"/>
      <c r="EX1111" s="1619"/>
      <c r="EY1111" s="1628"/>
      <c r="EZ1111" s="1628"/>
      <c r="FA1111" s="1628"/>
      <c r="FH1111" s="1628" t="s">
        <v>872</v>
      </c>
      <c r="FU1111" s="1678"/>
      <c r="FW1111" s="1678"/>
    </row>
    <row r="1112" spans="1:179" s="1484" customFormat="1" ht="22.5" x14ac:dyDescent="0.25">
      <c r="A1112" s="1620" t="s">
        <v>1371</v>
      </c>
      <c r="B1112" s="1863" t="s">
        <v>8139</v>
      </c>
      <c r="C1112" s="2803" t="s">
        <v>8140</v>
      </c>
      <c r="D1112" s="2803"/>
      <c r="E1112" s="2803"/>
      <c r="F1112" s="1621" t="s">
        <v>2555</v>
      </c>
      <c r="G1112" s="1622">
        <v>8.9999999999999993E-3</v>
      </c>
      <c r="H1112" s="1623">
        <v>1</v>
      </c>
      <c r="I1112" s="2045">
        <v>8.9999999999999993E-3</v>
      </c>
      <c r="J1112" s="1625"/>
      <c r="K1112" s="1622"/>
      <c r="L1112" s="1625"/>
      <c r="M1112" s="1622"/>
      <c r="N1112" s="1627"/>
      <c r="EW1112" s="2031"/>
      <c r="EX1112" s="1619"/>
      <c r="EY1112" s="1628" t="s">
        <v>8140</v>
      </c>
      <c r="EZ1112" s="1628" t="s">
        <v>588</v>
      </c>
      <c r="FA1112" s="1628" t="s">
        <v>588</v>
      </c>
      <c r="FH1112" s="1628"/>
      <c r="FU1112" s="1678"/>
      <c r="FW1112" s="1678"/>
    </row>
    <row r="1113" spans="1:179" s="1484" customFormat="1" ht="15" x14ac:dyDescent="0.25">
      <c r="A1113" s="1629"/>
      <c r="B1113" s="1862"/>
      <c r="C1113" s="2805" t="s">
        <v>8844</v>
      </c>
      <c r="D1113" s="2805"/>
      <c r="E1113" s="2805"/>
      <c r="F1113" s="2805"/>
      <c r="G1113" s="2805"/>
      <c r="H1113" s="2805"/>
      <c r="I1113" s="2805"/>
      <c r="J1113" s="2805"/>
      <c r="K1113" s="2805"/>
      <c r="L1113" s="2805"/>
      <c r="M1113" s="2805"/>
      <c r="N1113" s="2806"/>
      <c r="EW1113" s="2031"/>
      <c r="EX1113" s="1619"/>
      <c r="EY1113" s="1628"/>
      <c r="EZ1113" s="1628"/>
      <c r="FA1113" s="1628"/>
      <c r="FB1113" s="1864" t="s">
        <v>8844</v>
      </c>
      <c r="FH1113" s="1628"/>
      <c r="FU1113" s="1678"/>
      <c r="FW1113" s="1678"/>
    </row>
    <row r="1114" spans="1:179" s="1484" customFormat="1" ht="22.5" x14ac:dyDescent="0.25">
      <c r="A1114" s="1630"/>
      <c r="B1114" s="1631" t="s">
        <v>6062</v>
      </c>
      <c r="C1114" s="2809" t="s">
        <v>6063</v>
      </c>
      <c r="D1114" s="2809"/>
      <c r="E1114" s="2809"/>
      <c r="F1114" s="2809"/>
      <c r="G1114" s="2809"/>
      <c r="H1114" s="2809"/>
      <c r="I1114" s="2809"/>
      <c r="J1114" s="2809"/>
      <c r="K1114" s="2809"/>
      <c r="L1114" s="2809"/>
      <c r="M1114" s="2809"/>
      <c r="N1114" s="2810"/>
      <c r="EW1114" s="2031"/>
      <c r="EX1114" s="1619"/>
      <c r="EY1114" s="1628"/>
      <c r="EZ1114" s="1628"/>
      <c r="FA1114" s="1628"/>
      <c r="FC1114" s="1864" t="s">
        <v>6063</v>
      </c>
      <c r="FH1114" s="1628"/>
      <c r="FU1114" s="1678"/>
      <c r="FW1114" s="1678"/>
    </row>
    <row r="1115" spans="1:179" s="1484" customFormat="1" ht="22.5" x14ac:dyDescent="0.25">
      <c r="A1115" s="2033"/>
      <c r="B1115" s="1631" t="s">
        <v>8756</v>
      </c>
      <c r="C1115" s="2805" t="s">
        <v>8755</v>
      </c>
      <c r="D1115" s="2805"/>
      <c r="E1115" s="2805"/>
      <c r="F1115" s="1683" t="s">
        <v>807</v>
      </c>
      <c r="G1115" s="1953">
        <v>35.6</v>
      </c>
      <c r="H1115" s="1641"/>
      <c r="I1115" s="2035">
        <v>0.32040000000000002</v>
      </c>
      <c r="J1115" s="1654">
        <v>7.94</v>
      </c>
      <c r="K1115" s="1655">
        <v>1.25</v>
      </c>
      <c r="L1115" s="1654">
        <v>3.18</v>
      </c>
      <c r="M1115" s="1641"/>
      <c r="N1115" s="1681"/>
      <c r="EW1115" s="2031"/>
      <c r="EX1115" s="1619"/>
      <c r="EY1115" s="1628"/>
      <c r="EZ1115" s="1628"/>
      <c r="FA1115" s="1628"/>
      <c r="FD1115" s="1864" t="s">
        <v>8755</v>
      </c>
      <c r="FH1115" s="1628"/>
      <c r="FU1115" s="1678"/>
      <c r="FW1115" s="1678"/>
    </row>
    <row r="1116" spans="1:179" s="1484" customFormat="1" ht="22.5" x14ac:dyDescent="0.25">
      <c r="A1116" s="2033"/>
      <c r="B1116" s="1631" t="s">
        <v>5010</v>
      </c>
      <c r="C1116" s="2805" t="s">
        <v>5011</v>
      </c>
      <c r="D1116" s="2805"/>
      <c r="E1116" s="2805"/>
      <c r="F1116" s="1683" t="s">
        <v>4994</v>
      </c>
      <c r="G1116" s="1655">
        <v>1.27</v>
      </c>
      <c r="H1116" s="1641"/>
      <c r="I1116" s="2042">
        <v>1.1429999999999999E-2</v>
      </c>
      <c r="J1116" s="1654">
        <v>31.26</v>
      </c>
      <c r="K1116" s="1641"/>
      <c r="L1116" s="1654">
        <v>0.36</v>
      </c>
      <c r="M1116" s="1641"/>
      <c r="N1116" s="1681"/>
      <c r="EW1116" s="2031"/>
      <c r="EX1116" s="1619"/>
      <c r="EY1116" s="1628"/>
      <c r="EZ1116" s="1628"/>
      <c r="FA1116" s="1628"/>
      <c r="FD1116" s="1864" t="s">
        <v>5011</v>
      </c>
      <c r="FH1116" s="1628"/>
      <c r="FU1116" s="1678"/>
      <c r="FW1116" s="1678"/>
    </row>
    <row r="1117" spans="1:179" s="1484" customFormat="1" ht="15" x14ac:dyDescent="0.25">
      <c r="A1117" s="2033"/>
      <c r="B1117" s="1631" t="s">
        <v>5012</v>
      </c>
      <c r="C1117" s="2805" t="s">
        <v>5013</v>
      </c>
      <c r="D1117" s="2805"/>
      <c r="E1117" s="2805"/>
      <c r="F1117" s="1683" t="s">
        <v>4994</v>
      </c>
      <c r="G1117" s="1655">
        <v>7.82</v>
      </c>
      <c r="H1117" s="1641"/>
      <c r="I1117" s="2042">
        <v>7.0379999999999998E-2</v>
      </c>
      <c r="J1117" s="1654">
        <v>0.5</v>
      </c>
      <c r="K1117" s="1641"/>
      <c r="L1117" s="1654">
        <v>0.04</v>
      </c>
      <c r="M1117" s="1641"/>
      <c r="N1117" s="1681"/>
      <c r="EW1117" s="2031"/>
      <c r="EX1117" s="1619"/>
      <c r="EY1117" s="1628"/>
      <c r="EZ1117" s="1628"/>
      <c r="FA1117" s="1628"/>
      <c r="FD1117" s="1864" t="s">
        <v>5013</v>
      </c>
      <c r="FH1117" s="1628"/>
      <c r="FU1117" s="1678"/>
      <c r="FW1117" s="1678"/>
    </row>
    <row r="1118" spans="1:179" s="1484" customFormat="1" ht="15" x14ac:dyDescent="0.25">
      <c r="A1118" s="2033"/>
      <c r="B1118" s="1631" t="s">
        <v>1755</v>
      </c>
      <c r="C1118" s="2805" t="s">
        <v>2634</v>
      </c>
      <c r="D1118" s="2805"/>
      <c r="E1118" s="2805"/>
      <c r="F1118" s="1683" t="s">
        <v>832</v>
      </c>
      <c r="G1118" s="1953">
        <v>3.5</v>
      </c>
      <c r="H1118" s="1641"/>
      <c r="I1118" s="2035">
        <v>3.15E-2</v>
      </c>
      <c r="J1118" s="1654">
        <v>2.44</v>
      </c>
      <c r="K1118" s="1641"/>
      <c r="L1118" s="1654">
        <v>0.08</v>
      </c>
      <c r="M1118" s="1641"/>
      <c r="N1118" s="1681"/>
      <c r="EW1118" s="2031"/>
      <c r="EX1118" s="1619"/>
      <c r="EY1118" s="1628"/>
      <c r="EZ1118" s="1628"/>
      <c r="FA1118" s="1628"/>
      <c r="FD1118" s="1864" t="s">
        <v>2634</v>
      </c>
      <c r="FH1118" s="1628"/>
      <c r="FU1118" s="1678"/>
      <c r="FW1118" s="1678"/>
    </row>
    <row r="1119" spans="1:179" s="1484" customFormat="1" ht="15" x14ac:dyDescent="0.25">
      <c r="A1119" s="2032"/>
      <c r="B1119" s="1631" t="s">
        <v>190</v>
      </c>
      <c r="C1119" s="2805" t="s">
        <v>2523</v>
      </c>
      <c r="D1119" s="2805"/>
      <c r="E1119" s="2805"/>
      <c r="F1119" s="1683"/>
      <c r="G1119" s="1641"/>
      <c r="H1119" s="1641"/>
      <c r="I1119" s="1641"/>
      <c r="J1119" s="1654">
        <v>282.66000000000003</v>
      </c>
      <c r="K1119" s="1655">
        <v>1.25</v>
      </c>
      <c r="L1119" s="1654">
        <v>3.18</v>
      </c>
      <c r="M1119" s="1655">
        <v>35.75</v>
      </c>
      <c r="N1119" s="2039">
        <v>113.69</v>
      </c>
      <c r="EW1119" s="2031"/>
      <c r="EX1119" s="1619"/>
      <c r="EY1119" s="1628"/>
      <c r="EZ1119" s="1628"/>
      <c r="FA1119" s="1628"/>
      <c r="FE1119" s="1864" t="s">
        <v>2523</v>
      </c>
      <c r="FH1119" s="1628"/>
      <c r="FU1119" s="1678"/>
      <c r="FW1119" s="1678"/>
    </row>
    <row r="1120" spans="1:179" s="1484" customFormat="1" ht="15" x14ac:dyDescent="0.25">
      <c r="A1120" s="2032"/>
      <c r="B1120" s="1631" t="s">
        <v>639</v>
      </c>
      <c r="C1120" s="2805" t="s">
        <v>697</v>
      </c>
      <c r="D1120" s="2805"/>
      <c r="E1120" s="2805"/>
      <c r="F1120" s="1683"/>
      <c r="G1120" s="1641"/>
      <c r="H1120" s="1641"/>
      <c r="I1120" s="1641"/>
      <c r="J1120" s="1654">
        <v>43.61</v>
      </c>
      <c r="K1120" s="1641"/>
      <c r="L1120" s="1654">
        <v>0.39</v>
      </c>
      <c r="M1120" s="1655">
        <v>11.97</v>
      </c>
      <c r="N1120" s="2039">
        <v>4.67</v>
      </c>
      <c r="EW1120" s="2031"/>
      <c r="EX1120" s="1619"/>
      <c r="EY1120" s="1628"/>
      <c r="EZ1120" s="1628"/>
      <c r="FA1120" s="1628"/>
      <c r="FE1120" s="1864" t="s">
        <v>697</v>
      </c>
      <c r="FH1120" s="1628"/>
      <c r="FU1120" s="1678"/>
      <c r="FW1120" s="1678"/>
    </row>
    <row r="1121" spans="1:179" s="1484" customFormat="1" ht="15" x14ac:dyDescent="0.25">
      <c r="A1121" s="2032"/>
      <c r="B1121" s="1631" t="s">
        <v>640</v>
      </c>
      <c r="C1121" s="2805" t="s">
        <v>2500</v>
      </c>
      <c r="D1121" s="2805"/>
      <c r="E1121" s="2805"/>
      <c r="F1121" s="1683"/>
      <c r="G1121" s="1641"/>
      <c r="H1121" s="1641"/>
      <c r="I1121" s="1641"/>
      <c r="J1121" s="1654">
        <v>17.149999999999999</v>
      </c>
      <c r="K1121" s="1641"/>
      <c r="L1121" s="1654">
        <v>0.15</v>
      </c>
      <c r="M1121" s="1655">
        <v>35.75</v>
      </c>
      <c r="N1121" s="2039">
        <v>5.36</v>
      </c>
      <c r="EW1121" s="2031"/>
      <c r="EX1121" s="1619"/>
      <c r="EY1121" s="1628"/>
      <c r="EZ1121" s="1628"/>
      <c r="FA1121" s="1628"/>
      <c r="FE1121" s="1864" t="s">
        <v>2500</v>
      </c>
      <c r="FH1121" s="1628"/>
      <c r="FU1121" s="1678"/>
      <c r="FW1121" s="1678"/>
    </row>
    <row r="1122" spans="1:179" s="1484" customFormat="1" ht="15" x14ac:dyDescent="0.25">
      <c r="A1122" s="2032"/>
      <c r="B1122" s="1631" t="s">
        <v>232</v>
      </c>
      <c r="C1122" s="2805" t="s">
        <v>829</v>
      </c>
      <c r="D1122" s="2805"/>
      <c r="E1122" s="2805"/>
      <c r="F1122" s="1683"/>
      <c r="G1122" s="1641"/>
      <c r="H1122" s="1641"/>
      <c r="I1122" s="1641"/>
      <c r="J1122" s="1654">
        <v>8.5399999999999991</v>
      </c>
      <c r="K1122" s="1641"/>
      <c r="L1122" s="1654">
        <v>0.08</v>
      </c>
      <c r="M1122" s="1655">
        <v>9.14</v>
      </c>
      <c r="N1122" s="2039">
        <v>0.73</v>
      </c>
      <c r="EW1122" s="2031"/>
      <c r="EX1122" s="1619"/>
      <c r="EY1122" s="1628"/>
      <c r="EZ1122" s="1628"/>
      <c r="FA1122" s="1628"/>
      <c r="FE1122" s="1864" t="s">
        <v>829</v>
      </c>
      <c r="FH1122" s="1628"/>
      <c r="FU1122" s="1678"/>
      <c r="FW1122" s="1678"/>
    </row>
    <row r="1123" spans="1:179" s="1484" customFormat="1" ht="15" x14ac:dyDescent="0.25">
      <c r="A1123" s="2033"/>
      <c r="B1123" s="1631"/>
      <c r="C1123" s="2805" t="s">
        <v>2524</v>
      </c>
      <c r="D1123" s="2805"/>
      <c r="E1123" s="2805"/>
      <c r="F1123" s="1683" t="s">
        <v>807</v>
      </c>
      <c r="G1123" s="1953">
        <v>35.6</v>
      </c>
      <c r="H1123" s="1641"/>
      <c r="I1123" s="2035">
        <v>0.32040000000000002</v>
      </c>
      <c r="J1123" s="1640"/>
      <c r="K1123" s="1641"/>
      <c r="L1123" s="1640"/>
      <c r="M1123" s="1641"/>
      <c r="N1123" s="1681"/>
      <c r="EW1123" s="2031"/>
      <c r="EX1123" s="1619"/>
      <c r="EY1123" s="1628"/>
      <c r="EZ1123" s="1628"/>
      <c r="FA1123" s="1628"/>
      <c r="FF1123" s="1864" t="s">
        <v>2524</v>
      </c>
      <c r="FH1123" s="1628"/>
      <c r="FU1123" s="1678"/>
      <c r="FW1123" s="1678"/>
    </row>
    <row r="1124" spans="1:179" s="1484" customFormat="1" ht="15" x14ac:dyDescent="0.25">
      <c r="A1124" s="2033"/>
      <c r="B1124" s="1631"/>
      <c r="C1124" s="2805" t="s">
        <v>2501</v>
      </c>
      <c r="D1124" s="2805"/>
      <c r="E1124" s="2805"/>
      <c r="F1124" s="1683" t="s">
        <v>807</v>
      </c>
      <c r="G1124" s="1655">
        <v>1.27</v>
      </c>
      <c r="H1124" s="1641"/>
      <c r="I1124" s="2042">
        <v>1.1429999999999999E-2</v>
      </c>
      <c r="J1124" s="1640"/>
      <c r="K1124" s="1641"/>
      <c r="L1124" s="1640"/>
      <c r="M1124" s="1641"/>
      <c r="N1124" s="1681"/>
      <c r="EW1124" s="2031"/>
      <c r="EX1124" s="1619"/>
      <c r="EY1124" s="1628"/>
      <c r="EZ1124" s="1628"/>
      <c r="FA1124" s="1628"/>
      <c r="FF1124" s="1864" t="s">
        <v>2501</v>
      </c>
      <c r="FH1124" s="1628"/>
      <c r="FU1124" s="1678"/>
      <c r="FW1124" s="1678"/>
    </row>
    <row r="1125" spans="1:179" s="1484" customFormat="1" ht="15" x14ac:dyDescent="0.25">
      <c r="A1125" s="2032"/>
      <c r="B1125" s="1631"/>
      <c r="C1125" s="2917" t="s">
        <v>2502</v>
      </c>
      <c r="D1125" s="2917"/>
      <c r="E1125" s="2917"/>
      <c r="F1125" s="2036"/>
      <c r="G1125" s="2037"/>
      <c r="H1125" s="2037"/>
      <c r="I1125" s="2037"/>
      <c r="J1125" s="2044">
        <v>334.81</v>
      </c>
      <c r="K1125" s="2037"/>
      <c r="L1125" s="2044">
        <v>3.65</v>
      </c>
      <c r="M1125" s="2037"/>
      <c r="N1125" s="2070">
        <v>119.09</v>
      </c>
      <c r="EW1125" s="2031"/>
      <c r="EX1125" s="1619"/>
      <c r="EY1125" s="1628"/>
      <c r="EZ1125" s="1628"/>
      <c r="FA1125" s="1628"/>
      <c r="FG1125" s="1864" t="s">
        <v>2502</v>
      </c>
      <c r="FH1125" s="1628"/>
      <c r="FU1125" s="1678"/>
      <c r="FW1125" s="1678"/>
    </row>
    <row r="1126" spans="1:179" s="1484" customFormat="1" ht="15" x14ac:dyDescent="0.25">
      <c r="A1126" s="2033" t="s">
        <v>8168</v>
      </c>
      <c r="B1126" s="1631"/>
      <c r="C1126" s="2805" t="s">
        <v>7964</v>
      </c>
      <c r="D1126" s="2805"/>
      <c r="E1126" s="2805"/>
      <c r="F1126" s="1683" t="s">
        <v>5928</v>
      </c>
      <c r="G1126" s="1641"/>
      <c r="H1126" s="1641"/>
      <c r="I1126" s="1641"/>
      <c r="J1126" s="1640"/>
      <c r="K1126" s="1641"/>
      <c r="L1126" s="1654">
        <v>0.04</v>
      </c>
      <c r="M1126" s="1641"/>
      <c r="N1126" s="2039">
        <v>1.43</v>
      </c>
      <c r="EW1126" s="2031"/>
      <c r="EX1126" s="1619"/>
      <c r="EY1126" s="1628"/>
      <c r="EZ1126" s="1628"/>
      <c r="FA1126" s="1628"/>
      <c r="FF1126" s="1864" t="s">
        <v>7964</v>
      </c>
      <c r="FH1126" s="1628"/>
      <c r="FU1126" s="1678"/>
      <c r="FW1126" s="1678"/>
    </row>
    <row r="1127" spans="1:179" s="1484" customFormat="1" ht="15" x14ac:dyDescent="0.25">
      <c r="A1127" s="2033"/>
      <c r="B1127" s="1631"/>
      <c r="C1127" s="2805" t="s">
        <v>7965</v>
      </c>
      <c r="D1127" s="2805"/>
      <c r="E1127" s="2805"/>
      <c r="F1127" s="1683" t="s">
        <v>5928</v>
      </c>
      <c r="G1127" s="1641"/>
      <c r="H1127" s="1641"/>
      <c r="I1127" s="1641"/>
      <c r="J1127" s="1654">
        <v>17.149999999999999</v>
      </c>
      <c r="K1127" s="1655">
        <v>0.25</v>
      </c>
      <c r="L1127" s="1654">
        <v>0.04</v>
      </c>
      <c r="M1127" s="1655">
        <v>35.75</v>
      </c>
      <c r="N1127" s="2039">
        <v>1.43</v>
      </c>
      <c r="EW1127" s="2031"/>
      <c r="EX1127" s="1619"/>
      <c r="EY1127" s="1628"/>
      <c r="EZ1127" s="1628"/>
      <c r="FA1127" s="1628"/>
      <c r="FF1127" s="1864" t="s">
        <v>7965</v>
      </c>
      <c r="FH1127" s="1628"/>
      <c r="FU1127" s="1678"/>
      <c r="FW1127" s="1678"/>
    </row>
    <row r="1128" spans="1:179" s="1484" customFormat="1" ht="15" x14ac:dyDescent="0.25">
      <c r="A1128" s="2033"/>
      <c r="B1128" s="1631"/>
      <c r="C1128" s="2805" t="s">
        <v>867</v>
      </c>
      <c r="D1128" s="2805"/>
      <c r="E1128" s="2805"/>
      <c r="F1128" s="1683"/>
      <c r="G1128" s="1641"/>
      <c r="H1128" s="1641"/>
      <c r="I1128" s="1641"/>
      <c r="J1128" s="1640"/>
      <c r="K1128" s="1641"/>
      <c r="L1128" s="1654">
        <v>3.37</v>
      </c>
      <c r="M1128" s="1641"/>
      <c r="N1128" s="2039">
        <v>120.48</v>
      </c>
      <c r="EW1128" s="2031"/>
      <c r="EX1128" s="1619"/>
      <c r="EY1128" s="1628"/>
      <c r="EZ1128" s="1628"/>
      <c r="FA1128" s="1628"/>
      <c r="FF1128" s="1864" t="s">
        <v>867</v>
      </c>
      <c r="FH1128" s="1628"/>
      <c r="FU1128" s="1678"/>
      <c r="FW1128" s="1678"/>
    </row>
    <row r="1129" spans="1:179" s="1484" customFormat="1" ht="15" x14ac:dyDescent="0.25">
      <c r="A1129" s="2033"/>
      <c r="B1129" s="1631" t="s">
        <v>8054</v>
      </c>
      <c r="C1129" s="2805" t="s">
        <v>8055</v>
      </c>
      <c r="D1129" s="2805"/>
      <c r="E1129" s="2805"/>
      <c r="F1129" s="1683" t="s">
        <v>636</v>
      </c>
      <c r="G1129" s="2034">
        <v>112</v>
      </c>
      <c r="H1129" s="1641"/>
      <c r="I1129" s="2034">
        <v>112</v>
      </c>
      <c r="J1129" s="1640"/>
      <c r="K1129" s="1641"/>
      <c r="L1129" s="1654">
        <v>3.77</v>
      </c>
      <c r="M1129" s="1641"/>
      <c r="N1129" s="2039">
        <v>134.94</v>
      </c>
      <c r="EW1129" s="2031"/>
      <c r="EX1129" s="1619"/>
      <c r="EY1129" s="1628"/>
      <c r="EZ1129" s="1628"/>
      <c r="FA1129" s="1628"/>
      <c r="FF1129" s="1864" t="s">
        <v>8055</v>
      </c>
      <c r="FH1129" s="1628"/>
      <c r="FU1129" s="1678"/>
      <c r="FW1129" s="1678"/>
    </row>
    <row r="1130" spans="1:179" s="1484" customFormat="1" ht="15" x14ac:dyDescent="0.25">
      <c r="A1130" s="2033"/>
      <c r="B1130" s="1631" t="s">
        <v>8056</v>
      </c>
      <c r="C1130" s="2805" t="s">
        <v>8057</v>
      </c>
      <c r="D1130" s="2805"/>
      <c r="E1130" s="2805"/>
      <c r="F1130" s="1683" t="s">
        <v>636</v>
      </c>
      <c r="G1130" s="2034">
        <v>65</v>
      </c>
      <c r="H1130" s="1641"/>
      <c r="I1130" s="2034">
        <v>65</v>
      </c>
      <c r="J1130" s="1640"/>
      <c r="K1130" s="1641"/>
      <c r="L1130" s="1654">
        <v>2.19</v>
      </c>
      <c r="M1130" s="1641"/>
      <c r="N1130" s="2039">
        <v>78.31</v>
      </c>
      <c r="EW1130" s="2031"/>
      <c r="EX1130" s="1619"/>
      <c r="EY1130" s="1628"/>
      <c r="EZ1130" s="1628"/>
      <c r="FA1130" s="1628"/>
      <c r="FF1130" s="1864" t="s">
        <v>8057</v>
      </c>
      <c r="FH1130" s="1628"/>
      <c r="FU1130" s="1678"/>
      <c r="FW1130" s="1678"/>
    </row>
    <row r="1131" spans="1:179" s="1484" customFormat="1" ht="15" x14ac:dyDescent="0.25">
      <c r="A1131" s="1650"/>
      <c r="B1131" s="1651"/>
      <c r="C1131" s="2803" t="s">
        <v>872</v>
      </c>
      <c r="D1131" s="2803"/>
      <c r="E1131" s="2803"/>
      <c r="F1131" s="1621"/>
      <c r="G1131" s="1622"/>
      <c r="H1131" s="1622"/>
      <c r="I1131" s="1622"/>
      <c r="J1131" s="1625"/>
      <c r="K1131" s="1622"/>
      <c r="L1131" s="2040">
        <v>9.65</v>
      </c>
      <c r="M1131" s="2037"/>
      <c r="N1131" s="2069">
        <v>333.77</v>
      </c>
      <c r="EW1131" s="2031"/>
      <c r="EX1131" s="1619"/>
      <c r="EY1131" s="1628"/>
      <c r="EZ1131" s="1628"/>
      <c r="FA1131" s="1628"/>
      <c r="FH1131" s="1628" t="s">
        <v>872</v>
      </c>
      <c r="FU1131" s="1678"/>
      <c r="FW1131" s="1678"/>
    </row>
    <row r="1132" spans="1:179" s="1484" customFormat="1" ht="33.75" x14ac:dyDescent="0.25">
      <c r="A1132" s="1620" t="s">
        <v>1377</v>
      </c>
      <c r="B1132" s="1863" t="s">
        <v>8757</v>
      </c>
      <c r="C1132" s="2803" t="s">
        <v>8141</v>
      </c>
      <c r="D1132" s="2803"/>
      <c r="E1132" s="2803"/>
      <c r="F1132" s="1621" t="s">
        <v>2555</v>
      </c>
      <c r="G1132" s="1622">
        <v>8.9999999999999993E-3</v>
      </c>
      <c r="H1132" s="1623">
        <v>1</v>
      </c>
      <c r="I1132" s="2045">
        <v>8.9999999999999993E-3</v>
      </c>
      <c r="J1132" s="1625"/>
      <c r="K1132" s="1622"/>
      <c r="L1132" s="1625"/>
      <c r="M1132" s="1622"/>
      <c r="N1132" s="1627"/>
      <c r="EW1132" s="2031"/>
      <c r="EX1132" s="1619"/>
      <c r="EY1132" s="1628" t="s">
        <v>8141</v>
      </c>
      <c r="EZ1132" s="1628" t="s">
        <v>588</v>
      </c>
      <c r="FA1132" s="1628" t="s">
        <v>588</v>
      </c>
      <c r="FH1132" s="1628"/>
      <c r="FU1132" s="1678"/>
      <c r="FW1132" s="1678"/>
    </row>
    <row r="1133" spans="1:179" s="1484" customFormat="1" ht="15" x14ac:dyDescent="0.25">
      <c r="A1133" s="1629"/>
      <c r="B1133" s="1862"/>
      <c r="C1133" s="2805" t="s">
        <v>8844</v>
      </c>
      <c r="D1133" s="2805"/>
      <c r="E1133" s="2805"/>
      <c r="F1133" s="2805"/>
      <c r="G1133" s="2805"/>
      <c r="H1133" s="2805"/>
      <c r="I1133" s="2805"/>
      <c r="J1133" s="2805"/>
      <c r="K1133" s="2805"/>
      <c r="L1133" s="2805"/>
      <c r="M1133" s="2805"/>
      <c r="N1133" s="2806"/>
      <c r="EW1133" s="2031"/>
      <c r="EX1133" s="1619"/>
      <c r="EY1133" s="1628"/>
      <c r="EZ1133" s="1628"/>
      <c r="FA1133" s="1628"/>
      <c r="FB1133" s="1864" t="s">
        <v>8844</v>
      </c>
      <c r="FH1133" s="1628"/>
      <c r="FU1133" s="1678"/>
      <c r="FW1133" s="1678"/>
    </row>
    <row r="1134" spans="1:179" s="1484" customFormat="1" ht="22.5" x14ac:dyDescent="0.25">
      <c r="A1134" s="1630"/>
      <c r="B1134" s="1631" t="s">
        <v>6062</v>
      </c>
      <c r="C1134" s="2809" t="s">
        <v>6063</v>
      </c>
      <c r="D1134" s="2809"/>
      <c r="E1134" s="2809"/>
      <c r="F1134" s="2809"/>
      <c r="G1134" s="2809"/>
      <c r="H1134" s="2809"/>
      <c r="I1134" s="2809"/>
      <c r="J1134" s="2809"/>
      <c r="K1134" s="2809"/>
      <c r="L1134" s="2809"/>
      <c r="M1134" s="2809"/>
      <c r="N1134" s="2810"/>
      <c r="EW1134" s="2031"/>
      <c r="EX1134" s="1619"/>
      <c r="EY1134" s="1628"/>
      <c r="EZ1134" s="1628"/>
      <c r="FA1134" s="1628"/>
      <c r="FC1134" s="1864" t="s">
        <v>6063</v>
      </c>
      <c r="FH1134" s="1628"/>
      <c r="FU1134" s="1678"/>
      <c r="FW1134" s="1678"/>
    </row>
    <row r="1135" spans="1:179" s="1484" customFormat="1" ht="15" x14ac:dyDescent="0.25">
      <c r="A1135" s="1630"/>
      <c r="B1135" s="1631" t="s">
        <v>8142</v>
      </c>
      <c r="C1135" s="2809" t="s">
        <v>8143</v>
      </c>
      <c r="D1135" s="2809"/>
      <c r="E1135" s="2809"/>
      <c r="F1135" s="2809"/>
      <c r="G1135" s="2809"/>
      <c r="H1135" s="2809"/>
      <c r="I1135" s="2809"/>
      <c r="J1135" s="2809"/>
      <c r="K1135" s="2809"/>
      <c r="L1135" s="2809"/>
      <c r="M1135" s="2809"/>
      <c r="N1135" s="2810"/>
      <c r="EW1135" s="2031"/>
      <c r="EX1135" s="1619"/>
      <c r="EY1135" s="1628"/>
      <c r="EZ1135" s="1628"/>
      <c r="FA1135" s="1628"/>
      <c r="FC1135" s="1864" t="s">
        <v>8143</v>
      </c>
      <c r="FH1135" s="1628"/>
      <c r="FU1135" s="1678"/>
      <c r="FW1135" s="1678"/>
    </row>
    <row r="1136" spans="1:179" s="1484" customFormat="1" ht="22.5" x14ac:dyDescent="0.25">
      <c r="A1136" s="2033"/>
      <c r="B1136" s="1631" t="s">
        <v>8756</v>
      </c>
      <c r="C1136" s="2805" t="s">
        <v>8755</v>
      </c>
      <c r="D1136" s="2805"/>
      <c r="E1136" s="2805"/>
      <c r="F1136" s="1683" t="s">
        <v>807</v>
      </c>
      <c r="G1136" s="1655">
        <v>0.44</v>
      </c>
      <c r="H1136" s="2034">
        <v>4</v>
      </c>
      <c r="I1136" s="2042">
        <v>1.584E-2</v>
      </c>
      <c r="J1136" s="1654">
        <v>7.94</v>
      </c>
      <c r="K1136" s="1655">
        <v>1.25</v>
      </c>
      <c r="L1136" s="1654">
        <v>0.16</v>
      </c>
      <c r="M1136" s="1641"/>
      <c r="N1136" s="1681"/>
      <c r="EW1136" s="2031"/>
      <c r="EX1136" s="1619"/>
      <c r="EY1136" s="1628"/>
      <c r="EZ1136" s="1628"/>
      <c r="FA1136" s="1628"/>
      <c r="FD1136" s="1864" t="s">
        <v>8755</v>
      </c>
      <c r="FH1136" s="1628"/>
      <c r="FU1136" s="1678"/>
      <c r="FW1136" s="1678"/>
    </row>
    <row r="1137" spans="1:179" s="1484" customFormat="1" ht="22.5" x14ac:dyDescent="0.25">
      <c r="A1137" s="2033"/>
      <c r="B1137" s="1631" t="s">
        <v>5010</v>
      </c>
      <c r="C1137" s="2805" t="s">
        <v>5011</v>
      </c>
      <c r="D1137" s="2805"/>
      <c r="E1137" s="2805"/>
      <c r="F1137" s="1683" t="s">
        <v>4994</v>
      </c>
      <c r="G1137" s="1655">
        <v>0.21</v>
      </c>
      <c r="H1137" s="2034">
        <v>4</v>
      </c>
      <c r="I1137" s="2042">
        <v>7.5599999999999999E-3</v>
      </c>
      <c r="J1137" s="1654">
        <v>31.26</v>
      </c>
      <c r="K1137" s="1641"/>
      <c r="L1137" s="1654">
        <v>0.24</v>
      </c>
      <c r="M1137" s="1641"/>
      <c r="N1137" s="1681"/>
      <c r="EW1137" s="2031"/>
      <c r="EX1137" s="1619"/>
      <c r="EY1137" s="1628"/>
      <c r="EZ1137" s="1628"/>
      <c r="FA1137" s="1628"/>
      <c r="FD1137" s="1864" t="s">
        <v>5011</v>
      </c>
      <c r="FH1137" s="1628"/>
      <c r="FU1137" s="1678"/>
      <c r="FW1137" s="1678"/>
    </row>
    <row r="1138" spans="1:179" s="1484" customFormat="1" ht="15" x14ac:dyDescent="0.25">
      <c r="A1138" s="2033"/>
      <c r="B1138" s="1631" t="s">
        <v>5012</v>
      </c>
      <c r="C1138" s="2805" t="s">
        <v>5013</v>
      </c>
      <c r="D1138" s="2805"/>
      <c r="E1138" s="2805"/>
      <c r="F1138" s="1683" t="s">
        <v>4994</v>
      </c>
      <c r="G1138" s="2034">
        <v>2</v>
      </c>
      <c r="H1138" s="2034">
        <v>4</v>
      </c>
      <c r="I1138" s="2046">
        <v>7.1999999999999995E-2</v>
      </c>
      <c r="J1138" s="1654">
        <v>0.5</v>
      </c>
      <c r="K1138" s="1641"/>
      <c r="L1138" s="1654">
        <v>0.04</v>
      </c>
      <c r="M1138" s="1641"/>
      <c r="N1138" s="1681"/>
      <c r="EW1138" s="2031"/>
      <c r="EX1138" s="1619"/>
      <c r="EY1138" s="1628"/>
      <c r="EZ1138" s="1628"/>
      <c r="FA1138" s="1628"/>
      <c r="FD1138" s="1864" t="s">
        <v>5013</v>
      </c>
      <c r="FH1138" s="1628"/>
      <c r="FU1138" s="1678"/>
      <c r="FW1138" s="1678"/>
    </row>
    <row r="1139" spans="1:179" s="1484" customFormat="1" ht="15" x14ac:dyDescent="0.25">
      <c r="A1139" s="2032"/>
      <c r="B1139" s="1631" t="s">
        <v>190</v>
      </c>
      <c r="C1139" s="2805" t="s">
        <v>2523</v>
      </c>
      <c r="D1139" s="2805"/>
      <c r="E1139" s="2805"/>
      <c r="F1139" s="1683"/>
      <c r="G1139" s="1641"/>
      <c r="H1139" s="1641"/>
      <c r="I1139" s="1641"/>
      <c r="J1139" s="1654">
        <v>3.49</v>
      </c>
      <c r="K1139" s="2034">
        <v>5</v>
      </c>
      <c r="L1139" s="1654">
        <v>0.16</v>
      </c>
      <c r="M1139" s="1655">
        <v>35.75</v>
      </c>
      <c r="N1139" s="2039">
        <v>5.72</v>
      </c>
      <c r="EW1139" s="2031"/>
      <c r="EX1139" s="1619"/>
      <c r="EY1139" s="1628"/>
      <c r="EZ1139" s="1628"/>
      <c r="FA1139" s="1628"/>
      <c r="FE1139" s="1864" t="s">
        <v>2523</v>
      </c>
      <c r="FH1139" s="1628"/>
      <c r="FU1139" s="1678"/>
      <c r="FW1139" s="1678"/>
    </row>
    <row r="1140" spans="1:179" s="1484" customFormat="1" ht="15" x14ac:dyDescent="0.25">
      <c r="A1140" s="2032"/>
      <c r="B1140" s="1631" t="s">
        <v>639</v>
      </c>
      <c r="C1140" s="2805" t="s">
        <v>697</v>
      </c>
      <c r="D1140" s="2805"/>
      <c r="E1140" s="2805"/>
      <c r="F1140" s="1683"/>
      <c r="G1140" s="1641"/>
      <c r="H1140" s="1641"/>
      <c r="I1140" s="1641"/>
      <c r="J1140" s="1654">
        <v>7.56</v>
      </c>
      <c r="K1140" s="2034">
        <v>4</v>
      </c>
      <c r="L1140" s="1654">
        <v>0.27</v>
      </c>
      <c r="M1140" s="1655">
        <v>11.97</v>
      </c>
      <c r="N1140" s="2039">
        <v>3.23</v>
      </c>
      <c r="EW1140" s="2031"/>
      <c r="EX1140" s="1619"/>
      <c r="EY1140" s="1628"/>
      <c r="EZ1140" s="1628"/>
      <c r="FA1140" s="1628"/>
      <c r="FE1140" s="1864" t="s">
        <v>697</v>
      </c>
      <c r="FH1140" s="1628"/>
      <c r="FU1140" s="1678"/>
      <c r="FW1140" s="1678"/>
    </row>
    <row r="1141" spans="1:179" s="1484" customFormat="1" ht="15" x14ac:dyDescent="0.25">
      <c r="A1141" s="2032"/>
      <c r="B1141" s="1631" t="s">
        <v>640</v>
      </c>
      <c r="C1141" s="2805" t="s">
        <v>2500</v>
      </c>
      <c r="D1141" s="2805"/>
      <c r="E1141" s="2805"/>
      <c r="F1141" s="1683"/>
      <c r="G1141" s="1641"/>
      <c r="H1141" s="1641"/>
      <c r="I1141" s="1641"/>
      <c r="J1141" s="1654">
        <v>2.84</v>
      </c>
      <c r="K1141" s="2034">
        <v>4</v>
      </c>
      <c r="L1141" s="1654">
        <v>0.1</v>
      </c>
      <c r="M1141" s="1655">
        <v>35.75</v>
      </c>
      <c r="N1141" s="2039">
        <v>3.58</v>
      </c>
      <c r="EW1141" s="2031"/>
      <c r="EX1141" s="1619"/>
      <c r="EY1141" s="1628"/>
      <c r="EZ1141" s="1628"/>
      <c r="FA1141" s="1628"/>
      <c r="FE1141" s="1864" t="s">
        <v>2500</v>
      </c>
      <c r="FH1141" s="1628"/>
      <c r="FU1141" s="1678"/>
      <c r="FW1141" s="1678"/>
    </row>
    <row r="1142" spans="1:179" s="1484" customFormat="1" ht="15" x14ac:dyDescent="0.25">
      <c r="A1142" s="2033"/>
      <c r="B1142" s="1631"/>
      <c r="C1142" s="2805" t="s">
        <v>2524</v>
      </c>
      <c r="D1142" s="2805"/>
      <c r="E1142" s="2805"/>
      <c r="F1142" s="1683" t="s">
        <v>807</v>
      </c>
      <c r="G1142" s="1655">
        <v>0.44</v>
      </c>
      <c r="H1142" s="2034">
        <v>4</v>
      </c>
      <c r="I1142" s="2042">
        <v>1.584E-2</v>
      </c>
      <c r="J1142" s="1640"/>
      <c r="K1142" s="1641"/>
      <c r="L1142" s="1640"/>
      <c r="M1142" s="1641"/>
      <c r="N1142" s="1681"/>
      <c r="EW1142" s="2031"/>
      <c r="EX1142" s="1619"/>
      <c r="EY1142" s="1628"/>
      <c r="EZ1142" s="1628"/>
      <c r="FA1142" s="1628"/>
      <c r="FF1142" s="1864" t="s">
        <v>2524</v>
      </c>
      <c r="FH1142" s="1628"/>
      <c r="FU1142" s="1678"/>
      <c r="FW1142" s="1678"/>
    </row>
    <row r="1143" spans="1:179" s="1484" customFormat="1" ht="15" x14ac:dyDescent="0.25">
      <c r="A1143" s="2033"/>
      <c r="B1143" s="1631"/>
      <c r="C1143" s="2805" t="s">
        <v>2501</v>
      </c>
      <c r="D1143" s="2805"/>
      <c r="E1143" s="2805"/>
      <c r="F1143" s="1683" t="s">
        <v>807</v>
      </c>
      <c r="G1143" s="1655">
        <v>0.21</v>
      </c>
      <c r="H1143" s="2034">
        <v>4</v>
      </c>
      <c r="I1143" s="2042">
        <v>7.5599999999999999E-3</v>
      </c>
      <c r="J1143" s="1640"/>
      <c r="K1143" s="1641"/>
      <c r="L1143" s="1640"/>
      <c r="M1143" s="1641"/>
      <c r="N1143" s="1681"/>
      <c r="EW1143" s="2031"/>
      <c r="EX1143" s="1619"/>
      <c r="EY1143" s="1628"/>
      <c r="EZ1143" s="1628"/>
      <c r="FA1143" s="1628"/>
      <c r="FF1143" s="1864" t="s">
        <v>2501</v>
      </c>
      <c r="FH1143" s="1628"/>
      <c r="FU1143" s="1678"/>
      <c r="FW1143" s="1678"/>
    </row>
    <row r="1144" spans="1:179" s="1484" customFormat="1" ht="15" x14ac:dyDescent="0.25">
      <c r="A1144" s="2032"/>
      <c r="B1144" s="1631"/>
      <c r="C1144" s="2917" t="s">
        <v>2502</v>
      </c>
      <c r="D1144" s="2917"/>
      <c r="E1144" s="2917"/>
      <c r="F1144" s="2036"/>
      <c r="G1144" s="2037"/>
      <c r="H1144" s="2037"/>
      <c r="I1144" s="2037"/>
      <c r="J1144" s="2044">
        <v>11.05</v>
      </c>
      <c r="K1144" s="2037"/>
      <c r="L1144" s="2044">
        <v>0.43</v>
      </c>
      <c r="M1144" s="2037"/>
      <c r="N1144" s="2070">
        <v>8.9499999999999993</v>
      </c>
      <c r="EW1144" s="2031"/>
      <c r="EX1144" s="1619"/>
      <c r="EY1144" s="1628"/>
      <c r="EZ1144" s="1628"/>
      <c r="FA1144" s="1628"/>
      <c r="FG1144" s="1864" t="s">
        <v>2502</v>
      </c>
      <c r="FH1144" s="1628"/>
      <c r="FU1144" s="1678"/>
      <c r="FW1144" s="1678"/>
    </row>
    <row r="1145" spans="1:179" s="1484" customFormat="1" ht="15" x14ac:dyDescent="0.25">
      <c r="A1145" s="2033" t="s">
        <v>8169</v>
      </c>
      <c r="B1145" s="1631"/>
      <c r="C1145" s="2805" t="s">
        <v>7964</v>
      </c>
      <c r="D1145" s="2805"/>
      <c r="E1145" s="2805"/>
      <c r="F1145" s="1683" t="s">
        <v>5928</v>
      </c>
      <c r="G1145" s="1641"/>
      <c r="H1145" s="1641"/>
      <c r="I1145" s="1641"/>
      <c r="J1145" s="1640"/>
      <c r="K1145" s="1641"/>
      <c r="L1145" s="1654">
        <v>0.03</v>
      </c>
      <c r="M1145" s="1641"/>
      <c r="N1145" s="2039">
        <v>1.07</v>
      </c>
      <c r="EW1145" s="2031"/>
      <c r="EX1145" s="1619"/>
      <c r="EY1145" s="1628"/>
      <c r="EZ1145" s="1628"/>
      <c r="FA1145" s="1628"/>
      <c r="FF1145" s="1864" t="s">
        <v>7964</v>
      </c>
      <c r="FH1145" s="1628"/>
      <c r="FU1145" s="1678"/>
      <c r="FW1145" s="1678"/>
    </row>
    <row r="1146" spans="1:179" s="1484" customFormat="1" ht="15" x14ac:dyDescent="0.25">
      <c r="A1146" s="2033"/>
      <c r="B1146" s="1631"/>
      <c r="C1146" s="2805" t="s">
        <v>7965</v>
      </c>
      <c r="D1146" s="2805"/>
      <c r="E1146" s="2805"/>
      <c r="F1146" s="1683" t="s">
        <v>5928</v>
      </c>
      <c r="G1146" s="1641"/>
      <c r="H1146" s="1641"/>
      <c r="I1146" s="1641"/>
      <c r="J1146" s="1654">
        <v>2.84</v>
      </c>
      <c r="K1146" s="2034">
        <v>1</v>
      </c>
      <c r="L1146" s="1654">
        <v>0.03</v>
      </c>
      <c r="M1146" s="1655">
        <v>35.75</v>
      </c>
      <c r="N1146" s="2039">
        <v>1.07</v>
      </c>
      <c r="EW1146" s="2031"/>
      <c r="EX1146" s="1619"/>
      <c r="EY1146" s="1628"/>
      <c r="EZ1146" s="1628"/>
      <c r="FA1146" s="1628"/>
      <c r="FF1146" s="1864" t="s">
        <v>7965</v>
      </c>
      <c r="FH1146" s="1628"/>
      <c r="FU1146" s="1678"/>
      <c r="FW1146" s="1678"/>
    </row>
    <row r="1147" spans="1:179" s="1484" customFormat="1" ht="15" x14ac:dyDescent="0.25">
      <c r="A1147" s="2033"/>
      <c r="B1147" s="1631"/>
      <c r="C1147" s="2805" t="s">
        <v>867</v>
      </c>
      <c r="D1147" s="2805"/>
      <c r="E1147" s="2805"/>
      <c r="F1147" s="1683"/>
      <c r="G1147" s="1641"/>
      <c r="H1147" s="1641"/>
      <c r="I1147" s="1641"/>
      <c r="J1147" s="1640"/>
      <c r="K1147" s="1641"/>
      <c r="L1147" s="1654">
        <v>0.28999999999999998</v>
      </c>
      <c r="M1147" s="1641"/>
      <c r="N1147" s="2039">
        <v>10.37</v>
      </c>
      <c r="EW1147" s="2031"/>
      <c r="EX1147" s="1619"/>
      <c r="EY1147" s="1628"/>
      <c r="EZ1147" s="1628"/>
      <c r="FA1147" s="1628"/>
      <c r="FF1147" s="1864" t="s">
        <v>867</v>
      </c>
      <c r="FH1147" s="1628"/>
      <c r="FU1147" s="1678"/>
      <c r="FW1147" s="1678"/>
    </row>
    <row r="1148" spans="1:179" s="1484" customFormat="1" ht="15" x14ac:dyDescent="0.25">
      <c r="A1148" s="2033"/>
      <c r="B1148" s="1631" t="s">
        <v>8054</v>
      </c>
      <c r="C1148" s="2805" t="s">
        <v>8055</v>
      </c>
      <c r="D1148" s="2805"/>
      <c r="E1148" s="2805"/>
      <c r="F1148" s="1683" t="s">
        <v>636</v>
      </c>
      <c r="G1148" s="2034">
        <v>112</v>
      </c>
      <c r="H1148" s="1641"/>
      <c r="I1148" s="2034">
        <v>112</v>
      </c>
      <c r="J1148" s="1640"/>
      <c r="K1148" s="1641"/>
      <c r="L1148" s="1654">
        <v>0.32</v>
      </c>
      <c r="M1148" s="1641"/>
      <c r="N1148" s="2039">
        <v>11.61</v>
      </c>
      <c r="EW1148" s="2031"/>
      <c r="EX1148" s="1619"/>
      <c r="EY1148" s="1628"/>
      <c r="EZ1148" s="1628"/>
      <c r="FA1148" s="1628"/>
      <c r="FF1148" s="1864" t="s">
        <v>8055</v>
      </c>
      <c r="FH1148" s="1628"/>
      <c r="FU1148" s="1678"/>
      <c r="FW1148" s="1678"/>
    </row>
    <row r="1149" spans="1:179" s="1484" customFormat="1" ht="15" x14ac:dyDescent="0.25">
      <c r="A1149" s="2033"/>
      <c r="B1149" s="1631" t="s">
        <v>8056</v>
      </c>
      <c r="C1149" s="2805" t="s">
        <v>8057</v>
      </c>
      <c r="D1149" s="2805"/>
      <c r="E1149" s="2805"/>
      <c r="F1149" s="1683" t="s">
        <v>636</v>
      </c>
      <c r="G1149" s="2034">
        <v>65</v>
      </c>
      <c r="H1149" s="1641"/>
      <c r="I1149" s="2034">
        <v>65</v>
      </c>
      <c r="J1149" s="1640"/>
      <c r="K1149" s="1641"/>
      <c r="L1149" s="1654">
        <v>0.19</v>
      </c>
      <c r="M1149" s="1641"/>
      <c r="N1149" s="2039">
        <v>6.74</v>
      </c>
      <c r="EW1149" s="2031"/>
      <c r="EX1149" s="1619"/>
      <c r="EY1149" s="1628"/>
      <c r="EZ1149" s="1628"/>
      <c r="FA1149" s="1628"/>
      <c r="FF1149" s="1864" t="s">
        <v>8057</v>
      </c>
      <c r="FH1149" s="1628"/>
      <c r="FU1149" s="1678"/>
      <c r="FW1149" s="1678"/>
    </row>
    <row r="1150" spans="1:179" s="1484" customFormat="1" ht="15" x14ac:dyDescent="0.25">
      <c r="A1150" s="1650"/>
      <c r="B1150" s="1651"/>
      <c r="C1150" s="2803" t="s">
        <v>872</v>
      </c>
      <c r="D1150" s="2803"/>
      <c r="E1150" s="2803"/>
      <c r="F1150" s="1621"/>
      <c r="G1150" s="1622"/>
      <c r="H1150" s="1622"/>
      <c r="I1150" s="1622"/>
      <c r="J1150" s="1625"/>
      <c r="K1150" s="1622"/>
      <c r="L1150" s="2040">
        <v>0.97</v>
      </c>
      <c r="M1150" s="2037"/>
      <c r="N1150" s="2069">
        <v>28.37</v>
      </c>
      <c r="EW1150" s="2031"/>
      <c r="EX1150" s="1619"/>
      <c r="EY1150" s="1628"/>
      <c r="EZ1150" s="1628"/>
      <c r="FA1150" s="1628"/>
      <c r="FH1150" s="1628" t="s">
        <v>872</v>
      </c>
      <c r="FU1150" s="1678"/>
      <c r="FW1150" s="1678"/>
    </row>
    <row r="1151" spans="1:179" s="1484" customFormat="1" ht="56.25" x14ac:dyDescent="0.25">
      <c r="A1151" s="1620" t="s">
        <v>8170</v>
      </c>
      <c r="B1151" s="1863" t="s">
        <v>8146</v>
      </c>
      <c r="C1151" s="2803" t="s">
        <v>8147</v>
      </c>
      <c r="D1151" s="2803"/>
      <c r="E1151" s="2803"/>
      <c r="F1151" s="1621" t="s">
        <v>835</v>
      </c>
      <c r="G1151" s="1622">
        <v>667.81439999999998</v>
      </c>
      <c r="H1151" s="1623">
        <v>1</v>
      </c>
      <c r="I1151" s="2041">
        <v>667.81439999999998</v>
      </c>
      <c r="J1151" s="2040">
        <v>23.7</v>
      </c>
      <c r="K1151" s="1622"/>
      <c r="L1151" s="1648">
        <v>15827.2</v>
      </c>
      <c r="M1151" s="1687">
        <v>9.14</v>
      </c>
      <c r="N1151" s="1649">
        <v>144660.60999999999</v>
      </c>
      <c r="EW1151" s="2031"/>
      <c r="EX1151" s="1619"/>
      <c r="EY1151" s="1628" t="s">
        <v>8147</v>
      </c>
      <c r="EZ1151" s="1628" t="s">
        <v>588</v>
      </c>
      <c r="FA1151" s="1628" t="s">
        <v>588</v>
      </c>
      <c r="FH1151" s="1628"/>
      <c r="FU1151" s="1678"/>
      <c r="FW1151" s="1678"/>
    </row>
    <row r="1152" spans="1:179" s="1484" customFormat="1" ht="15" x14ac:dyDescent="0.25">
      <c r="A1152" s="1650"/>
      <c r="B1152" s="1651"/>
      <c r="C1152" s="2805" t="s">
        <v>8722</v>
      </c>
      <c r="D1152" s="2805"/>
      <c r="E1152" s="2805"/>
      <c r="F1152" s="2805"/>
      <c r="G1152" s="2805"/>
      <c r="H1152" s="2805"/>
      <c r="I1152" s="2805"/>
      <c r="J1152" s="2805"/>
      <c r="K1152" s="2805"/>
      <c r="L1152" s="2805"/>
      <c r="M1152" s="2805"/>
      <c r="N1152" s="2806"/>
      <c r="EW1152" s="2031"/>
      <c r="EX1152" s="1619"/>
      <c r="EY1152" s="1628"/>
      <c r="EZ1152" s="1628"/>
      <c r="FA1152" s="1628"/>
      <c r="FH1152" s="1628"/>
      <c r="FI1152" s="1864" t="s">
        <v>8722</v>
      </c>
      <c r="FJ1152" s="1864" t="s">
        <v>588</v>
      </c>
      <c r="FK1152" s="1864" t="s">
        <v>588</v>
      </c>
      <c r="FL1152" s="1864" t="s">
        <v>588</v>
      </c>
      <c r="FM1152" s="1864" t="s">
        <v>588</v>
      </c>
      <c r="FN1152" s="1864" t="s">
        <v>588</v>
      </c>
      <c r="FO1152" s="1864" t="s">
        <v>588</v>
      </c>
      <c r="FP1152" s="1864" t="s">
        <v>588</v>
      </c>
      <c r="FQ1152" s="1864" t="s">
        <v>588</v>
      </c>
      <c r="FR1152" s="1864" t="s">
        <v>588</v>
      </c>
      <c r="FS1152" s="1864" t="s">
        <v>588</v>
      </c>
      <c r="FT1152" s="1864" t="s">
        <v>588</v>
      </c>
      <c r="FU1152" s="1678"/>
      <c r="FW1152" s="1678"/>
    </row>
    <row r="1153" spans="1:179" s="1484" customFormat="1" ht="15" x14ac:dyDescent="0.25">
      <c r="A1153" s="1629"/>
      <c r="B1153" s="1862"/>
      <c r="C1153" s="2805" t="s">
        <v>8843</v>
      </c>
      <c r="D1153" s="2805"/>
      <c r="E1153" s="2805"/>
      <c r="F1153" s="2805"/>
      <c r="G1153" s="2805"/>
      <c r="H1153" s="2805"/>
      <c r="I1153" s="2805"/>
      <c r="J1153" s="2805"/>
      <c r="K1153" s="2805"/>
      <c r="L1153" s="2805"/>
      <c r="M1153" s="2805"/>
      <c r="N1153" s="2806"/>
      <c r="EW1153" s="2031"/>
      <c r="EX1153" s="1619"/>
      <c r="EY1153" s="1628"/>
      <c r="EZ1153" s="1628"/>
      <c r="FA1153" s="1628"/>
      <c r="FB1153" s="1864" t="s">
        <v>8843</v>
      </c>
      <c r="FH1153" s="1628"/>
      <c r="FU1153" s="1678"/>
      <c r="FW1153" s="1678"/>
    </row>
    <row r="1154" spans="1:179" s="1484" customFormat="1" ht="15" x14ac:dyDescent="0.25">
      <c r="A1154" s="1650"/>
      <c r="B1154" s="1651"/>
      <c r="C1154" s="2803" t="s">
        <v>872</v>
      </c>
      <c r="D1154" s="2803"/>
      <c r="E1154" s="2803"/>
      <c r="F1154" s="1621"/>
      <c r="G1154" s="1622"/>
      <c r="H1154" s="1622"/>
      <c r="I1154" s="1622"/>
      <c r="J1154" s="1625"/>
      <c r="K1154" s="1622"/>
      <c r="L1154" s="1648">
        <v>15827.2</v>
      </c>
      <c r="M1154" s="2037"/>
      <c r="N1154" s="1649">
        <v>144660.60999999999</v>
      </c>
      <c r="EW1154" s="2031"/>
      <c r="EX1154" s="1619"/>
      <c r="EY1154" s="1628"/>
      <c r="EZ1154" s="1628"/>
      <c r="FA1154" s="1628"/>
      <c r="FH1154" s="1628" t="s">
        <v>872</v>
      </c>
      <c r="FU1154" s="1678"/>
      <c r="FW1154" s="1678"/>
    </row>
    <row r="1155" spans="1:179" s="1484" customFormat="1" ht="33.75" x14ac:dyDescent="0.25">
      <c r="A1155" s="1620" t="s">
        <v>1381</v>
      </c>
      <c r="B1155" s="1863" t="s">
        <v>8148</v>
      </c>
      <c r="C1155" s="2803" t="s">
        <v>8149</v>
      </c>
      <c r="D1155" s="2803"/>
      <c r="E1155" s="2803"/>
      <c r="F1155" s="1621" t="s">
        <v>2555</v>
      </c>
      <c r="G1155" s="1622">
        <v>1.86</v>
      </c>
      <c r="H1155" s="1623">
        <v>1</v>
      </c>
      <c r="I1155" s="1687">
        <v>1.86</v>
      </c>
      <c r="J1155" s="1625"/>
      <c r="K1155" s="1622"/>
      <c r="L1155" s="1625"/>
      <c r="M1155" s="1622"/>
      <c r="N1155" s="1627"/>
      <c r="EW1155" s="2031"/>
      <c r="EX1155" s="1619"/>
      <c r="EY1155" s="1628" t="s">
        <v>8149</v>
      </c>
      <c r="EZ1155" s="1628" t="s">
        <v>588</v>
      </c>
      <c r="FA1155" s="1628" t="s">
        <v>588</v>
      </c>
      <c r="FH1155" s="1628"/>
      <c r="FU1155" s="1678"/>
      <c r="FW1155" s="1678"/>
    </row>
    <row r="1156" spans="1:179" s="1484" customFormat="1" ht="15" x14ac:dyDescent="0.25">
      <c r="A1156" s="1629"/>
      <c r="B1156" s="1862"/>
      <c r="C1156" s="2805" t="s">
        <v>8842</v>
      </c>
      <c r="D1156" s="2805"/>
      <c r="E1156" s="2805"/>
      <c r="F1156" s="2805"/>
      <c r="G1156" s="2805"/>
      <c r="H1156" s="2805"/>
      <c r="I1156" s="2805"/>
      <c r="J1156" s="2805"/>
      <c r="K1156" s="2805"/>
      <c r="L1156" s="2805"/>
      <c r="M1156" s="2805"/>
      <c r="N1156" s="2806"/>
      <c r="EW1156" s="2031"/>
      <c r="EX1156" s="1619"/>
      <c r="EY1156" s="1628"/>
      <c r="EZ1156" s="1628"/>
      <c r="FA1156" s="1628"/>
      <c r="FB1156" s="1864" t="s">
        <v>8842</v>
      </c>
      <c r="FH1156" s="1628"/>
      <c r="FU1156" s="1678"/>
      <c r="FW1156" s="1678"/>
    </row>
    <row r="1157" spans="1:179" s="1484" customFormat="1" ht="22.5" x14ac:dyDescent="0.25">
      <c r="A1157" s="1630"/>
      <c r="B1157" s="1631" t="s">
        <v>6062</v>
      </c>
      <c r="C1157" s="2809" t="s">
        <v>6063</v>
      </c>
      <c r="D1157" s="2809"/>
      <c r="E1157" s="2809"/>
      <c r="F1157" s="2809"/>
      <c r="G1157" s="2809"/>
      <c r="H1157" s="2809"/>
      <c r="I1157" s="2809"/>
      <c r="J1157" s="2809"/>
      <c r="K1157" s="2809"/>
      <c r="L1157" s="2809"/>
      <c r="M1157" s="2809"/>
      <c r="N1157" s="2810"/>
      <c r="EW1157" s="2031"/>
      <c r="EX1157" s="1619"/>
      <c r="EY1157" s="1628"/>
      <c r="EZ1157" s="1628"/>
      <c r="FA1157" s="1628"/>
      <c r="FC1157" s="1864" t="s">
        <v>6063</v>
      </c>
      <c r="FH1157" s="1628"/>
      <c r="FU1157" s="1678"/>
      <c r="FW1157" s="1678"/>
    </row>
    <row r="1158" spans="1:179" s="1484" customFormat="1" ht="22.5" x14ac:dyDescent="0.25">
      <c r="A1158" s="2033"/>
      <c r="B1158" s="1631" t="s">
        <v>3260</v>
      </c>
      <c r="C1158" s="2805" t="s">
        <v>8636</v>
      </c>
      <c r="D1158" s="2805"/>
      <c r="E1158" s="2805"/>
      <c r="F1158" s="1683" t="s">
        <v>807</v>
      </c>
      <c r="G1158" s="1655">
        <v>3.69</v>
      </c>
      <c r="H1158" s="1641"/>
      <c r="I1158" s="2035">
        <v>6.8634000000000004</v>
      </c>
      <c r="J1158" s="1654">
        <v>9.18</v>
      </c>
      <c r="K1158" s="1655">
        <v>1.25</v>
      </c>
      <c r="L1158" s="1654">
        <v>78.760000000000005</v>
      </c>
      <c r="M1158" s="1641"/>
      <c r="N1158" s="1681"/>
      <c r="EW1158" s="2031"/>
      <c r="EX1158" s="1619"/>
      <c r="EY1158" s="1628"/>
      <c r="EZ1158" s="1628"/>
      <c r="FA1158" s="1628"/>
      <c r="FD1158" s="1864" t="s">
        <v>8636</v>
      </c>
      <c r="FH1158" s="1628"/>
      <c r="FU1158" s="1678"/>
      <c r="FW1158" s="1678"/>
    </row>
    <row r="1159" spans="1:179" s="1484" customFormat="1" ht="22.5" x14ac:dyDescent="0.25">
      <c r="A1159" s="2033"/>
      <c r="B1159" s="1631" t="s">
        <v>5008</v>
      </c>
      <c r="C1159" s="2805" t="s">
        <v>5009</v>
      </c>
      <c r="D1159" s="2805"/>
      <c r="E1159" s="2805"/>
      <c r="F1159" s="1683" t="s">
        <v>4994</v>
      </c>
      <c r="G1159" s="1655">
        <v>0.01</v>
      </c>
      <c r="H1159" s="1641"/>
      <c r="I1159" s="2035">
        <v>1.8599999999999998E-2</v>
      </c>
      <c r="J1159" s="1654">
        <v>27.66</v>
      </c>
      <c r="K1159" s="1641"/>
      <c r="L1159" s="1654">
        <v>0.51</v>
      </c>
      <c r="M1159" s="1641"/>
      <c r="N1159" s="1681"/>
      <c r="EW1159" s="2031"/>
      <c r="EX1159" s="1619"/>
      <c r="EY1159" s="1628"/>
      <c r="EZ1159" s="1628"/>
      <c r="FA1159" s="1628"/>
      <c r="FD1159" s="1864" t="s">
        <v>5009</v>
      </c>
      <c r="FH1159" s="1628"/>
      <c r="FU1159" s="1678"/>
      <c r="FW1159" s="1678"/>
    </row>
    <row r="1160" spans="1:179" s="1484" customFormat="1" ht="15" x14ac:dyDescent="0.25">
      <c r="A1160" s="2033"/>
      <c r="B1160" s="1631" t="s">
        <v>821</v>
      </c>
      <c r="C1160" s="2805" t="s">
        <v>822</v>
      </c>
      <c r="D1160" s="2805"/>
      <c r="E1160" s="2805"/>
      <c r="F1160" s="1683" t="s">
        <v>4994</v>
      </c>
      <c r="G1160" s="1655">
        <v>0.04</v>
      </c>
      <c r="H1160" s="1641"/>
      <c r="I1160" s="2035">
        <v>7.4399999999999994E-2</v>
      </c>
      <c r="J1160" s="1654">
        <v>65.709999999999994</v>
      </c>
      <c r="K1160" s="1641"/>
      <c r="L1160" s="1654">
        <v>4.8899999999999997</v>
      </c>
      <c r="M1160" s="1641"/>
      <c r="N1160" s="1681"/>
      <c r="EW1160" s="2031"/>
      <c r="EX1160" s="1619"/>
      <c r="EY1160" s="1628"/>
      <c r="EZ1160" s="1628"/>
      <c r="FA1160" s="1628"/>
      <c r="FD1160" s="1864" t="s">
        <v>822</v>
      </c>
      <c r="FH1160" s="1628"/>
      <c r="FU1160" s="1678"/>
      <c r="FW1160" s="1678"/>
    </row>
    <row r="1161" spans="1:179" s="1484" customFormat="1" ht="33.75" x14ac:dyDescent="0.25">
      <c r="A1161" s="2033"/>
      <c r="B1161" s="1631" t="s">
        <v>5029</v>
      </c>
      <c r="C1161" s="2805" t="s">
        <v>5030</v>
      </c>
      <c r="D1161" s="2805"/>
      <c r="E1161" s="2805"/>
      <c r="F1161" s="1683" t="s">
        <v>4994</v>
      </c>
      <c r="G1161" s="1655">
        <v>2.82</v>
      </c>
      <c r="H1161" s="1641"/>
      <c r="I1161" s="2035">
        <v>5.2451999999999996</v>
      </c>
      <c r="J1161" s="1654">
        <v>6.82</v>
      </c>
      <c r="K1161" s="1641"/>
      <c r="L1161" s="1654">
        <v>35.770000000000003</v>
      </c>
      <c r="M1161" s="1641"/>
      <c r="N1161" s="1681"/>
      <c r="EW1161" s="2031"/>
      <c r="EX1161" s="1619"/>
      <c r="EY1161" s="1628"/>
      <c r="EZ1161" s="1628"/>
      <c r="FA1161" s="1628"/>
      <c r="FD1161" s="1864" t="s">
        <v>5030</v>
      </c>
      <c r="FH1161" s="1628"/>
      <c r="FU1161" s="1678"/>
      <c r="FW1161" s="1678"/>
    </row>
    <row r="1162" spans="1:179" s="1484" customFormat="1" ht="15" x14ac:dyDescent="0.25">
      <c r="A1162" s="2033"/>
      <c r="B1162" s="1631" t="s">
        <v>1755</v>
      </c>
      <c r="C1162" s="2805" t="s">
        <v>2634</v>
      </c>
      <c r="D1162" s="2805"/>
      <c r="E1162" s="2805"/>
      <c r="F1162" s="1683" t="s">
        <v>832</v>
      </c>
      <c r="G1162" s="1655">
        <v>0.01</v>
      </c>
      <c r="H1162" s="1641"/>
      <c r="I1162" s="2035">
        <v>1.8599999999999998E-2</v>
      </c>
      <c r="J1162" s="1654">
        <v>2.44</v>
      </c>
      <c r="K1162" s="1641"/>
      <c r="L1162" s="1654">
        <v>0.05</v>
      </c>
      <c r="M1162" s="1641"/>
      <c r="N1162" s="1681"/>
      <c r="EW1162" s="2031"/>
      <c r="EX1162" s="1619"/>
      <c r="EY1162" s="1628"/>
      <c r="EZ1162" s="1628"/>
      <c r="FA1162" s="1628"/>
      <c r="FD1162" s="1864" t="s">
        <v>2634</v>
      </c>
      <c r="FH1162" s="1628"/>
      <c r="FU1162" s="1678"/>
      <c r="FW1162" s="1678"/>
    </row>
    <row r="1163" spans="1:179" s="1484" customFormat="1" ht="15" x14ac:dyDescent="0.25">
      <c r="A1163" s="2033"/>
      <c r="B1163" s="1631" t="s">
        <v>4922</v>
      </c>
      <c r="C1163" s="2805" t="s">
        <v>8707</v>
      </c>
      <c r="D1163" s="2805"/>
      <c r="E1163" s="2805"/>
      <c r="F1163" s="1683" t="s">
        <v>835</v>
      </c>
      <c r="G1163" s="2034">
        <v>1</v>
      </c>
      <c r="H1163" s="1641"/>
      <c r="I1163" s="1655">
        <v>1.86</v>
      </c>
      <c r="J1163" s="1654">
        <v>1.82</v>
      </c>
      <c r="K1163" s="1641"/>
      <c r="L1163" s="1654">
        <v>3.39</v>
      </c>
      <c r="M1163" s="1641"/>
      <c r="N1163" s="1681"/>
      <c r="EW1163" s="2031"/>
      <c r="EX1163" s="1619"/>
      <c r="EY1163" s="1628"/>
      <c r="EZ1163" s="1628"/>
      <c r="FA1163" s="1628"/>
      <c r="FD1163" s="1864" t="s">
        <v>8707</v>
      </c>
      <c r="FH1163" s="1628"/>
      <c r="FU1163" s="1678"/>
      <c r="FW1163" s="1678"/>
    </row>
    <row r="1164" spans="1:179" s="1484" customFormat="1" ht="15" x14ac:dyDescent="0.25">
      <c r="A1164" s="2032"/>
      <c r="B1164" s="1631" t="s">
        <v>190</v>
      </c>
      <c r="C1164" s="2805" t="s">
        <v>2523</v>
      </c>
      <c r="D1164" s="2805"/>
      <c r="E1164" s="2805"/>
      <c r="F1164" s="1683"/>
      <c r="G1164" s="1641"/>
      <c r="H1164" s="1641"/>
      <c r="I1164" s="1641"/>
      <c r="J1164" s="1654">
        <v>33.869999999999997</v>
      </c>
      <c r="K1164" s="1655">
        <v>1.25</v>
      </c>
      <c r="L1164" s="1654">
        <v>78.75</v>
      </c>
      <c r="M1164" s="1655">
        <v>35.75</v>
      </c>
      <c r="N1164" s="1679">
        <v>2815.31</v>
      </c>
      <c r="EW1164" s="2031"/>
      <c r="EX1164" s="1619"/>
      <c r="EY1164" s="1628"/>
      <c r="EZ1164" s="1628"/>
      <c r="FA1164" s="1628"/>
      <c r="FE1164" s="1864" t="s">
        <v>2523</v>
      </c>
      <c r="FH1164" s="1628"/>
      <c r="FU1164" s="1678"/>
      <c r="FW1164" s="1678"/>
    </row>
    <row r="1165" spans="1:179" s="1484" customFormat="1" ht="15" x14ac:dyDescent="0.25">
      <c r="A1165" s="2032"/>
      <c r="B1165" s="1631" t="s">
        <v>639</v>
      </c>
      <c r="C1165" s="2805" t="s">
        <v>697</v>
      </c>
      <c r="D1165" s="2805"/>
      <c r="E1165" s="2805"/>
      <c r="F1165" s="1683"/>
      <c r="G1165" s="1641"/>
      <c r="H1165" s="1641"/>
      <c r="I1165" s="1641"/>
      <c r="J1165" s="1654">
        <v>22.14</v>
      </c>
      <c r="K1165" s="1641"/>
      <c r="L1165" s="1654">
        <v>41.18</v>
      </c>
      <c r="M1165" s="1655">
        <v>11.97</v>
      </c>
      <c r="N1165" s="2039">
        <v>492.92</v>
      </c>
      <c r="EW1165" s="2031"/>
      <c r="EX1165" s="1619"/>
      <c r="EY1165" s="1628"/>
      <c r="EZ1165" s="1628"/>
      <c r="FA1165" s="1628"/>
      <c r="FE1165" s="1864" t="s">
        <v>697</v>
      </c>
      <c r="FH1165" s="1628"/>
      <c r="FU1165" s="1678"/>
      <c r="FW1165" s="1678"/>
    </row>
    <row r="1166" spans="1:179" s="1484" customFormat="1" ht="15" x14ac:dyDescent="0.25">
      <c r="A1166" s="2032"/>
      <c r="B1166" s="1631" t="s">
        <v>640</v>
      </c>
      <c r="C1166" s="2805" t="s">
        <v>2500</v>
      </c>
      <c r="D1166" s="2805"/>
      <c r="E1166" s="2805"/>
      <c r="F1166" s="1683"/>
      <c r="G1166" s="1641"/>
      <c r="H1166" s="1641"/>
      <c r="I1166" s="1641"/>
      <c r="J1166" s="1654">
        <v>0.57999999999999996</v>
      </c>
      <c r="K1166" s="1641"/>
      <c r="L1166" s="1654">
        <v>1.08</v>
      </c>
      <c r="M1166" s="1655">
        <v>35.75</v>
      </c>
      <c r="N1166" s="2039">
        <v>38.61</v>
      </c>
      <c r="EW1166" s="2031"/>
      <c r="EX1166" s="1619"/>
      <c r="EY1166" s="1628"/>
      <c r="EZ1166" s="1628"/>
      <c r="FA1166" s="1628"/>
      <c r="FE1166" s="1864" t="s">
        <v>2500</v>
      </c>
      <c r="FH1166" s="1628"/>
      <c r="FU1166" s="1678"/>
      <c r="FW1166" s="1678"/>
    </row>
    <row r="1167" spans="1:179" s="1484" customFormat="1" ht="15" x14ac:dyDescent="0.25">
      <c r="A1167" s="2032"/>
      <c r="B1167" s="1631" t="s">
        <v>232</v>
      </c>
      <c r="C1167" s="2805" t="s">
        <v>829</v>
      </c>
      <c r="D1167" s="2805"/>
      <c r="E1167" s="2805"/>
      <c r="F1167" s="1683"/>
      <c r="G1167" s="1641"/>
      <c r="H1167" s="1641"/>
      <c r="I1167" s="1641"/>
      <c r="J1167" s="1654">
        <v>1.84</v>
      </c>
      <c r="K1167" s="1641"/>
      <c r="L1167" s="1654">
        <v>3.42</v>
      </c>
      <c r="M1167" s="1655">
        <v>9.14</v>
      </c>
      <c r="N1167" s="2039">
        <v>31.26</v>
      </c>
      <c r="EW1167" s="2031"/>
      <c r="EX1167" s="1619"/>
      <c r="EY1167" s="1628"/>
      <c r="EZ1167" s="1628"/>
      <c r="FA1167" s="1628"/>
      <c r="FE1167" s="1864" t="s">
        <v>829</v>
      </c>
      <c r="FH1167" s="1628"/>
      <c r="FU1167" s="1678"/>
      <c r="FW1167" s="1678"/>
    </row>
    <row r="1168" spans="1:179" s="1484" customFormat="1" ht="15" x14ac:dyDescent="0.25">
      <c r="A1168" s="2033"/>
      <c r="B1168" s="1631"/>
      <c r="C1168" s="2805" t="s">
        <v>2524</v>
      </c>
      <c r="D1168" s="2805"/>
      <c r="E1168" s="2805"/>
      <c r="F1168" s="1683" t="s">
        <v>807</v>
      </c>
      <c r="G1168" s="1655">
        <v>3.69</v>
      </c>
      <c r="H1168" s="1641"/>
      <c r="I1168" s="2035">
        <v>6.8634000000000004</v>
      </c>
      <c r="J1168" s="1640"/>
      <c r="K1168" s="1641"/>
      <c r="L1168" s="1640"/>
      <c r="M1168" s="1641"/>
      <c r="N1168" s="1681"/>
      <c r="EW1168" s="2031"/>
      <c r="EX1168" s="1619"/>
      <c r="EY1168" s="1628"/>
      <c r="EZ1168" s="1628"/>
      <c r="FA1168" s="1628"/>
      <c r="FF1168" s="1864" t="s">
        <v>2524</v>
      </c>
      <c r="FH1168" s="1628"/>
      <c r="FU1168" s="1678"/>
      <c r="FW1168" s="1678"/>
    </row>
    <row r="1169" spans="1:179" s="1484" customFormat="1" ht="15" x14ac:dyDescent="0.25">
      <c r="A1169" s="2033"/>
      <c r="B1169" s="1631"/>
      <c r="C1169" s="2805" t="s">
        <v>2501</v>
      </c>
      <c r="D1169" s="2805"/>
      <c r="E1169" s="2805"/>
      <c r="F1169" s="1683" t="s">
        <v>807</v>
      </c>
      <c r="G1169" s="1655">
        <v>0.05</v>
      </c>
      <c r="H1169" s="1641"/>
      <c r="I1169" s="2046">
        <v>9.2999999999999999E-2</v>
      </c>
      <c r="J1169" s="1640"/>
      <c r="K1169" s="1641"/>
      <c r="L1169" s="1640"/>
      <c r="M1169" s="1641"/>
      <c r="N1169" s="1681"/>
      <c r="EW1169" s="2031"/>
      <c r="EX1169" s="1619"/>
      <c r="EY1169" s="1628"/>
      <c r="EZ1169" s="1628"/>
      <c r="FA1169" s="1628"/>
      <c r="FF1169" s="1864" t="s">
        <v>2501</v>
      </c>
      <c r="FH1169" s="1628"/>
      <c r="FU1169" s="1678"/>
      <c r="FW1169" s="1678"/>
    </row>
    <row r="1170" spans="1:179" s="1484" customFormat="1" ht="15" x14ac:dyDescent="0.25">
      <c r="A1170" s="2032"/>
      <c r="B1170" s="1631"/>
      <c r="C1170" s="2917" t="s">
        <v>2502</v>
      </c>
      <c r="D1170" s="2917"/>
      <c r="E1170" s="2917"/>
      <c r="F1170" s="2036"/>
      <c r="G1170" s="2037"/>
      <c r="H1170" s="2037"/>
      <c r="I1170" s="2037"/>
      <c r="J1170" s="2044">
        <v>57.85</v>
      </c>
      <c r="K1170" s="2037"/>
      <c r="L1170" s="2044">
        <v>123.35</v>
      </c>
      <c r="M1170" s="2037"/>
      <c r="N1170" s="2068">
        <v>3339.49</v>
      </c>
      <c r="EW1170" s="2031"/>
      <c r="EX1170" s="1619"/>
      <c r="EY1170" s="1628"/>
      <c r="EZ1170" s="1628"/>
      <c r="FA1170" s="1628"/>
      <c r="FG1170" s="1864" t="s">
        <v>2502</v>
      </c>
      <c r="FH1170" s="1628"/>
      <c r="FU1170" s="1678"/>
      <c r="FW1170" s="1678"/>
    </row>
    <row r="1171" spans="1:179" s="1484" customFormat="1" ht="15" x14ac:dyDescent="0.25">
      <c r="A1171" s="2033" t="s">
        <v>8171</v>
      </c>
      <c r="B1171" s="1631"/>
      <c r="C1171" s="2805" t="s">
        <v>7964</v>
      </c>
      <c r="D1171" s="2805"/>
      <c r="E1171" s="2805"/>
      <c r="F1171" s="1683" t="s">
        <v>5928</v>
      </c>
      <c r="G1171" s="1641"/>
      <c r="H1171" s="1641"/>
      <c r="I1171" s="1641"/>
      <c r="J1171" s="1640"/>
      <c r="K1171" s="1641"/>
      <c r="L1171" s="1654">
        <v>0.27</v>
      </c>
      <c r="M1171" s="1641"/>
      <c r="N1171" s="2039">
        <v>9.65</v>
      </c>
      <c r="EW1171" s="2031"/>
      <c r="EX1171" s="1619"/>
      <c r="EY1171" s="1628"/>
      <c r="EZ1171" s="1628"/>
      <c r="FA1171" s="1628"/>
      <c r="FF1171" s="1864" t="s">
        <v>7964</v>
      </c>
      <c r="FH1171" s="1628"/>
      <c r="FU1171" s="1678"/>
      <c r="FW1171" s="1678"/>
    </row>
    <row r="1172" spans="1:179" s="1484" customFormat="1" ht="15" x14ac:dyDescent="0.25">
      <c r="A1172" s="2033"/>
      <c r="B1172" s="1631"/>
      <c r="C1172" s="2805" t="s">
        <v>7965</v>
      </c>
      <c r="D1172" s="2805"/>
      <c r="E1172" s="2805"/>
      <c r="F1172" s="1683" t="s">
        <v>5928</v>
      </c>
      <c r="G1172" s="1641"/>
      <c r="H1172" s="1641"/>
      <c r="I1172" s="1641"/>
      <c r="J1172" s="1654">
        <v>0.57999999999999996</v>
      </c>
      <c r="K1172" s="1655">
        <v>0.25</v>
      </c>
      <c r="L1172" s="1654">
        <v>0.27</v>
      </c>
      <c r="M1172" s="1655">
        <v>35.75</v>
      </c>
      <c r="N1172" s="2039">
        <v>9.65</v>
      </c>
      <c r="EW1172" s="2031"/>
      <c r="EX1172" s="1619"/>
      <c r="EY1172" s="1628"/>
      <c r="EZ1172" s="1628"/>
      <c r="FA1172" s="1628"/>
      <c r="FF1172" s="1864" t="s">
        <v>7965</v>
      </c>
      <c r="FH1172" s="1628"/>
      <c r="FU1172" s="1678"/>
      <c r="FW1172" s="1678"/>
    </row>
    <row r="1173" spans="1:179" s="1484" customFormat="1" ht="15" x14ac:dyDescent="0.25">
      <c r="A1173" s="2033"/>
      <c r="B1173" s="1631"/>
      <c r="C1173" s="2805" t="s">
        <v>867</v>
      </c>
      <c r="D1173" s="2805"/>
      <c r="E1173" s="2805"/>
      <c r="F1173" s="1683"/>
      <c r="G1173" s="1641"/>
      <c r="H1173" s="1641"/>
      <c r="I1173" s="1641"/>
      <c r="J1173" s="1640"/>
      <c r="K1173" s="1641"/>
      <c r="L1173" s="1654">
        <v>80.099999999999994</v>
      </c>
      <c r="M1173" s="1641"/>
      <c r="N1173" s="1679">
        <v>2863.57</v>
      </c>
      <c r="EW1173" s="2031"/>
      <c r="EX1173" s="1619"/>
      <c r="EY1173" s="1628"/>
      <c r="EZ1173" s="1628"/>
      <c r="FA1173" s="1628"/>
      <c r="FF1173" s="1864" t="s">
        <v>867</v>
      </c>
      <c r="FH1173" s="1628"/>
      <c r="FU1173" s="1678"/>
      <c r="FW1173" s="1678"/>
    </row>
    <row r="1174" spans="1:179" s="1484" customFormat="1" ht="15" x14ac:dyDescent="0.25">
      <c r="A1174" s="2033"/>
      <c r="B1174" s="1631" t="s">
        <v>7966</v>
      </c>
      <c r="C1174" s="2805" t="s">
        <v>7967</v>
      </c>
      <c r="D1174" s="2805"/>
      <c r="E1174" s="2805"/>
      <c r="F1174" s="1683" t="s">
        <v>636</v>
      </c>
      <c r="G1174" s="2034">
        <v>100</v>
      </c>
      <c r="H1174" s="1641"/>
      <c r="I1174" s="2034">
        <v>100</v>
      </c>
      <c r="J1174" s="1640"/>
      <c r="K1174" s="1641"/>
      <c r="L1174" s="1654">
        <v>80.099999999999994</v>
      </c>
      <c r="M1174" s="1641"/>
      <c r="N1174" s="1679">
        <v>2863.57</v>
      </c>
      <c r="EW1174" s="2031"/>
      <c r="EX1174" s="1619"/>
      <c r="EY1174" s="1628"/>
      <c r="EZ1174" s="1628"/>
      <c r="FA1174" s="1628"/>
      <c r="FF1174" s="1864" t="s">
        <v>7967</v>
      </c>
      <c r="FH1174" s="1628"/>
      <c r="FU1174" s="1678"/>
      <c r="FW1174" s="1678"/>
    </row>
    <row r="1175" spans="1:179" s="1484" customFormat="1" ht="15" x14ac:dyDescent="0.25">
      <c r="A1175" s="2033"/>
      <c r="B1175" s="1631" t="s">
        <v>7968</v>
      </c>
      <c r="C1175" s="2805" t="s">
        <v>7969</v>
      </c>
      <c r="D1175" s="2805"/>
      <c r="E1175" s="2805"/>
      <c r="F1175" s="1683" t="s">
        <v>636</v>
      </c>
      <c r="G1175" s="2034">
        <v>49</v>
      </c>
      <c r="H1175" s="1641"/>
      <c r="I1175" s="2034">
        <v>49</v>
      </c>
      <c r="J1175" s="1640"/>
      <c r="K1175" s="1641"/>
      <c r="L1175" s="1654">
        <v>39.25</v>
      </c>
      <c r="M1175" s="1641"/>
      <c r="N1175" s="1679">
        <v>1403.15</v>
      </c>
      <c r="EW1175" s="2031"/>
      <c r="EX1175" s="1619"/>
      <c r="EY1175" s="1628"/>
      <c r="EZ1175" s="1628"/>
      <c r="FA1175" s="1628"/>
      <c r="FF1175" s="1864" t="s">
        <v>7969</v>
      </c>
      <c r="FH1175" s="1628"/>
      <c r="FU1175" s="1678"/>
      <c r="FW1175" s="1678"/>
    </row>
    <row r="1176" spans="1:179" s="1484" customFormat="1" ht="15" x14ac:dyDescent="0.25">
      <c r="A1176" s="1650"/>
      <c r="B1176" s="1651"/>
      <c r="C1176" s="2803" t="s">
        <v>872</v>
      </c>
      <c r="D1176" s="2803"/>
      <c r="E1176" s="2803"/>
      <c r="F1176" s="1621"/>
      <c r="G1176" s="1622"/>
      <c r="H1176" s="1622"/>
      <c r="I1176" s="1622"/>
      <c r="J1176" s="1625"/>
      <c r="K1176" s="1622"/>
      <c r="L1176" s="2040">
        <v>242.97</v>
      </c>
      <c r="M1176" s="2037"/>
      <c r="N1176" s="1649">
        <v>7615.86</v>
      </c>
      <c r="EW1176" s="2031"/>
      <c r="EX1176" s="1619"/>
      <c r="EY1176" s="1628"/>
      <c r="EZ1176" s="1628"/>
      <c r="FA1176" s="1628"/>
      <c r="FH1176" s="1628" t="s">
        <v>872</v>
      </c>
      <c r="FU1176" s="1678"/>
      <c r="FW1176" s="1678"/>
    </row>
    <row r="1177" spans="1:179" s="1484" customFormat="1" ht="33.75" x14ac:dyDescent="0.25">
      <c r="A1177" s="1620" t="s">
        <v>1384</v>
      </c>
      <c r="B1177" s="1863" t="s">
        <v>8062</v>
      </c>
      <c r="C1177" s="2803" t="s">
        <v>4978</v>
      </c>
      <c r="D1177" s="2803"/>
      <c r="E1177" s="2803"/>
      <c r="F1177" s="1621" t="s">
        <v>835</v>
      </c>
      <c r="G1177" s="1622">
        <v>25.667999999999999</v>
      </c>
      <c r="H1177" s="1623">
        <v>1</v>
      </c>
      <c r="I1177" s="2045">
        <v>25.667999999999999</v>
      </c>
      <c r="J1177" s="2040">
        <v>13.08</v>
      </c>
      <c r="K1177" s="1622"/>
      <c r="L1177" s="2040">
        <v>335.74</v>
      </c>
      <c r="M1177" s="1687">
        <v>9.14</v>
      </c>
      <c r="N1177" s="1649">
        <v>3068.66</v>
      </c>
      <c r="EW1177" s="2031"/>
      <c r="EX1177" s="1619"/>
      <c r="EY1177" s="1628" t="s">
        <v>4978</v>
      </c>
      <c r="EZ1177" s="1628" t="s">
        <v>588</v>
      </c>
      <c r="FA1177" s="1628" t="s">
        <v>588</v>
      </c>
      <c r="FH1177" s="1628"/>
      <c r="FU1177" s="1678"/>
      <c r="FW1177" s="1678"/>
    </row>
    <row r="1178" spans="1:179" s="1484" customFormat="1" ht="15" x14ac:dyDescent="0.25">
      <c r="A1178" s="1650"/>
      <c r="B1178" s="1651"/>
      <c r="C1178" s="2805" t="s">
        <v>8689</v>
      </c>
      <c r="D1178" s="2805"/>
      <c r="E1178" s="2805"/>
      <c r="F1178" s="2805"/>
      <c r="G1178" s="2805"/>
      <c r="H1178" s="2805"/>
      <c r="I1178" s="2805"/>
      <c r="J1178" s="2805"/>
      <c r="K1178" s="2805"/>
      <c r="L1178" s="2805"/>
      <c r="M1178" s="2805"/>
      <c r="N1178" s="2806"/>
      <c r="EW1178" s="2031"/>
      <c r="EX1178" s="1619"/>
      <c r="EY1178" s="1628"/>
      <c r="EZ1178" s="1628"/>
      <c r="FA1178" s="1628"/>
      <c r="FH1178" s="1628"/>
      <c r="FI1178" s="1864" t="s">
        <v>8689</v>
      </c>
      <c r="FJ1178" s="1864" t="s">
        <v>588</v>
      </c>
      <c r="FK1178" s="1864" t="s">
        <v>588</v>
      </c>
      <c r="FL1178" s="1864" t="s">
        <v>588</v>
      </c>
      <c r="FM1178" s="1864" t="s">
        <v>588</v>
      </c>
      <c r="FN1178" s="1864" t="s">
        <v>588</v>
      </c>
      <c r="FO1178" s="1864" t="s">
        <v>588</v>
      </c>
      <c r="FP1178" s="1864" t="s">
        <v>588</v>
      </c>
      <c r="FQ1178" s="1864" t="s">
        <v>588</v>
      </c>
      <c r="FR1178" s="1864" t="s">
        <v>588</v>
      </c>
      <c r="FS1178" s="1864" t="s">
        <v>588</v>
      </c>
      <c r="FT1178" s="1864" t="s">
        <v>588</v>
      </c>
      <c r="FU1178" s="1678"/>
      <c r="FW1178" s="1678"/>
    </row>
    <row r="1179" spans="1:179" s="1484" customFormat="1" ht="15" x14ac:dyDescent="0.25">
      <c r="A1179" s="1650"/>
      <c r="B1179" s="1651"/>
      <c r="C1179" s="2803" t="s">
        <v>872</v>
      </c>
      <c r="D1179" s="2803"/>
      <c r="E1179" s="2803"/>
      <c r="F1179" s="1621"/>
      <c r="G1179" s="1622"/>
      <c r="H1179" s="1622"/>
      <c r="I1179" s="1622"/>
      <c r="J1179" s="1625"/>
      <c r="K1179" s="1622"/>
      <c r="L1179" s="2040">
        <v>335.74</v>
      </c>
      <c r="M1179" s="2037"/>
      <c r="N1179" s="1649">
        <v>3068.66</v>
      </c>
      <c r="EW1179" s="2031"/>
      <c r="EX1179" s="1619"/>
      <c r="EY1179" s="1628"/>
      <c r="EZ1179" s="1628"/>
      <c r="FA1179" s="1628"/>
      <c r="FH1179" s="1628" t="s">
        <v>872</v>
      </c>
      <c r="FU1179" s="1678"/>
      <c r="FW1179" s="1678"/>
    </row>
    <row r="1180" spans="1:179" s="1484" customFormat="1" ht="56.25" x14ac:dyDescent="0.25">
      <c r="A1180" s="1620" t="s">
        <v>1391</v>
      </c>
      <c r="B1180" s="1863" t="s">
        <v>8172</v>
      </c>
      <c r="C1180" s="2803" t="s">
        <v>8173</v>
      </c>
      <c r="D1180" s="2803"/>
      <c r="E1180" s="2803"/>
      <c r="F1180" s="1621" t="s">
        <v>2555</v>
      </c>
      <c r="G1180" s="1622">
        <v>5.0000000000000001E-3</v>
      </c>
      <c r="H1180" s="1623">
        <v>1</v>
      </c>
      <c r="I1180" s="2045">
        <v>5.0000000000000001E-3</v>
      </c>
      <c r="J1180" s="1625"/>
      <c r="K1180" s="1622"/>
      <c r="L1180" s="1625"/>
      <c r="M1180" s="1622"/>
      <c r="N1180" s="1627"/>
      <c r="EW1180" s="2031"/>
      <c r="EX1180" s="1619"/>
      <c r="EY1180" s="1628" t="s">
        <v>8173</v>
      </c>
      <c r="EZ1180" s="1628" t="s">
        <v>588</v>
      </c>
      <c r="FA1180" s="1628" t="s">
        <v>588</v>
      </c>
      <c r="FH1180" s="1628"/>
      <c r="FU1180" s="1678"/>
      <c r="FW1180" s="1678"/>
    </row>
    <row r="1181" spans="1:179" s="1484" customFormat="1" ht="15" x14ac:dyDescent="0.25">
      <c r="A1181" s="1629"/>
      <c r="B1181" s="1862"/>
      <c r="C1181" s="2805" t="s">
        <v>8841</v>
      </c>
      <c r="D1181" s="2805"/>
      <c r="E1181" s="2805"/>
      <c r="F1181" s="2805"/>
      <c r="G1181" s="2805"/>
      <c r="H1181" s="2805"/>
      <c r="I1181" s="2805"/>
      <c r="J1181" s="2805"/>
      <c r="K1181" s="2805"/>
      <c r="L1181" s="2805"/>
      <c r="M1181" s="2805"/>
      <c r="N1181" s="2806"/>
      <c r="EW1181" s="2031"/>
      <c r="EX1181" s="1619"/>
      <c r="EY1181" s="1628"/>
      <c r="EZ1181" s="1628"/>
      <c r="FA1181" s="1628"/>
      <c r="FB1181" s="1864" t="s">
        <v>8841</v>
      </c>
      <c r="FH1181" s="1628"/>
      <c r="FU1181" s="1678"/>
      <c r="FW1181" s="1678"/>
    </row>
    <row r="1182" spans="1:179" s="1484" customFormat="1" ht="22.5" x14ac:dyDescent="0.25">
      <c r="A1182" s="1630"/>
      <c r="B1182" s="1631" t="s">
        <v>6062</v>
      </c>
      <c r="C1182" s="2809" t="s">
        <v>6063</v>
      </c>
      <c r="D1182" s="2809"/>
      <c r="E1182" s="2809"/>
      <c r="F1182" s="2809"/>
      <c r="G1182" s="2809"/>
      <c r="H1182" s="2809"/>
      <c r="I1182" s="2809"/>
      <c r="J1182" s="2809"/>
      <c r="K1182" s="2809"/>
      <c r="L1182" s="2809"/>
      <c r="M1182" s="2809"/>
      <c r="N1182" s="2810"/>
      <c r="EW1182" s="2031"/>
      <c r="EX1182" s="1619"/>
      <c r="EY1182" s="1628"/>
      <c r="EZ1182" s="1628"/>
      <c r="FA1182" s="1628"/>
      <c r="FC1182" s="1864" t="s">
        <v>6063</v>
      </c>
      <c r="FH1182" s="1628"/>
      <c r="FU1182" s="1678"/>
      <c r="FW1182" s="1678"/>
    </row>
    <row r="1183" spans="1:179" s="1484" customFormat="1" ht="22.5" x14ac:dyDescent="0.25">
      <c r="A1183" s="2033"/>
      <c r="B1183" s="1631" t="s">
        <v>3204</v>
      </c>
      <c r="C1183" s="2805" t="s">
        <v>8647</v>
      </c>
      <c r="D1183" s="2805"/>
      <c r="E1183" s="2805"/>
      <c r="F1183" s="1683" t="s">
        <v>807</v>
      </c>
      <c r="G1183" s="1655">
        <v>119.78</v>
      </c>
      <c r="H1183" s="1641"/>
      <c r="I1183" s="2035">
        <v>0.59889999999999999</v>
      </c>
      <c r="J1183" s="1654">
        <v>8.74</v>
      </c>
      <c r="K1183" s="1655">
        <v>1.25</v>
      </c>
      <c r="L1183" s="1654">
        <v>6.54</v>
      </c>
      <c r="M1183" s="1641"/>
      <c r="N1183" s="1681"/>
      <c r="EW1183" s="2031"/>
      <c r="EX1183" s="1619"/>
      <c r="EY1183" s="1628"/>
      <c r="EZ1183" s="1628"/>
      <c r="FA1183" s="1628"/>
      <c r="FD1183" s="1864" t="s">
        <v>8647</v>
      </c>
      <c r="FH1183" s="1628"/>
      <c r="FU1183" s="1678"/>
      <c r="FW1183" s="1678"/>
    </row>
    <row r="1184" spans="1:179" s="1484" customFormat="1" ht="15" x14ac:dyDescent="0.25">
      <c r="A1184" s="2033"/>
      <c r="B1184" s="1631" t="s">
        <v>1741</v>
      </c>
      <c r="C1184" s="2805" t="s">
        <v>8697</v>
      </c>
      <c r="D1184" s="2805"/>
      <c r="E1184" s="2805"/>
      <c r="F1184" s="1683" t="s">
        <v>4994</v>
      </c>
      <c r="G1184" s="1655">
        <v>0.36</v>
      </c>
      <c r="H1184" s="1641"/>
      <c r="I1184" s="2035">
        <v>1.8E-3</v>
      </c>
      <c r="J1184" s="1654">
        <v>89.99</v>
      </c>
      <c r="K1184" s="1641"/>
      <c r="L1184" s="1654">
        <v>0.16</v>
      </c>
      <c r="M1184" s="1641"/>
      <c r="N1184" s="1681"/>
      <c r="EW1184" s="2031"/>
      <c r="EX1184" s="1619"/>
      <c r="EY1184" s="1628"/>
      <c r="EZ1184" s="1628"/>
      <c r="FA1184" s="1628"/>
      <c r="FD1184" s="1864" t="s">
        <v>8697</v>
      </c>
      <c r="FH1184" s="1628"/>
      <c r="FU1184" s="1678"/>
      <c r="FW1184" s="1678"/>
    </row>
    <row r="1185" spans="1:179" s="1484" customFormat="1" ht="22.5" x14ac:dyDescent="0.25">
      <c r="A1185" s="2033"/>
      <c r="B1185" s="1631" t="s">
        <v>5010</v>
      </c>
      <c r="C1185" s="2805" t="s">
        <v>5011</v>
      </c>
      <c r="D1185" s="2805"/>
      <c r="E1185" s="2805"/>
      <c r="F1185" s="1683" t="s">
        <v>4994</v>
      </c>
      <c r="G1185" s="1953">
        <v>2.2999999999999998</v>
      </c>
      <c r="H1185" s="1641"/>
      <c r="I1185" s="2035">
        <v>1.15E-2</v>
      </c>
      <c r="J1185" s="1654">
        <v>31.26</v>
      </c>
      <c r="K1185" s="1641"/>
      <c r="L1185" s="1654">
        <v>0.36</v>
      </c>
      <c r="M1185" s="1641"/>
      <c r="N1185" s="1681"/>
      <c r="EW1185" s="2031"/>
      <c r="EX1185" s="1619"/>
      <c r="EY1185" s="1628"/>
      <c r="EZ1185" s="1628"/>
      <c r="FA1185" s="1628"/>
      <c r="FD1185" s="1864" t="s">
        <v>5011</v>
      </c>
      <c r="FH1185" s="1628"/>
      <c r="FU1185" s="1678"/>
      <c r="FW1185" s="1678"/>
    </row>
    <row r="1186" spans="1:179" s="1484" customFormat="1" ht="22.5" x14ac:dyDescent="0.25">
      <c r="A1186" s="2033"/>
      <c r="B1186" s="1631" t="s">
        <v>5016</v>
      </c>
      <c r="C1186" s="2805" t="s">
        <v>5017</v>
      </c>
      <c r="D1186" s="2805"/>
      <c r="E1186" s="2805"/>
      <c r="F1186" s="1683" t="s">
        <v>4994</v>
      </c>
      <c r="G1186" s="1655">
        <v>1.56</v>
      </c>
      <c r="H1186" s="1641"/>
      <c r="I1186" s="2035">
        <v>7.7999999999999996E-3</v>
      </c>
      <c r="J1186" s="1654">
        <v>12.39</v>
      </c>
      <c r="K1186" s="1641"/>
      <c r="L1186" s="1654">
        <v>0.1</v>
      </c>
      <c r="M1186" s="1641"/>
      <c r="N1186" s="1681"/>
      <c r="EW1186" s="2031"/>
      <c r="EX1186" s="1619"/>
      <c r="EY1186" s="1628"/>
      <c r="EZ1186" s="1628"/>
      <c r="FA1186" s="1628"/>
      <c r="FD1186" s="1864" t="s">
        <v>5017</v>
      </c>
      <c r="FH1186" s="1628"/>
      <c r="FU1186" s="1678"/>
      <c r="FW1186" s="1678"/>
    </row>
    <row r="1187" spans="1:179" s="1484" customFormat="1" ht="15" x14ac:dyDescent="0.25">
      <c r="A1187" s="2033"/>
      <c r="B1187" s="1631" t="s">
        <v>821</v>
      </c>
      <c r="C1187" s="2805" t="s">
        <v>822</v>
      </c>
      <c r="D1187" s="2805"/>
      <c r="E1187" s="2805"/>
      <c r="F1187" s="1683" t="s">
        <v>4994</v>
      </c>
      <c r="G1187" s="1655">
        <v>0.28000000000000003</v>
      </c>
      <c r="H1187" s="1641"/>
      <c r="I1187" s="2035">
        <v>1.4E-3</v>
      </c>
      <c r="J1187" s="1654">
        <v>65.709999999999994</v>
      </c>
      <c r="K1187" s="1641"/>
      <c r="L1187" s="1654">
        <v>0.09</v>
      </c>
      <c r="M1187" s="1641"/>
      <c r="N1187" s="1681"/>
      <c r="EW1187" s="2031"/>
      <c r="EX1187" s="1619"/>
      <c r="EY1187" s="1628"/>
      <c r="EZ1187" s="1628"/>
      <c r="FA1187" s="1628"/>
      <c r="FD1187" s="1864" t="s">
        <v>822</v>
      </c>
      <c r="FH1187" s="1628"/>
      <c r="FU1187" s="1678"/>
      <c r="FW1187" s="1678"/>
    </row>
    <row r="1188" spans="1:179" s="1484" customFormat="1" ht="15" x14ac:dyDescent="0.25">
      <c r="A1188" s="2033"/>
      <c r="B1188" s="1631" t="s">
        <v>1755</v>
      </c>
      <c r="C1188" s="2805" t="s">
        <v>2634</v>
      </c>
      <c r="D1188" s="2805"/>
      <c r="E1188" s="2805"/>
      <c r="F1188" s="1683" t="s">
        <v>832</v>
      </c>
      <c r="G1188" s="1953">
        <v>0.1</v>
      </c>
      <c r="H1188" s="1641"/>
      <c r="I1188" s="2035">
        <v>5.0000000000000001E-4</v>
      </c>
      <c r="J1188" s="1654">
        <v>2.44</v>
      </c>
      <c r="K1188" s="1641"/>
      <c r="L1188" s="1654">
        <v>0</v>
      </c>
      <c r="M1188" s="1641"/>
      <c r="N1188" s="1681"/>
      <c r="EW1188" s="2031"/>
      <c r="EX1188" s="1619"/>
      <c r="EY1188" s="1628"/>
      <c r="EZ1188" s="1628"/>
      <c r="FA1188" s="1628"/>
      <c r="FD1188" s="1864" t="s">
        <v>2634</v>
      </c>
      <c r="FH1188" s="1628"/>
      <c r="FU1188" s="1678"/>
      <c r="FW1188" s="1678"/>
    </row>
    <row r="1189" spans="1:179" s="1484" customFormat="1" ht="15" x14ac:dyDescent="0.25">
      <c r="A1189" s="2033"/>
      <c r="B1189" s="1631" t="s">
        <v>4922</v>
      </c>
      <c r="C1189" s="2805" t="s">
        <v>8707</v>
      </c>
      <c r="D1189" s="2805"/>
      <c r="E1189" s="2805"/>
      <c r="F1189" s="1683" t="s">
        <v>835</v>
      </c>
      <c r="G1189" s="1953">
        <v>0.5</v>
      </c>
      <c r="H1189" s="1641"/>
      <c r="I1189" s="2035">
        <v>2.5000000000000001E-3</v>
      </c>
      <c r="J1189" s="1654">
        <v>1.82</v>
      </c>
      <c r="K1189" s="1641"/>
      <c r="L1189" s="1654">
        <v>0</v>
      </c>
      <c r="M1189" s="1641"/>
      <c r="N1189" s="1681"/>
      <c r="EW1189" s="2031"/>
      <c r="EX1189" s="1619"/>
      <c r="EY1189" s="1628"/>
      <c r="EZ1189" s="1628"/>
      <c r="FA1189" s="1628"/>
      <c r="FD1189" s="1864" t="s">
        <v>8707</v>
      </c>
      <c r="FH1189" s="1628"/>
      <c r="FU1189" s="1678"/>
      <c r="FW1189" s="1678"/>
    </row>
    <row r="1190" spans="1:179" s="1484" customFormat="1" ht="33.75" x14ac:dyDescent="0.25">
      <c r="A1190" s="2033"/>
      <c r="B1190" s="1631" t="s">
        <v>4940</v>
      </c>
      <c r="C1190" s="2805" t="s">
        <v>4941</v>
      </c>
      <c r="D1190" s="2805"/>
      <c r="E1190" s="2805"/>
      <c r="F1190" s="1683" t="s">
        <v>801</v>
      </c>
      <c r="G1190" s="1655">
        <v>0.05</v>
      </c>
      <c r="H1190" s="1641"/>
      <c r="I1190" s="2042">
        <v>2.5000000000000001E-4</v>
      </c>
      <c r="J1190" s="1657">
        <v>6513</v>
      </c>
      <c r="K1190" s="1641"/>
      <c r="L1190" s="1654">
        <v>1.63</v>
      </c>
      <c r="M1190" s="1641"/>
      <c r="N1190" s="1681"/>
      <c r="EW1190" s="2031"/>
      <c r="EX1190" s="1619"/>
      <c r="EY1190" s="1628"/>
      <c r="EZ1190" s="1628"/>
      <c r="FA1190" s="1628"/>
      <c r="FD1190" s="1864" t="s">
        <v>4941</v>
      </c>
      <c r="FH1190" s="1628"/>
      <c r="FU1190" s="1678"/>
      <c r="FW1190" s="1678"/>
    </row>
    <row r="1191" spans="1:179" s="1484" customFormat="1" ht="33.75" x14ac:dyDescent="0.25">
      <c r="A1191" s="2033"/>
      <c r="B1191" s="1631" t="s">
        <v>8752</v>
      </c>
      <c r="C1191" s="2805" t="s">
        <v>8751</v>
      </c>
      <c r="D1191" s="2805"/>
      <c r="E1191" s="2805"/>
      <c r="F1191" s="1683" t="s">
        <v>130</v>
      </c>
      <c r="G1191" s="2034">
        <v>102</v>
      </c>
      <c r="H1191" s="1641"/>
      <c r="I1191" s="1655">
        <v>0.51</v>
      </c>
      <c r="J1191" s="1654">
        <v>67.8</v>
      </c>
      <c r="K1191" s="1641"/>
      <c r="L1191" s="1654">
        <v>34.58</v>
      </c>
      <c r="M1191" s="1641"/>
      <c r="N1191" s="1681"/>
      <c r="EW1191" s="2031"/>
      <c r="EX1191" s="1619"/>
      <c r="EY1191" s="1628"/>
      <c r="EZ1191" s="1628"/>
      <c r="FA1191" s="1628"/>
      <c r="FD1191" s="1864" t="s">
        <v>8751</v>
      </c>
      <c r="FH1191" s="1628"/>
      <c r="FU1191" s="1678"/>
      <c r="FW1191" s="1678"/>
    </row>
    <row r="1192" spans="1:179" s="1484" customFormat="1" ht="15" x14ac:dyDescent="0.25">
      <c r="A1192" s="2033"/>
      <c r="B1192" s="1631" t="s">
        <v>4972</v>
      </c>
      <c r="C1192" s="2805" t="s">
        <v>8061</v>
      </c>
      <c r="D1192" s="2805"/>
      <c r="E1192" s="2805"/>
      <c r="F1192" s="1683" t="s">
        <v>835</v>
      </c>
      <c r="G1192" s="2034">
        <v>450</v>
      </c>
      <c r="H1192" s="1641"/>
      <c r="I1192" s="1655">
        <v>2.25</v>
      </c>
      <c r="J1192" s="1654">
        <v>1.37</v>
      </c>
      <c r="K1192" s="1641"/>
      <c r="L1192" s="1654">
        <v>3.08</v>
      </c>
      <c r="M1192" s="1641"/>
      <c r="N1192" s="1681"/>
      <c r="EW1192" s="2031"/>
      <c r="EX1192" s="1619"/>
      <c r="EY1192" s="1628"/>
      <c r="EZ1192" s="1628"/>
      <c r="FA1192" s="1628"/>
      <c r="FD1192" s="1864" t="s">
        <v>8061</v>
      </c>
      <c r="FH1192" s="1628"/>
      <c r="FU1192" s="1678"/>
      <c r="FW1192" s="1678"/>
    </row>
    <row r="1193" spans="1:179" s="1484" customFormat="1" ht="15" x14ac:dyDescent="0.25">
      <c r="A1193" s="2032"/>
      <c r="B1193" s="1631" t="s">
        <v>190</v>
      </c>
      <c r="C1193" s="2805" t="s">
        <v>2523</v>
      </c>
      <c r="D1193" s="2805"/>
      <c r="E1193" s="2805"/>
      <c r="F1193" s="1683"/>
      <c r="G1193" s="1641"/>
      <c r="H1193" s="1641"/>
      <c r="I1193" s="1641"/>
      <c r="J1193" s="1657">
        <v>1046.8800000000001</v>
      </c>
      <c r="K1193" s="1655">
        <v>1.25</v>
      </c>
      <c r="L1193" s="1654">
        <v>6.54</v>
      </c>
      <c r="M1193" s="1655">
        <v>35.75</v>
      </c>
      <c r="N1193" s="2039">
        <v>233.81</v>
      </c>
      <c r="EW1193" s="2031"/>
      <c r="EX1193" s="1619"/>
      <c r="EY1193" s="1628"/>
      <c r="EZ1193" s="1628"/>
      <c r="FA1193" s="1628"/>
      <c r="FE1193" s="1864" t="s">
        <v>2523</v>
      </c>
      <c r="FH1193" s="1628"/>
      <c r="FU1193" s="1678"/>
      <c r="FW1193" s="1678"/>
    </row>
    <row r="1194" spans="1:179" s="1484" customFormat="1" ht="15" x14ac:dyDescent="0.25">
      <c r="A1194" s="2032"/>
      <c r="B1194" s="1631" t="s">
        <v>639</v>
      </c>
      <c r="C1194" s="2805" t="s">
        <v>697</v>
      </c>
      <c r="D1194" s="2805"/>
      <c r="E1194" s="2805"/>
      <c r="F1194" s="1683"/>
      <c r="G1194" s="1641"/>
      <c r="H1194" s="1641"/>
      <c r="I1194" s="1641"/>
      <c r="J1194" s="1654">
        <v>142.03</v>
      </c>
      <c r="K1194" s="1641"/>
      <c r="L1194" s="1654">
        <v>0.71</v>
      </c>
      <c r="M1194" s="1655">
        <v>11.97</v>
      </c>
      <c r="N1194" s="2039">
        <v>8.5</v>
      </c>
      <c r="EW1194" s="2031"/>
      <c r="EX1194" s="1619"/>
      <c r="EY1194" s="1628"/>
      <c r="EZ1194" s="1628"/>
      <c r="FA1194" s="1628"/>
      <c r="FE1194" s="1864" t="s">
        <v>697</v>
      </c>
      <c r="FH1194" s="1628"/>
      <c r="FU1194" s="1678"/>
      <c r="FW1194" s="1678"/>
    </row>
    <row r="1195" spans="1:179" s="1484" customFormat="1" ht="15" x14ac:dyDescent="0.25">
      <c r="A1195" s="2032"/>
      <c r="B1195" s="1631" t="s">
        <v>640</v>
      </c>
      <c r="C1195" s="2805" t="s">
        <v>2500</v>
      </c>
      <c r="D1195" s="2805"/>
      <c r="E1195" s="2805"/>
      <c r="F1195" s="1683"/>
      <c r="G1195" s="1641"/>
      <c r="H1195" s="1641"/>
      <c r="I1195" s="1641"/>
      <c r="J1195" s="1654">
        <v>53.61</v>
      </c>
      <c r="K1195" s="1641"/>
      <c r="L1195" s="1654">
        <v>0.27</v>
      </c>
      <c r="M1195" s="1655">
        <v>35.75</v>
      </c>
      <c r="N1195" s="2039">
        <v>9.65</v>
      </c>
      <c r="EW1195" s="2031"/>
      <c r="EX1195" s="1619"/>
      <c r="EY1195" s="1628"/>
      <c r="EZ1195" s="1628"/>
      <c r="FA1195" s="1628"/>
      <c r="FE1195" s="1864" t="s">
        <v>2500</v>
      </c>
      <c r="FH1195" s="1628"/>
      <c r="FU1195" s="1678"/>
      <c r="FW1195" s="1678"/>
    </row>
    <row r="1196" spans="1:179" s="1484" customFormat="1" ht="15" x14ac:dyDescent="0.25">
      <c r="A1196" s="2032"/>
      <c r="B1196" s="1631" t="s">
        <v>232</v>
      </c>
      <c r="C1196" s="2805" t="s">
        <v>829</v>
      </c>
      <c r="D1196" s="2805"/>
      <c r="E1196" s="2805"/>
      <c r="F1196" s="1683"/>
      <c r="G1196" s="1641"/>
      <c r="H1196" s="1641"/>
      <c r="I1196" s="1641"/>
      <c r="J1196" s="1657">
        <v>7858.9</v>
      </c>
      <c r="K1196" s="1641"/>
      <c r="L1196" s="1654">
        <v>39.29</v>
      </c>
      <c r="M1196" s="1655">
        <v>9.14</v>
      </c>
      <c r="N1196" s="2039">
        <v>359.11</v>
      </c>
      <c r="EW1196" s="2031"/>
      <c r="EX1196" s="1619"/>
      <c r="EY1196" s="1628"/>
      <c r="EZ1196" s="1628"/>
      <c r="FA1196" s="1628"/>
      <c r="FE1196" s="1864" t="s">
        <v>829</v>
      </c>
      <c r="FH1196" s="1628"/>
      <c r="FU1196" s="1678"/>
      <c r="FW1196" s="1678"/>
    </row>
    <row r="1197" spans="1:179" s="1484" customFormat="1" ht="15" x14ac:dyDescent="0.25">
      <c r="A1197" s="2033"/>
      <c r="B1197" s="1631"/>
      <c r="C1197" s="2805" t="s">
        <v>2524</v>
      </c>
      <c r="D1197" s="2805"/>
      <c r="E1197" s="2805"/>
      <c r="F1197" s="1683" t="s">
        <v>807</v>
      </c>
      <c r="G1197" s="1655">
        <v>119.78</v>
      </c>
      <c r="H1197" s="1641"/>
      <c r="I1197" s="2035">
        <v>0.59889999999999999</v>
      </c>
      <c r="J1197" s="1640"/>
      <c r="K1197" s="1641"/>
      <c r="L1197" s="1640"/>
      <c r="M1197" s="1641"/>
      <c r="N1197" s="1681"/>
      <c r="EW1197" s="2031"/>
      <c r="EX1197" s="1619"/>
      <c r="EY1197" s="1628"/>
      <c r="EZ1197" s="1628"/>
      <c r="FA1197" s="1628"/>
      <c r="FF1197" s="1864" t="s">
        <v>2524</v>
      </c>
      <c r="FH1197" s="1628"/>
      <c r="FU1197" s="1678"/>
      <c r="FW1197" s="1678"/>
    </row>
    <row r="1198" spans="1:179" s="1484" customFormat="1" ht="15" x14ac:dyDescent="0.25">
      <c r="A1198" s="2033"/>
      <c r="B1198" s="1631"/>
      <c r="C1198" s="2805" t="s">
        <v>2501</v>
      </c>
      <c r="D1198" s="2805"/>
      <c r="E1198" s="2805"/>
      <c r="F1198" s="1683" t="s">
        <v>807</v>
      </c>
      <c r="G1198" s="1953">
        <v>4.5</v>
      </c>
      <c r="H1198" s="1641"/>
      <c r="I1198" s="2035">
        <v>2.2499999999999999E-2</v>
      </c>
      <c r="J1198" s="1640"/>
      <c r="K1198" s="1641"/>
      <c r="L1198" s="1640"/>
      <c r="M1198" s="1641"/>
      <c r="N1198" s="1681"/>
      <c r="EW1198" s="2031"/>
      <c r="EX1198" s="1619"/>
      <c r="EY1198" s="1628"/>
      <c r="EZ1198" s="1628"/>
      <c r="FA1198" s="1628"/>
      <c r="FF1198" s="1864" t="s">
        <v>2501</v>
      </c>
      <c r="FH1198" s="1628"/>
      <c r="FU1198" s="1678"/>
      <c r="FW1198" s="1678"/>
    </row>
    <row r="1199" spans="1:179" s="1484" customFormat="1" ht="15" x14ac:dyDescent="0.25">
      <c r="A1199" s="2032"/>
      <c r="B1199" s="1631"/>
      <c r="C1199" s="2917" t="s">
        <v>2502</v>
      </c>
      <c r="D1199" s="2917"/>
      <c r="E1199" s="2917"/>
      <c r="F1199" s="2036"/>
      <c r="G1199" s="2037"/>
      <c r="H1199" s="2037"/>
      <c r="I1199" s="2037"/>
      <c r="J1199" s="2038">
        <v>9047.81</v>
      </c>
      <c r="K1199" s="2037"/>
      <c r="L1199" s="2044">
        <v>46.54</v>
      </c>
      <c r="M1199" s="2037"/>
      <c r="N1199" s="2070">
        <v>601.41999999999996</v>
      </c>
      <c r="EW1199" s="2031"/>
      <c r="EX1199" s="1619"/>
      <c r="EY1199" s="1628"/>
      <c r="EZ1199" s="1628"/>
      <c r="FA1199" s="1628"/>
      <c r="FG1199" s="1864" t="s">
        <v>2502</v>
      </c>
      <c r="FH1199" s="1628"/>
      <c r="FU1199" s="1678"/>
      <c r="FW1199" s="1678"/>
    </row>
    <row r="1200" spans="1:179" s="1484" customFormat="1" ht="15" x14ac:dyDescent="0.25">
      <c r="A1200" s="2033" t="s">
        <v>8174</v>
      </c>
      <c r="B1200" s="1631"/>
      <c r="C1200" s="2805" t="s">
        <v>7964</v>
      </c>
      <c r="D1200" s="2805"/>
      <c r="E1200" s="2805"/>
      <c r="F1200" s="1683" t="s">
        <v>5928</v>
      </c>
      <c r="G1200" s="1641"/>
      <c r="H1200" s="1641"/>
      <c r="I1200" s="1641"/>
      <c r="J1200" s="1640"/>
      <c r="K1200" s="1641"/>
      <c r="L1200" s="1654">
        <v>7.0000000000000007E-2</v>
      </c>
      <c r="M1200" s="1641"/>
      <c r="N1200" s="2039">
        <v>2.5</v>
      </c>
      <c r="EW1200" s="2031"/>
      <c r="EX1200" s="1619"/>
      <c r="EY1200" s="1628"/>
      <c r="EZ1200" s="1628"/>
      <c r="FA1200" s="1628"/>
      <c r="FF1200" s="1864" t="s">
        <v>7964</v>
      </c>
      <c r="FH1200" s="1628"/>
      <c r="FU1200" s="1678"/>
      <c r="FW1200" s="1678"/>
    </row>
    <row r="1201" spans="1:179" s="1484" customFormat="1" ht="15" x14ac:dyDescent="0.25">
      <c r="A1201" s="2033"/>
      <c r="B1201" s="1631"/>
      <c r="C1201" s="2805" t="s">
        <v>7965</v>
      </c>
      <c r="D1201" s="2805"/>
      <c r="E1201" s="2805"/>
      <c r="F1201" s="1683" t="s">
        <v>5928</v>
      </c>
      <c r="G1201" s="1641"/>
      <c r="H1201" s="1641"/>
      <c r="I1201" s="1641"/>
      <c r="J1201" s="1654">
        <v>53.61</v>
      </c>
      <c r="K1201" s="1655">
        <v>0.25</v>
      </c>
      <c r="L1201" s="1654">
        <v>7.0000000000000007E-2</v>
      </c>
      <c r="M1201" s="1655">
        <v>35.75</v>
      </c>
      <c r="N1201" s="2039">
        <v>2.5</v>
      </c>
      <c r="EW1201" s="2031"/>
      <c r="EX1201" s="1619"/>
      <c r="EY1201" s="1628"/>
      <c r="EZ1201" s="1628"/>
      <c r="FA1201" s="1628"/>
      <c r="FF1201" s="1864" t="s">
        <v>7965</v>
      </c>
      <c r="FH1201" s="1628"/>
      <c r="FU1201" s="1678"/>
      <c r="FW1201" s="1678"/>
    </row>
    <row r="1202" spans="1:179" s="1484" customFormat="1" ht="15" x14ac:dyDescent="0.25">
      <c r="A1202" s="2033"/>
      <c r="B1202" s="1631"/>
      <c r="C1202" s="2805" t="s">
        <v>867</v>
      </c>
      <c r="D1202" s="2805"/>
      <c r="E1202" s="2805"/>
      <c r="F1202" s="1683"/>
      <c r="G1202" s="1641"/>
      <c r="H1202" s="1641"/>
      <c r="I1202" s="1641"/>
      <c r="J1202" s="1640"/>
      <c r="K1202" s="1641"/>
      <c r="L1202" s="1654">
        <v>6.88</v>
      </c>
      <c r="M1202" s="1641"/>
      <c r="N1202" s="2039">
        <v>245.96</v>
      </c>
      <c r="EW1202" s="2031"/>
      <c r="EX1202" s="1619"/>
      <c r="EY1202" s="1628"/>
      <c r="EZ1202" s="1628"/>
      <c r="FA1202" s="1628"/>
      <c r="FF1202" s="1864" t="s">
        <v>867</v>
      </c>
      <c r="FH1202" s="1628"/>
      <c r="FU1202" s="1678"/>
      <c r="FW1202" s="1678"/>
    </row>
    <row r="1203" spans="1:179" s="1484" customFormat="1" ht="15" x14ac:dyDescent="0.25">
      <c r="A1203" s="2033"/>
      <c r="B1203" s="1631" t="s">
        <v>8054</v>
      </c>
      <c r="C1203" s="2805" t="s">
        <v>8055</v>
      </c>
      <c r="D1203" s="2805"/>
      <c r="E1203" s="2805"/>
      <c r="F1203" s="1683" t="s">
        <v>636</v>
      </c>
      <c r="G1203" s="2034">
        <v>112</v>
      </c>
      <c r="H1203" s="1641"/>
      <c r="I1203" s="2034">
        <v>112</v>
      </c>
      <c r="J1203" s="1640"/>
      <c r="K1203" s="1641"/>
      <c r="L1203" s="1654">
        <v>7.71</v>
      </c>
      <c r="M1203" s="1641"/>
      <c r="N1203" s="2039">
        <v>275.48</v>
      </c>
      <c r="EW1203" s="2031"/>
      <c r="EX1203" s="1619"/>
      <c r="EY1203" s="1628"/>
      <c r="EZ1203" s="1628"/>
      <c r="FA1203" s="1628"/>
      <c r="FF1203" s="1864" t="s">
        <v>8055</v>
      </c>
      <c r="FH1203" s="1628"/>
      <c r="FU1203" s="1678"/>
      <c r="FW1203" s="1678"/>
    </row>
    <row r="1204" spans="1:179" s="1484" customFormat="1" ht="15" x14ac:dyDescent="0.25">
      <c r="A1204" s="2033"/>
      <c r="B1204" s="1631" t="s">
        <v>8056</v>
      </c>
      <c r="C1204" s="2805" t="s">
        <v>8057</v>
      </c>
      <c r="D1204" s="2805"/>
      <c r="E1204" s="2805"/>
      <c r="F1204" s="1683" t="s">
        <v>636</v>
      </c>
      <c r="G1204" s="2034">
        <v>65</v>
      </c>
      <c r="H1204" s="1641"/>
      <c r="I1204" s="2034">
        <v>65</v>
      </c>
      <c r="J1204" s="1640"/>
      <c r="K1204" s="1641"/>
      <c r="L1204" s="1654">
        <v>4.47</v>
      </c>
      <c r="M1204" s="1641"/>
      <c r="N1204" s="2039">
        <v>159.87</v>
      </c>
      <c r="EW1204" s="2031"/>
      <c r="EX1204" s="1619"/>
      <c r="EY1204" s="1628"/>
      <c r="EZ1204" s="1628"/>
      <c r="FA1204" s="1628"/>
      <c r="FF1204" s="1864" t="s">
        <v>8057</v>
      </c>
      <c r="FH1204" s="1628"/>
      <c r="FU1204" s="1678"/>
      <c r="FW1204" s="1678"/>
    </row>
    <row r="1205" spans="1:179" s="1484" customFormat="1" ht="15" x14ac:dyDescent="0.25">
      <c r="A1205" s="1650"/>
      <c r="B1205" s="1651"/>
      <c r="C1205" s="2803" t="s">
        <v>872</v>
      </c>
      <c r="D1205" s="2803"/>
      <c r="E1205" s="2803"/>
      <c r="F1205" s="1621"/>
      <c r="G1205" s="1622"/>
      <c r="H1205" s="1622"/>
      <c r="I1205" s="1622"/>
      <c r="J1205" s="1625"/>
      <c r="K1205" s="1622"/>
      <c r="L1205" s="2040">
        <v>58.79</v>
      </c>
      <c r="M1205" s="2037"/>
      <c r="N1205" s="1649">
        <v>1039.27</v>
      </c>
      <c r="EW1205" s="2031"/>
      <c r="EX1205" s="1619"/>
      <c r="EY1205" s="1628"/>
      <c r="EZ1205" s="1628"/>
      <c r="FA1205" s="1628"/>
      <c r="FH1205" s="1628" t="s">
        <v>872</v>
      </c>
      <c r="FU1205" s="1678"/>
      <c r="FW1205" s="1678"/>
    </row>
    <row r="1206" spans="1:179" s="1484" customFormat="1" ht="15" x14ac:dyDescent="0.25">
      <c r="A1206" s="2811" t="s">
        <v>8175</v>
      </c>
      <c r="B1206" s="2812"/>
      <c r="C1206" s="2812"/>
      <c r="D1206" s="2812"/>
      <c r="E1206" s="2812"/>
      <c r="F1206" s="2812"/>
      <c r="G1206" s="2812"/>
      <c r="H1206" s="2812"/>
      <c r="I1206" s="2812"/>
      <c r="J1206" s="2812"/>
      <c r="K1206" s="2812"/>
      <c r="L1206" s="2812"/>
      <c r="M1206" s="2812"/>
      <c r="N1206" s="2813"/>
      <c r="EW1206" s="2031"/>
      <c r="EX1206" s="1619" t="s">
        <v>8175</v>
      </c>
      <c r="EY1206" s="1628"/>
      <c r="EZ1206" s="1628"/>
      <c r="FA1206" s="1628"/>
      <c r="FH1206" s="1628"/>
      <c r="FU1206" s="1678"/>
      <c r="FW1206" s="1678"/>
    </row>
    <row r="1207" spans="1:179" s="1484" customFormat="1" ht="56.25" x14ac:dyDescent="0.25">
      <c r="A1207" s="1620" t="s">
        <v>8176</v>
      </c>
      <c r="B1207" s="1863" t="s">
        <v>8146</v>
      </c>
      <c r="C1207" s="2803" t="s">
        <v>8147</v>
      </c>
      <c r="D1207" s="2803"/>
      <c r="E1207" s="2803"/>
      <c r="F1207" s="1621" t="s">
        <v>835</v>
      </c>
      <c r="G1207" s="1622">
        <v>1643.60097</v>
      </c>
      <c r="H1207" s="1623">
        <v>1</v>
      </c>
      <c r="I1207" s="2048">
        <v>1643.60097</v>
      </c>
      <c r="J1207" s="2040">
        <v>23.7</v>
      </c>
      <c r="K1207" s="1622"/>
      <c r="L1207" s="1648">
        <v>38953.339999999997</v>
      </c>
      <c r="M1207" s="1687">
        <v>9.14</v>
      </c>
      <c r="N1207" s="1649">
        <v>356033.53</v>
      </c>
      <c r="EW1207" s="2031"/>
      <c r="EX1207" s="1619"/>
      <c r="EY1207" s="1628" t="s">
        <v>8147</v>
      </c>
      <c r="EZ1207" s="1628" t="s">
        <v>588</v>
      </c>
      <c r="FA1207" s="1628" t="s">
        <v>588</v>
      </c>
      <c r="FH1207" s="1628"/>
      <c r="FU1207" s="1678"/>
      <c r="FW1207" s="1678"/>
    </row>
    <row r="1208" spans="1:179" s="1484" customFormat="1" ht="15" x14ac:dyDescent="0.25">
      <c r="A1208" s="1650"/>
      <c r="B1208" s="1651"/>
      <c r="C1208" s="2805" t="s">
        <v>8722</v>
      </c>
      <c r="D1208" s="2805"/>
      <c r="E1208" s="2805"/>
      <c r="F1208" s="2805"/>
      <c r="G1208" s="2805"/>
      <c r="H1208" s="2805"/>
      <c r="I1208" s="2805"/>
      <c r="J1208" s="2805"/>
      <c r="K1208" s="2805"/>
      <c r="L1208" s="2805"/>
      <c r="M1208" s="2805"/>
      <c r="N1208" s="2806"/>
      <c r="EW1208" s="2031"/>
      <c r="EX1208" s="1619"/>
      <c r="EY1208" s="1628"/>
      <c r="EZ1208" s="1628"/>
      <c r="FA1208" s="1628"/>
      <c r="FH1208" s="1628"/>
      <c r="FI1208" s="1864" t="s">
        <v>8722</v>
      </c>
      <c r="FJ1208" s="1864" t="s">
        <v>588</v>
      </c>
      <c r="FK1208" s="1864" t="s">
        <v>588</v>
      </c>
      <c r="FL1208" s="1864" t="s">
        <v>588</v>
      </c>
      <c r="FM1208" s="1864" t="s">
        <v>588</v>
      </c>
      <c r="FN1208" s="1864" t="s">
        <v>588</v>
      </c>
      <c r="FO1208" s="1864" t="s">
        <v>588</v>
      </c>
      <c r="FP1208" s="1864" t="s">
        <v>588</v>
      </c>
      <c r="FQ1208" s="1864" t="s">
        <v>588</v>
      </c>
      <c r="FR1208" s="1864" t="s">
        <v>588</v>
      </c>
      <c r="FS1208" s="1864" t="s">
        <v>588</v>
      </c>
      <c r="FT1208" s="1864" t="s">
        <v>588</v>
      </c>
      <c r="FU1208" s="1678"/>
      <c r="FW1208" s="1678"/>
    </row>
    <row r="1209" spans="1:179" s="1484" customFormat="1" ht="15" x14ac:dyDescent="0.25">
      <c r="A1209" s="1629"/>
      <c r="B1209" s="1862"/>
      <c r="C1209" s="2805" t="s">
        <v>8840</v>
      </c>
      <c r="D1209" s="2805"/>
      <c r="E1209" s="2805"/>
      <c r="F1209" s="2805"/>
      <c r="G1209" s="2805"/>
      <c r="H1209" s="2805"/>
      <c r="I1209" s="2805"/>
      <c r="J1209" s="2805"/>
      <c r="K1209" s="2805"/>
      <c r="L1209" s="2805"/>
      <c r="M1209" s="2805"/>
      <c r="N1209" s="2806"/>
      <c r="EW1209" s="2031"/>
      <c r="EX1209" s="1619"/>
      <c r="EY1209" s="1628"/>
      <c r="EZ1209" s="1628"/>
      <c r="FA1209" s="1628"/>
      <c r="FB1209" s="1864" t="s">
        <v>8840</v>
      </c>
      <c r="FH1209" s="1628"/>
      <c r="FU1209" s="1678"/>
      <c r="FW1209" s="1678"/>
    </row>
    <row r="1210" spans="1:179" s="1484" customFormat="1" ht="15" x14ac:dyDescent="0.25">
      <c r="A1210" s="1650"/>
      <c r="B1210" s="1651"/>
      <c r="C1210" s="2803" t="s">
        <v>872</v>
      </c>
      <c r="D1210" s="2803"/>
      <c r="E1210" s="2803"/>
      <c r="F1210" s="1621"/>
      <c r="G1210" s="1622"/>
      <c r="H1210" s="1622"/>
      <c r="I1210" s="1622"/>
      <c r="J1210" s="1625"/>
      <c r="K1210" s="1622"/>
      <c r="L1210" s="1648">
        <v>38953.339999999997</v>
      </c>
      <c r="M1210" s="2037"/>
      <c r="N1210" s="1649">
        <v>356033.53</v>
      </c>
      <c r="EW1210" s="2031"/>
      <c r="EX1210" s="1619"/>
      <c r="EY1210" s="1628"/>
      <c r="EZ1210" s="1628"/>
      <c r="FA1210" s="1628"/>
      <c r="FH1210" s="1628" t="s">
        <v>872</v>
      </c>
      <c r="FU1210" s="1678"/>
      <c r="FW1210" s="1678"/>
    </row>
    <row r="1211" spans="1:179" s="1484" customFormat="1" ht="33.75" x14ac:dyDescent="0.25">
      <c r="A1211" s="1620" t="s">
        <v>1430</v>
      </c>
      <c r="B1211" s="1863" t="s">
        <v>8148</v>
      </c>
      <c r="C1211" s="2803" t="s">
        <v>8149</v>
      </c>
      <c r="D1211" s="2803"/>
      <c r="E1211" s="2803"/>
      <c r="F1211" s="1621" t="s">
        <v>2555</v>
      </c>
      <c r="G1211" s="1622">
        <v>3.617</v>
      </c>
      <c r="H1211" s="1623">
        <v>1</v>
      </c>
      <c r="I1211" s="2045">
        <v>3.617</v>
      </c>
      <c r="J1211" s="1625"/>
      <c r="K1211" s="1622"/>
      <c r="L1211" s="1625"/>
      <c r="M1211" s="1622"/>
      <c r="N1211" s="1627"/>
      <c r="EW1211" s="2031"/>
      <c r="EX1211" s="1619"/>
      <c r="EY1211" s="1628" t="s">
        <v>8149</v>
      </c>
      <c r="EZ1211" s="1628" t="s">
        <v>588</v>
      </c>
      <c r="FA1211" s="1628" t="s">
        <v>588</v>
      </c>
      <c r="FH1211" s="1628"/>
      <c r="FU1211" s="1678"/>
      <c r="FW1211" s="1678"/>
    </row>
    <row r="1212" spans="1:179" s="1484" customFormat="1" ht="15" x14ac:dyDescent="0.25">
      <c r="A1212" s="1629"/>
      <c r="B1212" s="1862"/>
      <c r="C1212" s="2805" t="s">
        <v>8839</v>
      </c>
      <c r="D1212" s="2805"/>
      <c r="E1212" s="2805"/>
      <c r="F1212" s="2805"/>
      <c r="G1212" s="2805"/>
      <c r="H1212" s="2805"/>
      <c r="I1212" s="2805"/>
      <c r="J1212" s="2805"/>
      <c r="K1212" s="2805"/>
      <c r="L1212" s="2805"/>
      <c r="M1212" s="2805"/>
      <c r="N1212" s="2806"/>
      <c r="EW1212" s="2031"/>
      <c r="EX1212" s="1619"/>
      <c r="EY1212" s="1628"/>
      <c r="EZ1212" s="1628"/>
      <c r="FA1212" s="1628"/>
      <c r="FB1212" s="1864" t="s">
        <v>8839</v>
      </c>
      <c r="FH1212" s="1628"/>
      <c r="FU1212" s="1678"/>
      <c r="FW1212" s="1678"/>
    </row>
    <row r="1213" spans="1:179" s="1484" customFormat="1" ht="22.5" x14ac:dyDescent="0.25">
      <c r="A1213" s="1630"/>
      <c r="B1213" s="1631" t="s">
        <v>6062</v>
      </c>
      <c r="C1213" s="2809" t="s">
        <v>6063</v>
      </c>
      <c r="D1213" s="2809"/>
      <c r="E1213" s="2809"/>
      <c r="F1213" s="2809"/>
      <c r="G1213" s="2809"/>
      <c r="H1213" s="2809"/>
      <c r="I1213" s="2809"/>
      <c r="J1213" s="2809"/>
      <c r="K1213" s="2809"/>
      <c r="L1213" s="2809"/>
      <c r="M1213" s="2809"/>
      <c r="N1213" s="2810"/>
      <c r="EW1213" s="2031"/>
      <c r="EX1213" s="1619"/>
      <c r="EY1213" s="1628"/>
      <c r="EZ1213" s="1628"/>
      <c r="FA1213" s="1628"/>
      <c r="FC1213" s="1864" t="s">
        <v>6063</v>
      </c>
      <c r="FH1213" s="1628"/>
      <c r="FU1213" s="1678"/>
      <c r="FW1213" s="1678"/>
    </row>
    <row r="1214" spans="1:179" s="1484" customFormat="1" ht="22.5" x14ac:dyDescent="0.25">
      <c r="A1214" s="2033"/>
      <c r="B1214" s="1631" t="s">
        <v>3260</v>
      </c>
      <c r="C1214" s="2805" t="s">
        <v>8636</v>
      </c>
      <c r="D1214" s="2805"/>
      <c r="E1214" s="2805"/>
      <c r="F1214" s="1683" t="s">
        <v>807</v>
      </c>
      <c r="G1214" s="1655">
        <v>3.69</v>
      </c>
      <c r="H1214" s="1641"/>
      <c r="I1214" s="2042">
        <v>13.346730000000001</v>
      </c>
      <c r="J1214" s="1654">
        <v>9.18</v>
      </c>
      <c r="K1214" s="1655">
        <v>1.25</v>
      </c>
      <c r="L1214" s="1654">
        <v>153.15</v>
      </c>
      <c r="M1214" s="1641"/>
      <c r="N1214" s="1681"/>
      <c r="EW1214" s="2031"/>
      <c r="EX1214" s="1619"/>
      <c r="EY1214" s="1628"/>
      <c r="EZ1214" s="1628"/>
      <c r="FA1214" s="1628"/>
      <c r="FD1214" s="1864" t="s">
        <v>8636</v>
      </c>
      <c r="FH1214" s="1628"/>
      <c r="FU1214" s="1678"/>
      <c r="FW1214" s="1678"/>
    </row>
    <row r="1215" spans="1:179" s="1484" customFormat="1" ht="22.5" x14ac:dyDescent="0.25">
      <c r="A1215" s="2033"/>
      <c r="B1215" s="1631" t="s">
        <v>5008</v>
      </c>
      <c r="C1215" s="2805" t="s">
        <v>5009</v>
      </c>
      <c r="D1215" s="2805"/>
      <c r="E1215" s="2805"/>
      <c r="F1215" s="1683" t="s">
        <v>4994</v>
      </c>
      <c r="G1215" s="1655">
        <v>0.01</v>
      </c>
      <c r="H1215" s="1641"/>
      <c r="I1215" s="2042">
        <v>3.6170000000000001E-2</v>
      </c>
      <c r="J1215" s="1654">
        <v>27.66</v>
      </c>
      <c r="K1215" s="1641"/>
      <c r="L1215" s="1654">
        <v>1</v>
      </c>
      <c r="M1215" s="1641"/>
      <c r="N1215" s="1681"/>
      <c r="EW1215" s="2031"/>
      <c r="EX1215" s="1619"/>
      <c r="EY1215" s="1628"/>
      <c r="EZ1215" s="1628"/>
      <c r="FA1215" s="1628"/>
      <c r="FD1215" s="1864" t="s">
        <v>5009</v>
      </c>
      <c r="FH1215" s="1628"/>
      <c r="FU1215" s="1678"/>
      <c r="FW1215" s="1678"/>
    </row>
    <row r="1216" spans="1:179" s="1484" customFormat="1" ht="15" x14ac:dyDescent="0.25">
      <c r="A1216" s="2033"/>
      <c r="B1216" s="1631" t="s">
        <v>821</v>
      </c>
      <c r="C1216" s="2805" t="s">
        <v>822</v>
      </c>
      <c r="D1216" s="2805"/>
      <c r="E1216" s="2805"/>
      <c r="F1216" s="1683" t="s">
        <v>4994</v>
      </c>
      <c r="G1216" s="1655">
        <v>0.04</v>
      </c>
      <c r="H1216" s="1641"/>
      <c r="I1216" s="2042">
        <v>0.14468</v>
      </c>
      <c r="J1216" s="1654">
        <v>65.709999999999994</v>
      </c>
      <c r="K1216" s="1641"/>
      <c r="L1216" s="1654">
        <v>9.51</v>
      </c>
      <c r="M1216" s="1641"/>
      <c r="N1216" s="1681"/>
      <c r="EW1216" s="2031"/>
      <c r="EX1216" s="1619"/>
      <c r="EY1216" s="1628"/>
      <c r="EZ1216" s="1628"/>
      <c r="FA1216" s="1628"/>
      <c r="FD1216" s="1864" t="s">
        <v>822</v>
      </c>
      <c r="FH1216" s="1628"/>
      <c r="FU1216" s="1678"/>
      <c r="FW1216" s="1678"/>
    </row>
    <row r="1217" spans="1:179" s="1484" customFormat="1" ht="33.75" x14ac:dyDescent="0.25">
      <c r="A1217" s="2033"/>
      <c r="B1217" s="1631" t="s">
        <v>5029</v>
      </c>
      <c r="C1217" s="2805" t="s">
        <v>5030</v>
      </c>
      <c r="D1217" s="2805"/>
      <c r="E1217" s="2805"/>
      <c r="F1217" s="1683" t="s">
        <v>4994</v>
      </c>
      <c r="G1217" s="1655">
        <v>2.82</v>
      </c>
      <c r="H1217" s="1641"/>
      <c r="I1217" s="2042">
        <v>10.19994</v>
      </c>
      <c r="J1217" s="1654">
        <v>6.82</v>
      </c>
      <c r="K1217" s="1641"/>
      <c r="L1217" s="1654">
        <v>69.56</v>
      </c>
      <c r="M1217" s="1641"/>
      <c r="N1217" s="1681"/>
      <c r="EW1217" s="2031"/>
      <c r="EX1217" s="1619"/>
      <c r="EY1217" s="1628"/>
      <c r="EZ1217" s="1628"/>
      <c r="FA1217" s="1628"/>
      <c r="FD1217" s="1864" t="s">
        <v>5030</v>
      </c>
      <c r="FH1217" s="1628"/>
      <c r="FU1217" s="1678"/>
      <c r="FW1217" s="1678"/>
    </row>
    <row r="1218" spans="1:179" s="1484" customFormat="1" ht="15" x14ac:dyDescent="0.25">
      <c r="A1218" s="2033"/>
      <c r="B1218" s="1631" t="s">
        <v>1755</v>
      </c>
      <c r="C1218" s="2805" t="s">
        <v>2634</v>
      </c>
      <c r="D1218" s="2805"/>
      <c r="E1218" s="2805"/>
      <c r="F1218" s="1683" t="s">
        <v>832</v>
      </c>
      <c r="G1218" s="1655">
        <v>0.01</v>
      </c>
      <c r="H1218" s="1641"/>
      <c r="I1218" s="2042">
        <v>3.6170000000000001E-2</v>
      </c>
      <c r="J1218" s="1654">
        <v>2.44</v>
      </c>
      <c r="K1218" s="1641"/>
      <c r="L1218" s="1654">
        <v>0.09</v>
      </c>
      <c r="M1218" s="1641"/>
      <c r="N1218" s="1681"/>
      <c r="EW1218" s="2031"/>
      <c r="EX1218" s="1619"/>
      <c r="EY1218" s="1628"/>
      <c r="EZ1218" s="1628"/>
      <c r="FA1218" s="1628"/>
      <c r="FD1218" s="1864" t="s">
        <v>2634</v>
      </c>
      <c r="FH1218" s="1628"/>
      <c r="FU1218" s="1678"/>
      <c r="FW1218" s="1678"/>
    </row>
    <row r="1219" spans="1:179" s="1484" customFormat="1" ht="15" x14ac:dyDescent="0.25">
      <c r="A1219" s="2033"/>
      <c r="B1219" s="1631" t="s">
        <v>4922</v>
      </c>
      <c r="C1219" s="2805" t="s">
        <v>8707</v>
      </c>
      <c r="D1219" s="2805"/>
      <c r="E1219" s="2805"/>
      <c r="F1219" s="1683" t="s">
        <v>835</v>
      </c>
      <c r="G1219" s="2034">
        <v>1</v>
      </c>
      <c r="H1219" s="1641"/>
      <c r="I1219" s="2046">
        <v>3.617</v>
      </c>
      <c r="J1219" s="1654">
        <v>1.82</v>
      </c>
      <c r="K1219" s="1641"/>
      <c r="L1219" s="1654">
        <v>6.58</v>
      </c>
      <c r="M1219" s="1641"/>
      <c r="N1219" s="1681"/>
      <c r="EW1219" s="2031"/>
      <c r="EX1219" s="1619"/>
      <c r="EY1219" s="1628"/>
      <c r="EZ1219" s="1628"/>
      <c r="FA1219" s="1628"/>
      <c r="FD1219" s="1864" t="s">
        <v>8707</v>
      </c>
      <c r="FH1219" s="1628"/>
      <c r="FU1219" s="1678"/>
      <c r="FW1219" s="1678"/>
    </row>
    <row r="1220" spans="1:179" s="1484" customFormat="1" ht="15" x14ac:dyDescent="0.25">
      <c r="A1220" s="2032"/>
      <c r="B1220" s="1631" t="s">
        <v>190</v>
      </c>
      <c r="C1220" s="2805" t="s">
        <v>2523</v>
      </c>
      <c r="D1220" s="2805"/>
      <c r="E1220" s="2805"/>
      <c r="F1220" s="1683"/>
      <c r="G1220" s="1641"/>
      <c r="H1220" s="1641"/>
      <c r="I1220" s="1641"/>
      <c r="J1220" s="1654">
        <v>33.869999999999997</v>
      </c>
      <c r="K1220" s="1655">
        <v>1.25</v>
      </c>
      <c r="L1220" s="1654">
        <v>153.13</v>
      </c>
      <c r="M1220" s="1655">
        <v>35.75</v>
      </c>
      <c r="N1220" s="1679">
        <v>5474.4</v>
      </c>
      <c r="EW1220" s="2031"/>
      <c r="EX1220" s="1619"/>
      <c r="EY1220" s="1628"/>
      <c r="EZ1220" s="1628"/>
      <c r="FA1220" s="1628"/>
      <c r="FE1220" s="1864" t="s">
        <v>2523</v>
      </c>
      <c r="FH1220" s="1628"/>
      <c r="FU1220" s="1678"/>
      <c r="FW1220" s="1678"/>
    </row>
    <row r="1221" spans="1:179" s="1484" customFormat="1" ht="15" x14ac:dyDescent="0.25">
      <c r="A1221" s="2032"/>
      <c r="B1221" s="1631" t="s">
        <v>639</v>
      </c>
      <c r="C1221" s="2805" t="s">
        <v>697</v>
      </c>
      <c r="D1221" s="2805"/>
      <c r="E1221" s="2805"/>
      <c r="F1221" s="1683"/>
      <c r="G1221" s="1641"/>
      <c r="H1221" s="1641"/>
      <c r="I1221" s="1641"/>
      <c r="J1221" s="1654">
        <v>22.14</v>
      </c>
      <c r="K1221" s="1641"/>
      <c r="L1221" s="1654">
        <v>80.08</v>
      </c>
      <c r="M1221" s="1655">
        <v>11.97</v>
      </c>
      <c r="N1221" s="2039">
        <v>958.56</v>
      </c>
      <c r="EW1221" s="2031"/>
      <c r="EX1221" s="1619"/>
      <c r="EY1221" s="1628"/>
      <c r="EZ1221" s="1628"/>
      <c r="FA1221" s="1628"/>
      <c r="FE1221" s="1864" t="s">
        <v>697</v>
      </c>
      <c r="FH1221" s="1628"/>
      <c r="FU1221" s="1678"/>
      <c r="FW1221" s="1678"/>
    </row>
    <row r="1222" spans="1:179" s="1484" customFormat="1" ht="15" x14ac:dyDescent="0.25">
      <c r="A1222" s="2032"/>
      <c r="B1222" s="1631" t="s">
        <v>640</v>
      </c>
      <c r="C1222" s="2805" t="s">
        <v>2500</v>
      </c>
      <c r="D1222" s="2805"/>
      <c r="E1222" s="2805"/>
      <c r="F1222" s="1683"/>
      <c r="G1222" s="1641"/>
      <c r="H1222" s="1641"/>
      <c r="I1222" s="1641"/>
      <c r="J1222" s="1654">
        <v>0.57999999999999996</v>
      </c>
      <c r="K1222" s="1641"/>
      <c r="L1222" s="1654">
        <v>2.1</v>
      </c>
      <c r="M1222" s="1655">
        <v>35.75</v>
      </c>
      <c r="N1222" s="2039">
        <v>75.08</v>
      </c>
      <c r="EW1222" s="2031"/>
      <c r="EX1222" s="1619"/>
      <c r="EY1222" s="1628"/>
      <c r="EZ1222" s="1628"/>
      <c r="FA1222" s="1628"/>
      <c r="FE1222" s="1864" t="s">
        <v>2500</v>
      </c>
      <c r="FH1222" s="1628"/>
      <c r="FU1222" s="1678"/>
      <c r="FW1222" s="1678"/>
    </row>
    <row r="1223" spans="1:179" s="1484" customFormat="1" ht="15" x14ac:dyDescent="0.25">
      <c r="A1223" s="2032"/>
      <c r="B1223" s="1631" t="s">
        <v>232</v>
      </c>
      <c r="C1223" s="2805" t="s">
        <v>829</v>
      </c>
      <c r="D1223" s="2805"/>
      <c r="E1223" s="2805"/>
      <c r="F1223" s="1683"/>
      <c r="G1223" s="1641"/>
      <c r="H1223" s="1641"/>
      <c r="I1223" s="1641"/>
      <c r="J1223" s="1654">
        <v>1.84</v>
      </c>
      <c r="K1223" s="1641"/>
      <c r="L1223" s="1654">
        <v>6.66</v>
      </c>
      <c r="M1223" s="1655">
        <v>9.14</v>
      </c>
      <c r="N1223" s="2039">
        <v>60.87</v>
      </c>
      <c r="EW1223" s="2031"/>
      <c r="EX1223" s="1619"/>
      <c r="EY1223" s="1628"/>
      <c r="EZ1223" s="1628"/>
      <c r="FA1223" s="1628"/>
      <c r="FE1223" s="1864" t="s">
        <v>829</v>
      </c>
      <c r="FH1223" s="1628"/>
      <c r="FU1223" s="1678"/>
      <c r="FW1223" s="1678"/>
    </row>
    <row r="1224" spans="1:179" s="1484" customFormat="1" ht="15" x14ac:dyDescent="0.25">
      <c r="A1224" s="2033"/>
      <c r="B1224" s="1631"/>
      <c r="C1224" s="2805" t="s">
        <v>2524</v>
      </c>
      <c r="D1224" s="2805"/>
      <c r="E1224" s="2805"/>
      <c r="F1224" s="1683" t="s">
        <v>807</v>
      </c>
      <c r="G1224" s="1655">
        <v>3.69</v>
      </c>
      <c r="H1224" s="1641"/>
      <c r="I1224" s="2042">
        <v>13.346730000000001</v>
      </c>
      <c r="J1224" s="1640"/>
      <c r="K1224" s="1641"/>
      <c r="L1224" s="1640"/>
      <c r="M1224" s="1641"/>
      <c r="N1224" s="1681"/>
      <c r="EW1224" s="2031"/>
      <c r="EX1224" s="1619"/>
      <c r="EY1224" s="1628"/>
      <c r="EZ1224" s="1628"/>
      <c r="FA1224" s="1628"/>
      <c r="FF1224" s="1864" t="s">
        <v>2524</v>
      </c>
      <c r="FH1224" s="1628"/>
      <c r="FU1224" s="1678"/>
      <c r="FW1224" s="1678"/>
    </row>
    <row r="1225" spans="1:179" s="1484" customFormat="1" ht="15" x14ac:dyDescent="0.25">
      <c r="A1225" s="2033"/>
      <c r="B1225" s="1631"/>
      <c r="C1225" s="2805" t="s">
        <v>2501</v>
      </c>
      <c r="D1225" s="2805"/>
      <c r="E1225" s="2805"/>
      <c r="F1225" s="1683" t="s">
        <v>807</v>
      </c>
      <c r="G1225" s="1655">
        <v>0.05</v>
      </c>
      <c r="H1225" s="1641"/>
      <c r="I1225" s="2042">
        <v>0.18085000000000001</v>
      </c>
      <c r="J1225" s="1640"/>
      <c r="K1225" s="1641"/>
      <c r="L1225" s="1640"/>
      <c r="M1225" s="1641"/>
      <c r="N1225" s="1681"/>
      <c r="EW1225" s="2031"/>
      <c r="EX1225" s="1619"/>
      <c r="EY1225" s="1628"/>
      <c r="EZ1225" s="1628"/>
      <c r="FA1225" s="1628"/>
      <c r="FF1225" s="1864" t="s">
        <v>2501</v>
      </c>
      <c r="FH1225" s="1628"/>
      <c r="FU1225" s="1678"/>
      <c r="FW1225" s="1678"/>
    </row>
    <row r="1226" spans="1:179" s="1484" customFormat="1" ht="15" x14ac:dyDescent="0.25">
      <c r="A1226" s="2032"/>
      <c r="B1226" s="1631"/>
      <c r="C1226" s="2917" t="s">
        <v>2502</v>
      </c>
      <c r="D1226" s="2917"/>
      <c r="E1226" s="2917"/>
      <c r="F1226" s="2036"/>
      <c r="G1226" s="2037"/>
      <c r="H1226" s="2037"/>
      <c r="I1226" s="2037"/>
      <c r="J1226" s="2044">
        <v>57.85</v>
      </c>
      <c r="K1226" s="2037"/>
      <c r="L1226" s="2044">
        <v>239.87</v>
      </c>
      <c r="M1226" s="2037"/>
      <c r="N1226" s="2068">
        <v>6493.83</v>
      </c>
      <c r="EW1226" s="2031"/>
      <c r="EX1226" s="1619"/>
      <c r="EY1226" s="1628"/>
      <c r="EZ1226" s="1628"/>
      <c r="FA1226" s="1628"/>
      <c r="FG1226" s="1864" t="s">
        <v>2502</v>
      </c>
      <c r="FH1226" s="1628"/>
      <c r="FU1226" s="1678"/>
      <c r="FW1226" s="1678"/>
    </row>
    <row r="1227" spans="1:179" s="1484" customFormat="1" ht="15" x14ac:dyDescent="0.25">
      <c r="A1227" s="2033" t="s">
        <v>8177</v>
      </c>
      <c r="B1227" s="1631"/>
      <c r="C1227" s="2805" t="s">
        <v>7964</v>
      </c>
      <c r="D1227" s="2805"/>
      <c r="E1227" s="2805"/>
      <c r="F1227" s="1683" t="s">
        <v>5928</v>
      </c>
      <c r="G1227" s="1641"/>
      <c r="H1227" s="1641"/>
      <c r="I1227" s="1641"/>
      <c r="J1227" s="1640"/>
      <c r="K1227" s="1641"/>
      <c r="L1227" s="1654">
        <v>0.52</v>
      </c>
      <c r="M1227" s="1641"/>
      <c r="N1227" s="2039">
        <v>18.59</v>
      </c>
      <c r="EW1227" s="2031"/>
      <c r="EX1227" s="1619"/>
      <c r="EY1227" s="1628"/>
      <c r="EZ1227" s="1628"/>
      <c r="FA1227" s="1628"/>
      <c r="FF1227" s="1864" t="s">
        <v>7964</v>
      </c>
      <c r="FH1227" s="1628"/>
      <c r="FU1227" s="1678"/>
      <c r="FW1227" s="1678"/>
    </row>
    <row r="1228" spans="1:179" s="1484" customFormat="1" ht="15" x14ac:dyDescent="0.25">
      <c r="A1228" s="2033"/>
      <c r="B1228" s="1631"/>
      <c r="C1228" s="2805" t="s">
        <v>7965</v>
      </c>
      <c r="D1228" s="2805"/>
      <c r="E1228" s="2805"/>
      <c r="F1228" s="1683" t="s">
        <v>5928</v>
      </c>
      <c r="G1228" s="1641"/>
      <c r="H1228" s="1641"/>
      <c r="I1228" s="1641"/>
      <c r="J1228" s="1654">
        <v>0.57999999999999996</v>
      </c>
      <c r="K1228" s="1655">
        <v>0.25</v>
      </c>
      <c r="L1228" s="1654">
        <v>0.52</v>
      </c>
      <c r="M1228" s="1655">
        <v>35.75</v>
      </c>
      <c r="N1228" s="2039">
        <v>18.59</v>
      </c>
      <c r="EW1228" s="2031"/>
      <c r="EX1228" s="1619"/>
      <c r="EY1228" s="1628"/>
      <c r="EZ1228" s="1628"/>
      <c r="FA1228" s="1628"/>
      <c r="FF1228" s="1864" t="s">
        <v>7965</v>
      </c>
      <c r="FH1228" s="1628"/>
      <c r="FU1228" s="1678"/>
      <c r="FW1228" s="1678"/>
    </row>
    <row r="1229" spans="1:179" s="1484" customFormat="1" ht="15" x14ac:dyDescent="0.25">
      <c r="A1229" s="2033"/>
      <c r="B1229" s="1631"/>
      <c r="C1229" s="2805" t="s">
        <v>867</v>
      </c>
      <c r="D1229" s="2805"/>
      <c r="E1229" s="2805"/>
      <c r="F1229" s="1683"/>
      <c r="G1229" s="1641"/>
      <c r="H1229" s="1641"/>
      <c r="I1229" s="1641"/>
      <c r="J1229" s="1640"/>
      <c r="K1229" s="1641"/>
      <c r="L1229" s="1654">
        <v>155.75</v>
      </c>
      <c r="M1229" s="1641"/>
      <c r="N1229" s="1679">
        <v>5568.07</v>
      </c>
      <c r="EW1229" s="2031"/>
      <c r="EX1229" s="1619"/>
      <c r="EY1229" s="1628"/>
      <c r="EZ1229" s="1628"/>
      <c r="FA1229" s="1628"/>
      <c r="FF1229" s="1864" t="s">
        <v>867</v>
      </c>
      <c r="FH1229" s="1628"/>
      <c r="FU1229" s="1678"/>
      <c r="FW1229" s="1678"/>
    </row>
    <row r="1230" spans="1:179" s="1484" customFormat="1" ht="15" x14ac:dyDescent="0.25">
      <c r="A1230" s="2033"/>
      <c r="B1230" s="1631" t="s">
        <v>7966</v>
      </c>
      <c r="C1230" s="2805" t="s">
        <v>7967</v>
      </c>
      <c r="D1230" s="2805"/>
      <c r="E1230" s="2805"/>
      <c r="F1230" s="1683" t="s">
        <v>636</v>
      </c>
      <c r="G1230" s="2034">
        <v>100</v>
      </c>
      <c r="H1230" s="1641"/>
      <c r="I1230" s="2034">
        <v>100</v>
      </c>
      <c r="J1230" s="1640"/>
      <c r="K1230" s="1641"/>
      <c r="L1230" s="1654">
        <v>155.75</v>
      </c>
      <c r="M1230" s="1641"/>
      <c r="N1230" s="1679">
        <v>5568.07</v>
      </c>
      <c r="EW1230" s="2031"/>
      <c r="EX1230" s="1619"/>
      <c r="EY1230" s="1628"/>
      <c r="EZ1230" s="1628"/>
      <c r="FA1230" s="1628"/>
      <c r="FF1230" s="1864" t="s">
        <v>7967</v>
      </c>
      <c r="FH1230" s="1628"/>
      <c r="FU1230" s="1678"/>
      <c r="FW1230" s="1678"/>
    </row>
    <row r="1231" spans="1:179" s="1484" customFormat="1" ht="15" x14ac:dyDescent="0.25">
      <c r="A1231" s="2033"/>
      <c r="B1231" s="1631" t="s">
        <v>7968</v>
      </c>
      <c r="C1231" s="2805" t="s">
        <v>7969</v>
      </c>
      <c r="D1231" s="2805"/>
      <c r="E1231" s="2805"/>
      <c r="F1231" s="1683" t="s">
        <v>636</v>
      </c>
      <c r="G1231" s="2034">
        <v>49</v>
      </c>
      <c r="H1231" s="1641"/>
      <c r="I1231" s="2034">
        <v>49</v>
      </c>
      <c r="J1231" s="1640"/>
      <c r="K1231" s="1641"/>
      <c r="L1231" s="1654">
        <v>76.319999999999993</v>
      </c>
      <c r="M1231" s="1641"/>
      <c r="N1231" s="1679">
        <v>2728.35</v>
      </c>
      <c r="EW1231" s="2031"/>
      <c r="EX1231" s="1619"/>
      <c r="EY1231" s="1628"/>
      <c r="EZ1231" s="1628"/>
      <c r="FA1231" s="1628"/>
      <c r="FF1231" s="1864" t="s">
        <v>7969</v>
      </c>
      <c r="FH1231" s="1628"/>
      <c r="FU1231" s="1678"/>
      <c r="FW1231" s="1678"/>
    </row>
    <row r="1232" spans="1:179" s="1484" customFormat="1" ht="15" x14ac:dyDescent="0.25">
      <c r="A1232" s="1650"/>
      <c r="B1232" s="1651"/>
      <c r="C1232" s="2803" t="s">
        <v>872</v>
      </c>
      <c r="D1232" s="2803"/>
      <c r="E1232" s="2803"/>
      <c r="F1232" s="1621"/>
      <c r="G1232" s="1622"/>
      <c r="H1232" s="1622"/>
      <c r="I1232" s="1622"/>
      <c r="J1232" s="1625"/>
      <c r="K1232" s="1622"/>
      <c r="L1232" s="2040">
        <v>472.46</v>
      </c>
      <c r="M1232" s="2037"/>
      <c r="N1232" s="1649">
        <v>14808.84</v>
      </c>
      <c r="EW1232" s="2031"/>
      <c r="EX1232" s="1619"/>
      <c r="EY1232" s="1628"/>
      <c r="EZ1232" s="1628"/>
      <c r="FA1232" s="1628"/>
      <c r="FH1232" s="1628" t="s">
        <v>872</v>
      </c>
      <c r="FU1232" s="1678"/>
      <c r="FW1232" s="1678"/>
    </row>
    <row r="1233" spans="1:179" s="1484" customFormat="1" ht="33.75" x14ac:dyDescent="0.25">
      <c r="A1233" s="1620" t="s">
        <v>1431</v>
      </c>
      <c r="B1233" s="1863" t="s">
        <v>8062</v>
      </c>
      <c r="C1233" s="2803" t="s">
        <v>4978</v>
      </c>
      <c r="D1233" s="2803"/>
      <c r="E1233" s="2803"/>
      <c r="F1233" s="1621" t="s">
        <v>835</v>
      </c>
      <c r="G1233" s="1622">
        <v>49.9146</v>
      </c>
      <c r="H1233" s="1623">
        <v>1</v>
      </c>
      <c r="I1233" s="2041">
        <v>49.9146</v>
      </c>
      <c r="J1233" s="2040">
        <v>13.08</v>
      </c>
      <c r="K1233" s="1622"/>
      <c r="L1233" s="2040">
        <v>652.88</v>
      </c>
      <c r="M1233" s="1687">
        <v>9.14</v>
      </c>
      <c r="N1233" s="1649">
        <v>5967.32</v>
      </c>
      <c r="EW1233" s="2031"/>
      <c r="EX1233" s="1619"/>
      <c r="EY1233" s="1628" t="s">
        <v>4978</v>
      </c>
      <c r="EZ1233" s="1628" t="s">
        <v>588</v>
      </c>
      <c r="FA1233" s="1628" t="s">
        <v>588</v>
      </c>
      <c r="FH1233" s="1628"/>
      <c r="FU1233" s="1678"/>
      <c r="FW1233" s="1678"/>
    </row>
    <row r="1234" spans="1:179" s="1484" customFormat="1" ht="15" x14ac:dyDescent="0.25">
      <c r="A1234" s="1650"/>
      <c r="B1234" s="1651"/>
      <c r="C1234" s="2805" t="s">
        <v>8689</v>
      </c>
      <c r="D1234" s="2805"/>
      <c r="E1234" s="2805"/>
      <c r="F1234" s="2805"/>
      <c r="G1234" s="2805"/>
      <c r="H1234" s="2805"/>
      <c r="I1234" s="2805"/>
      <c r="J1234" s="2805"/>
      <c r="K1234" s="2805"/>
      <c r="L1234" s="2805"/>
      <c r="M1234" s="2805"/>
      <c r="N1234" s="2806"/>
      <c r="EW1234" s="2031"/>
      <c r="EX1234" s="1619"/>
      <c r="EY1234" s="1628"/>
      <c r="EZ1234" s="1628"/>
      <c r="FA1234" s="1628"/>
      <c r="FH1234" s="1628"/>
      <c r="FI1234" s="1864" t="s">
        <v>8689</v>
      </c>
      <c r="FJ1234" s="1864" t="s">
        <v>588</v>
      </c>
      <c r="FK1234" s="1864" t="s">
        <v>588</v>
      </c>
      <c r="FL1234" s="1864" t="s">
        <v>588</v>
      </c>
      <c r="FM1234" s="1864" t="s">
        <v>588</v>
      </c>
      <c r="FN1234" s="1864" t="s">
        <v>588</v>
      </c>
      <c r="FO1234" s="1864" t="s">
        <v>588</v>
      </c>
      <c r="FP1234" s="1864" t="s">
        <v>588</v>
      </c>
      <c r="FQ1234" s="1864" t="s">
        <v>588</v>
      </c>
      <c r="FR1234" s="1864" t="s">
        <v>588</v>
      </c>
      <c r="FS1234" s="1864" t="s">
        <v>588</v>
      </c>
      <c r="FT1234" s="1864" t="s">
        <v>588</v>
      </c>
      <c r="FU1234" s="1678"/>
      <c r="FW1234" s="1678"/>
    </row>
    <row r="1235" spans="1:179" s="1484" customFormat="1" ht="15" x14ac:dyDescent="0.25">
      <c r="A1235" s="1650"/>
      <c r="B1235" s="1651"/>
      <c r="C1235" s="2803" t="s">
        <v>872</v>
      </c>
      <c r="D1235" s="2803"/>
      <c r="E1235" s="2803"/>
      <c r="F1235" s="1621"/>
      <c r="G1235" s="1622"/>
      <c r="H1235" s="1622"/>
      <c r="I1235" s="1622"/>
      <c r="J1235" s="1625"/>
      <c r="K1235" s="1622"/>
      <c r="L1235" s="2040">
        <v>652.88</v>
      </c>
      <c r="M1235" s="2037"/>
      <c r="N1235" s="1649">
        <v>5967.32</v>
      </c>
      <c r="EW1235" s="2031"/>
      <c r="EX1235" s="1619"/>
      <c r="EY1235" s="1628"/>
      <c r="EZ1235" s="1628"/>
      <c r="FA1235" s="1628"/>
      <c r="FH1235" s="1628" t="s">
        <v>872</v>
      </c>
      <c r="FU1235" s="1678"/>
      <c r="FW1235" s="1678"/>
    </row>
    <row r="1236" spans="1:179" s="1484" customFormat="1" ht="15" x14ac:dyDescent="0.25">
      <c r="A1236" s="2811" t="s">
        <v>8178</v>
      </c>
      <c r="B1236" s="2812"/>
      <c r="C1236" s="2812"/>
      <c r="D1236" s="2812"/>
      <c r="E1236" s="2812"/>
      <c r="F1236" s="2812"/>
      <c r="G1236" s="2812"/>
      <c r="H1236" s="2812"/>
      <c r="I1236" s="2812"/>
      <c r="J1236" s="2812"/>
      <c r="K1236" s="2812"/>
      <c r="L1236" s="2812"/>
      <c r="M1236" s="2812"/>
      <c r="N1236" s="2813"/>
      <c r="EW1236" s="2031"/>
      <c r="EX1236" s="1619" t="s">
        <v>8178</v>
      </c>
      <c r="EY1236" s="1628"/>
      <c r="EZ1236" s="1628"/>
      <c r="FA1236" s="1628"/>
      <c r="FH1236" s="1628"/>
      <c r="FU1236" s="1678"/>
      <c r="FW1236" s="1678"/>
    </row>
    <row r="1237" spans="1:179" s="1484" customFormat="1" ht="56.25" x14ac:dyDescent="0.25">
      <c r="A1237" s="1620" t="s">
        <v>8179</v>
      </c>
      <c r="B1237" s="1863" t="s">
        <v>8146</v>
      </c>
      <c r="C1237" s="2803" t="s">
        <v>8147</v>
      </c>
      <c r="D1237" s="2803"/>
      <c r="E1237" s="2803"/>
      <c r="F1237" s="1621" t="s">
        <v>835</v>
      </c>
      <c r="G1237" s="1622">
        <v>540.74789999999996</v>
      </c>
      <c r="H1237" s="1623">
        <v>1</v>
      </c>
      <c r="I1237" s="2041">
        <v>540.74789999999996</v>
      </c>
      <c r="J1237" s="2040">
        <v>23.7</v>
      </c>
      <c r="K1237" s="1622"/>
      <c r="L1237" s="1648">
        <v>12815.73</v>
      </c>
      <c r="M1237" s="1687">
        <v>9.14</v>
      </c>
      <c r="N1237" s="1649">
        <v>117135.77</v>
      </c>
      <c r="EW1237" s="2031"/>
      <c r="EX1237" s="1619"/>
      <c r="EY1237" s="1628" t="s">
        <v>8147</v>
      </c>
      <c r="EZ1237" s="1628" t="s">
        <v>588</v>
      </c>
      <c r="FA1237" s="1628" t="s">
        <v>588</v>
      </c>
      <c r="FH1237" s="1628"/>
      <c r="FU1237" s="1678"/>
      <c r="FW1237" s="1678"/>
    </row>
    <row r="1238" spans="1:179" s="1484" customFormat="1" ht="15" x14ac:dyDescent="0.25">
      <c r="A1238" s="1650"/>
      <c r="B1238" s="1651"/>
      <c r="C1238" s="2805" t="s">
        <v>8722</v>
      </c>
      <c r="D1238" s="2805"/>
      <c r="E1238" s="2805"/>
      <c r="F1238" s="2805"/>
      <c r="G1238" s="2805"/>
      <c r="H1238" s="2805"/>
      <c r="I1238" s="2805"/>
      <c r="J1238" s="2805"/>
      <c r="K1238" s="2805"/>
      <c r="L1238" s="2805"/>
      <c r="M1238" s="2805"/>
      <c r="N1238" s="2806"/>
      <c r="EW1238" s="2031"/>
      <c r="EX1238" s="1619"/>
      <c r="EY1238" s="1628"/>
      <c r="EZ1238" s="1628"/>
      <c r="FA1238" s="1628"/>
      <c r="FH1238" s="1628"/>
      <c r="FI1238" s="1864" t="s">
        <v>8722</v>
      </c>
      <c r="FJ1238" s="1864" t="s">
        <v>588</v>
      </c>
      <c r="FK1238" s="1864" t="s">
        <v>588</v>
      </c>
      <c r="FL1238" s="1864" t="s">
        <v>588</v>
      </c>
      <c r="FM1238" s="1864" t="s">
        <v>588</v>
      </c>
      <c r="FN1238" s="1864" t="s">
        <v>588</v>
      </c>
      <c r="FO1238" s="1864" t="s">
        <v>588</v>
      </c>
      <c r="FP1238" s="1864" t="s">
        <v>588</v>
      </c>
      <c r="FQ1238" s="1864" t="s">
        <v>588</v>
      </c>
      <c r="FR1238" s="1864" t="s">
        <v>588</v>
      </c>
      <c r="FS1238" s="1864" t="s">
        <v>588</v>
      </c>
      <c r="FT1238" s="1864" t="s">
        <v>588</v>
      </c>
      <c r="FU1238" s="1678"/>
      <c r="FW1238" s="1678"/>
    </row>
    <row r="1239" spans="1:179" s="1484" customFormat="1" ht="15" x14ac:dyDescent="0.25">
      <c r="A1239" s="1629"/>
      <c r="B1239" s="1862"/>
      <c r="C1239" s="2805" t="s">
        <v>8838</v>
      </c>
      <c r="D1239" s="2805"/>
      <c r="E1239" s="2805"/>
      <c r="F1239" s="2805"/>
      <c r="G1239" s="2805"/>
      <c r="H1239" s="2805"/>
      <c r="I1239" s="2805"/>
      <c r="J1239" s="2805"/>
      <c r="K1239" s="2805"/>
      <c r="L1239" s="2805"/>
      <c r="M1239" s="2805"/>
      <c r="N1239" s="2806"/>
      <c r="EW1239" s="2031"/>
      <c r="EX1239" s="1619"/>
      <c r="EY1239" s="1628"/>
      <c r="EZ1239" s="1628"/>
      <c r="FA1239" s="1628"/>
      <c r="FB1239" s="1864" t="s">
        <v>8838</v>
      </c>
      <c r="FH1239" s="1628"/>
      <c r="FU1239" s="1678"/>
      <c r="FW1239" s="1678"/>
    </row>
    <row r="1240" spans="1:179" s="1484" customFormat="1" ht="15" x14ac:dyDescent="0.25">
      <c r="A1240" s="1650"/>
      <c r="B1240" s="1651"/>
      <c r="C1240" s="2803" t="s">
        <v>872</v>
      </c>
      <c r="D1240" s="2803"/>
      <c r="E1240" s="2803"/>
      <c r="F1240" s="1621"/>
      <c r="G1240" s="1622"/>
      <c r="H1240" s="1622"/>
      <c r="I1240" s="1622"/>
      <c r="J1240" s="1625"/>
      <c r="K1240" s="1622"/>
      <c r="L1240" s="1648">
        <v>12815.73</v>
      </c>
      <c r="M1240" s="2037"/>
      <c r="N1240" s="1649">
        <v>117135.77</v>
      </c>
      <c r="EW1240" s="2031"/>
      <c r="EX1240" s="1619"/>
      <c r="EY1240" s="1628"/>
      <c r="EZ1240" s="1628"/>
      <c r="FA1240" s="1628"/>
      <c r="FH1240" s="1628" t="s">
        <v>872</v>
      </c>
      <c r="FU1240" s="1678"/>
      <c r="FW1240" s="1678"/>
    </row>
    <row r="1241" spans="1:179" s="1484" customFormat="1" ht="33.75" x14ac:dyDescent="0.25">
      <c r="A1241" s="1620" t="s">
        <v>1464</v>
      </c>
      <c r="B1241" s="1863" t="s">
        <v>8148</v>
      </c>
      <c r="C1241" s="2803" t="s">
        <v>8149</v>
      </c>
      <c r="D1241" s="2803"/>
      <c r="E1241" s="2803"/>
      <c r="F1241" s="1621" t="s">
        <v>2555</v>
      </c>
      <c r="G1241" s="1622">
        <v>1.19</v>
      </c>
      <c r="H1241" s="1623">
        <v>1</v>
      </c>
      <c r="I1241" s="1687">
        <v>1.19</v>
      </c>
      <c r="J1241" s="1625"/>
      <c r="K1241" s="1622"/>
      <c r="L1241" s="1625"/>
      <c r="M1241" s="1622"/>
      <c r="N1241" s="1627"/>
      <c r="EW1241" s="2031"/>
      <c r="EX1241" s="1619"/>
      <c r="EY1241" s="1628" t="s">
        <v>8149</v>
      </c>
      <c r="EZ1241" s="1628" t="s">
        <v>588</v>
      </c>
      <c r="FA1241" s="1628" t="s">
        <v>588</v>
      </c>
      <c r="FH1241" s="1628"/>
      <c r="FU1241" s="1678"/>
      <c r="FW1241" s="1678"/>
    </row>
    <row r="1242" spans="1:179" s="1484" customFormat="1" ht="15" x14ac:dyDescent="0.25">
      <c r="A1242" s="1629"/>
      <c r="B1242" s="1862"/>
      <c r="C1242" s="2805" t="s">
        <v>8817</v>
      </c>
      <c r="D1242" s="2805"/>
      <c r="E1242" s="2805"/>
      <c r="F1242" s="2805"/>
      <c r="G1242" s="2805"/>
      <c r="H1242" s="2805"/>
      <c r="I1242" s="2805"/>
      <c r="J1242" s="2805"/>
      <c r="K1242" s="2805"/>
      <c r="L1242" s="2805"/>
      <c r="M1242" s="2805"/>
      <c r="N1242" s="2806"/>
      <c r="EW1242" s="2031"/>
      <c r="EX1242" s="1619"/>
      <c r="EY1242" s="1628"/>
      <c r="EZ1242" s="1628"/>
      <c r="FA1242" s="1628"/>
      <c r="FB1242" s="1864" t="s">
        <v>8817</v>
      </c>
      <c r="FH1242" s="1628"/>
      <c r="FU1242" s="1678"/>
      <c r="FW1242" s="1678"/>
    </row>
    <row r="1243" spans="1:179" s="1484" customFormat="1" ht="22.5" x14ac:dyDescent="0.25">
      <c r="A1243" s="1630"/>
      <c r="B1243" s="1631" t="s">
        <v>6062</v>
      </c>
      <c r="C1243" s="2809" t="s">
        <v>6063</v>
      </c>
      <c r="D1243" s="2809"/>
      <c r="E1243" s="2809"/>
      <c r="F1243" s="2809"/>
      <c r="G1243" s="2809"/>
      <c r="H1243" s="2809"/>
      <c r="I1243" s="2809"/>
      <c r="J1243" s="2809"/>
      <c r="K1243" s="2809"/>
      <c r="L1243" s="2809"/>
      <c r="M1243" s="2809"/>
      <c r="N1243" s="2810"/>
      <c r="EW1243" s="2031"/>
      <c r="EX1243" s="1619"/>
      <c r="EY1243" s="1628"/>
      <c r="EZ1243" s="1628"/>
      <c r="FA1243" s="1628"/>
      <c r="FC1243" s="1864" t="s">
        <v>6063</v>
      </c>
      <c r="FH1243" s="1628"/>
      <c r="FU1243" s="1678"/>
      <c r="FW1243" s="1678"/>
    </row>
    <row r="1244" spans="1:179" s="1484" customFormat="1" ht="22.5" x14ac:dyDescent="0.25">
      <c r="A1244" s="2033"/>
      <c r="B1244" s="1631" t="s">
        <v>3260</v>
      </c>
      <c r="C1244" s="2805" t="s">
        <v>8636</v>
      </c>
      <c r="D1244" s="2805"/>
      <c r="E1244" s="2805"/>
      <c r="F1244" s="1683" t="s">
        <v>807</v>
      </c>
      <c r="G1244" s="1655">
        <v>3.69</v>
      </c>
      <c r="H1244" s="1641"/>
      <c r="I1244" s="2035">
        <v>4.3910999999999998</v>
      </c>
      <c r="J1244" s="1654">
        <v>9.18</v>
      </c>
      <c r="K1244" s="1655">
        <v>1.25</v>
      </c>
      <c r="L1244" s="1654">
        <v>50.39</v>
      </c>
      <c r="M1244" s="1641"/>
      <c r="N1244" s="1681"/>
      <c r="EW1244" s="2031"/>
      <c r="EX1244" s="1619"/>
      <c r="EY1244" s="1628"/>
      <c r="EZ1244" s="1628"/>
      <c r="FA1244" s="1628"/>
      <c r="FD1244" s="1864" t="s">
        <v>8636</v>
      </c>
      <c r="FH1244" s="1628"/>
      <c r="FU1244" s="1678"/>
      <c r="FW1244" s="1678"/>
    </row>
    <row r="1245" spans="1:179" s="1484" customFormat="1" ht="22.5" x14ac:dyDescent="0.25">
      <c r="A1245" s="2033"/>
      <c r="B1245" s="1631" t="s">
        <v>5008</v>
      </c>
      <c r="C1245" s="2805" t="s">
        <v>5009</v>
      </c>
      <c r="D1245" s="2805"/>
      <c r="E1245" s="2805"/>
      <c r="F1245" s="1683" t="s">
        <v>4994</v>
      </c>
      <c r="G1245" s="1655">
        <v>0.01</v>
      </c>
      <c r="H1245" s="1641"/>
      <c r="I1245" s="2035">
        <v>1.1900000000000001E-2</v>
      </c>
      <c r="J1245" s="1654">
        <v>27.66</v>
      </c>
      <c r="K1245" s="1641"/>
      <c r="L1245" s="1654">
        <v>0.33</v>
      </c>
      <c r="M1245" s="1641"/>
      <c r="N1245" s="1681"/>
      <c r="EW1245" s="2031"/>
      <c r="EX1245" s="1619"/>
      <c r="EY1245" s="1628"/>
      <c r="EZ1245" s="1628"/>
      <c r="FA1245" s="1628"/>
      <c r="FD1245" s="1864" t="s">
        <v>5009</v>
      </c>
      <c r="FH1245" s="1628"/>
      <c r="FU1245" s="1678"/>
      <c r="FW1245" s="1678"/>
    </row>
    <row r="1246" spans="1:179" s="1484" customFormat="1" ht="15" x14ac:dyDescent="0.25">
      <c r="A1246" s="2033"/>
      <c r="B1246" s="1631" t="s">
        <v>821</v>
      </c>
      <c r="C1246" s="2805" t="s">
        <v>822</v>
      </c>
      <c r="D1246" s="2805"/>
      <c r="E1246" s="2805"/>
      <c r="F1246" s="1683" t="s">
        <v>4994</v>
      </c>
      <c r="G1246" s="1655">
        <v>0.04</v>
      </c>
      <c r="H1246" s="1641"/>
      <c r="I1246" s="2035">
        <v>4.7600000000000003E-2</v>
      </c>
      <c r="J1246" s="1654">
        <v>65.709999999999994</v>
      </c>
      <c r="K1246" s="1641"/>
      <c r="L1246" s="1654">
        <v>3.13</v>
      </c>
      <c r="M1246" s="1641"/>
      <c r="N1246" s="1681"/>
      <c r="EW1246" s="2031"/>
      <c r="EX1246" s="1619"/>
      <c r="EY1246" s="1628"/>
      <c r="EZ1246" s="1628"/>
      <c r="FA1246" s="1628"/>
      <c r="FD1246" s="1864" t="s">
        <v>822</v>
      </c>
      <c r="FH1246" s="1628"/>
      <c r="FU1246" s="1678"/>
      <c r="FW1246" s="1678"/>
    </row>
    <row r="1247" spans="1:179" s="1484" customFormat="1" ht="33.75" x14ac:dyDescent="0.25">
      <c r="A1247" s="2033"/>
      <c r="B1247" s="1631" t="s">
        <v>5029</v>
      </c>
      <c r="C1247" s="2805" t="s">
        <v>5030</v>
      </c>
      <c r="D1247" s="2805"/>
      <c r="E1247" s="2805"/>
      <c r="F1247" s="1683" t="s">
        <v>4994</v>
      </c>
      <c r="G1247" s="1655">
        <v>2.82</v>
      </c>
      <c r="H1247" s="1641"/>
      <c r="I1247" s="2035">
        <v>3.3557999999999999</v>
      </c>
      <c r="J1247" s="1654">
        <v>6.82</v>
      </c>
      <c r="K1247" s="1641"/>
      <c r="L1247" s="1654">
        <v>22.89</v>
      </c>
      <c r="M1247" s="1641"/>
      <c r="N1247" s="1681"/>
      <c r="EW1247" s="2031"/>
      <c r="EX1247" s="1619"/>
      <c r="EY1247" s="1628"/>
      <c r="EZ1247" s="1628"/>
      <c r="FA1247" s="1628"/>
      <c r="FD1247" s="1864" t="s">
        <v>5030</v>
      </c>
      <c r="FH1247" s="1628"/>
      <c r="FU1247" s="1678"/>
      <c r="FW1247" s="1678"/>
    </row>
    <row r="1248" spans="1:179" s="1484" customFormat="1" ht="15" x14ac:dyDescent="0.25">
      <c r="A1248" s="2033"/>
      <c r="B1248" s="1631" t="s">
        <v>1755</v>
      </c>
      <c r="C1248" s="2805" t="s">
        <v>2634</v>
      </c>
      <c r="D1248" s="2805"/>
      <c r="E1248" s="2805"/>
      <c r="F1248" s="1683" t="s">
        <v>832</v>
      </c>
      <c r="G1248" s="1655">
        <v>0.01</v>
      </c>
      <c r="H1248" s="1641"/>
      <c r="I1248" s="2035">
        <v>1.1900000000000001E-2</v>
      </c>
      <c r="J1248" s="1654">
        <v>2.44</v>
      </c>
      <c r="K1248" s="1641"/>
      <c r="L1248" s="1654">
        <v>0.03</v>
      </c>
      <c r="M1248" s="1641"/>
      <c r="N1248" s="1681"/>
      <c r="EW1248" s="2031"/>
      <c r="EX1248" s="1619"/>
      <c r="EY1248" s="1628"/>
      <c r="EZ1248" s="1628"/>
      <c r="FA1248" s="1628"/>
      <c r="FD1248" s="1864" t="s">
        <v>2634</v>
      </c>
      <c r="FH1248" s="1628"/>
      <c r="FU1248" s="1678"/>
      <c r="FW1248" s="1678"/>
    </row>
    <row r="1249" spans="1:179" s="1484" customFormat="1" ht="15" x14ac:dyDescent="0.25">
      <c r="A1249" s="2033"/>
      <c r="B1249" s="1631" t="s">
        <v>4922</v>
      </c>
      <c r="C1249" s="2805" t="s">
        <v>8707</v>
      </c>
      <c r="D1249" s="2805"/>
      <c r="E1249" s="2805"/>
      <c r="F1249" s="1683" t="s">
        <v>835</v>
      </c>
      <c r="G1249" s="2034">
        <v>1</v>
      </c>
      <c r="H1249" s="1641"/>
      <c r="I1249" s="1655">
        <v>1.19</v>
      </c>
      <c r="J1249" s="1654">
        <v>1.82</v>
      </c>
      <c r="K1249" s="1641"/>
      <c r="L1249" s="1654">
        <v>2.17</v>
      </c>
      <c r="M1249" s="1641"/>
      <c r="N1249" s="1681"/>
      <c r="EW1249" s="2031"/>
      <c r="EX1249" s="1619"/>
      <c r="EY1249" s="1628"/>
      <c r="EZ1249" s="1628"/>
      <c r="FA1249" s="1628"/>
      <c r="FD1249" s="1864" t="s">
        <v>8707</v>
      </c>
      <c r="FH1249" s="1628"/>
      <c r="FU1249" s="1678"/>
      <c r="FW1249" s="1678"/>
    </row>
    <row r="1250" spans="1:179" s="1484" customFormat="1" ht="15" x14ac:dyDescent="0.25">
      <c r="A1250" s="2032"/>
      <c r="B1250" s="1631" t="s">
        <v>190</v>
      </c>
      <c r="C1250" s="2805" t="s">
        <v>2523</v>
      </c>
      <c r="D1250" s="2805"/>
      <c r="E1250" s="2805"/>
      <c r="F1250" s="1683"/>
      <c r="G1250" s="1641"/>
      <c r="H1250" s="1641"/>
      <c r="I1250" s="1641"/>
      <c r="J1250" s="1654">
        <v>33.869999999999997</v>
      </c>
      <c r="K1250" s="1655">
        <v>1.25</v>
      </c>
      <c r="L1250" s="1654">
        <v>50.38</v>
      </c>
      <c r="M1250" s="1655">
        <v>35.75</v>
      </c>
      <c r="N1250" s="1679">
        <v>1801.09</v>
      </c>
      <c r="EW1250" s="2031"/>
      <c r="EX1250" s="1619"/>
      <c r="EY1250" s="1628"/>
      <c r="EZ1250" s="1628"/>
      <c r="FA1250" s="1628"/>
      <c r="FE1250" s="1864" t="s">
        <v>2523</v>
      </c>
      <c r="FH1250" s="1628"/>
      <c r="FU1250" s="1678"/>
      <c r="FW1250" s="1678"/>
    </row>
    <row r="1251" spans="1:179" s="1484" customFormat="1" ht="15" x14ac:dyDescent="0.25">
      <c r="A1251" s="2032"/>
      <c r="B1251" s="1631" t="s">
        <v>639</v>
      </c>
      <c r="C1251" s="2805" t="s">
        <v>697</v>
      </c>
      <c r="D1251" s="2805"/>
      <c r="E1251" s="2805"/>
      <c r="F1251" s="1683"/>
      <c r="G1251" s="1641"/>
      <c r="H1251" s="1641"/>
      <c r="I1251" s="1641"/>
      <c r="J1251" s="1654">
        <v>22.14</v>
      </c>
      <c r="K1251" s="1641"/>
      <c r="L1251" s="1654">
        <v>26.35</v>
      </c>
      <c r="M1251" s="1655">
        <v>11.97</v>
      </c>
      <c r="N1251" s="2039">
        <v>315.41000000000003</v>
      </c>
      <c r="EW1251" s="2031"/>
      <c r="EX1251" s="1619"/>
      <c r="EY1251" s="1628"/>
      <c r="EZ1251" s="1628"/>
      <c r="FA1251" s="1628"/>
      <c r="FE1251" s="1864" t="s">
        <v>697</v>
      </c>
      <c r="FH1251" s="1628"/>
      <c r="FU1251" s="1678"/>
      <c r="FW1251" s="1678"/>
    </row>
    <row r="1252" spans="1:179" s="1484" customFormat="1" ht="15" x14ac:dyDescent="0.25">
      <c r="A1252" s="2032"/>
      <c r="B1252" s="1631" t="s">
        <v>640</v>
      </c>
      <c r="C1252" s="2805" t="s">
        <v>2500</v>
      </c>
      <c r="D1252" s="2805"/>
      <c r="E1252" s="2805"/>
      <c r="F1252" s="1683"/>
      <c r="G1252" s="1641"/>
      <c r="H1252" s="1641"/>
      <c r="I1252" s="1641"/>
      <c r="J1252" s="1654">
        <v>0.57999999999999996</v>
      </c>
      <c r="K1252" s="1641"/>
      <c r="L1252" s="1654">
        <v>0.69</v>
      </c>
      <c r="M1252" s="1655">
        <v>35.75</v>
      </c>
      <c r="N1252" s="2039">
        <v>24.67</v>
      </c>
      <c r="EW1252" s="2031"/>
      <c r="EX1252" s="1619"/>
      <c r="EY1252" s="1628"/>
      <c r="EZ1252" s="1628"/>
      <c r="FA1252" s="1628"/>
      <c r="FE1252" s="1864" t="s">
        <v>2500</v>
      </c>
      <c r="FH1252" s="1628"/>
      <c r="FU1252" s="1678"/>
      <c r="FW1252" s="1678"/>
    </row>
    <row r="1253" spans="1:179" s="1484" customFormat="1" ht="15" x14ac:dyDescent="0.25">
      <c r="A1253" s="2032"/>
      <c r="B1253" s="1631" t="s">
        <v>232</v>
      </c>
      <c r="C1253" s="2805" t="s">
        <v>829</v>
      </c>
      <c r="D1253" s="2805"/>
      <c r="E1253" s="2805"/>
      <c r="F1253" s="1683"/>
      <c r="G1253" s="1641"/>
      <c r="H1253" s="1641"/>
      <c r="I1253" s="1641"/>
      <c r="J1253" s="1654">
        <v>1.84</v>
      </c>
      <c r="K1253" s="1641"/>
      <c r="L1253" s="1654">
        <v>2.19</v>
      </c>
      <c r="M1253" s="1655">
        <v>9.14</v>
      </c>
      <c r="N1253" s="2039">
        <v>20.02</v>
      </c>
      <c r="EW1253" s="2031"/>
      <c r="EX1253" s="1619"/>
      <c r="EY1253" s="1628"/>
      <c r="EZ1253" s="1628"/>
      <c r="FA1253" s="1628"/>
      <c r="FE1253" s="1864" t="s">
        <v>829</v>
      </c>
      <c r="FH1253" s="1628"/>
      <c r="FU1253" s="1678"/>
      <c r="FW1253" s="1678"/>
    </row>
    <row r="1254" spans="1:179" s="1484" customFormat="1" ht="15" x14ac:dyDescent="0.25">
      <c r="A1254" s="2033"/>
      <c r="B1254" s="1631"/>
      <c r="C1254" s="2805" t="s">
        <v>2524</v>
      </c>
      <c r="D1254" s="2805"/>
      <c r="E1254" s="2805"/>
      <c r="F1254" s="1683" t="s">
        <v>807</v>
      </c>
      <c r="G1254" s="1655">
        <v>3.69</v>
      </c>
      <c r="H1254" s="1641"/>
      <c r="I1254" s="2035">
        <v>4.3910999999999998</v>
      </c>
      <c r="J1254" s="1640"/>
      <c r="K1254" s="1641"/>
      <c r="L1254" s="1640"/>
      <c r="M1254" s="1641"/>
      <c r="N1254" s="1681"/>
      <c r="EW1254" s="2031"/>
      <c r="EX1254" s="1619"/>
      <c r="EY1254" s="1628"/>
      <c r="EZ1254" s="1628"/>
      <c r="FA1254" s="1628"/>
      <c r="FF1254" s="1864" t="s">
        <v>2524</v>
      </c>
      <c r="FH1254" s="1628"/>
      <c r="FU1254" s="1678"/>
      <c r="FW1254" s="1678"/>
    </row>
    <row r="1255" spans="1:179" s="1484" customFormat="1" ht="15" x14ac:dyDescent="0.25">
      <c r="A1255" s="2033"/>
      <c r="B1255" s="1631"/>
      <c r="C1255" s="2805" t="s">
        <v>2501</v>
      </c>
      <c r="D1255" s="2805"/>
      <c r="E1255" s="2805"/>
      <c r="F1255" s="1683" t="s">
        <v>807</v>
      </c>
      <c r="G1255" s="1655">
        <v>0.05</v>
      </c>
      <c r="H1255" s="1641"/>
      <c r="I1255" s="2035">
        <v>5.9499999999999997E-2</v>
      </c>
      <c r="J1255" s="1640"/>
      <c r="K1255" s="1641"/>
      <c r="L1255" s="1640"/>
      <c r="M1255" s="1641"/>
      <c r="N1255" s="1681"/>
      <c r="EW1255" s="2031"/>
      <c r="EX1255" s="1619"/>
      <c r="EY1255" s="1628"/>
      <c r="EZ1255" s="1628"/>
      <c r="FA1255" s="1628"/>
      <c r="FF1255" s="1864" t="s">
        <v>2501</v>
      </c>
      <c r="FH1255" s="1628"/>
      <c r="FU1255" s="1678"/>
      <c r="FW1255" s="1678"/>
    </row>
    <row r="1256" spans="1:179" s="1484" customFormat="1" ht="15" x14ac:dyDescent="0.25">
      <c r="A1256" s="2032"/>
      <c r="B1256" s="1631"/>
      <c r="C1256" s="2917" t="s">
        <v>2502</v>
      </c>
      <c r="D1256" s="2917"/>
      <c r="E1256" s="2917"/>
      <c r="F1256" s="2036"/>
      <c r="G1256" s="2037"/>
      <c r="H1256" s="2037"/>
      <c r="I1256" s="2037"/>
      <c r="J1256" s="2044">
        <v>57.85</v>
      </c>
      <c r="K1256" s="2037"/>
      <c r="L1256" s="2044">
        <v>78.92</v>
      </c>
      <c r="M1256" s="2037"/>
      <c r="N1256" s="2068">
        <v>2136.52</v>
      </c>
      <c r="EW1256" s="2031"/>
      <c r="EX1256" s="1619"/>
      <c r="EY1256" s="1628"/>
      <c r="EZ1256" s="1628"/>
      <c r="FA1256" s="1628"/>
      <c r="FG1256" s="1864" t="s">
        <v>2502</v>
      </c>
      <c r="FH1256" s="1628"/>
      <c r="FU1256" s="1678"/>
      <c r="FW1256" s="1678"/>
    </row>
    <row r="1257" spans="1:179" s="1484" customFormat="1" ht="15" x14ac:dyDescent="0.25">
      <c r="A1257" s="2033" t="s">
        <v>8180</v>
      </c>
      <c r="B1257" s="1631"/>
      <c r="C1257" s="2805" t="s">
        <v>7964</v>
      </c>
      <c r="D1257" s="2805"/>
      <c r="E1257" s="2805"/>
      <c r="F1257" s="1683" t="s">
        <v>5928</v>
      </c>
      <c r="G1257" s="1641"/>
      <c r="H1257" s="1641"/>
      <c r="I1257" s="1641"/>
      <c r="J1257" s="1640"/>
      <c r="K1257" s="1641"/>
      <c r="L1257" s="1654">
        <v>0.17</v>
      </c>
      <c r="M1257" s="1641"/>
      <c r="N1257" s="2039">
        <v>6.08</v>
      </c>
      <c r="EW1257" s="2031"/>
      <c r="EX1257" s="1619"/>
      <c r="EY1257" s="1628"/>
      <c r="EZ1257" s="1628"/>
      <c r="FA1257" s="1628"/>
      <c r="FF1257" s="1864" t="s">
        <v>7964</v>
      </c>
      <c r="FH1257" s="1628"/>
      <c r="FU1257" s="1678"/>
      <c r="FW1257" s="1678"/>
    </row>
    <row r="1258" spans="1:179" s="1484" customFormat="1" ht="15" x14ac:dyDescent="0.25">
      <c r="A1258" s="2033"/>
      <c r="B1258" s="1631"/>
      <c r="C1258" s="2805" t="s">
        <v>7965</v>
      </c>
      <c r="D1258" s="2805"/>
      <c r="E1258" s="2805"/>
      <c r="F1258" s="1683" t="s">
        <v>5928</v>
      </c>
      <c r="G1258" s="1641"/>
      <c r="H1258" s="1641"/>
      <c r="I1258" s="1641"/>
      <c r="J1258" s="1654">
        <v>0.57999999999999996</v>
      </c>
      <c r="K1258" s="1655">
        <v>0.25</v>
      </c>
      <c r="L1258" s="1654">
        <v>0.17</v>
      </c>
      <c r="M1258" s="1655">
        <v>35.75</v>
      </c>
      <c r="N1258" s="2039">
        <v>6.08</v>
      </c>
      <c r="EW1258" s="2031"/>
      <c r="EX1258" s="1619"/>
      <c r="EY1258" s="1628"/>
      <c r="EZ1258" s="1628"/>
      <c r="FA1258" s="1628"/>
      <c r="FF1258" s="1864" t="s">
        <v>7965</v>
      </c>
      <c r="FH1258" s="1628"/>
      <c r="FU1258" s="1678"/>
      <c r="FW1258" s="1678"/>
    </row>
    <row r="1259" spans="1:179" s="1484" customFormat="1" ht="15" x14ac:dyDescent="0.25">
      <c r="A1259" s="2033"/>
      <c r="B1259" s="1631"/>
      <c r="C1259" s="2805" t="s">
        <v>867</v>
      </c>
      <c r="D1259" s="2805"/>
      <c r="E1259" s="2805"/>
      <c r="F1259" s="1683"/>
      <c r="G1259" s="1641"/>
      <c r="H1259" s="1641"/>
      <c r="I1259" s="1641"/>
      <c r="J1259" s="1640"/>
      <c r="K1259" s="1641"/>
      <c r="L1259" s="1654">
        <v>51.24</v>
      </c>
      <c r="M1259" s="1641"/>
      <c r="N1259" s="1679">
        <v>1831.84</v>
      </c>
      <c r="EW1259" s="2031"/>
      <c r="EX1259" s="1619"/>
      <c r="EY1259" s="1628"/>
      <c r="EZ1259" s="1628"/>
      <c r="FA1259" s="1628"/>
      <c r="FF1259" s="1864" t="s">
        <v>867</v>
      </c>
      <c r="FH1259" s="1628"/>
      <c r="FU1259" s="1678"/>
      <c r="FW1259" s="1678"/>
    </row>
    <row r="1260" spans="1:179" s="1484" customFormat="1" ht="15" x14ac:dyDescent="0.25">
      <c r="A1260" s="2033"/>
      <c r="B1260" s="1631" t="s">
        <v>7966</v>
      </c>
      <c r="C1260" s="2805" t="s">
        <v>7967</v>
      </c>
      <c r="D1260" s="2805"/>
      <c r="E1260" s="2805"/>
      <c r="F1260" s="1683" t="s">
        <v>636</v>
      </c>
      <c r="G1260" s="2034">
        <v>100</v>
      </c>
      <c r="H1260" s="1641"/>
      <c r="I1260" s="2034">
        <v>100</v>
      </c>
      <c r="J1260" s="1640"/>
      <c r="K1260" s="1641"/>
      <c r="L1260" s="1654">
        <v>51.24</v>
      </c>
      <c r="M1260" s="1641"/>
      <c r="N1260" s="1679">
        <v>1831.84</v>
      </c>
      <c r="EW1260" s="2031"/>
      <c r="EX1260" s="1619"/>
      <c r="EY1260" s="1628"/>
      <c r="EZ1260" s="1628"/>
      <c r="FA1260" s="1628"/>
      <c r="FF1260" s="1864" t="s">
        <v>7967</v>
      </c>
      <c r="FH1260" s="1628"/>
      <c r="FU1260" s="1678"/>
      <c r="FW1260" s="1678"/>
    </row>
    <row r="1261" spans="1:179" s="1484" customFormat="1" ht="15" x14ac:dyDescent="0.25">
      <c r="A1261" s="2033"/>
      <c r="B1261" s="1631" t="s">
        <v>7968</v>
      </c>
      <c r="C1261" s="2805" t="s">
        <v>7969</v>
      </c>
      <c r="D1261" s="2805"/>
      <c r="E1261" s="2805"/>
      <c r="F1261" s="1683" t="s">
        <v>636</v>
      </c>
      <c r="G1261" s="2034">
        <v>49</v>
      </c>
      <c r="H1261" s="1641"/>
      <c r="I1261" s="2034">
        <v>49</v>
      </c>
      <c r="J1261" s="1640"/>
      <c r="K1261" s="1641"/>
      <c r="L1261" s="1654">
        <v>25.11</v>
      </c>
      <c r="M1261" s="1641"/>
      <c r="N1261" s="2039">
        <v>897.6</v>
      </c>
      <c r="EW1261" s="2031"/>
      <c r="EX1261" s="1619"/>
      <c r="EY1261" s="1628"/>
      <c r="EZ1261" s="1628"/>
      <c r="FA1261" s="1628"/>
      <c r="FF1261" s="1864" t="s">
        <v>7969</v>
      </c>
      <c r="FH1261" s="1628"/>
      <c r="FU1261" s="1678"/>
      <c r="FW1261" s="1678"/>
    </row>
    <row r="1262" spans="1:179" s="1484" customFormat="1" ht="15" x14ac:dyDescent="0.25">
      <c r="A1262" s="1650"/>
      <c r="B1262" s="1651"/>
      <c r="C1262" s="2803" t="s">
        <v>872</v>
      </c>
      <c r="D1262" s="2803"/>
      <c r="E1262" s="2803"/>
      <c r="F1262" s="1621"/>
      <c r="G1262" s="1622"/>
      <c r="H1262" s="1622"/>
      <c r="I1262" s="1622"/>
      <c r="J1262" s="1625"/>
      <c r="K1262" s="1622"/>
      <c r="L1262" s="2040">
        <v>155.44</v>
      </c>
      <c r="M1262" s="2037"/>
      <c r="N1262" s="1649">
        <v>4872.04</v>
      </c>
      <c r="EW1262" s="2031"/>
      <c r="EX1262" s="1619"/>
      <c r="EY1262" s="1628"/>
      <c r="EZ1262" s="1628"/>
      <c r="FA1262" s="1628"/>
      <c r="FH1262" s="1628" t="s">
        <v>872</v>
      </c>
      <c r="FU1262" s="1678"/>
      <c r="FW1262" s="1678"/>
    </row>
    <row r="1263" spans="1:179" s="1484" customFormat="1" ht="33.75" x14ac:dyDescent="0.25">
      <c r="A1263" s="1620" t="s">
        <v>1466</v>
      </c>
      <c r="B1263" s="1863" t="s">
        <v>8062</v>
      </c>
      <c r="C1263" s="2803" t="s">
        <v>4978</v>
      </c>
      <c r="D1263" s="2803"/>
      <c r="E1263" s="2803"/>
      <c r="F1263" s="1621" t="s">
        <v>835</v>
      </c>
      <c r="G1263" s="1622">
        <v>16.422000000000001</v>
      </c>
      <c r="H1263" s="1623">
        <v>1</v>
      </c>
      <c r="I1263" s="2045">
        <v>16.422000000000001</v>
      </c>
      <c r="J1263" s="2040">
        <v>13.08</v>
      </c>
      <c r="K1263" s="1622"/>
      <c r="L1263" s="2040">
        <v>214.8</v>
      </c>
      <c r="M1263" s="1687">
        <v>9.14</v>
      </c>
      <c r="N1263" s="1649">
        <v>1963.27</v>
      </c>
      <c r="EW1263" s="2031"/>
      <c r="EX1263" s="1619"/>
      <c r="EY1263" s="1628" t="s">
        <v>4978</v>
      </c>
      <c r="EZ1263" s="1628" t="s">
        <v>588</v>
      </c>
      <c r="FA1263" s="1628" t="s">
        <v>588</v>
      </c>
      <c r="FH1263" s="1628"/>
      <c r="FU1263" s="1678"/>
      <c r="FW1263" s="1678"/>
    </row>
    <row r="1264" spans="1:179" s="1484" customFormat="1" ht="15" x14ac:dyDescent="0.25">
      <c r="A1264" s="1650"/>
      <c r="B1264" s="1651"/>
      <c r="C1264" s="2805" t="s">
        <v>8689</v>
      </c>
      <c r="D1264" s="2805"/>
      <c r="E1264" s="2805"/>
      <c r="F1264" s="2805"/>
      <c r="G1264" s="2805"/>
      <c r="H1264" s="2805"/>
      <c r="I1264" s="2805"/>
      <c r="J1264" s="2805"/>
      <c r="K1264" s="2805"/>
      <c r="L1264" s="2805"/>
      <c r="M1264" s="2805"/>
      <c r="N1264" s="2806"/>
      <c r="EW1264" s="2031"/>
      <c r="EX1264" s="1619"/>
      <c r="EY1264" s="1628"/>
      <c r="EZ1264" s="1628"/>
      <c r="FA1264" s="1628"/>
      <c r="FH1264" s="1628"/>
      <c r="FI1264" s="1864" t="s">
        <v>8689</v>
      </c>
      <c r="FJ1264" s="1864" t="s">
        <v>588</v>
      </c>
      <c r="FK1264" s="1864" t="s">
        <v>588</v>
      </c>
      <c r="FL1264" s="1864" t="s">
        <v>588</v>
      </c>
      <c r="FM1264" s="1864" t="s">
        <v>588</v>
      </c>
      <c r="FN1264" s="1864" t="s">
        <v>588</v>
      </c>
      <c r="FO1264" s="1864" t="s">
        <v>588</v>
      </c>
      <c r="FP1264" s="1864" t="s">
        <v>588</v>
      </c>
      <c r="FQ1264" s="1864" t="s">
        <v>588</v>
      </c>
      <c r="FR1264" s="1864" t="s">
        <v>588</v>
      </c>
      <c r="FS1264" s="1864" t="s">
        <v>588</v>
      </c>
      <c r="FT1264" s="1864" t="s">
        <v>588</v>
      </c>
      <c r="FU1264" s="1678"/>
      <c r="FW1264" s="1678"/>
    </row>
    <row r="1265" spans="1:179" s="1484" customFormat="1" ht="15" x14ac:dyDescent="0.25">
      <c r="A1265" s="1650"/>
      <c r="B1265" s="1651"/>
      <c r="C1265" s="2803" t="s">
        <v>872</v>
      </c>
      <c r="D1265" s="2803"/>
      <c r="E1265" s="2803"/>
      <c r="F1265" s="1621"/>
      <c r="G1265" s="1622"/>
      <c r="H1265" s="1622"/>
      <c r="I1265" s="1622"/>
      <c r="J1265" s="1625"/>
      <c r="K1265" s="1622"/>
      <c r="L1265" s="2040">
        <v>214.8</v>
      </c>
      <c r="M1265" s="2037"/>
      <c r="N1265" s="1649">
        <v>1963.27</v>
      </c>
      <c r="EW1265" s="2031"/>
      <c r="EX1265" s="1619"/>
      <c r="EY1265" s="1628"/>
      <c r="EZ1265" s="1628"/>
      <c r="FA1265" s="1628"/>
      <c r="FH1265" s="1628" t="s">
        <v>872</v>
      </c>
      <c r="FU1265" s="1678"/>
      <c r="FW1265" s="1678"/>
    </row>
    <row r="1266" spans="1:179" s="1484" customFormat="1" ht="33.75" x14ac:dyDescent="0.25">
      <c r="A1266" s="1620" t="s">
        <v>1468</v>
      </c>
      <c r="B1266" s="1863" t="s">
        <v>8782</v>
      </c>
      <c r="C1266" s="2803" t="s">
        <v>8138</v>
      </c>
      <c r="D1266" s="2803"/>
      <c r="E1266" s="2803"/>
      <c r="F1266" s="1621" t="s">
        <v>2555</v>
      </c>
      <c r="G1266" s="1622">
        <v>1.19</v>
      </c>
      <c r="H1266" s="1623">
        <v>1</v>
      </c>
      <c r="I1266" s="1687">
        <v>1.19</v>
      </c>
      <c r="J1266" s="1625"/>
      <c r="K1266" s="1622"/>
      <c r="L1266" s="1625"/>
      <c r="M1266" s="1622"/>
      <c r="N1266" s="1627"/>
      <c r="EW1266" s="2031"/>
      <c r="EX1266" s="1619"/>
      <c r="EY1266" s="1628" t="s">
        <v>8138</v>
      </c>
      <c r="EZ1266" s="1628" t="s">
        <v>588</v>
      </c>
      <c r="FA1266" s="1628" t="s">
        <v>588</v>
      </c>
      <c r="FH1266" s="1628"/>
      <c r="FU1266" s="1678"/>
      <c r="FW1266" s="1678"/>
    </row>
    <row r="1267" spans="1:179" s="1484" customFormat="1" ht="15" x14ac:dyDescent="0.25">
      <c r="A1267" s="1629"/>
      <c r="B1267" s="1862"/>
      <c r="C1267" s="2805" t="s">
        <v>8817</v>
      </c>
      <c r="D1267" s="2805"/>
      <c r="E1267" s="2805"/>
      <c r="F1267" s="2805"/>
      <c r="G1267" s="2805"/>
      <c r="H1267" s="2805"/>
      <c r="I1267" s="2805"/>
      <c r="J1267" s="2805"/>
      <c r="K1267" s="2805"/>
      <c r="L1267" s="2805"/>
      <c r="M1267" s="2805"/>
      <c r="N1267" s="2806"/>
      <c r="EW1267" s="2031"/>
      <c r="EX1267" s="1619"/>
      <c r="EY1267" s="1628"/>
      <c r="EZ1267" s="1628"/>
      <c r="FA1267" s="1628"/>
      <c r="FB1267" s="1864" t="s">
        <v>8817</v>
      </c>
      <c r="FH1267" s="1628"/>
      <c r="FU1267" s="1678"/>
      <c r="FW1267" s="1678"/>
    </row>
    <row r="1268" spans="1:179" s="1484" customFormat="1" ht="22.5" x14ac:dyDescent="0.25">
      <c r="A1268" s="1630"/>
      <c r="B1268" s="1631" t="s">
        <v>6062</v>
      </c>
      <c r="C1268" s="2809" t="s">
        <v>6063</v>
      </c>
      <c r="D1268" s="2809"/>
      <c r="E1268" s="2809"/>
      <c r="F1268" s="2809"/>
      <c r="G1268" s="2809"/>
      <c r="H1268" s="2809"/>
      <c r="I1268" s="2809"/>
      <c r="J1268" s="2809"/>
      <c r="K1268" s="2809"/>
      <c r="L1268" s="2809"/>
      <c r="M1268" s="2809"/>
      <c r="N1268" s="2810"/>
      <c r="EW1268" s="2031"/>
      <c r="EX1268" s="1619"/>
      <c r="EY1268" s="1628"/>
      <c r="EZ1268" s="1628"/>
      <c r="FA1268" s="1628"/>
      <c r="FC1268" s="1864" t="s">
        <v>6063</v>
      </c>
      <c r="FH1268" s="1628"/>
      <c r="FU1268" s="1678"/>
      <c r="FW1268" s="1678"/>
    </row>
    <row r="1269" spans="1:179" s="1484" customFormat="1" ht="22.5" x14ac:dyDescent="0.25">
      <c r="A1269" s="2033"/>
      <c r="B1269" s="1631" t="s">
        <v>1729</v>
      </c>
      <c r="C1269" s="2805" t="s">
        <v>8712</v>
      </c>
      <c r="D1269" s="2805"/>
      <c r="E1269" s="2805"/>
      <c r="F1269" s="1683" t="s">
        <v>807</v>
      </c>
      <c r="G1269" s="1655">
        <v>3.45</v>
      </c>
      <c r="H1269" s="1641"/>
      <c r="I1269" s="2035">
        <v>4.1055000000000001</v>
      </c>
      <c r="J1269" s="1654">
        <v>8.5299999999999994</v>
      </c>
      <c r="K1269" s="1655">
        <v>1.25</v>
      </c>
      <c r="L1269" s="1654">
        <v>43.77</v>
      </c>
      <c r="M1269" s="1641"/>
      <c r="N1269" s="1681"/>
      <c r="EW1269" s="2031"/>
      <c r="EX1269" s="1619"/>
      <c r="EY1269" s="1628"/>
      <c r="EZ1269" s="1628"/>
      <c r="FA1269" s="1628"/>
      <c r="FD1269" s="1864" t="s">
        <v>8712</v>
      </c>
      <c r="FH1269" s="1628"/>
      <c r="FU1269" s="1678"/>
      <c r="FW1269" s="1678"/>
    </row>
    <row r="1270" spans="1:179" s="1484" customFormat="1" ht="15" x14ac:dyDescent="0.25">
      <c r="A1270" s="2033"/>
      <c r="B1270" s="1631" t="s">
        <v>821</v>
      </c>
      <c r="C1270" s="2805" t="s">
        <v>822</v>
      </c>
      <c r="D1270" s="2805"/>
      <c r="E1270" s="2805"/>
      <c r="F1270" s="1683" t="s">
        <v>4994</v>
      </c>
      <c r="G1270" s="1655">
        <v>0.02</v>
      </c>
      <c r="H1270" s="1641"/>
      <c r="I1270" s="2035">
        <v>2.3800000000000002E-2</v>
      </c>
      <c r="J1270" s="1654">
        <v>65.709999999999994</v>
      </c>
      <c r="K1270" s="1641"/>
      <c r="L1270" s="1654">
        <v>1.56</v>
      </c>
      <c r="M1270" s="1641"/>
      <c r="N1270" s="1681"/>
      <c r="EW1270" s="2031"/>
      <c r="EX1270" s="1619"/>
      <c r="EY1270" s="1628"/>
      <c r="EZ1270" s="1628"/>
      <c r="FA1270" s="1628"/>
      <c r="FD1270" s="1864" t="s">
        <v>822</v>
      </c>
      <c r="FH1270" s="1628"/>
      <c r="FU1270" s="1678"/>
      <c r="FW1270" s="1678"/>
    </row>
    <row r="1271" spans="1:179" s="1484" customFormat="1" ht="15" x14ac:dyDescent="0.25">
      <c r="A1271" s="2033"/>
      <c r="B1271" s="1631" t="s">
        <v>4894</v>
      </c>
      <c r="C1271" s="2805" t="s">
        <v>4895</v>
      </c>
      <c r="D1271" s="2805"/>
      <c r="E1271" s="2805"/>
      <c r="F1271" s="1683" t="s">
        <v>130</v>
      </c>
      <c r="G1271" s="1953">
        <v>122.4</v>
      </c>
      <c r="H1271" s="1641"/>
      <c r="I1271" s="2046">
        <v>145.65600000000001</v>
      </c>
      <c r="J1271" s="1654">
        <v>12.19</v>
      </c>
      <c r="K1271" s="1641"/>
      <c r="L1271" s="1657">
        <v>1775.55</v>
      </c>
      <c r="M1271" s="1641"/>
      <c r="N1271" s="1681"/>
      <c r="EW1271" s="2031"/>
      <c r="EX1271" s="1619"/>
      <c r="EY1271" s="1628"/>
      <c r="EZ1271" s="1628"/>
      <c r="FA1271" s="1628"/>
      <c r="FD1271" s="1864" t="s">
        <v>4895</v>
      </c>
      <c r="FH1271" s="1628"/>
      <c r="FU1271" s="1678"/>
      <c r="FW1271" s="1678"/>
    </row>
    <row r="1272" spans="1:179" s="1484" customFormat="1" ht="15" x14ac:dyDescent="0.25">
      <c r="A1272" s="2032"/>
      <c r="B1272" s="1631" t="s">
        <v>190</v>
      </c>
      <c r="C1272" s="2805" t="s">
        <v>2523</v>
      </c>
      <c r="D1272" s="2805"/>
      <c r="E1272" s="2805"/>
      <c r="F1272" s="1683"/>
      <c r="G1272" s="1641"/>
      <c r="H1272" s="1641"/>
      <c r="I1272" s="1641"/>
      <c r="J1272" s="1654">
        <v>29.43</v>
      </c>
      <c r="K1272" s="1655">
        <v>1.25</v>
      </c>
      <c r="L1272" s="1654">
        <v>43.78</v>
      </c>
      <c r="M1272" s="1655">
        <v>35.75</v>
      </c>
      <c r="N1272" s="1679">
        <v>1565.14</v>
      </c>
      <c r="EW1272" s="2031"/>
      <c r="EX1272" s="1619"/>
      <c r="EY1272" s="1628"/>
      <c r="EZ1272" s="1628"/>
      <c r="FA1272" s="1628"/>
      <c r="FE1272" s="1864" t="s">
        <v>2523</v>
      </c>
      <c r="FH1272" s="1628"/>
      <c r="FU1272" s="1678"/>
      <c r="FW1272" s="1678"/>
    </row>
    <row r="1273" spans="1:179" s="1484" customFormat="1" ht="15" x14ac:dyDescent="0.25">
      <c r="A1273" s="2032"/>
      <c r="B1273" s="1631" t="s">
        <v>639</v>
      </c>
      <c r="C1273" s="2805" t="s">
        <v>697</v>
      </c>
      <c r="D1273" s="2805"/>
      <c r="E1273" s="2805"/>
      <c r="F1273" s="1683"/>
      <c r="G1273" s="1641"/>
      <c r="H1273" s="1641"/>
      <c r="I1273" s="1641"/>
      <c r="J1273" s="1654">
        <v>1.31</v>
      </c>
      <c r="K1273" s="1641"/>
      <c r="L1273" s="1654">
        <v>1.56</v>
      </c>
      <c r="M1273" s="1655">
        <v>11.97</v>
      </c>
      <c r="N1273" s="2039">
        <v>18.670000000000002</v>
      </c>
      <c r="EW1273" s="2031"/>
      <c r="EX1273" s="1619"/>
      <c r="EY1273" s="1628"/>
      <c r="EZ1273" s="1628"/>
      <c r="FA1273" s="1628"/>
      <c r="FE1273" s="1864" t="s">
        <v>697</v>
      </c>
      <c r="FH1273" s="1628"/>
      <c r="FU1273" s="1678"/>
      <c r="FW1273" s="1678"/>
    </row>
    <row r="1274" spans="1:179" s="1484" customFormat="1" ht="15" x14ac:dyDescent="0.25">
      <c r="A1274" s="2032"/>
      <c r="B1274" s="1631" t="s">
        <v>640</v>
      </c>
      <c r="C1274" s="2805" t="s">
        <v>2500</v>
      </c>
      <c r="D1274" s="2805"/>
      <c r="E1274" s="2805"/>
      <c r="F1274" s="1683"/>
      <c r="G1274" s="1641"/>
      <c r="H1274" s="1641"/>
      <c r="I1274" s="1641"/>
      <c r="J1274" s="1654">
        <v>0.23</v>
      </c>
      <c r="K1274" s="1641"/>
      <c r="L1274" s="1654">
        <v>0.27</v>
      </c>
      <c r="M1274" s="1655">
        <v>35.75</v>
      </c>
      <c r="N1274" s="2039">
        <v>9.65</v>
      </c>
      <c r="EW1274" s="2031"/>
      <c r="EX1274" s="1619"/>
      <c r="EY1274" s="1628"/>
      <c r="EZ1274" s="1628"/>
      <c r="FA1274" s="1628"/>
      <c r="FE1274" s="1864" t="s">
        <v>2500</v>
      </c>
      <c r="FH1274" s="1628"/>
      <c r="FU1274" s="1678"/>
      <c r="FW1274" s="1678"/>
    </row>
    <row r="1275" spans="1:179" s="1484" customFormat="1" ht="15" x14ac:dyDescent="0.25">
      <c r="A1275" s="2032"/>
      <c r="B1275" s="1631" t="s">
        <v>232</v>
      </c>
      <c r="C1275" s="2805" t="s">
        <v>829</v>
      </c>
      <c r="D1275" s="2805"/>
      <c r="E1275" s="2805"/>
      <c r="F1275" s="1683"/>
      <c r="G1275" s="1641"/>
      <c r="H1275" s="1641"/>
      <c r="I1275" s="1641"/>
      <c r="J1275" s="1657">
        <v>1492.06</v>
      </c>
      <c r="K1275" s="1641"/>
      <c r="L1275" s="1657">
        <v>1775.55</v>
      </c>
      <c r="M1275" s="1655">
        <v>9.14</v>
      </c>
      <c r="N1275" s="1679">
        <v>16228.53</v>
      </c>
      <c r="EW1275" s="2031"/>
      <c r="EX1275" s="1619"/>
      <c r="EY1275" s="1628"/>
      <c r="EZ1275" s="1628"/>
      <c r="FA1275" s="1628"/>
      <c r="FE1275" s="1864" t="s">
        <v>829</v>
      </c>
      <c r="FH1275" s="1628"/>
      <c r="FU1275" s="1678"/>
      <c r="FW1275" s="1678"/>
    </row>
    <row r="1276" spans="1:179" s="1484" customFormat="1" ht="15" x14ac:dyDescent="0.25">
      <c r="A1276" s="2033"/>
      <c r="B1276" s="1631"/>
      <c r="C1276" s="2805" t="s">
        <v>2524</v>
      </c>
      <c r="D1276" s="2805"/>
      <c r="E1276" s="2805"/>
      <c r="F1276" s="1683" t="s">
        <v>807</v>
      </c>
      <c r="G1276" s="1655">
        <v>3.45</v>
      </c>
      <c r="H1276" s="1641"/>
      <c r="I1276" s="2035">
        <v>4.1055000000000001</v>
      </c>
      <c r="J1276" s="1640"/>
      <c r="K1276" s="1641"/>
      <c r="L1276" s="1640"/>
      <c r="M1276" s="1641"/>
      <c r="N1276" s="1681"/>
      <c r="EW1276" s="2031"/>
      <c r="EX1276" s="1619"/>
      <c r="EY1276" s="1628"/>
      <c r="EZ1276" s="1628"/>
      <c r="FA1276" s="1628"/>
      <c r="FF1276" s="1864" t="s">
        <v>2524</v>
      </c>
      <c r="FH1276" s="1628"/>
      <c r="FU1276" s="1678"/>
      <c r="FW1276" s="1678"/>
    </row>
    <row r="1277" spans="1:179" s="1484" customFormat="1" ht="15" x14ac:dyDescent="0.25">
      <c r="A1277" s="2033"/>
      <c r="B1277" s="1631"/>
      <c r="C1277" s="2805" t="s">
        <v>2501</v>
      </c>
      <c r="D1277" s="2805"/>
      <c r="E1277" s="2805"/>
      <c r="F1277" s="1683" t="s">
        <v>807</v>
      </c>
      <c r="G1277" s="1655">
        <v>0.02</v>
      </c>
      <c r="H1277" s="1641"/>
      <c r="I1277" s="2035">
        <v>2.3800000000000002E-2</v>
      </c>
      <c r="J1277" s="1640"/>
      <c r="K1277" s="1641"/>
      <c r="L1277" s="1640"/>
      <c r="M1277" s="1641"/>
      <c r="N1277" s="1681"/>
      <c r="EW1277" s="2031"/>
      <c r="EX1277" s="1619"/>
      <c r="EY1277" s="1628"/>
      <c r="EZ1277" s="1628"/>
      <c r="FA1277" s="1628"/>
      <c r="FF1277" s="1864" t="s">
        <v>2501</v>
      </c>
      <c r="FH1277" s="1628"/>
      <c r="FU1277" s="1678"/>
      <c r="FW1277" s="1678"/>
    </row>
    <row r="1278" spans="1:179" s="1484" customFormat="1" ht="15" x14ac:dyDescent="0.25">
      <c r="A1278" s="2032"/>
      <c r="B1278" s="1631"/>
      <c r="C1278" s="2917" t="s">
        <v>2502</v>
      </c>
      <c r="D1278" s="2917"/>
      <c r="E1278" s="2917"/>
      <c r="F1278" s="2036"/>
      <c r="G1278" s="2037"/>
      <c r="H1278" s="2037"/>
      <c r="I1278" s="2037"/>
      <c r="J1278" s="2038">
        <v>1522.8</v>
      </c>
      <c r="K1278" s="2037"/>
      <c r="L1278" s="2038">
        <v>1820.89</v>
      </c>
      <c r="M1278" s="2037"/>
      <c r="N1278" s="2068">
        <v>17812.34</v>
      </c>
      <c r="EW1278" s="2031"/>
      <c r="EX1278" s="1619"/>
      <c r="EY1278" s="1628"/>
      <c r="EZ1278" s="1628"/>
      <c r="FA1278" s="1628"/>
      <c r="FG1278" s="1864" t="s">
        <v>2502</v>
      </c>
      <c r="FH1278" s="1628"/>
      <c r="FU1278" s="1678"/>
      <c r="FW1278" s="1678"/>
    </row>
    <row r="1279" spans="1:179" s="1484" customFormat="1" ht="15" x14ac:dyDescent="0.25">
      <c r="A1279" s="2033" t="s">
        <v>8181</v>
      </c>
      <c r="B1279" s="1631"/>
      <c r="C1279" s="2805" t="s">
        <v>7964</v>
      </c>
      <c r="D1279" s="2805"/>
      <c r="E1279" s="2805"/>
      <c r="F1279" s="1683" t="s">
        <v>5928</v>
      </c>
      <c r="G1279" s="1641"/>
      <c r="H1279" s="1641"/>
      <c r="I1279" s="1641"/>
      <c r="J1279" s="1640"/>
      <c r="K1279" s="1641"/>
      <c r="L1279" s="1654">
        <v>7.0000000000000007E-2</v>
      </c>
      <c r="M1279" s="1641"/>
      <c r="N1279" s="2039">
        <v>2.5</v>
      </c>
      <c r="EW1279" s="2031"/>
      <c r="EX1279" s="1619"/>
      <c r="EY1279" s="1628"/>
      <c r="EZ1279" s="1628"/>
      <c r="FA1279" s="1628"/>
      <c r="FF1279" s="1864" t="s">
        <v>7964</v>
      </c>
      <c r="FH1279" s="1628"/>
      <c r="FU1279" s="1678"/>
      <c r="FW1279" s="1678"/>
    </row>
    <row r="1280" spans="1:179" s="1484" customFormat="1" ht="15" x14ac:dyDescent="0.25">
      <c r="A1280" s="2033"/>
      <c r="B1280" s="1631"/>
      <c r="C1280" s="2805" t="s">
        <v>7965</v>
      </c>
      <c r="D1280" s="2805"/>
      <c r="E1280" s="2805"/>
      <c r="F1280" s="1683" t="s">
        <v>5928</v>
      </c>
      <c r="G1280" s="1641"/>
      <c r="H1280" s="1641"/>
      <c r="I1280" s="1641"/>
      <c r="J1280" s="1654">
        <v>0.23</v>
      </c>
      <c r="K1280" s="1655">
        <v>0.25</v>
      </c>
      <c r="L1280" s="1654">
        <v>7.0000000000000007E-2</v>
      </c>
      <c r="M1280" s="1655">
        <v>35.75</v>
      </c>
      <c r="N1280" s="2039">
        <v>2.5</v>
      </c>
      <c r="EW1280" s="2031"/>
      <c r="EX1280" s="1619"/>
      <c r="EY1280" s="1628"/>
      <c r="EZ1280" s="1628"/>
      <c r="FA1280" s="1628"/>
      <c r="FF1280" s="1864" t="s">
        <v>7965</v>
      </c>
      <c r="FH1280" s="1628"/>
      <c r="FU1280" s="1678"/>
      <c r="FW1280" s="1678"/>
    </row>
    <row r="1281" spans="1:179" s="1484" customFormat="1" ht="15" x14ac:dyDescent="0.25">
      <c r="A1281" s="2033"/>
      <c r="B1281" s="1631"/>
      <c r="C1281" s="2805" t="s">
        <v>867</v>
      </c>
      <c r="D1281" s="2805"/>
      <c r="E1281" s="2805"/>
      <c r="F1281" s="1683"/>
      <c r="G1281" s="1641"/>
      <c r="H1281" s="1641"/>
      <c r="I1281" s="1641"/>
      <c r="J1281" s="1640"/>
      <c r="K1281" s="1641"/>
      <c r="L1281" s="1654">
        <v>44.12</v>
      </c>
      <c r="M1281" s="1641"/>
      <c r="N1281" s="1679">
        <v>1577.29</v>
      </c>
      <c r="EW1281" s="2031"/>
      <c r="EX1281" s="1619"/>
      <c r="EY1281" s="1628"/>
      <c r="EZ1281" s="1628"/>
      <c r="FA1281" s="1628"/>
      <c r="FF1281" s="1864" t="s">
        <v>867</v>
      </c>
      <c r="FH1281" s="1628"/>
      <c r="FU1281" s="1678"/>
      <c r="FW1281" s="1678"/>
    </row>
    <row r="1282" spans="1:179" s="1484" customFormat="1" ht="15" x14ac:dyDescent="0.25">
      <c r="A1282" s="2033"/>
      <c r="B1282" s="1631" t="s">
        <v>8054</v>
      </c>
      <c r="C1282" s="2805" t="s">
        <v>8055</v>
      </c>
      <c r="D1282" s="2805"/>
      <c r="E1282" s="2805"/>
      <c r="F1282" s="1683" t="s">
        <v>636</v>
      </c>
      <c r="G1282" s="2034">
        <v>112</v>
      </c>
      <c r="H1282" s="1641"/>
      <c r="I1282" s="2034">
        <v>112</v>
      </c>
      <c r="J1282" s="1640"/>
      <c r="K1282" s="1641"/>
      <c r="L1282" s="1654">
        <v>49.41</v>
      </c>
      <c r="M1282" s="1641"/>
      <c r="N1282" s="1679">
        <v>1766.56</v>
      </c>
      <c r="EW1282" s="2031"/>
      <c r="EX1282" s="1619"/>
      <c r="EY1282" s="1628"/>
      <c r="EZ1282" s="1628"/>
      <c r="FA1282" s="1628"/>
      <c r="FF1282" s="1864" t="s">
        <v>8055</v>
      </c>
      <c r="FH1282" s="1628"/>
      <c r="FU1282" s="1678"/>
      <c r="FW1282" s="1678"/>
    </row>
    <row r="1283" spans="1:179" s="1484" customFormat="1" ht="15" x14ac:dyDescent="0.25">
      <c r="A1283" s="2033"/>
      <c r="B1283" s="1631" t="s">
        <v>8056</v>
      </c>
      <c r="C1283" s="2805" t="s">
        <v>8057</v>
      </c>
      <c r="D1283" s="2805"/>
      <c r="E1283" s="2805"/>
      <c r="F1283" s="1683" t="s">
        <v>636</v>
      </c>
      <c r="G1283" s="2034">
        <v>65</v>
      </c>
      <c r="H1283" s="1641"/>
      <c r="I1283" s="2034">
        <v>65</v>
      </c>
      <c r="J1283" s="1640"/>
      <c r="K1283" s="1641"/>
      <c r="L1283" s="1654">
        <v>28.68</v>
      </c>
      <c r="M1283" s="1641"/>
      <c r="N1283" s="1679">
        <v>1025.24</v>
      </c>
      <c r="EW1283" s="2031"/>
      <c r="EX1283" s="1619"/>
      <c r="EY1283" s="1628"/>
      <c r="EZ1283" s="1628"/>
      <c r="FA1283" s="1628"/>
      <c r="FF1283" s="1864" t="s">
        <v>8057</v>
      </c>
      <c r="FH1283" s="1628"/>
      <c r="FU1283" s="1678"/>
      <c r="FW1283" s="1678"/>
    </row>
    <row r="1284" spans="1:179" s="1484" customFormat="1" ht="15" x14ac:dyDescent="0.25">
      <c r="A1284" s="1650"/>
      <c r="B1284" s="1651"/>
      <c r="C1284" s="2803" t="s">
        <v>872</v>
      </c>
      <c r="D1284" s="2803"/>
      <c r="E1284" s="2803"/>
      <c r="F1284" s="1621"/>
      <c r="G1284" s="1622"/>
      <c r="H1284" s="1622"/>
      <c r="I1284" s="1622"/>
      <c r="J1284" s="1625"/>
      <c r="K1284" s="1622"/>
      <c r="L1284" s="1648">
        <v>1899.05</v>
      </c>
      <c r="M1284" s="2037"/>
      <c r="N1284" s="1649">
        <v>20606.64</v>
      </c>
      <c r="EW1284" s="2031"/>
      <c r="EX1284" s="1619"/>
      <c r="EY1284" s="1628"/>
      <c r="EZ1284" s="1628"/>
      <c r="FA1284" s="1628"/>
      <c r="FH1284" s="1628" t="s">
        <v>872</v>
      </c>
      <c r="FU1284" s="1678"/>
      <c r="FW1284" s="1678"/>
    </row>
    <row r="1285" spans="1:179" s="1484" customFormat="1" ht="22.5" x14ac:dyDescent="0.25">
      <c r="A1285" s="1620" t="s">
        <v>1471</v>
      </c>
      <c r="B1285" s="1863" t="s">
        <v>8182</v>
      </c>
      <c r="C1285" s="2803" t="s">
        <v>8183</v>
      </c>
      <c r="D1285" s="2803"/>
      <c r="E1285" s="2803"/>
      <c r="F1285" s="1621" t="s">
        <v>130</v>
      </c>
      <c r="G1285" s="1622">
        <v>119</v>
      </c>
      <c r="H1285" s="1623">
        <v>1</v>
      </c>
      <c r="I1285" s="1623">
        <v>119</v>
      </c>
      <c r="J1285" s="2040">
        <v>20.8</v>
      </c>
      <c r="K1285" s="1622"/>
      <c r="L1285" s="1648">
        <v>2475.1999999999998</v>
      </c>
      <c r="M1285" s="1687">
        <v>9.14</v>
      </c>
      <c r="N1285" s="1649">
        <v>22623.33</v>
      </c>
      <c r="EW1285" s="2031"/>
      <c r="EX1285" s="1619"/>
      <c r="EY1285" s="1628" t="s">
        <v>8183</v>
      </c>
      <c r="EZ1285" s="1628" t="s">
        <v>588</v>
      </c>
      <c r="FA1285" s="1628" t="s">
        <v>588</v>
      </c>
      <c r="FH1285" s="1628"/>
      <c r="FU1285" s="1678"/>
      <c r="FW1285" s="1678"/>
    </row>
    <row r="1286" spans="1:179" s="1484" customFormat="1" ht="15" x14ac:dyDescent="0.25">
      <c r="A1286" s="1650"/>
      <c r="B1286" s="1651"/>
      <c r="C1286" s="2805" t="s">
        <v>8722</v>
      </c>
      <c r="D1286" s="2805"/>
      <c r="E1286" s="2805"/>
      <c r="F1286" s="2805"/>
      <c r="G1286" s="2805"/>
      <c r="H1286" s="2805"/>
      <c r="I1286" s="2805"/>
      <c r="J1286" s="2805"/>
      <c r="K1286" s="2805"/>
      <c r="L1286" s="2805"/>
      <c r="M1286" s="2805"/>
      <c r="N1286" s="2806"/>
      <c r="EW1286" s="2031"/>
      <c r="EX1286" s="1619"/>
      <c r="EY1286" s="1628"/>
      <c r="EZ1286" s="1628"/>
      <c r="FA1286" s="1628"/>
      <c r="FH1286" s="1628"/>
      <c r="FI1286" s="1864" t="s">
        <v>8722</v>
      </c>
      <c r="FJ1286" s="1864" t="s">
        <v>588</v>
      </c>
      <c r="FK1286" s="1864" t="s">
        <v>588</v>
      </c>
      <c r="FL1286" s="1864" t="s">
        <v>588</v>
      </c>
      <c r="FM1286" s="1864" t="s">
        <v>588</v>
      </c>
      <c r="FN1286" s="1864" t="s">
        <v>588</v>
      </c>
      <c r="FO1286" s="1864" t="s">
        <v>588</v>
      </c>
      <c r="FP1286" s="1864" t="s">
        <v>588</v>
      </c>
      <c r="FQ1286" s="1864" t="s">
        <v>588</v>
      </c>
      <c r="FR1286" s="1864" t="s">
        <v>588</v>
      </c>
      <c r="FS1286" s="1864" t="s">
        <v>588</v>
      </c>
      <c r="FT1286" s="1864" t="s">
        <v>588</v>
      </c>
      <c r="FU1286" s="1678"/>
      <c r="FW1286" s="1678"/>
    </row>
    <row r="1287" spans="1:179" s="1484" customFormat="1" ht="15" x14ac:dyDescent="0.25">
      <c r="A1287" s="1629"/>
      <c r="B1287" s="1862"/>
      <c r="C1287" s="2805" t="s">
        <v>8837</v>
      </c>
      <c r="D1287" s="2805"/>
      <c r="E1287" s="2805"/>
      <c r="F1287" s="2805"/>
      <c r="G1287" s="2805"/>
      <c r="H1287" s="2805"/>
      <c r="I1287" s="2805"/>
      <c r="J1287" s="2805"/>
      <c r="K1287" s="2805"/>
      <c r="L1287" s="2805"/>
      <c r="M1287" s="2805"/>
      <c r="N1287" s="2806"/>
      <c r="EW1287" s="2031"/>
      <c r="EX1287" s="1619"/>
      <c r="EY1287" s="1628"/>
      <c r="EZ1287" s="1628"/>
      <c r="FA1287" s="1628"/>
      <c r="FB1287" s="1864" t="s">
        <v>8837</v>
      </c>
      <c r="FH1287" s="1628"/>
      <c r="FU1287" s="1678"/>
      <c r="FW1287" s="1678"/>
    </row>
    <row r="1288" spans="1:179" s="1484" customFormat="1" ht="15" x14ac:dyDescent="0.25">
      <c r="A1288" s="1650"/>
      <c r="B1288" s="1651"/>
      <c r="C1288" s="2803" t="s">
        <v>872</v>
      </c>
      <c r="D1288" s="2803"/>
      <c r="E1288" s="2803"/>
      <c r="F1288" s="1621"/>
      <c r="G1288" s="1622"/>
      <c r="H1288" s="1622"/>
      <c r="I1288" s="1622"/>
      <c r="J1288" s="1625"/>
      <c r="K1288" s="1622"/>
      <c r="L1288" s="1648">
        <v>2475.1999999999998</v>
      </c>
      <c r="M1288" s="2037"/>
      <c r="N1288" s="1649">
        <v>22623.33</v>
      </c>
      <c r="EW1288" s="2031"/>
      <c r="EX1288" s="1619"/>
      <c r="EY1288" s="1628"/>
      <c r="EZ1288" s="1628"/>
      <c r="FA1288" s="1628"/>
      <c r="FH1288" s="1628" t="s">
        <v>872</v>
      </c>
      <c r="FU1288" s="1678"/>
      <c r="FW1288" s="1678"/>
    </row>
    <row r="1289" spans="1:179" s="1484" customFormat="1" ht="45" x14ac:dyDescent="0.25">
      <c r="A1289" s="1620" t="s">
        <v>1088</v>
      </c>
      <c r="B1289" s="1863" t="s">
        <v>8836</v>
      </c>
      <c r="C1289" s="2803" t="s">
        <v>8184</v>
      </c>
      <c r="D1289" s="2803"/>
      <c r="E1289" s="2803"/>
      <c r="F1289" s="1621" t="s">
        <v>130</v>
      </c>
      <c r="G1289" s="1622">
        <v>121.38</v>
      </c>
      <c r="H1289" s="1623">
        <v>1</v>
      </c>
      <c r="I1289" s="1687">
        <v>121.38</v>
      </c>
      <c r="J1289" s="1648">
        <v>1300.5</v>
      </c>
      <c r="K1289" s="1622"/>
      <c r="L1289" s="1648">
        <v>17270.75</v>
      </c>
      <c r="M1289" s="1687">
        <v>9.14</v>
      </c>
      <c r="N1289" s="1649">
        <v>157854.69</v>
      </c>
      <c r="EW1289" s="2031"/>
      <c r="EX1289" s="1619"/>
      <c r="EY1289" s="1628" t="s">
        <v>8184</v>
      </c>
      <c r="EZ1289" s="1628" t="s">
        <v>588</v>
      </c>
      <c r="FA1289" s="1628" t="s">
        <v>588</v>
      </c>
      <c r="FH1289" s="1628"/>
      <c r="FU1289" s="1678"/>
      <c r="FW1289" s="1678"/>
    </row>
    <row r="1290" spans="1:179" s="1484" customFormat="1" ht="15" x14ac:dyDescent="0.25">
      <c r="A1290" s="1650"/>
      <c r="B1290" s="1651"/>
      <c r="C1290" s="2805" t="s">
        <v>8722</v>
      </c>
      <c r="D1290" s="2805"/>
      <c r="E1290" s="2805"/>
      <c r="F1290" s="2805"/>
      <c r="G1290" s="2805"/>
      <c r="H1290" s="2805"/>
      <c r="I1290" s="2805"/>
      <c r="J1290" s="2805"/>
      <c r="K1290" s="2805"/>
      <c r="L1290" s="2805"/>
      <c r="M1290" s="2805"/>
      <c r="N1290" s="2806"/>
      <c r="EW1290" s="2031"/>
      <c r="EX1290" s="1619"/>
      <c r="EY1290" s="1628"/>
      <c r="EZ1290" s="1628"/>
      <c r="FA1290" s="1628"/>
      <c r="FH1290" s="1628"/>
      <c r="FI1290" s="1864" t="s">
        <v>8722</v>
      </c>
      <c r="FJ1290" s="1864" t="s">
        <v>588</v>
      </c>
      <c r="FK1290" s="1864" t="s">
        <v>588</v>
      </c>
      <c r="FL1290" s="1864" t="s">
        <v>588</v>
      </c>
      <c r="FM1290" s="1864" t="s">
        <v>588</v>
      </c>
      <c r="FN1290" s="1864" t="s">
        <v>588</v>
      </c>
      <c r="FO1290" s="1864" t="s">
        <v>588</v>
      </c>
      <c r="FP1290" s="1864" t="s">
        <v>588</v>
      </c>
      <c r="FQ1290" s="1864" t="s">
        <v>588</v>
      </c>
      <c r="FR1290" s="1864" t="s">
        <v>588</v>
      </c>
      <c r="FS1290" s="1864" t="s">
        <v>588</v>
      </c>
      <c r="FT1290" s="1864" t="s">
        <v>588</v>
      </c>
      <c r="FU1290" s="1678"/>
      <c r="FW1290" s="1678"/>
    </row>
    <row r="1291" spans="1:179" s="1484" customFormat="1" ht="15" x14ac:dyDescent="0.25">
      <c r="A1291" s="1629"/>
      <c r="B1291" s="1862"/>
      <c r="C1291" s="2805" t="s">
        <v>8835</v>
      </c>
      <c r="D1291" s="2805"/>
      <c r="E1291" s="2805"/>
      <c r="F1291" s="2805"/>
      <c r="G1291" s="2805"/>
      <c r="H1291" s="2805"/>
      <c r="I1291" s="2805"/>
      <c r="J1291" s="2805"/>
      <c r="K1291" s="2805"/>
      <c r="L1291" s="2805"/>
      <c r="M1291" s="2805"/>
      <c r="N1291" s="2806"/>
      <c r="EW1291" s="2031"/>
      <c r="EX1291" s="1619"/>
      <c r="EY1291" s="1628"/>
      <c r="EZ1291" s="1628"/>
      <c r="FA1291" s="1628"/>
      <c r="FB1291" s="1864" t="s">
        <v>8835</v>
      </c>
      <c r="FH1291" s="1628"/>
      <c r="FU1291" s="1678"/>
      <c r="FW1291" s="1678"/>
    </row>
    <row r="1292" spans="1:179" s="1484" customFormat="1" ht="15" x14ac:dyDescent="0.25">
      <c r="A1292" s="1650"/>
      <c r="B1292" s="1651"/>
      <c r="C1292" s="2803" t="s">
        <v>872</v>
      </c>
      <c r="D1292" s="2803"/>
      <c r="E1292" s="2803"/>
      <c r="F1292" s="1621"/>
      <c r="G1292" s="1622"/>
      <c r="H1292" s="1622"/>
      <c r="I1292" s="1622"/>
      <c r="J1292" s="1625"/>
      <c r="K1292" s="1622"/>
      <c r="L1292" s="1648">
        <v>17270.75</v>
      </c>
      <c r="M1292" s="2037"/>
      <c r="N1292" s="1649">
        <v>157854.69</v>
      </c>
      <c r="EW1292" s="2031"/>
      <c r="EX1292" s="1619"/>
      <c r="EY1292" s="1628"/>
      <c r="EZ1292" s="1628"/>
      <c r="FA1292" s="1628"/>
      <c r="FH1292" s="1628" t="s">
        <v>872</v>
      </c>
      <c r="FU1292" s="1678"/>
      <c r="FW1292" s="1678"/>
    </row>
    <row r="1293" spans="1:179" s="1484" customFormat="1" ht="15" x14ac:dyDescent="0.25">
      <c r="A1293" s="2811" t="s">
        <v>8185</v>
      </c>
      <c r="B1293" s="2812"/>
      <c r="C1293" s="2812"/>
      <c r="D1293" s="2812"/>
      <c r="E1293" s="2812"/>
      <c r="F1293" s="2812"/>
      <c r="G1293" s="2812"/>
      <c r="H1293" s="2812"/>
      <c r="I1293" s="2812"/>
      <c r="J1293" s="2812"/>
      <c r="K1293" s="2812"/>
      <c r="L1293" s="2812"/>
      <c r="M1293" s="2812"/>
      <c r="N1293" s="2813"/>
      <c r="EW1293" s="2031"/>
      <c r="EX1293" s="1619" t="s">
        <v>8185</v>
      </c>
      <c r="EY1293" s="1628"/>
      <c r="EZ1293" s="1628"/>
      <c r="FA1293" s="1628"/>
      <c r="FH1293" s="1628"/>
      <c r="FU1293" s="1678"/>
      <c r="FW1293" s="1678"/>
    </row>
    <row r="1294" spans="1:179" s="1484" customFormat="1" ht="56.25" x14ac:dyDescent="0.25">
      <c r="A1294" s="1620" t="s">
        <v>8186</v>
      </c>
      <c r="B1294" s="1863" t="s">
        <v>8146</v>
      </c>
      <c r="C1294" s="2803" t="s">
        <v>8147</v>
      </c>
      <c r="D1294" s="2803"/>
      <c r="E1294" s="2803"/>
      <c r="F1294" s="1621" t="s">
        <v>835</v>
      </c>
      <c r="G1294" s="1622">
        <v>168.03072</v>
      </c>
      <c r="H1294" s="1623">
        <v>1</v>
      </c>
      <c r="I1294" s="2048">
        <v>168.03072</v>
      </c>
      <c r="J1294" s="2040">
        <v>23.7</v>
      </c>
      <c r="K1294" s="1622"/>
      <c r="L1294" s="1648">
        <v>3982.33</v>
      </c>
      <c r="M1294" s="1687">
        <v>9.14</v>
      </c>
      <c r="N1294" s="1649">
        <v>36398.5</v>
      </c>
      <c r="EW1294" s="2031"/>
      <c r="EX1294" s="1619"/>
      <c r="EY1294" s="1628" t="s">
        <v>8147</v>
      </c>
      <c r="EZ1294" s="1628" t="s">
        <v>588</v>
      </c>
      <c r="FA1294" s="1628" t="s">
        <v>588</v>
      </c>
      <c r="FH1294" s="1628"/>
      <c r="FU1294" s="1678"/>
      <c r="FW1294" s="1678"/>
    </row>
    <row r="1295" spans="1:179" s="1484" customFormat="1" ht="15" x14ac:dyDescent="0.25">
      <c r="A1295" s="1650"/>
      <c r="B1295" s="1651"/>
      <c r="C1295" s="2805" t="s">
        <v>8722</v>
      </c>
      <c r="D1295" s="2805"/>
      <c r="E1295" s="2805"/>
      <c r="F1295" s="2805"/>
      <c r="G1295" s="2805"/>
      <c r="H1295" s="2805"/>
      <c r="I1295" s="2805"/>
      <c r="J1295" s="2805"/>
      <c r="K1295" s="2805"/>
      <c r="L1295" s="2805"/>
      <c r="M1295" s="2805"/>
      <c r="N1295" s="2806"/>
      <c r="EW1295" s="2031"/>
      <c r="EX1295" s="1619"/>
      <c r="EY1295" s="1628"/>
      <c r="EZ1295" s="1628"/>
      <c r="FA1295" s="1628"/>
      <c r="FH1295" s="1628"/>
      <c r="FI1295" s="1864" t="s">
        <v>8722</v>
      </c>
      <c r="FJ1295" s="1864" t="s">
        <v>588</v>
      </c>
      <c r="FK1295" s="1864" t="s">
        <v>588</v>
      </c>
      <c r="FL1295" s="1864" t="s">
        <v>588</v>
      </c>
      <c r="FM1295" s="1864" t="s">
        <v>588</v>
      </c>
      <c r="FN1295" s="1864" t="s">
        <v>588</v>
      </c>
      <c r="FO1295" s="1864" t="s">
        <v>588</v>
      </c>
      <c r="FP1295" s="1864" t="s">
        <v>588</v>
      </c>
      <c r="FQ1295" s="1864" t="s">
        <v>588</v>
      </c>
      <c r="FR1295" s="1864" t="s">
        <v>588</v>
      </c>
      <c r="FS1295" s="1864" t="s">
        <v>588</v>
      </c>
      <c r="FT1295" s="1864" t="s">
        <v>588</v>
      </c>
      <c r="FU1295" s="1678"/>
      <c r="FW1295" s="1678"/>
    </row>
    <row r="1296" spans="1:179" s="1484" customFormat="1" ht="15" x14ac:dyDescent="0.25">
      <c r="A1296" s="1629"/>
      <c r="B1296" s="1862"/>
      <c r="C1296" s="2805" t="s">
        <v>8834</v>
      </c>
      <c r="D1296" s="2805"/>
      <c r="E1296" s="2805"/>
      <c r="F1296" s="2805"/>
      <c r="G1296" s="2805"/>
      <c r="H1296" s="2805"/>
      <c r="I1296" s="2805"/>
      <c r="J1296" s="2805"/>
      <c r="K1296" s="2805"/>
      <c r="L1296" s="2805"/>
      <c r="M1296" s="2805"/>
      <c r="N1296" s="2806"/>
      <c r="EW1296" s="2031"/>
      <c r="EX1296" s="1619"/>
      <c r="EY1296" s="1628"/>
      <c r="EZ1296" s="1628"/>
      <c r="FA1296" s="1628"/>
      <c r="FB1296" s="1864" t="s">
        <v>8834</v>
      </c>
      <c r="FH1296" s="1628"/>
      <c r="FU1296" s="1678"/>
      <c r="FW1296" s="1678"/>
    </row>
    <row r="1297" spans="1:179" s="1484" customFormat="1" ht="15" x14ac:dyDescent="0.25">
      <c r="A1297" s="1650"/>
      <c r="B1297" s="1651"/>
      <c r="C1297" s="2803" t="s">
        <v>872</v>
      </c>
      <c r="D1297" s="2803"/>
      <c r="E1297" s="2803"/>
      <c r="F1297" s="1621"/>
      <c r="G1297" s="1622"/>
      <c r="H1297" s="1622"/>
      <c r="I1297" s="1622"/>
      <c r="J1297" s="1625"/>
      <c r="K1297" s="1622"/>
      <c r="L1297" s="1648">
        <v>3982.33</v>
      </c>
      <c r="M1297" s="2037"/>
      <c r="N1297" s="1649">
        <v>36398.5</v>
      </c>
      <c r="EW1297" s="2031"/>
      <c r="EX1297" s="1619"/>
      <c r="EY1297" s="1628"/>
      <c r="EZ1297" s="1628"/>
      <c r="FA1297" s="1628"/>
      <c r="FH1297" s="1628" t="s">
        <v>872</v>
      </c>
      <c r="FU1297" s="1678"/>
      <c r="FW1297" s="1678"/>
    </row>
    <row r="1298" spans="1:179" s="1484" customFormat="1" ht="33.75" x14ac:dyDescent="0.25">
      <c r="A1298" s="1620" t="s">
        <v>1499</v>
      </c>
      <c r="B1298" s="1863" t="s">
        <v>8148</v>
      </c>
      <c r="C1298" s="2803" t="s">
        <v>8149</v>
      </c>
      <c r="D1298" s="2803"/>
      <c r="E1298" s="2803"/>
      <c r="F1298" s="1621" t="s">
        <v>2555</v>
      </c>
      <c r="G1298" s="1622">
        <v>0.46800000000000003</v>
      </c>
      <c r="H1298" s="1623">
        <v>1</v>
      </c>
      <c r="I1298" s="2045">
        <v>0.46800000000000003</v>
      </c>
      <c r="J1298" s="1625"/>
      <c r="K1298" s="1622"/>
      <c r="L1298" s="1625"/>
      <c r="M1298" s="1622"/>
      <c r="N1298" s="1627"/>
      <c r="EW1298" s="2031"/>
      <c r="EX1298" s="1619"/>
      <c r="EY1298" s="1628" t="s">
        <v>8149</v>
      </c>
      <c r="EZ1298" s="1628" t="s">
        <v>588</v>
      </c>
      <c r="FA1298" s="1628" t="s">
        <v>588</v>
      </c>
      <c r="FH1298" s="1628"/>
      <c r="FU1298" s="1678"/>
      <c r="FW1298" s="1678"/>
    </row>
    <row r="1299" spans="1:179" s="1484" customFormat="1" ht="15" x14ac:dyDescent="0.25">
      <c r="A1299" s="1629"/>
      <c r="B1299" s="1862"/>
      <c r="C1299" s="2805" t="s">
        <v>8833</v>
      </c>
      <c r="D1299" s="2805"/>
      <c r="E1299" s="2805"/>
      <c r="F1299" s="2805"/>
      <c r="G1299" s="2805"/>
      <c r="H1299" s="2805"/>
      <c r="I1299" s="2805"/>
      <c r="J1299" s="2805"/>
      <c r="K1299" s="2805"/>
      <c r="L1299" s="2805"/>
      <c r="M1299" s="2805"/>
      <c r="N1299" s="2806"/>
      <c r="EW1299" s="2031"/>
      <c r="EX1299" s="1619"/>
      <c r="EY1299" s="1628"/>
      <c r="EZ1299" s="1628"/>
      <c r="FA1299" s="1628"/>
      <c r="FB1299" s="1864" t="s">
        <v>8833</v>
      </c>
      <c r="FH1299" s="1628"/>
      <c r="FU1299" s="1678"/>
      <c r="FW1299" s="1678"/>
    </row>
    <row r="1300" spans="1:179" s="1484" customFormat="1" ht="22.5" x14ac:dyDescent="0.25">
      <c r="A1300" s="1630"/>
      <c r="B1300" s="1631" t="s">
        <v>6062</v>
      </c>
      <c r="C1300" s="2809" t="s">
        <v>6063</v>
      </c>
      <c r="D1300" s="2809"/>
      <c r="E1300" s="2809"/>
      <c r="F1300" s="2809"/>
      <c r="G1300" s="2809"/>
      <c r="H1300" s="2809"/>
      <c r="I1300" s="2809"/>
      <c r="J1300" s="2809"/>
      <c r="K1300" s="2809"/>
      <c r="L1300" s="2809"/>
      <c r="M1300" s="2809"/>
      <c r="N1300" s="2810"/>
      <c r="EW1300" s="2031"/>
      <c r="EX1300" s="1619"/>
      <c r="EY1300" s="1628"/>
      <c r="EZ1300" s="1628"/>
      <c r="FA1300" s="1628"/>
      <c r="FC1300" s="1864" t="s">
        <v>6063</v>
      </c>
      <c r="FH1300" s="1628"/>
      <c r="FU1300" s="1678"/>
      <c r="FW1300" s="1678"/>
    </row>
    <row r="1301" spans="1:179" s="1484" customFormat="1" ht="22.5" x14ac:dyDescent="0.25">
      <c r="A1301" s="2033"/>
      <c r="B1301" s="1631" t="s">
        <v>3260</v>
      </c>
      <c r="C1301" s="2805" t="s">
        <v>8636</v>
      </c>
      <c r="D1301" s="2805"/>
      <c r="E1301" s="2805"/>
      <c r="F1301" s="1683" t="s">
        <v>807</v>
      </c>
      <c r="G1301" s="1655">
        <v>3.69</v>
      </c>
      <c r="H1301" s="1641"/>
      <c r="I1301" s="2042">
        <v>1.72692</v>
      </c>
      <c r="J1301" s="1654">
        <v>9.18</v>
      </c>
      <c r="K1301" s="1655">
        <v>1.25</v>
      </c>
      <c r="L1301" s="1654">
        <v>19.82</v>
      </c>
      <c r="M1301" s="1641"/>
      <c r="N1301" s="1681"/>
      <c r="EW1301" s="2031"/>
      <c r="EX1301" s="1619"/>
      <c r="EY1301" s="1628"/>
      <c r="EZ1301" s="1628"/>
      <c r="FA1301" s="1628"/>
      <c r="FD1301" s="1864" t="s">
        <v>8636</v>
      </c>
      <c r="FH1301" s="1628"/>
      <c r="FU1301" s="1678"/>
      <c r="FW1301" s="1678"/>
    </row>
    <row r="1302" spans="1:179" s="1484" customFormat="1" ht="22.5" x14ac:dyDescent="0.25">
      <c r="A1302" s="2033"/>
      <c r="B1302" s="1631" t="s">
        <v>5008</v>
      </c>
      <c r="C1302" s="2805" t="s">
        <v>5009</v>
      </c>
      <c r="D1302" s="2805"/>
      <c r="E1302" s="2805"/>
      <c r="F1302" s="1683" t="s">
        <v>4994</v>
      </c>
      <c r="G1302" s="1655">
        <v>0.01</v>
      </c>
      <c r="H1302" s="1641"/>
      <c r="I1302" s="2042">
        <v>4.6800000000000001E-3</v>
      </c>
      <c r="J1302" s="1654">
        <v>27.66</v>
      </c>
      <c r="K1302" s="1641"/>
      <c r="L1302" s="1654">
        <v>0.13</v>
      </c>
      <c r="M1302" s="1641"/>
      <c r="N1302" s="1681"/>
      <c r="EW1302" s="2031"/>
      <c r="EX1302" s="1619"/>
      <c r="EY1302" s="1628"/>
      <c r="EZ1302" s="1628"/>
      <c r="FA1302" s="1628"/>
      <c r="FD1302" s="1864" t="s">
        <v>5009</v>
      </c>
      <c r="FH1302" s="1628"/>
      <c r="FU1302" s="1678"/>
      <c r="FW1302" s="1678"/>
    </row>
    <row r="1303" spans="1:179" s="1484" customFormat="1" ht="15" x14ac:dyDescent="0.25">
      <c r="A1303" s="2033"/>
      <c r="B1303" s="1631" t="s">
        <v>821</v>
      </c>
      <c r="C1303" s="2805" t="s">
        <v>822</v>
      </c>
      <c r="D1303" s="2805"/>
      <c r="E1303" s="2805"/>
      <c r="F1303" s="1683" t="s">
        <v>4994</v>
      </c>
      <c r="G1303" s="1655">
        <v>0.04</v>
      </c>
      <c r="H1303" s="1641"/>
      <c r="I1303" s="2042">
        <v>1.8720000000000001E-2</v>
      </c>
      <c r="J1303" s="1654">
        <v>65.709999999999994</v>
      </c>
      <c r="K1303" s="1641"/>
      <c r="L1303" s="1654">
        <v>1.23</v>
      </c>
      <c r="M1303" s="1641"/>
      <c r="N1303" s="1681"/>
      <c r="EW1303" s="2031"/>
      <c r="EX1303" s="1619"/>
      <c r="EY1303" s="1628"/>
      <c r="EZ1303" s="1628"/>
      <c r="FA1303" s="1628"/>
      <c r="FD1303" s="1864" t="s">
        <v>822</v>
      </c>
      <c r="FH1303" s="1628"/>
      <c r="FU1303" s="1678"/>
      <c r="FW1303" s="1678"/>
    </row>
    <row r="1304" spans="1:179" s="1484" customFormat="1" ht="33.75" x14ac:dyDescent="0.25">
      <c r="A1304" s="2033"/>
      <c r="B1304" s="1631" t="s">
        <v>5029</v>
      </c>
      <c r="C1304" s="2805" t="s">
        <v>5030</v>
      </c>
      <c r="D1304" s="2805"/>
      <c r="E1304" s="2805"/>
      <c r="F1304" s="1683" t="s">
        <v>4994</v>
      </c>
      <c r="G1304" s="1655">
        <v>2.82</v>
      </c>
      <c r="H1304" s="1641"/>
      <c r="I1304" s="2042">
        <v>1.31976</v>
      </c>
      <c r="J1304" s="1654">
        <v>6.82</v>
      </c>
      <c r="K1304" s="1641"/>
      <c r="L1304" s="1654">
        <v>9</v>
      </c>
      <c r="M1304" s="1641"/>
      <c r="N1304" s="1681"/>
      <c r="EW1304" s="2031"/>
      <c r="EX1304" s="1619"/>
      <c r="EY1304" s="1628"/>
      <c r="EZ1304" s="1628"/>
      <c r="FA1304" s="1628"/>
      <c r="FD1304" s="1864" t="s">
        <v>5030</v>
      </c>
      <c r="FH1304" s="1628"/>
      <c r="FU1304" s="1678"/>
      <c r="FW1304" s="1678"/>
    </row>
    <row r="1305" spans="1:179" s="1484" customFormat="1" ht="15" x14ac:dyDescent="0.25">
      <c r="A1305" s="2033"/>
      <c r="B1305" s="1631" t="s">
        <v>1755</v>
      </c>
      <c r="C1305" s="2805" t="s">
        <v>2634</v>
      </c>
      <c r="D1305" s="2805"/>
      <c r="E1305" s="2805"/>
      <c r="F1305" s="1683" t="s">
        <v>832</v>
      </c>
      <c r="G1305" s="1655">
        <v>0.01</v>
      </c>
      <c r="H1305" s="1641"/>
      <c r="I1305" s="2042">
        <v>4.6800000000000001E-3</v>
      </c>
      <c r="J1305" s="1654">
        <v>2.44</v>
      </c>
      <c r="K1305" s="1641"/>
      <c r="L1305" s="1654">
        <v>0.01</v>
      </c>
      <c r="M1305" s="1641"/>
      <c r="N1305" s="1681"/>
      <c r="EW1305" s="2031"/>
      <c r="EX1305" s="1619"/>
      <c r="EY1305" s="1628"/>
      <c r="EZ1305" s="1628"/>
      <c r="FA1305" s="1628"/>
      <c r="FD1305" s="1864" t="s">
        <v>2634</v>
      </c>
      <c r="FH1305" s="1628"/>
      <c r="FU1305" s="1678"/>
      <c r="FW1305" s="1678"/>
    </row>
    <row r="1306" spans="1:179" s="1484" customFormat="1" ht="15" x14ac:dyDescent="0.25">
      <c r="A1306" s="2033"/>
      <c r="B1306" s="1631" t="s">
        <v>4922</v>
      </c>
      <c r="C1306" s="2805" t="s">
        <v>8707</v>
      </c>
      <c r="D1306" s="2805"/>
      <c r="E1306" s="2805"/>
      <c r="F1306" s="1683" t="s">
        <v>835</v>
      </c>
      <c r="G1306" s="2034">
        <v>1</v>
      </c>
      <c r="H1306" s="1641"/>
      <c r="I1306" s="2046">
        <v>0.46800000000000003</v>
      </c>
      <c r="J1306" s="1654">
        <v>1.82</v>
      </c>
      <c r="K1306" s="1641"/>
      <c r="L1306" s="1654">
        <v>0.85</v>
      </c>
      <c r="M1306" s="1641"/>
      <c r="N1306" s="1681"/>
      <c r="EW1306" s="2031"/>
      <c r="EX1306" s="1619"/>
      <c r="EY1306" s="1628"/>
      <c r="EZ1306" s="1628"/>
      <c r="FA1306" s="1628"/>
      <c r="FD1306" s="1864" t="s">
        <v>8707</v>
      </c>
      <c r="FH1306" s="1628"/>
      <c r="FU1306" s="1678"/>
      <c r="FW1306" s="1678"/>
    </row>
    <row r="1307" spans="1:179" s="1484" customFormat="1" ht="15" x14ac:dyDescent="0.25">
      <c r="A1307" s="2032"/>
      <c r="B1307" s="1631" t="s">
        <v>190</v>
      </c>
      <c r="C1307" s="2805" t="s">
        <v>2523</v>
      </c>
      <c r="D1307" s="2805"/>
      <c r="E1307" s="2805"/>
      <c r="F1307" s="1683"/>
      <c r="G1307" s="1641"/>
      <c r="H1307" s="1641"/>
      <c r="I1307" s="1641"/>
      <c r="J1307" s="1654">
        <v>33.869999999999997</v>
      </c>
      <c r="K1307" s="1655">
        <v>1.25</v>
      </c>
      <c r="L1307" s="1654">
        <v>19.809999999999999</v>
      </c>
      <c r="M1307" s="1655">
        <v>35.75</v>
      </c>
      <c r="N1307" s="2039">
        <v>708.21</v>
      </c>
      <c r="EW1307" s="2031"/>
      <c r="EX1307" s="1619"/>
      <c r="EY1307" s="1628"/>
      <c r="EZ1307" s="1628"/>
      <c r="FA1307" s="1628"/>
      <c r="FE1307" s="1864" t="s">
        <v>2523</v>
      </c>
      <c r="FH1307" s="1628"/>
      <c r="FU1307" s="1678"/>
      <c r="FW1307" s="1678"/>
    </row>
    <row r="1308" spans="1:179" s="1484" customFormat="1" ht="15" x14ac:dyDescent="0.25">
      <c r="A1308" s="2032"/>
      <c r="B1308" s="1631" t="s">
        <v>639</v>
      </c>
      <c r="C1308" s="2805" t="s">
        <v>697</v>
      </c>
      <c r="D1308" s="2805"/>
      <c r="E1308" s="2805"/>
      <c r="F1308" s="1683"/>
      <c r="G1308" s="1641"/>
      <c r="H1308" s="1641"/>
      <c r="I1308" s="1641"/>
      <c r="J1308" s="1654">
        <v>22.14</v>
      </c>
      <c r="K1308" s="1641"/>
      <c r="L1308" s="1654">
        <v>10.36</v>
      </c>
      <c r="M1308" s="1655">
        <v>11.97</v>
      </c>
      <c r="N1308" s="2039">
        <v>124.01</v>
      </c>
      <c r="EW1308" s="2031"/>
      <c r="EX1308" s="1619"/>
      <c r="EY1308" s="1628"/>
      <c r="EZ1308" s="1628"/>
      <c r="FA1308" s="1628"/>
      <c r="FE1308" s="1864" t="s">
        <v>697</v>
      </c>
      <c r="FH1308" s="1628"/>
      <c r="FU1308" s="1678"/>
      <c r="FW1308" s="1678"/>
    </row>
    <row r="1309" spans="1:179" s="1484" customFormat="1" ht="15" x14ac:dyDescent="0.25">
      <c r="A1309" s="2032"/>
      <c r="B1309" s="1631" t="s">
        <v>640</v>
      </c>
      <c r="C1309" s="2805" t="s">
        <v>2500</v>
      </c>
      <c r="D1309" s="2805"/>
      <c r="E1309" s="2805"/>
      <c r="F1309" s="1683"/>
      <c r="G1309" s="1641"/>
      <c r="H1309" s="1641"/>
      <c r="I1309" s="1641"/>
      <c r="J1309" s="1654">
        <v>0.57999999999999996</v>
      </c>
      <c r="K1309" s="1641"/>
      <c r="L1309" s="1654">
        <v>0.27</v>
      </c>
      <c r="M1309" s="1655">
        <v>35.75</v>
      </c>
      <c r="N1309" s="2039">
        <v>9.65</v>
      </c>
      <c r="EW1309" s="2031"/>
      <c r="EX1309" s="1619"/>
      <c r="EY1309" s="1628"/>
      <c r="EZ1309" s="1628"/>
      <c r="FA1309" s="1628"/>
      <c r="FE1309" s="1864" t="s">
        <v>2500</v>
      </c>
      <c r="FH1309" s="1628"/>
      <c r="FU1309" s="1678"/>
      <c r="FW1309" s="1678"/>
    </row>
    <row r="1310" spans="1:179" s="1484" customFormat="1" ht="15" x14ac:dyDescent="0.25">
      <c r="A1310" s="2032"/>
      <c r="B1310" s="1631" t="s">
        <v>232</v>
      </c>
      <c r="C1310" s="2805" t="s">
        <v>829</v>
      </c>
      <c r="D1310" s="2805"/>
      <c r="E1310" s="2805"/>
      <c r="F1310" s="1683"/>
      <c r="G1310" s="1641"/>
      <c r="H1310" s="1641"/>
      <c r="I1310" s="1641"/>
      <c r="J1310" s="1654">
        <v>1.84</v>
      </c>
      <c r="K1310" s="1641"/>
      <c r="L1310" s="1654">
        <v>0.86</v>
      </c>
      <c r="M1310" s="1655">
        <v>9.14</v>
      </c>
      <c r="N1310" s="2039">
        <v>7.86</v>
      </c>
      <c r="EW1310" s="2031"/>
      <c r="EX1310" s="1619"/>
      <c r="EY1310" s="1628"/>
      <c r="EZ1310" s="1628"/>
      <c r="FA1310" s="1628"/>
      <c r="FE1310" s="1864" t="s">
        <v>829</v>
      </c>
      <c r="FH1310" s="1628"/>
      <c r="FU1310" s="1678"/>
      <c r="FW1310" s="1678"/>
    </row>
    <row r="1311" spans="1:179" s="1484" customFormat="1" ht="15" x14ac:dyDescent="0.25">
      <c r="A1311" s="2033"/>
      <c r="B1311" s="1631"/>
      <c r="C1311" s="2805" t="s">
        <v>2524</v>
      </c>
      <c r="D1311" s="2805"/>
      <c r="E1311" s="2805"/>
      <c r="F1311" s="1683" t="s">
        <v>807</v>
      </c>
      <c r="G1311" s="1655">
        <v>3.69</v>
      </c>
      <c r="H1311" s="1641"/>
      <c r="I1311" s="2042">
        <v>1.72692</v>
      </c>
      <c r="J1311" s="1640"/>
      <c r="K1311" s="1641"/>
      <c r="L1311" s="1640"/>
      <c r="M1311" s="1641"/>
      <c r="N1311" s="1681"/>
      <c r="EW1311" s="2031"/>
      <c r="EX1311" s="1619"/>
      <c r="EY1311" s="1628"/>
      <c r="EZ1311" s="1628"/>
      <c r="FA1311" s="1628"/>
      <c r="FF1311" s="1864" t="s">
        <v>2524</v>
      </c>
      <c r="FH1311" s="1628"/>
      <c r="FU1311" s="1678"/>
      <c r="FW1311" s="1678"/>
    </row>
    <row r="1312" spans="1:179" s="1484" customFormat="1" ht="15" x14ac:dyDescent="0.25">
      <c r="A1312" s="2033"/>
      <c r="B1312" s="1631"/>
      <c r="C1312" s="2805" t="s">
        <v>2501</v>
      </c>
      <c r="D1312" s="2805"/>
      <c r="E1312" s="2805"/>
      <c r="F1312" s="1683" t="s">
        <v>807</v>
      </c>
      <c r="G1312" s="1655">
        <v>0.05</v>
      </c>
      <c r="H1312" s="1641"/>
      <c r="I1312" s="2035">
        <v>2.3400000000000001E-2</v>
      </c>
      <c r="J1312" s="1640"/>
      <c r="K1312" s="1641"/>
      <c r="L1312" s="1640"/>
      <c r="M1312" s="1641"/>
      <c r="N1312" s="1681"/>
      <c r="EW1312" s="2031"/>
      <c r="EX1312" s="1619"/>
      <c r="EY1312" s="1628"/>
      <c r="EZ1312" s="1628"/>
      <c r="FA1312" s="1628"/>
      <c r="FF1312" s="1864" t="s">
        <v>2501</v>
      </c>
      <c r="FH1312" s="1628"/>
      <c r="FU1312" s="1678"/>
      <c r="FW1312" s="1678"/>
    </row>
    <row r="1313" spans="1:179" s="1484" customFormat="1" ht="15" x14ac:dyDescent="0.25">
      <c r="A1313" s="2032"/>
      <c r="B1313" s="1631"/>
      <c r="C1313" s="2917" t="s">
        <v>2502</v>
      </c>
      <c r="D1313" s="2917"/>
      <c r="E1313" s="2917"/>
      <c r="F1313" s="2036"/>
      <c r="G1313" s="2037"/>
      <c r="H1313" s="2037"/>
      <c r="I1313" s="2037"/>
      <c r="J1313" s="2044">
        <v>57.85</v>
      </c>
      <c r="K1313" s="2037"/>
      <c r="L1313" s="2044">
        <v>31.03</v>
      </c>
      <c r="M1313" s="2037"/>
      <c r="N1313" s="2070">
        <v>840.08</v>
      </c>
      <c r="EW1313" s="2031"/>
      <c r="EX1313" s="1619"/>
      <c r="EY1313" s="1628"/>
      <c r="EZ1313" s="1628"/>
      <c r="FA1313" s="1628"/>
      <c r="FG1313" s="1864" t="s">
        <v>2502</v>
      </c>
      <c r="FH1313" s="1628"/>
      <c r="FU1313" s="1678"/>
      <c r="FW1313" s="1678"/>
    </row>
    <row r="1314" spans="1:179" s="1484" customFormat="1" ht="15" x14ac:dyDescent="0.25">
      <c r="A1314" s="2033" t="s">
        <v>8187</v>
      </c>
      <c r="B1314" s="1631"/>
      <c r="C1314" s="2805" t="s">
        <v>7964</v>
      </c>
      <c r="D1314" s="2805"/>
      <c r="E1314" s="2805"/>
      <c r="F1314" s="1683" t="s">
        <v>5928</v>
      </c>
      <c r="G1314" s="1641"/>
      <c r="H1314" s="1641"/>
      <c r="I1314" s="1641"/>
      <c r="J1314" s="1640"/>
      <c r="K1314" s="1641"/>
      <c r="L1314" s="1654">
        <v>7.0000000000000007E-2</v>
      </c>
      <c r="M1314" s="1641"/>
      <c r="N1314" s="2039">
        <v>2.5</v>
      </c>
      <c r="EW1314" s="2031"/>
      <c r="EX1314" s="1619"/>
      <c r="EY1314" s="1628"/>
      <c r="EZ1314" s="1628"/>
      <c r="FA1314" s="1628"/>
      <c r="FF1314" s="1864" t="s">
        <v>7964</v>
      </c>
      <c r="FH1314" s="1628"/>
      <c r="FU1314" s="1678"/>
      <c r="FW1314" s="1678"/>
    </row>
    <row r="1315" spans="1:179" s="1484" customFormat="1" ht="15" x14ac:dyDescent="0.25">
      <c r="A1315" s="2033"/>
      <c r="B1315" s="1631"/>
      <c r="C1315" s="2805" t="s">
        <v>7965</v>
      </c>
      <c r="D1315" s="2805"/>
      <c r="E1315" s="2805"/>
      <c r="F1315" s="1683" t="s">
        <v>5928</v>
      </c>
      <c r="G1315" s="1641"/>
      <c r="H1315" s="1641"/>
      <c r="I1315" s="1641"/>
      <c r="J1315" s="1654">
        <v>0.57999999999999996</v>
      </c>
      <c r="K1315" s="1655">
        <v>0.25</v>
      </c>
      <c r="L1315" s="1654">
        <v>7.0000000000000007E-2</v>
      </c>
      <c r="M1315" s="1655">
        <v>35.75</v>
      </c>
      <c r="N1315" s="2039">
        <v>2.5</v>
      </c>
      <c r="EW1315" s="2031"/>
      <c r="EX1315" s="1619"/>
      <c r="EY1315" s="1628"/>
      <c r="EZ1315" s="1628"/>
      <c r="FA1315" s="1628"/>
      <c r="FF1315" s="1864" t="s">
        <v>7965</v>
      </c>
      <c r="FH1315" s="1628"/>
      <c r="FU1315" s="1678"/>
      <c r="FW1315" s="1678"/>
    </row>
    <row r="1316" spans="1:179" s="1484" customFormat="1" ht="15" x14ac:dyDescent="0.25">
      <c r="A1316" s="2033"/>
      <c r="B1316" s="1631"/>
      <c r="C1316" s="2805" t="s">
        <v>867</v>
      </c>
      <c r="D1316" s="2805"/>
      <c r="E1316" s="2805"/>
      <c r="F1316" s="1683"/>
      <c r="G1316" s="1641"/>
      <c r="H1316" s="1641"/>
      <c r="I1316" s="1641"/>
      <c r="J1316" s="1640"/>
      <c r="K1316" s="1641"/>
      <c r="L1316" s="1654">
        <v>20.149999999999999</v>
      </c>
      <c r="M1316" s="1641"/>
      <c r="N1316" s="2039">
        <v>720.36</v>
      </c>
      <c r="EW1316" s="2031"/>
      <c r="EX1316" s="1619"/>
      <c r="EY1316" s="1628"/>
      <c r="EZ1316" s="1628"/>
      <c r="FA1316" s="1628"/>
      <c r="FF1316" s="1864" t="s">
        <v>867</v>
      </c>
      <c r="FH1316" s="1628"/>
      <c r="FU1316" s="1678"/>
      <c r="FW1316" s="1678"/>
    </row>
    <row r="1317" spans="1:179" s="1484" customFormat="1" ht="15" x14ac:dyDescent="0.25">
      <c r="A1317" s="2033"/>
      <c r="B1317" s="1631" t="s">
        <v>7966</v>
      </c>
      <c r="C1317" s="2805" t="s">
        <v>7967</v>
      </c>
      <c r="D1317" s="2805"/>
      <c r="E1317" s="2805"/>
      <c r="F1317" s="1683" t="s">
        <v>636</v>
      </c>
      <c r="G1317" s="2034">
        <v>100</v>
      </c>
      <c r="H1317" s="1641"/>
      <c r="I1317" s="2034">
        <v>100</v>
      </c>
      <c r="J1317" s="1640"/>
      <c r="K1317" s="1641"/>
      <c r="L1317" s="1654">
        <v>20.149999999999999</v>
      </c>
      <c r="M1317" s="1641"/>
      <c r="N1317" s="2039">
        <v>720.36</v>
      </c>
      <c r="EW1317" s="2031"/>
      <c r="EX1317" s="1619"/>
      <c r="EY1317" s="1628"/>
      <c r="EZ1317" s="1628"/>
      <c r="FA1317" s="1628"/>
      <c r="FF1317" s="1864" t="s">
        <v>7967</v>
      </c>
      <c r="FH1317" s="1628"/>
      <c r="FU1317" s="1678"/>
      <c r="FW1317" s="1678"/>
    </row>
    <row r="1318" spans="1:179" s="1484" customFormat="1" ht="15" x14ac:dyDescent="0.25">
      <c r="A1318" s="2033"/>
      <c r="B1318" s="1631" t="s">
        <v>7968</v>
      </c>
      <c r="C1318" s="2805" t="s">
        <v>7969</v>
      </c>
      <c r="D1318" s="2805"/>
      <c r="E1318" s="2805"/>
      <c r="F1318" s="1683" t="s">
        <v>636</v>
      </c>
      <c r="G1318" s="2034">
        <v>49</v>
      </c>
      <c r="H1318" s="1641"/>
      <c r="I1318" s="2034">
        <v>49</v>
      </c>
      <c r="J1318" s="1640"/>
      <c r="K1318" s="1641"/>
      <c r="L1318" s="1654">
        <v>9.8699999999999992</v>
      </c>
      <c r="M1318" s="1641"/>
      <c r="N1318" s="2039">
        <v>352.98</v>
      </c>
      <c r="EW1318" s="2031"/>
      <c r="EX1318" s="1619"/>
      <c r="EY1318" s="1628"/>
      <c r="EZ1318" s="1628"/>
      <c r="FA1318" s="1628"/>
      <c r="FF1318" s="1864" t="s">
        <v>7969</v>
      </c>
      <c r="FH1318" s="1628"/>
      <c r="FU1318" s="1678"/>
      <c r="FW1318" s="1678"/>
    </row>
    <row r="1319" spans="1:179" s="1484" customFormat="1" ht="15" x14ac:dyDescent="0.25">
      <c r="A1319" s="1650"/>
      <c r="B1319" s="1651"/>
      <c r="C1319" s="2803" t="s">
        <v>872</v>
      </c>
      <c r="D1319" s="2803"/>
      <c r="E1319" s="2803"/>
      <c r="F1319" s="1621"/>
      <c r="G1319" s="1622"/>
      <c r="H1319" s="1622"/>
      <c r="I1319" s="1622"/>
      <c r="J1319" s="1625"/>
      <c r="K1319" s="1622"/>
      <c r="L1319" s="2040">
        <v>61.12</v>
      </c>
      <c r="M1319" s="2037"/>
      <c r="N1319" s="1649">
        <v>1915.92</v>
      </c>
      <c r="EW1319" s="2031"/>
      <c r="EX1319" s="1619"/>
      <c r="EY1319" s="1628"/>
      <c r="EZ1319" s="1628"/>
      <c r="FA1319" s="1628"/>
      <c r="FH1319" s="1628" t="s">
        <v>872</v>
      </c>
      <c r="FU1319" s="1678"/>
      <c r="FW1319" s="1678"/>
    </row>
    <row r="1320" spans="1:179" s="1484" customFormat="1" ht="33.75" x14ac:dyDescent="0.25">
      <c r="A1320" s="1620" t="s">
        <v>1501</v>
      </c>
      <c r="B1320" s="1863" t="s">
        <v>8062</v>
      </c>
      <c r="C1320" s="2803" t="s">
        <v>4978</v>
      </c>
      <c r="D1320" s="2803"/>
      <c r="E1320" s="2803"/>
      <c r="F1320" s="1621" t="s">
        <v>835</v>
      </c>
      <c r="G1320" s="1622">
        <v>6.4584000000000001</v>
      </c>
      <c r="H1320" s="1623">
        <v>1</v>
      </c>
      <c r="I1320" s="2041">
        <v>6.4584000000000001</v>
      </c>
      <c r="J1320" s="2040">
        <v>13.08</v>
      </c>
      <c r="K1320" s="1622"/>
      <c r="L1320" s="2040">
        <v>84.48</v>
      </c>
      <c r="M1320" s="1687">
        <v>9.14</v>
      </c>
      <c r="N1320" s="2069">
        <v>772.15</v>
      </c>
      <c r="EW1320" s="2031"/>
      <c r="EX1320" s="1619"/>
      <c r="EY1320" s="1628" t="s">
        <v>4978</v>
      </c>
      <c r="EZ1320" s="1628" t="s">
        <v>588</v>
      </c>
      <c r="FA1320" s="1628" t="s">
        <v>588</v>
      </c>
      <c r="FH1320" s="1628"/>
      <c r="FU1320" s="1678"/>
      <c r="FW1320" s="1678"/>
    </row>
    <row r="1321" spans="1:179" s="1484" customFormat="1" ht="15" x14ac:dyDescent="0.25">
      <c r="A1321" s="1650"/>
      <c r="B1321" s="1651"/>
      <c r="C1321" s="2805" t="s">
        <v>8689</v>
      </c>
      <c r="D1321" s="2805"/>
      <c r="E1321" s="2805"/>
      <c r="F1321" s="2805"/>
      <c r="G1321" s="2805"/>
      <c r="H1321" s="2805"/>
      <c r="I1321" s="2805"/>
      <c r="J1321" s="2805"/>
      <c r="K1321" s="2805"/>
      <c r="L1321" s="2805"/>
      <c r="M1321" s="2805"/>
      <c r="N1321" s="2806"/>
      <c r="EW1321" s="2031"/>
      <c r="EX1321" s="1619"/>
      <c r="EY1321" s="1628"/>
      <c r="EZ1321" s="1628"/>
      <c r="FA1321" s="1628"/>
      <c r="FH1321" s="1628"/>
      <c r="FI1321" s="1864" t="s">
        <v>8689</v>
      </c>
      <c r="FJ1321" s="1864" t="s">
        <v>588</v>
      </c>
      <c r="FK1321" s="1864" t="s">
        <v>588</v>
      </c>
      <c r="FL1321" s="1864" t="s">
        <v>588</v>
      </c>
      <c r="FM1321" s="1864" t="s">
        <v>588</v>
      </c>
      <c r="FN1321" s="1864" t="s">
        <v>588</v>
      </c>
      <c r="FO1321" s="1864" t="s">
        <v>588</v>
      </c>
      <c r="FP1321" s="1864" t="s">
        <v>588</v>
      </c>
      <c r="FQ1321" s="1864" t="s">
        <v>588</v>
      </c>
      <c r="FR1321" s="1864" t="s">
        <v>588</v>
      </c>
      <c r="FS1321" s="1864" t="s">
        <v>588</v>
      </c>
      <c r="FT1321" s="1864" t="s">
        <v>588</v>
      </c>
      <c r="FU1321" s="1678"/>
      <c r="FW1321" s="1678"/>
    </row>
    <row r="1322" spans="1:179" s="1484" customFormat="1" ht="15" x14ac:dyDescent="0.25">
      <c r="A1322" s="1650"/>
      <c r="B1322" s="1651"/>
      <c r="C1322" s="2803" t="s">
        <v>872</v>
      </c>
      <c r="D1322" s="2803"/>
      <c r="E1322" s="2803"/>
      <c r="F1322" s="1621"/>
      <c r="G1322" s="1622"/>
      <c r="H1322" s="1622"/>
      <c r="I1322" s="1622"/>
      <c r="J1322" s="1625"/>
      <c r="K1322" s="1622"/>
      <c r="L1322" s="2040">
        <v>84.48</v>
      </c>
      <c r="M1322" s="2037"/>
      <c r="N1322" s="2069">
        <v>772.15</v>
      </c>
      <c r="EW1322" s="2031"/>
      <c r="EX1322" s="1619"/>
      <c r="EY1322" s="1628"/>
      <c r="EZ1322" s="1628"/>
      <c r="FA1322" s="1628"/>
      <c r="FH1322" s="1628" t="s">
        <v>872</v>
      </c>
      <c r="FU1322" s="1678"/>
      <c r="FW1322" s="1678"/>
    </row>
    <row r="1323" spans="1:179" s="1484" customFormat="1" ht="15" x14ac:dyDescent="0.25">
      <c r="A1323" s="2811" t="s">
        <v>8188</v>
      </c>
      <c r="B1323" s="2812"/>
      <c r="C1323" s="2812"/>
      <c r="D1323" s="2812"/>
      <c r="E1323" s="2812"/>
      <c r="F1323" s="2812"/>
      <c r="G1323" s="2812"/>
      <c r="H1323" s="2812"/>
      <c r="I1323" s="2812"/>
      <c r="J1323" s="2812"/>
      <c r="K1323" s="2812"/>
      <c r="L1323" s="2812"/>
      <c r="M1323" s="2812"/>
      <c r="N1323" s="2813"/>
      <c r="EW1323" s="2031"/>
      <c r="EX1323" s="1619" t="s">
        <v>8188</v>
      </c>
      <c r="EY1323" s="1628"/>
      <c r="EZ1323" s="1628"/>
      <c r="FA1323" s="1628"/>
      <c r="FH1323" s="1628"/>
      <c r="FU1323" s="1678"/>
      <c r="FW1323" s="1678"/>
    </row>
    <row r="1324" spans="1:179" s="1484" customFormat="1" ht="56.25" x14ac:dyDescent="0.25">
      <c r="A1324" s="1620" t="s">
        <v>8189</v>
      </c>
      <c r="B1324" s="1863" t="s">
        <v>8146</v>
      </c>
      <c r="C1324" s="2803" t="s">
        <v>8147</v>
      </c>
      <c r="D1324" s="2803"/>
      <c r="E1324" s="2803"/>
      <c r="F1324" s="1621" t="s">
        <v>835</v>
      </c>
      <c r="G1324" s="1622">
        <v>53.317439999999998</v>
      </c>
      <c r="H1324" s="1623">
        <v>1</v>
      </c>
      <c r="I1324" s="2048">
        <v>53.317439999999998</v>
      </c>
      <c r="J1324" s="2040">
        <v>23.7</v>
      </c>
      <c r="K1324" s="1622"/>
      <c r="L1324" s="1648">
        <v>1263.6199999999999</v>
      </c>
      <c r="M1324" s="1687">
        <v>9.14</v>
      </c>
      <c r="N1324" s="1649">
        <v>11549.49</v>
      </c>
      <c r="EW1324" s="2031"/>
      <c r="EX1324" s="1619"/>
      <c r="EY1324" s="1628" t="s">
        <v>8147</v>
      </c>
      <c r="EZ1324" s="1628" t="s">
        <v>588</v>
      </c>
      <c r="FA1324" s="1628" t="s">
        <v>588</v>
      </c>
      <c r="FH1324" s="1628"/>
      <c r="FU1324" s="1678"/>
      <c r="FW1324" s="1678"/>
    </row>
    <row r="1325" spans="1:179" s="1484" customFormat="1" ht="15" x14ac:dyDescent="0.25">
      <c r="A1325" s="1650"/>
      <c r="B1325" s="1651"/>
      <c r="C1325" s="2805" t="s">
        <v>8722</v>
      </c>
      <c r="D1325" s="2805"/>
      <c r="E1325" s="2805"/>
      <c r="F1325" s="2805"/>
      <c r="G1325" s="2805"/>
      <c r="H1325" s="2805"/>
      <c r="I1325" s="2805"/>
      <c r="J1325" s="2805"/>
      <c r="K1325" s="2805"/>
      <c r="L1325" s="2805"/>
      <c r="M1325" s="2805"/>
      <c r="N1325" s="2806"/>
      <c r="EW1325" s="2031"/>
      <c r="EX1325" s="1619"/>
      <c r="EY1325" s="1628"/>
      <c r="EZ1325" s="1628"/>
      <c r="FA1325" s="1628"/>
      <c r="FH1325" s="1628"/>
      <c r="FI1325" s="1864" t="s">
        <v>8722</v>
      </c>
      <c r="FJ1325" s="1864" t="s">
        <v>588</v>
      </c>
      <c r="FK1325" s="1864" t="s">
        <v>588</v>
      </c>
      <c r="FL1325" s="1864" t="s">
        <v>588</v>
      </c>
      <c r="FM1325" s="1864" t="s">
        <v>588</v>
      </c>
      <c r="FN1325" s="1864" t="s">
        <v>588</v>
      </c>
      <c r="FO1325" s="1864" t="s">
        <v>588</v>
      </c>
      <c r="FP1325" s="1864" t="s">
        <v>588</v>
      </c>
      <c r="FQ1325" s="1864" t="s">
        <v>588</v>
      </c>
      <c r="FR1325" s="1864" t="s">
        <v>588</v>
      </c>
      <c r="FS1325" s="1864" t="s">
        <v>588</v>
      </c>
      <c r="FT1325" s="1864" t="s">
        <v>588</v>
      </c>
      <c r="FU1325" s="1678"/>
      <c r="FW1325" s="1678"/>
    </row>
    <row r="1326" spans="1:179" s="1484" customFormat="1" ht="15" x14ac:dyDescent="0.25">
      <c r="A1326" s="1629"/>
      <c r="B1326" s="1862"/>
      <c r="C1326" s="2805" t="s">
        <v>8832</v>
      </c>
      <c r="D1326" s="2805"/>
      <c r="E1326" s="2805"/>
      <c r="F1326" s="2805"/>
      <c r="G1326" s="2805"/>
      <c r="H1326" s="2805"/>
      <c r="I1326" s="2805"/>
      <c r="J1326" s="2805"/>
      <c r="K1326" s="2805"/>
      <c r="L1326" s="2805"/>
      <c r="M1326" s="2805"/>
      <c r="N1326" s="2806"/>
      <c r="EW1326" s="2031"/>
      <c r="EX1326" s="1619"/>
      <c r="EY1326" s="1628"/>
      <c r="EZ1326" s="1628"/>
      <c r="FA1326" s="1628"/>
      <c r="FB1326" s="1864" t="s">
        <v>8832</v>
      </c>
      <c r="FH1326" s="1628"/>
      <c r="FU1326" s="1678"/>
      <c r="FW1326" s="1678"/>
    </row>
    <row r="1327" spans="1:179" s="1484" customFormat="1" ht="15" x14ac:dyDescent="0.25">
      <c r="A1327" s="1650"/>
      <c r="B1327" s="1651"/>
      <c r="C1327" s="2803" t="s">
        <v>872</v>
      </c>
      <c r="D1327" s="2803"/>
      <c r="E1327" s="2803"/>
      <c r="F1327" s="1621"/>
      <c r="G1327" s="1622"/>
      <c r="H1327" s="1622"/>
      <c r="I1327" s="1622"/>
      <c r="J1327" s="1625"/>
      <c r="K1327" s="1622"/>
      <c r="L1327" s="1648">
        <v>1263.6199999999999</v>
      </c>
      <c r="M1327" s="2037"/>
      <c r="N1327" s="1649">
        <v>11549.49</v>
      </c>
      <c r="EW1327" s="2031"/>
      <c r="EX1327" s="1619"/>
      <c r="EY1327" s="1628"/>
      <c r="EZ1327" s="1628"/>
      <c r="FA1327" s="1628"/>
      <c r="FH1327" s="1628" t="s">
        <v>872</v>
      </c>
      <c r="FU1327" s="1678"/>
      <c r="FW1327" s="1678"/>
    </row>
    <row r="1328" spans="1:179" s="1484" customFormat="1" ht="33.75" x14ac:dyDescent="0.25">
      <c r="A1328" s="1620" t="s">
        <v>1509</v>
      </c>
      <c r="B1328" s="1863" t="s">
        <v>8148</v>
      </c>
      <c r="C1328" s="2803" t="s">
        <v>8149</v>
      </c>
      <c r="D1328" s="2803"/>
      <c r="E1328" s="2803"/>
      <c r="F1328" s="1621" t="s">
        <v>2555</v>
      </c>
      <c r="G1328" s="1622">
        <v>0.59399999999999997</v>
      </c>
      <c r="H1328" s="1623">
        <v>1</v>
      </c>
      <c r="I1328" s="2045">
        <v>0.59399999999999997</v>
      </c>
      <c r="J1328" s="1625"/>
      <c r="K1328" s="1622"/>
      <c r="L1328" s="1625"/>
      <c r="M1328" s="1622"/>
      <c r="N1328" s="1627"/>
      <c r="EW1328" s="2031"/>
      <c r="EX1328" s="1619"/>
      <c r="EY1328" s="1628" t="s">
        <v>8149</v>
      </c>
      <c r="EZ1328" s="1628" t="s">
        <v>588</v>
      </c>
      <c r="FA1328" s="1628" t="s">
        <v>588</v>
      </c>
      <c r="FH1328" s="1628"/>
      <c r="FU1328" s="1678"/>
      <c r="FW1328" s="1678"/>
    </row>
    <row r="1329" spans="1:179" s="1484" customFormat="1" ht="15" x14ac:dyDescent="0.25">
      <c r="A1329" s="1629"/>
      <c r="B1329" s="1862"/>
      <c r="C1329" s="2805" t="s">
        <v>8831</v>
      </c>
      <c r="D1329" s="2805"/>
      <c r="E1329" s="2805"/>
      <c r="F1329" s="2805"/>
      <c r="G1329" s="2805"/>
      <c r="H1329" s="2805"/>
      <c r="I1329" s="2805"/>
      <c r="J1329" s="2805"/>
      <c r="K1329" s="2805"/>
      <c r="L1329" s="2805"/>
      <c r="M1329" s="2805"/>
      <c r="N1329" s="2806"/>
      <c r="EW1329" s="2031"/>
      <c r="EX1329" s="1619"/>
      <c r="EY1329" s="1628"/>
      <c r="EZ1329" s="1628"/>
      <c r="FA1329" s="1628"/>
      <c r="FB1329" s="1864" t="s">
        <v>8831</v>
      </c>
      <c r="FH1329" s="1628"/>
      <c r="FU1329" s="1678"/>
      <c r="FW1329" s="1678"/>
    </row>
    <row r="1330" spans="1:179" s="1484" customFormat="1" ht="22.5" x14ac:dyDescent="0.25">
      <c r="A1330" s="1630"/>
      <c r="B1330" s="1631" t="s">
        <v>6062</v>
      </c>
      <c r="C1330" s="2809" t="s">
        <v>6063</v>
      </c>
      <c r="D1330" s="2809"/>
      <c r="E1330" s="2809"/>
      <c r="F1330" s="2809"/>
      <c r="G1330" s="2809"/>
      <c r="H1330" s="2809"/>
      <c r="I1330" s="2809"/>
      <c r="J1330" s="2809"/>
      <c r="K1330" s="2809"/>
      <c r="L1330" s="2809"/>
      <c r="M1330" s="2809"/>
      <c r="N1330" s="2810"/>
      <c r="EW1330" s="2031"/>
      <c r="EX1330" s="1619"/>
      <c r="EY1330" s="1628"/>
      <c r="EZ1330" s="1628"/>
      <c r="FA1330" s="1628"/>
      <c r="FC1330" s="1864" t="s">
        <v>6063</v>
      </c>
      <c r="FH1330" s="1628"/>
      <c r="FU1330" s="1678"/>
      <c r="FW1330" s="1678"/>
    </row>
    <row r="1331" spans="1:179" s="1484" customFormat="1" ht="22.5" x14ac:dyDescent="0.25">
      <c r="A1331" s="2033"/>
      <c r="B1331" s="1631" t="s">
        <v>3260</v>
      </c>
      <c r="C1331" s="2805" t="s">
        <v>8636</v>
      </c>
      <c r="D1331" s="2805"/>
      <c r="E1331" s="2805"/>
      <c r="F1331" s="1683" t="s">
        <v>807</v>
      </c>
      <c r="G1331" s="1655">
        <v>3.69</v>
      </c>
      <c r="H1331" s="1641"/>
      <c r="I1331" s="2042">
        <v>2.1918600000000001</v>
      </c>
      <c r="J1331" s="1654">
        <v>9.18</v>
      </c>
      <c r="K1331" s="1655">
        <v>1.25</v>
      </c>
      <c r="L1331" s="1654">
        <v>25.15</v>
      </c>
      <c r="M1331" s="1641"/>
      <c r="N1331" s="1681"/>
      <c r="EW1331" s="2031"/>
      <c r="EX1331" s="1619"/>
      <c r="EY1331" s="1628"/>
      <c r="EZ1331" s="1628"/>
      <c r="FA1331" s="1628"/>
      <c r="FD1331" s="1864" t="s">
        <v>8636</v>
      </c>
      <c r="FH1331" s="1628"/>
      <c r="FU1331" s="1678"/>
      <c r="FW1331" s="1678"/>
    </row>
    <row r="1332" spans="1:179" s="1484" customFormat="1" ht="22.5" x14ac:dyDescent="0.25">
      <c r="A1332" s="2033"/>
      <c r="B1332" s="1631" t="s">
        <v>5008</v>
      </c>
      <c r="C1332" s="2805" t="s">
        <v>5009</v>
      </c>
      <c r="D1332" s="2805"/>
      <c r="E1332" s="2805"/>
      <c r="F1332" s="1683" t="s">
        <v>4994</v>
      </c>
      <c r="G1332" s="1655">
        <v>0.01</v>
      </c>
      <c r="H1332" s="1641"/>
      <c r="I1332" s="2042">
        <v>5.94E-3</v>
      </c>
      <c r="J1332" s="1654">
        <v>27.66</v>
      </c>
      <c r="K1332" s="1641"/>
      <c r="L1332" s="1654">
        <v>0.16</v>
      </c>
      <c r="M1332" s="1641"/>
      <c r="N1332" s="1681"/>
      <c r="EW1332" s="2031"/>
      <c r="EX1332" s="1619"/>
      <c r="EY1332" s="1628"/>
      <c r="EZ1332" s="1628"/>
      <c r="FA1332" s="1628"/>
      <c r="FD1332" s="1864" t="s">
        <v>5009</v>
      </c>
      <c r="FH1332" s="1628"/>
      <c r="FU1332" s="1678"/>
      <c r="FW1332" s="1678"/>
    </row>
    <row r="1333" spans="1:179" s="1484" customFormat="1" ht="15" x14ac:dyDescent="0.25">
      <c r="A1333" s="2033"/>
      <c r="B1333" s="1631" t="s">
        <v>821</v>
      </c>
      <c r="C1333" s="2805" t="s">
        <v>822</v>
      </c>
      <c r="D1333" s="2805"/>
      <c r="E1333" s="2805"/>
      <c r="F1333" s="1683" t="s">
        <v>4994</v>
      </c>
      <c r="G1333" s="1655">
        <v>0.04</v>
      </c>
      <c r="H1333" s="1641"/>
      <c r="I1333" s="2042">
        <v>2.376E-2</v>
      </c>
      <c r="J1333" s="1654">
        <v>65.709999999999994</v>
      </c>
      <c r="K1333" s="1641"/>
      <c r="L1333" s="1654">
        <v>1.56</v>
      </c>
      <c r="M1333" s="1641"/>
      <c r="N1333" s="1681"/>
      <c r="EW1333" s="2031"/>
      <c r="EX1333" s="1619"/>
      <c r="EY1333" s="1628"/>
      <c r="EZ1333" s="1628"/>
      <c r="FA1333" s="1628"/>
      <c r="FD1333" s="1864" t="s">
        <v>822</v>
      </c>
      <c r="FH1333" s="1628"/>
      <c r="FU1333" s="1678"/>
      <c r="FW1333" s="1678"/>
    </row>
    <row r="1334" spans="1:179" s="1484" customFormat="1" ht="33.75" x14ac:dyDescent="0.25">
      <c r="A1334" s="2033"/>
      <c r="B1334" s="1631" t="s">
        <v>5029</v>
      </c>
      <c r="C1334" s="2805" t="s">
        <v>5030</v>
      </c>
      <c r="D1334" s="2805"/>
      <c r="E1334" s="2805"/>
      <c r="F1334" s="1683" t="s">
        <v>4994</v>
      </c>
      <c r="G1334" s="1655">
        <v>2.82</v>
      </c>
      <c r="H1334" s="1641"/>
      <c r="I1334" s="2042">
        <v>1.6750799999999999</v>
      </c>
      <c r="J1334" s="1654">
        <v>6.82</v>
      </c>
      <c r="K1334" s="1641"/>
      <c r="L1334" s="1654">
        <v>11.42</v>
      </c>
      <c r="M1334" s="1641"/>
      <c r="N1334" s="1681"/>
      <c r="EW1334" s="2031"/>
      <c r="EX1334" s="1619"/>
      <c r="EY1334" s="1628"/>
      <c r="EZ1334" s="1628"/>
      <c r="FA1334" s="1628"/>
      <c r="FD1334" s="1864" t="s">
        <v>5030</v>
      </c>
      <c r="FH1334" s="1628"/>
      <c r="FU1334" s="1678"/>
      <c r="FW1334" s="1678"/>
    </row>
    <row r="1335" spans="1:179" s="1484" customFormat="1" ht="15" x14ac:dyDescent="0.25">
      <c r="A1335" s="2033"/>
      <c r="B1335" s="1631" t="s">
        <v>1755</v>
      </c>
      <c r="C1335" s="2805" t="s">
        <v>2634</v>
      </c>
      <c r="D1335" s="2805"/>
      <c r="E1335" s="2805"/>
      <c r="F1335" s="1683" t="s">
        <v>832</v>
      </c>
      <c r="G1335" s="1655">
        <v>0.01</v>
      </c>
      <c r="H1335" s="1641"/>
      <c r="I1335" s="2042">
        <v>5.94E-3</v>
      </c>
      <c r="J1335" s="1654">
        <v>2.44</v>
      </c>
      <c r="K1335" s="1641"/>
      <c r="L1335" s="1654">
        <v>0.01</v>
      </c>
      <c r="M1335" s="1641"/>
      <c r="N1335" s="1681"/>
      <c r="EW1335" s="2031"/>
      <c r="EX1335" s="1619"/>
      <c r="EY1335" s="1628"/>
      <c r="EZ1335" s="1628"/>
      <c r="FA1335" s="1628"/>
      <c r="FD1335" s="1864" t="s">
        <v>2634</v>
      </c>
      <c r="FH1335" s="1628"/>
      <c r="FU1335" s="1678"/>
      <c r="FW1335" s="1678"/>
    </row>
    <row r="1336" spans="1:179" s="1484" customFormat="1" ht="15" x14ac:dyDescent="0.25">
      <c r="A1336" s="2033"/>
      <c r="B1336" s="1631" t="s">
        <v>4922</v>
      </c>
      <c r="C1336" s="2805" t="s">
        <v>8707</v>
      </c>
      <c r="D1336" s="2805"/>
      <c r="E1336" s="2805"/>
      <c r="F1336" s="1683" t="s">
        <v>835</v>
      </c>
      <c r="G1336" s="2034">
        <v>1</v>
      </c>
      <c r="H1336" s="1641"/>
      <c r="I1336" s="2046">
        <v>0.59399999999999997</v>
      </c>
      <c r="J1336" s="1654">
        <v>1.82</v>
      </c>
      <c r="K1336" s="1641"/>
      <c r="L1336" s="1654">
        <v>1.08</v>
      </c>
      <c r="M1336" s="1641"/>
      <c r="N1336" s="1681"/>
      <c r="EW1336" s="2031"/>
      <c r="EX1336" s="1619"/>
      <c r="EY1336" s="1628"/>
      <c r="EZ1336" s="1628"/>
      <c r="FA1336" s="1628"/>
      <c r="FD1336" s="1864" t="s">
        <v>8707</v>
      </c>
      <c r="FH1336" s="1628"/>
      <c r="FU1336" s="1678"/>
      <c r="FW1336" s="1678"/>
    </row>
    <row r="1337" spans="1:179" s="1484" customFormat="1" ht="15" x14ac:dyDescent="0.25">
      <c r="A1337" s="2032"/>
      <c r="B1337" s="1631" t="s">
        <v>190</v>
      </c>
      <c r="C1337" s="2805" t="s">
        <v>2523</v>
      </c>
      <c r="D1337" s="2805"/>
      <c r="E1337" s="2805"/>
      <c r="F1337" s="1683"/>
      <c r="G1337" s="1641"/>
      <c r="H1337" s="1641"/>
      <c r="I1337" s="1641"/>
      <c r="J1337" s="1654">
        <v>33.869999999999997</v>
      </c>
      <c r="K1337" s="1655">
        <v>1.25</v>
      </c>
      <c r="L1337" s="1654">
        <v>25.15</v>
      </c>
      <c r="M1337" s="1655">
        <v>35.75</v>
      </c>
      <c r="N1337" s="2039">
        <v>899.11</v>
      </c>
      <c r="EW1337" s="2031"/>
      <c r="EX1337" s="1619"/>
      <c r="EY1337" s="1628"/>
      <c r="EZ1337" s="1628"/>
      <c r="FA1337" s="1628"/>
      <c r="FE1337" s="1864" t="s">
        <v>2523</v>
      </c>
      <c r="FH1337" s="1628"/>
      <c r="FU1337" s="1678"/>
      <c r="FW1337" s="1678"/>
    </row>
    <row r="1338" spans="1:179" s="1484" customFormat="1" ht="15" x14ac:dyDescent="0.25">
      <c r="A1338" s="2032"/>
      <c r="B1338" s="1631" t="s">
        <v>639</v>
      </c>
      <c r="C1338" s="2805" t="s">
        <v>697</v>
      </c>
      <c r="D1338" s="2805"/>
      <c r="E1338" s="2805"/>
      <c r="F1338" s="1683"/>
      <c r="G1338" s="1641"/>
      <c r="H1338" s="1641"/>
      <c r="I1338" s="1641"/>
      <c r="J1338" s="1654">
        <v>22.14</v>
      </c>
      <c r="K1338" s="1641"/>
      <c r="L1338" s="1654">
        <v>13.15</v>
      </c>
      <c r="M1338" s="1655">
        <v>11.97</v>
      </c>
      <c r="N1338" s="2039">
        <v>157.41</v>
      </c>
      <c r="EW1338" s="2031"/>
      <c r="EX1338" s="1619"/>
      <c r="EY1338" s="1628"/>
      <c r="EZ1338" s="1628"/>
      <c r="FA1338" s="1628"/>
      <c r="FE1338" s="1864" t="s">
        <v>697</v>
      </c>
      <c r="FH1338" s="1628"/>
      <c r="FU1338" s="1678"/>
      <c r="FW1338" s="1678"/>
    </row>
    <row r="1339" spans="1:179" s="1484" customFormat="1" ht="15" x14ac:dyDescent="0.25">
      <c r="A1339" s="2032"/>
      <c r="B1339" s="1631" t="s">
        <v>640</v>
      </c>
      <c r="C1339" s="2805" t="s">
        <v>2500</v>
      </c>
      <c r="D1339" s="2805"/>
      <c r="E1339" s="2805"/>
      <c r="F1339" s="1683"/>
      <c r="G1339" s="1641"/>
      <c r="H1339" s="1641"/>
      <c r="I1339" s="1641"/>
      <c r="J1339" s="1654">
        <v>0.57999999999999996</v>
      </c>
      <c r="K1339" s="1641"/>
      <c r="L1339" s="1654">
        <v>0.34</v>
      </c>
      <c r="M1339" s="1655">
        <v>35.75</v>
      </c>
      <c r="N1339" s="2039">
        <v>12.16</v>
      </c>
      <c r="EW1339" s="2031"/>
      <c r="EX1339" s="1619"/>
      <c r="EY1339" s="1628"/>
      <c r="EZ1339" s="1628"/>
      <c r="FA1339" s="1628"/>
      <c r="FE1339" s="1864" t="s">
        <v>2500</v>
      </c>
      <c r="FH1339" s="1628"/>
      <c r="FU1339" s="1678"/>
      <c r="FW1339" s="1678"/>
    </row>
    <row r="1340" spans="1:179" s="1484" customFormat="1" ht="15" x14ac:dyDescent="0.25">
      <c r="A1340" s="2032"/>
      <c r="B1340" s="1631" t="s">
        <v>232</v>
      </c>
      <c r="C1340" s="2805" t="s">
        <v>829</v>
      </c>
      <c r="D1340" s="2805"/>
      <c r="E1340" s="2805"/>
      <c r="F1340" s="1683"/>
      <c r="G1340" s="1641"/>
      <c r="H1340" s="1641"/>
      <c r="I1340" s="1641"/>
      <c r="J1340" s="1654">
        <v>1.84</v>
      </c>
      <c r="K1340" s="1641"/>
      <c r="L1340" s="1654">
        <v>1.0900000000000001</v>
      </c>
      <c r="M1340" s="1655">
        <v>9.14</v>
      </c>
      <c r="N1340" s="2039">
        <v>9.9600000000000009</v>
      </c>
      <c r="EW1340" s="2031"/>
      <c r="EX1340" s="1619"/>
      <c r="EY1340" s="1628"/>
      <c r="EZ1340" s="1628"/>
      <c r="FA1340" s="1628"/>
      <c r="FE1340" s="1864" t="s">
        <v>829</v>
      </c>
      <c r="FH1340" s="1628"/>
      <c r="FU1340" s="1678"/>
      <c r="FW1340" s="1678"/>
    </row>
    <row r="1341" spans="1:179" s="1484" customFormat="1" ht="15" x14ac:dyDescent="0.25">
      <c r="A1341" s="2033"/>
      <c r="B1341" s="1631"/>
      <c r="C1341" s="2805" t="s">
        <v>2524</v>
      </c>
      <c r="D1341" s="2805"/>
      <c r="E1341" s="2805"/>
      <c r="F1341" s="1683" t="s">
        <v>807</v>
      </c>
      <c r="G1341" s="1655">
        <v>3.69</v>
      </c>
      <c r="H1341" s="1641"/>
      <c r="I1341" s="2042">
        <v>2.1918600000000001</v>
      </c>
      <c r="J1341" s="1640"/>
      <c r="K1341" s="1641"/>
      <c r="L1341" s="1640"/>
      <c r="M1341" s="1641"/>
      <c r="N1341" s="1681"/>
      <c r="EW1341" s="2031"/>
      <c r="EX1341" s="1619"/>
      <c r="EY1341" s="1628"/>
      <c r="EZ1341" s="1628"/>
      <c r="FA1341" s="1628"/>
      <c r="FF1341" s="1864" t="s">
        <v>2524</v>
      </c>
      <c r="FH1341" s="1628"/>
      <c r="FU1341" s="1678"/>
      <c r="FW1341" s="1678"/>
    </row>
    <row r="1342" spans="1:179" s="1484" customFormat="1" ht="15" x14ac:dyDescent="0.25">
      <c r="A1342" s="2033"/>
      <c r="B1342" s="1631"/>
      <c r="C1342" s="2805" t="s">
        <v>2501</v>
      </c>
      <c r="D1342" s="2805"/>
      <c r="E1342" s="2805"/>
      <c r="F1342" s="1683" t="s">
        <v>807</v>
      </c>
      <c r="G1342" s="1655">
        <v>0.05</v>
      </c>
      <c r="H1342" s="1641"/>
      <c r="I1342" s="2035">
        <v>2.9700000000000001E-2</v>
      </c>
      <c r="J1342" s="1640"/>
      <c r="K1342" s="1641"/>
      <c r="L1342" s="1640"/>
      <c r="M1342" s="1641"/>
      <c r="N1342" s="1681"/>
      <c r="EW1342" s="2031"/>
      <c r="EX1342" s="1619"/>
      <c r="EY1342" s="1628"/>
      <c r="EZ1342" s="1628"/>
      <c r="FA1342" s="1628"/>
      <c r="FF1342" s="1864" t="s">
        <v>2501</v>
      </c>
      <c r="FH1342" s="1628"/>
      <c r="FU1342" s="1678"/>
      <c r="FW1342" s="1678"/>
    </row>
    <row r="1343" spans="1:179" s="1484" customFormat="1" ht="15" x14ac:dyDescent="0.25">
      <c r="A1343" s="2032"/>
      <c r="B1343" s="1631"/>
      <c r="C1343" s="2917" t="s">
        <v>2502</v>
      </c>
      <c r="D1343" s="2917"/>
      <c r="E1343" s="2917"/>
      <c r="F1343" s="2036"/>
      <c r="G1343" s="2037"/>
      <c r="H1343" s="2037"/>
      <c r="I1343" s="2037"/>
      <c r="J1343" s="2044">
        <v>57.85</v>
      </c>
      <c r="K1343" s="2037"/>
      <c r="L1343" s="2044">
        <v>39.39</v>
      </c>
      <c r="M1343" s="2037"/>
      <c r="N1343" s="2068">
        <v>1066.48</v>
      </c>
      <c r="EW1343" s="2031"/>
      <c r="EX1343" s="1619"/>
      <c r="EY1343" s="1628"/>
      <c r="EZ1343" s="1628"/>
      <c r="FA1343" s="1628"/>
      <c r="FG1343" s="1864" t="s">
        <v>2502</v>
      </c>
      <c r="FH1343" s="1628"/>
      <c r="FU1343" s="1678"/>
      <c r="FW1343" s="1678"/>
    </row>
    <row r="1344" spans="1:179" s="1484" customFormat="1" ht="15" x14ac:dyDescent="0.25">
      <c r="A1344" s="2033" t="s">
        <v>8190</v>
      </c>
      <c r="B1344" s="1631"/>
      <c r="C1344" s="2805" t="s">
        <v>7964</v>
      </c>
      <c r="D1344" s="2805"/>
      <c r="E1344" s="2805"/>
      <c r="F1344" s="1683" t="s">
        <v>5928</v>
      </c>
      <c r="G1344" s="1641"/>
      <c r="H1344" s="1641"/>
      <c r="I1344" s="1641"/>
      <c r="J1344" s="1640"/>
      <c r="K1344" s="1641"/>
      <c r="L1344" s="1654">
        <v>0.09</v>
      </c>
      <c r="M1344" s="1641"/>
      <c r="N1344" s="2039">
        <v>3.22</v>
      </c>
      <c r="EW1344" s="2031"/>
      <c r="EX1344" s="1619"/>
      <c r="EY1344" s="1628"/>
      <c r="EZ1344" s="1628"/>
      <c r="FA1344" s="1628"/>
      <c r="FF1344" s="1864" t="s">
        <v>7964</v>
      </c>
      <c r="FH1344" s="1628"/>
      <c r="FU1344" s="1678"/>
      <c r="FW1344" s="1678"/>
    </row>
    <row r="1345" spans="1:179" s="1484" customFormat="1" ht="15" x14ac:dyDescent="0.25">
      <c r="A1345" s="2033"/>
      <c r="B1345" s="1631"/>
      <c r="C1345" s="2805" t="s">
        <v>7965</v>
      </c>
      <c r="D1345" s="2805"/>
      <c r="E1345" s="2805"/>
      <c r="F1345" s="1683" t="s">
        <v>5928</v>
      </c>
      <c r="G1345" s="1641"/>
      <c r="H1345" s="1641"/>
      <c r="I1345" s="1641"/>
      <c r="J1345" s="1654">
        <v>0.57999999999999996</v>
      </c>
      <c r="K1345" s="1655">
        <v>0.25</v>
      </c>
      <c r="L1345" s="1654">
        <v>0.09</v>
      </c>
      <c r="M1345" s="1655">
        <v>35.75</v>
      </c>
      <c r="N1345" s="2039">
        <v>3.22</v>
      </c>
      <c r="EW1345" s="2031"/>
      <c r="EX1345" s="1619"/>
      <c r="EY1345" s="1628"/>
      <c r="EZ1345" s="1628"/>
      <c r="FA1345" s="1628"/>
      <c r="FF1345" s="1864" t="s">
        <v>7965</v>
      </c>
      <c r="FH1345" s="1628"/>
      <c r="FU1345" s="1678"/>
      <c r="FW1345" s="1678"/>
    </row>
    <row r="1346" spans="1:179" s="1484" customFormat="1" ht="15" x14ac:dyDescent="0.25">
      <c r="A1346" s="2033"/>
      <c r="B1346" s="1631"/>
      <c r="C1346" s="2805" t="s">
        <v>867</v>
      </c>
      <c r="D1346" s="2805"/>
      <c r="E1346" s="2805"/>
      <c r="F1346" s="1683"/>
      <c r="G1346" s="1641"/>
      <c r="H1346" s="1641"/>
      <c r="I1346" s="1641"/>
      <c r="J1346" s="1640"/>
      <c r="K1346" s="1641"/>
      <c r="L1346" s="1654">
        <v>25.58</v>
      </c>
      <c r="M1346" s="1641"/>
      <c r="N1346" s="2039">
        <v>914.49</v>
      </c>
      <c r="EW1346" s="2031"/>
      <c r="EX1346" s="1619"/>
      <c r="EY1346" s="1628"/>
      <c r="EZ1346" s="1628"/>
      <c r="FA1346" s="1628"/>
      <c r="FF1346" s="1864" t="s">
        <v>867</v>
      </c>
      <c r="FH1346" s="1628"/>
      <c r="FU1346" s="1678"/>
      <c r="FW1346" s="1678"/>
    </row>
    <row r="1347" spans="1:179" s="1484" customFormat="1" ht="15" x14ac:dyDescent="0.25">
      <c r="A1347" s="2033"/>
      <c r="B1347" s="1631" t="s">
        <v>7966</v>
      </c>
      <c r="C1347" s="2805" t="s">
        <v>7967</v>
      </c>
      <c r="D1347" s="2805"/>
      <c r="E1347" s="2805"/>
      <c r="F1347" s="1683" t="s">
        <v>636</v>
      </c>
      <c r="G1347" s="2034">
        <v>100</v>
      </c>
      <c r="H1347" s="1641"/>
      <c r="I1347" s="2034">
        <v>100</v>
      </c>
      <c r="J1347" s="1640"/>
      <c r="K1347" s="1641"/>
      <c r="L1347" s="1654">
        <v>25.58</v>
      </c>
      <c r="M1347" s="1641"/>
      <c r="N1347" s="2039">
        <v>914.49</v>
      </c>
      <c r="EW1347" s="2031"/>
      <c r="EX1347" s="1619"/>
      <c r="EY1347" s="1628"/>
      <c r="EZ1347" s="1628"/>
      <c r="FA1347" s="1628"/>
      <c r="FF1347" s="1864" t="s">
        <v>7967</v>
      </c>
      <c r="FH1347" s="1628"/>
      <c r="FU1347" s="1678"/>
      <c r="FW1347" s="1678"/>
    </row>
    <row r="1348" spans="1:179" s="1484" customFormat="1" ht="15" x14ac:dyDescent="0.25">
      <c r="A1348" s="2033"/>
      <c r="B1348" s="1631" t="s">
        <v>7968</v>
      </c>
      <c r="C1348" s="2805" t="s">
        <v>7969</v>
      </c>
      <c r="D1348" s="2805"/>
      <c r="E1348" s="2805"/>
      <c r="F1348" s="1683" t="s">
        <v>636</v>
      </c>
      <c r="G1348" s="2034">
        <v>49</v>
      </c>
      <c r="H1348" s="1641"/>
      <c r="I1348" s="2034">
        <v>49</v>
      </c>
      <c r="J1348" s="1640"/>
      <c r="K1348" s="1641"/>
      <c r="L1348" s="1654">
        <v>12.53</v>
      </c>
      <c r="M1348" s="1641"/>
      <c r="N1348" s="2039">
        <v>448.1</v>
      </c>
      <c r="EW1348" s="2031"/>
      <c r="EX1348" s="1619"/>
      <c r="EY1348" s="1628"/>
      <c r="EZ1348" s="1628"/>
      <c r="FA1348" s="1628"/>
      <c r="FF1348" s="1864" t="s">
        <v>7969</v>
      </c>
      <c r="FH1348" s="1628"/>
      <c r="FU1348" s="1678"/>
      <c r="FW1348" s="1678"/>
    </row>
    <row r="1349" spans="1:179" s="1484" customFormat="1" ht="15" x14ac:dyDescent="0.25">
      <c r="A1349" s="1650"/>
      <c r="B1349" s="1651"/>
      <c r="C1349" s="2803" t="s">
        <v>872</v>
      </c>
      <c r="D1349" s="2803"/>
      <c r="E1349" s="2803"/>
      <c r="F1349" s="1621"/>
      <c r="G1349" s="1622"/>
      <c r="H1349" s="1622"/>
      <c r="I1349" s="1622"/>
      <c r="J1349" s="1625"/>
      <c r="K1349" s="1622"/>
      <c r="L1349" s="2040">
        <v>77.59</v>
      </c>
      <c r="M1349" s="2037"/>
      <c r="N1349" s="1649">
        <v>2432.29</v>
      </c>
      <c r="EW1349" s="2031"/>
      <c r="EX1349" s="1619"/>
      <c r="EY1349" s="1628"/>
      <c r="EZ1349" s="1628"/>
      <c r="FA1349" s="1628"/>
      <c r="FH1349" s="1628" t="s">
        <v>872</v>
      </c>
      <c r="FU1349" s="1678"/>
      <c r="FW1349" s="1678"/>
    </row>
    <row r="1350" spans="1:179" s="1484" customFormat="1" ht="33.75" x14ac:dyDescent="0.25">
      <c r="A1350" s="1620" t="s">
        <v>1512</v>
      </c>
      <c r="B1350" s="1863" t="s">
        <v>8062</v>
      </c>
      <c r="C1350" s="2803" t="s">
        <v>4978</v>
      </c>
      <c r="D1350" s="2803"/>
      <c r="E1350" s="2803"/>
      <c r="F1350" s="1621" t="s">
        <v>835</v>
      </c>
      <c r="G1350" s="1622">
        <v>8.1972000000000005</v>
      </c>
      <c r="H1350" s="1623">
        <v>1</v>
      </c>
      <c r="I1350" s="2041">
        <v>8.1972000000000005</v>
      </c>
      <c r="J1350" s="2040">
        <v>13.08</v>
      </c>
      <c r="K1350" s="1622"/>
      <c r="L1350" s="2040">
        <v>107.22</v>
      </c>
      <c r="M1350" s="1687">
        <v>9.14</v>
      </c>
      <c r="N1350" s="2069">
        <v>979.99</v>
      </c>
      <c r="EW1350" s="2031"/>
      <c r="EX1350" s="1619"/>
      <c r="EY1350" s="1628" t="s">
        <v>4978</v>
      </c>
      <c r="EZ1350" s="1628" t="s">
        <v>588</v>
      </c>
      <c r="FA1350" s="1628" t="s">
        <v>588</v>
      </c>
      <c r="FH1350" s="1628"/>
      <c r="FU1350" s="1678"/>
      <c r="FW1350" s="1678"/>
    </row>
    <row r="1351" spans="1:179" s="1484" customFormat="1" ht="15" x14ac:dyDescent="0.25">
      <c r="A1351" s="1650"/>
      <c r="B1351" s="1651"/>
      <c r="C1351" s="2805" t="s">
        <v>8689</v>
      </c>
      <c r="D1351" s="2805"/>
      <c r="E1351" s="2805"/>
      <c r="F1351" s="2805"/>
      <c r="G1351" s="2805"/>
      <c r="H1351" s="2805"/>
      <c r="I1351" s="2805"/>
      <c r="J1351" s="2805"/>
      <c r="K1351" s="2805"/>
      <c r="L1351" s="2805"/>
      <c r="M1351" s="2805"/>
      <c r="N1351" s="2806"/>
      <c r="EW1351" s="2031"/>
      <c r="EX1351" s="1619"/>
      <c r="EY1351" s="1628"/>
      <c r="EZ1351" s="1628"/>
      <c r="FA1351" s="1628"/>
      <c r="FH1351" s="1628"/>
      <c r="FI1351" s="1864" t="s">
        <v>8689</v>
      </c>
      <c r="FJ1351" s="1864" t="s">
        <v>588</v>
      </c>
      <c r="FK1351" s="1864" t="s">
        <v>588</v>
      </c>
      <c r="FL1351" s="1864" t="s">
        <v>588</v>
      </c>
      <c r="FM1351" s="1864" t="s">
        <v>588</v>
      </c>
      <c r="FN1351" s="1864" t="s">
        <v>588</v>
      </c>
      <c r="FO1351" s="1864" t="s">
        <v>588</v>
      </c>
      <c r="FP1351" s="1864" t="s">
        <v>588</v>
      </c>
      <c r="FQ1351" s="1864" t="s">
        <v>588</v>
      </c>
      <c r="FR1351" s="1864" t="s">
        <v>588</v>
      </c>
      <c r="FS1351" s="1864" t="s">
        <v>588</v>
      </c>
      <c r="FT1351" s="1864" t="s">
        <v>588</v>
      </c>
      <c r="FU1351" s="1678"/>
      <c r="FW1351" s="1678"/>
    </row>
    <row r="1352" spans="1:179" s="1484" customFormat="1" ht="15" x14ac:dyDescent="0.25">
      <c r="A1352" s="1650"/>
      <c r="B1352" s="1651"/>
      <c r="C1352" s="2803" t="s">
        <v>872</v>
      </c>
      <c r="D1352" s="2803"/>
      <c r="E1352" s="2803"/>
      <c r="F1352" s="1621"/>
      <c r="G1352" s="1622"/>
      <c r="H1352" s="1622"/>
      <c r="I1352" s="1622"/>
      <c r="J1352" s="1625"/>
      <c r="K1352" s="1622"/>
      <c r="L1352" s="2040">
        <v>107.22</v>
      </c>
      <c r="M1352" s="2037"/>
      <c r="N1352" s="2069">
        <v>979.99</v>
      </c>
      <c r="EW1352" s="2031"/>
      <c r="EX1352" s="1619"/>
      <c r="EY1352" s="1628"/>
      <c r="EZ1352" s="1628"/>
      <c r="FA1352" s="1628"/>
      <c r="FH1352" s="1628" t="s">
        <v>872</v>
      </c>
      <c r="FU1352" s="1678"/>
      <c r="FW1352" s="1678"/>
    </row>
    <row r="1353" spans="1:179" s="1484" customFormat="1" ht="15" x14ac:dyDescent="0.25">
      <c r="A1353" s="2811" t="s">
        <v>8191</v>
      </c>
      <c r="B1353" s="2812"/>
      <c r="C1353" s="2812"/>
      <c r="D1353" s="2812"/>
      <c r="E1353" s="2812"/>
      <c r="F1353" s="2812"/>
      <c r="G1353" s="2812"/>
      <c r="H1353" s="2812"/>
      <c r="I1353" s="2812"/>
      <c r="J1353" s="2812"/>
      <c r="K1353" s="2812"/>
      <c r="L1353" s="2812"/>
      <c r="M1353" s="2812"/>
      <c r="N1353" s="2813"/>
      <c r="EW1353" s="2031"/>
      <c r="EX1353" s="1619" t="s">
        <v>8191</v>
      </c>
      <c r="EY1353" s="1628"/>
      <c r="EZ1353" s="1628"/>
      <c r="FA1353" s="1628"/>
      <c r="FH1353" s="1628"/>
      <c r="FU1353" s="1678"/>
      <c r="FW1353" s="1678"/>
    </row>
    <row r="1354" spans="1:179" s="1484" customFormat="1" ht="15" x14ac:dyDescent="0.25">
      <c r="A1354" s="2811" t="s">
        <v>8192</v>
      </c>
      <c r="B1354" s="2812"/>
      <c r="C1354" s="2812"/>
      <c r="D1354" s="2812"/>
      <c r="E1354" s="2812"/>
      <c r="F1354" s="2812"/>
      <c r="G1354" s="2812"/>
      <c r="H1354" s="2812"/>
      <c r="I1354" s="2812"/>
      <c r="J1354" s="2812"/>
      <c r="K1354" s="2812"/>
      <c r="L1354" s="2812"/>
      <c r="M1354" s="2812"/>
      <c r="N1354" s="2813"/>
      <c r="EW1354" s="2031"/>
      <c r="EX1354" s="1619" t="s">
        <v>8192</v>
      </c>
      <c r="EY1354" s="1628"/>
      <c r="EZ1354" s="1628"/>
      <c r="FA1354" s="1628"/>
      <c r="FH1354" s="1628"/>
      <c r="FU1354" s="1678"/>
      <c r="FW1354" s="1678"/>
    </row>
    <row r="1355" spans="1:179" s="1484" customFormat="1" ht="22.5" x14ac:dyDescent="0.25">
      <c r="A1355" s="1620" t="s">
        <v>1583</v>
      </c>
      <c r="B1355" s="1863" t="s">
        <v>8193</v>
      </c>
      <c r="C1355" s="2803" t="s">
        <v>8194</v>
      </c>
      <c r="D1355" s="2803"/>
      <c r="E1355" s="2803"/>
      <c r="F1355" s="1621" t="s">
        <v>2555</v>
      </c>
      <c r="G1355" s="1622">
        <v>7</v>
      </c>
      <c r="H1355" s="1623">
        <v>1</v>
      </c>
      <c r="I1355" s="1623">
        <v>7</v>
      </c>
      <c r="J1355" s="1625"/>
      <c r="K1355" s="1622"/>
      <c r="L1355" s="1625"/>
      <c r="M1355" s="1622"/>
      <c r="N1355" s="1627"/>
      <c r="EW1355" s="2031"/>
      <c r="EX1355" s="1619"/>
      <c r="EY1355" s="1628" t="s">
        <v>8194</v>
      </c>
      <c r="EZ1355" s="1628" t="s">
        <v>588</v>
      </c>
      <c r="FA1355" s="1628" t="s">
        <v>588</v>
      </c>
      <c r="FH1355" s="1628"/>
      <c r="FU1355" s="1678"/>
      <c r="FW1355" s="1678"/>
    </row>
    <row r="1356" spans="1:179" s="1484" customFormat="1" ht="15" x14ac:dyDescent="0.25">
      <c r="A1356" s="1629"/>
      <c r="B1356" s="1862"/>
      <c r="C1356" s="2805" t="s">
        <v>8830</v>
      </c>
      <c r="D1356" s="2805"/>
      <c r="E1356" s="2805"/>
      <c r="F1356" s="2805"/>
      <c r="G1356" s="2805"/>
      <c r="H1356" s="2805"/>
      <c r="I1356" s="2805"/>
      <c r="J1356" s="2805"/>
      <c r="K1356" s="2805"/>
      <c r="L1356" s="2805"/>
      <c r="M1356" s="2805"/>
      <c r="N1356" s="2806"/>
      <c r="EW1356" s="2031"/>
      <c r="EX1356" s="1619"/>
      <c r="EY1356" s="1628"/>
      <c r="EZ1356" s="1628"/>
      <c r="FA1356" s="1628"/>
      <c r="FB1356" s="1864" t="s">
        <v>8830</v>
      </c>
      <c r="FH1356" s="1628"/>
      <c r="FU1356" s="1678"/>
      <c r="FW1356" s="1678"/>
    </row>
    <row r="1357" spans="1:179" s="1484" customFormat="1" ht="22.5" x14ac:dyDescent="0.25">
      <c r="A1357" s="1630"/>
      <c r="B1357" s="1631" t="s">
        <v>6062</v>
      </c>
      <c r="C1357" s="2809" t="s">
        <v>6063</v>
      </c>
      <c r="D1357" s="2809"/>
      <c r="E1357" s="2809"/>
      <c r="F1357" s="2809"/>
      <c r="G1357" s="2809"/>
      <c r="H1357" s="2809"/>
      <c r="I1357" s="2809"/>
      <c r="J1357" s="2809"/>
      <c r="K1357" s="2809"/>
      <c r="L1357" s="2809"/>
      <c r="M1357" s="2809"/>
      <c r="N1357" s="2810"/>
      <c r="EW1357" s="2031"/>
      <c r="EX1357" s="1619"/>
      <c r="EY1357" s="1628"/>
      <c r="EZ1357" s="1628"/>
      <c r="FA1357" s="1628"/>
      <c r="FC1357" s="1864" t="s">
        <v>6063</v>
      </c>
      <c r="FH1357" s="1628"/>
      <c r="FU1357" s="1678"/>
      <c r="FW1357" s="1678"/>
    </row>
    <row r="1358" spans="1:179" s="1484" customFormat="1" ht="22.5" x14ac:dyDescent="0.25">
      <c r="A1358" s="2033"/>
      <c r="B1358" s="1631" t="s">
        <v>8822</v>
      </c>
      <c r="C1358" s="2805" t="s">
        <v>8821</v>
      </c>
      <c r="D1358" s="2805"/>
      <c r="E1358" s="2805"/>
      <c r="F1358" s="1683" t="s">
        <v>807</v>
      </c>
      <c r="G1358" s="1655">
        <v>54.99</v>
      </c>
      <c r="H1358" s="1641"/>
      <c r="I1358" s="1655">
        <v>384.93</v>
      </c>
      <c r="J1358" s="1654">
        <v>8.4600000000000009</v>
      </c>
      <c r="K1358" s="1655">
        <v>1.25</v>
      </c>
      <c r="L1358" s="1657">
        <v>4070.63</v>
      </c>
      <c r="M1358" s="1641"/>
      <c r="N1358" s="1681"/>
      <c r="EW1358" s="2031"/>
      <c r="EX1358" s="1619"/>
      <c r="EY1358" s="1628"/>
      <c r="EZ1358" s="1628"/>
      <c r="FA1358" s="1628"/>
      <c r="FD1358" s="1864" t="s">
        <v>8821</v>
      </c>
      <c r="FH1358" s="1628"/>
      <c r="FU1358" s="1678"/>
      <c r="FW1358" s="1678"/>
    </row>
    <row r="1359" spans="1:179" s="1484" customFormat="1" ht="22.5" x14ac:dyDescent="0.25">
      <c r="A1359" s="2033"/>
      <c r="B1359" s="1631" t="s">
        <v>5010</v>
      </c>
      <c r="C1359" s="2805" t="s">
        <v>5011</v>
      </c>
      <c r="D1359" s="2805"/>
      <c r="E1359" s="2805"/>
      <c r="F1359" s="1683" t="s">
        <v>4994</v>
      </c>
      <c r="G1359" s="2046">
        <v>4.9000000000000002E-2</v>
      </c>
      <c r="H1359" s="1641"/>
      <c r="I1359" s="2046">
        <v>0.34300000000000003</v>
      </c>
      <c r="J1359" s="1654">
        <v>31.26</v>
      </c>
      <c r="K1359" s="1641"/>
      <c r="L1359" s="1654">
        <v>10.72</v>
      </c>
      <c r="M1359" s="1641"/>
      <c r="N1359" s="1681"/>
      <c r="EW1359" s="2031"/>
      <c r="EX1359" s="1619"/>
      <c r="EY1359" s="1628"/>
      <c r="EZ1359" s="1628"/>
      <c r="FA1359" s="1628"/>
      <c r="FD1359" s="1864" t="s">
        <v>5011</v>
      </c>
      <c r="FH1359" s="1628"/>
      <c r="FU1359" s="1678"/>
      <c r="FW1359" s="1678"/>
    </row>
    <row r="1360" spans="1:179" s="1484" customFormat="1" ht="15" x14ac:dyDescent="0.25">
      <c r="A1360" s="2033"/>
      <c r="B1360" s="1631" t="s">
        <v>821</v>
      </c>
      <c r="C1360" s="2805" t="s">
        <v>822</v>
      </c>
      <c r="D1360" s="2805"/>
      <c r="E1360" s="2805"/>
      <c r="F1360" s="1683" t="s">
        <v>4994</v>
      </c>
      <c r="G1360" s="1655">
        <v>0.16</v>
      </c>
      <c r="H1360" s="1641"/>
      <c r="I1360" s="1655">
        <v>1.1200000000000001</v>
      </c>
      <c r="J1360" s="1654">
        <v>65.709999999999994</v>
      </c>
      <c r="K1360" s="1641"/>
      <c r="L1360" s="1654">
        <v>73.599999999999994</v>
      </c>
      <c r="M1360" s="1641"/>
      <c r="N1360" s="1681"/>
      <c r="EW1360" s="2031"/>
      <c r="EX1360" s="1619"/>
      <c r="EY1360" s="1628"/>
      <c r="EZ1360" s="1628"/>
      <c r="FA1360" s="1628"/>
      <c r="FD1360" s="1864" t="s">
        <v>822</v>
      </c>
      <c r="FH1360" s="1628"/>
      <c r="FU1360" s="1678"/>
      <c r="FW1360" s="1678"/>
    </row>
    <row r="1361" spans="1:179" s="1484" customFormat="1" ht="15" x14ac:dyDescent="0.25">
      <c r="A1361" s="2033"/>
      <c r="B1361" s="1631" t="s">
        <v>5035</v>
      </c>
      <c r="C1361" s="2805" t="s">
        <v>5036</v>
      </c>
      <c r="D1361" s="2805"/>
      <c r="E1361" s="2805"/>
      <c r="F1361" s="1683" t="s">
        <v>4994</v>
      </c>
      <c r="G1361" s="1655">
        <v>3.06</v>
      </c>
      <c r="H1361" s="1641"/>
      <c r="I1361" s="1655">
        <v>21.42</v>
      </c>
      <c r="J1361" s="1654">
        <v>3.29</v>
      </c>
      <c r="K1361" s="1641"/>
      <c r="L1361" s="1654">
        <v>70.47</v>
      </c>
      <c r="M1361" s="1641"/>
      <c r="N1361" s="1681"/>
      <c r="EW1361" s="2031"/>
      <c r="EX1361" s="1619"/>
      <c r="EY1361" s="1628"/>
      <c r="EZ1361" s="1628"/>
      <c r="FA1361" s="1628"/>
      <c r="FD1361" s="1864" t="s">
        <v>5036</v>
      </c>
      <c r="FH1361" s="1628"/>
      <c r="FU1361" s="1678"/>
      <c r="FW1361" s="1678"/>
    </row>
    <row r="1362" spans="1:179" s="1484" customFormat="1" ht="22.5" x14ac:dyDescent="0.25">
      <c r="A1362" s="2033"/>
      <c r="B1362" s="1631" t="s">
        <v>4938</v>
      </c>
      <c r="C1362" s="2805" t="s">
        <v>4939</v>
      </c>
      <c r="D1362" s="2805"/>
      <c r="E1362" s="2805"/>
      <c r="F1362" s="1683" t="s">
        <v>835</v>
      </c>
      <c r="G1362" s="2034">
        <v>306</v>
      </c>
      <c r="H1362" s="1641"/>
      <c r="I1362" s="2034">
        <v>2142</v>
      </c>
      <c r="J1362" s="1654">
        <v>50.19</v>
      </c>
      <c r="K1362" s="1641"/>
      <c r="L1362" s="1657">
        <v>107506.98</v>
      </c>
      <c r="M1362" s="1641"/>
      <c r="N1362" s="1681"/>
      <c r="EW1362" s="2031"/>
      <c r="EX1362" s="1619"/>
      <c r="EY1362" s="1628"/>
      <c r="EZ1362" s="1628"/>
      <c r="FA1362" s="1628"/>
      <c r="FD1362" s="1864" t="s">
        <v>4939</v>
      </c>
      <c r="FH1362" s="1628"/>
      <c r="FU1362" s="1678"/>
      <c r="FW1362" s="1678"/>
    </row>
    <row r="1363" spans="1:179" s="1484" customFormat="1" ht="15" x14ac:dyDescent="0.25">
      <c r="A1363" s="2032"/>
      <c r="B1363" s="1631" t="s">
        <v>190</v>
      </c>
      <c r="C1363" s="2805" t="s">
        <v>2523</v>
      </c>
      <c r="D1363" s="2805"/>
      <c r="E1363" s="2805"/>
      <c r="F1363" s="1683"/>
      <c r="G1363" s="1641"/>
      <c r="H1363" s="1641"/>
      <c r="I1363" s="1641"/>
      <c r="J1363" s="1654">
        <v>465.22</v>
      </c>
      <c r="K1363" s="1655">
        <v>1.25</v>
      </c>
      <c r="L1363" s="1657">
        <v>4070.68</v>
      </c>
      <c r="M1363" s="1655">
        <v>35.75</v>
      </c>
      <c r="N1363" s="1679">
        <v>145526.81</v>
      </c>
      <c r="EW1363" s="2031"/>
      <c r="EX1363" s="1619"/>
      <c r="EY1363" s="1628"/>
      <c r="EZ1363" s="1628"/>
      <c r="FA1363" s="1628"/>
      <c r="FE1363" s="1864" t="s">
        <v>2523</v>
      </c>
      <c r="FH1363" s="1628"/>
      <c r="FU1363" s="1678"/>
      <c r="FW1363" s="1678"/>
    </row>
    <row r="1364" spans="1:179" s="1484" customFormat="1" ht="15" x14ac:dyDescent="0.25">
      <c r="A1364" s="2032"/>
      <c r="B1364" s="1631" t="s">
        <v>639</v>
      </c>
      <c r="C1364" s="2805" t="s">
        <v>697</v>
      </c>
      <c r="D1364" s="2805"/>
      <c r="E1364" s="2805"/>
      <c r="F1364" s="1683"/>
      <c r="G1364" s="1641"/>
      <c r="H1364" s="1641"/>
      <c r="I1364" s="1641"/>
      <c r="J1364" s="1654">
        <v>22.11</v>
      </c>
      <c r="K1364" s="1641"/>
      <c r="L1364" s="1654">
        <v>154.77000000000001</v>
      </c>
      <c r="M1364" s="1655">
        <v>11.97</v>
      </c>
      <c r="N1364" s="1679">
        <v>1852.6</v>
      </c>
      <c r="EW1364" s="2031"/>
      <c r="EX1364" s="1619"/>
      <c r="EY1364" s="1628"/>
      <c r="EZ1364" s="1628"/>
      <c r="FA1364" s="1628"/>
      <c r="FE1364" s="1864" t="s">
        <v>697</v>
      </c>
      <c r="FH1364" s="1628"/>
      <c r="FU1364" s="1678"/>
      <c r="FW1364" s="1678"/>
    </row>
    <row r="1365" spans="1:179" s="1484" customFormat="1" ht="15" x14ac:dyDescent="0.25">
      <c r="A1365" s="2032"/>
      <c r="B1365" s="1631" t="s">
        <v>640</v>
      </c>
      <c r="C1365" s="2805" t="s">
        <v>2500</v>
      </c>
      <c r="D1365" s="2805"/>
      <c r="E1365" s="2805"/>
      <c r="F1365" s="1683"/>
      <c r="G1365" s="1641"/>
      <c r="H1365" s="1641"/>
      <c r="I1365" s="1641"/>
      <c r="J1365" s="1654">
        <v>2.52</v>
      </c>
      <c r="K1365" s="1641"/>
      <c r="L1365" s="1654">
        <v>17.64</v>
      </c>
      <c r="M1365" s="1655">
        <v>35.75</v>
      </c>
      <c r="N1365" s="2039">
        <v>630.63</v>
      </c>
      <c r="EW1365" s="2031"/>
      <c r="EX1365" s="1619"/>
      <c r="EY1365" s="1628"/>
      <c r="EZ1365" s="1628"/>
      <c r="FA1365" s="1628"/>
      <c r="FE1365" s="1864" t="s">
        <v>2500</v>
      </c>
      <c r="FH1365" s="1628"/>
      <c r="FU1365" s="1678"/>
      <c r="FW1365" s="1678"/>
    </row>
    <row r="1366" spans="1:179" s="1484" customFormat="1" ht="15" x14ac:dyDescent="0.25">
      <c r="A1366" s="2032"/>
      <c r="B1366" s="1631" t="s">
        <v>232</v>
      </c>
      <c r="C1366" s="2805" t="s">
        <v>829</v>
      </c>
      <c r="D1366" s="2805"/>
      <c r="E1366" s="2805"/>
      <c r="F1366" s="1683"/>
      <c r="G1366" s="1641"/>
      <c r="H1366" s="1641"/>
      <c r="I1366" s="1641"/>
      <c r="J1366" s="1657">
        <v>15358.14</v>
      </c>
      <c r="K1366" s="1641"/>
      <c r="L1366" s="1657">
        <v>107506.98</v>
      </c>
      <c r="M1366" s="1655">
        <v>9.14</v>
      </c>
      <c r="N1366" s="1679">
        <v>982613.8</v>
      </c>
      <c r="EW1366" s="2031"/>
      <c r="EX1366" s="1619"/>
      <c r="EY1366" s="1628"/>
      <c r="EZ1366" s="1628"/>
      <c r="FA1366" s="1628"/>
      <c r="FE1366" s="1864" t="s">
        <v>829</v>
      </c>
      <c r="FH1366" s="1628"/>
      <c r="FU1366" s="1678"/>
      <c r="FW1366" s="1678"/>
    </row>
    <row r="1367" spans="1:179" s="1484" customFormat="1" ht="15" x14ac:dyDescent="0.25">
      <c r="A1367" s="2033"/>
      <c r="B1367" s="1631"/>
      <c r="C1367" s="2805" t="s">
        <v>2524</v>
      </c>
      <c r="D1367" s="2805"/>
      <c r="E1367" s="2805"/>
      <c r="F1367" s="1683" t="s">
        <v>807</v>
      </c>
      <c r="G1367" s="1655">
        <v>54.99</v>
      </c>
      <c r="H1367" s="1641"/>
      <c r="I1367" s="1655">
        <v>384.93</v>
      </c>
      <c r="J1367" s="1640"/>
      <c r="K1367" s="1641"/>
      <c r="L1367" s="1640"/>
      <c r="M1367" s="1641"/>
      <c r="N1367" s="1681"/>
      <c r="EW1367" s="2031"/>
      <c r="EX1367" s="1619"/>
      <c r="EY1367" s="1628"/>
      <c r="EZ1367" s="1628"/>
      <c r="FA1367" s="1628"/>
      <c r="FF1367" s="1864" t="s">
        <v>2524</v>
      </c>
      <c r="FH1367" s="1628"/>
      <c r="FU1367" s="1678"/>
      <c r="FW1367" s="1678"/>
    </row>
    <row r="1368" spans="1:179" s="1484" customFormat="1" ht="15" x14ac:dyDescent="0.25">
      <c r="A1368" s="2033"/>
      <c r="B1368" s="1631"/>
      <c r="C1368" s="2805" t="s">
        <v>2501</v>
      </c>
      <c r="D1368" s="2805"/>
      <c r="E1368" s="2805"/>
      <c r="F1368" s="1683" t="s">
        <v>807</v>
      </c>
      <c r="G1368" s="1655">
        <v>0.21</v>
      </c>
      <c r="H1368" s="1641"/>
      <c r="I1368" s="1655">
        <v>1.47</v>
      </c>
      <c r="J1368" s="1640"/>
      <c r="K1368" s="1641"/>
      <c r="L1368" s="1640"/>
      <c r="M1368" s="1641"/>
      <c r="N1368" s="1681"/>
      <c r="EW1368" s="2031"/>
      <c r="EX1368" s="1619"/>
      <c r="EY1368" s="1628"/>
      <c r="EZ1368" s="1628"/>
      <c r="FA1368" s="1628"/>
      <c r="FF1368" s="1864" t="s">
        <v>2501</v>
      </c>
      <c r="FH1368" s="1628"/>
      <c r="FU1368" s="1678"/>
      <c r="FW1368" s="1678"/>
    </row>
    <row r="1369" spans="1:179" s="1484" customFormat="1" ht="15" x14ac:dyDescent="0.25">
      <c r="A1369" s="2032"/>
      <c r="B1369" s="1631"/>
      <c r="C1369" s="2917" t="s">
        <v>2502</v>
      </c>
      <c r="D1369" s="2917"/>
      <c r="E1369" s="2917"/>
      <c r="F1369" s="2036"/>
      <c r="G1369" s="2037"/>
      <c r="H1369" s="2037"/>
      <c r="I1369" s="2037"/>
      <c r="J1369" s="2038">
        <v>15845.47</v>
      </c>
      <c r="K1369" s="2037"/>
      <c r="L1369" s="2038">
        <v>111732.43</v>
      </c>
      <c r="M1369" s="2037"/>
      <c r="N1369" s="2068">
        <v>1129993.21</v>
      </c>
      <c r="EW1369" s="2031"/>
      <c r="EX1369" s="1619"/>
      <c r="EY1369" s="1628"/>
      <c r="EZ1369" s="1628"/>
      <c r="FA1369" s="1628"/>
      <c r="FG1369" s="1864" t="s">
        <v>2502</v>
      </c>
      <c r="FH1369" s="1628"/>
      <c r="FU1369" s="1678"/>
      <c r="FW1369" s="1678"/>
    </row>
    <row r="1370" spans="1:179" s="1484" customFormat="1" ht="15" x14ac:dyDescent="0.25">
      <c r="A1370" s="2033" t="s">
        <v>8195</v>
      </c>
      <c r="B1370" s="1631"/>
      <c r="C1370" s="2805" t="s">
        <v>7964</v>
      </c>
      <c r="D1370" s="2805"/>
      <c r="E1370" s="2805"/>
      <c r="F1370" s="1683" t="s">
        <v>5928</v>
      </c>
      <c r="G1370" s="1641"/>
      <c r="H1370" s="1641"/>
      <c r="I1370" s="1641"/>
      <c r="J1370" s="1640"/>
      <c r="K1370" s="1641"/>
      <c r="L1370" s="1654">
        <v>4.41</v>
      </c>
      <c r="M1370" s="1641"/>
      <c r="N1370" s="2039">
        <v>157.66</v>
      </c>
      <c r="EW1370" s="2031"/>
      <c r="EX1370" s="1619"/>
      <c r="EY1370" s="1628"/>
      <c r="EZ1370" s="1628"/>
      <c r="FA1370" s="1628"/>
      <c r="FF1370" s="1864" t="s">
        <v>7964</v>
      </c>
      <c r="FH1370" s="1628"/>
      <c r="FU1370" s="1678"/>
      <c r="FW1370" s="1678"/>
    </row>
    <row r="1371" spans="1:179" s="1484" customFormat="1" ht="15" x14ac:dyDescent="0.25">
      <c r="A1371" s="2033"/>
      <c r="B1371" s="1631"/>
      <c r="C1371" s="2805" t="s">
        <v>7965</v>
      </c>
      <c r="D1371" s="2805"/>
      <c r="E1371" s="2805"/>
      <c r="F1371" s="1683" t="s">
        <v>5928</v>
      </c>
      <c r="G1371" s="1641"/>
      <c r="H1371" s="1641"/>
      <c r="I1371" s="1641"/>
      <c r="J1371" s="1654">
        <v>2.52</v>
      </c>
      <c r="K1371" s="1655">
        <v>0.25</v>
      </c>
      <c r="L1371" s="1654">
        <v>4.41</v>
      </c>
      <c r="M1371" s="1655">
        <v>35.75</v>
      </c>
      <c r="N1371" s="2039">
        <v>157.66</v>
      </c>
      <c r="EW1371" s="2031"/>
      <c r="EX1371" s="1619"/>
      <c r="EY1371" s="1628"/>
      <c r="EZ1371" s="1628"/>
      <c r="FA1371" s="1628"/>
      <c r="FF1371" s="1864" t="s">
        <v>7965</v>
      </c>
      <c r="FH1371" s="1628"/>
      <c r="FU1371" s="1678"/>
      <c r="FW1371" s="1678"/>
    </row>
    <row r="1372" spans="1:179" s="1484" customFormat="1" ht="15" x14ac:dyDescent="0.25">
      <c r="A1372" s="2033"/>
      <c r="B1372" s="1631"/>
      <c r="C1372" s="2805" t="s">
        <v>867</v>
      </c>
      <c r="D1372" s="2805"/>
      <c r="E1372" s="2805"/>
      <c r="F1372" s="1683"/>
      <c r="G1372" s="1641"/>
      <c r="H1372" s="1641"/>
      <c r="I1372" s="1641"/>
      <c r="J1372" s="1640"/>
      <c r="K1372" s="1641"/>
      <c r="L1372" s="1657">
        <v>4092.73</v>
      </c>
      <c r="M1372" s="1641"/>
      <c r="N1372" s="1679">
        <v>146315.1</v>
      </c>
      <c r="EW1372" s="2031"/>
      <c r="EX1372" s="1619"/>
      <c r="EY1372" s="1628"/>
      <c r="EZ1372" s="1628"/>
      <c r="FA1372" s="1628"/>
      <c r="FF1372" s="1864" t="s">
        <v>867</v>
      </c>
      <c r="FH1372" s="1628"/>
      <c r="FU1372" s="1678"/>
      <c r="FW1372" s="1678"/>
    </row>
    <row r="1373" spans="1:179" s="1484" customFormat="1" ht="15" x14ac:dyDescent="0.25">
      <c r="A1373" s="2033"/>
      <c r="B1373" s="1631" t="s">
        <v>8054</v>
      </c>
      <c r="C1373" s="2805" t="s">
        <v>8055</v>
      </c>
      <c r="D1373" s="2805"/>
      <c r="E1373" s="2805"/>
      <c r="F1373" s="1683" t="s">
        <v>636</v>
      </c>
      <c r="G1373" s="2034">
        <v>112</v>
      </c>
      <c r="H1373" s="1641"/>
      <c r="I1373" s="2034">
        <v>112</v>
      </c>
      <c r="J1373" s="1640"/>
      <c r="K1373" s="1641"/>
      <c r="L1373" s="1657">
        <v>4583.8599999999997</v>
      </c>
      <c r="M1373" s="1641"/>
      <c r="N1373" s="1679">
        <v>163872.91</v>
      </c>
      <c r="EW1373" s="2031"/>
      <c r="EX1373" s="1619"/>
      <c r="EY1373" s="1628"/>
      <c r="EZ1373" s="1628"/>
      <c r="FA1373" s="1628"/>
      <c r="FF1373" s="1864" t="s">
        <v>8055</v>
      </c>
      <c r="FH1373" s="1628"/>
      <c r="FU1373" s="1678"/>
      <c r="FW1373" s="1678"/>
    </row>
    <row r="1374" spans="1:179" s="1484" customFormat="1" ht="15" x14ac:dyDescent="0.25">
      <c r="A1374" s="2033"/>
      <c r="B1374" s="1631" t="s">
        <v>8056</v>
      </c>
      <c r="C1374" s="2805" t="s">
        <v>8057</v>
      </c>
      <c r="D1374" s="2805"/>
      <c r="E1374" s="2805"/>
      <c r="F1374" s="1683" t="s">
        <v>636</v>
      </c>
      <c r="G1374" s="2034">
        <v>65</v>
      </c>
      <c r="H1374" s="1641"/>
      <c r="I1374" s="2034">
        <v>65</v>
      </c>
      <c r="J1374" s="1640"/>
      <c r="K1374" s="1641"/>
      <c r="L1374" s="1657">
        <v>2660.27</v>
      </c>
      <c r="M1374" s="1641"/>
      <c r="N1374" s="1679">
        <v>95104.82</v>
      </c>
      <c r="EW1374" s="2031"/>
      <c r="EX1374" s="1619"/>
      <c r="EY1374" s="1628"/>
      <c r="EZ1374" s="1628"/>
      <c r="FA1374" s="1628"/>
      <c r="FF1374" s="1864" t="s">
        <v>8057</v>
      </c>
      <c r="FH1374" s="1628"/>
      <c r="FU1374" s="1678"/>
      <c r="FW1374" s="1678"/>
    </row>
    <row r="1375" spans="1:179" s="1484" customFormat="1" ht="15" x14ac:dyDescent="0.25">
      <c r="A1375" s="1650"/>
      <c r="B1375" s="1651"/>
      <c r="C1375" s="2803" t="s">
        <v>872</v>
      </c>
      <c r="D1375" s="2803"/>
      <c r="E1375" s="2803"/>
      <c r="F1375" s="1621"/>
      <c r="G1375" s="1622"/>
      <c r="H1375" s="1622"/>
      <c r="I1375" s="1622"/>
      <c r="J1375" s="1625"/>
      <c r="K1375" s="1622"/>
      <c r="L1375" s="1648">
        <v>118980.97</v>
      </c>
      <c r="M1375" s="2037"/>
      <c r="N1375" s="1649">
        <v>1389128.6</v>
      </c>
      <c r="EW1375" s="2031"/>
      <c r="EX1375" s="1619"/>
      <c r="EY1375" s="1628"/>
      <c r="EZ1375" s="1628"/>
      <c r="FA1375" s="1628"/>
      <c r="FH1375" s="1628" t="s">
        <v>872</v>
      </c>
      <c r="FU1375" s="1678"/>
      <c r="FW1375" s="1678"/>
    </row>
    <row r="1376" spans="1:179" s="1484" customFormat="1" ht="56.25" x14ac:dyDescent="0.25">
      <c r="A1376" s="1620" t="s">
        <v>1588</v>
      </c>
      <c r="B1376" s="1863" t="s">
        <v>8196</v>
      </c>
      <c r="C1376" s="2803" t="s">
        <v>4975</v>
      </c>
      <c r="D1376" s="2803"/>
      <c r="E1376" s="2803"/>
      <c r="F1376" s="1621" t="s">
        <v>801</v>
      </c>
      <c r="G1376" s="1622">
        <v>0.28000000000000003</v>
      </c>
      <c r="H1376" s="1623">
        <v>1</v>
      </c>
      <c r="I1376" s="1687">
        <v>0.28000000000000003</v>
      </c>
      <c r="J1376" s="1648">
        <v>11820.72</v>
      </c>
      <c r="K1376" s="1622"/>
      <c r="L1376" s="1648">
        <v>3309.8</v>
      </c>
      <c r="M1376" s="1687">
        <v>9.14</v>
      </c>
      <c r="N1376" s="1649">
        <v>30251.57</v>
      </c>
      <c r="EW1376" s="2031"/>
      <c r="EX1376" s="1619"/>
      <c r="EY1376" s="1628" t="s">
        <v>4975</v>
      </c>
      <c r="EZ1376" s="1628" t="s">
        <v>588</v>
      </c>
      <c r="FA1376" s="1628" t="s">
        <v>588</v>
      </c>
      <c r="FH1376" s="1628"/>
      <c r="FU1376" s="1678"/>
      <c r="FW1376" s="1678"/>
    </row>
    <row r="1377" spans="1:179" s="1484" customFormat="1" ht="15" x14ac:dyDescent="0.25">
      <c r="A1377" s="1650"/>
      <c r="B1377" s="1651"/>
      <c r="C1377" s="2805" t="s">
        <v>6075</v>
      </c>
      <c r="D1377" s="2805"/>
      <c r="E1377" s="2805"/>
      <c r="F1377" s="2805"/>
      <c r="G1377" s="2805"/>
      <c r="H1377" s="2805"/>
      <c r="I1377" s="2805"/>
      <c r="J1377" s="2805"/>
      <c r="K1377" s="2805"/>
      <c r="L1377" s="2805"/>
      <c r="M1377" s="2805"/>
      <c r="N1377" s="2806"/>
      <c r="EW1377" s="2031"/>
      <c r="EX1377" s="1619"/>
      <c r="EY1377" s="1628"/>
      <c r="EZ1377" s="1628"/>
      <c r="FA1377" s="1628"/>
      <c r="FH1377" s="1628"/>
      <c r="FI1377" s="1864" t="s">
        <v>6075</v>
      </c>
      <c r="FJ1377" s="1864" t="s">
        <v>588</v>
      </c>
      <c r="FK1377" s="1864" t="s">
        <v>588</v>
      </c>
      <c r="FL1377" s="1864" t="s">
        <v>588</v>
      </c>
      <c r="FM1377" s="1864" t="s">
        <v>588</v>
      </c>
      <c r="FN1377" s="1864" t="s">
        <v>588</v>
      </c>
      <c r="FO1377" s="1864" t="s">
        <v>588</v>
      </c>
      <c r="FP1377" s="1864" t="s">
        <v>588</v>
      </c>
      <c r="FQ1377" s="1864" t="s">
        <v>588</v>
      </c>
      <c r="FR1377" s="1864" t="s">
        <v>588</v>
      </c>
      <c r="FS1377" s="1864" t="s">
        <v>588</v>
      </c>
      <c r="FT1377" s="1864" t="s">
        <v>588</v>
      </c>
      <c r="FU1377" s="1678"/>
      <c r="FW1377" s="1678"/>
    </row>
    <row r="1378" spans="1:179" s="1484" customFormat="1" ht="15" x14ac:dyDescent="0.25">
      <c r="A1378" s="1650"/>
      <c r="B1378" s="1651"/>
      <c r="C1378" s="2803" t="s">
        <v>872</v>
      </c>
      <c r="D1378" s="2803"/>
      <c r="E1378" s="2803"/>
      <c r="F1378" s="1621"/>
      <c r="G1378" s="1622"/>
      <c r="H1378" s="1622"/>
      <c r="I1378" s="1622"/>
      <c r="J1378" s="1625"/>
      <c r="K1378" s="1622"/>
      <c r="L1378" s="1648">
        <v>3309.8</v>
      </c>
      <c r="M1378" s="2037"/>
      <c r="N1378" s="1649">
        <v>30251.57</v>
      </c>
      <c r="EW1378" s="2031"/>
      <c r="EX1378" s="1619"/>
      <c r="EY1378" s="1628"/>
      <c r="EZ1378" s="1628"/>
      <c r="FA1378" s="1628"/>
      <c r="FH1378" s="1628" t="s">
        <v>872</v>
      </c>
      <c r="FU1378" s="1678"/>
      <c r="FW1378" s="1678"/>
    </row>
    <row r="1379" spans="1:179" s="1484" customFormat="1" ht="15" x14ac:dyDescent="0.25">
      <c r="A1379" s="1620" t="s">
        <v>1594</v>
      </c>
      <c r="B1379" s="1863" t="s">
        <v>8197</v>
      </c>
      <c r="C1379" s="2803" t="s">
        <v>8198</v>
      </c>
      <c r="D1379" s="2803"/>
      <c r="E1379" s="2803"/>
      <c r="F1379" s="1621" t="s">
        <v>835</v>
      </c>
      <c r="G1379" s="1622">
        <v>140</v>
      </c>
      <c r="H1379" s="1623">
        <v>1</v>
      </c>
      <c r="I1379" s="1623">
        <v>140</v>
      </c>
      <c r="J1379" s="2040">
        <v>71.2</v>
      </c>
      <c r="K1379" s="1622"/>
      <c r="L1379" s="1648">
        <v>9968</v>
      </c>
      <c r="M1379" s="1687">
        <v>9.14</v>
      </c>
      <c r="N1379" s="1649">
        <v>91107.520000000004</v>
      </c>
      <c r="EW1379" s="2031"/>
      <c r="EX1379" s="1619"/>
      <c r="EY1379" s="1628" t="s">
        <v>8198</v>
      </c>
      <c r="EZ1379" s="1628" t="s">
        <v>588</v>
      </c>
      <c r="FA1379" s="1628" t="s">
        <v>588</v>
      </c>
      <c r="FH1379" s="1628"/>
      <c r="FU1379" s="1678"/>
      <c r="FW1379" s="1678"/>
    </row>
    <row r="1380" spans="1:179" s="1484" customFormat="1" ht="15" x14ac:dyDescent="0.25">
      <c r="A1380" s="1650"/>
      <c r="B1380" s="1651"/>
      <c r="C1380" s="2805" t="s">
        <v>8640</v>
      </c>
      <c r="D1380" s="2805"/>
      <c r="E1380" s="2805"/>
      <c r="F1380" s="2805"/>
      <c r="G1380" s="2805"/>
      <c r="H1380" s="2805"/>
      <c r="I1380" s="2805"/>
      <c r="J1380" s="2805"/>
      <c r="K1380" s="2805"/>
      <c r="L1380" s="2805"/>
      <c r="M1380" s="2805"/>
      <c r="N1380" s="2806"/>
      <c r="EW1380" s="2031"/>
      <c r="EX1380" s="1619"/>
      <c r="EY1380" s="1628"/>
      <c r="EZ1380" s="1628"/>
      <c r="FA1380" s="1628"/>
      <c r="FH1380" s="1628"/>
      <c r="FI1380" s="1864" t="s">
        <v>8640</v>
      </c>
      <c r="FJ1380" s="1864" t="s">
        <v>588</v>
      </c>
      <c r="FK1380" s="1864" t="s">
        <v>588</v>
      </c>
      <c r="FL1380" s="1864" t="s">
        <v>588</v>
      </c>
      <c r="FM1380" s="1864" t="s">
        <v>588</v>
      </c>
      <c r="FN1380" s="1864" t="s">
        <v>588</v>
      </c>
      <c r="FO1380" s="1864" t="s">
        <v>588</v>
      </c>
      <c r="FP1380" s="1864" t="s">
        <v>588</v>
      </c>
      <c r="FQ1380" s="1864" t="s">
        <v>588</v>
      </c>
      <c r="FR1380" s="1864" t="s">
        <v>588</v>
      </c>
      <c r="FS1380" s="1864" t="s">
        <v>588</v>
      </c>
      <c r="FT1380" s="1864" t="s">
        <v>588</v>
      </c>
      <c r="FU1380" s="1678"/>
      <c r="FW1380" s="1678"/>
    </row>
    <row r="1381" spans="1:179" s="1484" customFormat="1" ht="15" x14ac:dyDescent="0.25">
      <c r="A1381" s="1650"/>
      <c r="B1381" s="1651"/>
      <c r="C1381" s="2803" t="s">
        <v>872</v>
      </c>
      <c r="D1381" s="2803"/>
      <c r="E1381" s="2803"/>
      <c r="F1381" s="1621"/>
      <c r="G1381" s="1622"/>
      <c r="H1381" s="1622"/>
      <c r="I1381" s="1622"/>
      <c r="J1381" s="1625"/>
      <c r="K1381" s="1622"/>
      <c r="L1381" s="1648">
        <v>9968</v>
      </c>
      <c r="M1381" s="2037"/>
      <c r="N1381" s="1649">
        <v>91107.520000000004</v>
      </c>
      <c r="EW1381" s="2031"/>
      <c r="EX1381" s="1619"/>
      <c r="EY1381" s="1628"/>
      <c r="EZ1381" s="1628"/>
      <c r="FA1381" s="1628"/>
      <c r="FH1381" s="1628" t="s">
        <v>872</v>
      </c>
      <c r="FU1381" s="1678"/>
      <c r="FW1381" s="1678"/>
    </row>
    <row r="1382" spans="1:179" s="1484" customFormat="1" ht="45" x14ac:dyDescent="0.25">
      <c r="A1382" s="1620" t="s">
        <v>1599</v>
      </c>
      <c r="B1382" s="1863" t="s">
        <v>8823</v>
      </c>
      <c r="C1382" s="2803" t="s">
        <v>8199</v>
      </c>
      <c r="D1382" s="2803"/>
      <c r="E1382" s="2803"/>
      <c r="F1382" s="1621" t="s">
        <v>2555</v>
      </c>
      <c r="G1382" s="1622">
        <v>7</v>
      </c>
      <c r="H1382" s="1623">
        <v>1</v>
      </c>
      <c r="I1382" s="1623">
        <v>7</v>
      </c>
      <c r="J1382" s="1625"/>
      <c r="K1382" s="1622"/>
      <c r="L1382" s="1625"/>
      <c r="M1382" s="1622"/>
      <c r="N1382" s="1627"/>
      <c r="EW1382" s="2031"/>
      <c r="EX1382" s="1619"/>
      <c r="EY1382" s="1628" t="s">
        <v>8199</v>
      </c>
      <c r="EZ1382" s="1628" t="s">
        <v>588</v>
      </c>
      <c r="FA1382" s="1628" t="s">
        <v>588</v>
      </c>
      <c r="FH1382" s="1628"/>
      <c r="FU1382" s="1678"/>
      <c r="FW1382" s="1678"/>
    </row>
    <row r="1383" spans="1:179" s="1484" customFormat="1" ht="15" x14ac:dyDescent="0.25">
      <c r="A1383" s="1629"/>
      <c r="B1383" s="1862"/>
      <c r="C1383" s="2805" t="s">
        <v>8829</v>
      </c>
      <c r="D1383" s="2805"/>
      <c r="E1383" s="2805"/>
      <c r="F1383" s="2805"/>
      <c r="G1383" s="2805"/>
      <c r="H1383" s="2805"/>
      <c r="I1383" s="2805"/>
      <c r="J1383" s="2805"/>
      <c r="K1383" s="2805"/>
      <c r="L1383" s="2805"/>
      <c r="M1383" s="2805"/>
      <c r="N1383" s="2806"/>
      <c r="EW1383" s="2031"/>
      <c r="EX1383" s="1619"/>
      <c r="EY1383" s="1628"/>
      <c r="EZ1383" s="1628"/>
      <c r="FA1383" s="1628"/>
      <c r="FB1383" s="1864" t="s">
        <v>8829</v>
      </c>
      <c r="FH1383" s="1628"/>
      <c r="FU1383" s="1678"/>
      <c r="FW1383" s="1678"/>
    </row>
    <row r="1384" spans="1:179" s="1484" customFormat="1" ht="22.5" x14ac:dyDescent="0.25">
      <c r="A1384" s="1630"/>
      <c r="B1384" s="1631" t="s">
        <v>6062</v>
      </c>
      <c r="C1384" s="2809" t="s">
        <v>6063</v>
      </c>
      <c r="D1384" s="2809"/>
      <c r="E1384" s="2809"/>
      <c r="F1384" s="2809"/>
      <c r="G1384" s="2809"/>
      <c r="H1384" s="2809"/>
      <c r="I1384" s="2809"/>
      <c r="J1384" s="2809"/>
      <c r="K1384" s="2809"/>
      <c r="L1384" s="2809"/>
      <c r="M1384" s="2809"/>
      <c r="N1384" s="2810"/>
      <c r="EW1384" s="2031"/>
      <c r="EX1384" s="1619"/>
      <c r="EY1384" s="1628"/>
      <c r="EZ1384" s="1628"/>
      <c r="FA1384" s="1628"/>
      <c r="FC1384" s="1864" t="s">
        <v>6063</v>
      </c>
      <c r="FH1384" s="1628"/>
      <c r="FU1384" s="1678"/>
      <c r="FW1384" s="1678"/>
    </row>
    <row r="1385" spans="1:179" s="1484" customFormat="1" ht="15" x14ac:dyDescent="0.25">
      <c r="A1385" s="1630"/>
      <c r="B1385" s="1631" t="s">
        <v>8142</v>
      </c>
      <c r="C1385" s="2809" t="s">
        <v>8200</v>
      </c>
      <c r="D1385" s="2809"/>
      <c r="E1385" s="2809"/>
      <c r="F1385" s="2809"/>
      <c r="G1385" s="2809"/>
      <c r="H1385" s="2809"/>
      <c r="I1385" s="2809"/>
      <c r="J1385" s="2809"/>
      <c r="K1385" s="2809"/>
      <c r="L1385" s="2809"/>
      <c r="M1385" s="2809"/>
      <c r="N1385" s="2810"/>
      <c r="EW1385" s="2031"/>
      <c r="EX1385" s="1619"/>
      <c r="EY1385" s="1628"/>
      <c r="EZ1385" s="1628"/>
      <c r="FA1385" s="1628"/>
      <c r="FC1385" s="1864" t="s">
        <v>8200</v>
      </c>
      <c r="FH1385" s="1628"/>
      <c r="FU1385" s="1678"/>
      <c r="FW1385" s="1678"/>
    </row>
    <row r="1386" spans="1:179" s="1484" customFormat="1" ht="22.5" x14ac:dyDescent="0.25">
      <c r="A1386" s="2033"/>
      <c r="B1386" s="1631" t="s">
        <v>3260</v>
      </c>
      <c r="C1386" s="2805" t="s">
        <v>8636</v>
      </c>
      <c r="D1386" s="2805"/>
      <c r="E1386" s="2805"/>
      <c r="F1386" s="1683" t="s">
        <v>807</v>
      </c>
      <c r="G1386" s="1655">
        <v>3.84</v>
      </c>
      <c r="H1386" s="2034">
        <v>56</v>
      </c>
      <c r="I1386" s="1655">
        <v>1505.28</v>
      </c>
      <c r="J1386" s="1654">
        <v>9.18</v>
      </c>
      <c r="K1386" s="1655">
        <v>1.25</v>
      </c>
      <c r="L1386" s="1657">
        <v>17273.09</v>
      </c>
      <c r="M1386" s="1641"/>
      <c r="N1386" s="1681"/>
      <c r="EW1386" s="2031"/>
      <c r="EX1386" s="1619"/>
      <c r="EY1386" s="1628"/>
      <c r="EZ1386" s="1628"/>
      <c r="FA1386" s="1628"/>
      <c r="FD1386" s="1864" t="s">
        <v>8636</v>
      </c>
      <c r="FH1386" s="1628"/>
      <c r="FU1386" s="1678"/>
      <c r="FW1386" s="1678"/>
    </row>
    <row r="1387" spans="1:179" s="1484" customFormat="1" ht="22.5" x14ac:dyDescent="0.25">
      <c r="A1387" s="2033"/>
      <c r="B1387" s="1631" t="s">
        <v>5010</v>
      </c>
      <c r="C1387" s="2805" t="s">
        <v>5011</v>
      </c>
      <c r="D1387" s="2805"/>
      <c r="E1387" s="2805"/>
      <c r="F1387" s="1683" t="s">
        <v>4994</v>
      </c>
      <c r="G1387" s="1655">
        <v>0.01</v>
      </c>
      <c r="H1387" s="2034">
        <v>56</v>
      </c>
      <c r="I1387" s="1655">
        <v>3.92</v>
      </c>
      <c r="J1387" s="1654">
        <v>31.26</v>
      </c>
      <c r="K1387" s="1641"/>
      <c r="L1387" s="1654">
        <v>122.54</v>
      </c>
      <c r="M1387" s="1641"/>
      <c r="N1387" s="1681"/>
      <c r="EW1387" s="2031"/>
      <c r="EX1387" s="1619"/>
      <c r="EY1387" s="1628"/>
      <c r="EZ1387" s="1628"/>
      <c r="FA1387" s="1628"/>
      <c r="FD1387" s="1864" t="s">
        <v>5011</v>
      </c>
      <c r="FH1387" s="1628"/>
      <c r="FU1387" s="1678"/>
      <c r="FW1387" s="1678"/>
    </row>
    <row r="1388" spans="1:179" s="1484" customFormat="1" ht="15" x14ac:dyDescent="0.25">
      <c r="A1388" s="2033"/>
      <c r="B1388" s="1631" t="s">
        <v>821</v>
      </c>
      <c r="C1388" s="2805" t="s">
        <v>822</v>
      </c>
      <c r="D1388" s="2805"/>
      <c r="E1388" s="2805"/>
      <c r="F1388" s="1683" t="s">
        <v>4994</v>
      </c>
      <c r="G1388" s="1655">
        <v>7.0000000000000007E-2</v>
      </c>
      <c r="H1388" s="2034">
        <v>56</v>
      </c>
      <c r="I1388" s="1655">
        <v>27.44</v>
      </c>
      <c r="J1388" s="1654">
        <v>65.709999999999994</v>
      </c>
      <c r="K1388" s="1641"/>
      <c r="L1388" s="1657">
        <v>1803.08</v>
      </c>
      <c r="M1388" s="1641"/>
      <c r="N1388" s="1681"/>
      <c r="EW1388" s="2031"/>
      <c r="EX1388" s="1619"/>
      <c r="EY1388" s="1628"/>
      <c r="EZ1388" s="1628"/>
      <c r="FA1388" s="1628"/>
      <c r="FD1388" s="1864" t="s">
        <v>822</v>
      </c>
      <c r="FH1388" s="1628"/>
      <c r="FU1388" s="1678"/>
      <c r="FW1388" s="1678"/>
    </row>
    <row r="1389" spans="1:179" s="1484" customFormat="1" ht="22.5" x14ac:dyDescent="0.25">
      <c r="A1389" s="2033"/>
      <c r="B1389" s="1631" t="s">
        <v>4938</v>
      </c>
      <c r="C1389" s="2805" t="s">
        <v>4939</v>
      </c>
      <c r="D1389" s="2805"/>
      <c r="E1389" s="2805"/>
      <c r="F1389" s="1683" t="s">
        <v>835</v>
      </c>
      <c r="G1389" s="1953">
        <v>71.5</v>
      </c>
      <c r="H1389" s="2034">
        <v>56</v>
      </c>
      <c r="I1389" s="2034">
        <v>28028</v>
      </c>
      <c r="J1389" s="1654">
        <v>50.19</v>
      </c>
      <c r="K1389" s="1641"/>
      <c r="L1389" s="1657">
        <v>1406725.32</v>
      </c>
      <c r="M1389" s="1641"/>
      <c r="N1389" s="1681"/>
      <c r="EW1389" s="2031"/>
      <c r="EX1389" s="1619"/>
      <c r="EY1389" s="1628"/>
      <c r="EZ1389" s="1628"/>
      <c r="FA1389" s="1628"/>
      <c r="FD1389" s="1864" t="s">
        <v>4939</v>
      </c>
      <c r="FH1389" s="1628"/>
      <c r="FU1389" s="1678"/>
      <c r="FW1389" s="1678"/>
    </row>
    <row r="1390" spans="1:179" s="1484" customFormat="1" ht="15" x14ac:dyDescent="0.25">
      <c r="A1390" s="2032"/>
      <c r="B1390" s="1631" t="s">
        <v>190</v>
      </c>
      <c r="C1390" s="2805" t="s">
        <v>2523</v>
      </c>
      <c r="D1390" s="2805"/>
      <c r="E1390" s="2805"/>
      <c r="F1390" s="1683"/>
      <c r="G1390" s="1641"/>
      <c r="H1390" s="1641"/>
      <c r="I1390" s="1641"/>
      <c r="J1390" s="1654">
        <v>35.25</v>
      </c>
      <c r="K1390" s="2034">
        <v>70</v>
      </c>
      <c r="L1390" s="1657">
        <v>17272.5</v>
      </c>
      <c r="M1390" s="1655">
        <v>35.75</v>
      </c>
      <c r="N1390" s="1679">
        <v>617491.88</v>
      </c>
      <c r="EW1390" s="2031"/>
      <c r="EX1390" s="1619"/>
      <c r="EY1390" s="1628"/>
      <c r="EZ1390" s="1628"/>
      <c r="FA1390" s="1628"/>
      <c r="FE1390" s="1864" t="s">
        <v>2523</v>
      </c>
      <c r="FH1390" s="1628"/>
      <c r="FU1390" s="1678"/>
      <c r="FW1390" s="1678"/>
    </row>
    <row r="1391" spans="1:179" s="1484" customFormat="1" ht="15" x14ac:dyDescent="0.25">
      <c r="A1391" s="2032"/>
      <c r="B1391" s="1631" t="s">
        <v>639</v>
      </c>
      <c r="C1391" s="2805" t="s">
        <v>697</v>
      </c>
      <c r="D1391" s="2805"/>
      <c r="E1391" s="2805"/>
      <c r="F1391" s="1683"/>
      <c r="G1391" s="1641"/>
      <c r="H1391" s="1641"/>
      <c r="I1391" s="1641"/>
      <c r="J1391" s="1654">
        <v>4.91</v>
      </c>
      <c r="K1391" s="2034">
        <v>56</v>
      </c>
      <c r="L1391" s="1657">
        <v>1924.72</v>
      </c>
      <c r="M1391" s="1655">
        <v>11.97</v>
      </c>
      <c r="N1391" s="1679">
        <v>23038.9</v>
      </c>
      <c r="EW1391" s="2031"/>
      <c r="EX1391" s="1619"/>
      <c r="EY1391" s="1628"/>
      <c r="EZ1391" s="1628"/>
      <c r="FA1391" s="1628"/>
      <c r="FE1391" s="1864" t="s">
        <v>697</v>
      </c>
      <c r="FH1391" s="1628"/>
      <c r="FU1391" s="1678"/>
      <c r="FW1391" s="1678"/>
    </row>
    <row r="1392" spans="1:179" s="1484" customFormat="1" ht="15" x14ac:dyDescent="0.25">
      <c r="A1392" s="2032"/>
      <c r="B1392" s="1631" t="s">
        <v>640</v>
      </c>
      <c r="C1392" s="2805" t="s">
        <v>2500</v>
      </c>
      <c r="D1392" s="2805"/>
      <c r="E1392" s="2805"/>
      <c r="F1392" s="1683"/>
      <c r="G1392" s="1641"/>
      <c r="H1392" s="1641"/>
      <c r="I1392" s="1641"/>
      <c r="J1392" s="1654">
        <v>0.95</v>
      </c>
      <c r="K1392" s="2034">
        <v>56</v>
      </c>
      <c r="L1392" s="1654">
        <v>372.4</v>
      </c>
      <c r="M1392" s="1655">
        <v>35.75</v>
      </c>
      <c r="N1392" s="1679">
        <v>13313.3</v>
      </c>
      <c r="EW1392" s="2031"/>
      <c r="EX1392" s="1619"/>
      <c r="EY1392" s="1628"/>
      <c r="EZ1392" s="1628"/>
      <c r="FA1392" s="1628"/>
      <c r="FE1392" s="1864" t="s">
        <v>2500</v>
      </c>
      <c r="FH1392" s="1628"/>
      <c r="FU1392" s="1678"/>
      <c r="FW1392" s="1678"/>
    </row>
    <row r="1393" spans="1:179" s="1484" customFormat="1" ht="15" x14ac:dyDescent="0.25">
      <c r="A1393" s="2032"/>
      <c r="B1393" s="1631" t="s">
        <v>232</v>
      </c>
      <c r="C1393" s="2805" t="s">
        <v>829</v>
      </c>
      <c r="D1393" s="2805"/>
      <c r="E1393" s="2805"/>
      <c r="F1393" s="1683"/>
      <c r="G1393" s="1641"/>
      <c r="H1393" s="1641"/>
      <c r="I1393" s="1641"/>
      <c r="J1393" s="1657">
        <v>3588.59</v>
      </c>
      <c r="K1393" s="2034">
        <v>56</v>
      </c>
      <c r="L1393" s="1657">
        <v>1406727.28</v>
      </c>
      <c r="M1393" s="1655">
        <v>9.14</v>
      </c>
      <c r="N1393" s="1679">
        <v>12857487.34</v>
      </c>
      <c r="EW1393" s="2031"/>
      <c r="EX1393" s="1619"/>
      <c r="EY1393" s="1628"/>
      <c r="EZ1393" s="1628"/>
      <c r="FA1393" s="1628"/>
      <c r="FE1393" s="1864" t="s">
        <v>829</v>
      </c>
      <c r="FH1393" s="1628"/>
      <c r="FU1393" s="1678"/>
      <c r="FW1393" s="1678"/>
    </row>
    <row r="1394" spans="1:179" s="1484" customFormat="1" ht="15" x14ac:dyDescent="0.25">
      <c r="A1394" s="2033"/>
      <c r="B1394" s="1631"/>
      <c r="C1394" s="2805" t="s">
        <v>2524</v>
      </c>
      <c r="D1394" s="2805"/>
      <c r="E1394" s="2805"/>
      <c r="F1394" s="1683" t="s">
        <v>807</v>
      </c>
      <c r="G1394" s="1655">
        <v>3.84</v>
      </c>
      <c r="H1394" s="2034">
        <v>56</v>
      </c>
      <c r="I1394" s="1655">
        <v>1505.28</v>
      </c>
      <c r="J1394" s="1640"/>
      <c r="K1394" s="1641"/>
      <c r="L1394" s="1640"/>
      <c r="M1394" s="1641"/>
      <c r="N1394" s="1681"/>
      <c r="EW1394" s="2031"/>
      <c r="EX1394" s="1619"/>
      <c r="EY1394" s="1628"/>
      <c r="EZ1394" s="1628"/>
      <c r="FA1394" s="1628"/>
      <c r="FF1394" s="1864" t="s">
        <v>2524</v>
      </c>
      <c r="FH1394" s="1628"/>
      <c r="FU1394" s="1678"/>
      <c r="FW1394" s="1678"/>
    </row>
    <row r="1395" spans="1:179" s="1484" customFormat="1" ht="15" x14ac:dyDescent="0.25">
      <c r="A1395" s="2033"/>
      <c r="B1395" s="1631"/>
      <c r="C1395" s="2805" t="s">
        <v>2501</v>
      </c>
      <c r="D1395" s="2805"/>
      <c r="E1395" s="2805"/>
      <c r="F1395" s="1683" t="s">
        <v>807</v>
      </c>
      <c r="G1395" s="1655">
        <v>0.08</v>
      </c>
      <c r="H1395" s="2034">
        <v>56</v>
      </c>
      <c r="I1395" s="1655">
        <v>31.36</v>
      </c>
      <c r="J1395" s="1640"/>
      <c r="K1395" s="1641"/>
      <c r="L1395" s="1640"/>
      <c r="M1395" s="1641"/>
      <c r="N1395" s="1681"/>
      <c r="EW1395" s="2031"/>
      <c r="EX1395" s="1619"/>
      <c r="EY1395" s="1628"/>
      <c r="EZ1395" s="1628"/>
      <c r="FA1395" s="1628"/>
      <c r="FF1395" s="1864" t="s">
        <v>2501</v>
      </c>
      <c r="FH1395" s="1628"/>
      <c r="FU1395" s="1678"/>
      <c r="FW1395" s="1678"/>
    </row>
    <row r="1396" spans="1:179" s="1484" customFormat="1" ht="15" x14ac:dyDescent="0.25">
      <c r="A1396" s="2032"/>
      <c r="B1396" s="1631"/>
      <c r="C1396" s="2917" t="s">
        <v>2502</v>
      </c>
      <c r="D1396" s="2917"/>
      <c r="E1396" s="2917"/>
      <c r="F1396" s="2036"/>
      <c r="G1396" s="2037"/>
      <c r="H1396" s="2037"/>
      <c r="I1396" s="2037"/>
      <c r="J1396" s="2038">
        <v>3628.75</v>
      </c>
      <c r="K1396" s="2037"/>
      <c r="L1396" s="2038">
        <v>1425924.5</v>
      </c>
      <c r="M1396" s="2037"/>
      <c r="N1396" s="2068">
        <v>13498018.119999999</v>
      </c>
      <c r="EW1396" s="2031"/>
      <c r="EX1396" s="1619"/>
      <c r="EY1396" s="1628"/>
      <c r="EZ1396" s="1628"/>
      <c r="FA1396" s="1628"/>
      <c r="FG1396" s="1864" t="s">
        <v>2502</v>
      </c>
      <c r="FH1396" s="1628"/>
      <c r="FU1396" s="1678"/>
      <c r="FW1396" s="1678"/>
    </row>
    <row r="1397" spans="1:179" s="1484" customFormat="1" ht="15" x14ac:dyDescent="0.25">
      <c r="A1397" s="2033" t="s">
        <v>8201</v>
      </c>
      <c r="B1397" s="1631"/>
      <c r="C1397" s="2805" t="s">
        <v>7964</v>
      </c>
      <c r="D1397" s="2805"/>
      <c r="E1397" s="2805"/>
      <c r="F1397" s="1683" t="s">
        <v>5928</v>
      </c>
      <c r="G1397" s="1641"/>
      <c r="H1397" s="1641"/>
      <c r="I1397" s="1641"/>
      <c r="J1397" s="1640"/>
      <c r="K1397" s="1641"/>
      <c r="L1397" s="1654">
        <v>93.1</v>
      </c>
      <c r="M1397" s="1641"/>
      <c r="N1397" s="1679">
        <v>3328.33</v>
      </c>
      <c r="EW1397" s="2031"/>
      <c r="EX1397" s="1619"/>
      <c r="EY1397" s="1628"/>
      <c r="EZ1397" s="1628"/>
      <c r="FA1397" s="1628"/>
      <c r="FF1397" s="1864" t="s">
        <v>7964</v>
      </c>
      <c r="FH1397" s="1628"/>
      <c r="FU1397" s="1678"/>
      <c r="FW1397" s="1678"/>
    </row>
    <row r="1398" spans="1:179" s="1484" customFormat="1" ht="15" x14ac:dyDescent="0.25">
      <c r="A1398" s="2033"/>
      <c r="B1398" s="1631"/>
      <c r="C1398" s="2805" t="s">
        <v>7965</v>
      </c>
      <c r="D1398" s="2805"/>
      <c r="E1398" s="2805"/>
      <c r="F1398" s="1683" t="s">
        <v>5928</v>
      </c>
      <c r="G1398" s="1641"/>
      <c r="H1398" s="1641"/>
      <c r="I1398" s="1641"/>
      <c r="J1398" s="1654">
        <v>0.95</v>
      </c>
      <c r="K1398" s="2034">
        <v>14</v>
      </c>
      <c r="L1398" s="1654">
        <v>93.1</v>
      </c>
      <c r="M1398" s="1655">
        <v>35.75</v>
      </c>
      <c r="N1398" s="1679">
        <v>3328.33</v>
      </c>
      <c r="EW1398" s="2031"/>
      <c r="EX1398" s="1619"/>
      <c r="EY1398" s="1628"/>
      <c r="EZ1398" s="1628"/>
      <c r="FA1398" s="1628"/>
      <c r="FF1398" s="1864" t="s">
        <v>7965</v>
      </c>
      <c r="FH1398" s="1628"/>
      <c r="FU1398" s="1678"/>
      <c r="FW1398" s="1678"/>
    </row>
    <row r="1399" spans="1:179" s="1484" customFormat="1" ht="15" x14ac:dyDescent="0.25">
      <c r="A1399" s="2033"/>
      <c r="B1399" s="1631"/>
      <c r="C1399" s="2805" t="s">
        <v>867</v>
      </c>
      <c r="D1399" s="2805"/>
      <c r="E1399" s="2805"/>
      <c r="F1399" s="1683"/>
      <c r="G1399" s="1641"/>
      <c r="H1399" s="1641"/>
      <c r="I1399" s="1641"/>
      <c r="J1399" s="1640"/>
      <c r="K1399" s="1641"/>
      <c r="L1399" s="1657">
        <v>17738</v>
      </c>
      <c r="M1399" s="1641"/>
      <c r="N1399" s="1679">
        <v>634133.51</v>
      </c>
      <c r="EW1399" s="2031"/>
      <c r="EX1399" s="1619"/>
      <c r="EY1399" s="1628"/>
      <c r="EZ1399" s="1628"/>
      <c r="FA1399" s="1628"/>
      <c r="FF1399" s="1864" t="s">
        <v>867</v>
      </c>
      <c r="FH1399" s="1628"/>
      <c r="FU1399" s="1678"/>
      <c r="FW1399" s="1678"/>
    </row>
    <row r="1400" spans="1:179" s="1484" customFormat="1" ht="15" x14ac:dyDescent="0.25">
      <c r="A1400" s="2033"/>
      <c r="B1400" s="1631" t="s">
        <v>8054</v>
      </c>
      <c r="C1400" s="2805" t="s">
        <v>8055</v>
      </c>
      <c r="D1400" s="2805"/>
      <c r="E1400" s="2805"/>
      <c r="F1400" s="1683" t="s">
        <v>636</v>
      </c>
      <c r="G1400" s="2034">
        <v>112</v>
      </c>
      <c r="H1400" s="1641"/>
      <c r="I1400" s="2034">
        <v>112</v>
      </c>
      <c r="J1400" s="1640"/>
      <c r="K1400" s="1641"/>
      <c r="L1400" s="1657">
        <v>19866.560000000001</v>
      </c>
      <c r="M1400" s="1641"/>
      <c r="N1400" s="1679">
        <v>710229.53</v>
      </c>
      <c r="EW1400" s="2031"/>
      <c r="EX1400" s="1619"/>
      <c r="EY1400" s="1628"/>
      <c r="EZ1400" s="1628"/>
      <c r="FA1400" s="1628"/>
      <c r="FF1400" s="1864" t="s">
        <v>8055</v>
      </c>
      <c r="FH1400" s="1628"/>
      <c r="FU1400" s="1678"/>
      <c r="FW1400" s="1678"/>
    </row>
    <row r="1401" spans="1:179" s="1484" customFormat="1" ht="15" x14ac:dyDescent="0.25">
      <c r="A1401" s="2033"/>
      <c r="B1401" s="1631" t="s">
        <v>8056</v>
      </c>
      <c r="C1401" s="2805" t="s">
        <v>8057</v>
      </c>
      <c r="D1401" s="2805"/>
      <c r="E1401" s="2805"/>
      <c r="F1401" s="1683" t="s">
        <v>636</v>
      </c>
      <c r="G1401" s="2034">
        <v>65</v>
      </c>
      <c r="H1401" s="1641"/>
      <c r="I1401" s="2034">
        <v>65</v>
      </c>
      <c r="J1401" s="1640"/>
      <c r="K1401" s="1641"/>
      <c r="L1401" s="1657">
        <v>11529.7</v>
      </c>
      <c r="M1401" s="1641"/>
      <c r="N1401" s="1679">
        <v>412186.78</v>
      </c>
      <c r="EW1401" s="2031"/>
      <c r="EX1401" s="1619"/>
      <c r="EY1401" s="1628"/>
      <c r="EZ1401" s="1628"/>
      <c r="FA1401" s="1628"/>
      <c r="FF1401" s="1864" t="s">
        <v>8057</v>
      </c>
      <c r="FH1401" s="1628"/>
      <c r="FU1401" s="1678"/>
      <c r="FW1401" s="1678"/>
    </row>
    <row r="1402" spans="1:179" s="1484" customFormat="1" ht="15" x14ac:dyDescent="0.25">
      <c r="A1402" s="1650"/>
      <c r="B1402" s="1651"/>
      <c r="C1402" s="2803" t="s">
        <v>872</v>
      </c>
      <c r="D1402" s="2803"/>
      <c r="E1402" s="2803"/>
      <c r="F1402" s="1621"/>
      <c r="G1402" s="1622"/>
      <c r="H1402" s="1622"/>
      <c r="I1402" s="1622"/>
      <c r="J1402" s="1625"/>
      <c r="K1402" s="1622"/>
      <c r="L1402" s="1648">
        <v>1457413.86</v>
      </c>
      <c r="M1402" s="2037"/>
      <c r="N1402" s="1649">
        <v>14623762.76</v>
      </c>
      <c r="EW1402" s="2031"/>
      <c r="EX1402" s="1619"/>
      <c r="EY1402" s="1628"/>
      <c r="EZ1402" s="1628"/>
      <c r="FA1402" s="1628"/>
      <c r="FH1402" s="1628" t="s">
        <v>872</v>
      </c>
      <c r="FU1402" s="1678"/>
      <c r="FW1402" s="1678"/>
    </row>
    <row r="1403" spans="1:179" s="1484" customFormat="1" ht="15" x14ac:dyDescent="0.25">
      <c r="A1403" s="2811" t="s">
        <v>8202</v>
      </c>
      <c r="B1403" s="2812"/>
      <c r="C1403" s="2812"/>
      <c r="D1403" s="2812"/>
      <c r="E1403" s="2812"/>
      <c r="F1403" s="2812"/>
      <c r="G1403" s="2812"/>
      <c r="H1403" s="2812"/>
      <c r="I1403" s="2812"/>
      <c r="J1403" s="2812"/>
      <c r="K1403" s="2812"/>
      <c r="L1403" s="2812"/>
      <c r="M1403" s="2812"/>
      <c r="N1403" s="2813"/>
      <c r="EW1403" s="2031"/>
      <c r="EX1403" s="1619" t="s">
        <v>8202</v>
      </c>
      <c r="EY1403" s="1628"/>
      <c r="EZ1403" s="1628"/>
      <c r="FA1403" s="1628"/>
      <c r="FH1403" s="1628"/>
      <c r="FU1403" s="1678"/>
      <c r="FW1403" s="1678"/>
    </row>
    <row r="1404" spans="1:179" s="1484" customFormat="1" ht="33.75" x14ac:dyDescent="0.25">
      <c r="A1404" s="1620" t="s">
        <v>1609</v>
      </c>
      <c r="B1404" s="1863" t="s">
        <v>8157</v>
      </c>
      <c r="C1404" s="2803" t="s">
        <v>8158</v>
      </c>
      <c r="D1404" s="2803"/>
      <c r="E1404" s="2803"/>
      <c r="F1404" s="1621" t="s">
        <v>2555</v>
      </c>
      <c r="G1404" s="1622">
        <v>0.625</v>
      </c>
      <c r="H1404" s="1623">
        <v>1</v>
      </c>
      <c r="I1404" s="2045">
        <v>0.625</v>
      </c>
      <c r="J1404" s="1625"/>
      <c r="K1404" s="1622"/>
      <c r="L1404" s="1625"/>
      <c r="M1404" s="1622"/>
      <c r="N1404" s="1627"/>
      <c r="EW1404" s="2031"/>
      <c r="EX1404" s="1619"/>
      <c r="EY1404" s="1628" t="s">
        <v>8158</v>
      </c>
      <c r="EZ1404" s="1628" t="s">
        <v>588</v>
      </c>
      <c r="FA1404" s="1628" t="s">
        <v>588</v>
      </c>
      <c r="FH1404" s="1628"/>
      <c r="FU1404" s="1678"/>
      <c r="FW1404" s="1678"/>
    </row>
    <row r="1405" spans="1:179" s="1484" customFormat="1" ht="15" x14ac:dyDescent="0.25">
      <c r="A1405" s="1629"/>
      <c r="B1405" s="1862"/>
      <c r="C1405" s="2805" t="s">
        <v>8826</v>
      </c>
      <c r="D1405" s="2805"/>
      <c r="E1405" s="2805"/>
      <c r="F1405" s="2805"/>
      <c r="G1405" s="2805"/>
      <c r="H1405" s="2805"/>
      <c r="I1405" s="2805"/>
      <c r="J1405" s="2805"/>
      <c r="K1405" s="2805"/>
      <c r="L1405" s="2805"/>
      <c r="M1405" s="2805"/>
      <c r="N1405" s="2806"/>
      <c r="EW1405" s="2031"/>
      <c r="EX1405" s="1619"/>
      <c r="EY1405" s="1628"/>
      <c r="EZ1405" s="1628"/>
      <c r="FA1405" s="1628"/>
      <c r="FB1405" s="1864" t="s">
        <v>8826</v>
      </c>
      <c r="FH1405" s="1628"/>
      <c r="FU1405" s="1678"/>
      <c r="FW1405" s="1678"/>
    </row>
    <row r="1406" spans="1:179" s="1484" customFormat="1" ht="22.5" x14ac:dyDescent="0.25">
      <c r="A1406" s="1630"/>
      <c r="B1406" s="1631" t="s">
        <v>6062</v>
      </c>
      <c r="C1406" s="2809" t="s">
        <v>6063</v>
      </c>
      <c r="D1406" s="2809"/>
      <c r="E1406" s="2809"/>
      <c r="F1406" s="2809"/>
      <c r="G1406" s="2809"/>
      <c r="H1406" s="2809"/>
      <c r="I1406" s="2809"/>
      <c r="J1406" s="2809"/>
      <c r="K1406" s="2809"/>
      <c r="L1406" s="2809"/>
      <c r="M1406" s="2809"/>
      <c r="N1406" s="2810"/>
      <c r="EW1406" s="2031"/>
      <c r="EX1406" s="1619"/>
      <c r="EY1406" s="1628"/>
      <c r="EZ1406" s="1628"/>
      <c r="FA1406" s="1628"/>
      <c r="FC1406" s="1864" t="s">
        <v>6063</v>
      </c>
      <c r="FH1406" s="1628"/>
      <c r="FU1406" s="1678"/>
      <c r="FW1406" s="1678"/>
    </row>
    <row r="1407" spans="1:179" s="1484" customFormat="1" ht="22.5" x14ac:dyDescent="0.25">
      <c r="A1407" s="2033"/>
      <c r="B1407" s="1631" t="s">
        <v>8657</v>
      </c>
      <c r="C1407" s="2805" t="s">
        <v>8656</v>
      </c>
      <c r="D1407" s="2805"/>
      <c r="E1407" s="2805"/>
      <c r="F1407" s="1683" t="s">
        <v>807</v>
      </c>
      <c r="G1407" s="1953">
        <v>29.6</v>
      </c>
      <c r="H1407" s="1641"/>
      <c r="I1407" s="1953">
        <v>18.5</v>
      </c>
      <c r="J1407" s="1654">
        <v>10.06</v>
      </c>
      <c r="K1407" s="1655">
        <v>1.25</v>
      </c>
      <c r="L1407" s="1654">
        <v>232.64</v>
      </c>
      <c r="M1407" s="1641"/>
      <c r="N1407" s="1681"/>
      <c r="EW1407" s="2031"/>
      <c r="EX1407" s="1619"/>
      <c r="EY1407" s="1628"/>
      <c r="EZ1407" s="1628"/>
      <c r="FA1407" s="1628"/>
      <c r="FD1407" s="1864" t="s">
        <v>8656</v>
      </c>
      <c r="FH1407" s="1628"/>
      <c r="FU1407" s="1678"/>
      <c r="FW1407" s="1678"/>
    </row>
    <row r="1408" spans="1:179" s="1484" customFormat="1" ht="22.5" x14ac:dyDescent="0.25">
      <c r="A1408" s="2033"/>
      <c r="B1408" s="1631" t="s">
        <v>5010</v>
      </c>
      <c r="C1408" s="2805" t="s">
        <v>5011</v>
      </c>
      <c r="D1408" s="2805"/>
      <c r="E1408" s="2805"/>
      <c r="F1408" s="1683" t="s">
        <v>4994</v>
      </c>
      <c r="G1408" s="1655">
        <v>0.23</v>
      </c>
      <c r="H1408" s="1641"/>
      <c r="I1408" s="2042">
        <v>0.14374999999999999</v>
      </c>
      <c r="J1408" s="1654">
        <v>31.26</v>
      </c>
      <c r="K1408" s="1641"/>
      <c r="L1408" s="1654">
        <v>4.49</v>
      </c>
      <c r="M1408" s="1641"/>
      <c r="N1408" s="1681"/>
      <c r="EW1408" s="2031"/>
      <c r="EX1408" s="1619"/>
      <c r="EY1408" s="1628"/>
      <c r="EZ1408" s="1628"/>
      <c r="FA1408" s="1628"/>
      <c r="FD1408" s="1864" t="s">
        <v>5011</v>
      </c>
      <c r="FH1408" s="1628"/>
      <c r="FU1408" s="1678"/>
      <c r="FW1408" s="1678"/>
    </row>
    <row r="1409" spans="1:179" s="1484" customFormat="1" ht="15" x14ac:dyDescent="0.25">
      <c r="A1409" s="2033"/>
      <c r="B1409" s="1631" t="s">
        <v>821</v>
      </c>
      <c r="C1409" s="2805" t="s">
        <v>822</v>
      </c>
      <c r="D1409" s="2805"/>
      <c r="E1409" s="2805"/>
      <c r="F1409" s="1683" t="s">
        <v>4994</v>
      </c>
      <c r="G1409" s="1655">
        <v>0.33</v>
      </c>
      <c r="H1409" s="1641"/>
      <c r="I1409" s="2042">
        <v>0.20624999999999999</v>
      </c>
      <c r="J1409" s="1654">
        <v>65.709999999999994</v>
      </c>
      <c r="K1409" s="1641"/>
      <c r="L1409" s="1654">
        <v>13.55</v>
      </c>
      <c r="M1409" s="1641"/>
      <c r="N1409" s="1681"/>
      <c r="EW1409" s="2031"/>
      <c r="EX1409" s="1619"/>
      <c r="EY1409" s="1628"/>
      <c r="EZ1409" s="1628"/>
      <c r="FA1409" s="1628"/>
      <c r="FD1409" s="1864" t="s">
        <v>822</v>
      </c>
      <c r="FH1409" s="1628"/>
      <c r="FU1409" s="1678"/>
      <c r="FW1409" s="1678"/>
    </row>
    <row r="1410" spans="1:179" s="1484" customFormat="1" ht="15" x14ac:dyDescent="0.25">
      <c r="A1410" s="2033"/>
      <c r="B1410" s="1631" t="s">
        <v>5033</v>
      </c>
      <c r="C1410" s="2805" t="s">
        <v>5034</v>
      </c>
      <c r="D1410" s="2805"/>
      <c r="E1410" s="2805"/>
      <c r="F1410" s="1683" t="s">
        <v>4994</v>
      </c>
      <c r="G1410" s="2034">
        <v>7</v>
      </c>
      <c r="H1410" s="1641"/>
      <c r="I1410" s="2046">
        <v>4.375</v>
      </c>
      <c r="J1410" s="1654">
        <v>2.7</v>
      </c>
      <c r="K1410" s="1641"/>
      <c r="L1410" s="1654">
        <v>11.81</v>
      </c>
      <c r="M1410" s="1641"/>
      <c r="N1410" s="1681"/>
      <c r="EW1410" s="2031"/>
      <c r="EX1410" s="1619"/>
      <c r="EY1410" s="1628"/>
      <c r="EZ1410" s="1628"/>
      <c r="FA1410" s="1628"/>
      <c r="FD1410" s="1864" t="s">
        <v>5034</v>
      </c>
      <c r="FH1410" s="1628"/>
      <c r="FU1410" s="1678"/>
      <c r="FW1410" s="1678"/>
    </row>
    <row r="1411" spans="1:179" s="1484" customFormat="1" ht="22.5" x14ac:dyDescent="0.25">
      <c r="A1411" s="2033"/>
      <c r="B1411" s="1631" t="s">
        <v>4866</v>
      </c>
      <c r="C1411" s="2805" t="s">
        <v>8779</v>
      </c>
      <c r="D1411" s="2805"/>
      <c r="E1411" s="2805"/>
      <c r="F1411" s="1683" t="s">
        <v>801</v>
      </c>
      <c r="G1411" s="2046">
        <v>2.3E-2</v>
      </c>
      <c r="H1411" s="1641"/>
      <c r="I1411" s="2043">
        <v>1.4375000000000001E-2</v>
      </c>
      <c r="J1411" s="1657">
        <v>1412.5</v>
      </c>
      <c r="K1411" s="1641"/>
      <c r="L1411" s="1654">
        <v>20.3</v>
      </c>
      <c r="M1411" s="1641"/>
      <c r="N1411" s="1681"/>
      <c r="EW1411" s="2031"/>
      <c r="EX1411" s="1619"/>
      <c r="EY1411" s="1628"/>
      <c r="EZ1411" s="1628"/>
      <c r="FA1411" s="1628"/>
      <c r="FD1411" s="1864" t="s">
        <v>8779</v>
      </c>
      <c r="FH1411" s="1628"/>
      <c r="FU1411" s="1678"/>
      <c r="FW1411" s="1678"/>
    </row>
    <row r="1412" spans="1:179" s="1484" customFormat="1" ht="15" x14ac:dyDescent="0.25">
      <c r="A1412" s="2033"/>
      <c r="B1412" s="1631" t="s">
        <v>8778</v>
      </c>
      <c r="C1412" s="2805" t="s">
        <v>8777</v>
      </c>
      <c r="D1412" s="2805"/>
      <c r="E1412" s="2805"/>
      <c r="F1412" s="1683" t="s">
        <v>801</v>
      </c>
      <c r="G1412" s="2046">
        <v>0.246</v>
      </c>
      <c r="H1412" s="1641"/>
      <c r="I1412" s="2042">
        <v>0.15375</v>
      </c>
      <c r="J1412" s="1657">
        <v>1995</v>
      </c>
      <c r="K1412" s="1641"/>
      <c r="L1412" s="1654">
        <v>306.73</v>
      </c>
      <c r="M1412" s="1641"/>
      <c r="N1412" s="1681"/>
      <c r="EW1412" s="2031"/>
      <c r="EX1412" s="1619"/>
      <c r="EY1412" s="1628"/>
      <c r="EZ1412" s="1628"/>
      <c r="FA1412" s="1628"/>
      <c r="FD1412" s="1864" t="s">
        <v>8777</v>
      </c>
      <c r="FH1412" s="1628"/>
      <c r="FU1412" s="1678"/>
      <c r="FW1412" s="1678"/>
    </row>
    <row r="1413" spans="1:179" s="1484" customFormat="1" ht="15" x14ac:dyDescent="0.25">
      <c r="A1413" s="2033"/>
      <c r="B1413" s="1631" t="s">
        <v>4873</v>
      </c>
      <c r="C1413" s="2805" t="s">
        <v>4874</v>
      </c>
      <c r="D1413" s="2805"/>
      <c r="E1413" s="2805"/>
      <c r="F1413" s="1683" t="s">
        <v>835</v>
      </c>
      <c r="G1413" s="2034">
        <v>54</v>
      </c>
      <c r="H1413" s="1641"/>
      <c r="I1413" s="1655">
        <v>33.75</v>
      </c>
      <c r="J1413" s="1654">
        <v>6.15</v>
      </c>
      <c r="K1413" s="1641"/>
      <c r="L1413" s="1654">
        <v>207.56</v>
      </c>
      <c r="M1413" s="1641"/>
      <c r="N1413" s="1681"/>
      <c r="EW1413" s="2031"/>
      <c r="EX1413" s="1619"/>
      <c r="EY1413" s="1628"/>
      <c r="EZ1413" s="1628"/>
      <c r="FA1413" s="1628"/>
      <c r="FD1413" s="1864" t="s">
        <v>4874</v>
      </c>
      <c r="FH1413" s="1628"/>
      <c r="FU1413" s="1678"/>
      <c r="FW1413" s="1678"/>
    </row>
    <row r="1414" spans="1:179" s="1484" customFormat="1" ht="22.5" x14ac:dyDescent="0.25">
      <c r="A1414" s="2033"/>
      <c r="B1414" s="1631" t="s">
        <v>4881</v>
      </c>
      <c r="C1414" s="2805" t="s">
        <v>4882</v>
      </c>
      <c r="D1414" s="2805"/>
      <c r="E1414" s="2805"/>
      <c r="F1414" s="1683" t="s">
        <v>801</v>
      </c>
      <c r="G1414" s="2046">
        <v>4.0000000000000001E-3</v>
      </c>
      <c r="H1414" s="1641"/>
      <c r="I1414" s="2035">
        <v>2.5000000000000001E-3</v>
      </c>
      <c r="J1414" s="1657">
        <v>37870</v>
      </c>
      <c r="K1414" s="1641"/>
      <c r="L1414" s="1654">
        <v>94.68</v>
      </c>
      <c r="M1414" s="1641"/>
      <c r="N1414" s="1681"/>
      <c r="EW1414" s="2031"/>
      <c r="EX1414" s="1619"/>
      <c r="EY1414" s="1628"/>
      <c r="EZ1414" s="1628"/>
      <c r="FA1414" s="1628"/>
      <c r="FD1414" s="1864" t="s">
        <v>4882</v>
      </c>
      <c r="FH1414" s="1628"/>
      <c r="FU1414" s="1678"/>
      <c r="FW1414" s="1678"/>
    </row>
    <row r="1415" spans="1:179" s="1484" customFormat="1" ht="15" x14ac:dyDescent="0.25">
      <c r="A1415" s="2033"/>
      <c r="B1415" s="1631" t="s">
        <v>4922</v>
      </c>
      <c r="C1415" s="2805" t="s">
        <v>8707</v>
      </c>
      <c r="D1415" s="2805"/>
      <c r="E1415" s="2805"/>
      <c r="F1415" s="1683" t="s">
        <v>835</v>
      </c>
      <c r="G1415" s="1953">
        <v>0.5</v>
      </c>
      <c r="H1415" s="1641"/>
      <c r="I1415" s="2035">
        <v>0.3125</v>
      </c>
      <c r="J1415" s="1654">
        <v>1.82</v>
      </c>
      <c r="K1415" s="1641"/>
      <c r="L1415" s="1654">
        <v>0.56999999999999995</v>
      </c>
      <c r="M1415" s="1641"/>
      <c r="N1415" s="1681"/>
      <c r="EW1415" s="2031"/>
      <c r="EX1415" s="1619"/>
      <c r="EY1415" s="1628"/>
      <c r="EZ1415" s="1628"/>
      <c r="FA1415" s="1628"/>
      <c r="FD1415" s="1864" t="s">
        <v>8707</v>
      </c>
      <c r="FH1415" s="1628"/>
      <c r="FU1415" s="1678"/>
      <c r="FW1415" s="1678"/>
    </row>
    <row r="1416" spans="1:179" s="1484" customFormat="1" ht="15" x14ac:dyDescent="0.25">
      <c r="A1416" s="2032"/>
      <c r="B1416" s="1631" t="s">
        <v>190</v>
      </c>
      <c r="C1416" s="2805" t="s">
        <v>2523</v>
      </c>
      <c r="D1416" s="2805"/>
      <c r="E1416" s="2805"/>
      <c r="F1416" s="1683"/>
      <c r="G1416" s="1641"/>
      <c r="H1416" s="1641"/>
      <c r="I1416" s="1641"/>
      <c r="J1416" s="1654">
        <v>297.77999999999997</v>
      </c>
      <c r="K1416" s="1655">
        <v>1.25</v>
      </c>
      <c r="L1416" s="1654">
        <v>232.64</v>
      </c>
      <c r="M1416" s="1655">
        <v>35.75</v>
      </c>
      <c r="N1416" s="1679">
        <v>8316.8799999999992</v>
      </c>
      <c r="EW1416" s="2031"/>
      <c r="EX1416" s="1619"/>
      <c r="EY1416" s="1628"/>
      <c r="EZ1416" s="1628"/>
      <c r="FA1416" s="1628"/>
      <c r="FE1416" s="1864" t="s">
        <v>2523</v>
      </c>
      <c r="FH1416" s="1628"/>
      <c r="FU1416" s="1678"/>
      <c r="FW1416" s="1678"/>
    </row>
    <row r="1417" spans="1:179" s="1484" customFormat="1" ht="15" x14ac:dyDescent="0.25">
      <c r="A1417" s="2032"/>
      <c r="B1417" s="1631" t="s">
        <v>639</v>
      </c>
      <c r="C1417" s="2805" t="s">
        <v>697</v>
      </c>
      <c r="D1417" s="2805"/>
      <c r="E1417" s="2805"/>
      <c r="F1417" s="1683"/>
      <c r="G1417" s="1641"/>
      <c r="H1417" s="1641"/>
      <c r="I1417" s="1641"/>
      <c r="J1417" s="1654">
        <v>47.77</v>
      </c>
      <c r="K1417" s="1641"/>
      <c r="L1417" s="1654">
        <v>29.86</v>
      </c>
      <c r="M1417" s="1655">
        <v>11.97</v>
      </c>
      <c r="N1417" s="2039">
        <v>357.42</v>
      </c>
      <c r="EW1417" s="2031"/>
      <c r="EX1417" s="1619"/>
      <c r="EY1417" s="1628"/>
      <c r="EZ1417" s="1628"/>
      <c r="FA1417" s="1628"/>
      <c r="FE1417" s="1864" t="s">
        <v>697</v>
      </c>
      <c r="FH1417" s="1628"/>
      <c r="FU1417" s="1678"/>
      <c r="FW1417" s="1678"/>
    </row>
    <row r="1418" spans="1:179" s="1484" customFormat="1" ht="15" x14ac:dyDescent="0.25">
      <c r="A1418" s="2032"/>
      <c r="B1418" s="1631" t="s">
        <v>640</v>
      </c>
      <c r="C1418" s="2805" t="s">
        <v>2500</v>
      </c>
      <c r="D1418" s="2805"/>
      <c r="E1418" s="2805"/>
      <c r="F1418" s="1683"/>
      <c r="G1418" s="1641"/>
      <c r="H1418" s="1641"/>
      <c r="I1418" s="1641"/>
      <c r="J1418" s="1654">
        <v>6.94</v>
      </c>
      <c r="K1418" s="1641"/>
      <c r="L1418" s="1654">
        <v>4.34</v>
      </c>
      <c r="M1418" s="1655">
        <v>35.75</v>
      </c>
      <c r="N1418" s="2039">
        <v>155.16</v>
      </c>
      <c r="EW1418" s="2031"/>
      <c r="EX1418" s="1619"/>
      <c r="EY1418" s="1628"/>
      <c r="EZ1418" s="1628"/>
      <c r="FA1418" s="1628"/>
      <c r="FE1418" s="1864" t="s">
        <v>2500</v>
      </c>
      <c r="FH1418" s="1628"/>
      <c r="FU1418" s="1678"/>
      <c r="FW1418" s="1678"/>
    </row>
    <row r="1419" spans="1:179" s="1484" customFormat="1" ht="15" x14ac:dyDescent="0.25">
      <c r="A1419" s="2032"/>
      <c r="B1419" s="1631" t="s">
        <v>232</v>
      </c>
      <c r="C1419" s="2805" t="s">
        <v>829</v>
      </c>
      <c r="D1419" s="2805"/>
      <c r="E1419" s="2805"/>
      <c r="F1419" s="1683"/>
      <c r="G1419" s="1641"/>
      <c r="H1419" s="1641"/>
      <c r="I1419" s="1641"/>
      <c r="J1419" s="1657">
        <v>1007.75</v>
      </c>
      <c r="K1419" s="1641"/>
      <c r="L1419" s="1654">
        <v>629.84</v>
      </c>
      <c r="M1419" s="1655">
        <v>9.14</v>
      </c>
      <c r="N1419" s="1679">
        <v>5756.74</v>
      </c>
      <c r="EW1419" s="2031"/>
      <c r="EX1419" s="1619"/>
      <c r="EY1419" s="1628"/>
      <c r="EZ1419" s="1628"/>
      <c r="FA1419" s="1628"/>
      <c r="FE1419" s="1864" t="s">
        <v>829</v>
      </c>
      <c r="FH1419" s="1628"/>
      <c r="FU1419" s="1678"/>
      <c r="FW1419" s="1678"/>
    </row>
    <row r="1420" spans="1:179" s="1484" customFormat="1" ht="15" x14ac:dyDescent="0.25">
      <c r="A1420" s="2033"/>
      <c r="B1420" s="1631"/>
      <c r="C1420" s="2805" t="s">
        <v>2524</v>
      </c>
      <c r="D1420" s="2805"/>
      <c r="E1420" s="2805"/>
      <c r="F1420" s="1683" t="s">
        <v>807</v>
      </c>
      <c r="G1420" s="1953">
        <v>29.6</v>
      </c>
      <c r="H1420" s="1641"/>
      <c r="I1420" s="1953">
        <v>18.5</v>
      </c>
      <c r="J1420" s="1640"/>
      <c r="K1420" s="1641"/>
      <c r="L1420" s="1640"/>
      <c r="M1420" s="1641"/>
      <c r="N1420" s="1681"/>
      <c r="EW1420" s="2031"/>
      <c r="EX1420" s="1619"/>
      <c r="EY1420" s="1628"/>
      <c r="EZ1420" s="1628"/>
      <c r="FA1420" s="1628"/>
      <c r="FF1420" s="1864" t="s">
        <v>2524</v>
      </c>
      <c r="FH1420" s="1628"/>
      <c r="FU1420" s="1678"/>
      <c r="FW1420" s="1678"/>
    </row>
    <row r="1421" spans="1:179" s="1484" customFormat="1" ht="15" x14ac:dyDescent="0.25">
      <c r="A1421" s="2033"/>
      <c r="B1421" s="1631"/>
      <c r="C1421" s="2805" t="s">
        <v>2501</v>
      </c>
      <c r="D1421" s="2805"/>
      <c r="E1421" s="2805"/>
      <c r="F1421" s="1683" t="s">
        <v>807</v>
      </c>
      <c r="G1421" s="1655">
        <v>0.56000000000000005</v>
      </c>
      <c r="H1421" s="1641"/>
      <c r="I1421" s="1655">
        <v>0.35</v>
      </c>
      <c r="J1421" s="1640"/>
      <c r="K1421" s="1641"/>
      <c r="L1421" s="1640"/>
      <c r="M1421" s="1641"/>
      <c r="N1421" s="1681"/>
      <c r="EW1421" s="2031"/>
      <c r="EX1421" s="1619"/>
      <c r="EY1421" s="1628"/>
      <c r="EZ1421" s="1628"/>
      <c r="FA1421" s="1628"/>
      <c r="FF1421" s="1864" t="s">
        <v>2501</v>
      </c>
      <c r="FH1421" s="1628"/>
      <c r="FU1421" s="1678"/>
      <c r="FW1421" s="1678"/>
    </row>
    <row r="1422" spans="1:179" s="1484" customFormat="1" ht="15" x14ac:dyDescent="0.25">
      <c r="A1422" s="2032"/>
      <c r="B1422" s="1631"/>
      <c r="C1422" s="2917" t="s">
        <v>2502</v>
      </c>
      <c r="D1422" s="2917"/>
      <c r="E1422" s="2917"/>
      <c r="F1422" s="2036"/>
      <c r="G1422" s="2037"/>
      <c r="H1422" s="2037"/>
      <c r="I1422" s="2037"/>
      <c r="J1422" s="2038">
        <v>1353.3</v>
      </c>
      <c r="K1422" s="2037"/>
      <c r="L1422" s="2044">
        <v>892.34</v>
      </c>
      <c r="M1422" s="2037"/>
      <c r="N1422" s="2068">
        <v>14431.04</v>
      </c>
      <c r="EW1422" s="2031"/>
      <c r="EX1422" s="1619"/>
      <c r="EY1422" s="1628"/>
      <c r="EZ1422" s="1628"/>
      <c r="FA1422" s="1628"/>
      <c r="FG1422" s="1864" t="s">
        <v>2502</v>
      </c>
      <c r="FH1422" s="1628"/>
      <c r="FU1422" s="1678"/>
      <c r="FW1422" s="1678"/>
    </row>
    <row r="1423" spans="1:179" s="1484" customFormat="1" ht="15" x14ac:dyDescent="0.25">
      <c r="A1423" s="2033" t="s">
        <v>8203</v>
      </c>
      <c r="B1423" s="1631"/>
      <c r="C1423" s="2805" t="s">
        <v>7964</v>
      </c>
      <c r="D1423" s="2805"/>
      <c r="E1423" s="2805"/>
      <c r="F1423" s="1683" t="s">
        <v>5928</v>
      </c>
      <c r="G1423" s="1641"/>
      <c r="H1423" s="1641"/>
      <c r="I1423" s="1641"/>
      <c r="J1423" s="1640"/>
      <c r="K1423" s="1641"/>
      <c r="L1423" s="1654">
        <v>1.08</v>
      </c>
      <c r="M1423" s="1641"/>
      <c r="N1423" s="2039">
        <v>38.61</v>
      </c>
      <c r="EW1423" s="2031"/>
      <c r="EX1423" s="1619"/>
      <c r="EY1423" s="1628"/>
      <c r="EZ1423" s="1628"/>
      <c r="FA1423" s="1628"/>
      <c r="FF1423" s="1864" t="s">
        <v>7964</v>
      </c>
      <c r="FH1423" s="1628"/>
      <c r="FU1423" s="1678"/>
      <c r="FW1423" s="1678"/>
    </row>
    <row r="1424" spans="1:179" s="1484" customFormat="1" ht="15" x14ac:dyDescent="0.25">
      <c r="A1424" s="2033"/>
      <c r="B1424" s="1631"/>
      <c r="C1424" s="2805" t="s">
        <v>7965</v>
      </c>
      <c r="D1424" s="2805"/>
      <c r="E1424" s="2805"/>
      <c r="F1424" s="1683" t="s">
        <v>5928</v>
      </c>
      <c r="G1424" s="1641"/>
      <c r="H1424" s="1641"/>
      <c r="I1424" s="1641"/>
      <c r="J1424" s="1654">
        <v>6.94</v>
      </c>
      <c r="K1424" s="1655">
        <v>0.25</v>
      </c>
      <c r="L1424" s="1654">
        <v>1.08</v>
      </c>
      <c r="M1424" s="1655">
        <v>35.75</v>
      </c>
      <c r="N1424" s="2039">
        <v>38.61</v>
      </c>
      <c r="EW1424" s="2031"/>
      <c r="EX1424" s="1619"/>
      <c r="EY1424" s="1628"/>
      <c r="EZ1424" s="1628"/>
      <c r="FA1424" s="1628"/>
      <c r="FF1424" s="1864" t="s">
        <v>7965</v>
      </c>
      <c r="FH1424" s="1628"/>
      <c r="FU1424" s="1678"/>
      <c r="FW1424" s="1678"/>
    </row>
    <row r="1425" spans="1:179" s="1484" customFormat="1" ht="15" x14ac:dyDescent="0.25">
      <c r="A1425" s="2033"/>
      <c r="B1425" s="1631"/>
      <c r="C1425" s="2805" t="s">
        <v>867</v>
      </c>
      <c r="D1425" s="2805"/>
      <c r="E1425" s="2805"/>
      <c r="F1425" s="1683"/>
      <c r="G1425" s="1641"/>
      <c r="H1425" s="1641"/>
      <c r="I1425" s="1641"/>
      <c r="J1425" s="1640"/>
      <c r="K1425" s="1641"/>
      <c r="L1425" s="1654">
        <v>238.06</v>
      </c>
      <c r="M1425" s="1641"/>
      <c r="N1425" s="1679">
        <v>8510.65</v>
      </c>
      <c r="EW1425" s="2031"/>
      <c r="EX1425" s="1619"/>
      <c r="EY1425" s="1628"/>
      <c r="EZ1425" s="1628"/>
      <c r="FA1425" s="1628"/>
      <c r="FF1425" s="1864" t="s">
        <v>867</v>
      </c>
      <c r="FH1425" s="1628"/>
      <c r="FU1425" s="1678"/>
      <c r="FW1425" s="1678"/>
    </row>
    <row r="1426" spans="1:179" s="1484" customFormat="1" ht="15" x14ac:dyDescent="0.25">
      <c r="A1426" s="2033"/>
      <c r="B1426" s="1631" t="s">
        <v>8054</v>
      </c>
      <c r="C1426" s="2805" t="s">
        <v>8055</v>
      </c>
      <c r="D1426" s="2805"/>
      <c r="E1426" s="2805"/>
      <c r="F1426" s="1683" t="s">
        <v>636</v>
      </c>
      <c r="G1426" s="2034">
        <v>112</v>
      </c>
      <c r="H1426" s="1641"/>
      <c r="I1426" s="2034">
        <v>112</v>
      </c>
      <c r="J1426" s="1640"/>
      <c r="K1426" s="1641"/>
      <c r="L1426" s="1654">
        <v>266.63</v>
      </c>
      <c r="M1426" s="1641"/>
      <c r="N1426" s="1679">
        <v>9531.93</v>
      </c>
      <c r="EW1426" s="2031"/>
      <c r="EX1426" s="1619"/>
      <c r="EY1426" s="1628"/>
      <c r="EZ1426" s="1628"/>
      <c r="FA1426" s="1628"/>
      <c r="FF1426" s="1864" t="s">
        <v>8055</v>
      </c>
      <c r="FH1426" s="1628"/>
      <c r="FU1426" s="1678"/>
      <c r="FW1426" s="1678"/>
    </row>
    <row r="1427" spans="1:179" s="1484" customFormat="1" ht="15" x14ac:dyDescent="0.25">
      <c r="A1427" s="2033"/>
      <c r="B1427" s="1631" t="s">
        <v>8056</v>
      </c>
      <c r="C1427" s="2805" t="s">
        <v>8057</v>
      </c>
      <c r="D1427" s="2805"/>
      <c r="E1427" s="2805"/>
      <c r="F1427" s="1683" t="s">
        <v>636</v>
      </c>
      <c r="G1427" s="2034">
        <v>65</v>
      </c>
      <c r="H1427" s="1641"/>
      <c r="I1427" s="2034">
        <v>65</v>
      </c>
      <c r="J1427" s="1640"/>
      <c r="K1427" s="1641"/>
      <c r="L1427" s="1654">
        <v>154.74</v>
      </c>
      <c r="M1427" s="1641"/>
      <c r="N1427" s="1679">
        <v>5531.92</v>
      </c>
      <c r="EW1427" s="2031"/>
      <c r="EX1427" s="1619"/>
      <c r="EY1427" s="1628"/>
      <c r="EZ1427" s="1628"/>
      <c r="FA1427" s="1628"/>
      <c r="FF1427" s="1864" t="s">
        <v>8057</v>
      </c>
      <c r="FH1427" s="1628"/>
      <c r="FU1427" s="1678"/>
      <c r="FW1427" s="1678"/>
    </row>
    <row r="1428" spans="1:179" s="1484" customFormat="1" ht="15" x14ac:dyDescent="0.25">
      <c r="A1428" s="1650"/>
      <c r="B1428" s="1651"/>
      <c r="C1428" s="2803" t="s">
        <v>872</v>
      </c>
      <c r="D1428" s="2803"/>
      <c r="E1428" s="2803"/>
      <c r="F1428" s="1621"/>
      <c r="G1428" s="1622"/>
      <c r="H1428" s="1622"/>
      <c r="I1428" s="1622"/>
      <c r="J1428" s="1625"/>
      <c r="K1428" s="1622"/>
      <c r="L1428" s="1648">
        <v>1314.79</v>
      </c>
      <c r="M1428" s="2037"/>
      <c r="N1428" s="1649">
        <v>29533.5</v>
      </c>
      <c r="EW1428" s="2031"/>
      <c r="EX1428" s="1619"/>
      <c r="EY1428" s="1628"/>
      <c r="EZ1428" s="1628"/>
      <c r="FA1428" s="1628"/>
      <c r="FH1428" s="1628" t="s">
        <v>872</v>
      </c>
      <c r="FU1428" s="1678"/>
      <c r="FW1428" s="1678"/>
    </row>
    <row r="1429" spans="1:179" s="1484" customFormat="1" ht="15" x14ac:dyDescent="0.25">
      <c r="A1429" s="1620" t="s">
        <v>8204</v>
      </c>
      <c r="B1429" s="1863" t="s">
        <v>8160</v>
      </c>
      <c r="C1429" s="2803" t="s">
        <v>8161</v>
      </c>
      <c r="D1429" s="2803"/>
      <c r="E1429" s="2803"/>
      <c r="F1429" s="1621" t="s">
        <v>130</v>
      </c>
      <c r="G1429" s="1622">
        <v>35.950000000000003</v>
      </c>
      <c r="H1429" s="1623">
        <v>1</v>
      </c>
      <c r="I1429" s="1687">
        <v>35.950000000000003</v>
      </c>
      <c r="J1429" s="2040">
        <v>28.51</v>
      </c>
      <c r="K1429" s="1622"/>
      <c r="L1429" s="1648">
        <v>1024.93</v>
      </c>
      <c r="M1429" s="1687">
        <v>9.14</v>
      </c>
      <c r="N1429" s="1649">
        <v>9367.86</v>
      </c>
      <c r="EW1429" s="2031"/>
      <c r="EX1429" s="1619"/>
      <c r="EY1429" s="1628" t="s">
        <v>8161</v>
      </c>
      <c r="EZ1429" s="1628" t="s">
        <v>588</v>
      </c>
      <c r="FA1429" s="1628" t="s">
        <v>588</v>
      </c>
      <c r="FH1429" s="1628"/>
      <c r="FU1429" s="1678"/>
      <c r="FW1429" s="1678"/>
    </row>
    <row r="1430" spans="1:179" s="1484" customFormat="1" ht="15" x14ac:dyDescent="0.25">
      <c r="A1430" s="1650"/>
      <c r="B1430" s="1651"/>
      <c r="C1430" s="2805" t="s">
        <v>8640</v>
      </c>
      <c r="D1430" s="2805"/>
      <c r="E1430" s="2805"/>
      <c r="F1430" s="2805"/>
      <c r="G1430" s="2805"/>
      <c r="H1430" s="2805"/>
      <c r="I1430" s="2805"/>
      <c r="J1430" s="2805"/>
      <c r="K1430" s="2805"/>
      <c r="L1430" s="2805"/>
      <c r="M1430" s="2805"/>
      <c r="N1430" s="2806"/>
      <c r="EW1430" s="2031"/>
      <c r="EX1430" s="1619"/>
      <c r="EY1430" s="1628"/>
      <c r="EZ1430" s="1628"/>
      <c r="FA1430" s="1628"/>
      <c r="FH1430" s="1628"/>
      <c r="FI1430" s="1864" t="s">
        <v>8640</v>
      </c>
      <c r="FJ1430" s="1864" t="s">
        <v>588</v>
      </c>
      <c r="FK1430" s="1864" t="s">
        <v>588</v>
      </c>
      <c r="FL1430" s="1864" t="s">
        <v>588</v>
      </c>
      <c r="FM1430" s="1864" t="s">
        <v>588</v>
      </c>
      <c r="FN1430" s="1864" t="s">
        <v>588</v>
      </c>
      <c r="FO1430" s="1864" t="s">
        <v>588</v>
      </c>
      <c r="FP1430" s="1864" t="s">
        <v>588</v>
      </c>
      <c r="FQ1430" s="1864" t="s">
        <v>588</v>
      </c>
      <c r="FR1430" s="1864" t="s">
        <v>588</v>
      </c>
      <c r="FS1430" s="1864" t="s">
        <v>588</v>
      </c>
      <c r="FT1430" s="1864" t="s">
        <v>588</v>
      </c>
      <c r="FU1430" s="1678"/>
      <c r="FW1430" s="1678"/>
    </row>
    <row r="1431" spans="1:179" s="1484" customFormat="1" ht="15" x14ac:dyDescent="0.25">
      <c r="A1431" s="1629"/>
      <c r="B1431" s="1862"/>
      <c r="C1431" s="2805" t="s">
        <v>8828</v>
      </c>
      <c r="D1431" s="2805"/>
      <c r="E1431" s="2805"/>
      <c r="F1431" s="2805"/>
      <c r="G1431" s="2805"/>
      <c r="H1431" s="2805"/>
      <c r="I1431" s="2805"/>
      <c r="J1431" s="2805"/>
      <c r="K1431" s="2805"/>
      <c r="L1431" s="2805"/>
      <c r="M1431" s="2805"/>
      <c r="N1431" s="2806"/>
      <c r="EW1431" s="2031"/>
      <c r="EX1431" s="1619"/>
      <c r="EY1431" s="1628"/>
      <c r="EZ1431" s="1628"/>
      <c r="FA1431" s="1628"/>
      <c r="FB1431" s="1864" t="s">
        <v>8828</v>
      </c>
      <c r="FH1431" s="1628"/>
      <c r="FU1431" s="1678"/>
      <c r="FW1431" s="1678"/>
    </row>
    <row r="1432" spans="1:179" s="1484" customFormat="1" ht="15" x14ac:dyDescent="0.25">
      <c r="A1432" s="1650"/>
      <c r="B1432" s="1651"/>
      <c r="C1432" s="2803" t="s">
        <v>872</v>
      </c>
      <c r="D1432" s="2803"/>
      <c r="E1432" s="2803"/>
      <c r="F1432" s="1621"/>
      <c r="G1432" s="1622"/>
      <c r="H1432" s="1622"/>
      <c r="I1432" s="1622"/>
      <c r="J1432" s="1625"/>
      <c r="K1432" s="1622"/>
      <c r="L1432" s="1648">
        <v>1024.93</v>
      </c>
      <c r="M1432" s="2037"/>
      <c r="N1432" s="1649">
        <v>9367.86</v>
      </c>
      <c r="EW1432" s="2031"/>
      <c r="EX1432" s="1619"/>
      <c r="EY1432" s="1628"/>
      <c r="EZ1432" s="1628"/>
      <c r="FA1432" s="1628"/>
      <c r="FH1432" s="1628" t="s">
        <v>872</v>
      </c>
      <c r="FU1432" s="1678"/>
      <c r="FW1432" s="1678"/>
    </row>
    <row r="1433" spans="1:179" s="1484" customFormat="1" ht="22.5" x14ac:dyDescent="0.25">
      <c r="A1433" s="1620" t="s">
        <v>8205</v>
      </c>
      <c r="B1433" s="1863" t="s">
        <v>8193</v>
      </c>
      <c r="C1433" s="2803" t="s">
        <v>8194</v>
      </c>
      <c r="D1433" s="2803"/>
      <c r="E1433" s="2803"/>
      <c r="F1433" s="1621" t="s">
        <v>2555</v>
      </c>
      <c r="G1433" s="1622">
        <v>1.1339999999999999</v>
      </c>
      <c r="H1433" s="1623">
        <v>1</v>
      </c>
      <c r="I1433" s="2045">
        <v>1.1339999999999999</v>
      </c>
      <c r="J1433" s="1625"/>
      <c r="K1433" s="1622"/>
      <c r="L1433" s="1625"/>
      <c r="M1433" s="1622"/>
      <c r="N1433" s="1627"/>
      <c r="EW1433" s="2031"/>
      <c r="EX1433" s="1619"/>
      <c r="EY1433" s="1628" t="s">
        <v>8194</v>
      </c>
      <c r="EZ1433" s="1628" t="s">
        <v>588</v>
      </c>
      <c r="FA1433" s="1628" t="s">
        <v>588</v>
      </c>
      <c r="FH1433" s="1628"/>
      <c r="FU1433" s="1678"/>
      <c r="FW1433" s="1678"/>
    </row>
    <row r="1434" spans="1:179" s="1484" customFormat="1" ht="15" x14ac:dyDescent="0.25">
      <c r="A1434" s="1629"/>
      <c r="B1434" s="1862"/>
      <c r="C1434" s="2805" t="s">
        <v>8827</v>
      </c>
      <c r="D1434" s="2805"/>
      <c r="E1434" s="2805"/>
      <c r="F1434" s="2805"/>
      <c r="G1434" s="2805"/>
      <c r="H1434" s="2805"/>
      <c r="I1434" s="2805"/>
      <c r="J1434" s="2805"/>
      <c r="K1434" s="2805"/>
      <c r="L1434" s="2805"/>
      <c r="M1434" s="2805"/>
      <c r="N1434" s="2806"/>
      <c r="EW1434" s="2031"/>
      <c r="EX1434" s="1619"/>
      <c r="EY1434" s="1628"/>
      <c r="EZ1434" s="1628"/>
      <c r="FA1434" s="1628"/>
      <c r="FB1434" s="1864" t="s">
        <v>8827</v>
      </c>
      <c r="FH1434" s="1628"/>
      <c r="FU1434" s="1678"/>
      <c r="FW1434" s="1678"/>
    </row>
    <row r="1435" spans="1:179" s="1484" customFormat="1" ht="22.5" x14ac:dyDescent="0.25">
      <c r="A1435" s="1630"/>
      <c r="B1435" s="1631" t="s">
        <v>6062</v>
      </c>
      <c r="C1435" s="2809" t="s">
        <v>6063</v>
      </c>
      <c r="D1435" s="2809"/>
      <c r="E1435" s="2809"/>
      <c r="F1435" s="2809"/>
      <c r="G1435" s="2809"/>
      <c r="H1435" s="2809"/>
      <c r="I1435" s="2809"/>
      <c r="J1435" s="2809"/>
      <c r="K1435" s="2809"/>
      <c r="L1435" s="2809"/>
      <c r="M1435" s="2809"/>
      <c r="N1435" s="2810"/>
      <c r="EW1435" s="2031"/>
      <c r="EX1435" s="1619"/>
      <c r="EY1435" s="1628"/>
      <c r="EZ1435" s="1628"/>
      <c r="FA1435" s="1628"/>
      <c r="FC1435" s="1864" t="s">
        <v>6063</v>
      </c>
      <c r="FH1435" s="1628"/>
      <c r="FU1435" s="1678"/>
      <c r="FW1435" s="1678"/>
    </row>
    <row r="1436" spans="1:179" s="1484" customFormat="1" ht="22.5" x14ac:dyDescent="0.25">
      <c r="A1436" s="2033"/>
      <c r="B1436" s="1631" t="s">
        <v>8822</v>
      </c>
      <c r="C1436" s="2805" t="s">
        <v>8821</v>
      </c>
      <c r="D1436" s="2805"/>
      <c r="E1436" s="2805"/>
      <c r="F1436" s="1683" t="s">
        <v>807</v>
      </c>
      <c r="G1436" s="1655">
        <v>54.99</v>
      </c>
      <c r="H1436" s="1641"/>
      <c r="I1436" s="2042">
        <v>62.35866</v>
      </c>
      <c r="J1436" s="1654">
        <v>8.4600000000000009</v>
      </c>
      <c r="K1436" s="1655">
        <v>1.25</v>
      </c>
      <c r="L1436" s="1654">
        <v>659.44</v>
      </c>
      <c r="M1436" s="1641"/>
      <c r="N1436" s="1681"/>
      <c r="EW1436" s="2031"/>
      <c r="EX1436" s="1619"/>
      <c r="EY1436" s="1628"/>
      <c r="EZ1436" s="1628"/>
      <c r="FA1436" s="1628"/>
      <c r="FD1436" s="1864" t="s">
        <v>8821</v>
      </c>
      <c r="FH1436" s="1628"/>
      <c r="FU1436" s="1678"/>
      <c r="FW1436" s="1678"/>
    </row>
    <row r="1437" spans="1:179" s="1484" customFormat="1" ht="22.5" x14ac:dyDescent="0.25">
      <c r="A1437" s="2033"/>
      <c r="B1437" s="1631" t="s">
        <v>5010</v>
      </c>
      <c r="C1437" s="2805" t="s">
        <v>5011</v>
      </c>
      <c r="D1437" s="2805"/>
      <c r="E1437" s="2805"/>
      <c r="F1437" s="1683" t="s">
        <v>4994</v>
      </c>
      <c r="G1437" s="2046">
        <v>4.9000000000000002E-2</v>
      </c>
      <c r="H1437" s="1641"/>
      <c r="I1437" s="2043">
        <v>5.5565999999999997E-2</v>
      </c>
      <c r="J1437" s="1654">
        <v>31.26</v>
      </c>
      <c r="K1437" s="1641"/>
      <c r="L1437" s="1654">
        <v>1.74</v>
      </c>
      <c r="M1437" s="1641"/>
      <c r="N1437" s="1681"/>
      <c r="EW1437" s="2031"/>
      <c r="EX1437" s="1619"/>
      <c r="EY1437" s="1628"/>
      <c r="EZ1437" s="1628"/>
      <c r="FA1437" s="1628"/>
      <c r="FD1437" s="1864" t="s">
        <v>5011</v>
      </c>
      <c r="FH1437" s="1628"/>
      <c r="FU1437" s="1678"/>
      <c r="FW1437" s="1678"/>
    </row>
    <row r="1438" spans="1:179" s="1484" customFormat="1" ht="15" x14ac:dyDescent="0.25">
      <c r="A1438" s="2033"/>
      <c r="B1438" s="1631" t="s">
        <v>821</v>
      </c>
      <c r="C1438" s="2805" t="s">
        <v>822</v>
      </c>
      <c r="D1438" s="2805"/>
      <c r="E1438" s="2805"/>
      <c r="F1438" s="1683" t="s">
        <v>4994</v>
      </c>
      <c r="G1438" s="1655">
        <v>0.16</v>
      </c>
      <c r="H1438" s="1641"/>
      <c r="I1438" s="2042">
        <v>0.18143999999999999</v>
      </c>
      <c r="J1438" s="1654">
        <v>65.709999999999994</v>
      </c>
      <c r="K1438" s="1641"/>
      <c r="L1438" s="1654">
        <v>11.92</v>
      </c>
      <c r="M1438" s="1641"/>
      <c r="N1438" s="1681"/>
      <c r="EW1438" s="2031"/>
      <c r="EX1438" s="1619"/>
      <c r="EY1438" s="1628"/>
      <c r="EZ1438" s="1628"/>
      <c r="FA1438" s="1628"/>
      <c r="FD1438" s="1864" t="s">
        <v>822</v>
      </c>
      <c r="FH1438" s="1628"/>
      <c r="FU1438" s="1678"/>
      <c r="FW1438" s="1678"/>
    </row>
    <row r="1439" spans="1:179" s="1484" customFormat="1" ht="15" x14ac:dyDescent="0.25">
      <c r="A1439" s="2033"/>
      <c r="B1439" s="1631" t="s">
        <v>5035</v>
      </c>
      <c r="C1439" s="2805" t="s">
        <v>5036</v>
      </c>
      <c r="D1439" s="2805"/>
      <c r="E1439" s="2805"/>
      <c r="F1439" s="1683" t="s">
        <v>4994</v>
      </c>
      <c r="G1439" s="1655">
        <v>3.06</v>
      </c>
      <c r="H1439" s="1641"/>
      <c r="I1439" s="2042">
        <v>3.47004</v>
      </c>
      <c r="J1439" s="1654">
        <v>3.29</v>
      </c>
      <c r="K1439" s="1641"/>
      <c r="L1439" s="1654">
        <v>11.42</v>
      </c>
      <c r="M1439" s="1641"/>
      <c r="N1439" s="1681"/>
      <c r="EW1439" s="2031"/>
      <c r="EX1439" s="1619"/>
      <c r="EY1439" s="1628"/>
      <c r="EZ1439" s="1628"/>
      <c r="FA1439" s="1628"/>
      <c r="FD1439" s="1864" t="s">
        <v>5036</v>
      </c>
      <c r="FH1439" s="1628"/>
      <c r="FU1439" s="1678"/>
      <c r="FW1439" s="1678"/>
    </row>
    <row r="1440" spans="1:179" s="1484" customFormat="1" ht="22.5" x14ac:dyDescent="0.25">
      <c r="A1440" s="2033"/>
      <c r="B1440" s="1631" t="s">
        <v>4938</v>
      </c>
      <c r="C1440" s="2805" t="s">
        <v>4939</v>
      </c>
      <c r="D1440" s="2805"/>
      <c r="E1440" s="2805"/>
      <c r="F1440" s="1683" t="s">
        <v>835</v>
      </c>
      <c r="G1440" s="2034">
        <v>306</v>
      </c>
      <c r="H1440" s="1641"/>
      <c r="I1440" s="2046">
        <v>347.00400000000002</v>
      </c>
      <c r="J1440" s="1654">
        <v>50.19</v>
      </c>
      <c r="K1440" s="1641"/>
      <c r="L1440" s="1657">
        <v>17416.13</v>
      </c>
      <c r="M1440" s="1641"/>
      <c r="N1440" s="1681"/>
      <c r="EW1440" s="2031"/>
      <c r="EX1440" s="1619"/>
      <c r="EY1440" s="1628"/>
      <c r="EZ1440" s="1628"/>
      <c r="FA1440" s="1628"/>
      <c r="FD1440" s="1864" t="s">
        <v>4939</v>
      </c>
      <c r="FH1440" s="1628"/>
      <c r="FU1440" s="1678"/>
      <c r="FW1440" s="1678"/>
    </row>
    <row r="1441" spans="1:179" s="1484" customFormat="1" ht="15" x14ac:dyDescent="0.25">
      <c r="A1441" s="2032"/>
      <c r="B1441" s="1631" t="s">
        <v>190</v>
      </c>
      <c r="C1441" s="2805" t="s">
        <v>2523</v>
      </c>
      <c r="D1441" s="2805"/>
      <c r="E1441" s="2805"/>
      <c r="F1441" s="1683"/>
      <c r="G1441" s="1641"/>
      <c r="H1441" s="1641"/>
      <c r="I1441" s="1641"/>
      <c r="J1441" s="1654">
        <v>465.22</v>
      </c>
      <c r="K1441" s="1655">
        <v>1.25</v>
      </c>
      <c r="L1441" s="1654">
        <v>659.45</v>
      </c>
      <c r="M1441" s="1655">
        <v>35.75</v>
      </c>
      <c r="N1441" s="1679">
        <v>23575.34</v>
      </c>
      <c r="EW1441" s="2031"/>
      <c r="EX1441" s="1619"/>
      <c r="EY1441" s="1628"/>
      <c r="EZ1441" s="1628"/>
      <c r="FA1441" s="1628"/>
      <c r="FE1441" s="1864" t="s">
        <v>2523</v>
      </c>
      <c r="FH1441" s="1628"/>
      <c r="FU1441" s="1678"/>
      <c r="FW1441" s="1678"/>
    </row>
    <row r="1442" spans="1:179" s="1484" customFormat="1" ht="15" x14ac:dyDescent="0.25">
      <c r="A1442" s="2032"/>
      <c r="B1442" s="1631" t="s">
        <v>639</v>
      </c>
      <c r="C1442" s="2805" t="s">
        <v>697</v>
      </c>
      <c r="D1442" s="2805"/>
      <c r="E1442" s="2805"/>
      <c r="F1442" s="1683"/>
      <c r="G1442" s="1641"/>
      <c r="H1442" s="1641"/>
      <c r="I1442" s="1641"/>
      <c r="J1442" s="1654">
        <v>22.11</v>
      </c>
      <c r="K1442" s="1641"/>
      <c r="L1442" s="1654">
        <v>25.07</v>
      </c>
      <c r="M1442" s="1655">
        <v>11.97</v>
      </c>
      <c r="N1442" s="2039">
        <v>300.08999999999997</v>
      </c>
      <c r="EW1442" s="2031"/>
      <c r="EX1442" s="1619"/>
      <c r="EY1442" s="1628"/>
      <c r="EZ1442" s="1628"/>
      <c r="FA1442" s="1628"/>
      <c r="FE1442" s="1864" t="s">
        <v>697</v>
      </c>
      <c r="FH1442" s="1628"/>
      <c r="FU1442" s="1678"/>
      <c r="FW1442" s="1678"/>
    </row>
    <row r="1443" spans="1:179" s="1484" customFormat="1" ht="15" x14ac:dyDescent="0.25">
      <c r="A1443" s="2032"/>
      <c r="B1443" s="1631" t="s">
        <v>640</v>
      </c>
      <c r="C1443" s="2805" t="s">
        <v>2500</v>
      </c>
      <c r="D1443" s="2805"/>
      <c r="E1443" s="2805"/>
      <c r="F1443" s="1683"/>
      <c r="G1443" s="1641"/>
      <c r="H1443" s="1641"/>
      <c r="I1443" s="1641"/>
      <c r="J1443" s="1654">
        <v>2.52</v>
      </c>
      <c r="K1443" s="1641"/>
      <c r="L1443" s="1654">
        <v>2.86</v>
      </c>
      <c r="M1443" s="1655">
        <v>35.75</v>
      </c>
      <c r="N1443" s="2039">
        <v>102.25</v>
      </c>
      <c r="EW1443" s="2031"/>
      <c r="EX1443" s="1619"/>
      <c r="EY1443" s="1628"/>
      <c r="EZ1443" s="1628"/>
      <c r="FA1443" s="1628"/>
      <c r="FE1443" s="1864" t="s">
        <v>2500</v>
      </c>
      <c r="FH1443" s="1628"/>
      <c r="FU1443" s="1678"/>
      <c r="FW1443" s="1678"/>
    </row>
    <row r="1444" spans="1:179" s="1484" customFormat="1" ht="15" x14ac:dyDescent="0.25">
      <c r="A1444" s="2032"/>
      <c r="B1444" s="1631" t="s">
        <v>232</v>
      </c>
      <c r="C1444" s="2805" t="s">
        <v>829</v>
      </c>
      <c r="D1444" s="2805"/>
      <c r="E1444" s="2805"/>
      <c r="F1444" s="1683"/>
      <c r="G1444" s="1641"/>
      <c r="H1444" s="1641"/>
      <c r="I1444" s="1641"/>
      <c r="J1444" s="1657">
        <v>15358.14</v>
      </c>
      <c r="K1444" s="1641"/>
      <c r="L1444" s="1657">
        <v>17416.13</v>
      </c>
      <c r="M1444" s="1655">
        <v>9.14</v>
      </c>
      <c r="N1444" s="1679">
        <v>159183.43</v>
      </c>
      <c r="EW1444" s="2031"/>
      <c r="EX1444" s="1619"/>
      <c r="EY1444" s="1628"/>
      <c r="EZ1444" s="1628"/>
      <c r="FA1444" s="1628"/>
      <c r="FE1444" s="1864" t="s">
        <v>829</v>
      </c>
      <c r="FH1444" s="1628"/>
      <c r="FU1444" s="1678"/>
      <c r="FW1444" s="1678"/>
    </row>
    <row r="1445" spans="1:179" s="1484" customFormat="1" ht="15" x14ac:dyDescent="0.25">
      <c r="A1445" s="2033"/>
      <c r="B1445" s="1631"/>
      <c r="C1445" s="2805" t="s">
        <v>2524</v>
      </c>
      <c r="D1445" s="2805"/>
      <c r="E1445" s="2805"/>
      <c r="F1445" s="1683" t="s">
        <v>807</v>
      </c>
      <c r="G1445" s="1655">
        <v>54.99</v>
      </c>
      <c r="H1445" s="1641"/>
      <c r="I1445" s="2042">
        <v>62.35866</v>
      </c>
      <c r="J1445" s="1640"/>
      <c r="K1445" s="1641"/>
      <c r="L1445" s="1640"/>
      <c r="M1445" s="1641"/>
      <c r="N1445" s="1681"/>
      <c r="EW1445" s="2031"/>
      <c r="EX1445" s="1619"/>
      <c r="EY1445" s="1628"/>
      <c r="EZ1445" s="1628"/>
      <c r="FA1445" s="1628"/>
      <c r="FF1445" s="1864" t="s">
        <v>2524</v>
      </c>
      <c r="FH1445" s="1628"/>
      <c r="FU1445" s="1678"/>
      <c r="FW1445" s="1678"/>
    </row>
    <row r="1446" spans="1:179" s="1484" customFormat="1" ht="15" x14ac:dyDescent="0.25">
      <c r="A1446" s="2033"/>
      <c r="B1446" s="1631"/>
      <c r="C1446" s="2805" t="s">
        <v>2501</v>
      </c>
      <c r="D1446" s="2805"/>
      <c r="E1446" s="2805"/>
      <c r="F1446" s="1683" t="s">
        <v>807</v>
      </c>
      <c r="G1446" s="1655">
        <v>0.21</v>
      </c>
      <c r="H1446" s="1641"/>
      <c r="I1446" s="2042">
        <v>0.23813999999999999</v>
      </c>
      <c r="J1446" s="1640"/>
      <c r="K1446" s="1641"/>
      <c r="L1446" s="1640"/>
      <c r="M1446" s="1641"/>
      <c r="N1446" s="1681"/>
      <c r="EW1446" s="2031"/>
      <c r="EX1446" s="1619"/>
      <c r="EY1446" s="1628"/>
      <c r="EZ1446" s="1628"/>
      <c r="FA1446" s="1628"/>
      <c r="FF1446" s="1864" t="s">
        <v>2501</v>
      </c>
      <c r="FH1446" s="1628"/>
      <c r="FU1446" s="1678"/>
      <c r="FW1446" s="1678"/>
    </row>
    <row r="1447" spans="1:179" s="1484" customFormat="1" ht="15" x14ac:dyDescent="0.25">
      <c r="A1447" s="2032"/>
      <c r="B1447" s="1631"/>
      <c r="C1447" s="2917" t="s">
        <v>2502</v>
      </c>
      <c r="D1447" s="2917"/>
      <c r="E1447" s="2917"/>
      <c r="F1447" s="2036"/>
      <c r="G1447" s="2037"/>
      <c r="H1447" s="2037"/>
      <c r="I1447" s="2037"/>
      <c r="J1447" s="2038">
        <v>15845.47</v>
      </c>
      <c r="K1447" s="2037"/>
      <c r="L1447" s="2038">
        <v>18100.650000000001</v>
      </c>
      <c r="M1447" s="2037"/>
      <c r="N1447" s="2068">
        <v>183058.86</v>
      </c>
      <c r="EW1447" s="2031"/>
      <c r="EX1447" s="1619"/>
      <c r="EY1447" s="1628"/>
      <c r="EZ1447" s="1628"/>
      <c r="FA1447" s="1628"/>
      <c r="FG1447" s="1864" t="s">
        <v>2502</v>
      </c>
      <c r="FH1447" s="1628"/>
      <c r="FU1447" s="1678"/>
      <c r="FW1447" s="1678"/>
    </row>
    <row r="1448" spans="1:179" s="1484" customFormat="1" ht="15" x14ac:dyDescent="0.25">
      <c r="A1448" s="2033" t="s">
        <v>8206</v>
      </c>
      <c r="B1448" s="1631"/>
      <c r="C1448" s="2805" t="s">
        <v>7964</v>
      </c>
      <c r="D1448" s="2805"/>
      <c r="E1448" s="2805"/>
      <c r="F1448" s="1683" t="s">
        <v>5928</v>
      </c>
      <c r="G1448" s="1641"/>
      <c r="H1448" s="1641"/>
      <c r="I1448" s="1641"/>
      <c r="J1448" s="1640"/>
      <c r="K1448" s="1641"/>
      <c r="L1448" s="1654">
        <v>0.71</v>
      </c>
      <c r="M1448" s="1641"/>
      <c r="N1448" s="2039">
        <v>25.38</v>
      </c>
      <c r="EW1448" s="2031"/>
      <c r="EX1448" s="1619"/>
      <c r="EY1448" s="1628"/>
      <c r="EZ1448" s="1628"/>
      <c r="FA1448" s="1628"/>
      <c r="FF1448" s="1864" t="s">
        <v>7964</v>
      </c>
      <c r="FH1448" s="1628"/>
      <c r="FU1448" s="1678"/>
      <c r="FW1448" s="1678"/>
    </row>
    <row r="1449" spans="1:179" s="1484" customFormat="1" ht="15" x14ac:dyDescent="0.25">
      <c r="A1449" s="2033"/>
      <c r="B1449" s="1631"/>
      <c r="C1449" s="2805" t="s">
        <v>7965</v>
      </c>
      <c r="D1449" s="2805"/>
      <c r="E1449" s="2805"/>
      <c r="F1449" s="1683" t="s">
        <v>5928</v>
      </c>
      <c r="G1449" s="1641"/>
      <c r="H1449" s="1641"/>
      <c r="I1449" s="1641"/>
      <c r="J1449" s="1654">
        <v>2.52</v>
      </c>
      <c r="K1449" s="1655">
        <v>0.25</v>
      </c>
      <c r="L1449" s="1654">
        <v>0.71</v>
      </c>
      <c r="M1449" s="1655">
        <v>35.75</v>
      </c>
      <c r="N1449" s="2039">
        <v>25.38</v>
      </c>
      <c r="EW1449" s="2031"/>
      <c r="EX1449" s="1619"/>
      <c r="EY1449" s="1628"/>
      <c r="EZ1449" s="1628"/>
      <c r="FA1449" s="1628"/>
      <c r="FF1449" s="1864" t="s">
        <v>7965</v>
      </c>
      <c r="FH1449" s="1628"/>
      <c r="FU1449" s="1678"/>
      <c r="FW1449" s="1678"/>
    </row>
    <row r="1450" spans="1:179" s="1484" customFormat="1" ht="15" x14ac:dyDescent="0.25">
      <c r="A1450" s="2033"/>
      <c r="B1450" s="1631"/>
      <c r="C1450" s="2805" t="s">
        <v>867</v>
      </c>
      <c r="D1450" s="2805"/>
      <c r="E1450" s="2805"/>
      <c r="F1450" s="1683"/>
      <c r="G1450" s="1641"/>
      <c r="H1450" s="1641"/>
      <c r="I1450" s="1641"/>
      <c r="J1450" s="1640"/>
      <c r="K1450" s="1641"/>
      <c r="L1450" s="1654">
        <v>663.02</v>
      </c>
      <c r="M1450" s="1641"/>
      <c r="N1450" s="1679">
        <v>23702.97</v>
      </c>
      <c r="EW1450" s="2031"/>
      <c r="EX1450" s="1619"/>
      <c r="EY1450" s="1628"/>
      <c r="EZ1450" s="1628"/>
      <c r="FA1450" s="1628"/>
      <c r="FF1450" s="1864" t="s">
        <v>867</v>
      </c>
      <c r="FH1450" s="1628"/>
      <c r="FU1450" s="1678"/>
      <c r="FW1450" s="1678"/>
    </row>
    <row r="1451" spans="1:179" s="1484" customFormat="1" ht="15" x14ac:dyDescent="0.25">
      <c r="A1451" s="2033"/>
      <c r="B1451" s="1631" t="s">
        <v>8054</v>
      </c>
      <c r="C1451" s="2805" t="s">
        <v>8055</v>
      </c>
      <c r="D1451" s="2805"/>
      <c r="E1451" s="2805"/>
      <c r="F1451" s="1683" t="s">
        <v>636</v>
      </c>
      <c r="G1451" s="2034">
        <v>112</v>
      </c>
      <c r="H1451" s="1641"/>
      <c r="I1451" s="2034">
        <v>112</v>
      </c>
      <c r="J1451" s="1640"/>
      <c r="K1451" s="1641"/>
      <c r="L1451" s="1654">
        <v>742.58</v>
      </c>
      <c r="M1451" s="1641"/>
      <c r="N1451" s="1679">
        <v>26547.33</v>
      </c>
      <c r="EW1451" s="2031"/>
      <c r="EX1451" s="1619"/>
      <c r="EY1451" s="1628"/>
      <c r="EZ1451" s="1628"/>
      <c r="FA1451" s="1628"/>
      <c r="FF1451" s="1864" t="s">
        <v>8055</v>
      </c>
      <c r="FH1451" s="1628"/>
      <c r="FU1451" s="1678"/>
      <c r="FW1451" s="1678"/>
    </row>
    <row r="1452" spans="1:179" s="1484" customFormat="1" ht="15" x14ac:dyDescent="0.25">
      <c r="A1452" s="2033"/>
      <c r="B1452" s="1631" t="s">
        <v>8056</v>
      </c>
      <c r="C1452" s="2805" t="s">
        <v>8057</v>
      </c>
      <c r="D1452" s="2805"/>
      <c r="E1452" s="2805"/>
      <c r="F1452" s="1683" t="s">
        <v>636</v>
      </c>
      <c r="G1452" s="2034">
        <v>65</v>
      </c>
      <c r="H1452" s="1641"/>
      <c r="I1452" s="2034">
        <v>65</v>
      </c>
      <c r="J1452" s="1640"/>
      <c r="K1452" s="1641"/>
      <c r="L1452" s="1654">
        <v>430.96</v>
      </c>
      <c r="M1452" s="1641"/>
      <c r="N1452" s="1679">
        <v>15406.93</v>
      </c>
      <c r="EW1452" s="2031"/>
      <c r="EX1452" s="1619"/>
      <c r="EY1452" s="1628"/>
      <c r="EZ1452" s="1628"/>
      <c r="FA1452" s="1628"/>
      <c r="FF1452" s="1864" t="s">
        <v>8057</v>
      </c>
      <c r="FH1452" s="1628"/>
      <c r="FU1452" s="1678"/>
      <c r="FW1452" s="1678"/>
    </row>
    <row r="1453" spans="1:179" s="1484" customFormat="1" ht="15" x14ac:dyDescent="0.25">
      <c r="A1453" s="1650"/>
      <c r="B1453" s="1651"/>
      <c r="C1453" s="2803" t="s">
        <v>872</v>
      </c>
      <c r="D1453" s="2803"/>
      <c r="E1453" s="2803"/>
      <c r="F1453" s="1621"/>
      <c r="G1453" s="1622"/>
      <c r="H1453" s="1622"/>
      <c r="I1453" s="1622"/>
      <c r="J1453" s="1625"/>
      <c r="K1453" s="1622"/>
      <c r="L1453" s="1648">
        <v>19274.900000000001</v>
      </c>
      <c r="M1453" s="2037"/>
      <c r="N1453" s="1649">
        <v>225038.5</v>
      </c>
      <c r="EW1453" s="2031"/>
      <c r="EX1453" s="1619"/>
      <c r="EY1453" s="1628"/>
      <c r="EZ1453" s="1628"/>
      <c r="FA1453" s="1628"/>
      <c r="FH1453" s="1628" t="s">
        <v>872</v>
      </c>
      <c r="FU1453" s="1678"/>
      <c r="FW1453" s="1678"/>
    </row>
    <row r="1454" spans="1:179" s="1484" customFormat="1" ht="56.25" x14ac:dyDescent="0.25">
      <c r="A1454" s="1620" t="s">
        <v>8207</v>
      </c>
      <c r="B1454" s="1863" t="s">
        <v>8196</v>
      </c>
      <c r="C1454" s="2803" t="s">
        <v>4975</v>
      </c>
      <c r="D1454" s="2803"/>
      <c r="E1454" s="2803"/>
      <c r="F1454" s="1621" t="s">
        <v>801</v>
      </c>
      <c r="G1454" s="1622">
        <v>4.5359999999999998E-2</v>
      </c>
      <c r="H1454" s="1623">
        <v>1</v>
      </c>
      <c r="I1454" s="2048">
        <v>4.5359999999999998E-2</v>
      </c>
      <c r="J1454" s="1648">
        <v>11820.72</v>
      </c>
      <c r="K1454" s="1622"/>
      <c r="L1454" s="2040">
        <v>536.19000000000005</v>
      </c>
      <c r="M1454" s="1687">
        <v>9.14</v>
      </c>
      <c r="N1454" s="1649">
        <v>4900.78</v>
      </c>
      <c r="EW1454" s="2031"/>
      <c r="EX1454" s="1619"/>
      <c r="EY1454" s="1628" t="s">
        <v>4975</v>
      </c>
      <c r="EZ1454" s="1628" t="s">
        <v>588</v>
      </c>
      <c r="FA1454" s="1628" t="s">
        <v>588</v>
      </c>
      <c r="FH1454" s="1628"/>
      <c r="FU1454" s="1678"/>
      <c r="FW1454" s="1678"/>
    </row>
    <row r="1455" spans="1:179" s="1484" customFormat="1" ht="15" x14ac:dyDescent="0.25">
      <c r="A1455" s="1650"/>
      <c r="B1455" s="1651"/>
      <c r="C1455" s="2805" t="s">
        <v>6075</v>
      </c>
      <c r="D1455" s="2805"/>
      <c r="E1455" s="2805"/>
      <c r="F1455" s="2805"/>
      <c r="G1455" s="2805"/>
      <c r="H1455" s="2805"/>
      <c r="I1455" s="2805"/>
      <c r="J1455" s="2805"/>
      <c r="K1455" s="2805"/>
      <c r="L1455" s="2805"/>
      <c r="M1455" s="2805"/>
      <c r="N1455" s="2806"/>
      <c r="EW1455" s="2031"/>
      <c r="EX1455" s="1619"/>
      <c r="EY1455" s="1628"/>
      <c r="EZ1455" s="1628"/>
      <c r="FA1455" s="1628"/>
      <c r="FH1455" s="1628"/>
      <c r="FI1455" s="1864" t="s">
        <v>6075</v>
      </c>
      <c r="FJ1455" s="1864" t="s">
        <v>588</v>
      </c>
      <c r="FK1455" s="1864" t="s">
        <v>588</v>
      </c>
      <c r="FL1455" s="1864" t="s">
        <v>588</v>
      </c>
      <c r="FM1455" s="1864" t="s">
        <v>588</v>
      </c>
      <c r="FN1455" s="1864" t="s">
        <v>588</v>
      </c>
      <c r="FO1455" s="1864" t="s">
        <v>588</v>
      </c>
      <c r="FP1455" s="1864" t="s">
        <v>588</v>
      </c>
      <c r="FQ1455" s="1864" t="s">
        <v>588</v>
      </c>
      <c r="FR1455" s="1864" t="s">
        <v>588</v>
      </c>
      <c r="FS1455" s="1864" t="s">
        <v>588</v>
      </c>
      <c r="FT1455" s="1864" t="s">
        <v>588</v>
      </c>
      <c r="FU1455" s="1678"/>
      <c r="FW1455" s="1678"/>
    </row>
    <row r="1456" spans="1:179" s="1484" customFormat="1" ht="15" x14ac:dyDescent="0.25">
      <c r="A1456" s="1650"/>
      <c r="B1456" s="1651"/>
      <c r="C1456" s="2803" t="s">
        <v>872</v>
      </c>
      <c r="D1456" s="2803"/>
      <c r="E1456" s="2803"/>
      <c r="F1456" s="1621"/>
      <c r="G1456" s="1622"/>
      <c r="H1456" s="1622"/>
      <c r="I1456" s="1622"/>
      <c r="J1456" s="1625"/>
      <c r="K1456" s="1622"/>
      <c r="L1456" s="2040">
        <v>536.19000000000005</v>
      </c>
      <c r="M1456" s="2037"/>
      <c r="N1456" s="1649">
        <v>4900.78</v>
      </c>
      <c r="EW1456" s="2031"/>
      <c r="EX1456" s="1619"/>
      <c r="EY1456" s="1628"/>
      <c r="EZ1456" s="1628"/>
      <c r="FA1456" s="1628"/>
      <c r="FH1456" s="1628" t="s">
        <v>872</v>
      </c>
      <c r="FU1456" s="1678"/>
      <c r="FW1456" s="1678"/>
    </row>
    <row r="1457" spans="1:179" s="1484" customFormat="1" ht="15" x14ac:dyDescent="0.25">
      <c r="A1457" s="1620" t="s">
        <v>8208</v>
      </c>
      <c r="B1457" s="1863" t="s">
        <v>8197</v>
      </c>
      <c r="C1457" s="2803" t="s">
        <v>8198</v>
      </c>
      <c r="D1457" s="2803"/>
      <c r="E1457" s="2803"/>
      <c r="F1457" s="1621" t="s">
        <v>835</v>
      </c>
      <c r="G1457" s="1622">
        <v>22.68</v>
      </c>
      <c r="H1457" s="1623">
        <v>1</v>
      </c>
      <c r="I1457" s="1687">
        <v>22.68</v>
      </c>
      <c r="J1457" s="2040">
        <v>71.2</v>
      </c>
      <c r="K1457" s="1622"/>
      <c r="L1457" s="1648">
        <v>1614.82</v>
      </c>
      <c r="M1457" s="1687">
        <v>9.14</v>
      </c>
      <c r="N1457" s="1649">
        <v>14759.45</v>
      </c>
      <c r="EW1457" s="2031"/>
      <c r="EX1457" s="1619"/>
      <c r="EY1457" s="1628" t="s">
        <v>8198</v>
      </c>
      <c r="EZ1457" s="1628" t="s">
        <v>588</v>
      </c>
      <c r="FA1457" s="1628" t="s">
        <v>588</v>
      </c>
      <c r="FH1457" s="1628"/>
      <c r="FU1457" s="1678"/>
      <c r="FW1457" s="1678"/>
    </row>
    <row r="1458" spans="1:179" s="1484" customFormat="1" ht="15" x14ac:dyDescent="0.25">
      <c r="A1458" s="1650"/>
      <c r="B1458" s="1651"/>
      <c r="C1458" s="2805" t="s">
        <v>8640</v>
      </c>
      <c r="D1458" s="2805"/>
      <c r="E1458" s="2805"/>
      <c r="F1458" s="2805"/>
      <c r="G1458" s="2805"/>
      <c r="H1458" s="2805"/>
      <c r="I1458" s="2805"/>
      <c r="J1458" s="2805"/>
      <c r="K1458" s="2805"/>
      <c r="L1458" s="2805"/>
      <c r="M1458" s="2805"/>
      <c r="N1458" s="2806"/>
      <c r="EW1458" s="2031"/>
      <c r="EX1458" s="1619"/>
      <c r="EY1458" s="1628"/>
      <c r="EZ1458" s="1628"/>
      <c r="FA1458" s="1628"/>
      <c r="FH1458" s="1628"/>
      <c r="FI1458" s="1864" t="s">
        <v>8640</v>
      </c>
      <c r="FJ1458" s="1864" t="s">
        <v>588</v>
      </c>
      <c r="FK1458" s="1864" t="s">
        <v>588</v>
      </c>
      <c r="FL1458" s="1864" t="s">
        <v>588</v>
      </c>
      <c r="FM1458" s="1864" t="s">
        <v>588</v>
      </c>
      <c r="FN1458" s="1864" t="s">
        <v>588</v>
      </c>
      <c r="FO1458" s="1864" t="s">
        <v>588</v>
      </c>
      <c r="FP1458" s="1864" t="s">
        <v>588</v>
      </c>
      <c r="FQ1458" s="1864" t="s">
        <v>588</v>
      </c>
      <c r="FR1458" s="1864" t="s">
        <v>588</v>
      </c>
      <c r="FS1458" s="1864" t="s">
        <v>588</v>
      </c>
      <c r="FT1458" s="1864" t="s">
        <v>588</v>
      </c>
      <c r="FU1458" s="1678"/>
      <c r="FW1458" s="1678"/>
    </row>
    <row r="1459" spans="1:179" s="1484" customFormat="1" ht="15" x14ac:dyDescent="0.25">
      <c r="A1459" s="1650"/>
      <c r="B1459" s="1651"/>
      <c r="C1459" s="2803" t="s">
        <v>872</v>
      </c>
      <c r="D1459" s="2803"/>
      <c r="E1459" s="2803"/>
      <c r="F1459" s="1621"/>
      <c r="G1459" s="1622"/>
      <c r="H1459" s="1622"/>
      <c r="I1459" s="1622"/>
      <c r="J1459" s="1625"/>
      <c r="K1459" s="1622"/>
      <c r="L1459" s="1648">
        <v>1614.82</v>
      </c>
      <c r="M1459" s="2037"/>
      <c r="N1459" s="1649">
        <v>14759.45</v>
      </c>
      <c r="EW1459" s="2031"/>
      <c r="EX1459" s="1619"/>
      <c r="EY1459" s="1628"/>
      <c r="EZ1459" s="1628"/>
      <c r="FA1459" s="1628"/>
      <c r="FH1459" s="1628" t="s">
        <v>872</v>
      </c>
      <c r="FU1459" s="1678"/>
      <c r="FW1459" s="1678"/>
    </row>
    <row r="1460" spans="1:179" s="1484" customFormat="1" ht="45" x14ac:dyDescent="0.25">
      <c r="A1460" s="1620" t="s">
        <v>8209</v>
      </c>
      <c r="B1460" s="1863" t="s">
        <v>8823</v>
      </c>
      <c r="C1460" s="2803" t="s">
        <v>8199</v>
      </c>
      <c r="D1460" s="2803"/>
      <c r="E1460" s="2803"/>
      <c r="F1460" s="1621" t="s">
        <v>2555</v>
      </c>
      <c r="G1460" s="1622">
        <v>1.1339999999999999</v>
      </c>
      <c r="H1460" s="1623">
        <v>1</v>
      </c>
      <c r="I1460" s="2045">
        <v>1.1339999999999999</v>
      </c>
      <c r="J1460" s="1625"/>
      <c r="K1460" s="1622"/>
      <c r="L1460" s="1625"/>
      <c r="M1460" s="1622"/>
      <c r="N1460" s="1627"/>
      <c r="EW1460" s="2031"/>
      <c r="EX1460" s="1619"/>
      <c r="EY1460" s="1628" t="s">
        <v>8199</v>
      </c>
      <c r="EZ1460" s="1628" t="s">
        <v>588</v>
      </c>
      <c r="FA1460" s="1628" t="s">
        <v>588</v>
      </c>
      <c r="FH1460" s="1628"/>
      <c r="FU1460" s="1678"/>
      <c r="FW1460" s="1678"/>
    </row>
    <row r="1461" spans="1:179" s="1484" customFormat="1" ht="15" x14ac:dyDescent="0.25">
      <c r="A1461" s="1629"/>
      <c r="B1461" s="1862"/>
      <c r="C1461" s="2805" t="s">
        <v>8827</v>
      </c>
      <c r="D1461" s="2805"/>
      <c r="E1461" s="2805"/>
      <c r="F1461" s="2805"/>
      <c r="G1461" s="2805"/>
      <c r="H1461" s="2805"/>
      <c r="I1461" s="2805"/>
      <c r="J1461" s="2805"/>
      <c r="K1461" s="2805"/>
      <c r="L1461" s="2805"/>
      <c r="M1461" s="2805"/>
      <c r="N1461" s="2806"/>
      <c r="EW1461" s="2031"/>
      <c r="EX1461" s="1619"/>
      <c r="EY1461" s="1628"/>
      <c r="EZ1461" s="1628"/>
      <c r="FA1461" s="1628"/>
      <c r="FB1461" s="1864" t="s">
        <v>8827</v>
      </c>
      <c r="FH1461" s="1628"/>
      <c r="FU1461" s="1678"/>
      <c r="FW1461" s="1678"/>
    </row>
    <row r="1462" spans="1:179" s="1484" customFormat="1" ht="22.5" x14ac:dyDescent="0.25">
      <c r="A1462" s="1630"/>
      <c r="B1462" s="1631" t="s">
        <v>6062</v>
      </c>
      <c r="C1462" s="2809" t="s">
        <v>6063</v>
      </c>
      <c r="D1462" s="2809"/>
      <c r="E1462" s="2809"/>
      <c r="F1462" s="2809"/>
      <c r="G1462" s="2809"/>
      <c r="H1462" s="2809"/>
      <c r="I1462" s="2809"/>
      <c r="J1462" s="2809"/>
      <c r="K1462" s="2809"/>
      <c r="L1462" s="2809"/>
      <c r="M1462" s="2809"/>
      <c r="N1462" s="2810"/>
      <c r="EW1462" s="2031"/>
      <c r="EX1462" s="1619"/>
      <c r="EY1462" s="1628"/>
      <c r="EZ1462" s="1628"/>
      <c r="FA1462" s="1628"/>
      <c r="FC1462" s="1864" t="s">
        <v>6063</v>
      </c>
      <c r="FH1462" s="1628"/>
      <c r="FU1462" s="1678"/>
      <c r="FW1462" s="1678"/>
    </row>
    <row r="1463" spans="1:179" s="1484" customFormat="1" ht="15" x14ac:dyDescent="0.25">
      <c r="A1463" s="1630"/>
      <c r="B1463" s="1631" t="s">
        <v>8142</v>
      </c>
      <c r="C1463" s="2809" t="s">
        <v>8200</v>
      </c>
      <c r="D1463" s="2809"/>
      <c r="E1463" s="2809"/>
      <c r="F1463" s="2809"/>
      <c r="G1463" s="2809"/>
      <c r="H1463" s="2809"/>
      <c r="I1463" s="2809"/>
      <c r="J1463" s="2809"/>
      <c r="K1463" s="2809"/>
      <c r="L1463" s="2809"/>
      <c r="M1463" s="2809"/>
      <c r="N1463" s="2810"/>
      <c r="EW1463" s="2031"/>
      <c r="EX1463" s="1619"/>
      <c r="EY1463" s="1628"/>
      <c r="EZ1463" s="1628"/>
      <c r="FA1463" s="1628"/>
      <c r="FC1463" s="1864" t="s">
        <v>8200</v>
      </c>
      <c r="FH1463" s="1628"/>
      <c r="FU1463" s="1678"/>
      <c r="FW1463" s="1678"/>
    </row>
    <row r="1464" spans="1:179" s="1484" customFormat="1" ht="22.5" x14ac:dyDescent="0.25">
      <c r="A1464" s="2033"/>
      <c r="B1464" s="1631" t="s">
        <v>3260</v>
      </c>
      <c r="C1464" s="2805" t="s">
        <v>8636</v>
      </c>
      <c r="D1464" s="2805"/>
      <c r="E1464" s="2805"/>
      <c r="F1464" s="1683" t="s">
        <v>807</v>
      </c>
      <c r="G1464" s="1655">
        <v>3.84</v>
      </c>
      <c r="H1464" s="2034">
        <v>56</v>
      </c>
      <c r="I1464" s="2042">
        <v>243.85535999999999</v>
      </c>
      <c r="J1464" s="1654">
        <v>9.18</v>
      </c>
      <c r="K1464" s="1655">
        <v>1.25</v>
      </c>
      <c r="L1464" s="1657">
        <v>2798.24</v>
      </c>
      <c r="M1464" s="1641"/>
      <c r="N1464" s="1681"/>
      <c r="EW1464" s="2031"/>
      <c r="EX1464" s="1619"/>
      <c r="EY1464" s="1628"/>
      <c r="EZ1464" s="1628"/>
      <c r="FA1464" s="1628"/>
      <c r="FD1464" s="1864" t="s">
        <v>8636</v>
      </c>
      <c r="FH1464" s="1628"/>
      <c r="FU1464" s="1678"/>
      <c r="FW1464" s="1678"/>
    </row>
    <row r="1465" spans="1:179" s="1484" customFormat="1" ht="22.5" x14ac:dyDescent="0.25">
      <c r="A1465" s="2033"/>
      <c r="B1465" s="1631" t="s">
        <v>5010</v>
      </c>
      <c r="C1465" s="2805" t="s">
        <v>5011</v>
      </c>
      <c r="D1465" s="2805"/>
      <c r="E1465" s="2805"/>
      <c r="F1465" s="1683" t="s">
        <v>4994</v>
      </c>
      <c r="G1465" s="1655">
        <v>0.01</v>
      </c>
      <c r="H1465" s="2034">
        <v>56</v>
      </c>
      <c r="I1465" s="2042">
        <v>0.63504000000000005</v>
      </c>
      <c r="J1465" s="1654">
        <v>31.26</v>
      </c>
      <c r="K1465" s="1641"/>
      <c r="L1465" s="1654">
        <v>19.850000000000001</v>
      </c>
      <c r="M1465" s="1641"/>
      <c r="N1465" s="1681"/>
      <c r="EW1465" s="2031"/>
      <c r="EX1465" s="1619"/>
      <c r="EY1465" s="1628"/>
      <c r="EZ1465" s="1628"/>
      <c r="FA1465" s="1628"/>
      <c r="FD1465" s="1864" t="s">
        <v>5011</v>
      </c>
      <c r="FH1465" s="1628"/>
      <c r="FU1465" s="1678"/>
      <c r="FW1465" s="1678"/>
    </row>
    <row r="1466" spans="1:179" s="1484" customFormat="1" ht="15" x14ac:dyDescent="0.25">
      <c r="A1466" s="2033"/>
      <c r="B1466" s="1631" t="s">
        <v>821</v>
      </c>
      <c r="C1466" s="2805" t="s">
        <v>822</v>
      </c>
      <c r="D1466" s="2805"/>
      <c r="E1466" s="2805"/>
      <c r="F1466" s="1683" t="s">
        <v>4994</v>
      </c>
      <c r="G1466" s="1655">
        <v>7.0000000000000007E-2</v>
      </c>
      <c r="H1466" s="2034">
        <v>56</v>
      </c>
      <c r="I1466" s="2042">
        <v>4.4452800000000003</v>
      </c>
      <c r="J1466" s="1654">
        <v>65.709999999999994</v>
      </c>
      <c r="K1466" s="1641"/>
      <c r="L1466" s="1654">
        <v>292.10000000000002</v>
      </c>
      <c r="M1466" s="1641"/>
      <c r="N1466" s="1681"/>
      <c r="EW1466" s="2031"/>
      <c r="EX1466" s="1619"/>
      <c r="EY1466" s="1628"/>
      <c r="EZ1466" s="1628"/>
      <c r="FA1466" s="1628"/>
      <c r="FD1466" s="1864" t="s">
        <v>822</v>
      </c>
      <c r="FH1466" s="1628"/>
      <c r="FU1466" s="1678"/>
      <c r="FW1466" s="1678"/>
    </row>
    <row r="1467" spans="1:179" s="1484" customFormat="1" ht="22.5" x14ac:dyDescent="0.25">
      <c r="A1467" s="2033"/>
      <c r="B1467" s="1631" t="s">
        <v>4938</v>
      </c>
      <c r="C1467" s="2805" t="s">
        <v>4939</v>
      </c>
      <c r="D1467" s="2805"/>
      <c r="E1467" s="2805"/>
      <c r="F1467" s="1683" t="s">
        <v>835</v>
      </c>
      <c r="G1467" s="1953">
        <v>71.5</v>
      </c>
      <c r="H1467" s="2034">
        <v>56</v>
      </c>
      <c r="I1467" s="2046">
        <v>4540.5360000000001</v>
      </c>
      <c r="J1467" s="1654">
        <v>50.19</v>
      </c>
      <c r="K1467" s="1641"/>
      <c r="L1467" s="1657">
        <v>227889.5</v>
      </c>
      <c r="M1467" s="1641"/>
      <c r="N1467" s="1681"/>
      <c r="EW1467" s="2031"/>
      <c r="EX1467" s="1619"/>
      <c r="EY1467" s="1628"/>
      <c r="EZ1467" s="1628"/>
      <c r="FA1467" s="1628"/>
      <c r="FD1467" s="1864" t="s">
        <v>4939</v>
      </c>
      <c r="FH1467" s="1628"/>
      <c r="FU1467" s="1678"/>
      <c r="FW1467" s="1678"/>
    </row>
    <row r="1468" spans="1:179" s="1484" customFormat="1" ht="15" x14ac:dyDescent="0.25">
      <c r="A1468" s="2032"/>
      <c r="B1468" s="1631" t="s">
        <v>190</v>
      </c>
      <c r="C1468" s="2805" t="s">
        <v>2523</v>
      </c>
      <c r="D1468" s="2805"/>
      <c r="E1468" s="2805"/>
      <c r="F1468" s="1683"/>
      <c r="G1468" s="1641"/>
      <c r="H1468" s="1641"/>
      <c r="I1468" s="1641"/>
      <c r="J1468" s="1654">
        <v>35.25</v>
      </c>
      <c r="K1468" s="2034">
        <v>70</v>
      </c>
      <c r="L1468" s="1657">
        <v>2798.15</v>
      </c>
      <c r="M1468" s="1655">
        <v>35.75</v>
      </c>
      <c r="N1468" s="1679">
        <v>100033.86</v>
      </c>
      <c r="EW1468" s="2031"/>
      <c r="EX1468" s="1619"/>
      <c r="EY1468" s="1628"/>
      <c r="EZ1468" s="1628"/>
      <c r="FA1468" s="1628"/>
      <c r="FE1468" s="1864" t="s">
        <v>2523</v>
      </c>
      <c r="FH1468" s="1628"/>
      <c r="FU1468" s="1678"/>
      <c r="FW1468" s="1678"/>
    </row>
    <row r="1469" spans="1:179" s="1484" customFormat="1" ht="15" x14ac:dyDescent="0.25">
      <c r="A1469" s="2032"/>
      <c r="B1469" s="1631" t="s">
        <v>639</v>
      </c>
      <c r="C1469" s="2805" t="s">
        <v>697</v>
      </c>
      <c r="D1469" s="2805"/>
      <c r="E1469" s="2805"/>
      <c r="F1469" s="1683"/>
      <c r="G1469" s="1641"/>
      <c r="H1469" s="1641"/>
      <c r="I1469" s="1641"/>
      <c r="J1469" s="1654">
        <v>4.91</v>
      </c>
      <c r="K1469" s="2034">
        <v>56</v>
      </c>
      <c r="L1469" s="1654">
        <v>311.8</v>
      </c>
      <c r="M1469" s="1655">
        <v>11.97</v>
      </c>
      <c r="N1469" s="1679">
        <v>3732.25</v>
      </c>
      <c r="EW1469" s="2031"/>
      <c r="EX1469" s="1619"/>
      <c r="EY1469" s="1628"/>
      <c r="EZ1469" s="1628"/>
      <c r="FA1469" s="1628"/>
      <c r="FE1469" s="1864" t="s">
        <v>697</v>
      </c>
      <c r="FH1469" s="1628"/>
      <c r="FU1469" s="1678"/>
      <c r="FW1469" s="1678"/>
    </row>
    <row r="1470" spans="1:179" s="1484" customFormat="1" ht="15" x14ac:dyDescent="0.25">
      <c r="A1470" s="2032"/>
      <c r="B1470" s="1631" t="s">
        <v>640</v>
      </c>
      <c r="C1470" s="2805" t="s">
        <v>2500</v>
      </c>
      <c r="D1470" s="2805"/>
      <c r="E1470" s="2805"/>
      <c r="F1470" s="1683"/>
      <c r="G1470" s="1641"/>
      <c r="H1470" s="1641"/>
      <c r="I1470" s="1641"/>
      <c r="J1470" s="1654">
        <v>0.95</v>
      </c>
      <c r="K1470" s="2034">
        <v>56</v>
      </c>
      <c r="L1470" s="1654">
        <v>60.33</v>
      </c>
      <c r="M1470" s="1655">
        <v>35.75</v>
      </c>
      <c r="N1470" s="1679">
        <v>2156.8000000000002</v>
      </c>
      <c r="EW1470" s="2031"/>
      <c r="EX1470" s="1619"/>
      <c r="EY1470" s="1628"/>
      <c r="EZ1470" s="1628"/>
      <c r="FA1470" s="1628"/>
      <c r="FE1470" s="1864" t="s">
        <v>2500</v>
      </c>
      <c r="FH1470" s="1628"/>
      <c r="FU1470" s="1678"/>
      <c r="FW1470" s="1678"/>
    </row>
    <row r="1471" spans="1:179" s="1484" customFormat="1" ht="15" x14ac:dyDescent="0.25">
      <c r="A1471" s="2032"/>
      <c r="B1471" s="1631" t="s">
        <v>232</v>
      </c>
      <c r="C1471" s="2805" t="s">
        <v>829</v>
      </c>
      <c r="D1471" s="2805"/>
      <c r="E1471" s="2805"/>
      <c r="F1471" s="1683"/>
      <c r="G1471" s="1641"/>
      <c r="H1471" s="1641"/>
      <c r="I1471" s="1641"/>
      <c r="J1471" s="1657">
        <v>3588.59</v>
      </c>
      <c r="K1471" s="2034">
        <v>56</v>
      </c>
      <c r="L1471" s="1657">
        <v>227889.82</v>
      </c>
      <c r="M1471" s="1655">
        <v>9.14</v>
      </c>
      <c r="N1471" s="1679">
        <v>2082912.95</v>
      </c>
      <c r="EW1471" s="2031"/>
      <c r="EX1471" s="1619"/>
      <c r="EY1471" s="1628"/>
      <c r="EZ1471" s="1628"/>
      <c r="FA1471" s="1628"/>
      <c r="FE1471" s="1864" t="s">
        <v>829</v>
      </c>
      <c r="FH1471" s="1628"/>
      <c r="FU1471" s="1678"/>
      <c r="FW1471" s="1678"/>
    </row>
    <row r="1472" spans="1:179" s="1484" customFormat="1" ht="15" x14ac:dyDescent="0.25">
      <c r="A1472" s="2033"/>
      <c r="B1472" s="1631"/>
      <c r="C1472" s="2805" t="s">
        <v>2524</v>
      </c>
      <c r="D1472" s="2805"/>
      <c r="E1472" s="2805"/>
      <c r="F1472" s="1683" t="s">
        <v>807</v>
      </c>
      <c r="G1472" s="1655">
        <v>3.84</v>
      </c>
      <c r="H1472" s="2034">
        <v>56</v>
      </c>
      <c r="I1472" s="2042">
        <v>243.85535999999999</v>
      </c>
      <c r="J1472" s="1640"/>
      <c r="K1472" s="1641"/>
      <c r="L1472" s="1640"/>
      <c r="M1472" s="1641"/>
      <c r="N1472" s="1681"/>
      <c r="EW1472" s="2031"/>
      <c r="EX1472" s="1619"/>
      <c r="EY1472" s="1628"/>
      <c r="EZ1472" s="1628"/>
      <c r="FA1472" s="1628"/>
      <c r="FF1472" s="1864" t="s">
        <v>2524</v>
      </c>
      <c r="FH1472" s="1628"/>
      <c r="FU1472" s="1678"/>
      <c r="FW1472" s="1678"/>
    </row>
    <row r="1473" spans="1:179" s="1484" customFormat="1" ht="15" x14ac:dyDescent="0.25">
      <c r="A1473" s="2033"/>
      <c r="B1473" s="1631"/>
      <c r="C1473" s="2805" t="s">
        <v>2501</v>
      </c>
      <c r="D1473" s="2805"/>
      <c r="E1473" s="2805"/>
      <c r="F1473" s="1683" t="s">
        <v>807</v>
      </c>
      <c r="G1473" s="1655">
        <v>0.08</v>
      </c>
      <c r="H1473" s="2034">
        <v>56</v>
      </c>
      <c r="I1473" s="2042">
        <v>5.0803200000000004</v>
      </c>
      <c r="J1473" s="1640"/>
      <c r="K1473" s="1641"/>
      <c r="L1473" s="1640"/>
      <c r="M1473" s="1641"/>
      <c r="N1473" s="1681"/>
      <c r="EW1473" s="2031"/>
      <c r="EX1473" s="1619"/>
      <c r="EY1473" s="1628"/>
      <c r="EZ1473" s="1628"/>
      <c r="FA1473" s="1628"/>
      <c r="FF1473" s="1864" t="s">
        <v>2501</v>
      </c>
      <c r="FH1473" s="1628"/>
      <c r="FU1473" s="1678"/>
      <c r="FW1473" s="1678"/>
    </row>
    <row r="1474" spans="1:179" s="1484" customFormat="1" ht="15" x14ac:dyDescent="0.25">
      <c r="A1474" s="2032"/>
      <c r="B1474" s="1631"/>
      <c r="C1474" s="2917" t="s">
        <v>2502</v>
      </c>
      <c r="D1474" s="2917"/>
      <c r="E1474" s="2917"/>
      <c r="F1474" s="2036"/>
      <c r="G1474" s="2037"/>
      <c r="H1474" s="2037"/>
      <c r="I1474" s="2037"/>
      <c r="J1474" s="2038">
        <v>3628.75</v>
      </c>
      <c r="K1474" s="2037"/>
      <c r="L1474" s="2038">
        <v>230999.77</v>
      </c>
      <c r="M1474" s="2037"/>
      <c r="N1474" s="2068">
        <v>2186679.06</v>
      </c>
      <c r="EW1474" s="2031"/>
      <c r="EX1474" s="1619"/>
      <c r="EY1474" s="1628"/>
      <c r="EZ1474" s="1628"/>
      <c r="FA1474" s="1628"/>
      <c r="FG1474" s="1864" t="s">
        <v>2502</v>
      </c>
      <c r="FH1474" s="1628"/>
      <c r="FU1474" s="1678"/>
      <c r="FW1474" s="1678"/>
    </row>
    <row r="1475" spans="1:179" s="1484" customFormat="1" ht="15" x14ac:dyDescent="0.25">
      <c r="A1475" s="2033" t="s">
        <v>8210</v>
      </c>
      <c r="B1475" s="1631"/>
      <c r="C1475" s="2805" t="s">
        <v>7964</v>
      </c>
      <c r="D1475" s="2805"/>
      <c r="E1475" s="2805"/>
      <c r="F1475" s="1683" t="s">
        <v>5928</v>
      </c>
      <c r="G1475" s="1641"/>
      <c r="H1475" s="1641"/>
      <c r="I1475" s="1641"/>
      <c r="J1475" s="1640"/>
      <c r="K1475" s="1641"/>
      <c r="L1475" s="1654">
        <v>15.08</v>
      </c>
      <c r="M1475" s="1641"/>
      <c r="N1475" s="2039">
        <v>539.11</v>
      </c>
      <c r="EW1475" s="2031"/>
      <c r="EX1475" s="1619"/>
      <c r="EY1475" s="1628"/>
      <c r="EZ1475" s="1628"/>
      <c r="FA1475" s="1628"/>
      <c r="FF1475" s="1864" t="s">
        <v>7964</v>
      </c>
      <c r="FH1475" s="1628"/>
      <c r="FU1475" s="1678"/>
      <c r="FW1475" s="1678"/>
    </row>
    <row r="1476" spans="1:179" s="1484" customFormat="1" ht="15" x14ac:dyDescent="0.25">
      <c r="A1476" s="2033"/>
      <c r="B1476" s="1631"/>
      <c r="C1476" s="2805" t="s">
        <v>7965</v>
      </c>
      <c r="D1476" s="2805"/>
      <c r="E1476" s="2805"/>
      <c r="F1476" s="1683" t="s">
        <v>5928</v>
      </c>
      <c r="G1476" s="1641"/>
      <c r="H1476" s="1641"/>
      <c r="I1476" s="1641"/>
      <c r="J1476" s="1654">
        <v>0.95</v>
      </c>
      <c r="K1476" s="2034">
        <v>14</v>
      </c>
      <c r="L1476" s="1654">
        <v>15.08</v>
      </c>
      <c r="M1476" s="1655">
        <v>35.75</v>
      </c>
      <c r="N1476" s="2039">
        <v>539.11</v>
      </c>
      <c r="EW1476" s="2031"/>
      <c r="EX1476" s="1619"/>
      <c r="EY1476" s="1628"/>
      <c r="EZ1476" s="1628"/>
      <c r="FA1476" s="1628"/>
      <c r="FF1476" s="1864" t="s">
        <v>7965</v>
      </c>
      <c r="FH1476" s="1628"/>
      <c r="FU1476" s="1678"/>
      <c r="FW1476" s="1678"/>
    </row>
    <row r="1477" spans="1:179" s="1484" customFormat="1" ht="15" x14ac:dyDescent="0.25">
      <c r="A1477" s="2033"/>
      <c r="B1477" s="1631"/>
      <c r="C1477" s="2805" t="s">
        <v>867</v>
      </c>
      <c r="D1477" s="2805"/>
      <c r="E1477" s="2805"/>
      <c r="F1477" s="1683"/>
      <c r="G1477" s="1641"/>
      <c r="H1477" s="1641"/>
      <c r="I1477" s="1641"/>
      <c r="J1477" s="1640"/>
      <c r="K1477" s="1641"/>
      <c r="L1477" s="1657">
        <v>2873.56</v>
      </c>
      <c r="M1477" s="1641"/>
      <c r="N1477" s="1679">
        <v>102729.77</v>
      </c>
      <c r="EW1477" s="2031"/>
      <c r="EX1477" s="1619"/>
      <c r="EY1477" s="1628"/>
      <c r="EZ1477" s="1628"/>
      <c r="FA1477" s="1628"/>
      <c r="FF1477" s="1864" t="s">
        <v>867</v>
      </c>
      <c r="FH1477" s="1628"/>
      <c r="FU1477" s="1678"/>
      <c r="FW1477" s="1678"/>
    </row>
    <row r="1478" spans="1:179" s="1484" customFormat="1" ht="15" x14ac:dyDescent="0.25">
      <c r="A1478" s="2033"/>
      <c r="B1478" s="1631" t="s">
        <v>8054</v>
      </c>
      <c r="C1478" s="2805" t="s">
        <v>8055</v>
      </c>
      <c r="D1478" s="2805"/>
      <c r="E1478" s="2805"/>
      <c r="F1478" s="1683" t="s">
        <v>636</v>
      </c>
      <c r="G1478" s="2034">
        <v>112</v>
      </c>
      <c r="H1478" s="1641"/>
      <c r="I1478" s="2034">
        <v>112</v>
      </c>
      <c r="J1478" s="1640"/>
      <c r="K1478" s="1641"/>
      <c r="L1478" s="1657">
        <v>3218.39</v>
      </c>
      <c r="M1478" s="1641"/>
      <c r="N1478" s="1679">
        <v>115057.34</v>
      </c>
      <c r="EW1478" s="2031"/>
      <c r="EX1478" s="1619"/>
      <c r="EY1478" s="1628"/>
      <c r="EZ1478" s="1628"/>
      <c r="FA1478" s="1628"/>
      <c r="FF1478" s="1864" t="s">
        <v>8055</v>
      </c>
      <c r="FH1478" s="1628"/>
      <c r="FU1478" s="1678"/>
      <c r="FW1478" s="1678"/>
    </row>
    <row r="1479" spans="1:179" s="1484" customFormat="1" ht="15" x14ac:dyDescent="0.25">
      <c r="A1479" s="2033"/>
      <c r="B1479" s="1631" t="s">
        <v>8056</v>
      </c>
      <c r="C1479" s="2805" t="s">
        <v>8057</v>
      </c>
      <c r="D1479" s="2805"/>
      <c r="E1479" s="2805"/>
      <c r="F1479" s="1683" t="s">
        <v>636</v>
      </c>
      <c r="G1479" s="2034">
        <v>65</v>
      </c>
      <c r="H1479" s="1641"/>
      <c r="I1479" s="2034">
        <v>65</v>
      </c>
      <c r="J1479" s="1640"/>
      <c r="K1479" s="1641"/>
      <c r="L1479" s="1657">
        <v>1867.81</v>
      </c>
      <c r="M1479" s="1641"/>
      <c r="N1479" s="1679">
        <v>66774.350000000006</v>
      </c>
      <c r="EW1479" s="2031"/>
      <c r="EX1479" s="1619"/>
      <c r="EY1479" s="1628"/>
      <c r="EZ1479" s="1628"/>
      <c r="FA1479" s="1628"/>
      <c r="FF1479" s="1864" t="s">
        <v>8057</v>
      </c>
      <c r="FH1479" s="1628"/>
      <c r="FU1479" s="1678"/>
      <c r="FW1479" s="1678"/>
    </row>
    <row r="1480" spans="1:179" s="1484" customFormat="1" ht="15" x14ac:dyDescent="0.25">
      <c r="A1480" s="1650"/>
      <c r="B1480" s="1651"/>
      <c r="C1480" s="2803" t="s">
        <v>872</v>
      </c>
      <c r="D1480" s="2803"/>
      <c r="E1480" s="2803"/>
      <c r="F1480" s="1621"/>
      <c r="G1480" s="1622"/>
      <c r="H1480" s="1622"/>
      <c r="I1480" s="1622"/>
      <c r="J1480" s="1625"/>
      <c r="K1480" s="1622"/>
      <c r="L1480" s="1648">
        <v>236101.05</v>
      </c>
      <c r="M1480" s="2037"/>
      <c r="N1480" s="1649">
        <v>2369049.86</v>
      </c>
      <c r="EW1480" s="2031"/>
      <c r="EX1480" s="1619"/>
      <c r="EY1480" s="1628"/>
      <c r="EZ1480" s="1628"/>
      <c r="FA1480" s="1628"/>
      <c r="FH1480" s="1628" t="s">
        <v>872</v>
      </c>
      <c r="FU1480" s="1678"/>
      <c r="FW1480" s="1678"/>
    </row>
    <row r="1481" spans="1:179" s="1484" customFormat="1" ht="56.25" x14ac:dyDescent="0.25">
      <c r="A1481" s="1620" t="s">
        <v>8211</v>
      </c>
      <c r="B1481" s="1863" t="s">
        <v>8172</v>
      </c>
      <c r="C1481" s="2803" t="s">
        <v>8173</v>
      </c>
      <c r="D1481" s="2803"/>
      <c r="E1481" s="2803"/>
      <c r="F1481" s="1621" t="s">
        <v>2555</v>
      </c>
      <c r="G1481" s="1622">
        <v>0.625</v>
      </c>
      <c r="H1481" s="1623">
        <v>1</v>
      </c>
      <c r="I1481" s="2045">
        <v>0.625</v>
      </c>
      <c r="J1481" s="1625"/>
      <c r="K1481" s="1622"/>
      <c r="L1481" s="1625"/>
      <c r="M1481" s="1622"/>
      <c r="N1481" s="1627"/>
      <c r="EW1481" s="2031"/>
      <c r="EX1481" s="1619"/>
      <c r="EY1481" s="1628" t="s">
        <v>8173</v>
      </c>
      <c r="EZ1481" s="1628" t="s">
        <v>588</v>
      </c>
      <c r="FA1481" s="1628" t="s">
        <v>588</v>
      </c>
      <c r="FH1481" s="1628"/>
      <c r="FU1481" s="1678"/>
      <c r="FW1481" s="1678"/>
    </row>
    <row r="1482" spans="1:179" s="1484" customFormat="1" ht="15" x14ac:dyDescent="0.25">
      <c r="A1482" s="1629"/>
      <c r="B1482" s="1862"/>
      <c r="C1482" s="2805" t="s">
        <v>8826</v>
      </c>
      <c r="D1482" s="2805"/>
      <c r="E1482" s="2805"/>
      <c r="F1482" s="2805"/>
      <c r="G1482" s="2805"/>
      <c r="H1482" s="2805"/>
      <c r="I1482" s="2805"/>
      <c r="J1482" s="2805"/>
      <c r="K1482" s="2805"/>
      <c r="L1482" s="2805"/>
      <c r="M1482" s="2805"/>
      <c r="N1482" s="2806"/>
      <c r="EW1482" s="2031"/>
      <c r="EX1482" s="1619"/>
      <c r="EY1482" s="1628"/>
      <c r="EZ1482" s="1628"/>
      <c r="FA1482" s="1628"/>
      <c r="FB1482" s="1864" t="s">
        <v>8826</v>
      </c>
      <c r="FH1482" s="1628"/>
      <c r="FU1482" s="1678"/>
      <c r="FW1482" s="1678"/>
    </row>
    <row r="1483" spans="1:179" s="1484" customFormat="1" ht="22.5" x14ac:dyDescent="0.25">
      <c r="A1483" s="1630"/>
      <c r="B1483" s="1631" t="s">
        <v>6062</v>
      </c>
      <c r="C1483" s="2809" t="s">
        <v>6063</v>
      </c>
      <c r="D1483" s="2809"/>
      <c r="E1483" s="2809"/>
      <c r="F1483" s="2809"/>
      <c r="G1483" s="2809"/>
      <c r="H1483" s="2809"/>
      <c r="I1483" s="2809"/>
      <c r="J1483" s="2809"/>
      <c r="K1483" s="2809"/>
      <c r="L1483" s="2809"/>
      <c r="M1483" s="2809"/>
      <c r="N1483" s="2810"/>
      <c r="EW1483" s="2031"/>
      <c r="EX1483" s="1619"/>
      <c r="EY1483" s="1628"/>
      <c r="EZ1483" s="1628"/>
      <c r="FA1483" s="1628"/>
      <c r="FC1483" s="1864" t="s">
        <v>6063</v>
      </c>
      <c r="FH1483" s="1628"/>
      <c r="FU1483" s="1678"/>
      <c r="FW1483" s="1678"/>
    </row>
    <row r="1484" spans="1:179" s="1484" customFormat="1" ht="22.5" x14ac:dyDescent="0.25">
      <c r="A1484" s="2033"/>
      <c r="B1484" s="1631" t="s">
        <v>3204</v>
      </c>
      <c r="C1484" s="2805" t="s">
        <v>8647</v>
      </c>
      <c r="D1484" s="2805"/>
      <c r="E1484" s="2805"/>
      <c r="F1484" s="1683" t="s">
        <v>807</v>
      </c>
      <c r="G1484" s="1655">
        <v>119.78</v>
      </c>
      <c r="H1484" s="1641"/>
      <c r="I1484" s="2035">
        <v>74.862499999999997</v>
      </c>
      <c r="J1484" s="1654">
        <v>8.74</v>
      </c>
      <c r="K1484" s="1655">
        <v>1.25</v>
      </c>
      <c r="L1484" s="1654">
        <v>817.87</v>
      </c>
      <c r="M1484" s="1641"/>
      <c r="N1484" s="1681"/>
      <c r="EW1484" s="2031"/>
      <c r="EX1484" s="1619"/>
      <c r="EY1484" s="1628"/>
      <c r="EZ1484" s="1628"/>
      <c r="FA1484" s="1628"/>
      <c r="FD1484" s="1864" t="s">
        <v>8647</v>
      </c>
      <c r="FH1484" s="1628"/>
      <c r="FU1484" s="1678"/>
      <c r="FW1484" s="1678"/>
    </row>
    <row r="1485" spans="1:179" s="1484" customFormat="1" ht="15" x14ac:dyDescent="0.25">
      <c r="A1485" s="2033"/>
      <c r="B1485" s="1631" t="s">
        <v>1741</v>
      </c>
      <c r="C1485" s="2805" t="s">
        <v>8697</v>
      </c>
      <c r="D1485" s="2805"/>
      <c r="E1485" s="2805"/>
      <c r="F1485" s="1683" t="s">
        <v>4994</v>
      </c>
      <c r="G1485" s="1655">
        <v>0.36</v>
      </c>
      <c r="H1485" s="1641"/>
      <c r="I1485" s="2046">
        <v>0.22500000000000001</v>
      </c>
      <c r="J1485" s="1654">
        <v>89.99</v>
      </c>
      <c r="K1485" s="1641"/>
      <c r="L1485" s="1654">
        <v>20.25</v>
      </c>
      <c r="M1485" s="1641"/>
      <c r="N1485" s="1681"/>
      <c r="EW1485" s="2031"/>
      <c r="EX1485" s="1619"/>
      <c r="EY1485" s="1628"/>
      <c r="EZ1485" s="1628"/>
      <c r="FA1485" s="1628"/>
      <c r="FD1485" s="1864" t="s">
        <v>8697</v>
      </c>
      <c r="FH1485" s="1628"/>
      <c r="FU1485" s="1678"/>
      <c r="FW1485" s="1678"/>
    </row>
    <row r="1486" spans="1:179" s="1484" customFormat="1" ht="22.5" x14ac:dyDescent="0.25">
      <c r="A1486" s="2033"/>
      <c r="B1486" s="1631" t="s">
        <v>5010</v>
      </c>
      <c r="C1486" s="2805" t="s">
        <v>5011</v>
      </c>
      <c r="D1486" s="2805"/>
      <c r="E1486" s="2805"/>
      <c r="F1486" s="1683" t="s">
        <v>4994</v>
      </c>
      <c r="G1486" s="1953">
        <v>2.2999999999999998</v>
      </c>
      <c r="H1486" s="1641"/>
      <c r="I1486" s="2035">
        <v>1.4375</v>
      </c>
      <c r="J1486" s="1654">
        <v>31.26</v>
      </c>
      <c r="K1486" s="1641"/>
      <c r="L1486" s="1654">
        <v>44.94</v>
      </c>
      <c r="M1486" s="1641"/>
      <c r="N1486" s="1681"/>
      <c r="EW1486" s="2031"/>
      <c r="EX1486" s="1619"/>
      <c r="EY1486" s="1628"/>
      <c r="EZ1486" s="1628"/>
      <c r="FA1486" s="1628"/>
      <c r="FD1486" s="1864" t="s">
        <v>5011</v>
      </c>
      <c r="FH1486" s="1628"/>
      <c r="FU1486" s="1678"/>
      <c r="FW1486" s="1678"/>
    </row>
    <row r="1487" spans="1:179" s="1484" customFormat="1" ht="22.5" x14ac:dyDescent="0.25">
      <c r="A1487" s="2033"/>
      <c r="B1487" s="1631" t="s">
        <v>5016</v>
      </c>
      <c r="C1487" s="2805" t="s">
        <v>5017</v>
      </c>
      <c r="D1487" s="2805"/>
      <c r="E1487" s="2805"/>
      <c r="F1487" s="1683" t="s">
        <v>4994</v>
      </c>
      <c r="G1487" s="1655">
        <v>1.56</v>
      </c>
      <c r="H1487" s="1641"/>
      <c r="I1487" s="2046">
        <v>0.97499999999999998</v>
      </c>
      <c r="J1487" s="1654">
        <v>12.39</v>
      </c>
      <c r="K1487" s="1641"/>
      <c r="L1487" s="1654">
        <v>12.08</v>
      </c>
      <c r="M1487" s="1641"/>
      <c r="N1487" s="1681"/>
      <c r="EW1487" s="2031"/>
      <c r="EX1487" s="1619"/>
      <c r="EY1487" s="1628"/>
      <c r="EZ1487" s="1628"/>
      <c r="FA1487" s="1628"/>
      <c r="FD1487" s="1864" t="s">
        <v>5017</v>
      </c>
      <c r="FH1487" s="1628"/>
      <c r="FU1487" s="1678"/>
      <c r="FW1487" s="1678"/>
    </row>
    <row r="1488" spans="1:179" s="1484" customFormat="1" ht="15" x14ac:dyDescent="0.25">
      <c r="A1488" s="2033"/>
      <c r="B1488" s="1631" t="s">
        <v>821</v>
      </c>
      <c r="C1488" s="2805" t="s">
        <v>822</v>
      </c>
      <c r="D1488" s="2805"/>
      <c r="E1488" s="2805"/>
      <c r="F1488" s="1683" t="s">
        <v>4994</v>
      </c>
      <c r="G1488" s="1655">
        <v>0.28000000000000003</v>
      </c>
      <c r="H1488" s="1641"/>
      <c r="I1488" s="2046">
        <v>0.17499999999999999</v>
      </c>
      <c r="J1488" s="1654">
        <v>65.709999999999994</v>
      </c>
      <c r="K1488" s="1641"/>
      <c r="L1488" s="1654">
        <v>11.5</v>
      </c>
      <c r="M1488" s="1641"/>
      <c r="N1488" s="1681"/>
      <c r="EW1488" s="2031"/>
      <c r="EX1488" s="1619"/>
      <c r="EY1488" s="1628"/>
      <c r="EZ1488" s="1628"/>
      <c r="FA1488" s="1628"/>
      <c r="FD1488" s="1864" t="s">
        <v>822</v>
      </c>
      <c r="FH1488" s="1628"/>
      <c r="FU1488" s="1678"/>
      <c r="FW1488" s="1678"/>
    </row>
    <row r="1489" spans="1:179" s="1484" customFormat="1" ht="15" x14ac:dyDescent="0.25">
      <c r="A1489" s="2033"/>
      <c r="B1489" s="1631" t="s">
        <v>1755</v>
      </c>
      <c r="C1489" s="2805" t="s">
        <v>2634</v>
      </c>
      <c r="D1489" s="2805"/>
      <c r="E1489" s="2805"/>
      <c r="F1489" s="1683" t="s">
        <v>832</v>
      </c>
      <c r="G1489" s="1953">
        <v>0.1</v>
      </c>
      <c r="H1489" s="1641"/>
      <c r="I1489" s="2035">
        <v>6.25E-2</v>
      </c>
      <c r="J1489" s="1654">
        <v>2.44</v>
      </c>
      <c r="K1489" s="1641"/>
      <c r="L1489" s="1654">
        <v>0.15</v>
      </c>
      <c r="M1489" s="1641"/>
      <c r="N1489" s="1681"/>
      <c r="EW1489" s="2031"/>
      <c r="EX1489" s="1619"/>
      <c r="EY1489" s="1628"/>
      <c r="EZ1489" s="1628"/>
      <c r="FA1489" s="1628"/>
      <c r="FD1489" s="1864" t="s">
        <v>2634</v>
      </c>
      <c r="FH1489" s="1628"/>
      <c r="FU1489" s="1678"/>
      <c r="FW1489" s="1678"/>
    </row>
    <row r="1490" spans="1:179" s="1484" customFormat="1" ht="15" x14ac:dyDescent="0.25">
      <c r="A1490" s="2033"/>
      <c r="B1490" s="1631" t="s">
        <v>4922</v>
      </c>
      <c r="C1490" s="2805" t="s">
        <v>8707</v>
      </c>
      <c r="D1490" s="2805"/>
      <c r="E1490" s="2805"/>
      <c r="F1490" s="1683" t="s">
        <v>835</v>
      </c>
      <c r="G1490" s="1953">
        <v>0.5</v>
      </c>
      <c r="H1490" s="1641"/>
      <c r="I1490" s="2035">
        <v>0.3125</v>
      </c>
      <c r="J1490" s="1654">
        <v>1.82</v>
      </c>
      <c r="K1490" s="1641"/>
      <c r="L1490" s="1654">
        <v>0.56999999999999995</v>
      </c>
      <c r="M1490" s="1641"/>
      <c r="N1490" s="1681"/>
      <c r="EW1490" s="2031"/>
      <c r="EX1490" s="1619"/>
      <c r="EY1490" s="1628"/>
      <c r="EZ1490" s="1628"/>
      <c r="FA1490" s="1628"/>
      <c r="FD1490" s="1864" t="s">
        <v>8707</v>
      </c>
      <c r="FH1490" s="1628"/>
      <c r="FU1490" s="1678"/>
      <c r="FW1490" s="1678"/>
    </row>
    <row r="1491" spans="1:179" s="1484" customFormat="1" ht="33.75" x14ac:dyDescent="0.25">
      <c r="A1491" s="2033"/>
      <c r="B1491" s="1631" t="s">
        <v>4940</v>
      </c>
      <c r="C1491" s="2805" t="s">
        <v>4941</v>
      </c>
      <c r="D1491" s="2805"/>
      <c r="E1491" s="2805"/>
      <c r="F1491" s="1683" t="s">
        <v>801</v>
      </c>
      <c r="G1491" s="1655">
        <v>0.05</v>
      </c>
      <c r="H1491" s="1641"/>
      <c r="I1491" s="2042">
        <v>3.125E-2</v>
      </c>
      <c r="J1491" s="1657">
        <v>6513</v>
      </c>
      <c r="K1491" s="1641"/>
      <c r="L1491" s="1654">
        <v>203.53</v>
      </c>
      <c r="M1491" s="1641"/>
      <c r="N1491" s="1681"/>
      <c r="EW1491" s="2031"/>
      <c r="EX1491" s="1619"/>
      <c r="EY1491" s="1628"/>
      <c r="EZ1491" s="1628"/>
      <c r="FA1491" s="1628"/>
      <c r="FD1491" s="1864" t="s">
        <v>4941</v>
      </c>
      <c r="FH1491" s="1628"/>
      <c r="FU1491" s="1678"/>
      <c r="FW1491" s="1678"/>
    </row>
    <row r="1492" spans="1:179" s="1484" customFormat="1" ht="33.75" x14ac:dyDescent="0.25">
      <c r="A1492" s="2033"/>
      <c r="B1492" s="1631" t="s">
        <v>8752</v>
      </c>
      <c r="C1492" s="2805" t="s">
        <v>8751</v>
      </c>
      <c r="D1492" s="2805"/>
      <c r="E1492" s="2805"/>
      <c r="F1492" s="1683" t="s">
        <v>130</v>
      </c>
      <c r="G1492" s="2034">
        <v>102</v>
      </c>
      <c r="H1492" s="1641"/>
      <c r="I1492" s="1655">
        <v>63.75</v>
      </c>
      <c r="J1492" s="1654">
        <v>67.8</v>
      </c>
      <c r="K1492" s="1641"/>
      <c r="L1492" s="1657">
        <v>4322.25</v>
      </c>
      <c r="M1492" s="1641"/>
      <c r="N1492" s="1681"/>
      <c r="EW1492" s="2031"/>
      <c r="EX1492" s="1619"/>
      <c r="EY1492" s="1628"/>
      <c r="EZ1492" s="1628"/>
      <c r="FA1492" s="1628"/>
      <c r="FD1492" s="1864" t="s">
        <v>8751</v>
      </c>
      <c r="FH1492" s="1628"/>
      <c r="FU1492" s="1678"/>
      <c r="FW1492" s="1678"/>
    </row>
    <row r="1493" spans="1:179" s="1484" customFormat="1" ht="15" x14ac:dyDescent="0.25">
      <c r="A1493" s="2033"/>
      <c r="B1493" s="1631" t="s">
        <v>4972</v>
      </c>
      <c r="C1493" s="2805" t="s">
        <v>8061</v>
      </c>
      <c r="D1493" s="2805"/>
      <c r="E1493" s="2805"/>
      <c r="F1493" s="1683" t="s">
        <v>835</v>
      </c>
      <c r="G1493" s="2034">
        <v>450</v>
      </c>
      <c r="H1493" s="1641"/>
      <c r="I1493" s="1655">
        <v>281.25</v>
      </c>
      <c r="J1493" s="1654">
        <v>1.37</v>
      </c>
      <c r="K1493" s="1641"/>
      <c r="L1493" s="1654">
        <v>385.31</v>
      </c>
      <c r="M1493" s="1641"/>
      <c r="N1493" s="1681"/>
      <c r="EW1493" s="2031"/>
      <c r="EX1493" s="1619"/>
      <c r="EY1493" s="1628"/>
      <c r="EZ1493" s="1628"/>
      <c r="FA1493" s="1628"/>
      <c r="FD1493" s="1864" t="s">
        <v>8061</v>
      </c>
      <c r="FH1493" s="1628"/>
      <c r="FU1493" s="1678"/>
      <c r="FW1493" s="1678"/>
    </row>
    <row r="1494" spans="1:179" s="1484" customFormat="1" ht="15" x14ac:dyDescent="0.25">
      <c r="A1494" s="2032"/>
      <c r="B1494" s="1631" t="s">
        <v>190</v>
      </c>
      <c r="C1494" s="2805" t="s">
        <v>2523</v>
      </c>
      <c r="D1494" s="2805"/>
      <c r="E1494" s="2805"/>
      <c r="F1494" s="1683"/>
      <c r="G1494" s="1641"/>
      <c r="H1494" s="1641"/>
      <c r="I1494" s="1641"/>
      <c r="J1494" s="1657">
        <v>1046.8800000000001</v>
      </c>
      <c r="K1494" s="1655">
        <v>1.25</v>
      </c>
      <c r="L1494" s="1654">
        <v>817.88</v>
      </c>
      <c r="M1494" s="1655">
        <v>35.75</v>
      </c>
      <c r="N1494" s="1679">
        <v>29239.21</v>
      </c>
      <c r="EW1494" s="2031"/>
      <c r="EX1494" s="1619"/>
      <c r="EY1494" s="1628"/>
      <c r="EZ1494" s="1628"/>
      <c r="FA1494" s="1628"/>
      <c r="FE1494" s="1864" t="s">
        <v>2523</v>
      </c>
      <c r="FH1494" s="1628"/>
      <c r="FU1494" s="1678"/>
      <c r="FW1494" s="1678"/>
    </row>
    <row r="1495" spans="1:179" s="1484" customFormat="1" ht="15" x14ac:dyDescent="0.25">
      <c r="A1495" s="2032"/>
      <c r="B1495" s="1631" t="s">
        <v>639</v>
      </c>
      <c r="C1495" s="2805" t="s">
        <v>697</v>
      </c>
      <c r="D1495" s="2805"/>
      <c r="E1495" s="2805"/>
      <c r="F1495" s="1683"/>
      <c r="G1495" s="1641"/>
      <c r="H1495" s="1641"/>
      <c r="I1495" s="1641"/>
      <c r="J1495" s="1654">
        <v>142.03</v>
      </c>
      <c r="K1495" s="1641"/>
      <c r="L1495" s="1654">
        <v>88.77</v>
      </c>
      <c r="M1495" s="1655">
        <v>11.97</v>
      </c>
      <c r="N1495" s="1679">
        <v>1062.58</v>
      </c>
      <c r="EW1495" s="2031"/>
      <c r="EX1495" s="1619"/>
      <c r="EY1495" s="1628"/>
      <c r="EZ1495" s="1628"/>
      <c r="FA1495" s="1628"/>
      <c r="FE1495" s="1864" t="s">
        <v>697</v>
      </c>
      <c r="FH1495" s="1628"/>
      <c r="FU1495" s="1678"/>
      <c r="FW1495" s="1678"/>
    </row>
    <row r="1496" spans="1:179" s="1484" customFormat="1" ht="15" x14ac:dyDescent="0.25">
      <c r="A1496" s="2032"/>
      <c r="B1496" s="1631" t="s">
        <v>640</v>
      </c>
      <c r="C1496" s="2805" t="s">
        <v>2500</v>
      </c>
      <c r="D1496" s="2805"/>
      <c r="E1496" s="2805"/>
      <c r="F1496" s="1683"/>
      <c r="G1496" s="1641"/>
      <c r="H1496" s="1641"/>
      <c r="I1496" s="1641"/>
      <c r="J1496" s="1654">
        <v>53.61</v>
      </c>
      <c r="K1496" s="1641"/>
      <c r="L1496" s="1654">
        <v>33.51</v>
      </c>
      <c r="M1496" s="1655">
        <v>35.75</v>
      </c>
      <c r="N1496" s="1679">
        <v>1197.98</v>
      </c>
      <c r="EW1496" s="2031"/>
      <c r="EX1496" s="1619"/>
      <c r="EY1496" s="1628"/>
      <c r="EZ1496" s="1628"/>
      <c r="FA1496" s="1628"/>
      <c r="FE1496" s="1864" t="s">
        <v>2500</v>
      </c>
      <c r="FH1496" s="1628"/>
      <c r="FU1496" s="1678"/>
      <c r="FW1496" s="1678"/>
    </row>
    <row r="1497" spans="1:179" s="1484" customFormat="1" ht="15" x14ac:dyDescent="0.25">
      <c r="A1497" s="2032"/>
      <c r="B1497" s="1631" t="s">
        <v>232</v>
      </c>
      <c r="C1497" s="2805" t="s">
        <v>829</v>
      </c>
      <c r="D1497" s="2805"/>
      <c r="E1497" s="2805"/>
      <c r="F1497" s="1683"/>
      <c r="G1497" s="1641"/>
      <c r="H1497" s="1641"/>
      <c r="I1497" s="1641"/>
      <c r="J1497" s="1657">
        <v>7858.9</v>
      </c>
      <c r="K1497" s="1641"/>
      <c r="L1497" s="1657">
        <v>4911.8100000000004</v>
      </c>
      <c r="M1497" s="1655">
        <v>9.14</v>
      </c>
      <c r="N1497" s="1679">
        <v>44893.94</v>
      </c>
      <c r="EW1497" s="2031"/>
      <c r="EX1497" s="1619"/>
      <c r="EY1497" s="1628"/>
      <c r="EZ1497" s="1628"/>
      <c r="FA1497" s="1628"/>
      <c r="FE1497" s="1864" t="s">
        <v>829</v>
      </c>
      <c r="FH1497" s="1628"/>
      <c r="FU1497" s="1678"/>
      <c r="FW1497" s="1678"/>
    </row>
    <row r="1498" spans="1:179" s="1484" customFormat="1" ht="15" x14ac:dyDescent="0.25">
      <c r="A1498" s="2033"/>
      <c r="B1498" s="1631"/>
      <c r="C1498" s="2805" t="s">
        <v>2524</v>
      </c>
      <c r="D1498" s="2805"/>
      <c r="E1498" s="2805"/>
      <c r="F1498" s="1683" t="s">
        <v>807</v>
      </c>
      <c r="G1498" s="1655">
        <v>119.78</v>
      </c>
      <c r="H1498" s="1641"/>
      <c r="I1498" s="2035">
        <v>74.862499999999997</v>
      </c>
      <c r="J1498" s="1640"/>
      <c r="K1498" s="1641"/>
      <c r="L1498" s="1640"/>
      <c r="M1498" s="1641"/>
      <c r="N1498" s="1681"/>
      <c r="EW1498" s="2031"/>
      <c r="EX1498" s="1619"/>
      <c r="EY1498" s="1628"/>
      <c r="EZ1498" s="1628"/>
      <c r="FA1498" s="1628"/>
      <c r="FF1498" s="1864" t="s">
        <v>2524</v>
      </c>
      <c r="FH1498" s="1628"/>
      <c r="FU1498" s="1678"/>
      <c r="FW1498" s="1678"/>
    </row>
    <row r="1499" spans="1:179" s="1484" customFormat="1" ht="15" x14ac:dyDescent="0.25">
      <c r="A1499" s="2033"/>
      <c r="B1499" s="1631"/>
      <c r="C1499" s="2805" t="s">
        <v>2501</v>
      </c>
      <c r="D1499" s="2805"/>
      <c r="E1499" s="2805"/>
      <c r="F1499" s="1683" t="s">
        <v>807</v>
      </c>
      <c r="G1499" s="1953">
        <v>4.5</v>
      </c>
      <c r="H1499" s="1641"/>
      <c r="I1499" s="2035">
        <v>2.8125</v>
      </c>
      <c r="J1499" s="1640"/>
      <c r="K1499" s="1641"/>
      <c r="L1499" s="1640"/>
      <c r="M1499" s="1641"/>
      <c r="N1499" s="1681"/>
      <c r="EW1499" s="2031"/>
      <c r="EX1499" s="1619"/>
      <c r="EY1499" s="1628"/>
      <c r="EZ1499" s="1628"/>
      <c r="FA1499" s="1628"/>
      <c r="FF1499" s="1864" t="s">
        <v>2501</v>
      </c>
      <c r="FH1499" s="1628"/>
      <c r="FU1499" s="1678"/>
      <c r="FW1499" s="1678"/>
    </row>
    <row r="1500" spans="1:179" s="1484" customFormat="1" ht="15" x14ac:dyDescent="0.25">
      <c r="A1500" s="2032"/>
      <c r="B1500" s="1631"/>
      <c r="C1500" s="2917" t="s">
        <v>2502</v>
      </c>
      <c r="D1500" s="2917"/>
      <c r="E1500" s="2917"/>
      <c r="F1500" s="2036"/>
      <c r="G1500" s="2037"/>
      <c r="H1500" s="2037"/>
      <c r="I1500" s="2037"/>
      <c r="J1500" s="2038">
        <v>9047.81</v>
      </c>
      <c r="K1500" s="2037"/>
      <c r="L1500" s="2038">
        <v>5818.46</v>
      </c>
      <c r="M1500" s="2037"/>
      <c r="N1500" s="2068">
        <v>75195.73</v>
      </c>
      <c r="EW1500" s="2031"/>
      <c r="EX1500" s="1619"/>
      <c r="EY1500" s="1628"/>
      <c r="EZ1500" s="1628"/>
      <c r="FA1500" s="1628"/>
      <c r="FG1500" s="1864" t="s">
        <v>2502</v>
      </c>
      <c r="FH1500" s="1628"/>
      <c r="FU1500" s="1678"/>
      <c r="FW1500" s="1678"/>
    </row>
    <row r="1501" spans="1:179" s="1484" customFormat="1" ht="15" x14ac:dyDescent="0.25">
      <c r="A1501" s="2033" t="s">
        <v>8212</v>
      </c>
      <c r="B1501" s="1631"/>
      <c r="C1501" s="2805" t="s">
        <v>7964</v>
      </c>
      <c r="D1501" s="2805"/>
      <c r="E1501" s="2805"/>
      <c r="F1501" s="1683" t="s">
        <v>5928</v>
      </c>
      <c r="G1501" s="1641"/>
      <c r="H1501" s="1641"/>
      <c r="I1501" s="1641"/>
      <c r="J1501" s="1640"/>
      <c r="K1501" s="1641"/>
      <c r="L1501" s="1654">
        <v>8.3800000000000008</v>
      </c>
      <c r="M1501" s="1641"/>
      <c r="N1501" s="2039">
        <v>299.58999999999997</v>
      </c>
      <c r="EW1501" s="2031"/>
      <c r="EX1501" s="1619"/>
      <c r="EY1501" s="1628"/>
      <c r="EZ1501" s="1628"/>
      <c r="FA1501" s="1628"/>
      <c r="FF1501" s="1864" t="s">
        <v>7964</v>
      </c>
      <c r="FH1501" s="1628"/>
      <c r="FU1501" s="1678"/>
      <c r="FW1501" s="1678"/>
    </row>
    <row r="1502" spans="1:179" s="1484" customFormat="1" ht="15" x14ac:dyDescent="0.25">
      <c r="A1502" s="2033"/>
      <c r="B1502" s="1631"/>
      <c r="C1502" s="2805" t="s">
        <v>7965</v>
      </c>
      <c r="D1502" s="2805"/>
      <c r="E1502" s="2805"/>
      <c r="F1502" s="1683" t="s">
        <v>5928</v>
      </c>
      <c r="G1502" s="1641"/>
      <c r="H1502" s="1641"/>
      <c r="I1502" s="1641"/>
      <c r="J1502" s="1654">
        <v>53.61</v>
      </c>
      <c r="K1502" s="1655">
        <v>0.25</v>
      </c>
      <c r="L1502" s="1654">
        <v>8.3800000000000008</v>
      </c>
      <c r="M1502" s="1655">
        <v>35.75</v>
      </c>
      <c r="N1502" s="2039">
        <v>299.58999999999997</v>
      </c>
      <c r="EW1502" s="2031"/>
      <c r="EX1502" s="1619"/>
      <c r="EY1502" s="1628"/>
      <c r="EZ1502" s="1628"/>
      <c r="FA1502" s="1628"/>
      <c r="FF1502" s="1864" t="s">
        <v>7965</v>
      </c>
      <c r="FH1502" s="1628"/>
      <c r="FU1502" s="1678"/>
      <c r="FW1502" s="1678"/>
    </row>
    <row r="1503" spans="1:179" s="1484" customFormat="1" ht="15" x14ac:dyDescent="0.25">
      <c r="A1503" s="2033"/>
      <c r="B1503" s="1631"/>
      <c r="C1503" s="2805" t="s">
        <v>867</v>
      </c>
      <c r="D1503" s="2805"/>
      <c r="E1503" s="2805"/>
      <c r="F1503" s="1683"/>
      <c r="G1503" s="1641"/>
      <c r="H1503" s="1641"/>
      <c r="I1503" s="1641"/>
      <c r="J1503" s="1640"/>
      <c r="K1503" s="1641"/>
      <c r="L1503" s="1654">
        <v>859.77</v>
      </c>
      <c r="M1503" s="1641"/>
      <c r="N1503" s="1679">
        <v>30736.78</v>
      </c>
      <c r="EW1503" s="2031"/>
      <c r="EX1503" s="1619"/>
      <c r="EY1503" s="1628"/>
      <c r="EZ1503" s="1628"/>
      <c r="FA1503" s="1628"/>
      <c r="FF1503" s="1864" t="s">
        <v>867</v>
      </c>
      <c r="FH1503" s="1628"/>
      <c r="FU1503" s="1678"/>
      <c r="FW1503" s="1678"/>
    </row>
    <row r="1504" spans="1:179" s="1484" customFormat="1" ht="15" x14ac:dyDescent="0.25">
      <c r="A1504" s="2033"/>
      <c r="B1504" s="1631" t="s">
        <v>8054</v>
      </c>
      <c r="C1504" s="2805" t="s">
        <v>8055</v>
      </c>
      <c r="D1504" s="2805"/>
      <c r="E1504" s="2805"/>
      <c r="F1504" s="1683" t="s">
        <v>636</v>
      </c>
      <c r="G1504" s="2034">
        <v>112</v>
      </c>
      <c r="H1504" s="1641"/>
      <c r="I1504" s="2034">
        <v>112</v>
      </c>
      <c r="J1504" s="1640"/>
      <c r="K1504" s="1641"/>
      <c r="L1504" s="1654">
        <v>962.94</v>
      </c>
      <c r="M1504" s="1641"/>
      <c r="N1504" s="1679">
        <v>34425.19</v>
      </c>
      <c r="EW1504" s="2031"/>
      <c r="EX1504" s="1619"/>
      <c r="EY1504" s="1628"/>
      <c r="EZ1504" s="1628"/>
      <c r="FA1504" s="1628"/>
      <c r="FF1504" s="1864" t="s">
        <v>8055</v>
      </c>
      <c r="FH1504" s="1628"/>
      <c r="FU1504" s="1678"/>
      <c r="FW1504" s="1678"/>
    </row>
    <row r="1505" spans="1:179" s="1484" customFormat="1" ht="15" x14ac:dyDescent="0.25">
      <c r="A1505" s="2033"/>
      <c r="B1505" s="1631" t="s">
        <v>8056</v>
      </c>
      <c r="C1505" s="2805" t="s">
        <v>8057</v>
      </c>
      <c r="D1505" s="2805"/>
      <c r="E1505" s="2805"/>
      <c r="F1505" s="1683" t="s">
        <v>636</v>
      </c>
      <c r="G1505" s="2034">
        <v>65</v>
      </c>
      <c r="H1505" s="1641"/>
      <c r="I1505" s="2034">
        <v>65</v>
      </c>
      <c r="J1505" s="1640"/>
      <c r="K1505" s="1641"/>
      <c r="L1505" s="1654">
        <v>558.85</v>
      </c>
      <c r="M1505" s="1641"/>
      <c r="N1505" s="1679">
        <v>19978.91</v>
      </c>
      <c r="EW1505" s="2031"/>
      <c r="EX1505" s="1619"/>
      <c r="EY1505" s="1628"/>
      <c r="EZ1505" s="1628"/>
      <c r="FA1505" s="1628"/>
      <c r="FF1505" s="1864" t="s">
        <v>8057</v>
      </c>
      <c r="FH1505" s="1628"/>
      <c r="FU1505" s="1678"/>
      <c r="FW1505" s="1678"/>
    </row>
    <row r="1506" spans="1:179" s="1484" customFormat="1" ht="15" x14ac:dyDescent="0.25">
      <c r="A1506" s="1650"/>
      <c r="B1506" s="1651"/>
      <c r="C1506" s="2803" t="s">
        <v>872</v>
      </c>
      <c r="D1506" s="2803"/>
      <c r="E1506" s="2803"/>
      <c r="F1506" s="1621"/>
      <c r="G1506" s="1622"/>
      <c r="H1506" s="1622"/>
      <c r="I1506" s="1622"/>
      <c r="J1506" s="1625"/>
      <c r="K1506" s="1622"/>
      <c r="L1506" s="1648">
        <v>7348.63</v>
      </c>
      <c r="M1506" s="2037"/>
      <c r="N1506" s="1649">
        <v>129899.42</v>
      </c>
      <c r="EW1506" s="2031"/>
      <c r="EX1506" s="1619"/>
      <c r="EY1506" s="1628"/>
      <c r="EZ1506" s="1628"/>
      <c r="FA1506" s="1628"/>
      <c r="FH1506" s="1628" t="s">
        <v>872</v>
      </c>
      <c r="FU1506" s="1678"/>
      <c r="FW1506" s="1678"/>
    </row>
    <row r="1507" spans="1:179" s="1484" customFormat="1" ht="15" x14ac:dyDescent="0.25">
      <c r="A1507" s="2811" t="s">
        <v>8213</v>
      </c>
      <c r="B1507" s="2812"/>
      <c r="C1507" s="2812"/>
      <c r="D1507" s="2812"/>
      <c r="E1507" s="2812"/>
      <c r="F1507" s="2812"/>
      <c r="G1507" s="2812"/>
      <c r="H1507" s="2812"/>
      <c r="I1507" s="2812"/>
      <c r="J1507" s="2812"/>
      <c r="K1507" s="2812"/>
      <c r="L1507" s="2812"/>
      <c r="M1507" s="2812"/>
      <c r="N1507" s="2813"/>
      <c r="EW1507" s="2031"/>
      <c r="EX1507" s="1619" t="s">
        <v>8213</v>
      </c>
      <c r="EY1507" s="1628"/>
      <c r="EZ1507" s="1628"/>
      <c r="FA1507" s="1628"/>
      <c r="FH1507" s="1628"/>
      <c r="FU1507" s="1678"/>
      <c r="FW1507" s="1678"/>
    </row>
    <row r="1508" spans="1:179" s="1484" customFormat="1" ht="22.5" x14ac:dyDescent="0.25">
      <c r="A1508" s="1620" t="s">
        <v>8214</v>
      </c>
      <c r="B1508" s="1863" t="s">
        <v>8193</v>
      </c>
      <c r="C1508" s="2803" t="s">
        <v>8194</v>
      </c>
      <c r="D1508" s="2803"/>
      <c r="E1508" s="2803"/>
      <c r="F1508" s="1621" t="s">
        <v>2555</v>
      </c>
      <c r="G1508" s="1622">
        <v>0.222</v>
      </c>
      <c r="H1508" s="1623">
        <v>1</v>
      </c>
      <c r="I1508" s="2045">
        <v>0.222</v>
      </c>
      <c r="J1508" s="1625"/>
      <c r="K1508" s="1622"/>
      <c r="L1508" s="1625"/>
      <c r="M1508" s="1622"/>
      <c r="N1508" s="1627"/>
      <c r="EW1508" s="2031"/>
      <c r="EX1508" s="1619"/>
      <c r="EY1508" s="1628" t="s">
        <v>8194</v>
      </c>
      <c r="EZ1508" s="1628" t="s">
        <v>588</v>
      </c>
      <c r="FA1508" s="1628" t="s">
        <v>588</v>
      </c>
      <c r="FH1508" s="1628"/>
      <c r="FU1508" s="1678"/>
      <c r="FW1508" s="1678"/>
    </row>
    <row r="1509" spans="1:179" s="1484" customFormat="1" ht="15" x14ac:dyDescent="0.25">
      <c r="A1509" s="1629"/>
      <c r="B1509" s="1862"/>
      <c r="C1509" s="2805" t="s">
        <v>8824</v>
      </c>
      <c r="D1509" s="2805"/>
      <c r="E1509" s="2805"/>
      <c r="F1509" s="2805"/>
      <c r="G1509" s="2805"/>
      <c r="H1509" s="2805"/>
      <c r="I1509" s="2805"/>
      <c r="J1509" s="2805"/>
      <c r="K1509" s="2805"/>
      <c r="L1509" s="2805"/>
      <c r="M1509" s="2805"/>
      <c r="N1509" s="2806"/>
      <c r="EW1509" s="2031"/>
      <c r="EX1509" s="1619"/>
      <c r="EY1509" s="1628"/>
      <c r="EZ1509" s="1628"/>
      <c r="FA1509" s="1628"/>
      <c r="FB1509" s="1864" t="s">
        <v>8824</v>
      </c>
      <c r="FH1509" s="1628"/>
      <c r="FU1509" s="1678"/>
      <c r="FW1509" s="1678"/>
    </row>
    <row r="1510" spans="1:179" s="1484" customFormat="1" ht="22.5" x14ac:dyDescent="0.25">
      <c r="A1510" s="1630"/>
      <c r="B1510" s="1631" t="s">
        <v>6062</v>
      </c>
      <c r="C1510" s="2809" t="s">
        <v>6063</v>
      </c>
      <c r="D1510" s="2809"/>
      <c r="E1510" s="2809"/>
      <c r="F1510" s="2809"/>
      <c r="G1510" s="2809"/>
      <c r="H1510" s="2809"/>
      <c r="I1510" s="2809"/>
      <c r="J1510" s="2809"/>
      <c r="K1510" s="2809"/>
      <c r="L1510" s="2809"/>
      <c r="M1510" s="2809"/>
      <c r="N1510" s="2810"/>
      <c r="EW1510" s="2031"/>
      <c r="EX1510" s="1619"/>
      <c r="EY1510" s="1628"/>
      <c r="EZ1510" s="1628"/>
      <c r="FA1510" s="1628"/>
      <c r="FC1510" s="1864" t="s">
        <v>6063</v>
      </c>
      <c r="FH1510" s="1628"/>
      <c r="FU1510" s="1678"/>
      <c r="FW1510" s="1678"/>
    </row>
    <row r="1511" spans="1:179" s="1484" customFormat="1" ht="22.5" x14ac:dyDescent="0.25">
      <c r="A1511" s="2033"/>
      <c r="B1511" s="1631" t="s">
        <v>8822</v>
      </c>
      <c r="C1511" s="2805" t="s">
        <v>8821</v>
      </c>
      <c r="D1511" s="2805"/>
      <c r="E1511" s="2805"/>
      <c r="F1511" s="1683" t="s">
        <v>807</v>
      </c>
      <c r="G1511" s="1655">
        <v>54.99</v>
      </c>
      <c r="H1511" s="1641"/>
      <c r="I1511" s="2042">
        <v>12.20778</v>
      </c>
      <c r="J1511" s="1654">
        <v>8.4600000000000009</v>
      </c>
      <c r="K1511" s="1655">
        <v>1.25</v>
      </c>
      <c r="L1511" s="1654">
        <v>129.1</v>
      </c>
      <c r="M1511" s="1641"/>
      <c r="N1511" s="1681"/>
      <c r="EW1511" s="2031"/>
      <c r="EX1511" s="1619"/>
      <c r="EY1511" s="1628"/>
      <c r="EZ1511" s="1628"/>
      <c r="FA1511" s="1628"/>
      <c r="FD1511" s="1864" t="s">
        <v>8821</v>
      </c>
      <c r="FH1511" s="1628"/>
      <c r="FU1511" s="1678"/>
      <c r="FW1511" s="1678"/>
    </row>
    <row r="1512" spans="1:179" s="1484" customFormat="1" ht="22.5" x14ac:dyDescent="0.25">
      <c r="A1512" s="2033"/>
      <c r="B1512" s="1631" t="s">
        <v>5010</v>
      </c>
      <c r="C1512" s="2805" t="s">
        <v>5011</v>
      </c>
      <c r="D1512" s="2805"/>
      <c r="E1512" s="2805"/>
      <c r="F1512" s="1683" t="s">
        <v>4994</v>
      </c>
      <c r="G1512" s="2046">
        <v>4.9000000000000002E-2</v>
      </c>
      <c r="H1512" s="1641"/>
      <c r="I1512" s="2043">
        <v>1.0878000000000001E-2</v>
      </c>
      <c r="J1512" s="1654">
        <v>31.26</v>
      </c>
      <c r="K1512" s="1641"/>
      <c r="L1512" s="1654">
        <v>0.34</v>
      </c>
      <c r="M1512" s="1641"/>
      <c r="N1512" s="1681"/>
      <c r="EW1512" s="2031"/>
      <c r="EX1512" s="1619"/>
      <c r="EY1512" s="1628"/>
      <c r="EZ1512" s="1628"/>
      <c r="FA1512" s="1628"/>
      <c r="FD1512" s="1864" t="s">
        <v>5011</v>
      </c>
      <c r="FH1512" s="1628"/>
      <c r="FU1512" s="1678"/>
      <c r="FW1512" s="1678"/>
    </row>
    <row r="1513" spans="1:179" s="1484" customFormat="1" ht="15" x14ac:dyDescent="0.25">
      <c r="A1513" s="2033"/>
      <c r="B1513" s="1631" t="s">
        <v>821</v>
      </c>
      <c r="C1513" s="2805" t="s">
        <v>822</v>
      </c>
      <c r="D1513" s="2805"/>
      <c r="E1513" s="2805"/>
      <c r="F1513" s="1683" t="s">
        <v>4994</v>
      </c>
      <c r="G1513" s="1655">
        <v>0.16</v>
      </c>
      <c r="H1513" s="1641"/>
      <c r="I1513" s="2042">
        <v>3.5520000000000003E-2</v>
      </c>
      <c r="J1513" s="1654">
        <v>65.709999999999994</v>
      </c>
      <c r="K1513" s="1641"/>
      <c r="L1513" s="1654">
        <v>2.33</v>
      </c>
      <c r="M1513" s="1641"/>
      <c r="N1513" s="1681"/>
      <c r="EW1513" s="2031"/>
      <c r="EX1513" s="1619"/>
      <c r="EY1513" s="1628"/>
      <c r="EZ1513" s="1628"/>
      <c r="FA1513" s="1628"/>
      <c r="FD1513" s="1864" t="s">
        <v>822</v>
      </c>
      <c r="FH1513" s="1628"/>
      <c r="FU1513" s="1678"/>
      <c r="FW1513" s="1678"/>
    </row>
    <row r="1514" spans="1:179" s="1484" customFormat="1" ht="15" x14ac:dyDescent="0.25">
      <c r="A1514" s="2033"/>
      <c r="B1514" s="1631" t="s">
        <v>5035</v>
      </c>
      <c r="C1514" s="2805" t="s">
        <v>5036</v>
      </c>
      <c r="D1514" s="2805"/>
      <c r="E1514" s="2805"/>
      <c r="F1514" s="1683" t="s">
        <v>4994</v>
      </c>
      <c r="G1514" s="1655">
        <v>3.06</v>
      </c>
      <c r="H1514" s="1641"/>
      <c r="I1514" s="2042">
        <v>0.67932000000000003</v>
      </c>
      <c r="J1514" s="1654">
        <v>3.29</v>
      </c>
      <c r="K1514" s="1641"/>
      <c r="L1514" s="1654">
        <v>2.23</v>
      </c>
      <c r="M1514" s="1641"/>
      <c r="N1514" s="1681"/>
      <c r="EW1514" s="2031"/>
      <c r="EX1514" s="1619"/>
      <c r="EY1514" s="1628"/>
      <c r="EZ1514" s="1628"/>
      <c r="FA1514" s="1628"/>
      <c r="FD1514" s="1864" t="s">
        <v>5036</v>
      </c>
      <c r="FH1514" s="1628"/>
      <c r="FU1514" s="1678"/>
      <c r="FW1514" s="1678"/>
    </row>
    <row r="1515" spans="1:179" s="1484" customFormat="1" ht="22.5" x14ac:dyDescent="0.25">
      <c r="A1515" s="2033"/>
      <c r="B1515" s="1631" t="s">
        <v>4938</v>
      </c>
      <c r="C1515" s="2805" t="s">
        <v>4939</v>
      </c>
      <c r="D1515" s="2805"/>
      <c r="E1515" s="2805"/>
      <c r="F1515" s="1683" t="s">
        <v>835</v>
      </c>
      <c r="G1515" s="2034">
        <v>306</v>
      </c>
      <c r="H1515" s="1641"/>
      <c r="I1515" s="2046">
        <v>67.932000000000002</v>
      </c>
      <c r="J1515" s="1654">
        <v>50.19</v>
      </c>
      <c r="K1515" s="1641"/>
      <c r="L1515" s="1657">
        <v>3409.51</v>
      </c>
      <c r="M1515" s="1641"/>
      <c r="N1515" s="1681"/>
      <c r="EW1515" s="2031"/>
      <c r="EX1515" s="1619"/>
      <c r="EY1515" s="1628"/>
      <c r="EZ1515" s="1628"/>
      <c r="FA1515" s="1628"/>
      <c r="FD1515" s="1864" t="s">
        <v>4939</v>
      </c>
      <c r="FH1515" s="1628"/>
      <c r="FU1515" s="1678"/>
      <c r="FW1515" s="1678"/>
    </row>
    <row r="1516" spans="1:179" s="1484" customFormat="1" ht="15" x14ac:dyDescent="0.25">
      <c r="A1516" s="2032"/>
      <c r="B1516" s="1631" t="s">
        <v>190</v>
      </c>
      <c r="C1516" s="2805" t="s">
        <v>2523</v>
      </c>
      <c r="D1516" s="2805"/>
      <c r="E1516" s="2805"/>
      <c r="F1516" s="1683"/>
      <c r="G1516" s="1641"/>
      <c r="H1516" s="1641"/>
      <c r="I1516" s="1641"/>
      <c r="J1516" s="1654">
        <v>465.22</v>
      </c>
      <c r="K1516" s="1655">
        <v>1.25</v>
      </c>
      <c r="L1516" s="1654">
        <v>129.1</v>
      </c>
      <c r="M1516" s="1655">
        <v>35.75</v>
      </c>
      <c r="N1516" s="1679">
        <v>4615.33</v>
      </c>
      <c r="EW1516" s="2031"/>
      <c r="EX1516" s="1619"/>
      <c r="EY1516" s="1628"/>
      <c r="EZ1516" s="1628"/>
      <c r="FA1516" s="1628"/>
      <c r="FE1516" s="1864" t="s">
        <v>2523</v>
      </c>
      <c r="FH1516" s="1628"/>
      <c r="FU1516" s="1678"/>
      <c r="FW1516" s="1678"/>
    </row>
    <row r="1517" spans="1:179" s="1484" customFormat="1" ht="15" x14ac:dyDescent="0.25">
      <c r="A1517" s="2032"/>
      <c r="B1517" s="1631" t="s">
        <v>639</v>
      </c>
      <c r="C1517" s="2805" t="s">
        <v>697</v>
      </c>
      <c r="D1517" s="2805"/>
      <c r="E1517" s="2805"/>
      <c r="F1517" s="1683"/>
      <c r="G1517" s="1641"/>
      <c r="H1517" s="1641"/>
      <c r="I1517" s="1641"/>
      <c r="J1517" s="1654">
        <v>22.11</v>
      </c>
      <c r="K1517" s="1641"/>
      <c r="L1517" s="1654">
        <v>4.91</v>
      </c>
      <c r="M1517" s="1655">
        <v>11.97</v>
      </c>
      <c r="N1517" s="2039">
        <v>58.77</v>
      </c>
      <c r="EW1517" s="2031"/>
      <c r="EX1517" s="1619"/>
      <c r="EY1517" s="1628"/>
      <c r="EZ1517" s="1628"/>
      <c r="FA1517" s="1628"/>
      <c r="FE1517" s="1864" t="s">
        <v>697</v>
      </c>
      <c r="FH1517" s="1628"/>
      <c r="FU1517" s="1678"/>
      <c r="FW1517" s="1678"/>
    </row>
    <row r="1518" spans="1:179" s="1484" customFormat="1" ht="15" x14ac:dyDescent="0.25">
      <c r="A1518" s="2032"/>
      <c r="B1518" s="1631" t="s">
        <v>640</v>
      </c>
      <c r="C1518" s="2805" t="s">
        <v>2500</v>
      </c>
      <c r="D1518" s="2805"/>
      <c r="E1518" s="2805"/>
      <c r="F1518" s="1683"/>
      <c r="G1518" s="1641"/>
      <c r="H1518" s="1641"/>
      <c r="I1518" s="1641"/>
      <c r="J1518" s="1654">
        <v>2.52</v>
      </c>
      <c r="K1518" s="1641"/>
      <c r="L1518" s="1654">
        <v>0.56000000000000005</v>
      </c>
      <c r="M1518" s="1655">
        <v>35.75</v>
      </c>
      <c r="N1518" s="2039">
        <v>20.02</v>
      </c>
      <c r="EW1518" s="2031"/>
      <c r="EX1518" s="1619"/>
      <c r="EY1518" s="1628"/>
      <c r="EZ1518" s="1628"/>
      <c r="FA1518" s="1628"/>
      <c r="FE1518" s="1864" t="s">
        <v>2500</v>
      </c>
      <c r="FH1518" s="1628"/>
      <c r="FU1518" s="1678"/>
      <c r="FW1518" s="1678"/>
    </row>
    <row r="1519" spans="1:179" s="1484" customFormat="1" ht="15" x14ac:dyDescent="0.25">
      <c r="A1519" s="2032"/>
      <c r="B1519" s="1631" t="s">
        <v>232</v>
      </c>
      <c r="C1519" s="2805" t="s">
        <v>829</v>
      </c>
      <c r="D1519" s="2805"/>
      <c r="E1519" s="2805"/>
      <c r="F1519" s="1683"/>
      <c r="G1519" s="1641"/>
      <c r="H1519" s="1641"/>
      <c r="I1519" s="1641"/>
      <c r="J1519" s="1657">
        <v>15358.14</v>
      </c>
      <c r="K1519" s="1641"/>
      <c r="L1519" s="1657">
        <v>3409.51</v>
      </c>
      <c r="M1519" s="1655">
        <v>9.14</v>
      </c>
      <c r="N1519" s="1679">
        <v>31162.92</v>
      </c>
      <c r="EW1519" s="2031"/>
      <c r="EX1519" s="1619"/>
      <c r="EY1519" s="1628"/>
      <c r="EZ1519" s="1628"/>
      <c r="FA1519" s="1628"/>
      <c r="FE1519" s="1864" t="s">
        <v>829</v>
      </c>
      <c r="FH1519" s="1628"/>
      <c r="FU1519" s="1678"/>
      <c r="FW1519" s="1678"/>
    </row>
    <row r="1520" spans="1:179" s="1484" customFormat="1" ht="15" x14ac:dyDescent="0.25">
      <c r="A1520" s="2033"/>
      <c r="B1520" s="1631"/>
      <c r="C1520" s="2805" t="s">
        <v>2524</v>
      </c>
      <c r="D1520" s="2805"/>
      <c r="E1520" s="2805"/>
      <c r="F1520" s="1683" t="s">
        <v>807</v>
      </c>
      <c r="G1520" s="1655">
        <v>54.99</v>
      </c>
      <c r="H1520" s="1641"/>
      <c r="I1520" s="2042">
        <v>12.20778</v>
      </c>
      <c r="J1520" s="1640"/>
      <c r="K1520" s="1641"/>
      <c r="L1520" s="1640"/>
      <c r="M1520" s="1641"/>
      <c r="N1520" s="1681"/>
      <c r="EW1520" s="2031"/>
      <c r="EX1520" s="1619"/>
      <c r="EY1520" s="1628"/>
      <c r="EZ1520" s="1628"/>
      <c r="FA1520" s="1628"/>
      <c r="FF1520" s="1864" t="s">
        <v>2524</v>
      </c>
      <c r="FH1520" s="1628"/>
      <c r="FU1520" s="1678"/>
      <c r="FW1520" s="1678"/>
    </row>
    <row r="1521" spans="1:179" s="1484" customFormat="1" ht="15" x14ac:dyDescent="0.25">
      <c r="A1521" s="2033"/>
      <c r="B1521" s="1631"/>
      <c r="C1521" s="2805" t="s">
        <v>2501</v>
      </c>
      <c r="D1521" s="2805"/>
      <c r="E1521" s="2805"/>
      <c r="F1521" s="1683" t="s">
        <v>807</v>
      </c>
      <c r="G1521" s="1655">
        <v>0.21</v>
      </c>
      <c r="H1521" s="1641"/>
      <c r="I1521" s="2042">
        <v>4.6620000000000002E-2</v>
      </c>
      <c r="J1521" s="1640"/>
      <c r="K1521" s="1641"/>
      <c r="L1521" s="1640"/>
      <c r="M1521" s="1641"/>
      <c r="N1521" s="1681"/>
      <c r="EW1521" s="2031"/>
      <c r="EX1521" s="1619"/>
      <c r="EY1521" s="1628"/>
      <c r="EZ1521" s="1628"/>
      <c r="FA1521" s="1628"/>
      <c r="FF1521" s="1864" t="s">
        <v>2501</v>
      </c>
      <c r="FH1521" s="1628"/>
      <c r="FU1521" s="1678"/>
      <c r="FW1521" s="1678"/>
    </row>
    <row r="1522" spans="1:179" s="1484" customFormat="1" ht="15" x14ac:dyDescent="0.25">
      <c r="A1522" s="2032"/>
      <c r="B1522" s="1631"/>
      <c r="C1522" s="2917" t="s">
        <v>2502</v>
      </c>
      <c r="D1522" s="2917"/>
      <c r="E1522" s="2917"/>
      <c r="F1522" s="2036"/>
      <c r="G1522" s="2037"/>
      <c r="H1522" s="2037"/>
      <c r="I1522" s="2037"/>
      <c r="J1522" s="2038">
        <v>15845.47</v>
      </c>
      <c r="K1522" s="2037"/>
      <c r="L1522" s="2038">
        <v>3543.52</v>
      </c>
      <c r="M1522" s="2037"/>
      <c r="N1522" s="2068">
        <v>35837.019999999997</v>
      </c>
      <c r="EW1522" s="2031"/>
      <c r="EX1522" s="1619"/>
      <c r="EY1522" s="1628"/>
      <c r="EZ1522" s="1628"/>
      <c r="FA1522" s="1628"/>
      <c r="FG1522" s="1864" t="s">
        <v>2502</v>
      </c>
      <c r="FH1522" s="1628"/>
      <c r="FU1522" s="1678"/>
      <c r="FW1522" s="1678"/>
    </row>
    <row r="1523" spans="1:179" s="1484" customFormat="1" ht="15" x14ac:dyDescent="0.25">
      <c r="A1523" s="2033" t="s">
        <v>8215</v>
      </c>
      <c r="B1523" s="1631"/>
      <c r="C1523" s="2805" t="s">
        <v>7964</v>
      </c>
      <c r="D1523" s="2805"/>
      <c r="E1523" s="2805"/>
      <c r="F1523" s="1683" t="s">
        <v>5928</v>
      </c>
      <c r="G1523" s="1641"/>
      <c r="H1523" s="1641"/>
      <c r="I1523" s="1641"/>
      <c r="J1523" s="1640"/>
      <c r="K1523" s="1641"/>
      <c r="L1523" s="1654">
        <v>0.14000000000000001</v>
      </c>
      <c r="M1523" s="1641"/>
      <c r="N1523" s="2039">
        <v>5.01</v>
      </c>
      <c r="EW1523" s="2031"/>
      <c r="EX1523" s="1619"/>
      <c r="EY1523" s="1628"/>
      <c r="EZ1523" s="1628"/>
      <c r="FA1523" s="1628"/>
      <c r="FF1523" s="1864" t="s">
        <v>7964</v>
      </c>
      <c r="FH1523" s="1628"/>
      <c r="FU1523" s="1678"/>
      <c r="FW1523" s="1678"/>
    </row>
    <row r="1524" spans="1:179" s="1484" customFormat="1" ht="15" x14ac:dyDescent="0.25">
      <c r="A1524" s="2033"/>
      <c r="B1524" s="1631"/>
      <c r="C1524" s="2805" t="s">
        <v>7965</v>
      </c>
      <c r="D1524" s="2805"/>
      <c r="E1524" s="2805"/>
      <c r="F1524" s="1683" t="s">
        <v>5928</v>
      </c>
      <c r="G1524" s="1641"/>
      <c r="H1524" s="1641"/>
      <c r="I1524" s="1641"/>
      <c r="J1524" s="1654">
        <v>2.52</v>
      </c>
      <c r="K1524" s="1655">
        <v>0.25</v>
      </c>
      <c r="L1524" s="1654">
        <v>0.14000000000000001</v>
      </c>
      <c r="M1524" s="1655">
        <v>35.75</v>
      </c>
      <c r="N1524" s="2039">
        <v>5.01</v>
      </c>
      <c r="EW1524" s="2031"/>
      <c r="EX1524" s="1619"/>
      <c r="EY1524" s="1628"/>
      <c r="EZ1524" s="1628"/>
      <c r="FA1524" s="1628"/>
      <c r="FF1524" s="1864" t="s">
        <v>7965</v>
      </c>
      <c r="FH1524" s="1628"/>
      <c r="FU1524" s="1678"/>
      <c r="FW1524" s="1678"/>
    </row>
    <row r="1525" spans="1:179" s="1484" customFormat="1" ht="15" x14ac:dyDescent="0.25">
      <c r="A1525" s="2033"/>
      <c r="B1525" s="1631"/>
      <c r="C1525" s="2805" t="s">
        <v>867</v>
      </c>
      <c r="D1525" s="2805"/>
      <c r="E1525" s="2805"/>
      <c r="F1525" s="1683"/>
      <c r="G1525" s="1641"/>
      <c r="H1525" s="1641"/>
      <c r="I1525" s="1641"/>
      <c r="J1525" s="1640"/>
      <c r="K1525" s="1641"/>
      <c r="L1525" s="1654">
        <v>129.80000000000001</v>
      </c>
      <c r="M1525" s="1641"/>
      <c r="N1525" s="1679">
        <v>4640.3599999999997</v>
      </c>
      <c r="EW1525" s="2031"/>
      <c r="EX1525" s="1619"/>
      <c r="EY1525" s="1628"/>
      <c r="EZ1525" s="1628"/>
      <c r="FA1525" s="1628"/>
      <c r="FF1525" s="1864" t="s">
        <v>867</v>
      </c>
      <c r="FH1525" s="1628"/>
      <c r="FU1525" s="1678"/>
      <c r="FW1525" s="1678"/>
    </row>
    <row r="1526" spans="1:179" s="1484" customFormat="1" ht="15" x14ac:dyDescent="0.25">
      <c r="A1526" s="2033"/>
      <c r="B1526" s="1631" t="s">
        <v>8054</v>
      </c>
      <c r="C1526" s="2805" t="s">
        <v>8055</v>
      </c>
      <c r="D1526" s="2805"/>
      <c r="E1526" s="2805"/>
      <c r="F1526" s="1683" t="s">
        <v>636</v>
      </c>
      <c r="G1526" s="2034">
        <v>112</v>
      </c>
      <c r="H1526" s="1641"/>
      <c r="I1526" s="2034">
        <v>112</v>
      </c>
      <c r="J1526" s="1640"/>
      <c r="K1526" s="1641"/>
      <c r="L1526" s="1654">
        <v>145.38</v>
      </c>
      <c r="M1526" s="1641"/>
      <c r="N1526" s="1679">
        <v>5197.2</v>
      </c>
      <c r="EW1526" s="2031"/>
      <c r="EX1526" s="1619"/>
      <c r="EY1526" s="1628"/>
      <c r="EZ1526" s="1628"/>
      <c r="FA1526" s="1628"/>
      <c r="FF1526" s="1864" t="s">
        <v>8055</v>
      </c>
      <c r="FH1526" s="1628"/>
      <c r="FU1526" s="1678"/>
      <c r="FW1526" s="1678"/>
    </row>
    <row r="1527" spans="1:179" s="1484" customFormat="1" ht="15" x14ac:dyDescent="0.25">
      <c r="A1527" s="2033"/>
      <c r="B1527" s="1631" t="s">
        <v>8056</v>
      </c>
      <c r="C1527" s="2805" t="s">
        <v>8057</v>
      </c>
      <c r="D1527" s="2805"/>
      <c r="E1527" s="2805"/>
      <c r="F1527" s="1683" t="s">
        <v>636</v>
      </c>
      <c r="G1527" s="2034">
        <v>65</v>
      </c>
      <c r="H1527" s="1641"/>
      <c r="I1527" s="2034">
        <v>65</v>
      </c>
      <c r="J1527" s="1640"/>
      <c r="K1527" s="1641"/>
      <c r="L1527" s="1654">
        <v>84.37</v>
      </c>
      <c r="M1527" s="1641"/>
      <c r="N1527" s="1679">
        <v>3016.23</v>
      </c>
      <c r="EW1527" s="2031"/>
      <c r="EX1527" s="1619"/>
      <c r="EY1527" s="1628"/>
      <c r="EZ1527" s="1628"/>
      <c r="FA1527" s="1628"/>
      <c r="FF1527" s="1864" t="s">
        <v>8057</v>
      </c>
      <c r="FH1527" s="1628"/>
      <c r="FU1527" s="1678"/>
      <c r="FW1527" s="1678"/>
    </row>
    <row r="1528" spans="1:179" s="1484" customFormat="1" ht="15" x14ac:dyDescent="0.25">
      <c r="A1528" s="1650"/>
      <c r="B1528" s="1651"/>
      <c r="C1528" s="2803" t="s">
        <v>872</v>
      </c>
      <c r="D1528" s="2803"/>
      <c r="E1528" s="2803"/>
      <c r="F1528" s="1621"/>
      <c r="G1528" s="1622"/>
      <c r="H1528" s="1622"/>
      <c r="I1528" s="1622"/>
      <c r="J1528" s="1625"/>
      <c r="K1528" s="1622"/>
      <c r="L1528" s="1648">
        <v>3773.41</v>
      </c>
      <c r="M1528" s="2037"/>
      <c r="N1528" s="1649">
        <v>44055.46</v>
      </c>
      <c r="EW1528" s="2031"/>
      <c r="EX1528" s="1619"/>
      <c r="EY1528" s="1628"/>
      <c r="EZ1528" s="1628"/>
      <c r="FA1528" s="1628"/>
      <c r="FH1528" s="1628" t="s">
        <v>872</v>
      </c>
      <c r="FU1528" s="1678"/>
      <c r="FW1528" s="1678"/>
    </row>
    <row r="1529" spans="1:179" s="1484" customFormat="1" ht="56.25" x14ac:dyDescent="0.25">
      <c r="A1529" s="1620" t="s">
        <v>8216</v>
      </c>
      <c r="B1529" s="1863" t="s">
        <v>8196</v>
      </c>
      <c r="C1529" s="2803" t="s">
        <v>4975</v>
      </c>
      <c r="D1529" s="2803"/>
      <c r="E1529" s="2803"/>
      <c r="F1529" s="1621" t="s">
        <v>801</v>
      </c>
      <c r="G1529" s="1622">
        <v>8.8800000000000007E-3</v>
      </c>
      <c r="H1529" s="1623">
        <v>1</v>
      </c>
      <c r="I1529" s="2048">
        <v>8.8800000000000007E-3</v>
      </c>
      <c r="J1529" s="1648">
        <v>11820.72</v>
      </c>
      <c r="K1529" s="1622"/>
      <c r="L1529" s="2040">
        <v>104.97</v>
      </c>
      <c r="M1529" s="1687">
        <v>9.14</v>
      </c>
      <c r="N1529" s="2069">
        <v>959.43</v>
      </c>
      <c r="EW1529" s="2031"/>
      <c r="EX1529" s="1619"/>
      <c r="EY1529" s="1628" t="s">
        <v>4975</v>
      </c>
      <c r="EZ1529" s="1628" t="s">
        <v>588</v>
      </c>
      <c r="FA1529" s="1628" t="s">
        <v>588</v>
      </c>
      <c r="FH1529" s="1628"/>
      <c r="FU1529" s="1678"/>
      <c r="FW1529" s="1678"/>
    </row>
    <row r="1530" spans="1:179" s="1484" customFormat="1" ht="15" x14ac:dyDescent="0.25">
      <c r="A1530" s="1650"/>
      <c r="B1530" s="1651"/>
      <c r="C1530" s="2805" t="s">
        <v>6075</v>
      </c>
      <c r="D1530" s="2805"/>
      <c r="E1530" s="2805"/>
      <c r="F1530" s="2805"/>
      <c r="G1530" s="2805"/>
      <c r="H1530" s="2805"/>
      <c r="I1530" s="2805"/>
      <c r="J1530" s="2805"/>
      <c r="K1530" s="2805"/>
      <c r="L1530" s="2805"/>
      <c r="M1530" s="2805"/>
      <c r="N1530" s="2806"/>
      <c r="EW1530" s="2031"/>
      <c r="EX1530" s="1619"/>
      <c r="EY1530" s="1628"/>
      <c r="EZ1530" s="1628"/>
      <c r="FA1530" s="1628"/>
      <c r="FH1530" s="1628"/>
      <c r="FI1530" s="1864" t="s">
        <v>6075</v>
      </c>
      <c r="FJ1530" s="1864" t="s">
        <v>588</v>
      </c>
      <c r="FK1530" s="1864" t="s">
        <v>588</v>
      </c>
      <c r="FL1530" s="1864" t="s">
        <v>588</v>
      </c>
      <c r="FM1530" s="1864" t="s">
        <v>588</v>
      </c>
      <c r="FN1530" s="1864" t="s">
        <v>588</v>
      </c>
      <c r="FO1530" s="1864" t="s">
        <v>588</v>
      </c>
      <c r="FP1530" s="1864" t="s">
        <v>588</v>
      </c>
      <c r="FQ1530" s="1864" t="s">
        <v>588</v>
      </c>
      <c r="FR1530" s="1864" t="s">
        <v>588</v>
      </c>
      <c r="FS1530" s="1864" t="s">
        <v>588</v>
      </c>
      <c r="FT1530" s="1864" t="s">
        <v>588</v>
      </c>
      <c r="FU1530" s="1678"/>
      <c r="FW1530" s="1678"/>
    </row>
    <row r="1531" spans="1:179" s="1484" customFormat="1" ht="15" x14ac:dyDescent="0.25">
      <c r="A1531" s="1650"/>
      <c r="B1531" s="1651"/>
      <c r="C1531" s="2803" t="s">
        <v>872</v>
      </c>
      <c r="D1531" s="2803"/>
      <c r="E1531" s="2803"/>
      <c r="F1531" s="1621"/>
      <c r="G1531" s="1622"/>
      <c r="H1531" s="1622"/>
      <c r="I1531" s="1622"/>
      <c r="J1531" s="1625"/>
      <c r="K1531" s="1622"/>
      <c r="L1531" s="2040">
        <v>104.97</v>
      </c>
      <c r="M1531" s="2037"/>
      <c r="N1531" s="2069">
        <v>959.43</v>
      </c>
      <c r="EW1531" s="2031"/>
      <c r="EX1531" s="1619"/>
      <c r="EY1531" s="1628"/>
      <c r="EZ1531" s="1628"/>
      <c r="FA1531" s="1628"/>
      <c r="FH1531" s="1628" t="s">
        <v>872</v>
      </c>
      <c r="FU1531" s="1678"/>
      <c r="FW1531" s="1678"/>
    </row>
    <row r="1532" spans="1:179" s="1484" customFormat="1" ht="15" x14ac:dyDescent="0.25">
      <c r="A1532" s="1620" t="s">
        <v>8217</v>
      </c>
      <c r="B1532" s="1863" t="s">
        <v>8197</v>
      </c>
      <c r="C1532" s="2803" t="s">
        <v>8198</v>
      </c>
      <c r="D1532" s="2803"/>
      <c r="E1532" s="2803"/>
      <c r="F1532" s="1621" t="s">
        <v>835</v>
      </c>
      <c r="G1532" s="1622">
        <v>4.4400000000000004</v>
      </c>
      <c r="H1532" s="1623">
        <v>1</v>
      </c>
      <c r="I1532" s="1687">
        <v>4.4400000000000004</v>
      </c>
      <c r="J1532" s="2040">
        <v>71.2</v>
      </c>
      <c r="K1532" s="1622"/>
      <c r="L1532" s="2040">
        <v>316.13</v>
      </c>
      <c r="M1532" s="1687">
        <v>9.14</v>
      </c>
      <c r="N1532" s="1649">
        <v>2889.43</v>
      </c>
      <c r="EW1532" s="2031"/>
      <c r="EX1532" s="1619"/>
      <c r="EY1532" s="1628" t="s">
        <v>8198</v>
      </c>
      <c r="EZ1532" s="1628" t="s">
        <v>588</v>
      </c>
      <c r="FA1532" s="1628" t="s">
        <v>588</v>
      </c>
      <c r="FH1532" s="1628"/>
      <c r="FU1532" s="1678"/>
      <c r="FW1532" s="1678"/>
    </row>
    <row r="1533" spans="1:179" s="1484" customFormat="1" ht="15" x14ac:dyDescent="0.25">
      <c r="A1533" s="1650"/>
      <c r="B1533" s="1651"/>
      <c r="C1533" s="2805" t="s">
        <v>8640</v>
      </c>
      <c r="D1533" s="2805"/>
      <c r="E1533" s="2805"/>
      <c r="F1533" s="2805"/>
      <c r="G1533" s="2805"/>
      <c r="H1533" s="2805"/>
      <c r="I1533" s="2805"/>
      <c r="J1533" s="2805"/>
      <c r="K1533" s="2805"/>
      <c r="L1533" s="2805"/>
      <c r="M1533" s="2805"/>
      <c r="N1533" s="2806"/>
      <c r="EW1533" s="2031"/>
      <c r="EX1533" s="1619"/>
      <c r="EY1533" s="1628"/>
      <c r="EZ1533" s="1628"/>
      <c r="FA1533" s="1628"/>
      <c r="FH1533" s="1628"/>
      <c r="FI1533" s="1864" t="s">
        <v>8640</v>
      </c>
      <c r="FJ1533" s="1864" t="s">
        <v>588</v>
      </c>
      <c r="FK1533" s="1864" t="s">
        <v>588</v>
      </c>
      <c r="FL1533" s="1864" t="s">
        <v>588</v>
      </c>
      <c r="FM1533" s="1864" t="s">
        <v>588</v>
      </c>
      <c r="FN1533" s="1864" t="s">
        <v>588</v>
      </c>
      <c r="FO1533" s="1864" t="s">
        <v>588</v>
      </c>
      <c r="FP1533" s="1864" t="s">
        <v>588</v>
      </c>
      <c r="FQ1533" s="1864" t="s">
        <v>588</v>
      </c>
      <c r="FR1533" s="1864" t="s">
        <v>588</v>
      </c>
      <c r="FS1533" s="1864" t="s">
        <v>588</v>
      </c>
      <c r="FT1533" s="1864" t="s">
        <v>588</v>
      </c>
      <c r="FU1533" s="1678"/>
      <c r="FW1533" s="1678"/>
    </row>
    <row r="1534" spans="1:179" s="1484" customFormat="1" ht="15" x14ac:dyDescent="0.25">
      <c r="A1534" s="1650"/>
      <c r="B1534" s="1651"/>
      <c r="C1534" s="2803" t="s">
        <v>872</v>
      </c>
      <c r="D1534" s="2803"/>
      <c r="E1534" s="2803"/>
      <c r="F1534" s="1621"/>
      <c r="G1534" s="1622"/>
      <c r="H1534" s="1622"/>
      <c r="I1534" s="1622"/>
      <c r="J1534" s="1625"/>
      <c r="K1534" s="1622"/>
      <c r="L1534" s="2040">
        <v>316.13</v>
      </c>
      <c r="M1534" s="2037"/>
      <c r="N1534" s="1649">
        <v>2889.43</v>
      </c>
      <c r="EW1534" s="2031"/>
      <c r="EX1534" s="1619"/>
      <c r="EY1534" s="1628"/>
      <c r="EZ1534" s="1628"/>
      <c r="FA1534" s="1628"/>
      <c r="FH1534" s="1628" t="s">
        <v>872</v>
      </c>
      <c r="FU1534" s="1678"/>
      <c r="FW1534" s="1678"/>
    </row>
    <row r="1535" spans="1:179" s="1484" customFormat="1" ht="45" x14ac:dyDescent="0.25">
      <c r="A1535" s="1620" t="s">
        <v>8218</v>
      </c>
      <c r="B1535" s="1863" t="s">
        <v>8825</v>
      </c>
      <c r="C1535" s="2803" t="s">
        <v>8199</v>
      </c>
      <c r="D1535" s="2803"/>
      <c r="E1535" s="2803"/>
      <c r="F1535" s="1621" t="s">
        <v>2555</v>
      </c>
      <c r="G1535" s="1622">
        <v>0.222</v>
      </c>
      <c r="H1535" s="1623">
        <v>1</v>
      </c>
      <c r="I1535" s="2045">
        <v>0.222</v>
      </c>
      <c r="J1535" s="1625"/>
      <c r="K1535" s="1622"/>
      <c r="L1535" s="1625"/>
      <c r="M1535" s="1622"/>
      <c r="N1535" s="1627"/>
      <c r="EW1535" s="2031"/>
      <c r="EX1535" s="1619"/>
      <c r="EY1535" s="1628" t="s">
        <v>8199</v>
      </c>
      <c r="EZ1535" s="1628" t="s">
        <v>588</v>
      </c>
      <c r="FA1535" s="1628" t="s">
        <v>588</v>
      </c>
      <c r="FH1535" s="1628"/>
      <c r="FU1535" s="1678"/>
      <c r="FW1535" s="1678"/>
    </row>
    <row r="1536" spans="1:179" s="1484" customFormat="1" ht="15" x14ac:dyDescent="0.25">
      <c r="A1536" s="1629"/>
      <c r="B1536" s="1862"/>
      <c r="C1536" s="2805" t="s">
        <v>8824</v>
      </c>
      <c r="D1536" s="2805"/>
      <c r="E1536" s="2805"/>
      <c r="F1536" s="2805"/>
      <c r="G1536" s="2805"/>
      <c r="H1536" s="2805"/>
      <c r="I1536" s="2805"/>
      <c r="J1536" s="2805"/>
      <c r="K1536" s="2805"/>
      <c r="L1536" s="2805"/>
      <c r="M1536" s="2805"/>
      <c r="N1536" s="2806"/>
      <c r="EW1536" s="2031"/>
      <c r="EX1536" s="1619"/>
      <c r="EY1536" s="1628"/>
      <c r="EZ1536" s="1628"/>
      <c r="FA1536" s="1628"/>
      <c r="FB1536" s="1864" t="s">
        <v>8824</v>
      </c>
      <c r="FH1536" s="1628"/>
      <c r="FU1536" s="1678"/>
      <c r="FW1536" s="1678"/>
    </row>
    <row r="1537" spans="1:179" s="1484" customFormat="1" ht="22.5" x14ac:dyDescent="0.25">
      <c r="A1537" s="1630"/>
      <c r="B1537" s="1631" t="s">
        <v>6062</v>
      </c>
      <c r="C1537" s="2809" t="s">
        <v>6063</v>
      </c>
      <c r="D1537" s="2809"/>
      <c r="E1537" s="2809"/>
      <c r="F1537" s="2809"/>
      <c r="G1537" s="2809"/>
      <c r="H1537" s="2809"/>
      <c r="I1537" s="2809"/>
      <c r="J1537" s="2809"/>
      <c r="K1537" s="2809"/>
      <c r="L1537" s="2809"/>
      <c r="M1537" s="2809"/>
      <c r="N1537" s="2810"/>
      <c r="EW1537" s="2031"/>
      <c r="EX1537" s="1619"/>
      <c r="EY1537" s="1628"/>
      <c r="EZ1537" s="1628"/>
      <c r="FA1537" s="1628"/>
      <c r="FC1537" s="1864" t="s">
        <v>6063</v>
      </c>
      <c r="FH1537" s="1628"/>
      <c r="FU1537" s="1678"/>
      <c r="FW1537" s="1678"/>
    </row>
    <row r="1538" spans="1:179" s="1484" customFormat="1" ht="15" x14ac:dyDescent="0.25">
      <c r="A1538" s="1630"/>
      <c r="B1538" s="1631" t="s">
        <v>8142</v>
      </c>
      <c r="C1538" s="2809" t="s">
        <v>8219</v>
      </c>
      <c r="D1538" s="2809"/>
      <c r="E1538" s="2809"/>
      <c r="F1538" s="2809"/>
      <c r="G1538" s="2809"/>
      <c r="H1538" s="2809"/>
      <c r="I1538" s="2809"/>
      <c r="J1538" s="2809"/>
      <c r="K1538" s="2809"/>
      <c r="L1538" s="2809"/>
      <c r="M1538" s="2809"/>
      <c r="N1538" s="2810"/>
      <c r="EW1538" s="2031"/>
      <c r="EX1538" s="1619"/>
      <c r="EY1538" s="1628"/>
      <c r="EZ1538" s="1628"/>
      <c r="FA1538" s="1628"/>
      <c r="FC1538" s="1864" t="s">
        <v>8219</v>
      </c>
      <c r="FH1538" s="1628"/>
      <c r="FU1538" s="1678"/>
      <c r="FW1538" s="1678"/>
    </row>
    <row r="1539" spans="1:179" s="1484" customFormat="1" ht="22.5" x14ac:dyDescent="0.25">
      <c r="A1539" s="2033"/>
      <c r="B1539" s="1631" t="s">
        <v>3260</v>
      </c>
      <c r="C1539" s="2805" t="s">
        <v>8636</v>
      </c>
      <c r="D1539" s="2805"/>
      <c r="E1539" s="2805"/>
      <c r="F1539" s="1683" t="s">
        <v>807</v>
      </c>
      <c r="G1539" s="1655">
        <v>3.84</v>
      </c>
      <c r="H1539" s="2034">
        <v>36</v>
      </c>
      <c r="I1539" s="2042">
        <v>30.68928</v>
      </c>
      <c r="J1539" s="1654">
        <v>9.18</v>
      </c>
      <c r="K1539" s="1655">
        <v>1.25</v>
      </c>
      <c r="L1539" s="1654">
        <v>352.16</v>
      </c>
      <c r="M1539" s="1641"/>
      <c r="N1539" s="1681"/>
      <c r="EW1539" s="2031"/>
      <c r="EX1539" s="1619"/>
      <c r="EY1539" s="1628"/>
      <c r="EZ1539" s="1628"/>
      <c r="FA1539" s="1628"/>
      <c r="FD1539" s="1864" t="s">
        <v>8636</v>
      </c>
      <c r="FH1539" s="1628"/>
      <c r="FU1539" s="1678"/>
      <c r="FW1539" s="1678"/>
    </row>
    <row r="1540" spans="1:179" s="1484" customFormat="1" ht="22.5" x14ac:dyDescent="0.25">
      <c r="A1540" s="2033"/>
      <c r="B1540" s="1631" t="s">
        <v>5010</v>
      </c>
      <c r="C1540" s="2805" t="s">
        <v>5011</v>
      </c>
      <c r="D1540" s="2805"/>
      <c r="E1540" s="2805"/>
      <c r="F1540" s="1683" t="s">
        <v>4994</v>
      </c>
      <c r="G1540" s="1655">
        <v>0.01</v>
      </c>
      <c r="H1540" s="2034">
        <v>36</v>
      </c>
      <c r="I1540" s="2042">
        <v>7.9920000000000005E-2</v>
      </c>
      <c r="J1540" s="1654">
        <v>31.26</v>
      </c>
      <c r="K1540" s="1641"/>
      <c r="L1540" s="1654">
        <v>2.5</v>
      </c>
      <c r="M1540" s="1641"/>
      <c r="N1540" s="1681"/>
      <c r="EW1540" s="2031"/>
      <c r="EX1540" s="1619"/>
      <c r="EY1540" s="1628"/>
      <c r="EZ1540" s="1628"/>
      <c r="FA1540" s="1628"/>
      <c r="FD1540" s="1864" t="s">
        <v>5011</v>
      </c>
      <c r="FH1540" s="1628"/>
      <c r="FU1540" s="1678"/>
      <c r="FW1540" s="1678"/>
    </row>
    <row r="1541" spans="1:179" s="1484" customFormat="1" ht="15" x14ac:dyDescent="0.25">
      <c r="A1541" s="2033"/>
      <c r="B1541" s="1631" t="s">
        <v>821</v>
      </c>
      <c r="C1541" s="2805" t="s">
        <v>822</v>
      </c>
      <c r="D1541" s="2805"/>
      <c r="E1541" s="2805"/>
      <c r="F1541" s="1683" t="s">
        <v>4994</v>
      </c>
      <c r="G1541" s="1655">
        <v>7.0000000000000007E-2</v>
      </c>
      <c r="H1541" s="2034">
        <v>36</v>
      </c>
      <c r="I1541" s="2042">
        <v>0.55944000000000005</v>
      </c>
      <c r="J1541" s="1654">
        <v>65.709999999999994</v>
      </c>
      <c r="K1541" s="1641"/>
      <c r="L1541" s="1654">
        <v>36.76</v>
      </c>
      <c r="M1541" s="1641"/>
      <c r="N1541" s="1681"/>
      <c r="EW1541" s="2031"/>
      <c r="EX1541" s="1619"/>
      <c r="EY1541" s="1628"/>
      <c r="EZ1541" s="1628"/>
      <c r="FA1541" s="1628"/>
      <c r="FD1541" s="1864" t="s">
        <v>822</v>
      </c>
      <c r="FH1541" s="1628"/>
      <c r="FU1541" s="1678"/>
      <c r="FW1541" s="1678"/>
    </row>
    <row r="1542" spans="1:179" s="1484" customFormat="1" ht="22.5" x14ac:dyDescent="0.25">
      <c r="A1542" s="2033"/>
      <c r="B1542" s="1631" t="s">
        <v>4938</v>
      </c>
      <c r="C1542" s="2805" t="s">
        <v>4939</v>
      </c>
      <c r="D1542" s="2805"/>
      <c r="E1542" s="2805"/>
      <c r="F1542" s="1683" t="s">
        <v>835</v>
      </c>
      <c r="G1542" s="1953">
        <v>71.5</v>
      </c>
      <c r="H1542" s="2034">
        <v>36</v>
      </c>
      <c r="I1542" s="2046">
        <v>571.428</v>
      </c>
      <c r="J1542" s="1654">
        <v>50.19</v>
      </c>
      <c r="K1542" s="1641"/>
      <c r="L1542" s="1657">
        <v>28679.97</v>
      </c>
      <c r="M1542" s="1641"/>
      <c r="N1542" s="1681"/>
      <c r="EW1542" s="2031"/>
      <c r="EX1542" s="1619"/>
      <c r="EY1542" s="1628"/>
      <c r="EZ1542" s="1628"/>
      <c r="FA1542" s="1628"/>
      <c r="FD1542" s="1864" t="s">
        <v>4939</v>
      </c>
      <c r="FH1542" s="1628"/>
      <c r="FU1542" s="1678"/>
      <c r="FW1542" s="1678"/>
    </row>
    <row r="1543" spans="1:179" s="1484" customFormat="1" ht="15" x14ac:dyDescent="0.25">
      <c r="A1543" s="2032"/>
      <c r="B1543" s="1631" t="s">
        <v>190</v>
      </c>
      <c r="C1543" s="2805" t="s">
        <v>2523</v>
      </c>
      <c r="D1543" s="2805"/>
      <c r="E1543" s="2805"/>
      <c r="F1543" s="1683"/>
      <c r="G1543" s="1641"/>
      <c r="H1543" s="1641"/>
      <c r="I1543" s="1641"/>
      <c r="J1543" s="1654">
        <v>35.25</v>
      </c>
      <c r="K1543" s="2034">
        <v>45</v>
      </c>
      <c r="L1543" s="1654">
        <v>352.15</v>
      </c>
      <c r="M1543" s="1655">
        <v>35.75</v>
      </c>
      <c r="N1543" s="1679">
        <v>12589.36</v>
      </c>
      <c r="EW1543" s="2031"/>
      <c r="EX1543" s="1619"/>
      <c r="EY1543" s="1628"/>
      <c r="EZ1543" s="1628"/>
      <c r="FA1543" s="1628"/>
      <c r="FE1543" s="1864" t="s">
        <v>2523</v>
      </c>
      <c r="FH1543" s="1628"/>
      <c r="FU1543" s="1678"/>
      <c r="FW1543" s="1678"/>
    </row>
    <row r="1544" spans="1:179" s="1484" customFormat="1" ht="15" x14ac:dyDescent="0.25">
      <c r="A1544" s="2032"/>
      <c r="B1544" s="1631" t="s">
        <v>639</v>
      </c>
      <c r="C1544" s="2805" t="s">
        <v>697</v>
      </c>
      <c r="D1544" s="2805"/>
      <c r="E1544" s="2805"/>
      <c r="F1544" s="1683"/>
      <c r="G1544" s="1641"/>
      <c r="H1544" s="1641"/>
      <c r="I1544" s="1641"/>
      <c r="J1544" s="1654">
        <v>4.91</v>
      </c>
      <c r="K1544" s="2034">
        <v>36</v>
      </c>
      <c r="L1544" s="1654">
        <v>39.24</v>
      </c>
      <c r="M1544" s="1655">
        <v>11.97</v>
      </c>
      <c r="N1544" s="2039">
        <v>469.7</v>
      </c>
      <c r="EW1544" s="2031"/>
      <c r="EX1544" s="1619"/>
      <c r="EY1544" s="1628"/>
      <c r="EZ1544" s="1628"/>
      <c r="FA1544" s="1628"/>
      <c r="FE1544" s="1864" t="s">
        <v>697</v>
      </c>
      <c r="FH1544" s="1628"/>
      <c r="FU1544" s="1678"/>
      <c r="FW1544" s="1678"/>
    </row>
    <row r="1545" spans="1:179" s="1484" customFormat="1" ht="15" x14ac:dyDescent="0.25">
      <c r="A1545" s="2032"/>
      <c r="B1545" s="1631" t="s">
        <v>640</v>
      </c>
      <c r="C1545" s="2805" t="s">
        <v>2500</v>
      </c>
      <c r="D1545" s="2805"/>
      <c r="E1545" s="2805"/>
      <c r="F1545" s="1683"/>
      <c r="G1545" s="1641"/>
      <c r="H1545" s="1641"/>
      <c r="I1545" s="1641"/>
      <c r="J1545" s="1654">
        <v>0.95</v>
      </c>
      <c r="K1545" s="2034">
        <v>36</v>
      </c>
      <c r="L1545" s="1654">
        <v>7.59</v>
      </c>
      <c r="M1545" s="1655">
        <v>35.75</v>
      </c>
      <c r="N1545" s="2039">
        <v>271.33999999999997</v>
      </c>
      <c r="EW1545" s="2031"/>
      <c r="EX1545" s="1619"/>
      <c r="EY1545" s="1628"/>
      <c r="EZ1545" s="1628"/>
      <c r="FA1545" s="1628"/>
      <c r="FE1545" s="1864" t="s">
        <v>2500</v>
      </c>
      <c r="FH1545" s="1628"/>
      <c r="FU1545" s="1678"/>
      <c r="FW1545" s="1678"/>
    </row>
    <row r="1546" spans="1:179" s="1484" customFormat="1" ht="15" x14ac:dyDescent="0.25">
      <c r="A1546" s="2032"/>
      <c r="B1546" s="1631" t="s">
        <v>232</v>
      </c>
      <c r="C1546" s="2805" t="s">
        <v>829</v>
      </c>
      <c r="D1546" s="2805"/>
      <c r="E1546" s="2805"/>
      <c r="F1546" s="1683"/>
      <c r="G1546" s="1641"/>
      <c r="H1546" s="1641"/>
      <c r="I1546" s="1641"/>
      <c r="J1546" s="1657">
        <v>3588.59</v>
      </c>
      <c r="K1546" s="2034">
        <v>36</v>
      </c>
      <c r="L1546" s="1657">
        <v>28680.01</v>
      </c>
      <c r="M1546" s="1655">
        <v>9.14</v>
      </c>
      <c r="N1546" s="1679">
        <v>262135.29</v>
      </c>
      <c r="EW1546" s="2031"/>
      <c r="EX1546" s="1619"/>
      <c r="EY1546" s="1628"/>
      <c r="EZ1546" s="1628"/>
      <c r="FA1546" s="1628"/>
      <c r="FE1546" s="1864" t="s">
        <v>829</v>
      </c>
      <c r="FH1546" s="1628"/>
      <c r="FU1546" s="1678"/>
      <c r="FW1546" s="1678"/>
    </row>
    <row r="1547" spans="1:179" s="1484" customFormat="1" ht="15" x14ac:dyDescent="0.25">
      <c r="A1547" s="2033"/>
      <c r="B1547" s="1631"/>
      <c r="C1547" s="2805" t="s">
        <v>2524</v>
      </c>
      <c r="D1547" s="2805"/>
      <c r="E1547" s="2805"/>
      <c r="F1547" s="1683" t="s">
        <v>807</v>
      </c>
      <c r="G1547" s="1655">
        <v>3.84</v>
      </c>
      <c r="H1547" s="2034">
        <v>36</v>
      </c>
      <c r="I1547" s="2042">
        <v>30.68928</v>
      </c>
      <c r="J1547" s="1640"/>
      <c r="K1547" s="1641"/>
      <c r="L1547" s="1640"/>
      <c r="M1547" s="1641"/>
      <c r="N1547" s="1681"/>
      <c r="EW1547" s="2031"/>
      <c r="EX1547" s="1619"/>
      <c r="EY1547" s="1628"/>
      <c r="EZ1547" s="1628"/>
      <c r="FA1547" s="1628"/>
      <c r="FF1547" s="1864" t="s">
        <v>2524</v>
      </c>
      <c r="FH1547" s="1628"/>
      <c r="FU1547" s="1678"/>
      <c r="FW1547" s="1678"/>
    </row>
    <row r="1548" spans="1:179" s="1484" customFormat="1" ht="15" x14ac:dyDescent="0.25">
      <c r="A1548" s="2033"/>
      <c r="B1548" s="1631"/>
      <c r="C1548" s="2805" t="s">
        <v>2501</v>
      </c>
      <c r="D1548" s="2805"/>
      <c r="E1548" s="2805"/>
      <c r="F1548" s="1683" t="s">
        <v>807</v>
      </c>
      <c r="G1548" s="1655">
        <v>0.08</v>
      </c>
      <c r="H1548" s="2034">
        <v>36</v>
      </c>
      <c r="I1548" s="2042">
        <v>0.63936000000000004</v>
      </c>
      <c r="J1548" s="1640"/>
      <c r="K1548" s="1641"/>
      <c r="L1548" s="1640"/>
      <c r="M1548" s="1641"/>
      <c r="N1548" s="1681"/>
      <c r="EW1548" s="2031"/>
      <c r="EX1548" s="1619"/>
      <c r="EY1548" s="1628"/>
      <c r="EZ1548" s="1628"/>
      <c r="FA1548" s="1628"/>
      <c r="FF1548" s="1864" t="s">
        <v>2501</v>
      </c>
      <c r="FH1548" s="1628"/>
      <c r="FU1548" s="1678"/>
      <c r="FW1548" s="1678"/>
    </row>
    <row r="1549" spans="1:179" s="1484" customFormat="1" ht="15" x14ac:dyDescent="0.25">
      <c r="A1549" s="2032"/>
      <c r="B1549" s="1631"/>
      <c r="C1549" s="2917" t="s">
        <v>2502</v>
      </c>
      <c r="D1549" s="2917"/>
      <c r="E1549" s="2917"/>
      <c r="F1549" s="2036"/>
      <c r="G1549" s="2037"/>
      <c r="H1549" s="2037"/>
      <c r="I1549" s="2037"/>
      <c r="J1549" s="2038">
        <v>3628.75</v>
      </c>
      <c r="K1549" s="2037"/>
      <c r="L1549" s="2038">
        <v>29071.4</v>
      </c>
      <c r="M1549" s="2037"/>
      <c r="N1549" s="2068">
        <v>275194.34999999998</v>
      </c>
      <c r="EW1549" s="2031"/>
      <c r="EX1549" s="1619"/>
      <c r="EY1549" s="1628"/>
      <c r="EZ1549" s="1628"/>
      <c r="FA1549" s="1628"/>
      <c r="FG1549" s="1864" t="s">
        <v>2502</v>
      </c>
      <c r="FH1549" s="1628"/>
      <c r="FU1549" s="1678"/>
      <c r="FW1549" s="1678"/>
    </row>
    <row r="1550" spans="1:179" s="1484" customFormat="1" ht="15" x14ac:dyDescent="0.25">
      <c r="A1550" s="2033" t="s">
        <v>8220</v>
      </c>
      <c r="B1550" s="1631"/>
      <c r="C1550" s="2805" t="s">
        <v>7964</v>
      </c>
      <c r="D1550" s="2805"/>
      <c r="E1550" s="2805"/>
      <c r="F1550" s="1683" t="s">
        <v>5928</v>
      </c>
      <c r="G1550" s="1641"/>
      <c r="H1550" s="1641"/>
      <c r="I1550" s="1641"/>
      <c r="J1550" s="1640"/>
      <c r="K1550" s="1641"/>
      <c r="L1550" s="1654">
        <v>1.9</v>
      </c>
      <c r="M1550" s="1641"/>
      <c r="N1550" s="2039">
        <v>67.930000000000007</v>
      </c>
      <c r="EW1550" s="2031"/>
      <c r="EX1550" s="1619"/>
      <c r="EY1550" s="1628"/>
      <c r="EZ1550" s="1628"/>
      <c r="FA1550" s="1628"/>
      <c r="FF1550" s="1864" t="s">
        <v>7964</v>
      </c>
      <c r="FH1550" s="1628"/>
      <c r="FU1550" s="1678"/>
      <c r="FW1550" s="1678"/>
    </row>
    <row r="1551" spans="1:179" s="1484" customFormat="1" ht="15" x14ac:dyDescent="0.25">
      <c r="A1551" s="2033"/>
      <c r="B1551" s="1631"/>
      <c r="C1551" s="2805" t="s">
        <v>7965</v>
      </c>
      <c r="D1551" s="2805"/>
      <c r="E1551" s="2805"/>
      <c r="F1551" s="1683" t="s">
        <v>5928</v>
      </c>
      <c r="G1551" s="1641"/>
      <c r="H1551" s="1641"/>
      <c r="I1551" s="1641"/>
      <c r="J1551" s="1654">
        <v>0.95</v>
      </c>
      <c r="K1551" s="2034">
        <v>9</v>
      </c>
      <c r="L1551" s="1654">
        <v>1.9</v>
      </c>
      <c r="M1551" s="1655">
        <v>35.75</v>
      </c>
      <c r="N1551" s="2039">
        <v>67.930000000000007</v>
      </c>
      <c r="EW1551" s="2031"/>
      <c r="EX1551" s="1619"/>
      <c r="EY1551" s="1628"/>
      <c r="EZ1551" s="1628"/>
      <c r="FA1551" s="1628"/>
      <c r="FF1551" s="1864" t="s">
        <v>7965</v>
      </c>
      <c r="FH1551" s="1628"/>
      <c r="FU1551" s="1678"/>
      <c r="FW1551" s="1678"/>
    </row>
    <row r="1552" spans="1:179" s="1484" customFormat="1" ht="15" x14ac:dyDescent="0.25">
      <c r="A1552" s="2033"/>
      <c r="B1552" s="1631"/>
      <c r="C1552" s="2805" t="s">
        <v>867</v>
      </c>
      <c r="D1552" s="2805"/>
      <c r="E1552" s="2805"/>
      <c r="F1552" s="1683"/>
      <c r="G1552" s="1641"/>
      <c r="H1552" s="1641"/>
      <c r="I1552" s="1641"/>
      <c r="J1552" s="1640"/>
      <c r="K1552" s="1641"/>
      <c r="L1552" s="1654">
        <v>361.64</v>
      </c>
      <c r="M1552" s="1641"/>
      <c r="N1552" s="1679">
        <v>12928.63</v>
      </c>
      <c r="EW1552" s="2031"/>
      <c r="EX1552" s="1619"/>
      <c r="EY1552" s="1628"/>
      <c r="EZ1552" s="1628"/>
      <c r="FA1552" s="1628"/>
      <c r="FF1552" s="1864" t="s">
        <v>867</v>
      </c>
      <c r="FH1552" s="1628"/>
      <c r="FU1552" s="1678"/>
      <c r="FW1552" s="1678"/>
    </row>
    <row r="1553" spans="1:179" s="1484" customFormat="1" ht="15" x14ac:dyDescent="0.25">
      <c r="A1553" s="2033"/>
      <c r="B1553" s="1631" t="s">
        <v>8054</v>
      </c>
      <c r="C1553" s="2805" t="s">
        <v>8055</v>
      </c>
      <c r="D1553" s="2805"/>
      <c r="E1553" s="2805"/>
      <c r="F1553" s="1683" t="s">
        <v>636</v>
      </c>
      <c r="G1553" s="2034">
        <v>112</v>
      </c>
      <c r="H1553" s="1641"/>
      <c r="I1553" s="2034">
        <v>112</v>
      </c>
      <c r="J1553" s="1640"/>
      <c r="K1553" s="1641"/>
      <c r="L1553" s="1654">
        <v>405.04</v>
      </c>
      <c r="M1553" s="1641"/>
      <c r="N1553" s="1679">
        <v>14480.07</v>
      </c>
      <c r="EW1553" s="2031"/>
      <c r="EX1553" s="1619"/>
      <c r="EY1553" s="1628"/>
      <c r="EZ1553" s="1628"/>
      <c r="FA1553" s="1628"/>
      <c r="FF1553" s="1864" t="s">
        <v>8055</v>
      </c>
      <c r="FH1553" s="1628"/>
      <c r="FU1553" s="1678"/>
      <c r="FW1553" s="1678"/>
    </row>
    <row r="1554" spans="1:179" s="1484" customFormat="1" ht="15" x14ac:dyDescent="0.25">
      <c r="A1554" s="2033"/>
      <c r="B1554" s="1631" t="s">
        <v>8056</v>
      </c>
      <c r="C1554" s="2805" t="s">
        <v>8057</v>
      </c>
      <c r="D1554" s="2805"/>
      <c r="E1554" s="2805"/>
      <c r="F1554" s="1683" t="s">
        <v>636</v>
      </c>
      <c r="G1554" s="2034">
        <v>65</v>
      </c>
      <c r="H1554" s="1641"/>
      <c r="I1554" s="2034">
        <v>65</v>
      </c>
      <c r="J1554" s="1640"/>
      <c r="K1554" s="1641"/>
      <c r="L1554" s="1654">
        <v>235.07</v>
      </c>
      <c r="M1554" s="1641"/>
      <c r="N1554" s="1679">
        <v>8403.61</v>
      </c>
      <c r="EW1554" s="2031"/>
      <c r="EX1554" s="1619"/>
      <c r="EY1554" s="1628"/>
      <c r="EZ1554" s="1628"/>
      <c r="FA1554" s="1628"/>
      <c r="FF1554" s="1864" t="s">
        <v>8057</v>
      </c>
      <c r="FH1554" s="1628"/>
      <c r="FU1554" s="1678"/>
      <c r="FW1554" s="1678"/>
    </row>
    <row r="1555" spans="1:179" s="1484" customFormat="1" ht="15" x14ac:dyDescent="0.25">
      <c r="A1555" s="1650"/>
      <c r="B1555" s="1651"/>
      <c r="C1555" s="2803" t="s">
        <v>872</v>
      </c>
      <c r="D1555" s="2803"/>
      <c r="E1555" s="2803"/>
      <c r="F1555" s="1621"/>
      <c r="G1555" s="1622"/>
      <c r="H1555" s="1622"/>
      <c r="I1555" s="1622"/>
      <c r="J1555" s="1625"/>
      <c r="K1555" s="1622"/>
      <c r="L1555" s="1648">
        <v>29713.41</v>
      </c>
      <c r="M1555" s="2037"/>
      <c r="N1555" s="1649">
        <v>298145.96000000002</v>
      </c>
      <c r="EW1555" s="2031"/>
      <c r="EX1555" s="1619"/>
      <c r="EY1555" s="1628"/>
      <c r="EZ1555" s="1628"/>
      <c r="FA1555" s="1628"/>
      <c r="FH1555" s="1628" t="s">
        <v>872</v>
      </c>
      <c r="FU1555" s="1678"/>
      <c r="FW1555" s="1678"/>
    </row>
    <row r="1556" spans="1:179" s="1484" customFormat="1" ht="15" x14ac:dyDescent="0.25">
      <c r="A1556" s="2811" t="s">
        <v>8221</v>
      </c>
      <c r="B1556" s="2812"/>
      <c r="C1556" s="2812"/>
      <c r="D1556" s="2812"/>
      <c r="E1556" s="2812"/>
      <c r="F1556" s="2812"/>
      <c r="G1556" s="2812"/>
      <c r="H1556" s="2812"/>
      <c r="I1556" s="2812"/>
      <c r="J1556" s="2812"/>
      <c r="K1556" s="2812"/>
      <c r="L1556" s="2812"/>
      <c r="M1556" s="2812"/>
      <c r="N1556" s="2813"/>
      <c r="EW1556" s="2031"/>
      <c r="EX1556" s="1619" t="s">
        <v>8221</v>
      </c>
      <c r="EY1556" s="1628"/>
      <c r="EZ1556" s="1628"/>
      <c r="FA1556" s="1628"/>
      <c r="FH1556" s="1628"/>
      <c r="FU1556" s="1678"/>
      <c r="FW1556" s="1678"/>
    </row>
    <row r="1557" spans="1:179" s="1484" customFormat="1" ht="22.5" x14ac:dyDescent="0.25">
      <c r="A1557" s="1620" t="s">
        <v>8222</v>
      </c>
      <c r="B1557" s="1863" t="s">
        <v>8193</v>
      </c>
      <c r="C1557" s="2803" t="s">
        <v>8194</v>
      </c>
      <c r="D1557" s="2803"/>
      <c r="E1557" s="2803"/>
      <c r="F1557" s="1621" t="s">
        <v>2555</v>
      </c>
      <c r="G1557" s="1622">
        <v>6.6749999999999998</v>
      </c>
      <c r="H1557" s="1623">
        <v>1</v>
      </c>
      <c r="I1557" s="2045">
        <v>6.6749999999999998</v>
      </c>
      <c r="J1557" s="1625"/>
      <c r="K1557" s="1622"/>
      <c r="L1557" s="1625"/>
      <c r="M1557" s="1622"/>
      <c r="N1557" s="1627"/>
      <c r="EW1557" s="2031"/>
      <c r="EX1557" s="1619"/>
      <c r="EY1557" s="1628" t="s">
        <v>8194</v>
      </c>
      <c r="EZ1557" s="1628" t="s">
        <v>588</v>
      </c>
      <c r="FA1557" s="1628" t="s">
        <v>588</v>
      </c>
      <c r="FH1557" s="1628"/>
      <c r="FU1557" s="1678"/>
      <c r="FW1557" s="1678"/>
    </row>
    <row r="1558" spans="1:179" s="1484" customFormat="1" ht="15" x14ac:dyDescent="0.25">
      <c r="A1558" s="1629"/>
      <c r="B1558" s="1862"/>
      <c r="C1558" s="2805" t="s">
        <v>8819</v>
      </c>
      <c r="D1558" s="2805"/>
      <c r="E1558" s="2805"/>
      <c r="F1558" s="2805"/>
      <c r="G1558" s="2805"/>
      <c r="H1558" s="2805"/>
      <c r="I1558" s="2805"/>
      <c r="J1558" s="2805"/>
      <c r="K1558" s="2805"/>
      <c r="L1558" s="2805"/>
      <c r="M1558" s="2805"/>
      <c r="N1558" s="2806"/>
      <c r="EW1558" s="2031"/>
      <c r="EX1558" s="1619"/>
      <c r="EY1558" s="1628"/>
      <c r="EZ1558" s="1628"/>
      <c r="FA1558" s="1628"/>
      <c r="FB1558" s="1864" t="s">
        <v>8819</v>
      </c>
      <c r="FH1558" s="1628"/>
      <c r="FU1558" s="1678"/>
      <c r="FW1558" s="1678"/>
    </row>
    <row r="1559" spans="1:179" s="1484" customFormat="1" ht="22.5" x14ac:dyDescent="0.25">
      <c r="A1559" s="1630"/>
      <c r="B1559" s="1631" t="s">
        <v>6062</v>
      </c>
      <c r="C1559" s="2809" t="s">
        <v>6063</v>
      </c>
      <c r="D1559" s="2809"/>
      <c r="E1559" s="2809"/>
      <c r="F1559" s="2809"/>
      <c r="G1559" s="2809"/>
      <c r="H1559" s="2809"/>
      <c r="I1559" s="2809"/>
      <c r="J1559" s="2809"/>
      <c r="K1559" s="2809"/>
      <c r="L1559" s="2809"/>
      <c r="M1559" s="2809"/>
      <c r="N1559" s="2810"/>
      <c r="EW1559" s="2031"/>
      <c r="EX1559" s="1619"/>
      <c r="EY1559" s="1628"/>
      <c r="EZ1559" s="1628"/>
      <c r="FA1559" s="1628"/>
      <c r="FC1559" s="1864" t="s">
        <v>6063</v>
      </c>
      <c r="FH1559" s="1628"/>
      <c r="FU1559" s="1678"/>
      <c r="FW1559" s="1678"/>
    </row>
    <row r="1560" spans="1:179" s="1484" customFormat="1" ht="22.5" x14ac:dyDescent="0.25">
      <c r="A1560" s="2033"/>
      <c r="B1560" s="1631" t="s">
        <v>8822</v>
      </c>
      <c r="C1560" s="2805" t="s">
        <v>8821</v>
      </c>
      <c r="D1560" s="2805"/>
      <c r="E1560" s="2805"/>
      <c r="F1560" s="1683" t="s">
        <v>807</v>
      </c>
      <c r="G1560" s="1655">
        <v>54.99</v>
      </c>
      <c r="H1560" s="1641"/>
      <c r="I1560" s="2042">
        <v>367.05824999999999</v>
      </c>
      <c r="J1560" s="1654">
        <v>8.4600000000000009</v>
      </c>
      <c r="K1560" s="1655">
        <v>1.25</v>
      </c>
      <c r="L1560" s="1657">
        <v>3881.64</v>
      </c>
      <c r="M1560" s="1641"/>
      <c r="N1560" s="1681"/>
      <c r="EW1560" s="2031"/>
      <c r="EX1560" s="1619"/>
      <c r="EY1560" s="1628"/>
      <c r="EZ1560" s="1628"/>
      <c r="FA1560" s="1628"/>
      <c r="FD1560" s="1864" t="s">
        <v>8821</v>
      </c>
      <c r="FH1560" s="1628"/>
      <c r="FU1560" s="1678"/>
      <c r="FW1560" s="1678"/>
    </row>
    <row r="1561" spans="1:179" s="1484" customFormat="1" ht="22.5" x14ac:dyDescent="0.25">
      <c r="A1561" s="2033"/>
      <c r="B1561" s="1631" t="s">
        <v>5010</v>
      </c>
      <c r="C1561" s="2805" t="s">
        <v>5011</v>
      </c>
      <c r="D1561" s="2805"/>
      <c r="E1561" s="2805"/>
      <c r="F1561" s="1683" t="s">
        <v>4994</v>
      </c>
      <c r="G1561" s="2046">
        <v>4.9000000000000002E-2</v>
      </c>
      <c r="H1561" s="1641"/>
      <c r="I1561" s="2043">
        <v>0.327075</v>
      </c>
      <c r="J1561" s="1654">
        <v>31.26</v>
      </c>
      <c r="K1561" s="1641"/>
      <c r="L1561" s="1654">
        <v>10.220000000000001</v>
      </c>
      <c r="M1561" s="1641"/>
      <c r="N1561" s="1681"/>
      <c r="EW1561" s="2031"/>
      <c r="EX1561" s="1619"/>
      <c r="EY1561" s="1628"/>
      <c r="EZ1561" s="1628"/>
      <c r="FA1561" s="1628"/>
      <c r="FD1561" s="1864" t="s">
        <v>5011</v>
      </c>
      <c r="FH1561" s="1628"/>
      <c r="FU1561" s="1678"/>
      <c r="FW1561" s="1678"/>
    </row>
    <row r="1562" spans="1:179" s="1484" customFormat="1" ht="15" x14ac:dyDescent="0.25">
      <c r="A1562" s="2033"/>
      <c r="B1562" s="1631" t="s">
        <v>821</v>
      </c>
      <c r="C1562" s="2805" t="s">
        <v>822</v>
      </c>
      <c r="D1562" s="2805"/>
      <c r="E1562" s="2805"/>
      <c r="F1562" s="1683" t="s">
        <v>4994</v>
      </c>
      <c r="G1562" s="1655">
        <v>0.16</v>
      </c>
      <c r="H1562" s="1641"/>
      <c r="I1562" s="2046">
        <v>1.0680000000000001</v>
      </c>
      <c r="J1562" s="1654">
        <v>65.709999999999994</v>
      </c>
      <c r="K1562" s="1641"/>
      <c r="L1562" s="1654">
        <v>70.180000000000007</v>
      </c>
      <c r="M1562" s="1641"/>
      <c r="N1562" s="1681"/>
      <c r="EW1562" s="2031"/>
      <c r="EX1562" s="1619"/>
      <c r="EY1562" s="1628"/>
      <c r="EZ1562" s="1628"/>
      <c r="FA1562" s="1628"/>
      <c r="FD1562" s="1864" t="s">
        <v>822</v>
      </c>
      <c r="FH1562" s="1628"/>
      <c r="FU1562" s="1678"/>
      <c r="FW1562" s="1678"/>
    </row>
    <row r="1563" spans="1:179" s="1484" customFormat="1" ht="15" x14ac:dyDescent="0.25">
      <c r="A1563" s="2033"/>
      <c r="B1563" s="1631" t="s">
        <v>5035</v>
      </c>
      <c r="C1563" s="2805" t="s">
        <v>5036</v>
      </c>
      <c r="D1563" s="2805"/>
      <c r="E1563" s="2805"/>
      <c r="F1563" s="1683" t="s">
        <v>4994</v>
      </c>
      <c r="G1563" s="1655">
        <v>3.06</v>
      </c>
      <c r="H1563" s="1641"/>
      <c r="I1563" s="2035">
        <v>20.4255</v>
      </c>
      <c r="J1563" s="1654">
        <v>3.29</v>
      </c>
      <c r="K1563" s="1641"/>
      <c r="L1563" s="1654">
        <v>67.2</v>
      </c>
      <c r="M1563" s="1641"/>
      <c r="N1563" s="1681"/>
      <c r="EW1563" s="2031"/>
      <c r="EX1563" s="1619"/>
      <c r="EY1563" s="1628"/>
      <c r="EZ1563" s="1628"/>
      <c r="FA1563" s="1628"/>
      <c r="FD1563" s="1864" t="s">
        <v>5036</v>
      </c>
      <c r="FH1563" s="1628"/>
      <c r="FU1563" s="1678"/>
      <c r="FW1563" s="1678"/>
    </row>
    <row r="1564" spans="1:179" s="1484" customFormat="1" ht="22.5" x14ac:dyDescent="0.25">
      <c r="A1564" s="2033"/>
      <c r="B1564" s="1631" t="s">
        <v>4938</v>
      </c>
      <c r="C1564" s="2805" t="s">
        <v>4939</v>
      </c>
      <c r="D1564" s="2805"/>
      <c r="E1564" s="2805"/>
      <c r="F1564" s="1683" t="s">
        <v>835</v>
      </c>
      <c r="G1564" s="2034">
        <v>306</v>
      </c>
      <c r="H1564" s="1641"/>
      <c r="I1564" s="1655">
        <v>2042.55</v>
      </c>
      <c r="J1564" s="1654">
        <v>50.19</v>
      </c>
      <c r="K1564" s="1641"/>
      <c r="L1564" s="1657">
        <v>102515.58</v>
      </c>
      <c r="M1564" s="1641"/>
      <c r="N1564" s="1681"/>
      <c r="EW1564" s="2031"/>
      <c r="EX1564" s="1619"/>
      <c r="EY1564" s="1628"/>
      <c r="EZ1564" s="1628"/>
      <c r="FA1564" s="1628"/>
      <c r="FD1564" s="1864" t="s">
        <v>4939</v>
      </c>
      <c r="FH1564" s="1628"/>
      <c r="FU1564" s="1678"/>
      <c r="FW1564" s="1678"/>
    </row>
    <row r="1565" spans="1:179" s="1484" customFormat="1" ht="15" x14ac:dyDescent="0.25">
      <c r="A1565" s="2032"/>
      <c r="B1565" s="1631" t="s">
        <v>190</v>
      </c>
      <c r="C1565" s="2805" t="s">
        <v>2523</v>
      </c>
      <c r="D1565" s="2805"/>
      <c r="E1565" s="2805"/>
      <c r="F1565" s="1683"/>
      <c r="G1565" s="1641"/>
      <c r="H1565" s="1641"/>
      <c r="I1565" s="1641"/>
      <c r="J1565" s="1654">
        <v>465.22</v>
      </c>
      <c r="K1565" s="1655">
        <v>1.25</v>
      </c>
      <c r="L1565" s="1657">
        <v>3881.68</v>
      </c>
      <c r="M1565" s="1655">
        <v>35.75</v>
      </c>
      <c r="N1565" s="1679">
        <v>138770.06</v>
      </c>
      <c r="EW1565" s="2031"/>
      <c r="EX1565" s="1619"/>
      <c r="EY1565" s="1628"/>
      <c r="EZ1565" s="1628"/>
      <c r="FA1565" s="1628"/>
      <c r="FE1565" s="1864" t="s">
        <v>2523</v>
      </c>
      <c r="FH1565" s="1628"/>
      <c r="FU1565" s="1678"/>
      <c r="FW1565" s="1678"/>
    </row>
    <row r="1566" spans="1:179" s="1484" customFormat="1" ht="15" x14ac:dyDescent="0.25">
      <c r="A1566" s="2032"/>
      <c r="B1566" s="1631" t="s">
        <v>639</v>
      </c>
      <c r="C1566" s="2805" t="s">
        <v>697</v>
      </c>
      <c r="D1566" s="2805"/>
      <c r="E1566" s="2805"/>
      <c r="F1566" s="1683"/>
      <c r="G1566" s="1641"/>
      <c r="H1566" s="1641"/>
      <c r="I1566" s="1641"/>
      <c r="J1566" s="1654">
        <v>22.11</v>
      </c>
      <c r="K1566" s="1641"/>
      <c r="L1566" s="1654">
        <v>147.58000000000001</v>
      </c>
      <c r="M1566" s="1655">
        <v>11.97</v>
      </c>
      <c r="N1566" s="1679">
        <v>1766.53</v>
      </c>
      <c r="EW1566" s="2031"/>
      <c r="EX1566" s="1619"/>
      <c r="EY1566" s="1628"/>
      <c r="EZ1566" s="1628"/>
      <c r="FA1566" s="1628"/>
      <c r="FE1566" s="1864" t="s">
        <v>697</v>
      </c>
      <c r="FH1566" s="1628"/>
      <c r="FU1566" s="1678"/>
      <c r="FW1566" s="1678"/>
    </row>
    <row r="1567" spans="1:179" s="1484" customFormat="1" ht="15" x14ac:dyDescent="0.25">
      <c r="A1567" s="2032"/>
      <c r="B1567" s="1631" t="s">
        <v>640</v>
      </c>
      <c r="C1567" s="2805" t="s">
        <v>2500</v>
      </c>
      <c r="D1567" s="2805"/>
      <c r="E1567" s="2805"/>
      <c r="F1567" s="1683"/>
      <c r="G1567" s="1641"/>
      <c r="H1567" s="1641"/>
      <c r="I1567" s="1641"/>
      <c r="J1567" s="1654">
        <v>2.52</v>
      </c>
      <c r="K1567" s="1641"/>
      <c r="L1567" s="1654">
        <v>16.82</v>
      </c>
      <c r="M1567" s="1655">
        <v>35.75</v>
      </c>
      <c r="N1567" s="2039">
        <v>601.32000000000005</v>
      </c>
      <c r="EW1567" s="2031"/>
      <c r="EX1567" s="1619"/>
      <c r="EY1567" s="1628"/>
      <c r="EZ1567" s="1628"/>
      <c r="FA1567" s="1628"/>
      <c r="FE1567" s="1864" t="s">
        <v>2500</v>
      </c>
      <c r="FH1567" s="1628"/>
      <c r="FU1567" s="1678"/>
      <c r="FW1567" s="1678"/>
    </row>
    <row r="1568" spans="1:179" s="1484" customFormat="1" ht="15" x14ac:dyDescent="0.25">
      <c r="A1568" s="2032"/>
      <c r="B1568" s="1631" t="s">
        <v>232</v>
      </c>
      <c r="C1568" s="2805" t="s">
        <v>829</v>
      </c>
      <c r="D1568" s="2805"/>
      <c r="E1568" s="2805"/>
      <c r="F1568" s="1683"/>
      <c r="G1568" s="1641"/>
      <c r="H1568" s="1641"/>
      <c r="I1568" s="1641"/>
      <c r="J1568" s="1657">
        <v>15358.14</v>
      </c>
      <c r="K1568" s="1641"/>
      <c r="L1568" s="1657">
        <v>102515.58</v>
      </c>
      <c r="M1568" s="1655">
        <v>9.14</v>
      </c>
      <c r="N1568" s="1679">
        <v>936992.4</v>
      </c>
      <c r="EW1568" s="2031"/>
      <c r="EX1568" s="1619"/>
      <c r="EY1568" s="1628"/>
      <c r="EZ1568" s="1628"/>
      <c r="FA1568" s="1628"/>
      <c r="FE1568" s="1864" t="s">
        <v>829</v>
      </c>
      <c r="FH1568" s="1628"/>
      <c r="FU1568" s="1678"/>
      <c r="FW1568" s="1678"/>
    </row>
    <row r="1569" spans="1:179" s="1484" customFormat="1" ht="15" x14ac:dyDescent="0.25">
      <c r="A1569" s="2033"/>
      <c r="B1569" s="1631"/>
      <c r="C1569" s="2805" t="s">
        <v>2524</v>
      </c>
      <c r="D1569" s="2805"/>
      <c r="E1569" s="2805"/>
      <c r="F1569" s="1683" t="s">
        <v>807</v>
      </c>
      <c r="G1569" s="1655">
        <v>54.99</v>
      </c>
      <c r="H1569" s="1641"/>
      <c r="I1569" s="2042">
        <v>367.05824999999999</v>
      </c>
      <c r="J1569" s="1640"/>
      <c r="K1569" s="1641"/>
      <c r="L1569" s="1640"/>
      <c r="M1569" s="1641"/>
      <c r="N1569" s="1681"/>
      <c r="EW1569" s="2031"/>
      <c r="EX1569" s="1619"/>
      <c r="EY1569" s="1628"/>
      <c r="EZ1569" s="1628"/>
      <c r="FA1569" s="1628"/>
      <c r="FF1569" s="1864" t="s">
        <v>2524</v>
      </c>
      <c r="FH1569" s="1628"/>
      <c r="FU1569" s="1678"/>
      <c r="FW1569" s="1678"/>
    </row>
    <row r="1570" spans="1:179" s="1484" customFormat="1" ht="15" x14ac:dyDescent="0.25">
      <c r="A1570" s="2033"/>
      <c r="B1570" s="1631"/>
      <c r="C1570" s="2805" t="s">
        <v>2501</v>
      </c>
      <c r="D1570" s="2805"/>
      <c r="E1570" s="2805"/>
      <c r="F1570" s="1683" t="s">
        <v>807</v>
      </c>
      <c r="G1570" s="1655">
        <v>0.21</v>
      </c>
      <c r="H1570" s="1641"/>
      <c r="I1570" s="2042">
        <v>1.4017500000000001</v>
      </c>
      <c r="J1570" s="1640"/>
      <c r="K1570" s="1641"/>
      <c r="L1570" s="1640"/>
      <c r="M1570" s="1641"/>
      <c r="N1570" s="1681"/>
      <c r="EW1570" s="2031"/>
      <c r="EX1570" s="1619"/>
      <c r="EY1570" s="1628"/>
      <c r="EZ1570" s="1628"/>
      <c r="FA1570" s="1628"/>
      <c r="FF1570" s="1864" t="s">
        <v>2501</v>
      </c>
      <c r="FH1570" s="1628"/>
      <c r="FU1570" s="1678"/>
      <c r="FW1570" s="1678"/>
    </row>
    <row r="1571" spans="1:179" s="1484" customFormat="1" ht="15" x14ac:dyDescent="0.25">
      <c r="A1571" s="2032"/>
      <c r="B1571" s="1631"/>
      <c r="C1571" s="2917" t="s">
        <v>2502</v>
      </c>
      <c r="D1571" s="2917"/>
      <c r="E1571" s="2917"/>
      <c r="F1571" s="2036"/>
      <c r="G1571" s="2037"/>
      <c r="H1571" s="2037"/>
      <c r="I1571" s="2037"/>
      <c r="J1571" s="2038">
        <v>15845.47</v>
      </c>
      <c r="K1571" s="2037"/>
      <c r="L1571" s="2038">
        <v>106544.84</v>
      </c>
      <c r="M1571" s="2037"/>
      <c r="N1571" s="2068">
        <v>1077528.99</v>
      </c>
      <c r="EW1571" s="2031"/>
      <c r="EX1571" s="1619"/>
      <c r="EY1571" s="1628"/>
      <c r="EZ1571" s="1628"/>
      <c r="FA1571" s="1628"/>
      <c r="FG1571" s="1864" t="s">
        <v>2502</v>
      </c>
      <c r="FH1571" s="1628"/>
      <c r="FU1571" s="1678"/>
      <c r="FW1571" s="1678"/>
    </row>
    <row r="1572" spans="1:179" s="1484" customFormat="1" ht="15" x14ac:dyDescent="0.25">
      <c r="A1572" s="2033" t="s">
        <v>8223</v>
      </c>
      <c r="B1572" s="1631"/>
      <c r="C1572" s="2805" t="s">
        <v>7964</v>
      </c>
      <c r="D1572" s="2805"/>
      <c r="E1572" s="2805"/>
      <c r="F1572" s="1683" t="s">
        <v>5928</v>
      </c>
      <c r="G1572" s="1641"/>
      <c r="H1572" s="1641"/>
      <c r="I1572" s="1641"/>
      <c r="J1572" s="1640"/>
      <c r="K1572" s="1641"/>
      <c r="L1572" s="1654">
        <v>4.21</v>
      </c>
      <c r="M1572" s="1641"/>
      <c r="N1572" s="2039">
        <v>150.51</v>
      </c>
      <c r="EW1572" s="2031"/>
      <c r="EX1572" s="1619"/>
      <c r="EY1572" s="1628"/>
      <c r="EZ1572" s="1628"/>
      <c r="FA1572" s="1628"/>
      <c r="FF1572" s="1864" t="s">
        <v>7964</v>
      </c>
      <c r="FH1572" s="1628"/>
      <c r="FU1572" s="1678"/>
      <c r="FW1572" s="1678"/>
    </row>
    <row r="1573" spans="1:179" s="1484" customFormat="1" ht="15" x14ac:dyDescent="0.25">
      <c r="A1573" s="2033"/>
      <c r="B1573" s="1631"/>
      <c r="C1573" s="2805" t="s">
        <v>7965</v>
      </c>
      <c r="D1573" s="2805"/>
      <c r="E1573" s="2805"/>
      <c r="F1573" s="1683" t="s">
        <v>5928</v>
      </c>
      <c r="G1573" s="1641"/>
      <c r="H1573" s="1641"/>
      <c r="I1573" s="1641"/>
      <c r="J1573" s="1654">
        <v>2.52</v>
      </c>
      <c r="K1573" s="1655">
        <v>0.25</v>
      </c>
      <c r="L1573" s="1654">
        <v>4.21</v>
      </c>
      <c r="M1573" s="1655">
        <v>35.75</v>
      </c>
      <c r="N1573" s="2039">
        <v>150.51</v>
      </c>
      <c r="EW1573" s="2031"/>
      <c r="EX1573" s="1619"/>
      <c r="EY1573" s="1628"/>
      <c r="EZ1573" s="1628"/>
      <c r="FA1573" s="1628"/>
      <c r="FF1573" s="1864" t="s">
        <v>7965</v>
      </c>
      <c r="FH1573" s="1628"/>
      <c r="FU1573" s="1678"/>
      <c r="FW1573" s="1678"/>
    </row>
    <row r="1574" spans="1:179" s="1484" customFormat="1" ht="15" x14ac:dyDescent="0.25">
      <c r="A1574" s="2033"/>
      <c r="B1574" s="1631"/>
      <c r="C1574" s="2805" t="s">
        <v>867</v>
      </c>
      <c r="D1574" s="2805"/>
      <c r="E1574" s="2805"/>
      <c r="F1574" s="1683"/>
      <c r="G1574" s="1641"/>
      <c r="H1574" s="1641"/>
      <c r="I1574" s="1641"/>
      <c r="J1574" s="1640"/>
      <c r="K1574" s="1641"/>
      <c r="L1574" s="1657">
        <v>3902.71</v>
      </c>
      <c r="M1574" s="1641"/>
      <c r="N1574" s="1679">
        <v>139521.89000000001</v>
      </c>
      <c r="EW1574" s="2031"/>
      <c r="EX1574" s="1619"/>
      <c r="EY1574" s="1628"/>
      <c r="EZ1574" s="1628"/>
      <c r="FA1574" s="1628"/>
      <c r="FF1574" s="1864" t="s">
        <v>867</v>
      </c>
      <c r="FH1574" s="1628"/>
      <c r="FU1574" s="1678"/>
      <c r="FW1574" s="1678"/>
    </row>
    <row r="1575" spans="1:179" s="1484" customFormat="1" ht="15" x14ac:dyDescent="0.25">
      <c r="A1575" s="2033"/>
      <c r="B1575" s="1631" t="s">
        <v>8054</v>
      </c>
      <c r="C1575" s="2805" t="s">
        <v>8055</v>
      </c>
      <c r="D1575" s="2805"/>
      <c r="E1575" s="2805"/>
      <c r="F1575" s="1683" t="s">
        <v>636</v>
      </c>
      <c r="G1575" s="2034">
        <v>112</v>
      </c>
      <c r="H1575" s="1641"/>
      <c r="I1575" s="2034">
        <v>112</v>
      </c>
      <c r="J1575" s="1640"/>
      <c r="K1575" s="1641"/>
      <c r="L1575" s="1657">
        <v>4371.04</v>
      </c>
      <c r="M1575" s="1641"/>
      <c r="N1575" s="1679">
        <v>156264.51999999999</v>
      </c>
      <c r="EW1575" s="2031"/>
      <c r="EX1575" s="1619"/>
      <c r="EY1575" s="1628"/>
      <c r="EZ1575" s="1628"/>
      <c r="FA1575" s="1628"/>
      <c r="FF1575" s="1864" t="s">
        <v>8055</v>
      </c>
      <c r="FH1575" s="1628"/>
      <c r="FU1575" s="1678"/>
      <c r="FW1575" s="1678"/>
    </row>
    <row r="1576" spans="1:179" s="1484" customFormat="1" ht="15" x14ac:dyDescent="0.25">
      <c r="A1576" s="2033"/>
      <c r="B1576" s="1631" t="s">
        <v>8056</v>
      </c>
      <c r="C1576" s="2805" t="s">
        <v>8057</v>
      </c>
      <c r="D1576" s="2805"/>
      <c r="E1576" s="2805"/>
      <c r="F1576" s="1683" t="s">
        <v>636</v>
      </c>
      <c r="G1576" s="2034">
        <v>65</v>
      </c>
      <c r="H1576" s="1641"/>
      <c r="I1576" s="2034">
        <v>65</v>
      </c>
      <c r="J1576" s="1640"/>
      <c r="K1576" s="1641"/>
      <c r="L1576" s="1657">
        <v>2536.7600000000002</v>
      </c>
      <c r="M1576" s="1641"/>
      <c r="N1576" s="1679">
        <v>90689.23</v>
      </c>
      <c r="EW1576" s="2031"/>
      <c r="EX1576" s="1619"/>
      <c r="EY1576" s="1628"/>
      <c r="EZ1576" s="1628"/>
      <c r="FA1576" s="1628"/>
      <c r="FF1576" s="1864" t="s">
        <v>8057</v>
      </c>
      <c r="FH1576" s="1628"/>
      <c r="FU1576" s="1678"/>
      <c r="FW1576" s="1678"/>
    </row>
    <row r="1577" spans="1:179" s="1484" customFormat="1" ht="15" x14ac:dyDescent="0.25">
      <c r="A1577" s="1650"/>
      <c r="B1577" s="1651"/>
      <c r="C1577" s="2803" t="s">
        <v>872</v>
      </c>
      <c r="D1577" s="2803"/>
      <c r="E1577" s="2803"/>
      <c r="F1577" s="1621"/>
      <c r="G1577" s="1622"/>
      <c r="H1577" s="1622"/>
      <c r="I1577" s="1622"/>
      <c r="J1577" s="1625"/>
      <c r="K1577" s="1622"/>
      <c r="L1577" s="1648">
        <v>113456.85</v>
      </c>
      <c r="M1577" s="2037"/>
      <c r="N1577" s="1649">
        <v>1324633.25</v>
      </c>
      <c r="EW1577" s="2031"/>
      <c r="EX1577" s="1619"/>
      <c r="EY1577" s="1628"/>
      <c r="EZ1577" s="1628"/>
      <c r="FA1577" s="1628"/>
      <c r="FH1577" s="1628" t="s">
        <v>872</v>
      </c>
      <c r="FU1577" s="1678"/>
      <c r="FW1577" s="1678"/>
    </row>
    <row r="1578" spans="1:179" s="1484" customFormat="1" ht="56.25" x14ac:dyDescent="0.25">
      <c r="A1578" s="1620" t="s">
        <v>8224</v>
      </c>
      <c r="B1578" s="1863" t="s">
        <v>8196</v>
      </c>
      <c r="C1578" s="2803" t="s">
        <v>4975</v>
      </c>
      <c r="D1578" s="2803"/>
      <c r="E1578" s="2803"/>
      <c r="F1578" s="1621" t="s">
        <v>801</v>
      </c>
      <c r="G1578" s="1622">
        <v>0.26700000000000002</v>
      </c>
      <c r="H1578" s="1623">
        <v>1</v>
      </c>
      <c r="I1578" s="2045">
        <v>0.26700000000000002</v>
      </c>
      <c r="J1578" s="1648">
        <v>11820.72</v>
      </c>
      <c r="K1578" s="1622"/>
      <c r="L1578" s="1648">
        <v>3156.13</v>
      </c>
      <c r="M1578" s="1687">
        <v>9.14</v>
      </c>
      <c r="N1578" s="1649">
        <v>28847.03</v>
      </c>
      <c r="EW1578" s="2031"/>
      <c r="EX1578" s="1619"/>
      <c r="EY1578" s="1628" t="s">
        <v>4975</v>
      </c>
      <c r="EZ1578" s="1628" t="s">
        <v>588</v>
      </c>
      <c r="FA1578" s="1628" t="s">
        <v>588</v>
      </c>
      <c r="FH1578" s="1628"/>
      <c r="FU1578" s="1678"/>
      <c r="FW1578" s="1678"/>
    </row>
    <row r="1579" spans="1:179" s="1484" customFormat="1" ht="15" x14ac:dyDescent="0.25">
      <c r="A1579" s="1650"/>
      <c r="B1579" s="1651"/>
      <c r="C1579" s="2805" t="s">
        <v>6075</v>
      </c>
      <c r="D1579" s="2805"/>
      <c r="E1579" s="2805"/>
      <c r="F1579" s="2805"/>
      <c r="G1579" s="2805"/>
      <c r="H1579" s="2805"/>
      <c r="I1579" s="2805"/>
      <c r="J1579" s="2805"/>
      <c r="K1579" s="2805"/>
      <c r="L1579" s="2805"/>
      <c r="M1579" s="2805"/>
      <c r="N1579" s="2806"/>
      <c r="EW1579" s="2031"/>
      <c r="EX1579" s="1619"/>
      <c r="EY1579" s="1628"/>
      <c r="EZ1579" s="1628"/>
      <c r="FA1579" s="1628"/>
      <c r="FH1579" s="1628"/>
      <c r="FI1579" s="1864" t="s">
        <v>6075</v>
      </c>
      <c r="FJ1579" s="1864" t="s">
        <v>588</v>
      </c>
      <c r="FK1579" s="1864" t="s">
        <v>588</v>
      </c>
      <c r="FL1579" s="1864" t="s">
        <v>588</v>
      </c>
      <c r="FM1579" s="1864" t="s">
        <v>588</v>
      </c>
      <c r="FN1579" s="1864" t="s">
        <v>588</v>
      </c>
      <c r="FO1579" s="1864" t="s">
        <v>588</v>
      </c>
      <c r="FP1579" s="1864" t="s">
        <v>588</v>
      </c>
      <c r="FQ1579" s="1864" t="s">
        <v>588</v>
      </c>
      <c r="FR1579" s="1864" t="s">
        <v>588</v>
      </c>
      <c r="FS1579" s="1864" t="s">
        <v>588</v>
      </c>
      <c r="FT1579" s="1864" t="s">
        <v>588</v>
      </c>
      <c r="FU1579" s="1678"/>
      <c r="FW1579" s="1678"/>
    </row>
    <row r="1580" spans="1:179" s="1484" customFormat="1" ht="15" x14ac:dyDescent="0.25">
      <c r="A1580" s="1650"/>
      <c r="B1580" s="1651"/>
      <c r="C1580" s="2803" t="s">
        <v>872</v>
      </c>
      <c r="D1580" s="2803"/>
      <c r="E1580" s="2803"/>
      <c r="F1580" s="1621"/>
      <c r="G1580" s="1622"/>
      <c r="H1580" s="1622"/>
      <c r="I1580" s="1622"/>
      <c r="J1580" s="1625"/>
      <c r="K1580" s="1622"/>
      <c r="L1580" s="1648">
        <v>3156.13</v>
      </c>
      <c r="M1580" s="2037"/>
      <c r="N1580" s="1649">
        <v>28847.03</v>
      </c>
      <c r="EW1580" s="2031"/>
      <c r="EX1580" s="1619"/>
      <c r="EY1580" s="1628"/>
      <c r="EZ1580" s="1628"/>
      <c r="FA1580" s="1628"/>
      <c r="FH1580" s="1628" t="s">
        <v>872</v>
      </c>
      <c r="FU1580" s="1678"/>
      <c r="FW1580" s="1678"/>
    </row>
    <row r="1581" spans="1:179" s="1484" customFormat="1" ht="15" x14ac:dyDescent="0.25">
      <c r="A1581" s="1620" t="s">
        <v>8225</v>
      </c>
      <c r="B1581" s="1863" t="s">
        <v>8197</v>
      </c>
      <c r="C1581" s="2803" t="s">
        <v>8198</v>
      </c>
      <c r="D1581" s="2803"/>
      <c r="E1581" s="2803"/>
      <c r="F1581" s="1621" t="s">
        <v>835</v>
      </c>
      <c r="G1581" s="1622">
        <v>133.5</v>
      </c>
      <c r="H1581" s="1623">
        <v>1</v>
      </c>
      <c r="I1581" s="1624">
        <v>133.5</v>
      </c>
      <c r="J1581" s="2040">
        <v>71.2</v>
      </c>
      <c r="K1581" s="1622"/>
      <c r="L1581" s="1648">
        <v>9505.2000000000007</v>
      </c>
      <c r="M1581" s="1687">
        <v>9.14</v>
      </c>
      <c r="N1581" s="1649">
        <v>86877.53</v>
      </c>
      <c r="EW1581" s="2031"/>
      <c r="EX1581" s="1619"/>
      <c r="EY1581" s="1628" t="s">
        <v>8198</v>
      </c>
      <c r="EZ1581" s="1628" t="s">
        <v>588</v>
      </c>
      <c r="FA1581" s="1628" t="s">
        <v>588</v>
      </c>
      <c r="FH1581" s="1628"/>
      <c r="FU1581" s="1678"/>
      <c r="FW1581" s="1678"/>
    </row>
    <row r="1582" spans="1:179" s="1484" customFormat="1" ht="15" x14ac:dyDescent="0.25">
      <c r="A1582" s="1650"/>
      <c r="B1582" s="1651"/>
      <c r="C1582" s="2805" t="s">
        <v>8640</v>
      </c>
      <c r="D1582" s="2805"/>
      <c r="E1582" s="2805"/>
      <c r="F1582" s="2805"/>
      <c r="G1582" s="2805"/>
      <c r="H1582" s="2805"/>
      <c r="I1582" s="2805"/>
      <c r="J1582" s="2805"/>
      <c r="K1582" s="2805"/>
      <c r="L1582" s="2805"/>
      <c r="M1582" s="2805"/>
      <c r="N1582" s="2806"/>
      <c r="EW1582" s="2031"/>
      <c r="EX1582" s="1619"/>
      <c r="EY1582" s="1628"/>
      <c r="EZ1582" s="1628"/>
      <c r="FA1582" s="1628"/>
      <c r="FH1582" s="1628"/>
      <c r="FI1582" s="1864" t="s">
        <v>8640</v>
      </c>
      <c r="FJ1582" s="1864" t="s">
        <v>588</v>
      </c>
      <c r="FK1582" s="1864" t="s">
        <v>588</v>
      </c>
      <c r="FL1582" s="1864" t="s">
        <v>588</v>
      </c>
      <c r="FM1582" s="1864" t="s">
        <v>588</v>
      </c>
      <c r="FN1582" s="1864" t="s">
        <v>588</v>
      </c>
      <c r="FO1582" s="1864" t="s">
        <v>588</v>
      </c>
      <c r="FP1582" s="1864" t="s">
        <v>588</v>
      </c>
      <c r="FQ1582" s="1864" t="s">
        <v>588</v>
      </c>
      <c r="FR1582" s="1864" t="s">
        <v>588</v>
      </c>
      <c r="FS1582" s="1864" t="s">
        <v>588</v>
      </c>
      <c r="FT1582" s="1864" t="s">
        <v>588</v>
      </c>
      <c r="FU1582" s="1678"/>
      <c r="FW1582" s="1678"/>
    </row>
    <row r="1583" spans="1:179" s="1484" customFormat="1" ht="15" x14ac:dyDescent="0.25">
      <c r="A1583" s="1650"/>
      <c r="B1583" s="1651"/>
      <c r="C1583" s="2803" t="s">
        <v>872</v>
      </c>
      <c r="D1583" s="2803"/>
      <c r="E1583" s="2803"/>
      <c r="F1583" s="1621"/>
      <c r="G1583" s="1622"/>
      <c r="H1583" s="1622"/>
      <c r="I1583" s="1622"/>
      <c r="J1583" s="1625"/>
      <c r="K1583" s="1622"/>
      <c r="L1583" s="1648">
        <v>9505.2000000000007</v>
      </c>
      <c r="M1583" s="2037"/>
      <c r="N1583" s="1649">
        <v>86877.53</v>
      </c>
      <c r="EW1583" s="2031"/>
      <c r="EX1583" s="1619"/>
      <c r="EY1583" s="1628"/>
      <c r="EZ1583" s="1628"/>
      <c r="FA1583" s="1628"/>
      <c r="FH1583" s="1628" t="s">
        <v>872</v>
      </c>
      <c r="FU1583" s="1678"/>
      <c r="FW1583" s="1678"/>
    </row>
    <row r="1584" spans="1:179" s="1484" customFormat="1" ht="45" x14ac:dyDescent="0.25">
      <c r="A1584" s="1620" t="s">
        <v>8226</v>
      </c>
      <c r="B1584" s="1863" t="s">
        <v>8823</v>
      </c>
      <c r="C1584" s="2803" t="s">
        <v>8199</v>
      </c>
      <c r="D1584" s="2803"/>
      <c r="E1584" s="2803"/>
      <c r="F1584" s="1621" t="s">
        <v>2555</v>
      </c>
      <c r="G1584" s="1622">
        <v>6.6749999999999998</v>
      </c>
      <c r="H1584" s="1623">
        <v>1</v>
      </c>
      <c r="I1584" s="2045">
        <v>6.6749999999999998</v>
      </c>
      <c r="J1584" s="1625"/>
      <c r="K1584" s="1622"/>
      <c r="L1584" s="1625"/>
      <c r="M1584" s="1622"/>
      <c r="N1584" s="1627"/>
      <c r="EW1584" s="2031"/>
      <c r="EX1584" s="1619"/>
      <c r="EY1584" s="1628" t="s">
        <v>8199</v>
      </c>
      <c r="EZ1584" s="1628" t="s">
        <v>588</v>
      </c>
      <c r="FA1584" s="1628" t="s">
        <v>588</v>
      </c>
      <c r="FH1584" s="1628"/>
      <c r="FU1584" s="1678"/>
      <c r="FW1584" s="1678"/>
    </row>
    <row r="1585" spans="1:179" s="1484" customFormat="1" ht="15" x14ac:dyDescent="0.25">
      <c r="A1585" s="1629"/>
      <c r="B1585" s="1862"/>
      <c r="C1585" s="2805" t="s">
        <v>8819</v>
      </c>
      <c r="D1585" s="2805"/>
      <c r="E1585" s="2805"/>
      <c r="F1585" s="2805"/>
      <c r="G1585" s="2805"/>
      <c r="H1585" s="2805"/>
      <c r="I1585" s="2805"/>
      <c r="J1585" s="2805"/>
      <c r="K1585" s="2805"/>
      <c r="L1585" s="2805"/>
      <c r="M1585" s="2805"/>
      <c r="N1585" s="2806"/>
      <c r="EW1585" s="2031"/>
      <c r="EX1585" s="1619"/>
      <c r="EY1585" s="1628"/>
      <c r="EZ1585" s="1628"/>
      <c r="FA1585" s="1628"/>
      <c r="FB1585" s="1864" t="s">
        <v>8819</v>
      </c>
      <c r="FH1585" s="1628"/>
      <c r="FU1585" s="1678"/>
      <c r="FW1585" s="1678"/>
    </row>
    <row r="1586" spans="1:179" s="1484" customFormat="1" ht="22.5" x14ac:dyDescent="0.25">
      <c r="A1586" s="1630"/>
      <c r="B1586" s="1631" t="s">
        <v>6062</v>
      </c>
      <c r="C1586" s="2809" t="s">
        <v>6063</v>
      </c>
      <c r="D1586" s="2809"/>
      <c r="E1586" s="2809"/>
      <c r="F1586" s="2809"/>
      <c r="G1586" s="2809"/>
      <c r="H1586" s="2809"/>
      <c r="I1586" s="2809"/>
      <c r="J1586" s="2809"/>
      <c r="K1586" s="2809"/>
      <c r="L1586" s="2809"/>
      <c r="M1586" s="2809"/>
      <c r="N1586" s="2810"/>
      <c r="EW1586" s="2031"/>
      <c r="EX1586" s="1619"/>
      <c r="EY1586" s="1628"/>
      <c r="EZ1586" s="1628"/>
      <c r="FA1586" s="1628"/>
      <c r="FC1586" s="1864" t="s">
        <v>6063</v>
      </c>
      <c r="FH1586" s="1628"/>
      <c r="FU1586" s="1678"/>
      <c r="FW1586" s="1678"/>
    </row>
    <row r="1587" spans="1:179" s="1484" customFormat="1" ht="15" x14ac:dyDescent="0.25">
      <c r="A1587" s="1630"/>
      <c r="B1587" s="1631" t="s">
        <v>8142</v>
      </c>
      <c r="C1587" s="2809" t="s">
        <v>8200</v>
      </c>
      <c r="D1587" s="2809"/>
      <c r="E1587" s="2809"/>
      <c r="F1587" s="2809"/>
      <c r="G1587" s="2809"/>
      <c r="H1587" s="2809"/>
      <c r="I1587" s="2809"/>
      <c r="J1587" s="2809"/>
      <c r="K1587" s="2809"/>
      <c r="L1587" s="2809"/>
      <c r="M1587" s="2809"/>
      <c r="N1587" s="2810"/>
      <c r="EW1587" s="2031"/>
      <c r="EX1587" s="1619"/>
      <c r="EY1587" s="1628"/>
      <c r="EZ1587" s="1628"/>
      <c r="FA1587" s="1628"/>
      <c r="FC1587" s="1864" t="s">
        <v>8200</v>
      </c>
      <c r="FH1587" s="1628"/>
      <c r="FU1587" s="1678"/>
      <c r="FW1587" s="1678"/>
    </row>
    <row r="1588" spans="1:179" s="1484" customFormat="1" ht="22.5" x14ac:dyDescent="0.25">
      <c r="A1588" s="2033"/>
      <c r="B1588" s="1631" t="s">
        <v>3260</v>
      </c>
      <c r="C1588" s="2805" t="s">
        <v>8636</v>
      </c>
      <c r="D1588" s="2805"/>
      <c r="E1588" s="2805"/>
      <c r="F1588" s="1683" t="s">
        <v>807</v>
      </c>
      <c r="G1588" s="1655">
        <v>3.84</v>
      </c>
      <c r="H1588" s="2034">
        <v>56</v>
      </c>
      <c r="I1588" s="2046">
        <v>1435.3920000000001</v>
      </c>
      <c r="J1588" s="1654">
        <v>9.18</v>
      </c>
      <c r="K1588" s="1655">
        <v>1.25</v>
      </c>
      <c r="L1588" s="1657">
        <v>16471.12</v>
      </c>
      <c r="M1588" s="1641"/>
      <c r="N1588" s="1681"/>
      <c r="EW1588" s="2031"/>
      <c r="EX1588" s="1619"/>
      <c r="EY1588" s="1628"/>
      <c r="EZ1588" s="1628"/>
      <c r="FA1588" s="1628"/>
      <c r="FD1588" s="1864" t="s">
        <v>8636</v>
      </c>
      <c r="FH1588" s="1628"/>
      <c r="FU1588" s="1678"/>
      <c r="FW1588" s="1678"/>
    </row>
    <row r="1589" spans="1:179" s="1484" customFormat="1" ht="22.5" x14ac:dyDescent="0.25">
      <c r="A1589" s="2033"/>
      <c r="B1589" s="1631" t="s">
        <v>5010</v>
      </c>
      <c r="C1589" s="2805" t="s">
        <v>5011</v>
      </c>
      <c r="D1589" s="2805"/>
      <c r="E1589" s="2805"/>
      <c r="F1589" s="1683" t="s">
        <v>4994</v>
      </c>
      <c r="G1589" s="1655">
        <v>0.01</v>
      </c>
      <c r="H1589" s="2034">
        <v>56</v>
      </c>
      <c r="I1589" s="2046">
        <v>3.738</v>
      </c>
      <c r="J1589" s="1654">
        <v>31.26</v>
      </c>
      <c r="K1589" s="1641"/>
      <c r="L1589" s="1654">
        <v>116.85</v>
      </c>
      <c r="M1589" s="1641"/>
      <c r="N1589" s="1681"/>
      <c r="EW1589" s="2031"/>
      <c r="EX1589" s="1619"/>
      <c r="EY1589" s="1628"/>
      <c r="EZ1589" s="1628"/>
      <c r="FA1589" s="1628"/>
      <c r="FD1589" s="1864" t="s">
        <v>5011</v>
      </c>
      <c r="FH1589" s="1628"/>
      <c r="FU1589" s="1678"/>
      <c r="FW1589" s="1678"/>
    </row>
    <row r="1590" spans="1:179" s="1484" customFormat="1" ht="15" x14ac:dyDescent="0.25">
      <c r="A1590" s="2033"/>
      <c r="B1590" s="1631" t="s">
        <v>821</v>
      </c>
      <c r="C1590" s="2805" t="s">
        <v>822</v>
      </c>
      <c r="D1590" s="2805"/>
      <c r="E1590" s="2805"/>
      <c r="F1590" s="1683" t="s">
        <v>4994</v>
      </c>
      <c r="G1590" s="1655">
        <v>7.0000000000000007E-2</v>
      </c>
      <c r="H1590" s="2034">
        <v>56</v>
      </c>
      <c r="I1590" s="2046">
        <v>26.166</v>
      </c>
      <c r="J1590" s="1654">
        <v>65.709999999999994</v>
      </c>
      <c r="K1590" s="1641"/>
      <c r="L1590" s="1657">
        <v>1719.37</v>
      </c>
      <c r="M1590" s="1641"/>
      <c r="N1590" s="1681"/>
      <c r="EW1590" s="2031"/>
      <c r="EX1590" s="1619"/>
      <c r="EY1590" s="1628"/>
      <c r="EZ1590" s="1628"/>
      <c r="FA1590" s="1628"/>
      <c r="FD1590" s="1864" t="s">
        <v>822</v>
      </c>
      <c r="FH1590" s="1628"/>
      <c r="FU1590" s="1678"/>
      <c r="FW1590" s="1678"/>
    </row>
    <row r="1591" spans="1:179" s="1484" customFormat="1" ht="22.5" x14ac:dyDescent="0.25">
      <c r="A1591" s="2033"/>
      <c r="B1591" s="1631" t="s">
        <v>4938</v>
      </c>
      <c r="C1591" s="2805" t="s">
        <v>4939</v>
      </c>
      <c r="D1591" s="2805"/>
      <c r="E1591" s="2805"/>
      <c r="F1591" s="1683" t="s">
        <v>835</v>
      </c>
      <c r="G1591" s="1953">
        <v>71.5</v>
      </c>
      <c r="H1591" s="2034">
        <v>56</v>
      </c>
      <c r="I1591" s="1953">
        <v>26726.7</v>
      </c>
      <c r="J1591" s="1654">
        <v>50.19</v>
      </c>
      <c r="K1591" s="1641"/>
      <c r="L1591" s="1657">
        <v>1341413.07</v>
      </c>
      <c r="M1591" s="1641"/>
      <c r="N1591" s="1681"/>
      <c r="EW1591" s="2031"/>
      <c r="EX1591" s="1619"/>
      <c r="EY1591" s="1628"/>
      <c r="EZ1591" s="1628"/>
      <c r="FA1591" s="1628"/>
      <c r="FD1591" s="1864" t="s">
        <v>4939</v>
      </c>
      <c r="FH1591" s="1628"/>
      <c r="FU1591" s="1678"/>
      <c r="FW1591" s="1678"/>
    </row>
    <row r="1592" spans="1:179" s="1484" customFormat="1" ht="15" x14ac:dyDescent="0.25">
      <c r="A1592" s="2032"/>
      <c r="B1592" s="1631" t="s">
        <v>190</v>
      </c>
      <c r="C1592" s="2805" t="s">
        <v>2523</v>
      </c>
      <c r="D1592" s="2805"/>
      <c r="E1592" s="2805"/>
      <c r="F1592" s="1683"/>
      <c r="G1592" s="1641"/>
      <c r="H1592" s="1641"/>
      <c r="I1592" s="1641"/>
      <c r="J1592" s="1654">
        <v>35.25</v>
      </c>
      <c r="K1592" s="2034">
        <v>70</v>
      </c>
      <c r="L1592" s="1657">
        <v>16470.560000000001</v>
      </c>
      <c r="M1592" s="1655">
        <v>35.75</v>
      </c>
      <c r="N1592" s="1679">
        <v>588822.52</v>
      </c>
      <c r="EW1592" s="2031"/>
      <c r="EX1592" s="1619"/>
      <c r="EY1592" s="1628"/>
      <c r="EZ1592" s="1628"/>
      <c r="FA1592" s="1628"/>
      <c r="FE1592" s="1864" t="s">
        <v>2523</v>
      </c>
      <c r="FH1592" s="1628"/>
      <c r="FU1592" s="1678"/>
      <c r="FW1592" s="1678"/>
    </row>
    <row r="1593" spans="1:179" s="1484" customFormat="1" ht="15" x14ac:dyDescent="0.25">
      <c r="A1593" s="2032"/>
      <c r="B1593" s="1631" t="s">
        <v>639</v>
      </c>
      <c r="C1593" s="2805" t="s">
        <v>697</v>
      </c>
      <c r="D1593" s="2805"/>
      <c r="E1593" s="2805"/>
      <c r="F1593" s="1683"/>
      <c r="G1593" s="1641"/>
      <c r="H1593" s="1641"/>
      <c r="I1593" s="1641"/>
      <c r="J1593" s="1654">
        <v>4.91</v>
      </c>
      <c r="K1593" s="2034">
        <v>56</v>
      </c>
      <c r="L1593" s="1657">
        <v>1835.36</v>
      </c>
      <c r="M1593" s="1655">
        <v>11.97</v>
      </c>
      <c r="N1593" s="1679">
        <v>21969.26</v>
      </c>
      <c r="EW1593" s="2031"/>
      <c r="EX1593" s="1619"/>
      <c r="EY1593" s="1628"/>
      <c r="EZ1593" s="1628"/>
      <c r="FA1593" s="1628"/>
      <c r="FE1593" s="1864" t="s">
        <v>697</v>
      </c>
      <c r="FH1593" s="1628"/>
      <c r="FU1593" s="1678"/>
      <c r="FW1593" s="1678"/>
    </row>
    <row r="1594" spans="1:179" s="1484" customFormat="1" ht="15" x14ac:dyDescent="0.25">
      <c r="A1594" s="2032"/>
      <c r="B1594" s="1631" t="s">
        <v>640</v>
      </c>
      <c r="C1594" s="2805" t="s">
        <v>2500</v>
      </c>
      <c r="D1594" s="2805"/>
      <c r="E1594" s="2805"/>
      <c r="F1594" s="1683"/>
      <c r="G1594" s="1641"/>
      <c r="H1594" s="1641"/>
      <c r="I1594" s="1641"/>
      <c r="J1594" s="1654">
        <v>0.95</v>
      </c>
      <c r="K1594" s="2034">
        <v>56</v>
      </c>
      <c r="L1594" s="1654">
        <v>355.11</v>
      </c>
      <c r="M1594" s="1655">
        <v>35.75</v>
      </c>
      <c r="N1594" s="1679">
        <v>12695.18</v>
      </c>
      <c r="EW1594" s="2031"/>
      <c r="EX1594" s="1619"/>
      <c r="EY1594" s="1628"/>
      <c r="EZ1594" s="1628"/>
      <c r="FA1594" s="1628"/>
      <c r="FE1594" s="1864" t="s">
        <v>2500</v>
      </c>
      <c r="FH1594" s="1628"/>
      <c r="FU1594" s="1678"/>
      <c r="FW1594" s="1678"/>
    </row>
    <row r="1595" spans="1:179" s="1484" customFormat="1" ht="15" x14ac:dyDescent="0.25">
      <c r="A1595" s="2032"/>
      <c r="B1595" s="1631" t="s">
        <v>232</v>
      </c>
      <c r="C1595" s="2805" t="s">
        <v>829</v>
      </c>
      <c r="D1595" s="2805"/>
      <c r="E1595" s="2805"/>
      <c r="F1595" s="1683"/>
      <c r="G1595" s="1641"/>
      <c r="H1595" s="1641"/>
      <c r="I1595" s="1641"/>
      <c r="J1595" s="1657">
        <v>3588.59</v>
      </c>
      <c r="K1595" s="2034">
        <v>56</v>
      </c>
      <c r="L1595" s="1657">
        <v>1341414.94</v>
      </c>
      <c r="M1595" s="1655">
        <v>9.14</v>
      </c>
      <c r="N1595" s="1679">
        <v>12260532.550000001</v>
      </c>
      <c r="EW1595" s="2031"/>
      <c r="EX1595" s="1619"/>
      <c r="EY1595" s="1628"/>
      <c r="EZ1595" s="1628"/>
      <c r="FA1595" s="1628"/>
      <c r="FE1595" s="1864" t="s">
        <v>829</v>
      </c>
      <c r="FH1595" s="1628"/>
      <c r="FU1595" s="1678"/>
      <c r="FW1595" s="1678"/>
    </row>
    <row r="1596" spans="1:179" s="1484" customFormat="1" ht="15" x14ac:dyDescent="0.25">
      <c r="A1596" s="2033"/>
      <c r="B1596" s="1631"/>
      <c r="C1596" s="2805" t="s">
        <v>2524</v>
      </c>
      <c r="D1596" s="2805"/>
      <c r="E1596" s="2805"/>
      <c r="F1596" s="1683" t="s">
        <v>807</v>
      </c>
      <c r="G1596" s="1655">
        <v>3.84</v>
      </c>
      <c r="H1596" s="2034">
        <v>56</v>
      </c>
      <c r="I1596" s="2046">
        <v>1435.3920000000001</v>
      </c>
      <c r="J1596" s="1640"/>
      <c r="K1596" s="1641"/>
      <c r="L1596" s="1640"/>
      <c r="M1596" s="1641"/>
      <c r="N1596" s="1681"/>
      <c r="EW1596" s="2031"/>
      <c r="EX1596" s="1619"/>
      <c r="EY1596" s="1628"/>
      <c r="EZ1596" s="1628"/>
      <c r="FA1596" s="1628"/>
      <c r="FF1596" s="1864" t="s">
        <v>2524</v>
      </c>
      <c r="FH1596" s="1628"/>
      <c r="FU1596" s="1678"/>
      <c r="FW1596" s="1678"/>
    </row>
    <row r="1597" spans="1:179" s="1484" customFormat="1" ht="15" x14ac:dyDescent="0.25">
      <c r="A1597" s="2033"/>
      <c r="B1597" s="1631"/>
      <c r="C1597" s="2805" t="s">
        <v>2501</v>
      </c>
      <c r="D1597" s="2805"/>
      <c r="E1597" s="2805"/>
      <c r="F1597" s="1683" t="s">
        <v>807</v>
      </c>
      <c r="G1597" s="1655">
        <v>0.08</v>
      </c>
      <c r="H1597" s="2034">
        <v>56</v>
      </c>
      <c r="I1597" s="2046">
        <v>29.904</v>
      </c>
      <c r="J1597" s="1640"/>
      <c r="K1597" s="1641"/>
      <c r="L1597" s="1640"/>
      <c r="M1597" s="1641"/>
      <c r="N1597" s="1681"/>
      <c r="EW1597" s="2031"/>
      <c r="EX1597" s="1619"/>
      <c r="EY1597" s="1628"/>
      <c r="EZ1597" s="1628"/>
      <c r="FA1597" s="1628"/>
      <c r="FF1597" s="1864" t="s">
        <v>2501</v>
      </c>
      <c r="FH1597" s="1628"/>
      <c r="FU1597" s="1678"/>
      <c r="FW1597" s="1678"/>
    </row>
    <row r="1598" spans="1:179" s="1484" customFormat="1" ht="15" x14ac:dyDescent="0.25">
      <c r="A1598" s="2032"/>
      <c r="B1598" s="1631"/>
      <c r="C1598" s="2917" t="s">
        <v>2502</v>
      </c>
      <c r="D1598" s="2917"/>
      <c r="E1598" s="2917"/>
      <c r="F1598" s="2036"/>
      <c r="G1598" s="2037"/>
      <c r="H1598" s="2037"/>
      <c r="I1598" s="2037"/>
      <c r="J1598" s="2038">
        <v>3628.75</v>
      </c>
      <c r="K1598" s="2037"/>
      <c r="L1598" s="2038">
        <v>1359720.86</v>
      </c>
      <c r="M1598" s="2037"/>
      <c r="N1598" s="2068">
        <v>12871324.33</v>
      </c>
      <c r="EW1598" s="2031"/>
      <c r="EX1598" s="1619"/>
      <c r="EY1598" s="1628"/>
      <c r="EZ1598" s="1628"/>
      <c r="FA1598" s="1628"/>
      <c r="FG1598" s="1864" t="s">
        <v>2502</v>
      </c>
      <c r="FH1598" s="1628"/>
      <c r="FU1598" s="1678"/>
      <c r="FW1598" s="1678"/>
    </row>
    <row r="1599" spans="1:179" s="1484" customFormat="1" ht="15" x14ac:dyDescent="0.25">
      <c r="A1599" s="2033" t="s">
        <v>8227</v>
      </c>
      <c r="B1599" s="1631"/>
      <c r="C1599" s="2805" t="s">
        <v>7964</v>
      </c>
      <c r="D1599" s="2805"/>
      <c r="E1599" s="2805"/>
      <c r="F1599" s="1683" t="s">
        <v>5928</v>
      </c>
      <c r="G1599" s="1641"/>
      <c r="H1599" s="1641"/>
      <c r="I1599" s="1641"/>
      <c r="J1599" s="1640"/>
      <c r="K1599" s="1641"/>
      <c r="L1599" s="1654">
        <v>88.78</v>
      </c>
      <c r="M1599" s="1641"/>
      <c r="N1599" s="1679">
        <v>3173.89</v>
      </c>
      <c r="EW1599" s="2031"/>
      <c r="EX1599" s="1619"/>
      <c r="EY1599" s="1628"/>
      <c r="EZ1599" s="1628"/>
      <c r="FA1599" s="1628"/>
      <c r="FF1599" s="1864" t="s">
        <v>7964</v>
      </c>
      <c r="FH1599" s="1628"/>
      <c r="FU1599" s="1678"/>
      <c r="FW1599" s="1678"/>
    </row>
    <row r="1600" spans="1:179" s="1484" customFormat="1" ht="15" x14ac:dyDescent="0.25">
      <c r="A1600" s="2033"/>
      <c r="B1600" s="1631"/>
      <c r="C1600" s="2805" t="s">
        <v>7965</v>
      </c>
      <c r="D1600" s="2805"/>
      <c r="E1600" s="2805"/>
      <c r="F1600" s="1683" t="s">
        <v>5928</v>
      </c>
      <c r="G1600" s="1641"/>
      <c r="H1600" s="1641"/>
      <c r="I1600" s="1641"/>
      <c r="J1600" s="1654">
        <v>0.95</v>
      </c>
      <c r="K1600" s="2034">
        <v>14</v>
      </c>
      <c r="L1600" s="1654">
        <v>88.78</v>
      </c>
      <c r="M1600" s="1655">
        <v>35.75</v>
      </c>
      <c r="N1600" s="1679">
        <v>3173.89</v>
      </c>
      <c r="EW1600" s="2031"/>
      <c r="EX1600" s="1619"/>
      <c r="EY1600" s="1628"/>
      <c r="EZ1600" s="1628"/>
      <c r="FA1600" s="1628"/>
      <c r="FF1600" s="1864" t="s">
        <v>7965</v>
      </c>
      <c r="FH1600" s="1628"/>
      <c r="FU1600" s="1678"/>
      <c r="FW1600" s="1678"/>
    </row>
    <row r="1601" spans="1:179" s="1484" customFormat="1" ht="15" x14ac:dyDescent="0.25">
      <c r="A1601" s="2033"/>
      <c r="B1601" s="1631"/>
      <c r="C1601" s="2805" t="s">
        <v>867</v>
      </c>
      <c r="D1601" s="2805"/>
      <c r="E1601" s="2805"/>
      <c r="F1601" s="1683"/>
      <c r="G1601" s="1641"/>
      <c r="H1601" s="1641"/>
      <c r="I1601" s="1641"/>
      <c r="J1601" s="1640"/>
      <c r="K1601" s="1641"/>
      <c r="L1601" s="1657">
        <v>16914.45</v>
      </c>
      <c r="M1601" s="1641"/>
      <c r="N1601" s="1679">
        <v>604691.59</v>
      </c>
      <c r="EW1601" s="2031"/>
      <c r="EX1601" s="1619"/>
      <c r="EY1601" s="1628"/>
      <c r="EZ1601" s="1628"/>
      <c r="FA1601" s="1628"/>
      <c r="FF1601" s="1864" t="s">
        <v>867</v>
      </c>
      <c r="FH1601" s="1628"/>
      <c r="FU1601" s="1678"/>
      <c r="FW1601" s="1678"/>
    </row>
    <row r="1602" spans="1:179" s="1484" customFormat="1" ht="15" x14ac:dyDescent="0.25">
      <c r="A1602" s="2033"/>
      <c r="B1602" s="1631" t="s">
        <v>8054</v>
      </c>
      <c r="C1602" s="2805" t="s">
        <v>8055</v>
      </c>
      <c r="D1602" s="2805"/>
      <c r="E1602" s="2805"/>
      <c r="F1602" s="1683" t="s">
        <v>636</v>
      </c>
      <c r="G1602" s="2034">
        <v>112</v>
      </c>
      <c r="H1602" s="1641"/>
      <c r="I1602" s="2034">
        <v>112</v>
      </c>
      <c r="J1602" s="1640"/>
      <c r="K1602" s="1641"/>
      <c r="L1602" s="1657">
        <v>18944.18</v>
      </c>
      <c r="M1602" s="1641"/>
      <c r="N1602" s="1679">
        <v>677254.58</v>
      </c>
      <c r="EW1602" s="2031"/>
      <c r="EX1602" s="1619"/>
      <c r="EY1602" s="1628"/>
      <c r="EZ1602" s="1628"/>
      <c r="FA1602" s="1628"/>
      <c r="FF1602" s="1864" t="s">
        <v>8055</v>
      </c>
      <c r="FH1602" s="1628"/>
      <c r="FU1602" s="1678"/>
      <c r="FW1602" s="1678"/>
    </row>
    <row r="1603" spans="1:179" s="1484" customFormat="1" ht="15" x14ac:dyDescent="0.25">
      <c r="A1603" s="2033"/>
      <c r="B1603" s="1631" t="s">
        <v>8056</v>
      </c>
      <c r="C1603" s="2805" t="s">
        <v>8057</v>
      </c>
      <c r="D1603" s="2805"/>
      <c r="E1603" s="2805"/>
      <c r="F1603" s="1683" t="s">
        <v>636</v>
      </c>
      <c r="G1603" s="2034">
        <v>65</v>
      </c>
      <c r="H1603" s="1641"/>
      <c r="I1603" s="2034">
        <v>65</v>
      </c>
      <c r="J1603" s="1640"/>
      <c r="K1603" s="1641"/>
      <c r="L1603" s="1657">
        <v>10994.39</v>
      </c>
      <c r="M1603" s="1641"/>
      <c r="N1603" s="1679">
        <v>393049.53</v>
      </c>
      <c r="EW1603" s="2031"/>
      <c r="EX1603" s="1619"/>
      <c r="EY1603" s="1628"/>
      <c r="EZ1603" s="1628"/>
      <c r="FA1603" s="1628"/>
      <c r="FF1603" s="1864" t="s">
        <v>8057</v>
      </c>
      <c r="FH1603" s="1628"/>
      <c r="FU1603" s="1678"/>
      <c r="FW1603" s="1678"/>
    </row>
    <row r="1604" spans="1:179" s="1484" customFormat="1" ht="15" x14ac:dyDescent="0.25">
      <c r="A1604" s="1650"/>
      <c r="B1604" s="1651"/>
      <c r="C1604" s="2803" t="s">
        <v>872</v>
      </c>
      <c r="D1604" s="2803"/>
      <c r="E1604" s="2803"/>
      <c r="F1604" s="1621"/>
      <c r="G1604" s="1622"/>
      <c r="H1604" s="1622"/>
      <c r="I1604" s="1622"/>
      <c r="J1604" s="1625"/>
      <c r="K1604" s="1622"/>
      <c r="L1604" s="1648">
        <v>1389748.21</v>
      </c>
      <c r="M1604" s="2037"/>
      <c r="N1604" s="1649">
        <v>13944802.33</v>
      </c>
      <c r="EW1604" s="2031"/>
      <c r="EX1604" s="1619"/>
      <c r="EY1604" s="1628"/>
      <c r="EZ1604" s="1628"/>
      <c r="FA1604" s="1628"/>
      <c r="FH1604" s="1628" t="s">
        <v>872</v>
      </c>
      <c r="FU1604" s="1678"/>
      <c r="FW1604" s="1678"/>
    </row>
    <row r="1605" spans="1:179" s="1484" customFormat="1" ht="22.5" x14ac:dyDescent="0.25">
      <c r="A1605" s="1620" t="s">
        <v>8228</v>
      </c>
      <c r="B1605" s="1863" t="s">
        <v>8193</v>
      </c>
      <c r="C1605" s="2803" t="s">
        <v>8194</v>
      </c>
      <c r="D1605" s="2803"/>
      <c r="E1605" s="2803"/>
      <c r="F1605" s="1621" t="s">
        <v>2555</v>
      </c>
      <c r="G1605" s="1622">
        <v>6.6749999999999998</v>
      </c>
      <c r="H1605" s="1623">
        <v>1</v>
      </c>
      <c r="I1605" s="2045">
        <v>6.6749999999999998</v>
      </c>
      <c r="J1605" s="1625"/>
      <c r="K1605" s="1622"/>
      <c r="L1605" s="1625"/>
      <c r="M1605" s="1622"/>
      <c r="N1605" s="1627"/>
      <c r="EW1605" s="2031"/>
      <c r="EX1605" s="1619"/>
      <c r="EY1605" s="1628" t="s">
        <v>8194</v>
      </c>
      <c r="EZ1605" s="1628" t="s">
        <v>588</v>
      </c>
      <c r="FA1605" s="1628" t="s">
        <v>588</v>
      </c>
      <c r="FH1605" s="1628"/>
      <c r="FU1605" s="1678"/>
      <c r="FW1605" s="1678"/>
    </row>
    <row r="1606" spans="1:179" s="1484" customFormat="1" ht="15" x14ac:dyDescent="0.25">
      <c r="A1606" s="1629"/>
      <c r="B1606" s="1862"/>
      <c r="C1606" s="2805" t="s">
        <v>8819</v>
      </c>
      <c r="D1606" s="2805"/>
      <c r="E1606" s="2805"/>
      <c r="F1606" s="2805"/>
      <c r="G1606" s="2805"/>
      <c r="H1606" s="2805"/>
      <c r="I1606" s="2805"/>
      <c r="J1606" s="2805"/>
      <c r="K1606" s="2805"/>
      <c r="L1606" s="2805"/>
      <c r="M1606" s="2805"/>
      <c r="N1606" s="2806"/>
      <c r="EW1606" s="2031"/>
      <c r="EX1606" s="1619"/>
      <c r="EY1606" s="1628"/>
      <c r="EZ1606" s="1628"/>
      <c r="FA1606" s="1628"/>
      <c r="FB1606" s="1864" t="s">
        <v>8819</v>
      </c>
      <c r="FH1606" s="1628"/>
      <c r="FU1606" s="1678"/>
      <c r="FW1606" s="1678"/>
    </row>
    <row r="1607" spans="1:179" s="1484" customFormat="1" ht="22.5" x14ac:dyDescent="0.25">
      <c r="A1607" s="1630"/>
      <c r="B1607" s="1631" t="s">
        <v>6062</v>
      </c>
      <c r="C1607" s="2809" t="s">
        <v>6063</v>
      </c>
      <c r="D1607" s="2809"/>
      <c r="E1607" s="2809"/>
      <c r="F1607" s="2809"/>
      <c r="G1607" s="2809"/>
      <c r="H1607" s="2809"/>
      <c r="I1607" s="2809"/>
      <c r="J1607" s="2809"/>
      <c r="K1607" s="2809"/>
      <c r="L1607" s="2809"/>
      <c r="M1607" s="2809"/>
      <c r="N1607" s="2810"/>
      <c r="EW1607" s="2031"/>
      <c r="EX1607" s="1619"/>
      <c r="EY1607" s="1628"/>
      <c r="EZ1607" s="1628"/>
      <c r="FA1607" s="1628"/>
      <c r="FC1607" s="1864" t="s">
        <v>6063</v>
      </c>
      <c r="FH1607" s="1628"/>
      <c r="FU1607" s="1678"/>
      <c r="FW1607" s="1678"/>
    </row>
    <row r="1608" spans="1:179" s="1484" customFormat="1" ht="22.5" x14ac:dyDescent="0.25">
      <c r="A1608" s="2033"/>
      <c r="B1608" s="1631" t="s">
        <v>8822</v>
      </c>
      <c r="C1608" s="2805" t="s">
        <v>8821</v>
      </c>
      <c r="D1608" s="2805"/>
      <c r="E1608" s="2805"/>
      <c r="F1608" s="1683" t="s">
        <v>807</v>
      </c>
      <c r="G1608" s="1655">
        <v>54.99</v>
      </c>
      <c r="H1608" s="1641"/>
      <c r="I1608" s="2042">
        <v>367.05824999999999</v>
      </c>
      <c r="J1608" s="1654">
        <v>8.4600000000000009</v>
      </c>
      <c r="K1608" s="1655">
        <v>1.25</v>
      </c>
      <c r="L1608" s="1657">
        <v>3881.64</v>
      </c>
      <c r="M1608" s="1641"/>
      <c r="N1608" s="1681"/>
      <c r="EW1608" s="2031"/>
      <c r="EX1608" s="1619"/>
      <c r="EY1608" s="1628"/>
      <c r="EZ1608" s="1628"/>
      <c r="FA1608" s="1628"/>
      <c r="FD1608" s="1864" t="s">
        <v>8821</v>
      </c>
      <c r="FH1608" s="1628"/>
      <c r="FU1608" s="1678"/>
      <c r="FW1608" s="1678"/>
    </row>
    <row r="1609" spans="1:179" s="1484" customFormat="1" ht="22.5" x14ac:dyDescent="0.25">
      <c r="A1609" s="2033"/>
      <c r="B1609" s="1631" t="s">
        <v>5010</v>
      </c>
      <c r="C1609" s="2805" t="s">
        <v>5011</v>
      </c>
      <c r="D1609" s="2805"/>
      <c r="E1609" s="2805"/>
      <c r="F1609" s="1683" t="s">
        <v>4994</v>
      </c>
      <c r="G1609" s="2046">
        <v>4.9000000000000002E-2</v>
      </c>
      <c r="H1609" s="1641"/>
      <c r="I1609" s="2043">
        <v>0.327075</v>
      </c>
      <c r="J1609" s="1654">
        <v>31.26</v>
      </c>
      <c r="K1609" s="1641"/>
      <c r="L1609" s="1654">
        <v>10.220000000000001</v>
      </c>
      <c r="M1609" s="1641"/>
      <c r="N1609" s="1681"/>
      <c r="EW1609" s="2031"/>
      <c r="EX1609" s="1619"/>
      <c r="EY1609" s="1628"/>
      <c r="EZ1609" s="1628"/>
      <c r="FA1609" s="1628"/>
      <c r="FD1609" s="1864" t="s">
        <v>5011</v>
      </c>
      <c r="FH1609" s="1628"/>
      <c r="FU1609" s="1678"/>
      <c r="FW1609" s="1678"/>
    </row>
    <row r="1610" spans="1:179" s="1484" customFormat="1" ht="15" x14ac:dyDescent="0.25">
      <c r="A1610" s="2033"/>
      <c r="B1610" s="1631" t="s">
        <v>821</v>
      </c>
      <c r="C1610" s="2805" t="s">
        <v>822</v>
      </c>
      <c r="D1610" s="2805"/>
      <c r="E1610" s="2805"/>
      <c r="F1610" s="1683" t="s">
        <v>4994</v>
      </c>
      <c r="G1610" s="1655">
        <v>0.16</v>
      </c>
      <c r="H1610" s="1641"/>
      <c r="I1610" s="2046">
        <v>1.0680000000000001</v>
      </c>
      <c r="J1610" s="1654">
        <v>65.709999999999994</v>
      </c>
      <c r="K1610" s="1641"/>
      <c r="L1610" s="1654">
        <v>70.180000000000007</v>
      </c>
      <c r="M1610" s="1641"/>
      <c r="N1610" s="1681"/>
      <c r="EW1610" s="2031"/>
      <c r="EX1610" s="1619"/>
      <c r="EY1610" s="1628"/>
      <c r="EZ1610" s="1628"/>
      <c r="FA1610" s="1628"/>
      <c r="FD1610" s="1864" t="s">
        <v>822</v>
      </c>
      <c r="FH1610" s="1628"/>
      <c r="FU1610" s="1678"/>
      <c r="FW1610" s="1678"/>
    </row>
    <row r="1611" spans="1:179" s="1484" customFormat="1" ht="15" x14ac:dyDescent="0.25">
      <c r="A1611" s="2033"/>
      <c r="B1611" s="1631" t="s">
        <v>5035</v>
      </c>
      <c r="C1611" s="2805" t="s">
        <v>5036</v>
      </c>
      <c r="D1611" s="2805"/>
      <c r="E1611" s="2805"/>
      <c r="F1611" s="1683" t="s">
        <v>4994</v>
      </c>
      <c r="G1611" s="1655">
        <v>3.06</v>
      </c>
      <c r="H1611" s="1641"/>
      <c r="I1611" s="2035">
        <v>20.4255</v>
      </c>
      <c r="J1611" s="1654">
        <v>3.29</v>
      </c>
      <c r="K1611" s="1641"/>
      <c r="L1611" s="1654">
        <v>67.2</v>
      </c>
      <c r="M1611" s="1641"/>
      <c r="N1611" s="1681"/>
      <c r="EW1611" s="2031"/>
      <c r="EX1611" s="1619"/>
      <c r="EY1611" s="1628"/>
      <c r="EZ1611" s="1628"/>
      <c r="FA1611" s="1628"/>
      <c r="FD1611" s="1864" t="s">
        <v>5036</v>
      </c>
      <c r="FH1611" s="1628"/>
      <c r="FU1611" s="1678"/>
      <c r="FW1611" s="1678"/>
    </row>
    <row r="1612" spans="1:179" s="1484" customFormat="1" ht="22.5" x14ac:dyDescent="0.25">
      <c r="A1612" s="2033"/>
      <c r="B1612" s="1631" t="s">
        <v>4938</v>
      </c>
      <c r="C1612" s="2805" t="s">
        <v>4939</v>
      </c>
      <c r="D1612" s="2805"/>
      <c r="E1612" s="2805"/>
      <c r="F1612" s="1683" t="s">
        <v>835</v>
      </c>
      <c r="G1612" s="2034">
        <v>306</v>
      </c>
      <c r="H1612" s="1641"/>
      <c r="I1612" s="1655">
        <v>2042.55</v>
      </c>
      <c r="J1612" s="1654">
        <v>50.19</v>
      </c>
      <c r="K1612" s="1641"/>
      <c r="L1612" s="1657">
        <v>102515.58</v>
      </c>
      <c r="M1612" s="1641"/>
      <c r="N1612" s="1681"/>
      <c r="EW1612" s="2031"/>
      <c r="EX1612" s="1619"/>
      <c r="EY1612" s="1628"/>
      <c r="EZ1612" s="1628"/>
      <c r="FA1612" s="1628"/>
      <c r="FD1612" s="1864" t="s">
        <v>4939</v>
      </c>
      <c r="FH1612" s="1628"/>
      <c r="FU1612" s="1678"/>
      <c r="FW1612" s="1678"/>
    </row>
    <row r="1613" spans="1:179" s="1484" customFormat="1" ht="15" x14ac:dyDescent="0.25">
      <c r="A1613" s="2032"/>
      <c r="B1613" s="1631" t="s">
        <v>190</v>
      </c>
      <c r="C1613" s="2805" t="s">
        <v>2523</v>
      </c>
      <c r="D1613" s="2805"/>
      <c r="E1613" s="2805"/>
      <c r="F1613" s="1683"/>
      <c r="G1613" s="1641"/>
      <c r="H1613" s="1641"/>
      <c r="I1613" s="1641"/>
      <c r="J1613" s="1654">
        <v>465.22</v>
      </c>
      <c r="K1613" s="1655">
        <v>1.25</v>
      </c>
      <c r="L1613" s="1657">
        <v>3881.68</v>
      </c>
      <c r="M1613" s="1655">
        <v>35.75</v>
      </c>
      <c r="N1613" s="1679">
        <v>138770.06</v>
      </c>
      <c r="EW1613" s="2031"/>
      <c r="EX1613" s="1619"/>
      <c r="EY1613" s="1628"/>
      <c r="EZ1613" s="1628"/>
      <c r="FA1613" s="1628"/>
      <c r="FE1613" s="1864" t="s">
        <v>2523</v>
      </c>
      <c r="FH1613" s="1628"/>
      <c r="FU1613" s="1678"/>
      <c r="FW1613" s="1678"/>
    </row>
    <row r="1614" spans="1:179" s="1484" customFormat="1" ht="15" x14ac:dyDescent="0.25">
      <c r="A1614" s="2032"/>
      <c r="B1614" s="1631" t="s">
        <v>639</v>
      </c>
      <c r="C1614" s="2805" t="s">
        <v>697</v>
      </c>
      <c r="D1614" s="2805"/>
      <c r="E1614" s="2805"/>
      <c r="F1614" s="1683"/>
      <c r="G1614" s="1641"/>
      <c r="H1614" s="1641"/>
      <c r="I1614" s="1641"/>
      <c r="J1614" s="1654">
        <v>22.11</v>
      </c>
      <c r="K1614" s="1641"/>
      <c r="L1614" s="1654">
        <v>147.58000000000001</v>
      </c>
      <c r="M1614" s="1655">
        <v>11.97</v>
      </c>
      <c r="N1614" s="1679">
        <v>1766.53</v>
      </c>
      <c r="EW1614" s="2031"/>
      <c r="EX1614" s="1619"/>
      <c r="EY1614" s="1628"/>
      <c r="EZ1614" s="1628"/>
      <c r="FA1614" s="1628"/>
      <c r="FE1614" s="1864" t="s">
        <v>697</v>
      </c>
      <c r="FH1614" s="1628"/>
      <c r="FU1614" s="1678"/>
      <c r="FW1614" s="1678"/>
    </row>
    <row r="1615" spans="1:179" s="1484" customFormat="1" ht="15" x14ac:dyDescent="0.25">
      <c r="A1615" s="2032"/>
      <c r="B1615" s="1631" t="s">
        <v>640</v>
      </c>
      <c r="C1615" s="2805" t="s">
        <v>2500</v>
      </c>
      <c r="D1615" s="2805"/>
      <c r="E1615" s="2805"/>
      <c r="F1615" s="1683"/>
      <c r="G1615" s="1641"/>
      <c r="H1615" s="1641"/>
      <c r="I1615" s="1641"/>
      <c r="J1615" s="1654">
        <v>2.52</v>
      </c>
      <c r="K1615" s="1641"/>
      <c r="L1615" s="1654">
        <v>16.82</v>
      </c>
      <c r="M1615" s="1655">
        <v>35.75</v>
      </c>
      <c r="N1615" s="2039">
        <v>601.32000000000005</v>
      </c>
      <c r="EW1615" s="2031"/>
      <c r="EX1615" s="1619"/>
      <c r="EY1615" s="1628"/>
      <c r="EZ1615" s="1628"/>
      <c r="FA1615" s="1628"/>
      <c r="FE1615" s="1864" t="s">
        <v>2500</v>
      </c>
      <c r="FH1615" s="1628"/>
      <c r="FU1615" s="1678"/>
      <c r="FW1615" s="1678"/>
    </row>
    <row r="1616" spans="1:179" s="1484" customFormat="1" ht="15" x14ac:dyDescent="0.25">
      <c r="A1616" s="2032"/>
      <c r="B1616" s="1631" t="s">
        <v>232</v>
      </c>
      <c r="C1616" s="2805" t="s">
        <v>829</v>
      </c>
      <c r="D1616" s="2805"/>
      <c r="E1616" s="2805"/>
      <c r="F1616" s="1683"/>
      <c r="G1616" s="1641"/>
      <c r="H1616" s="1641"/>
      <c r="I1616" s="1641"/>
      <c r="J1616" s="1657">
        <v>15358.14</v>
      </c>
      <c r="K1616" s="1641"/>
      <c r="L1616" s="1657">
        <v>102515.58</v>
      </c>
      <c r="M1616" s="1655">
        <v>9.14</v>
      </c>
      <c r="N1616" s="1679">
        <v>936992.4</v>
      </c>
      <c r="EW1616" s="2031"/>
      <c r="EX1616" s="1619"/>
      <c r="EY1616" s="1628"/>
      <c r="EZ1616" s="1628"/>
      <c r="FA1616" s="1628"/>
      <c r="FE1616" s="1864" t="s">
        <v>829</v>
      </c>
      <c r="FH1616" s="1628"/>
      <c r="FU1616" s="1678"/>
      <c r="FW1616" s="1678"/>
    </row>
    <row r="1617" spans="1:179" s="1484" customFormat="1" ht="15" x14ac:dyDescent="0.25">
      <c r="A1617" s="2033"/>
      <c r="B1617" s="1631"/>
      <c r="C1617" s="2805" t="s">
        <v>2524</v>
      </c>
      <c r="D1617" s="2805"/>
      <c r="E1617" s="2805"/>
      <c r="F1617" s="1683" t="s">
        <v>807</v>
      </c>
      <c r="G1617" s="1655">
        <v>54.99</v>
      </c>
      <c r="H1617" s="1641"/>
      <c r="I1617" s="2042">
        <v>367.05824999999999</v>
      </c>
      <c r="J1617" s="1640"/>
      <c r="K1617" s="1641"/>
      <c r="L1617" s="1640"/>
      <c r="M1617" s="1641"/>
      <c r="N1617" s="1681"/>
      <c r="EW1617" s="2031"/>
      <c r="EX1617" s="1619"/>
      <c r="EY1617" s="1628"/>
      <c r="EZ1617" s="1628"/>
      <c r="FA1617" s="1628"/>
      <c r="FF1617" s="1864" t="s">
        <v>2524</v>
      </c>
      <c r="FH1617" s="1628"/>
      <c r="FU1617" s="1678"/>
      <c r="FW1617" s="1678"/>
    </row>
    <row r="1618" spans="1:179" s="1484" customFormat="1" ht="15" x14ac:dyDescent="0.25">
      <c r="A1618" s="2033"/>
      <c r="B1618" s="1631"/>
      <c r="C1618" s="2805" t="s">
        <v>2501</v>
      </c>
      <c r="D1618" s="2805"/>
      <c r="E1618" s="2805"/>
      <c r="F1618" s="1683" t="s">
        <v>807</v>
      </c>
      <c r="G1618" s="1655">
        <v>0.21</v>
      </c>
      <c r="H1618" s="1641"/>
      <c r="I1618" s="2042">
        <v>1.4017500000000001</v>
      </c>
      <c r="J1618" s="1640"/>
      <c r="K1618" s="1641"/>
      <c r="L1618" s="1640"/>
      <c r="M1618" s="1641"/>
      <c r="N1618" s="1681"/>
      <c r="EW1618" s="2031"/>
      <c r="EX1618" s="1619"/>
      <c r="EY1618" s="1628"/>
      <c r="EZ1618" s="1628"/>
      <c r="FA1618" s="1628"/>
      <c r="FF1618" s="1864" t="s">
        <v>2501</v>
      </c>
      <c r="FH1618" s="1628"/>
      <c r="FU1618" s="1678"/>
      <c r="FW1618" s="1678"/>
    </row>
    <row r="1619" spans="1:179" s="1484" customFormat="1" ht="15" x14ac:dyDescent="0.25">
      <c r="A1619" s="2032"/>
      <c r="B1619" s="1631"/>
      <c r="C1619" s="2917" t="s">
        <v>2502</v>
      </c>
      <c r="D1619" s="2917"/>
      <c r="E1619" s="2917"/>
      <c r="F1619" s="2036"/>
      <c r="G1619" s="2037"/>
      <c r="H1619" s="2037"/>
      <c r="I1619" s="2037"/>
      <c r="J1619" s="2038">
        <v>15845.47</v>
      </c>
      <c r="K1619" s="2037"/>
      <c r="L1619" s="2038">
        <v>106544.84</v>
      </c>
      <c r="M1619" s="2037"/>
      <c r="N1619" s="2068">
        <v>1077528.99</v>
      </c>
      <c r="EW1619" s="2031"/>
      <c r="EX1619" s="1619"/>
      <c r="EY1619" s="1628"/>
      <c r="EZ1619" s="1628"/>
      <c r="FA1619" s="1628"/>
      <c r="FG1619" s="1864" t="s">
        <v>2502</v>
      </c>
      <c r="FH1619" s="1628"/>
      <c r="FU1619" s="1678"/>
      <c r="FW1619" s="1678"/>
    </row>
    <row r="1620" spans="1:179" s="1484" customFormat="1" ht="15" x14ac:dyDescent="0.25">
      <c r="A1620" s="2033" t="s">
        <v>8229</v>
      </c>
      <c r="B1620" s="1631"/>
      <c r="C1620" s="2805" t="s">
        <v>7964</v>
      </c>
      <c r="D1620" s="2805"/>
      <c r="E1620" s="2805"/>
      <c r="F1620" s="1683" t="s">
        <v>5928</v>
      </c>
      <c r="G1620" s="1641"/>
      <c r="H1620" s="1641"/>
      <c r="I1620" s="1641"/>
      <c r="J1620" s="1640"/>
      <c r="K1620" s="1641"/>
      <c r="L1620" s="1654">
        <v>4.21</v>
      </c>
      <c r="M1620" s="1641"/>
      <c r="N1620" s="2039">
        <v>150.51</v>
      </c>
      <c r="EW1620" s="2031"/>
      <c r="EX1620" s="1619"/>
      <c r="EY1620" s="1628"/>
      <c r="EZ1620" s="1628"/>
      <c r="FA1620" s="1628"/>
      <c r="FF1620" s="1864" t="s">
        <v>7964</v>
      </c>
      <c r="FH1620" s="1628"/>
      <c r="FU1620" s="1678"/>
      <c r="FW1620" s="1678"/>
    </row>
    <row r="1621" spans="1:179" s="1484" customFormat="1" ht="15" x14ac:dyDescent="0.25">
      <c r="A1621" s="2033"/>
      <c r="B1621" s="1631"/>
      <c r="C1621" s="2805" t="s">
        <v>7965</v>
      </c>
      <c r="D1621" s="2805"/>
      <c r="E1621" s="2805"/>
      <c r="F1621" s="1683" t="s">
        <v>5928</v>
      </c>
      <c r="G1621" s="1641"/>
      <c r="H1621" s="1641"/>
      <c r="I1621" s="1641"/>
      <c r="J1621" s="1654">
        <v>2.52</v>
      </c>
      <c r="K1621" s="1655">
        <v>0.25</v>
      </c>
      <c r="L1621" s="1654">
        <v>4.21</v>
      </c>
      <c r="M1621" s="1655">
        <v>35.75</v>
      </c>
      <c r="N1621" s="2039">
        <v>150.51</v>
      </c>
      <c r="EW1621" s="2031"/>
      <c r="EX1621" s="1619"/>
      <c r="EY1621" s="1628"/>
      <c r="EZ1621" s="1628"/>
      <c r="FA1621" s="1628"/>
      <c r="FF1621" s="1864" t="s">
        <v>7965</v>
      </c>
      <c r="FH1621" s="1628"/>
      <c r="FU1621" s="1678"/>
      <c r="FW1621" s="1678"/>
    </row>
    <row r="1622" spans="1:179" s="1484" customFormat="1" ht="15" x14ac:dyDescent="0.25">
      <c r="A1622" s="2033"/>
      <c r="B1622" s="1631"/>
      <c r="C1622" s="2805" t="s">
        <v>867</v>
      </c>
      <c r="D1622" s="2805"/>
      <c r="E1622" s="2805"/>
      <c r="F1622" s="1683"/>
      <c r="G1622" s="1641"/>
      <c r="H1622" s="1641"/>
      <c r="I1622" s="1641"/>
      <c r="J1622" s="1640"/>
      <c r="K1622" s="1641"/>
      <c r="L1622" s="1657">
        <v>3902.71</v>
      </c>
      <c r="M1622" s="1641"/>
      <c r="N1622" s="1679">
        <v>139521.89000000001</v>
      </c>
      <c r="EW1622" s="2031"/>
      <c r="EX1622" s="1619"/>
      <c r="EY1622" s="1628"/>
      <c r="EZ1622" s="1628"/>
      <c r="FA1622" s="1628"/>
      <c r="FF1622" s="1864" t="s">
        <v>867</v>
      </c>
      <c r="FH1622" s="1628"/>
      <c r="FU1622" s="1678"/>
      <c r="FW1622" s="1678"/>
    </row>
    <row r="1623" spans="1:179" s="1484" customFormat="1" ht="15" x14ac:dyDescent="0.25">
      <c r="A1623" s="2033"/>
      <c r="B1623" s="1631" t="s">
        <v>8054</v>
      </c>
      <c r="C1623" s="2805" t="s">
        <v>8055</v>
      </c>
      <c r="D1623" s="2805"/>
      <c r="E1623" s="2805"/>
      <c r="F1623" s="1683" t="s">
        <v>636</v>
      </c>
      <c r="G1623" s="2034">
        <v>112</v>
      </c>
      <c r="H1623" s="1641"/>
      <c r="I1623" s="2034">
        <v>112</v>
      </c>
      <c r="J1623" s="1640"/>
      <c r="K1623" s="1641"/>
      <c r="L1623" s="1657">
        <v>4371.04</v>
      </c>
      <c r="M1623" s="1641"/>
      <c r="N1623" s="1679">
        <v>156264.51999999999</v>
      </c>
      <c r="EW1623" s="2031"/>
      <c r="EX1623" s="1619"/>
      <c r="EY1623" s="1628"/>
      <c r="EZ1623" s="1628"/>
      <c r="FA1623" s="1628"/>
      <c r="FF1623" s="1864" t="s">
        <v>8055</v>
      </c>
      <c r="FH1623" s="1628"/>
      <c r="FU1623" s="1678"/>
      <c r="FW1623" s="1678"/>
    </row>
    <row r="1624" spans="1:179" s="1484" customFormat="1" ht="15" x14ac:dyDescent="0.25">
      <c r="A1624" s="2033"/>
      <c r="B1624" s="1631" t="s">
        <v>8056</v>
      </c>
      <c r="C1624" s="2805" t="s">
        <v>8057</v>
      </c>
      <c r="D1624" s="2805"/>
      <c r="E1624" s="2805"/>
      <c r="F1624" s="1683" t="s">
        <v>636</v>
      </c>
      <c r="G1624" s="2034">
        <v>65</v>
      </c>
      <c r="H1624" s="1641"/>
      <c r="I1624" s="2034">
        <v>65</v>
      </c>
      <c r="J1624" s="1640"/>
      <c r="K1624" s="1641"/>
      <c r="L1624" s="1657">
        <v>2536.7600000000002</v>
      </c>
      <c r="M1624" s="1641"/>
      <c r="N1624" s="1679">
        <v>90689.23</v>
      </c>
      <c r="EW1624" s="2031"/>
      <c r="EX1624" s="1619"/>
      <c r="EY1624" s="1628"/>
      <c r="EZ1624" s="1628"/>
      <c r="FA1624" s="1628"/>
      <c r="FF1624" s="1864" t="s">
        <v>8057</v>
      </c>
      <c r="FH1624" s="1628"/>
      <c r="FU1624" s="1678"/>
      <c r="FW1624" s="1678"/>
    </row>
    <row r="1625" spans="1:179" s="1484" customFormat="1" ht="15" x14ac:dyDescent="0.25">
      <c r="A1625" s="1650"/>
      <c r="B1625" s="1651"/>
      <c r="C1625" s="2803" t="s">
        <v>872</v>
      </c>
      <c r="D1625" s="2803"/>
      <c r="E1625" s="2803"/>
      <c r="F1625" s="1621"/>
      <c r="G1625" s="1622"/>
      <c r="H1625" s="1622"/>
      <c r="I1625" s="1622"/>
      <c r="J1625" s="1625"/>
      <c r="K1625" s="1622"/>
      <c r="L1625" s="1648">
        <v>113456.85</v>
      </c>
      <c r="M1625" s="2037"/>
      <c r="N1625" s="1649">
        <v>1324633.25</v>
      </c>
      <c r="EW1625" s="2031"/>
      <c r="EX1625" s="1619"/>
      <c r="EY1625" s="1628"/>
      <c r="EZ1625" s="1628"/>
      <c r="FA1625" s="1628"/>
      <c r="FH1625" s="1628" t="s">
        <v>872</v>
      </c>
      <c r="FU1625" s="1678"/>
      <c r="FW1625" s="1678"/>
    </row>
    <row r="1626" spans="1:179" s="1484" customFormat="1" ht="56.25" x14ac:dyDescent="0.25">
      <c r="A1626" s="1620" t="s">
        <v>8230</v>
      </c>
      <c r="B1626" s="1863" t="s">
        <v>8196</v>
      </c>
      <c r="C1626" s="2803" t="s">
        <v>4975</v>
      </c>
      <c r="D1626" s="2803"/>
      <c r="E1626" s="2803"/>
      <c r="F1626" s="1621" t="s">
        <v>801</v>
      </c>
      <c r="G1626" s="1622">
        <v>0.26700000000000002</v>
      </c>
      <c r="H1626" s="1623">
        <v>1</v>
      </c>
      <c r="I1626" s="2045">
        <v>0.26700000000000002</v>
      </c>
      <c r="J1626" s="1648">
        <v>11820.72</v>
      </c>
      <c r="K1626" s="1622"/>
      <c r="L1626" s="1648">
        <v>3156.13</v>
      </c>
      <c r="M1626" s="1687">
        <v>9.14</v>
      </c>
      <c r="N1626" s="1649">
        <v>28847.03</v>
      </c>
      <c r="EW1626" s="2031"/>
      <c r="EX1626" s="1619"/>
      <c r="EY1626" s="1628" t="s">
        <v>4975</v>
      </c>
      <c r="EZ1626" s="1628" t="s">
        <v>588</v>
      </c>
      <c r="FA1626" s="1628" t="s">
        <v>588</v>
      </c>
      <c r="FH1626" s="1628"/>
      <c r="FU1626" s="1678"/>
      <c r="FW1626" s="1678"/>
    </row>
    <row r="1627" spans="1:179" s="1484" customFormat="1" ht="15" x14ac:dyDescent="0.25">
      <c r="A1627" s="1650"/>
      <c r="B1627" s="1651"/>
      <c r="C1627" s="2805" t="s">
        <v>6075</v>
      </c>
      <c r="D1627" s="2805"/>
      <c r="E1627" s="2805"/>
      <c r="F1627" s="2805"/>
      <c r="G1627" s="2805"/>
      <c r="H1627" s="2805"/>
      <c r="I1627" s="2805"/>
      <c r="J1627" s="2805"/>
      <c r="K1627" s="2805"/>
      <c r="L1627" s="2805"/>
      <c r="M1627" s="2805"/>
      <c r="N1627" s="2806"/>
      <c r="EW1627" s="2031"/>
      <c r="EX1627" s="1619"/>
      <c r="EY1627" s="1628"/>
      <c r="EZ1627" s="1628"/>
      <c r="FA1627" s="1628"/>
      <c r="FH1627" s="1628"/>
      <c r="FI1627" s="1864" t="s">
        <v>6075</v>
      </c>
      <c r="FJ1627" s="1864" t="s">
        <v>588</v>
      </c>
      <c r="FK1627" s="1864" t="s">
        <v>588</v>
      </c>
      <c r="FL1627" s="1864" t="s">
        <v>588</v>
      </c>
      <c r="FM1627" s="1864" t="s">
        <v>588</v>
      </c>
      <c r="FN1627" s="1864" t="s">
        <v>588</v>
      </c>
      <c r="FO1627" s="1864" t="s">
        <v>588</v>
      </c>
      <c r="FP1627" s="1864" t="s">
        <v>588</v>
      </c>
      <c r="FQ1627" s="1864" t="s">
        <v>588</v>
      </c>
      <c r="FR1627" s="1864" t="s">
        <v>588</v>
      </c>
      <c r="FS1627" s="1864" t="s">
        <v>588</v>
      </c>
      <c r="FT1627" s="1864" t="s">
        <v>588</v>
      </c>
      <c r="FU1627" s="1678"/>
      <c r="FW1627" s="1678"/>
    </row>
    <row r="1628" spans="1:179" s="1484" customFormat="1" ht="15" x14ac:dyDescent="0.25">
      <c r="A1628" s="1650"/>
      <c r="B1628" s="1651"/>
      <c r="C1628" s="2803" t="s">
        <v>872</v>
      </c>
      <c r="D1628" s="2803"/>
      <c r="E1628" s="2803"/>
      <c r="F1628" s="1621"/>
      <c r="G1628" s="1622"/>
      <c r="H1628" s="1622"/>
      <c r="I1628" s="1622"/>
      <c r="J1628" s="1625"/>
      <c r="K1628" s="1622"/>
      <c r="L1628" s="1648">
        <v>3156.13</v>
      </c>
      <c r="M1628" s="2037"/>
      <c r="N1628" s="1649">
        <v>28847.03</v>
      </c>
      <c r="EW1628" s="2031"/>
      <c r="EX1628" s="1619"/>
      <c r="EY1628" s="1628"/>
      <c r="EZ1628" s="1628"/>
      <c r="FA1628" s="1628"/>
      <c r="FH1628" s="1628" t="s">
        <v>872</v>
      </c>
      <c r="FU1628" s="1678"/>
      <c r="FW1628" s="1678"/>
    </row>
    <row r="1629" spans="1:179" s="1484" customFormat="1" ht="15" x14ac:dyDescent="0.25">
      <c r="A1629" s="1620" t="s">
        <v>8231</v>
      </c>
      <c r="B1629" s="1863" t="s">
        <v>8197</v>
      </c>
      <c r="C1629" s="2803" t="s">
        <v>8198</v>
      </c>
      <c r="D1629" s="2803"/>
      <c r="E1629" s="2803"/>
      <c r="F1629" s="1621" t="s">
        <v>835</v>
      </c>
      <c r="G1629" s="1622">
        <v>133.5</v>
      </c>
      <c r="H1629" s="1623">
        <v>1</v>
      </c>
      <c r="I1629" s="1624">
        <v>133.5</v>
      </c>
      <c r="J1629" s="2040">
        <v>71.2</v>
      </c>
      <c r="K1629" s="1622"/>
      <c r="L1629" s="1648">
        <v>9505.2000000000007</v>
      </c>
      <c r="M1629" s="1687">
        <v>9.14</v>
      </c>
      <c r="N1629" s="1649">
        <v>86877.53</v>
      </c>
      <c r="EW1629" s="2031"/>
      <c r="EX1629" s="1619"/>
      <c r="EY1629" s="1628" t="s">
        <v>8198</v>
      </c>
      <c r="EZ1629" s="1628" t="s">
        <v>588</v>
      </c>
      <c r="FA1629" s="1628" t="s">
        <v>588</v>
      </c>
      <c r="FH1629" s="1628"/>
      <c r="FU1629" s="1678"/>
      <c r="FW1629" s="1678"/>
    </row>
    <row r="1630" spans="1:179" s="1484" customFormat="1" ht="15" x14ac:dyDescent="0.25">
      <c r="A1630" s="1650"/>
      <c r="B1630" s="1651"/>
      <c r="C1630" s="2805" t="s">
        <v>8640</v>
      </c>
      <c r="D1630" s="2805"/>
      <c r="E1630" s="2805"/>
      <c r="F1630" s="2805"/>
      <c r="G1630" s="2805"/>
      <c r="H1630" s="2805"/>
      <c r="I1630" s="2805"/>
      <c r="J1630" s="2805"/>
      <c r="K1630" s="2805"/>
      <c r="L1630" s="2805"/>
      <c r="M1630" s="2805"/>
      <c r="N1630" s="2806"/>
      <c r="EW1630" s="2031"/>
      <c r="EX1630" s="1619"/>
      <c r="EY1630" s="1628"/>
      <c r="EZ1630" s="1628"/>
      <c r="FA1630" s="1628"/>
      <c r="FH1630" s="1628"/>
      <c r="FI1630" s="1864" t="s">
        <v>8640</v>
      </c>
      <c r="FJ1630" s="1864" t="s">
        <v>588</v>
      </c>
      <c r="FK1630" s="1864" t="s">
        <v>588</v>
      </c>
      <c r="FL1630" s="1864" t="s">
        <v>588</v>
      </c>
      <c r="FM1630" s="1864" t="s">
        <v>588</v>
      </c>
      <c r="FN1630" s="1864" t="s">
        <v>588</v>
      </c>
      <c r="FO1630" s="1864" t="s">
        <v>588</v>
      </c>
      <c r="FP1630" s="1864" t="s">
        <v>588</v>
      </c>
      <c r="FQ1630" s="1864" t="s">
        <v>588</v>
      </c>
      <c r="FR1630" s="1864" t="s">
        <v>588</v>
      </c>
      <c r="FS1630" s="1864" t="s">
        <v>588</v>
      </c>
      <c r="FT1630" s="1864" t="s">
        <v>588</v>
      </c>
      <c r="FU1630" s="1678"/>
      <c r="FW1630" s="1678"/>
    </row>
    <row r="1631" spans="1:179" s="1484" customFormat="1" ht="15" x14ac:dyDescent="0.25">
      <c r="A1631" s="1650"/>
      <c r="B1631" s="1651"/>
      <c r="C1631" s="2803" t="s">
        <v>872</v>
      </c>
      <c r="D1631" s="2803"/>
      <c r="E1631" s="2803"/>
      <c r="F1631" s="1621"/>
      <c r="G1631" s="1622"/>
      <c r="H1631" s="1622"/>
      <c r="I1631" s="1622"/>
      <c r="J1631" s="1625"/>
      <c r="K1631" s="1622"/>
      <c r="L1631" s="1648">
        <v>9505.2000000000007</v>
      </c>
      <c r="M1631" s="2037"/>
      <c r="N1631" s="1649">
        <v>86877.53</v>
      </c>
      <c r="EW1631" s="2031"/>
      <c r="EX1631" s="1619"/>
      <c r="EY1631" s="1628"/>
      <c r="EZ1631" s="1628"/>
      <c r="FA1631" s="1628"/>
      <c r="FH1631" s="1628" t="s">
        <v>872</v>
      </c>
      <c r="FU1631" s="1678"/>
      <c r="FW1631" s="1678"/>
    </row>
    <row r="1632" spans="1:179" s="1484" customFormat="1" ht="45" x14ac:dyDescent="0.25">
      <c r="A1632" s="1620" t="s">
        <v>8232</v>
      </c>
      <c r="B1632" s="1863" t="s">
        <v>8820</v>
      </c>
      <c r="C1632" s="2803" t="s">
        <v>8199</v>
      </c>
      <c r="D1632" s="2803"/>
      <c r="E1632" s="2803"/>
      <c r="F1632" s="1621" t="s">
        <v>2555</v>
      </c>
      <c r="G1632" s="1622">
        <v>6.6749999999999998</v>
      </c>
      <c r="H1632" s="1623">
        <v>1</v>
      </c>
      <c r="I1632" s="2045">
        <v>6.6749999999999998</v>
      </c>
      <c r="J1632" s="1625"/>
      <c r="K1632" s="1622"/>
      <c r="L1632" s="1625"/>
      <c r="M1632" s="1622"/>
      <c r="N1632" s="1627"/>
      <c r="EW1632" s="2031"/>
      <c r="EX1632" s="1619"/>
      <c r="EY1632" s="1628" t="s">
        <v>8199</v>
      </c>
      <c r="EZ1632" s="1628" t="s">
        <v>588</v>
      </c>
      <c r="FA1632" s="1628" t="s">
        <v>588</v>
      </c>
      <c r="FH1632" s="1628"/>
      <c r="FU1632" s="1678"/>
      <c r="FW1632" s="1678"/>
    </row>
    <row r="1633" spans="1:179" s="1484" customFormat="1" ht="15" x14ac:dyDescent="0.25">
      <c r="A1633" s="1629"/>
      <c r="B1633" s="1862"/>
      <c r="C1633" s="2805" t="s">
        <v>8819</v>
      </c>
      <c r="D1633" s="2805"/>
      <c r="E1633" s="2805"/>
      <c r="F1633" s="2805"/>
      <c r="G1633" s="2805"/>
      <c r="H1633" s="2805"/>
      <c r="I1633" s="2805"/>
      <c r="J1633" s="2805"/>
      <c r="K1633" s="2805"/>
      <c r="L1633" s="2805"/>
      <c r="M1633" s="2805"/>
      <c r="N1633" s="2806"/>
      <c r="EW1633" s="2031"/>
      <c r="EX1633" s="1619"/>
      <c r="EY1633" s="1628"/>
      <c r="EZ1633" s="1628"/>
      <c r="FA1633" s="1628"/>
      <c r="FB1633" s="1864" t="s">
        <v>8819</v>
      </c>
      <c r="FH1633" s="1628"/>
      <c r="FU1633" s="1678"/>
      <c r="FW1633" s="1678"/>
    </row>
    <row r="1634" spans="1:179" s="1484" customFormat="1" ht="22.5" x14ac:dyDescent="0.25">
      <c r="A1634" s="1630"/>
      <c r="B1634" s="1631" t="s">
        <v>6062</v>
      </c>
      <c r="C1634" s="2809" t="s">
        <v>6063</v>
      </c>
      <c r="D1634" s="2809"/>
      <c r="E1634" s="2809"/>
      <c r="F1634" s="2809"/>
      <c r="G1634" s="2809"/>
      <c r="H1634" s="2809"/>
      <c r="I1634" s="2809"/>
      <c r="J1634" s="2809"/>
      <c r="K1634" s="2809"/>
      <c r="L1634" s="2809"/>
      <c r="M1634" s="2809"/>
      <c r="N1634" s="2810"/>
      <c r="EW1634" s="2031"/>
      <c r="EX1634" s="1619"/>
      <c r="EY1634" s="1628"/>
      <c r="EZ1634" s="1628"/>
      <c r="FA1634" s="1628"/>
      <c r="FC1634" s="1864" t="s">
        <v>6063</v>
      </c>
      <c r="FH1634" s="1628"/>
      <c r="FU1634" s="1678"/>
      <c r="FW1634" s="1678"/>
    </row>
    <row r="1635" spans="1:179" s="1484" customFormat="1" ht="15" x14ac:dyDescent="0.25">
      <c r="A1635" s="1630"/>
      <c r="B1635" s="1631" t="s">
        <v>8142</v>
      </c>
      <c r="C1635" s="2809" t="s">
        <v>8233</v>
      </c>
      <c r="D1635" s="2809"/>
      <c r="E1635" s="2809"/>
      <c r="F1635" s="2809"/>
      <c r="G1635" s="2809"/>
      <c r="H1635" s="2809"/>
      <c r="I1635" s="2809"/>
      <c r="J1635" s="2809"/>
      <c r="K1635" s="2809"/>
      <c r="L1635" s="2809"/>
      <c r="M1635" s="2809"/>
      <c r="N1635" s="2810"/>
      <c r="EW1635" s="2031"/>
      <c r="EX1635" s="1619"/>
      <c r="EY1635" s="1628"/>
      <c r="EZ1635" s="1628"/>
      <c r="FA1635" s="1628"/>
      <c r="FC1635" s="1864" t="s">
        <v>8233</v>
      </c>
      <c r="FH1635" s="1628"/>
      <c r="FU1635" s="1678"/>
      <c r="FW1635" s="1678"/>
    </row>
    <row r="1636" spans="1:179" s="1484" customFormat="1" ht="22.5" x14ac:dyDescent="0.25">
      <c r="A1636" s="2033"/>
      <c r="B1636" s="1631" t="s">
        <v>3260</v>
      </c>
      <c r="C1636" s="2805" t="s">
        <v>8636</v>
      </c>
      <c r="D1636" s="2805"/>
      <c r="E1636" s="2805"/>
      <c r="F1636" s="1683" t="s">
        <v>807</v>
      </c>
      <c r="G1636" s="1655">
        <v>3.84</v>
      </c>
      <c r="H1636" s="2034">
        <v>2</v>
      </c>
      <c r="I1636" s="2046">
        <v>51.264000000000003</v>
      </c>
      <c r="J1636" s="1654">
        <v>9.18</v>
      </c>
      <c r="K1636" s="1655">
        <v>1.25</v>
      </c>
      <c r="L1636" s="1654">
        <v>588.25</v>
      </c>
      <c r="M1636" s="1641"/>
      <c r="N1636" s="1681"/>
      <c r="EW1636" s="2031"/>
      <c r="EX1636" s="1619"/>
      <c r="EY1636" s="1628"/>
      <c r="EZ1636" s="1628"/>
      <c r="FA1636" s="1628"/>
      <c r="FD1636" s="1864" t="s">
        <v>8636</v>
      </c>
      <c r="FH1636" s="1628"/>
      <c r="FU1636" s="1678"/>
      <c r="FW1636" s="1678"/>
    </row>
    <row r="1637" spans="1:179" s="1484" customFormat="1" ht="22.5" x14ac:dyDescent="0.25">
      <c r="A1637" s="2033"/>
      <c r="B1637" s="1631" t="s">
        <v>5010</v>
      </c>
      <c r="C1637" s="2805" t="s">
        <v>5011</v>
      </c>
      <c r="D1637" s="2805"/>
      <c r="E1637" s="2805"/>
      <c r="F1637" s="1683" t="s">
        <v>4994</v>
      </c>
      <c r="G1637" s="1655">
        <v>0.01</v>
      </c>
      <c r="H1637" s="2034">
        <v>2</v>
      </c>
      <c r="I1637" s="2035">
        <v>0.13350000000000001</v>
      </c>
      <c r="J1637" s="1654">
        <v>31.26</v>
      </c>
      <c r="K1637" s="1641"/>
      <c r="L1637" s="1654">
        <v>4.17</v>
      </c>
      <c r="M1637" s="1641"/>
      <c r="N1637" s="1681"/>
      <c r="EW1637" s="2031"/>
      <c r="EX1637" s="1619"/>
      <c r="EY1637" s="1628"/>
      <c r="EZ1637" s="1628"/>
      <c r="FA1637" s="1628"/>
      <c r="FD1637" s="1864" t="s">
        <v>5011</v>
      </c>
      <c r="FH1637" s="1628"/>
      <c r="FU1637" s="1678"/>
      <c r="FW1637" s="1678"/>
    </row>
    <row r="1638" spans="1:179" s="1484" customFormat="1" ht="15" x14ac:dyDescent="0.25">
      <c r="A1638" s="2033"/>
      <c r="B1638" s="1631" t="s">
        <v>821</v>
      </c>
      <c r="C1638" s="2805" t="s">
        <v>822</v>
      </c>
      <c r="D1638" s="2805"/>
      <c r="E1638" s="2805"/>
      <c r="F1638" s="1683" t="s">
        <v>4994</v>
      </c>
      <c r="G1638" s="1655">
        <v>7.0000000000000007E-2</v>
      </c>
      <c r="H1638" s="2034">
        <v>2</v>
      </c>
      <c r="I1638" s="2035">
        <v>0.9345</v>
      </c>
      <c r="J1638" s="1654">
        <v>65.709999999999994</v>
      </c>
      <c r="K1638" s="1641"/>
      <c r="L1638" s="1654">
        <v>61.41</v>
      </c>
      <c r="M1638" s="1641"/>
      <c r="N1638" s="1681"/>
      <c r="EW1638" s="2031"/>
      <c r="EX1638" s="1619"/>
      <c r="EY1638" s="1628"/>
      <c r="EZ1638" s="1628"/>
      <c r="FA1638" s="1628"/>
      <c r="FD1638" s="1864" t="s">
        <v>822</v>
      </c>
      <c r="FH1638" s="1628"/>
      <c r="FU1638" s="1678"/>
      <c r="FW1638" s="1678"/>
    </row>
    <row r="1639" spans="1:179" s="1484" customFormat="1" ht="22.5" x14ac:dyDescent="0.25">
      <c r="A1639" s="2033"/>
      <c r="B1639" s="1631" t="s">
        <v>4938</v>
      </c>
      <c r="C1639" s="2805" t="s">
        <v>4939</v>
      </c>
      <c r="D1639" s="2805"/>
      <c r="E1639" s="2805"/>
      <c r="F1639" s="1683" t="s">
        <v>835</v>
      </c>
      <c r="G1639" s="1953">
        <v>71.5</v>
      </c>
      <c r="H1639" s="2034">
        <v>2</v>
      </c>
      <c r="I1639" s="2046">
        <v>954.52499999999998</v>
      </c>
      <c r="J1639" s="1654">
        <v>50.19</v>
      </c>
      <c r="K1639" s="1641"/>
      <c r="L1639" s="1657">
        <v>47907.61</v>
      </c>
      <c r="M1639" s="1641"/>
      <c r="N1639" s="1681"/>
      <c r="EW1639" s="2031"/>
      <c r="EX1639" s="1619"/>
      <c r="EY1639" s="1628"/>
      <c r="EZ1639" s="1628"/>
      <c r="FA1639" s="1628"/>
      <c r="FD1639" s="1864" t="s">
        <v>4939</v>
      </c>
      <c r="FH1639" s="1628"/>
      <c r="FU1639" s="1678"/>
      <c r="FW1639" s="1678"/>
    </row>
    <row r="1640" spans="1:179" s="1484" customFormat="1" ht="15" x14ac:dyDescent="0.25">
      <c r="A1640" s="2032"/>
      <c r="B1640" s="1631" t="s">
        <v>190</v>
      </c>
      <c r="C1640" s="2805" t="s">
        <v>2523</v>
      </c>
      <c r="D1640" s="2805"/>
      <c r="E1640" s="2805"/>
      <c r="F1640" s="1683"/>
      <c r="G1640" s="1641"/>
      <c r="H1640" s="1641"/>
      <c r="I1640" s="1641"/>
      <c r="J1640" s="1654">
        <v>35.25</v>
      </c>
      <c r="K1640" s="1953">
        <v>2.5</v>
      </c>
      <c r="L1640" s="1654">
        <v>588.23</v>
      </c>
      <c r="M1640" s="1655">
        <v>35.75</v>
      </c>
      <c r="N1640" s="1679">
        <v>21029.22</v>
      </c>
      <c r="EW1640" s="2031"/>
      <c r="EX1640" s="1619"/>
      <c r="EY1640" s="1628"/>
      <c r="EZ1640" s="1628"/>
      <c r="FA1640" s="1628"/>
      <c r="FE1640" s="1864" t="s">
        <v>2523</v>
      </c>
      <c r="FH1640" s="1628"/>
      <c r="FU1640" s="1678"/>
      <c r="FW1640" s="1678"/>
    </row>
    <row r="1641" spans="1:179" s="1484" customFormat="1" ht="15" x14ac:dyDescent="0.25">
      <c r="A1641" s="2032"/>
      <c r="B1641" s="1631" t="s">
        <v>639</v>
      </c>
      <c r="C1641" s="2805" t="s">
        <v>697</v>
      </c>
      <c r="D1641" s="2805"/>
      <c r="E1641" s="2805"/>
      <c r="F1641" s="1683"/>
      <c r="G1641" s="1641"/>
      <c r="H1641" s="1641"/>
      <c r="I1641" s="1641"/>
      <c r="J1641" s="1654">
        <v>4.91</v>
      </c>
      <c r="K1641" s="2034">
        <v>2</v>
      </c>
      <c r="L1641" s="1654">
        <v>65.55</v>
      </c>
      <c r="M1641" s="1655">
        <v>11.97</v>
      </c>
      <c r="N1641" s="2039">
        <v>784.63</v>
      </c>
      <c r="EW1641" s="2031"/>
      <c r="EX1641" s="1619"/>
      <c r="EY1641" s="1628"/>
      <c r="EZ1641" s="1628"/>
      <c r="FA1641" s="1628"/>
      <c r="FE1641" s="1864" t="s">
        <v>697</v>
      </c>
      <c r="FH1641" s="1628"/>
      <c r="FU1641" s="1678"/>
      <c r="FW1641" s="1678"/>
    </row>
    <row r="1642" spans="1:179" s="1484" customFormat="1" ht="15" x14ac:dyDescent="0.25">
      <c r="A1642" s="2032"/>
      <c r="B1642" s="1631" t="s">
        <v>640</v>
      </c>
      <c r="C1642" s="2805" t="s">
        <v>2500</v>
      </c>
      <c r="D1642" s="2805"/>
      <c r="E1642" s="2805"/>
      <c r="F1642" s="1683"/>
      <c r="G1642" s="1641"/>
      <c r="H1642" s="1641"/>
      <c r="I1642" s="1641"/>
      <c r="J1642" s="1654">
        <v>0.95</v>
      </c>
      <c r="K1642" s="2034">
        <v>2</v>
      </c>
      <c r="L1642" s="1654">
        <v>12.68</v>
      </c>
      <c r="M1642" s="1655">
        <v>35.75</v>
      </c>
      <c r="N1642" s="2039">
        <v>453.31</v>
      </c>
      <c r="EW1642" s="2031"/>
      <c r="EX1642" s="1619"/>
      <c r="EY1642" s="1628"/>
      <c r="EZ1642" s="1628"/>
      <c r="FA1642" s="1628"/>
      <c r="FE1642" s="1864" t="s">
        <v>2500</v>
      </c>
      <c r="FH1642" s="1628"/>
      <c r="FU1642" s="1678"/>
      <c r="FW1642" s="1678"/>
    </row>
    <row r="1643" spans="1:179" s="1484" customFormat="1" ht="15" x14ac:dyDescent="0.25">
      <c r="A1643" s="2032"/>
      <c r="B1643" s="1631" t="s">
        <v>232</v>
      </c>
      <c r="C1643" s="2805" t="s">
        <v>829</v>
      </c>
      <c r="D1643" s="2805"/>
      <c r="E1643" s="2805"/>
      <c r="F1643" s="1683"/>
      <c r="G1643" s="1641"/>
      <c r="H1643" s="1641"/>
      <c r="I1643" s="1641"/>
      <c r="J1643" s="1657">
        <v>3588.59</v>
      </c>
      <c r="K1643" s="2034">
        <v>2</v>
      </c>
      <c r="L1643" s="1657">
        <v>47907.68</v>
      </c>
      <c r="M1643" s="1655">
        <v>9.14</v>
      </c>
      <c r="N1643" s="1679">
        <v>437876.2</v>
      </c>
      <c r="EW1643" s="2031"/>
      <c r="EX1643" s="1619"/>
      <c r="EY1643" s="1628"/>
      <c r="EZ1643" s="1628"/>
      <c r="FA1643" s="1628"/>
      <c r="FE1643" s="1864" t="s">
        <v>829</v>
      </c>
      <c r="FH1643" s="1628"/>
      <c r="FU1643" s="1678"/>
      <c r="FW1643" s="1678"/>
    </row>
    <row r="1644" spans="1:179" s="1484" customFormat="1" ht="15" x14ac:dyDescent="0.25">
      <c r="A1644" s="2033"/>
      <c r="B1644" s="1631"/>
      <c r="C1644" s="2805" t="s">
        <v>2524</v>
      </c>
      <c r="D1644" s="2805"/>
      <c r="E1644" s="2805"/>
      <c r="F1644" s="1683" t="s">
        <v>807</v>
      </c>
      <c r="G1644" s="1655">
        <v>3.84</v>
      </c>
      <c r="H1644" s="2034">
        <v>2</v>
      </c>
      <c r="I1644" s="2046">
        <v>51.264000000000003</v>
      </c>
      <c r="J1644" s="1640"/>
      <c r="K1644" s="1641"/>
      <c r="L1644" s="1640"/>
      <c r="M1644" s="1641"/>
      <c r="N1644" s="1681"/>
      <c r="EW1644" s="2031"/>
      <c r="EX1644" s="1619"/>
      <c r="EY1644" s="1628"/>
      <c r="EZ1644" s="1628"/>
      <c r="FA1644" s="1628"/>
      <c r="FF1644" s="1864" t="s">
        <v>2524</v>
      </c>
      <c r="FH1644" s="1628"/>
      <c r="FU1644" s="1678"/>
      <c r="FW1644" s="1678"/>
    </row>
    <row r="1645" spans="1:179" s="1484" customFormat="1" ht="15" x14ac:dyDescent="0.25">
      <c r="A1645" s="2033"/>
      <c r="B1645" s="1631"/>
      <c r="C1645" s="2805" t="s">
        <v>2501</v>
      </c>
      <c r="D1645" s="2805"/>
      <c r="E1645" s="2805"/>
      <c r="F1645" s="1683" t="s">
        <v>807</v>
      </c>
      <c r="G1645" s="1655">
        <v>0.08</v>
      </c>
      <c r="H1645" s="2034">
        <v>2</v>
      </c>
      <c r="I1645" s="2046">
        <v>1.0680000000000001</v>
      </c>
      <c r="J1645" s="1640"/>
      <c r="K1645" s="1641"/>
      <c r="L1645" s="1640"/>
      <c r="M1645" s="1641"/>
      <c r="N1645" s="1681"/>
      <c r="EW1645" s="2031"/>
      <c r="EX1645" s="1619"/>
      <c r="EY1645" s="1628"/>
      <c r="EZ1645" s="1628"/>
      <c r="FA1645" s="1628"/>
      <c r="FF1645" s="1864" t="s">
        <v>2501</v>
      </c>
      <c r="FH1645" s="1628"/>
      <c r="FU1645" s="1678"/>
      <c r="FW1645" s="1678"/>
    </row>
    <row r="1646" spans="1:179" s="1484" customFormat="1" ht="15" x14ac:dyDescent="0.25">
      <c r="A1646" s="2032"/>
      <c r="B1646" s="1631"/>
      <c r="C1646" s="2917" t="s">
        <v>2502</v>
      </c>
      <c r="D1646" s="2917"/>
      <c r="E1646" s="2917"/>
      <c r="F1646" s="2036"/>
      <c r="G1646" s="2037"/>
      <c r="H1646" s="2037"/>
      <c r="I1646" s="2037"/>
      <c r="J1646" s="2038">
        <v>3628.75</v>
      </c>
      <c r="K1646" s="2037"/>
      <c r="L1646" s="2038">
        <v>48561.46</v>
      </c>
      <c r="M1646" s="2037"/>
      <c r="N1646" s="2068">
        <v>459690.05</v>
      </c>
      <c r="EW1646" s="2031"/>
      <c r="EX1646" s="1619"/>
      <c r="EY1646" s="1628"/>
      <c r="EZ1646" s="1628"/>
      <c r="FA1646" s="1628"/>
      <c r="FG1646" s="1864" t="s">
        <v>2502</v>
      </c>
      <c r="FH1646" s="1628"/>
      <c r="FU1646" s="1678"/>
      <c r="FW1646" s="1678"/>
    </row>
    <row r="1647" spans="1:179" s="1484" customFormat="1" ht="15" x14ac:dyDescent="0.25">
      <c r="A1647" s="2033" t="s">
        <v>8234</v>
      </c>
      <c r="B1647" s="1631"/>
      <c r="C1647" s="2805" t="s">
        <v>7964</v>
      </c>
      <c r="D1647" s="2805"/>
      <c r="E1647" s="2805"/>
      <c r="F1647" s="1683" t="s">
        <v>5928</v>
      </c>
      <c r="G1647" s="1641"/>
      <c r="H1647" s="1641"/>
      <c r="I1647" s="1641"/>
      <c r="J1647" s="1640"/>
      <c r="K1647" s="1641"/>
      <c r="L1647" s="1654">
        <v>3.17</v>
      </c>
      <c r="M1647" s="1641"/>
      <c r="N1647" s="2039">
        <v>113.33</v>
      </c>
      <c r="EW1647" s="2031"/>
      <c r="EX1647" s="1619"/>
      <c r="EY1647" s="1628"/>
      <c r="EZ1647" s="1628"/>
      <c r="FA1647" s="1628"/>
      <c r="FF1647" s="1864" t="s">
        <v>7964</v>
      </c>
      <c r="FH1647" s="1628"/>
      <c r="FU1647" s="1678"/>
      <c r="FW1647" s="1678"/>
    </row>
    <row r="1648" spans="1:179" s="1484" customFormat="1" ht="15" x14ac:dyDescent="0.25">
      <c r="A1648" s="2033"/>
      <c r="B1648" s="1631"/>
      <c r="C1648" s="2805" t="s">
        <v>7965</v>
      </c>
      <c r="D1648" s="2805"/>
      <c r="E1648" s="2805"/>
      <c r="F1648" s="1683" t="s">
        <v>5928</v>
      </c>
      <c r="G1648" s="1641"/>
      <c r="H1648" s="1641"/>
      <c r="I1648" s="1641"/>
      <c r="J1648" s="1654">
        <v>0.95</v>
      </c>
      <c r="K1648" s="1953">
        <v>0.5</v>
      </c>
      <c r="L1648" s="1654">
        <v>3.17</v>
      </c>
      <c r="M1648" s="1655">
        <v>35.75</v>
      </c>
      <c r="N1648" s="2039">
        <v>113.33</v>
      </c>
      <c r="EW1648" s="2031"/>
      <c r="EX1648" s="1619"/>
      <c r="EY1648" s="1628"/>
      <c r="EZ1648" s="1628"/>
      <c r="FA1648" s="1628"/>
      <c r="FF1648" s="1864" t="s">
        <v>7965</v>
      </c>
      <c r="FH1648" s="1628"/>
      <c r="FU1648" s="1678"/>
      <c r="FW1648" s="1678"/>
    </row>
    <row r="1649" spans="1:179" s="1484" customFormat="1" ht="15" x14ac:dyDescent="0.25">
      <c r="A1649" s="2033"/>
      <c r="B1649" s="1631"/>
      <c r="C1649" s="2805" t="s">
        <v>867</v>
      </c>
      <c r="D1649" s="2805"/>
      <c r="E1649" s="2805"/>
      <c r="F1649" s="1683"/>
      <c r="G1649" s="1641"/>
      <c r="H1649" s="1641"/>
      <c r="I1649" s="1641"/>
      <c r="J1649" s="1640"/>
      <c r="K1649" s="1641"/>
      <c r="L1649" s="1654">
        <v>604.08000000000004</v>
      </c>
      <c r="M1649" s="1641"/>
      <c r="N1649" s="1679">
        <v>21595.86</v>
      </c>
      <c r="EW1649" s="2031"/>
      <c r="EX1649" s="1619"/>
      <c r="EY1649" s="1628"/>
      <c r="EZ1649" s="1628"/>
      <c r="FA1649" s="1628"/>
      <c r="FF1649" s="1864" t="s">
        <v>867</v>
      </c>
      <c r="FH1649" s="1628"/>
      <c r="FU1649" s="1678"/>
      <c r="FW1649" s="1678"/>
    </row>
    <row r="1650" spans="1:179" s="1484" customFormat="1" ht="15" x14ac:dyDescent="0.25">
      <c r="A1650" s="2033"/>
      <c r="B1650" s="1631" t="s">
        <v>8054</v>
      </c>
      <c r="C1650" s="2805" t="s">
        <v>8055</v>
      </c>
      <c r="D1650" s="2805"/>
      <c r="E1650" s="2805"/>
      <c r="F1650" s="1683" t="s">
        <v>636</v>
      </c>
      <c r="G1650" s="2034">
        <v>112</v>
      </c>
      <c r="H1650" s="1641"/>
      <c r="I1650" s="2034">
        <v>112</v>
      </c>
      <c r="J1650" s="1640"/>
      <c r="K1650" s="1641"/>
      <c r="L1650" s="1654">
        <v>676.57</v>
      </c>
      <c r="M1650" s="1641"/>
      <c r="N1650" s="1679">
        <v>24187.360000000001</v>
      </c>
      <c r="EW1650" s="2031"/>
      <c r="EX1650" s="1619"/>
      <c r="EY1650" s="1628"/>
      <c r="EZ1650" s="1628"/>
      <c r="FA1650" s="1628"/>
      <c r="FF1650" s="1864" t="s">
        <v>8055</v>
      </c>
      <c r="FH1650" s="1628"/>
      <c r="FU1650" s="1678"/>
      <c r="FW1650" s="1678"/>
    </row>
    <row r="1651" spans="1:179" s="1484" customFormat="1" ht="15" x14ac:dyDescent="0.25">
      <c r="A1651" s="2033"/>
      <c r="B1651" s="1631" t="s">
        <v>8056</v>
      </c>
      <c r="C1651" s="2805" t="s">
        <v>8057</v>
      </c>
      <c r="D1651" s="2805"/>
      <c r="E1651" s="2805"/>
      <c r="F1651" s="1683" t="s">
        <v>636</v>
      </c>
      <c r="G1651" s="2034">
        <v>65</v>
      </c>
      <c r="H1651" s="1641"/>
      <c r="I1651" s="2034">
        <v>65</v>
      </c>
      <c r="J1651" s="1640"/>
      <c r="K1651" s="1641"/>
      <c r="L1651" s="1654">
        <v>392.65</v>
      </c>
      <c r="M1651" s="1641"/>
      <c r="N1651" s="1679">
        <v>14037.31</v>
      </c>
      <c r="EW1651" s="2031"/>
      <c r="EX1651" s="1619"/>
      <c r="EY1651" s="1628"/>
      <c r="EZ1651" s="1628"/>
      <c r="FA1651" s="1628"/>
      <c r="FF1651" s="1864" t="s">
        <v>8057</v>
      </c>
      <c r="FH1651" s="1628"/>
      <c r="FU1651" s="1678"/>
      <c r="FW1651" s="1678"/>
    </row>
    <row r="1652" spans="1:179" s="1484" customFormat="1" ht="15" x14ac:dyDescent="0.25">
      <c r="A1652" s="1650"/>
      <c r="B1652" s="1651"/>
      <c r="C1652" s="2803" t="s">
        <v>872</v>
      </c>
      <c r="D1652" s="2803"/>
      <c r="E1652" s="2803"/>
      <c r="F1652" s="1621"/>
      <c r="G1652" s="1622"/>
      <c r="H1652" s="1622"/>
      <c r="I1652" s="1622"/>
      <c r="J1652" s="1625"/>
      <c r="K1652" s="1622"/>
      <c r="L1652" s="1648">
        <v>49633.85</v>
      </c>
      <c r="M1652" s="2037"/>
      <c r="N1652" s="1649">
        <v>498028.05</v>
      </c>
      <c r="EW1652" s="2031"/>
      <c r="EX1652" s="1619"/>
      <c r="EY1652" s="1628"/>
      <c r="EZ1652" s="1628"/>
      <c r="FA1652" s="1628"/>
      <c r="FH1652" s="1628" t="s">
        <v>872</v>
      </c>
      <c r="FU1652" s="1678"/>
      <c r="FW1652" s="1678"/>
    </row>
    <row r="1653" spans="1:179" s="1484" customFormat="1" ht="15" x14ac:dyDescent="0.25">
      <c r="A1653" s="2811" t="s">
        <v>8235</v>
      </c>
      <c r="B1653" s="2812"/>
      <c r="C1653" s="2812"/>
      <c r="D1653" s="2812"/>
      <c r="E1653" s="2812"/>
      <c r="F1653" s="2812"/>
      <c r="G1653" s="2812"/>
      <c r="H1653" s="2812"/>
      <c r="I1653" s="2812"/>
      <c r="J1653" s="2812"/>
      <c r="K1653" s="2812"/>
      <c r="L1653" s="2812"/>
      <c r="M1653" s="2812"/>
      <c r="N1653" s="2813"/>
      <c r="EW1653" s="2031"/>
      <c r="EX1653" s="1619" t="s">
        <v>8235</v>
      </c>
      <c r="EY1653" s="1628"/>
      <c r="EZ1653" s="1628"/>
      <c r="FA1653" s="1628"/>
      <c r="FH1653" s="1628"/>
      <c r="FU1653" s="1678"/>
      <c r="FW1653" s="1678"/>
    </row>
    <row r="1654" spans="1:179" s="1484" customFormat="1" ht="56.25" x14ac:dyDescent="0.25">
      <c r="A1654" s="1620" t="s">
        <v>8236</v>
      </c>
      <c r="B1654" s="1863" t="s">
        <v>8146</v>
      </c>
      <c r="C1654" s="2803" t="s">
        <v>8147</v>
      </c>
      <c r="D1654" s="2803"/>
      <c r="E1654" s="2803"/>
      <c r="F1654" s="1621" t="s">
        <v>835</v>
      </c>
      <c r="G1654" s="1622">
        <v>106.81440000000001</v>
      </c>
      <c r="H1654" s="1623">
        <v>1</v>
      </c>
      <c r="I1654" s="2041">
        <v>106.81440000000001</v>
      </c>
      <c r="J1654" s="2040">
        <v>23.7</v>
      </c>
      <c r="K1654" s="1622"/>
      <c r="L1654" s="1648">
        <v>2531.5</v>
      </c>
      <c r="M1654" s="1687">
        <v>9.14</v>
      </c>
      <c r="N1654" s="1649">
        <v>23137.91</v>
      </c>
      <c r="EW1654" s="2031"/>
      <c r="EX1654" s="1619"/>
      <c r="EY1654" s="1628" t="s">
        <v>8147</v>
      </c>
      <c r="EZ1654" s="1628" t="s">
        <v>588</v>
      </c>
      <c r="FA1654" s="1628" t="s">
        <v>588</v>
      </c>
      <c r="FH1654" s="1628"/>
      <c r="FU1654" s="1678"/>
      <c r="FW1654" s="1678"/>
    </row>
    <row r="1655" spans="1:179" s="1484" customFormat="1" ht="15" x14ac:dyDescent="0.25">
      <c r="A1655" s="1650"/>
      <c r="B1655" s="1651"/>
      <c r="C1655" s="2805" t="s">
        <v>8722</v>
      </c>
      <c r="D1655" s="2805"/>
      <c r="E1655" s="2805"/>
      <c r="F1655" s="2805"/>
      <c r="G1655" s="2805"/>
      <c r="H1655" s="2805"/>
      <c r="I1655" s="2805"/>
      <c r="J1655" s="2805"/>
      <c r="K1655" s="2805"/>
      <c r="L1655" s="2805"/>
      <c r="M1655" s="2805"/>
      <c r="N1655" s="2806"/>
      <c r="EW1655" s="2031"/>
      <c r="EX1655" s="1619"/>
      <c r="EY1655" s="1628"/>
      <c r="EZ1655" s="1628"/>
      <c r="FA1655" s="1628"/>
      <c r="FH1655" s="1628"/>
      <c r="FI1655" s="1864" t="s">
        <v>8722</v>
      </c>
      <c r="FJ1655" s="1864" t="s">
        <v>588</v>
      </c>
      <c r="FK1655" s="1864" t="s">
        <v>588</v>
      </c>
      <c r="FL1655" s="1864" t="s">
        <v>588</v>
      </c>
      <c r="FM1655" s="1864" t="s">
        <v>588</v>
      </c>
      <c r="FN1655" s="1864" t="s">
        <v>588</v>
      </c>
      <c r="FO1655" s="1864" t="s">
        <v>588</v>
      </c>
      <c r="FP1655" s="1864" t="s">
        <v>588</v>
      </c>
      <c r="FQ1655" s="1864" t="s">
        <v>588</v>
      </c>
      <c r="FR1655" s="1864" t="s">
        <v>588</v>
      </c>
      <c r="FS1655" s="1864" t="s">
        <v>588</v>
      </c>
      <c r="FT1655" s="1864" t="s">
        <v>588</v>
      </c>
      <c r="FU1655" s="1678"/>
      <c r="FW1655" s="1678"/>
    </row>
    <row r="1656" spans="1:179" s="1484" customFormat="1" ht="15" x14ac:dyDescent="0.25">
      <c r="A1656" s="1629"/>
      <c r="B1656" s="1862"/>
      <c r="C1656" s="2805" t="s">
        <v>8818</v>
      </c>
      <c r="D1656" s="2805"/>
      <c r="E1656" s="2805"/>
      <c r="F1656" s="2805"/>
      <c r="G1656" s="2805"/>
      <c r="H1656" s="2805"/>
      <c r="I1656" s="2805"/>
      <c r="J1656" s="2805"/>
      <c r="K1656" s="2805"/>
      <c r="L1656" s="2805"/>
      <c r="M1656" s="2805"/>
      <c r="N1656" s="2806"/>
      <c r="EW1656" s="2031"/>
      <c r="EX1656" s="1619"/>
      <c r="EY1656" s="1628"/>
      <c r="EZ1656" s="1628"/>
      <c r="FA1656" s="1628"/>
      <c r="FB1656" s="1864" t="s">
        <v>8818</v>
      </c>
      <c r="FH1656" s="1628"/>
      <c r="FU1656" s="1678"/>
      <c r="FW1656" s="1678"/>
    </row>
    <row r="1657" spans="1:179" s="1484" customFormat="1" ht="15" x14ac:dyDescent="0.25">
      <c r="A1657" s="1650"/>
      <c r="B1657" s="1651"/>
      <c r="C1657" s="2803" t="s">
        <v>872</v>
      </c>
      <c r="D1657" s="2803"/>
      <c r="E1657" s="2803"/>
      <c r="F1657" s="1621"/>
      <c r="G1657" s="1622"/>
      <c r="H1657" s="1622"/>
      <c r="I1657" s="1622"/>
      <c r="J1657" s="1625"/>
      <c r="K1657" s="1622"/>
      <c r="L1657" s="1648">
        <v>2531.5</v>
      </c>
      <c r="M1657" s="2037"/>
      <c r="N1657" s="1649">
        <v>23137.91</v>
      </c>
      <c r="EW1657" s="2031"/>
      <c r="EX1657" s="1619"/>
      <c r="EY1657" s="1628"/>
      <c r="EZ1657" s="1628"/>
      <c r="FA1657" s="1628"/>
      <c r="FH1657" s="1628" t="s">
        <v>872</v>
      </c>
      <c r="FU1657" s="1678"/>
      <c r="FW1657" s="1678"/>
    </row>
    <row r="1658" spans="1:179" s="1484" customFormat="1" ht="33.75" x14ac:dyDescent="0.25">
      <c r="A1658" s="1620" t="s">
        <v>8237</v>
      </c>
      <c r="B1658" s="1863" t="s">
        <v>8148</v>
      </c>
      <c r="C1658" s="2803" t="s">
        <v>8149</v>
      </c>
      <c r="D1658" s="2803"/>
      <c r="E1658" s="2803"/>
      <c r="F1658" s="1621" t="s">
        <v>2555</v>
      </c>
      <c r="G1658" s="1622">
        <v>1.19</v>
      </c>
      <c r="H1658" s="1623">
        <v>1</v>
      </c>
      <c r="I1658" s="1687">
        <v>1.19</v>
      </c>
      <c r="J1658" s="1625"/>
      <c r="K1658" s="1622"/>
      <c r="L1658" s="1625"/>
      <c r="M1658" s="1622"/>
      <c r="N1658" s="1627"/>
      <c r="EW1658" s="2031"/>
      <c r="EX1658" s="1619"/>
      <c r="EY1658" s="1628" t="s">
        <v>8149</v>
      </c>
      <c r="EZ1658" s="1628" t="s">
        <v>588</v>
      </c>
      <c r="FA1658" s="1628" t="s">
        <v>588</v>
      </c>
      <c r="FH1658" s="1628"/>
      <c r="FU1658" s="1678"/>
      <c r="FW1658" s="1678"/>
    </row>
    <row r="1659" spans="1:179" s="1484" customFormat="1" ht="15" x14ac:dyDescent="0.25">
      <c r="A1659" s="1629"/>
      <c r="B1659" s="1862"/>
      <c r="C1659" s="2805" t="s">
        <v>8817</v>
      </c>
      <c r="D1659" s="2805"/>
      <c r="E1659" s="2805"/>
      <c r="F1659" s="2805"/>
      <c r="G1659" s="2805"/>
      <c r="H1659" s="2805"/>
      <c r="I1659" s="2805"/>
      <c r="J1659" s="2805"/>
      <c r="K1659" s="2805"/>
      <c r="L1659" s="2805"/>
      <c r="M1659" s="2805"/>
      <c r="N1659" s="2806"/>
      <c r="EW1659" s="2031"/>
      <c r="EX1659" s="1619"/>
      <c r="EY1659" s="1628"/>
      <c r="EZ1659" s="1628"/>
      <c r="FA1659" s="1628"/>
      <c r="FB1659" s="1864" t="s">
        <v>8817</v>
      </c>
      <c r="FH1659" s="1628"/>
      <c r="FU1659" s="1678"/>
      <c r="FW1659" s="1678"/>
    </row>
    <row r="1660" spans="1:179" s="1484" customFormat="1" ht="22.5" x14ac:dyDescent="0.25">
      <c r="A1660" s="1630"/>
      <c r="B1660" s="1631" t="s">
        <v>6062</v>
      </c>
      <c r="C1660" s="2809" t="s">
        <v>6063</v>
      </c>
      <c r="D1660" s="2809"/>
      <c r="E1660" s="2809"/>
      <c r="F1660" s="2809"/>
      <c r="G1660" s="2809"/>
      <c r="H1660" s="2809"/>
      <c r="I1660" s="2809"/>
      <c r="J1660" s="2809"/>
      <c r="K1660" s="2809"/>
      <c r="L1660" s="2809"/>
      <c r="M1660" s="2809"/>
      <c r="N1660" s="2810"/>
      <c r="EW1660" s="2031"/>
      <c r="EX1660" s="1619"/>
      <c r="EY1660" s="1628"/>
      <c r="EZ1660" s="1628"/>
      <c r="FA1660" s="1628"/>
      <c r="FC1660" s="1864" t="s">
        <v>6063</v>
      </c>
      <c r="FH1660" s="1628"/>
      <c r="FU1660" s="1678"/>
      <c r="FW1660" s="1678"/>
    </row>
    <row r="1661" spans="1:179" s="1484" customFormat="1" ht="22.5" x14ac:dyDescent="0.25">
      <c r="A1661" s="2033"/>
      <c r="B1661" s="1631" t="s">
        <v>3260</v>
      </c>
      <c r="C1661" s="2805" t="s">
        <v>8636</v>
      </c>
      <c r="D1661" s="2805"/>
      <c r="E1661" s="2805"/>
      <c r="F1661" s="1683" t="s">
        <v>807</v>
      </c>
      <c r="G1661" s="1655">
        <v>3.69</v>
      </c>
      <c r="H1661" s="1641"/>
      <c r="I1661" s="2035">
        <v>4.3910999999999998</v>
      </c>
      <c r="J1661" s="1654">
        <v>9.18</v>
      </c>
      <c r="K1661" s="1655">
        <v>1.25</v>
      </c>
      <c r="L1661" s="1654">
        <v>50.39</v>
      </c>
      <c r="M1661" s="1641"/>
      <c r="N1661" s="1681"/>
      <c r="EW1661" s="2031"/>
      <c r="EX1661" s="1619"/>
      <c r="EY1661" s="1628"/>
      <c r="EZ1661" s="1628"/>
      <c r="FA1661" s="1628"/>
      <c r="FD1661" s="1864" t="s">
        <v>8636</v>
      </c>
      <c r="FH1661" s="1628"/>
      <c r="FU1661" s="1678"/>
      <c r="FW1661" s="1678"/>
    </row>
    <row r="1662" spans="1:179" s="1484" customFormat="1" ht="22.5" x14ac:dyDescent="0.25">
      <c r="A1662" s="2033"/>
      <c r="B1662" s="1631" t="s">
        <v>5008</v>
      </c>
      <c r="C1662" s="2805" t="s">
        <v>5009</v>
      </c>
      <c r="D1662" s="2805"/>
      <c r="E1662" s="2805"/>
      <c r="F1662" s="1683" t="s">
        <v>4994</v>
      </c>
      <c r="G1662" s="1655">
        <v>0.01</v>
      </c>
      <c r="H1662" s="1641"/>
      <c r="I1662" s="2035">
        <v>1.1900000000000001E-2</v>
      </c>
      <c r="J1662" s="1654">
        <v>27.66</v>
      </c>
      <c r="K1662" s="1641"/>
      <c r="L1662" s="1654">
        <v>0.33</v>
      </c>
      <c r="M1662" s="1641"/>
      <c r="N1662" s="1681"/>
      <c r="EW1662" s="2031"/>
      <c r="EX1662" s="1619"/>
      <c r="EY1662" s="1628"/>
      <c r="EZ1662" s="1628"/>
      <c r="FA1662" s="1628"/>
      <c r="FD1662" s="1864" t="s">
        <v>5009</v>
      </c>
      <c r="FH1662" s="1628"/>
      <c r="FU1662" s="1678"/>
      <c r="FW1662" s="1678"/>
    </row>
    <row r="1663" spans="1:179" s="1484" customFormat="1" ht="15" x14ac:dyDescent="0.25">
      <c r="A1663" s="2033"/>
      <c r="B1663" s="1631" t="s">
        <v>821</v>
      </c>
      <c r="C1663" s="2805" t="s">
        <v>822</v>
      </c>
      <c r="D1663" s="2805"/>
      <c r="E1663" s="2805"/>
      <c r="F1663" s="1683" t="s">
        <v>4994</v>
      </c>
      <c r="G1663" s="1655">
        <v>0.04</v>
      </c>
      <c r="H1663" s="1641"/>
      <c r="I1663" s="2035">
        <v>4.7600000000000003E-2</v>
      </c>
      <c r="J1663" s="1654">
        <v>65.709999999999994</v>
      </c>
      <c r="K1663" s="1641"/>
      <c r="L1663" s="1654">
        <v>3.13</v>
      </c>
      <c r="M1663" s="1641"/>
      <c r="N1663" s="1681"/>
      <c r="EW1663" s="2031"/>
      <c r="EX1663" s="1619"/>
      <c r="EY1663" s="1628"/>
      <c r="EZ1663" s="1628"/>
      <c r="FA1663" s="1628"/>
      <c r="FD1663" s="1864" t="s">
        <v>822</v>
      </c>
      <c r="FH1663" s="1628"/>
      <c r="FU1663" s="1678"/>
      <c r="FW1663" s="1678"/>
    </row>
    <row r="1664" spans="1:179" s="1484" customFormat="1" ht="33.75" x14ac:dyDescent="0.25">
      <c r="A1664" s="2033"/>
      <c r="B1664" s="1631" t="s">
        <v>5029</v>
      </c>
      <c r="C1664" s="2805" t="s">
        <v>5030</v>
      </c>
      <c r="D1664" s="2805"/>
      <c r="E1664" s="2805"/>
      <c r="F1664" s="1683" t="s">
        <v>4994</v>
      </c>
      <c r="G1664" s="1655">
        <v>2.82</v>
      </c>
      <c r="H1664" s="1641"/>
      <c r="I1664" s="2035">
        <v>3.3557999999999999</v>
      </c>
      <c r="J1664" s="1654">
        <v>6.82</v>
      </c>
      <c r="K1664" s="1641"/>
      <c r="L1664" s="1654">
        <v>22.89</v>
      </c>
      <c r="M1664" s="1641"/>
      <c r="N1664" s="1681"/>
      <c r="EW1664" s="2031"/>
      <c r="EX1664" s="1619"/>
      <c r="EY1664" s="1628"/>
      <c r="EZ1664" s="1628"/>
      <c r="FA1664" s="1628"/>
      <c r="FD1664" s="1864" t="s">
        <v>5030</v>
      </c>
      <c r="FH1664" s="1628"/>
      <c r="FU1664" s="1678"/>
      <c r="FW1664" s="1678"/>
    </row>
    <row r="1665" spans="1:179" s="1484" customFormat="1" ht="15" x14ac:dyDescent="0.25">
      <c r="A1665" s="2033"/>
      <c r="B1665" s="1631" t="s">
        <v>1755</v>
      </c>
      <c r="C1665" s="2805" t="s">
        <v>2634</v>
      </c>
      <c r="D1665" s="2805"/>
      <c r="E1665" s="2805"/>
      <c r="F1665" s="1683" t="s">
        <v>832</v>
      </c>
      <c r="G1665" s="1655">
        <v>0.01</v>
      </c>
      <c r="H1665" s="1641"/>
      <c r="I1665" s="2035">
        <v>1.1900000000000001E-2</v>
      </c>
      <c r="J1665" s="1654">
        <v>2.44</v>
      </c>
      <c r="K1665" s="1641"/>
      <c r="L1665" s="1654">
        <v>0.03</v>
      </c>
      <c r="M1665" s="1641"/>
      <c r="N1665" s="1681"/>
      <c r="EW1665" s="2031"/>
      <c r="EX1665" s="1619"/>
      <c r="EY1665" s="1628"/>
      <c r="EZ1665" s="1628"/>
      <c r="FA1665" s="1628"/>
      <c r="FD1665" s="1864" t="s">
        <v>2634</v>
      </c>
      <c r="FH1665" s="1628"/>
      <c r="FU1665" s="1678"/>
      <c r="FW1665" s="1678"/>
    </row>
    <row r="1666" spans="1:179" s="1484" customFormat="1" ht="15" x14ac:dyDescent="0.25">
      <c r="A1666" s="2033"/>
      <c r="B1666" s="1631" t="s">
        <v>4922</v>
      </c>
      <c r="C1666" s="2805" t="s">
        <v>8707</v>
      </c>
      <c r="D1666" s="2805"/>
      <c r="E1666" s="2805"/>
      <c r="F1666" s="1683" t="s">
        <v>835</v>
      </c>
      <c r="G1666" s="2034">
        <v>1</v>
      </c>
      <c r="H1666" s="1641"/>
      <c r="I1666" s="1655">
        <v>1.19</v>
      </c>
      <c r="J1666" s="1654">
        <v>1.82</v>
      </c>
      <c r="K1666" s="1641"/>
      <c r="L1666" s="1654">
        <v>2.17</v>
      </c>
      <c r="M1666" s="1641"/>
      <c r="N1666" s="1681"/>
      <c r="EW1666" s="2031"/>
      <c r="EX1666" s="1619"/>
      <c r="EY1666" s="1628"/>
      <c r="EZ1666" s="1628"/>
      <c r="FA1666" s="1628"/>
      <c r="FD1666" s="1864" t="s">
        <v>8707</v>
      </c>
      <c r="FH1666" s="1628"/>
      <c r="FU1666" s="1678"/>
      <c r="FW1666" s="1678"/>
    </row>
    <row r="1667" spans="1:179" s="1484" customFormat="1" ht="15" x14ac:dyDescent="0.25">
      <c r="A1667" s="2032"/>
      <c r="B1667" s="1631" t="s">
        <v>190</v>
      </c>
      <c r="C1667" s="2805" t="s">
        <v>2523</v>
      </c>
      <c r="D1667" s="2805"/>
      <c r="E1667" s="2805"/>
      <c r="F1667" s="1683"/>
      <c r="G1667" s="1641"/>
      <c r="H1667" s="1641"/>
      <c r="I1667" s="1641"/>
      <c r="J1667" s="1654">
        <v>33.869999999999997</v>
      </c>
      <c r="K1667" s="1655">
        <v>1.25</v>
      </c>
      <c r="L1667" s="1654">
        <v>50.38</v>
      </c>
      <c r="M1667" s="1655">
        <v>35.75</v>
      </c>
      <c r="N1667" s="1679">
        <v>1801.09</v>
      </c>
      <c r="EW1667" s="2031"/>
      <c r="EX1667" s="1619"/>
      <c r="EY1667" s="1628"/>
      <c r="EZ1667" s="1628"/>
      <c r="FA1667" s="1628"/>
      <c r="FE1667" s="1864" t="s">
        <v>2523</v>
      </c>
      <c r="FH1667" s="1628"/>
      <c r="FU1667" s="1678"/>
      <c r="FW1667" s="1678"/>
    </row>
    <row r="1668" spans="1:179" s="1484" customFormat="1" ht="15" x14ac:dyDescent="0.25">
      <c r="A1668" s="2032"/>
      <c r="B1668" s="1631" t="s">
        <v>639</v>
      </c>
      <c r="C1668" s="2805" t="s">
        <v>697</v>
      </c>
      <c r="D1668" s="2805"/>
      <c r="E1668" s="2805"/>
      <c r="F1668" s="1683"/>
      <c r="G1668" s="1641"/>
      <c r="H1668" s="1641"/>
      <c r="I1668" s="1641"/>
      <c r="J1668" s="1654">
        <v>22.14</v>
      </c>
      <c r="K1668" s="1641"/>
      <c r="L1668" s="1654">
        <v>26.35</v>
      </c>
      <c r="M1668" s="1655">
        <v>11.97</v>
      </c>
      <c r="N1668" s="2039">
        <v>315.41000000000003</v>
      </c>
      <c r="EW1668" s="2031"/>
      <c r="EX1668" s="1619"/>
      <c r="EY1668" s="1628"/>
      <c r="EZ1668" s="1628"/>
      <c r="FA1668" s="1628"/>
      <c r="FE1668" s="1864" t="s">
        <v>697</v>
      </c>
      <c r="FH1668" s="1628"/>
      <c r="FU1668" s="1678"/>
      <c r="FW1668" s="1678"/>
    </row>
    <row r="1669" spans="1:179" s="1484" customFormat="1" ht="15" x14ac:dyDescent="0.25">
      <c r="A1669" s="2032"/>
      <c r="B1669" s="1631" t="s">
        <v>640</v>
      </c>
      <c r="C1669" s="2805" t="s">
        <v>2500</v>
      </c>
      <c r="D1669" s="2805"/>
      <c r="E1669" s="2805"/>
      <c r="F1669" s="1683"/>
      <c r="G1669" s="1641"/>
      <c r="H1669" s="1641"/>
      <c r="I1669" s="1641"/>
      <c r="J1669" s="1654">
        <v>0.57999999999999996</v>
      </c>
      <c r="K1669" s="1641"/>
      <c r="L1669" s="1654">
        <v>0.69</v>
      </c>
      <c r="M1669" s="1655">
        <v>35.75</v>
      </c>
      <c r="N1669" s="2039">
        <v>24.67</v>
      </c>
      <c r="EW1669" s="2031"/>
      <c r="EX1669" s="1619"/>
      <c r="EY1669" s="1628"/>
      <c r="EZ1669" s="1628"/>
      <c r="FA1669" s="1628"/>
      <c r="FE1669" s="1864" t="s">
        <v>2500</v>
      </c>
      <c r="FH1669" s="1628"/>
      <c r="FU1669" s="1678"/>
      <c r="FW1669" s="1678"/>
    </row>
    <row r="1670" spans="1:179" s="1484" customFormat="1" ht="15" x14ac:dyDescent="0.25">
      <c r="A1670" s="2032"/>
      <c r="B1670" s="1631" t="s">
        <v>232</v>
      </c>
      <c r="C1670" s="2805" t="s">
        <v>829</v>
      </c>
      <c r="D1670" s="2805"/>
      <c r="E1670" s="2805"/>
      <c r="F1670" s="1683"/>
      <c r="G1670" s="1641"/>
      <c r="H1670" s="1641"/>
      <c r="I1670" s="1641"/>
      <c r="J1670" s="1654">
        <v>1.84</v>
      </c>
      <c r="K1670" s="1641"/>
      <c r="L1670" s="1654">
        <v>2.19</v>
      </c>
      <c r="M1670" s="1655">
        <v>9.14</v>
      </c>
      <c r="N1670" s="2039">
        <v>20.02</v>
      </c>
      <c r="EW1670" s="2031"/>
      <c r="EX1670" s="1619"/>
      <c r="EY1670" s="1628"/>
      <c r="EZ1670" s="1628"/>
      <c r="FA1670" s="1628"/>
      <c r="FE1670" s="1864" t="s">
        <v>829</v>
      </c>
      <c r="FH1670" s="1628"/>
      <c r="FU1670" s="1678"/>
      <c r="FW1670" s="1678"/>
    </row>
    <row r="1671" spans="1:179" s="1484" customFormat="1" ht="15" x14ac:dyDescent="0.25">
      <c r="A1671" s="2033"/>
      <c r="B1671" s="1631"/>
      <c r="C1671" s="2805" t="s">
        <v>2524</v>
      </c>
      <c r="D1671" s="2805"/>
      <c r="E1671" s="2805"/>
      <c r="F1671" s="1683" t="s">
        <v>807</v>
      </c>
      <c r="G1671" s="1655">
        <v>3.69</v>
      </c>
      <c r="H1671" s="1641"/>
      <c r="I1671" s="2035">
        <v>4.3910999999999998</v>
      </c>
      <c r="J1671" s="1640"/>
      <c r="K1671" s="1641"/>
      <c r="L1671" s="1640"/>
      <c r="M1671" s="1641"/>
      <c r="N1671" s="1681"/>
      <c r="EW1671" s="2031"/>
      <c r="EX1671" s="1619"/>
      <c r="EY1671" s="1628"/>
      <c r="EZ1671" s="1628"/>
      <c r="FA1671" s="1628"/>
      <c r="FF1671" s="1864" t="s">
        <v>2524</v>
      </c>
      <c r="FH1671" s="1628"/>
      <c r="FU1671" s="1678"/>
      <c r="FW1671" s="1678"/>
    </row>
    <row r="1672" spans="1:179" s="1484" customFormat="1" ht="15" x14ac:dyDescent="0.25">
      <c r="A1672" s="2033"/>
      <c r="B1672" s="1631"/>
      <c r="C1672" s="2805" t="s">
        <v>2501</v>
      </c>
      <c r="D1672" s="2805"/>
      <c r="E1672" s="2805"/>
      <c r="F1672" s="1683" t="s">
        <v>807</v>
      </c>
      <c r="G1672" s="1655">
        <v>0.05</v>
      </c>
      <c r="H1672" s="1641"/>
      <c r="I1672" s="2035">
        <v>5.9499999999999997E-2</v>
      </c>
      <c r="J1672" s="1640"/>
      <c r="K1672" s="1641"/>
      <c r="L1672" s="1640"/>
      <c r="M1672" s="1641"/>
      <c r="N1672" s="1681"/>
      <c r="EW1672" s="2031"/>
      <c r="EX1672" s="1619"/>
      <c r="EY1672" s="1628"/>
      <c r="EZ1672" s="1628"/>
      <c r="FA1672" s="1628"/>
      <c r="FF1672" s="1864" t="s">
        <v>2501</v>
      </c>
      <c r="FH1672" s="1628"/>
      <c r="FU1672" s="1678"/>
      <c r="FW1672" s="1678"/>
    </row>
    <row r="1673" spans="1:179" s="1484" customFormat="1" ht="15" x14ac:dyDescent="0.25">
      <c r="A1673" s="2032"/>
      <c r="B1673" s="1631"/>
      <c r="C1673" s="2917" t="s">
        <v>2502</v>
      </c>
      <c r="D1673" s="2917"/>
      <c r="E1673" s="2917"/>
      <c r="F1673" s="2036"/>
      <c r="G1673" s="2037"/>
      <c r="H1673" s="2037"/>
      <c r="I1673" s="2037"/>
      <c r="J1673" s="2044">
        <v>57.85</v>
      </c>
      <c r="K1673" s="2037"/>
      <c r="L1673" s="2044">
        <v>78.92</v>
      </c>
      <c r="M1673" s="2037"/>
      <c r="N1673" s="2068">
        <v>2136.52</v>
      </c>
      <c r="EW1673" s="2031"/>
      <c r="EX1673" s="1619"/>
      <c r="EY1673" s="1628"/>
      <c r="EZ1673" s="1628"/>
      <c r="FA1673" s="1628"/>
      <c r="FG1673" s="1864" t="s">
        <v>2502</v>
      </c>
      <c r="FH1673" s="1628"/>
      <c r="FU1673" s="1678"/>
      <c r="FW1673" s="1678"/>
    </row>
    <row r="1674" spans="1:179" s="1484" customFormat="1" ht="15" x14ac:dyDescent="0.25">
      <c r="A1674" s="2033" t="s">
        <v>8238</v>
      </c>
      <c r="B1674" s="1631"/>
      <c r="C1674" s="2805" t="s">
        <v>7964</v>
      </c>
      <c r="D1674" s="2805"/>
      <c r="E1674" s="2805"/>
      <c r="F1674" s="1683" t="s">
        <v>5928</v>
      </c>
      <c r="G1674" s="1641"/>
      <c r="H1674" s="1641"/>
      <c r="I1674" s="1641"/>
      <c r="J1674" s="1640"/>
      <c r="K1674" s="1641"/>
      <c r="L1674" s="1654">
        <v>0.17</v>
      </c>
      <c r="M1674" s="1641"/>
      <c r="N1674" s="2039">
        <v>6.08</v>
      </c>
      <c r="EW1674" s="2031"/>
      <c r="EX1674" s="1619"/>
      <c r="EY1674" s="1628"/>
      <c r="EZ1674" s="1628"/>
      <c r="FA1674" s="1628"/>
      <c r="FF1674" s="1864" t="s">
        <v>7964</v>
      </c>
      <c r="FH1674" s="1628"/>
      <c r="FU1674" s="1678"/>
      <c r="FW1674" s="1678"/>
    </row>
    <row r="1675" spans="1:179" s="1484" customFormat="1" ht="15" x14ac:dyDescent="0.25">
      <c r="A1675" s="2033"/>
      <c r="B1675" s="1631"/>
      <c r="C1675" s="2805" t="s">
        <v>7965</v>
      </c>
      <c r="D1675" s="2805"/>
      <c r="E1675" s="2805"/>
      <c r="F1675" s="1683" t="s">
        <v>5928</v>
      </c>
      <c r="G1675" s="1641"/>
      <c r="H1675" s="1641"/>
      <c r="I1675" s="1641"/>
      <c r="J1675" s="1654">
        <v>0.57999999999999996</v>
      </c>
      <c r="K1675" s="1655">
        <v>0.25</v>
      </c>
      <c r="L1675" s="1654">
        <v>0.17</v>
      </c>
      <c r="M1675" s="1655">
        <v>35.75</v>
      </c>
      <c r="N1675" s="2039">
        <v>6.08</v>
      </c>
      <c r="EW1675" s="2031"/>
      <c r="EX1675" s="1619"/>
      <c r="EY1675" s="1628"/>
      <c r="EZ1675" s="1628"/>
      <c r="FA1675" s="1628"/>
      <c r="FF1675" s="1864" t="s">
        <v>7965</v>
      </c>
      <c r="FH1675" s="1628"/>
      <c r="FU1675" s="1678"/>
      <c r="FW1675" s="1678"/>
    </row>
    <row r="1676" spans="1:179" s="1484" customFormat="1" ht="15" x14ac:dyDescent="0.25">
      <c r="A1676" s="2033"/>
      <c r="B1676" s="1631"/>
      <c r="C1676" s="2805" t="s">
        <v>867</v>
      </c>
      <c r="D1676" s="2805"/>
      <c r="E1676" s="2805"/>
      <c r="F1676" s="1683"/>
      <c r="G1676" s="1641"/>
      <c r="H1676" s="1641"/>
      <c r="I1676" s="1641"/>
      <c r="J1676" s="1640"/>
      <c r="K1676" s="1641"/>
      <c r="L1676" s="1654">
        <v>51.24</v>
      </c>
      <c r="M1676" s="1641"/>
      <c r="N1676" s="1679">
        <v>1831.84</v>
      </c>
      <c r="EW1676" s="2031"/>
      <c r="EX1676" s="1619"/>
      <c r="EY1676" s="1628"/>
      <c r="EZ1676" s="1628"/>
      <c r="FA1676" s="1628"/>
      <c r="FF1676" s="1864" t="s">
        <v>867</v>
      </c>
      <c r="FH1676" s="1628"/>
      <c r="FU1676" s="1678"/>
      <c r="FW1676" s="1678"/>
    </row>
    <row r="1677" spans="1:179" s="1484" customFormat="1" ht="15" x14ac:dyDescent="0.25">
      <c r="A1677" s="2033"/>
      <c r="B1677" s="1631" t="s">
        <v>7966</v>
      </c>
      <c r="C1677" s="2805" t="s">
        <v>7967</v>
      </c>
      <c r="D1677" s="2805"/>
      <c r="E1677" s="2805"/>
      <c r="F1677" s="1683" t="s">
        <v>636</v>
      </c>
      <c r="G1677" s="2034">
        <v>100</v>
      </c>
      <c r="H1677" s="1641"/>
      <c r="I1677" s="2034">
        <v>100</v>
      </c>
      <c r="J1677" s="1640"/>
      <c r="K1677" s="1641"/>
      <c r="L1677" s="1654">
        <v>51.24</v>
      </c>
      <c r="M1677" s="1641"/>
      <c r="N1677" s="1679">
        <v>1831.84</v>
      </c>
      <c r="EW1677" s="2031"/>
      <c r="EX1677" s="1619"/>
      <c r="EY1677" s="1628"/>
      <c r="EZ1677" s="1628"/>
      <c r="FA1677" s="1628"/>
      <c r="FF1677" s="1864" t="s">
        <v>7967</v>
      </c>
      <c r="FH1677" s="1628"/>
      <c r="FU1677" s="1678"/>
      <c r="FW1677" s="1678"/>
    </row>
    <row r="1678" spans="1:179" s="1484" customFormat="1" ht="15" x14ac:dyDescent="0.25">
      <c r="A1678" s="2033"/>
      <c r="B1678" s="1631" t="s">
        <v>7968</v>
      </c>
      <c r="C1678" s="2805" t="s">
        <v>7969</v>
      </c>
      <c r="D1678" s="2805"/>
      <c r="E1678" s="2805"/>
      <c r="F1678" s="1683" t="s">
        <v>636</v>
      </c>
      <c r="G1678" s="2034">
        <v>49</v>
      </c>
      <c r="H1678" s="1641"/>
      <c r="I1678" s="2034">
        <v>49</v>
      </c>
      <c r="J1678" s="1640"/>
      <c r="K1678" s="1641"/>
      <c r="L1678" s="1654">
        <v>25.11</v>
      </c>
      <c r="M1678" s="1641"/>
      <c r="N1678" s="2039">
        <v>897.6</v>
      </c>
      <c r="EW1678" s="2031"/>
      <c r="EX1678" s="1619"/>
      <c r="EY1678" s="1628"/>
      <c r="EZ1678" s="1628"/>
      <c r="FA1678" s="1628"/>
      <c r="FF1678" s="1864" t="s">
        <v>7969</v>
      </c>
      <c r="FH1678" s="1628"/>
      <c r="FU1678" s="1678"/>
      <c r="FW1678" s="1678"/>
    </row>
    <row r="1679" spans="1:179" s="1484" customFormat="1" ht="15" x14ac:dyDescent="0.25">
      <c r="A1679" s="1650"/>
      <c r="B1679" s="1651"/>
      <c r="C1679" s="2803" t="s">
        <v>872</v>
      </c>
      <c r="D1679" s="2803"/>
      <c r="E1679" s="2803"/>
      <c r="F1679" s="1621"/>
      <c r="G1679" s="1622"/>
      <c r="H1679" s="1622"/>
      <c r="I1679" s="1622"/>
      <c r="J1679" s="1625"/>
      <c r="K1679" s="1622"/>
      <c r="L1679" s="2040">
        <v>155.44</v>
      </c>
      <c r="M1679" s="2037"/>
      <c r="N1679" s="1649">
        <v>4872.04</v>
      </c>
      <c r="EW1679" s="2031"/>
      <c r="EX1679" s="1619"/>
      <c r="EY1679" s="1628"/>
      <c r="EZ1679" s="1628"/>
      <c r="FA1679" s="1628"/>
      <c r="FH1679" s="1628" t="s">
        <v>872</v>
      </c>
      <c r="FU1679" s="1678"/>
      <c r="FW1679" s="1678"/>
    </row>
    <row r="1680" spans="1:179" s="1484" customFormat="1" ht="33.75" x14ac:dyDescent="0.25">
      <c r="A1680" s="1620" t="s">
        <v>8239</v>
      </c>
      <c r="B1680" s="1863" t="s">
        <v>8062</v>
      </c>
      <c r="C1680" s="2803" t="s">
        <v>4978</v>
      </c>
      <c r="D1680" s="2803"/>
      <c r="E1680" s="2803"/>
      <c r="F1680" s="1621" t="s">
        <v>835</v>
      </c>
      <c r="G1680" s="1622">
        <v>16.422000000000001</v>
      </c>
      <c r="H1680" s="1623">
        <v>1</v>
      </c>
      <c r="I1680" s="2045">
        <v>16.422000000000001</v>
      </c>
      <c r="J1680" s="2040">
        <v>13.08</v>
      </c>
      <c r="K1680" s="1622"/>
      <c r="L1680" s="2040">
        <v>214.8</v>
      </c>
      <c r="M1680" s="1687">
        <v>9.14</v>
      </c>
      <c r="N1680" s="1649">
        <v>1963.27</v>
      </c>
      <c r="EW1680" s="2031"/>
      <c r="EX1680" s="1619"/>
      <c r="EY1680" s="1628" t="s">
        <v>4978</v>
      </c>
      <c r="EZ1680" s="1628" t="s">
        <v>588</v>
      </c>
      <c r="FA1680" s="1628" t="s">
        <v>588</v>
      </c>
      <c r="FH1680" s="1628"/>
      <c r="FU1680" s="1678"/>
      <c r="FW1680" s="1678"/>
    </row>
    <row r="1681" spans="1:179" s="1484" customFormat="1" ht="15" x14ac:dyDescent="0.25">
      <c r="A1681" s="1650"/>
      <c r="B1681" s="1651"/>
      <c r="C1681" s="2805" t="s">
        <v>8689</v>
      </c>
      <c r="D1681" s="2805"/>
      <c r="E1681" s="2805"/>
      <c r="F1681" s="2805"/>
      <c r="G1681" s="2805"/>
      <c r="H1681" s="2805"/>
      <c r="I1681" s="2805"/>
      <c r="J1681" s="2805"/>
      <c r="K1681" s="2805"/>
      <c r="L1681" s="2805"/>
      <c r="M1681" s="2805"/>
      <c r="N1681" s="2806"/>
      <c r="EW1681" s="2031"/>
      <c r="EX1681" s="1619"/>
      <c r="EY1681" s="1628"/>
      <c r="EZ1681" s="1628"/>
      <c r="FA1681" s="1628"/>
      <c r="FH1681" s="1628"/>
      <c r="FI1681" s="1864" t="s">
        <v>8689</v>
      </c>
      <c r="FJ1681" s="1864" t="s">
        <v>588</v>
      </c>
      <c r="FK1681" s="1864" t="s">
        <v>588</v>
      </c>
      <c r="FL1681" s="1864" t="s">
        <v>588</v>
      </c>
      <c r="FM1681" s="1864" t="s">
        <v>588</v>
      </c>
      <c r="FN1681" s="1864" t="s">
        <v>588</v>
      </c>
      <c r="FO1681" s="1864" t="s">
        <v>588</v>
      </c>
      <c r="FP1681" s="1864" t="s">
        <v>588</v>
      </c>
      <c r="FQ1681" s="1864" t="s">
        <v>588</v>
      </c>
      <c r="FR1681" s="1864" t="s">
        <v>588</v>
      </c>
      <c r="FS1681" s="1864" t="s">
        <v>588</v>
      </c>
      <c r="FT1681" s="1864" t="s">
        <v>588</v>
      </c>
      <c r="FU1681" s="1678"/>
      <c r="FW1681" s="1678"/>
    </row>
    <row r="1682" spans="1:179" s="1484" customFormat="1" ht="15" x14ac:dyDescent="0.25">
      <c r="A1682" s="1650"/>
      <c r="B1682" s="1651"/>
      <c r="C1682" s="2803" t="s">
        <v>872</v>
      </c>
      <c r="D1682" s="2803"/>
      <c r="E1682" s="2803"/>
      <c r="F1682" s="1621"/>
      <c r="G1682" s="1622"/>
      <c r="H1682" s="1622"/>
      <c r="I1682" s="1622"/>
      <c r="J1682" s="1625"/>
      <c r="K1682" s="1622"/>
      <c r="L1682" s="2040">
        <v>214.8</v>
      </c>
      <c r="M1682" s="2037"/>
      <c r="N1682" s="1649">
        <v>1963.27</v>
      </c>
      <c r="EW1682" s="2031"/>
      <c r="EX1682" s="1619"/>
      <c r="EY1682" s="1628"/>
      <c r="EZ1682" s="1628"/>
      <c r="FA1682" s="1628"/>
      <c r="FH1682" s="1628" t="s">
        <v>872</v>
      </c>
      <c r="FU1682" s="1678"/>
      <c r="FW1682" s="1678"/>
    </row>
    <row r="1683" spans="1:179" s="1484" customFormat="1" ht="15" x14ac:dyDescent="0.25">
      <c r="A1683" s="2811" t="s">
        <v>8240</v>
      </c>
      <c r="B1683" s="2812"/>
      <c r="C1683" s="2812"/>
      <c r="D1683" s="2812"/>
      <c r="E1683" s="2812"/>
      <c r="F1683" s="2812"/>
      <c r="G1683" s="2812"/>
      <c r="H1683" s="2812"/>
      <c r="I1683" s="2812"/>
      <c r="J1683" s="2812"/>
      <c r="K1683" s="2812"/>
      <c r="L1683" s="2812"/>
      <c r="M1683" s="2812"/>
      <c r="N1683" s="2813"/>
      <c r="EW1683" s="2031"/>
      <c r="EX1683" s="1619" t="s">
        <v>8240</v>
      </c>
      <c r="EY1683" s="1628"/>
      <c r="EZ1683" s="1628"/>
      <c r="FA1683" s="1628"/>
      <c r="FH1683" s="1628"/>
      <c r="FU1683" s="1678"/>
      <c r="FW1683" s="1678"/>
    </row>
    <row r="1684" spans="1:179" s="1484" customFormat="1" ht="15" x14ac:dyDescent="0.25">
      <c r="A1684" s="2811" t="s">
        <v>8241</v>
      </c>
      <c r="B1684" s="2812"/>
      <c r="C1684" s="2812"/>
      <c r="D1684" s="2812"/>
      <c r="E1684" s="2812"/>
      <c r="F1684" s="2812"/>
      <c r="G1684" s="2812"/>
      <c r="H1684" s="2812"/>
      <c r="I1684" s="2812"/>
      <c r="J1684" s="2812"/>
      <c r="K1684" s="2812"/>
      <c r="L1684" s="2812"/>
      <c r="M1684" s="2812"/>
      <c r="N1684" s="2813"/>
      <c r="EW1684" s="2031"/>
      <c r="EX1684" s="1619" t="s">
        <v>8241</v>
      </c>
      <c r="EY1684" s="1628"/>
      <c r="EZ1684" s="1628"/>
      <c r="FA1684" s="1628"/>
      <c r="FH1684" s="1628"/>
      <c r="FU1684" s="1678"/>
      <c r="FW1684" s="1678"/>
    </row>
    <row r="1685" spans="1:179" s="1484" customFormat="1" ht="22.5" x14ac:dyDescent="0.25">
      <c r="A1685" s="1620" t="s">
        <v>8242</v>
      </c>
      <c r="B1685" s="1863" t="s">
        <v>8139</v>
      </c>
      <c r="C1685" s="2803" t="s">
        <v>8140</v>
      </c>
      <c r="D1685" s="2803"/>
      <c r="E1685" s="2803"/>
      <c r="F1685" s="1621" t="s">
        <v>2555</v>
      </c>
      <c r="G1685" s="1622">
        <v>0.36199999999999999</v>
      </c>
      <c r="H1685" s="1623">
        <v>1</v>
      </c>
      <c r="I1685" s="2045">
        <v>0.36199999999999999</v>
      </c>
      <c r="J1685" s="1625"/>
      <c r="K1685" s="1622"/>
      <c r="L1685" s="1625"/>
      <c r="M1685" s="1622"/>
      <c r="N1685" s="1627"/>
      <c r="EW1685" s="2031"/>
      <c r="EX1685" s="1619"/>
      <c r="EY1685" s="1628" t="s">
        <v>8140</v>
      </c>
      <c r="EZ1685" s="1628" t="s">
        <v>588</v>
      </c>
      <c r="FA1685" s="1628" t="s">
        <v>588</v>
      </c>
      <c r="FH1685" s="1628"/>
      <c r="FU1685" s="1678"/>
      <c r="FW1685" s="1678"/>
    </row>
    <row r="1686" spans="1:179" s="1484" customFormat="1" ht="15" x14ac:dyDescent="0.25">
      <c r="A1686" s="1629"/>
      <c r="B1686" s="1862"/>
      <c r="C1686" s="2805" t="s">
        <v>8814</v>
      </c>
      <c r="D1686" s="2805"/>
      <c r="E1686" s="2805"/>
      <c r="F1686" s="2805"/>
      <c r="G1686" s="2805"/>
      <c r="H1686" s="2805"/>
      <c r="I1686" s="2805"/>
      <c r="J1686" s="2805"/>
      <c r="K1686" s="2805"/>
      <c r="L1686" s="2805"/>
      <c r="M1686" s="2805"/>
      <c r="N1686" s="2806"/>
      <c r="EW1686" s="2031"/>
      <c r="EX1686" s="1619"/>
      <c r="EY1686" s="1628"/>
      <c r="EZ1686" s="1628"/>
      <c r="FA1686" s="1628"/>
      <c r="FB1686" s="1864" t="s">
        <v>8814</v>
      </c>
      <c r="FH1686" s="1628"/>
      <c r="FU1686" s="1678"/>
      <c r="FW1686" s="1678"/>
    </row>
    <row r="1687" spans="1:179" s="1484" customFormat="1" ht="22.5" x14ac:dyDescent="0.25">
      <c r="A1687" s="1630"/>
      <c r="B1687" s="1631" t="s">
        <v>6062</v>
      </c>
      <c r="C1687" s="2809" t="s">
        <v>6063</v>
      </c>
      <c r="D1687" s="2809"/>
      <c r="E1687" s="2809"/>
      <c r="F1687" s="2809"/>
      <c r="G1687" s="2809"/>
      <c r="H1687" s="2809"/>
      <c r="I1687" s="2809"/>
      <c r="J1687" s="2809"/>
      <c r="K1687" s="2809"/>
      <c r="L1687" s="2809"/>
      <c r="M1687" s="2809"/>
      <c r="N1687" s="2810"/>
      <c r="EW1687" s="2031"/>
      <c r="EX1687" s="1619"/>
      <c r="EY1687" s="1628"/>
      <c r="EZ1687" s="1628"/>
      <c r="FA1687" s="1628"/>
      <c r="FC1687" s="1864" t="s">
        <v>6063</v>
      </c>
      <c r="FH1687" s="1628"/>
      <c r="FU1687" s="1678"/>
      <c r="FW1687" s="1678"/>
    </row>
    <row r="1688" spans="1:179" s="1484" customFormat="1" ht="22.5" x14ac:dyDescent="0.25">
      <c r="A1688" s="2033"/>
      <c r="B1688" s="1631" t="s">
        <v>8756</v>
      </c>
      <c r="C1688" s="2805" t="s">
        <v>8755</v>
      </c>
      <c r="D1688" s="2805"/>
      <c r="E1688" s="2805"/>
      <c r="F1688" s="1683" t="s">
        <v>807</v>
      </c>
      <c r="G1688" s="1953">
        <v>35.6</v>
      </c>
      <c r="H1688" s="1641"/>
      <c r="I1688" s="2035">
        <v>12.8872</v>
      </c>
      <c r="J1688" s="1654">
        <v>7.94</v>
      </c>
      <c r="K1688" s="1655">
        <v>1.25</v>
      </c>
      <c r="L1688" s="1654">
        <v>127.91</v>
      </c>
      <c r="M1688" s="1641"/>
      <c r="N1688" s="1681"/>
      <c r="EW1688" s="2031"/>
      <c r="EX1688" s="1619"/>
      <c r="EY1688" s="1628"/>
      <c r="EZ1688" s="1628"/>
      <c r="FA1688" s="1628"/>
      <c r="FD1688" s="1864" t="s">
        <v>8755</v>
      </c>
      <c r="FH1688" s="1628"/>
      <c r="FU1688" s="1678"/>
      <c r="FW1688" s="1678"/>
    </row>
    <row r="1689" spans="1:179" s="1484" customFormat="1" ht="22.5" x14ac:dyDescent="0.25">
      <c r="A1689" s="2033"/>
      <c r="B1689" s="1631" t="s">
        <v>5010</v>
      </c>
      <c r="C1689" s="2805" t="s">
        <v>5011</v>
      </c>
      <c r="D1689" s="2805"/>
      <c r="E1689" s="2805"/>
      <c r="F1689" s="1683" t="s">
        <v>4994</v>
      </c>
      <c r="G1689" s="1655">
        <v>1.27</v>
      </c>
      <c r="H1689" s="1641"/>
      <c r="I1689" s="2042">
        <v>0.45973999999999998</v>
      </c>
      <c r="J1689" s="1654">
        <v>31.26</v>
      </c>
      <c r="K1689" s="1641"/>
      <c r="L1689" s="1654">
        <v>14.37</v>
      </c>
      <c r="M1689" s="1641"/>
      <c r="N1689" s="1681"/>
      <c r="EW1689" s="2031"/>
      <c r="EX1689" s="1619"/>
      <c r="EY1689" s="1628"/>
      <c r="EZ1689" s="1628"/>
      <c r="FA1689" s="1628"/>
      <c r="FD1689" s="1864" t="s">
        <v>5011</v>
      </c>
      <c r="FH1689" s="1628"/>
      <c r="FU1689" s="1678"/>
      <c r="FW1689" s="1678"/>
    </row>
    <row r="1690" spans="1:179" s="1484" customFormat="1" ht="15" x14ac:dyDescent="0.25">
      <c r="A1690" s="2033"/>
      <c r="B1690" s="1631" t="s">
        <v>5012</v>
      </c>
      <c r="C1690" s="2805" t="s">
        <v>5013</v>
      </c>
      <c r="D1690" s="2805"/>
      <c r="E1690" s="2805"/>
      <c r="F1690" s="1683" t="s">
        <v>4994</v>
      </c>
      <c r="G1690" s="1655">
        <v>7.82</v>
      </c>
      <c r="H1690" s="1641"/>
      <c r="I1690" s="2042">
        <v>2.8308399999999998</v>
      </c>
      <c r="J1690" s="1654">
        <v>0.5</v>
      </c>
      <c r="K1690" s="1641"/>
      <c r="L1690" s="1654">
        <v>1.42</v>
      </c>
      <c r="M1690" s="1641"/>
      <c r="N1690" s="1681"/>
      <c r="EW1690" s="2031"/>
      <c r="EX1690" s="1619"/>
      <c r="EY1690" s="1628"/>
      <c r="EZ1690" s="1628"/>
      <c r="FA1690" s="1628"/>
      <c r="FD1690" s="1864" t="s">
        <v>5013</v>
      </c>
      <c r="FH1690" s="1628"/>
      <c r="FU1690" s="1678"/>
      <c r="FW1690" s="1678"/>
    </row>
    <row r="1691" spans="1:179" s="1484" customFormat="1" ht="15" x14ac:dyDescent="0.25">
      <c r="A1691" s="2033"/>
      <c r="B1691" s="1631" t="s">
        <v>1755</v>
      </c>
      <c r="C1691" s="2805" t="s">
        <v>2634</v>
      </c>
      <c r="D1691" s="2805"/>
      <c r="E1691" s="2805"/>
      <c r="F1691" s="1683" t="s">
        <v>832</v>
      </c>
      <c r="G1691" s="1953">
        <v>3.5</v>
      </c>
      <c r="H1691" s="1641"/>
      <c r="I1691" s="2046">
        <v>1.2669999999999999</v>
      </c>
      <c r="J1691" s="1654">
        <v>2.44</v>
      </c>
      <c r="K1691" s="1641"/>
      <c r="L1691" s="1654">
        <v>3.09</v>
      </c>
      <c r="M1691" s="1641"/>
      <c r="N1691" s="1681"/>
      <c r="EW1691" s="2031"/>
      <c r="EX1691" s="1619"/>
      <c r="EY1691" s="1628"/>
      <c r="EZ1691" s="1628"/>
      <c r="FA1691" s="1628"/>
      <c r="FD1691" s="1864" t="s">
        <v>2634</v>
      </c>
      <c r="FH1691" s="1628"/>
      <c r="FU1691" s="1678"/>
      <c r="FW1691" s="1678"/>
    </row>
    <row r="1692" spans="1:179" s="1484" customFormat="1" ht="15" x14ac:dyDescent="0.25">
      <c r="A1692" s="2032"/>
      <c r="B1692" s="1631" t="s">
        <v>190</v>
      </c>
      <c r="C1692" s="2805" t="s">
        <v>2523</v>
      </c>
      <c r="D1692" s="2805"/>
      <c r="E1692" s="2805"/>
      <c r="F1692" s="1683"/>
      <c r="G1692" s="1641"/>
      <c r="H1692" s="1641"/>
      <c r="I1692" s="1641"/>
      <c r="J1692" s="1654">
        <v>282.66000000000003</v>
      </c>
      <c r="K1692" s="1655">
        <v>1.25</v>
      </c>
      <c r="L1692" s="1654">
        <v>127.9</v>
      </c>
      <c r="M1692" s="1655">
        <v>35.75</v>
      </c>
      <c r="N1692" s="1679">
        <v>4572.43</v>
      </c>
      <c r="EW1692" s="2031"/>
      <c r="EX1692" s="1619"/>
      <c r="EY1692" s="1628"/>
      <c r="EZ1692" s="1628"/>
      <c r="FA1692" s="1628"/>
      <c r="FE1692" s="1864" t="s">
        <v>2523</v>
      </c>
      <c r="FH1692" s="1628"/>
      <c r="FU1692" s="1678"/>
      <c r="FW1692" s="1678"/>
    </row>
    <row r="1693" spans="1:179" s="1484" customFormat="1" ht="15" x14ac:dyDescent="0.25">
      <c r="A1693" s="2032"/>
      <c r="B1693" s="1631" t="s">
        <v>639</v>
      </c>
      <c r="C1693" s="2805" t="s">
        <v>697</v>
      </c>
      <c r="D1693" s="2805"/>
      <c r="E1693" s="2805"/>
      <c r="F1693" s="1683"/>
      <c r="G1693" s="1641"/>
      <c r="H1693" s="1641"/>
      <c r="I1693" s="1641"/>
      <c r="J1693" s="1654">
        <v>43.61</v>
      </c>
      <c r="K1693" s="1641"/>
      <c r="L1693" s="1654">
        <v>15.79</v>
      </c>
      <c r="M1693" s="1655">
        <v>11.97</v>
      </c>
      <c r="N1693" s="2039">
        <v>189.01</v>
      </c>
      <c r="EW1693" s="2031"/>
      <c r="EX1693" s="1619"/>
      <c r="EY1693" s="1628"/>
      <c r="EZ1693" s="1628"/>
      <c r="FA1693" s="1628"/>
      <c r="FE1693" s="1864" t="s">
        <v>697</v>
      </c>
      <c r="FH1693" s="1628"/>
      <c r="FU1693" s="1678"/>
      <c r="FW1693" s="1678"/>
    </row>
    <row r="1694" spans="1:179" s="1484" customFormat="1" ht="15" x14ac:dyDescent="0.25">
      <c r="A1694" s="2032"/>
      <c r="B1694" s="1631" t="s">
        <v>640</v>
      </c>
      <c r="C1694" s="2805" t="s">
        <v>2500</v>
      </c>
      <c r="D1694" s="2805"/>
      <c r="E1694" s="2805"/>
      <c r="F1694" s="1683"/>
      <c r="G1694" s="1641"/>
      <c r="H1694" s="1641"/>
      <c r="I1694" s="1641"/>
      <c r="J1694" s="1654">
        <v>17.149999999999999</v>
      </c>
      <c r="K1694" s="1641"/>
      <c r="L1694" s="1654">
        <v>6.21</v>
      </c>
      <c r="M1694" s="1655">
        <v>35.75</v>
      </c>
      <c r="N1694" s="2039">
        <v>222.01</v>
      </c>
      <c r="EW1694" s="2031"/>
      <c r="EX1694" s="1619"/>
      <c r="EY1694" s="1628"/>
      <c r="EZ1694" s="1628"/>
      <c r="FA1694" s="1628"/>
      <c r="FE1694" s="1864" t="s">
        <v>2500</v>
      </c>
      <c r="FH1694" s="1628"/>
      <c r="FU1694" s="1678"/>
      <c r="FW1694" s="1678"/>
    </row>
    <row r="1695" spans="1:179" s="1484" customFormat="1" ht="15" x14ac:dyDescent="0.25">
      <c r="A1695" s="2032"/>
      <c r="B1695" s="1631" t="s">
        <v>232</v>
      </c>
      <c r="C1695" s="2805" t="s">
        <v>829</v>
      </c>
      <c r="D1695" s="2805"/>
      <c r="E1695" s="2805"/>
      <c r="F1695" s="1683"/>
      <c r="G1695" s="1641"/>
      <c r="H1695" s="1641"/>
      <c r="I1695" s="1641"/>
      <c r="J1695" s="1654">
        <v>8.5399999999999991</v>
      </c>
      <c r="K1695" s="1641"/>
      <c r="L1695" s="1654">
        <v>3.09</v>
      </c>
      <c r="M1695" s="1655">
        <v>9.14</v>
      </c>
      <c r="N1695" s="2039">
        <v>28.24</v>
      </c>
      <c r="EW1695" s="2031"/>
      <c r="EX1695" s="1619"/>
      <c r="EY1695" s="1628"/>
      <c r="EZ1695" s="1628"/>
      <c r="FA1695" s="1628"/>
      <c r="FE1695" s="1864" t="s">
        <v>829</v>
      </c>
      <c r="FH1695" s="1628"/>
      <c r="FU1695" s="1678"/>
      <c r="FW1695" s="1678"/>
    </row>
    <row r="1696" spans="1:179" s="1484" customFormat="1" ht="15" x14ac:dyDescent="0.25">
      <c r="A1696" s="2033"/>
      <c r="B1696" s="1631"/>
      <c r="C1696" s="2805" t="s">
        <v>2524</v>
      </c>
      <c r="D1696" s="2805"/>
      <c r="E1696" s="2805"/>
      <c r="F1696" s="1683" t="s">
        <v>807</v>
      </c>
      <c r="G1696" s="1953">
        <v>35.6</v>
      </c>
      <c r="H1696" s="1641"/>
      <c r="I1696" s="2035">
        <v>12.8872</v>
      </c>
      <c r="J1696" s="1640"/>
      <c r="K1696" s="1641"/>
      <c r="L1696" s="1640"/>
      <c r="M1696" s="1641"/>
      <c r="N1696" s="1681"/>
      <c r="EW1696" s="2031"/>
      <c r="EX1696" s="1619"/>
      <c r="EY1696" s="1628"/>
      <c r="EZ1696" s="1628"/>
      <c r="FA1696" s="1628"/>
      <c r="FF1696" s="1864" t="s">
        <v>2524</v>
      </c>
      <c r="FH1696" s="1628"/>
      <c r="FU1696" s="1678"/>
      <c r="FW1696" s="1678"/>
    </row>
    <row r="1697" spans="1:179" s="1484" customFormat="1" ht="15" x14ac:dyDescent="0.25">
      <c r="A1697" s="2033"/>
      <c r="B1697" s="1631"/>
      <c r="C1697" s="2805" t="s">
        <v>2501</v>
      </c>
      <c r="D1697" s="2805"/>
      <c r="E1697" s="2805"/>
      <c r="F1697" s="1683" t="s">
        <v>807</v>
      </c>
      <c r="G1697" s="1655">
        <v>1.27</v>
      </c>
      <c r="H1697" s="1641"/>
      <c r="I1697" s="2042">
        <v>0.45973999999999998</v>
      </c>
      <c r="J1697" s="1640"/>
      <c r="K1697" s="1641"/>
      <c r="L1697" s="1640"/>
      <c r="M1697" s="1641"/>
      <c r="N1697" s="1681"/>
      <c r="EW1697" s="2031"/>
      <c r="EX1697" s="1619"/>
      <c r="EY1697" s="1628"/>
      <c r="EZ1697" s="1628"/>
      <c r="FA1697" s="1628"/>
      <c r="FF1697" s="1864" t="s">
        <v>2501</v>
      </c>
      <c r="FH1697" s="1628"/>
      <c r="FU1697" s="1678"/>
      <c r="FW1697" s="1678"/>
    </row>
    <row r="1698" spans="1:179" s="1484" customFormat="1" ht="15" x14ac:dyDescent="0.25">
      <c r="A1698" s="2032"/>
      <c r="B1698" s="1631"/>
      <c r="C1698" s="2917" t="s">
        <v>2502</v>
      </c>
      <c r="D1698" s="2917"/>
      <c r="E1698" s="2917"/>
      <c r="F1698" s="2036"/>
      <c r="G1698" s="2037"/>
      <c r="H1698" s="2037"/>
      <c r="I1698" s="2037"/>
      <c r="J1698" s="2044">
        <v>334.81</v>
      </c>
      <c r="K1698" s="2037"/>
      <c r="L1698" s="2044">
        <v>146.78</v>
      </c>
      <c r="M1698" s="2037"/>
      <c r="N1698" s="2068">
        <v>4789.68</v>
      </c>
      <c r="EW1698" s="2031"/>
      <c r="EX1698" s="1619"/>
      <c r="EY1698" s="1628"/>
      <c r="EZ1698" s="1628"/>
      <c r="FA1698" s="1628"/>
      <c r="FG1698" s="1864" t="s">
        <v>2502</v>
      </c>
      <c r="FH1698" s="1628"/>
      <c r="FU1698" s="1678"/>
      <c r="FW1698" s="1678"/>
    </row>
    <row r="1699" spans="1:179" s="1484" customFormat="1" ht="15" x14ac:dyDescent="0.25">
      <c r="A1699" s="2033" t="s">
        <v>8243</v>
      </c>
      <c r="B1699" s="1631"/>
      <c r="C1699" s="2805" t="s">
        <v>7964</v>
      </c>
      <c r="D1699" s="2805"/>
      <c r="E1699" s="2805"/>
      <c r="F1699" s="1683" t="s">
        <v>5928</v>
      </c>
      <c r="G1699" s="1641"/>
      <c r="H1699" s="1641"/>
      <c r="I1699" s="1641"/>
      <c r="J1699" s="1640"/>
      <c r="K1699" s="1641"/>
      <c r="L1699" s="1654">
        <v>1.55</v>
      </c>
      <c r="M1699" s="1641"/>
      <c r="N1699" s="2039">
        <v>55.41</v>
      </c>
      <c r="EW1699" s="2031"/>
      <c r="EX1699" s="1619"/>
      <c r="EY1699" s="1628"/>
      <c r="EZ1699" s="1628"/>
      <c r="FA1699" s="1628"/>
      <c r="FF1699" s="1864" t="s">
        <v>7964</v>
      </c>
      <c r="FH1699" s="1628"/>
      <c r="FU1699" s="1678"/>
      <c r="FW1699" s="1678"/>
    </row>
    <row r="1700" spans="1:179" s="1484" customFormat="1" ht="15" x14ac:dyDescent="0.25">
      <c r="A1700" s="2033"/>
      <c r="B1700" s="1631"/>
      <c r="C1700" s="2805" t="s">
        <v>7965</v>
      </c>
      <c r="D1700" s="2805"/>
      <c r="E1700" s="2805"/>
      <c r="F1700" s="1683" t="s">
        <v>5928</v>
      </c>
      <c r="G1700" s="1641"/>
      <c r="H1700" s="1641"/>
      <c r="I1700" s="1641"/>
      <c r="J1700" s="1654">
        <v>17.149999999999999</v>
      </c>
      <c r="K1700" s="1655">
        <v>0.25</v>
      </c>
      <c r="L1700" s="1654">
        <v>1.55</v>
      </c>
      <c r="M1700" s="1655">
        <v>35.75</v>
      </c>
      <c r="N1700" s="2039">
        <v>55.41</v>
      </c>
      <c r="EW1700" s="2031"/>
      <c r="EX1700" s="1619"/>
      <c r="EY1700" s="1628"/>
      <c r="EZ1700" s="1628"/>
      <c r="FA1700" s="1628"/>
      <c r="FF1700" s="1864" t="s">
        <v>7965</v>
      </c>
      <c r="FH1700" s="1628"/>
      <c r="FU1700" s="1678"/>
      <c r="FW1700" s="1678"/>
    </row>
    <row r="1701" spans="1:179" s="1484" customFormat="1" ht="15" x14ac:dyDescent="0.25">
      <c r="A1701" s="2033"/>
      <c r="B1701" s="1631"/>
      <c r="C1701" s="2805" t="s">
        <v>867</v>
      </c>
      <c r="D1701" s="2805"/>
      <c r="E1701" s="2805"/>
      <c r="F1701" s="1683"/>
      <c r="G1701" s="1641"/>
      <c r="H1701" s="1641"/>
      <c r="I1701" s="1641"/>
      <c r="J1701" s="1640"/>
      <c r="K1701" s="1641"/>
      <c r="L1701" s="1654">
        <v>135.66</v>
      </c>
      <c r="M1701" s="1641"/>
      <c r="N1701" s="1679">
        <v>4849.8500000000004</v>
      </c>
      <c r="EW1701" s="2031"/>
      <c r="EX1701" s="1619"/>
      <c r="EY1701" s="1628"/>
      <c r="EZ1701" s="1628"/>
      <c r="FA1701" s="1628"/>
      <c r="FF1701" s="1864" t="s">
        <v>867</v>
      </c>
      <c r="FH1701" s="1628"/>
      <c r="FU1701" s="1678"/>
      <c r="FW1701" s="1678"/>
    </row>
    <row r="1702" spans="1:179" s="1484" customFormat="1" ht="15" x14ac:dyDescent="0.25">
      <c r="A1702" s="2033"/>
      <c r="B1702" s="1631" t="s">
        <v>8054</v>
      </c>
      <c r="C1702" s="2805" t="s">
        <v>8055</v>
      </c>
      <c r="D1702" s="2805"/>
      <c r="E1702" s="2805"/>
      <c r="F1702" s="1683" t="s">
        <v>636</v>
      </c>
      <c r="G1702" s="2034">
        <v>112</v>
      </c>
      <c r="H1702" s="1641"/>
      <c r="I1702" s="2034">
        <v>112</v>
      </c>
      <c r="J1702" s="1640"/>
      <c r="K1702" s="1641"/>
      <c r="L1702" s="1654">
        <v>151.94</v>
      </c>
      <c r="M1702" s="1641"/>
      <c r="N1702" s="1679">
        <v>5431.83</v>
      </c>
      <c r="EW1702" s="2031"/>
      <c r="EX1702" s="1619"/>
      <c r="EY1702" s="1628"/>
      <c r="EZ1702" s="1628"/>
      <c r="FA1702" s="1628"/>
      <c r="FF1702" s="1864" t="s">
        <v>8055</v>
      </c>
      <c r="FH1702" s="1628"/>
      <c r="FU1702" s="1678"/>
      <c r="FW1702" s="1678"/>
    </row>
    <row r="1703" spans="1:179" s="1484" customFormat="1" ht="15" x14ac:dyDescent="0.25">
      <c r="A1703" s="2033"/>
      <c r="B1703" s="1631" t="s">
        <v>8056</v>
      </c>
      <c r="C1703" s="2805" t="s">
        <v>8057</v>
      </c>
      <c r="D1703" s="2805"/>
      <c r="E1703" s="2805"/>
      <c r="F1703" s="1683" t="s">
        <v>636</v>
      </c>
      <c r="G1703" s="2034">
        <v>65</v>
      </c>
      <c r="H1703" s="1641"/>
      <c r="I1703" s="2034">
        <v>65</v>
      </c>
      <c r="J1703" s="1640"/>
      <c r="K1703" s="1641"/>
      <c r="L1703" s="1654">
        <v>88.18</v>
      </c>
      <c r="M1703" s="1641"/>
      <c r="N1703" s="1679">
        <v>3152.4</v>
      </c>
      <c r="EW1703" s="2031"/>
      <c r="EX1703" s="1619"/>
      <c r="EY1703" s="1628"/>
      <c r="EZ1703" s="1628"/>
      <c r="FA1703" s="1628"/>
      <c r="FF1703" s="1864" t="s">
        <v>8057</v>
      </c>
      <c r="FH1703" s="1628"/>
      <c r="FU1703" s="1678"/>
      <c r="FW1703" s="1678"/>
    </row>
    <row r="1704" spans="1:179" s="1484" customFormat="1" ht="15" x14ac:dyDescent="0.25">
      <c r="A1704" s="1650"/>
      <c r="B1704" s="1651"/>
      <c r="C1704" s="2803" t="s">
        <v>872</v>
      </c>
      <c r="D1704" s="2803"/>
      <c r="E1704" s="2803"/>
      <c r="F1704" s="1621"/>
      <c r="G1704" s="1622"/>
      <c r="H1704" s="1622"/>
      <c r="I1704" s="1622"/>
      <c r="J1704" s="1625"/>
      <c r="K1704" s="1622"/>
      <c r="L1704" s="2040">
        <v>388.45</v>
      </c>
      <c r="M1704" s="2037"/>
      <c r="N1704" s="1649">
        <v>13429.32</v>
      </c>
      <c r="EW1704" s="2031"/>
      <c r="EX1704" s="1619"/>
      <c r="EY1704" s="1628"/>
      <c r="EZ1704" s="1628"/>
      <c r="FA1704" s="1628"/>
      <c r="FH1704" s="1628" t="s">
        <v>872</v>
      </c>
      <c r="FU1704" s="1678"/>
      <c r="FW1704" s="1678"/>
    </row>
    <row r="1705" spans="1:179" s="1484" customFormat="1" ht="33.75" x14ac:dyDescent="0.25">
      <c r="A1705" s="1620" t="s">
        <v>8244</v>
      </c>
      <c r="B1705" s="1863" t="s">
        <v>8769</v>
      </c>
      <c r="C1705" s="2803" t="s">
        <v>8141</v>
      </c>
      <c r="D1705" s="2803"/>
      <c r="E1705" s="2803"/>
      <c r="F1705" s="1621" t="s">
        <v>2555</v>
      </c>
      <c r="G1705" s="1622">
        <v>3.7709999999999999</v>
      </c>
      <c r="H1705" s="1623">
        <v>1</v>
      </c>
      <c r="I1705" s="2045">
        <v>3.7709999999999999</v>
      </c>
      <c r="J1705" s="1625"/>
      <c r="K1705" s="1622"/>
      <c r="L1705" s="1625"/>
      <c r="M1705" s="1622"/>
      <c r="N1705" s="1627"/>
      <c r="EW1705" s="2031"/>
      <c r="EX1705" s="1619"/>
      <c r="EY1705" s="1628" t="s">
        <v>8141</v>
      </c>
      <c r="EZ1705" s="1628" t="s">
        <v>588</v>
      </c>
      <c r="FA1705" s="1628" t="s">
        <v>588</v>
      </c>
      <c r="FH1705" s="1628"/>
      <c r="FU1705" s="1678"/>
      <c r="FW1705" s="1678"/>
    </row>
    <row r="1706" spans="1:179" s="1484" customFormat="1" ht="15" x14ac:dyDescent="0.25">
      <c r="A1706" s="1629"/>
      <c r="B1706" s="1862"/>
      <c r="C1706" s="2805" t="s">
        <v>8815</v>
      </c>
      <c r="D1706" s="2805"/>
      <c r="E1706" s="2805"/>
      <c r="F1706" s="2805"/>
      <c r="G1706" s="2805"/>
      <c r="H1706" s="2805"/>
      <c r="I1706" s="2805"/>
      <c r="J1706" s="2805"/>
      <c r="K1706" s="2805"/>
      <c r="L1706" s="2805"/>
      <c r="M1706" s="2805"/>
      <c r="N1706" s="2806"/>
      <c r="EW1706" s="2031"/>
      <c r="EX1706" s="1619"/>
      <c r="EY1706" s="1628"/>
      <c r="EZ1706" s="1628"/>
      <c r="FA1706" s="1628"/>
      <c r="FB1706" s="1864" t="s">
        <v>8815</v>
      </c>
      <c r="FH1706" s="1628"/>
      <c r="FU1706" s="1678"/>
      <c r="FW1706" s="1678"/>
    </row>
    <row r="1707" spans="1:179" s="1484" customFormat="1" ht="22.5" x14ac:dyDescent="0.25">
      <c r="A1707" s="1630"/>
      <c r="B1707" s="1631" t="s">
        <v>6062</v>
      </c>
      <c r="C1707" s="2809" t="s">
        <v>6063</v>
      </c>
      <c r="D1707" s="2809"/>
      <c r="E1707" s="2809"/>
      <c r="F1707" s="2809"/>
      <c r="G1707" s="2809"/>
      <c r="H1707" s="2809"/>
      <c r="I1707" s="2809"/>
      <c r="J1707" s="2809"/>
      <c r="K1707" s="2809"/>
      <c r="L1707" s="2809"/>
      <c r="M1707" s="2809"/>
      <c r="N1707" s="2810"/>
      <c r="EW1707" s="2031"/>
      <c r="EX1707" s="1619"/>
      <c r="EY1707" s="1628"/>
      <c r="EZ1707" s="1628"/>
      <c r="FA1707" s="1628"/>
      <c r="FC1707" s="1864" t="s">
        <v>6063</v>
      </c>
      <c r="FH1707" s="1628"/>
      <c r="FU1707" s="1678"/>
      <c r="FW1707" s="1678"/>
    </row>
    <row r="1708" spans="1:179" s="1484" customFormat="1" ht="15" x14ac:dyDescent="0.25">
      <c r="A1708" s="1630"/>
      <c r="B1708" s="1631" t="s">
        <v>8142</v>
      </c>
      <c r="C1708" s="2809" t="s">
        <v>8245</v>
      </c>
      <c r="D1708" s="2809"/>
      <c r="E1708" s="2809"/>
      <c r="F1708" s="2809"/>
      <c r="G1708" s="2809"/>
      <c r="H1708" s="2809"/>
      <c r="I1708" s="2809"/>
      <c r="J1708" s="2809"/>
      <c r="K1708" s="2809"/>
      <c r="L1708" s="2809"/>
      <c r="M1708" s="2809"/>
      <c r="N1708" s="2810"/>
      <c r="EW1708" s="2031"/>
      <c r="EX1708" s="1619"/>
      <c r="EY1708" s="1628"/>
      <c r="EZ1708" s="1628"/>
      <c r="FA1708" s="1628"/>
      <c r="FC1708" s="1864" t="s">
        <v>8245</v>
      </c>
      <c r="FH1708" s="1628"/>
      <c r="FU1708" s="1678"/>
      <c r="FW1708" s="1678"/>
    </row>
    <row r="1709" spans="1:179" s="1484" customFormat="1" ht="22.5" x14ac:dyDescent="0.25">
      <c r="A1709" s="2033"/>
      <c r="B1709" s="1631" t="s">
        <v>8756</v>
      </c>
      <c r="C1709" s="2805" t="s">
        <v>8755</v>
      </c>
      <c r="D1709" s="2805"/>
      <c r="E1709" s="2805"/>
      <c r="F1709" s="1683" t="s">
        <v>807</v>
      </c>
      <c r="G1709" s="1655">
        <v>0.44</v>
      </c>
      <c r="H1709" s="2034">
        <v>16</v>
      </c>
      <c r="I1709" s="2042">
        <v>26.547840000000001</v>
      </c>
      <c r="J1709" s="1654">
        <v>7.94</v>
      </c>
      <c r="K1709" s="1655">
        <v>1.25</v>
      </c>
      <c r="L1709" s="1654">
        <v>263.49</v>
      </c>
      <c r="M1709" s="1641"/>
      <c r="N1709" s="1681"/>
      <c r="EW1709" s="2031"/>
      <c r="EX1709" s="1619"/>
      <c r="EY1709" s="1628"/>
      <c r="EZ1709" s="1628"/>
      <c r="FA1709" s="1628"/>
      <c r="FD1709" s="1864" t="s">
        <v>8755</v>
      </c>
      <c r="FH1709" s="1628"/>
      <c r="FU1709" s="1678"/>
      <c r="FW1709" s="1678"/>
    </row>
    <row r="1710" spans="1:179" s="1484" customFormat="1" ht="22.5" x14ac:dyDescent="0.25">
      <c r="A1710" s="2033"/>
      <c r="B1710" s="1631" t="s">
        <v>5010</v>
      </c>
      <c r="C1710" s="2805" t="s">
        <v>5011</v>
      </c>
      <c r="D1710" s="2805"/>
      <c r="E1710" s="2805"/>
      <c r="F1710" s="1683" t="s">
        <v>4994</v>
      </c>
      <c r="G1710" s="1655">
        <v>0.21</v>
      </c>
      <c r="H1710" s="2034">
        <v>16</v>
      </c>
      <c r="I1710" s="2042">
        <v>12.67056</v>
      </c>
      <c r="J1710" s="1654">
        <v>31.26</v>
      </c>
      <c r="K1710" s="1641"/>
      <c r="L1710" s="1654">
        <v>396.08</v>
      </c>
      <c r="M1710" s="1641"/>
      <c r="N1710" s="1681"/>
      <c r="EW1710" s="2031"/>
      <c r="EX1710" s="1619"/>
      <c r="EY1710" s="1628"/>
      <c r="EZ1710" s="1628"/>
      <c r="FA1710" s="1628"/>
      <c r="FD1710" s="1864" t="s">
        <v>5011</v>
      </c>
      <c r="FH1710" s="1628"/>
      <c r="FU1710" s="1678"/>
      <c r="FW1710" s="1678"/>
    </row>
    <row r="1711" spans="1:179" s="1484" customFormat="1" ht="15" x14ac:dyDescent="0.25">
      <c r="A1711" s="2033"/>
      <c r="B1711" s="1631" t="s">
        <v>5012</v>
      </c>
      <c r="C1711" s="2805" t="s">
        <v>5013</v>
      </c>
      <c r="D1711" s="2805"/>
      <c r="E1711" s="2805"/>
      <c r="F1711" s="1683" t="s">
        <v>4994</v>
      </c>
      <c r="G1711" s="2034">
        <v>2</v>
      </c>
      <c r="H1711" s="2034">
        <v>16</v>
      </c>
      <c r="I1711" s="2046">
        <v>120.672</v>
      </c>
      <c r="J1711" s="1654">
        <v>0.5</v>
      </c>
      <c r="K1711" s="1641"/>
      <c r="L1711" s="1654">
        <v>60.34</v>
      </c>
      <c r="M1711" s="1641"/>
      <c r="N1711" s="1681"/>
      <c r="EW1711" s="2031"/>
      <c r="EX1711" s="1619"/>
      <c r="EY1711" s="1628"/>
      <c r="EZ1711" s="1628"/>
      <c r="FA1711" s="1628"/>
      <c r="FD1711" s="1864" t="s">
        <v>5013</v>
      </c>
      <c r="FH1711" s="1628"/>
      <c r="FU1711" s="1678"/>
      <c r="FW1711" s="1678"/>
    </row>
    <row r="1712" spans="1:179" s="1484" customFormat="1" ht="15" x14ac:dyDescent="0.25">
      <c r="A1712" s="2032"/>
      <c r="B1712" s="1631" t="s">
        <v>190</v>
      </c>
      <c r="C1712" s="2805" t="s">
        <v>2523</v>
      </c>
      <c r="D1712" s="2805"/>
      <c r="E1712" s="2805"/>
      <c r="F1712" s="1683"/>
      <c r="G1712" s="1641"/>
      <c r="H1712" s="1641"/>
      <c r="I1712" s="1641"/>
      <c r="J1712" s="1654">
        <v>3.49</v>
      </c>
      <c r="K1712" s="2034">
        <v>20</v>
      </c>
      <c r="L1712" s="1654">
        <v>263.22000000000003</v>
      </c>
      <c r="M1712" s="1655">
        <v>35.75</v>
      </c>
      <c r="N1712" s="1679">
        <v>9410.1200000000008</v>
      </c>
      <c r="EW1712" s="2031"/>
      <c r="EX1712" s="1619"/>
      <c r="EY1712" s="1628"/>
      <c r="EZ1712" s="1628"/>
      <c r="FA1712" s="1628"/>
      <c r="FE1712" s="1864" t="s">
        <v>2523</v>
      </c>
      <c r="FH1712" s="1628"/>
      <c r="FU1712" s="1678"/>
      <c r="FW1712" s="1678"/>
    </row>
    <row r="1713" spans="1:179" s="1484" customFormat="1" ht="15" x14ac:dyDescent="0.25">
      <c r="A1713" s="2032"/>
      <c r="B1713" s="1631" t="s">
        <v>639</v>
      </c>
      <c r="C1713" s="2805" t="s">
        <v>697</v>
      </c>
      <c r="D1713" s="2805"/>
      <c r="E1713" s="2805"/>
      <c r="F1713" s="1683"/>
      <c r="G1713" s="1641"/>
      <c r="H1713" s="1641"/>
      <c r="I1713" s="1641"/>
      <c r="J1713" s="1654">
        <v>7.56</v>
      </c>
      <c r="K1713" s="2034">
        <v>16</v>
      </c>
      <c r="L1713" s="1654">
        <v>456.14</v>
      </c>
      <c r="M1713" s="1655">
        <v>11.97</v>
      </c>
      <c r="N1713" s="1679">
        <v>5460</v>
      </c>
      <c r="EW1713" s="2031"/>
      <c r="EX1713" s="1619"/>
      <c r="EY1713" s="1628"/>
      <c r="EZ1713" s="1628"/>
      <c r="FA1713" s="1628"/>
      <c r="FE1713" s="1864" t="s">
        <v>697</v>
      </c>
      <c r="FH1713" s="1628"/>
      <c r="FU1713" s="1678"/>
      <c r="FW1713" s="1678"/>
    </row>
    <row r="1714" spans="1:179" s="1484" customFormat="1" ht="15" x14ac:dyDescent="0.25">
      <c r="A1714" s="2032"/>
      <c r="B1714" s="1631" t="s">
        <v>640</v>
      </c>
      <c r="C1714" s="2805" t="s">
        <v>2500</v>
      </c>
      <c r="D1714" s="2805"/>
      <c r="E1714" s="2805"/>
      <c r="F1714" s="1683"/>
      <c r="G1714" s="1641"/>
      <c r="H1714" s="1641"/>
      <c r="I1714" s="1641"/>
      <c r="J1714" s="1654">
        <v>2.84</v>
      </c>
      <c r="K1714" s="2034">
        <v>16</v>
      </c>
      <c r="L1714" s="1654">
        <v>171.35</v>
      </c>
      <c r="M1714" s="1655">
        <v>35.75</v>
      </c>
      <c r="N1714" s="1679">
        <v>6125.76</v>
      </c>
      <c r="EW1714" s="2031"/>
      <c r="EX1714" s="1619"/>
      <c r="EY1714" s="1628"/>
      <c r="EZ1714" s="1628"/>
      <c r="FA1714" s="1628"/>
      <c r="FE1714" s="1864" t="s">
        <v>2500</v>
      </c>
      <c r="FH1714" s="1628"/>
      <c r="FU1714" s="1678"/>
      <c r="FW1714" s="1678"/>
    </row>
    <row r="1715" spans="1:179" s="1484" customFormat="1" ht="15" x14ac:dyDescent="0.25">
      <c r="A1715" s="2033"/>
      <c r="B1715" s="1631"/>
      <c r="C1715" s="2805" t="s">
        <v>2524</v>
      </c>
      <c r="D1715" s="2805"/>
      <c r="E1715" s="2805"/>
      <c r="F1715" s="1683" t="s">
        <v>807</v>
      </c>
      <c r="G1715" s="1655">
        <v>0.44</v>
      </c>
      <c r="H1715" s="2034">
        <v>16</v>
      </c>
      <c r="I1715" s="2042">
        <v>26.547840000000001</v>
      </c>
      <c r="J1715" s="1640"/>
      <c r="K1715" s="1641"/>
      <c r="L1715" s="1640"/>
      <c r="M1715" s="1641"/>
      <c r="N1715" s="1681"/>
      <c r="EW1715" s="2031"/>
      <c r="EX1715" s="1619"/>
      <c r="EY1715" s="1628"/>
      <c r="EZ1715" s="1628"/>
      <c r="FA1715" s="1628"/>
      <c r="FF1715" s="1864" t="s">
        <v>2524</v>
      </c>
      <c r="FH1715" s="1628"/>
      <c r="FU1715" s="1678"/>
      <c r="FW1715" s="1678"/>
    </row>
    <row r="1716" spans="1:179" s="1484" customFormat="1" ht="15" x14ac:dyDescent="0.25">
      <c r="A1716" s="2033"/>
      <c r="B1716" s="1631"/>
      <c r="C1716" s="2805" t="s">
        <v>2501</v>
      </c>
      <c r="D1716" s="2805"/>
      <c r="E1716" s="2805"/>
      <c r="F1716" s="1683" t="s">
        <v>807</v>
      </c>
      <c r="G1716" s="1655">
        <v>0.21</v>
      </c>
      <c r="H1716" s="2034">
        <v>16</v>
      </c>
      <c r="I1716" s="2042">
        <v>12.67056</v>
      </c>
      <c r="J1716" s="1640"/>
      <c r="K1716" s="1641"/>
      <c r="L1716" s="1640"/>
      <c r="M1716" s="1641"/>
      <c r="N1716" s="1681"/>
      <c r="EW1716" s="2031"/>
      <c r="EX1716" s="1619"/>
      <c r="EY1716" s="1628"/>
      <c r="EZ1716" s="1628"/>
      <c r="FA1716" s="1628"/>
      <c r="FF1716" s="1864" t="s">
        <v>2501</v>
      </c>
      <c r="FH1716" s="1628"/>
      <c r="FU1716" s="1678"/>
      <c r="FW1716" s="1678"/>
    </row>
    <row r="1717" spans="1:179" s="1484" customFormat="1" ht="15" x14ac:dyDescent="0.25">
      <c r="A1717" s="2032"/>
      <c r="B1717" s="1631"/>
      <c r="C1717" s="2917" t="s">
        <v>2502</v>
      </c>
      <c r="D1717" s="2917"/>
      <c r="E1717" s="2917"/>
      <c r="F1717" s="2036"/>
      <c r="G1717" s="2037"/>
      <c r="H1717" s="2037"/>
      <c r="I1717" s="2037"/>
      <c r="J1717" s="2044">
        <v>11.05</v>
      </c>
      <c r="K1717" s="2037"/>
      <c r="L1717" s="2044">
        <v>719.36</v>
      </c>
      <c r="M1717" s="2037"/>
      <c r="N1717" s="2068">
        <v>14870.12</v>
      </c>
      <c r="EW1717" s="2031"/>
      <c r="EX1717" s="1619"/>
      <c r="EY1717" s="1628"/>
      <c r="EZ1717" s="1628"/>
      <c r="FA1717" s="1628"/>
      <c r="FG1717" s="1864" t="s">
        <v>2502</v>
      </c>
      <c r="FH1717" s="1628"/>
      <c r="FU1717" s="1678"/>
      <c r="FW1717" s="1678"/>
    </row>
    <row r="1718" spans="1:179" s="1484" customFormat="1" ht="15" x14ac:dyDescent="0.25">
      <c r="A1718" s="2033" t="s">
        <v>8246</v>
      </c>
      <c r="B1718" s="1631"/>
      <c r="C1718" s="2805" t="s">
        <v>7964</v>
      </c>
      <c r="D1718" s="2805"/>
      <c r="E1718" s="2805"/>
      <c r="F1718" s="1683" t="s">
        <v>5928</v>
      </c>
      <c r="G1718" s="1641"/>
      <c r="H1718" s="1641"/>
      <c r="I1718" s="1641"/>
      <c r="J1718" s="1640"/>
      <c r="K1718" s="1641"/>
      <c r="L1718" s="1654">
        <v>42.84</v>
      </c>
      <c r="M1718" s="1641"/>
      <c r="N1718" s="1679">
        <v>1531.53</v>
      </c>
      <c r="EW1718" s="2031"/>
      <c r="EX1718" s="1619"/>
      <c r="EY1718" s="1628"/>
      <c r="EZ1718" s="1628"/>
      <c r="FA1718" s="1628"/>
      <c r="FF1718" s="1864" t="s">
        <v>7964</v>
      </c>
      <c r="FH1718" s="1628"/>
      <c r="FU1718" s="1678"/>
      <c r="FW1718" s="1678"/>
    </row>
    <row r="1719" spans="1:179" s="1484" customFormat="1" ht="15" x14ac:dyDescent="0.25">
      <c r="A1719" s="2033"/>
      <c r="B1719" s="1631"/>
      <c r="C1719" s="2805" t="s">
        <v>7965</v>
      </c>
      <c r="D1719" s="2805"/>
      <c r="E1719" s="2805"/>
      <c r="F1719" s="1683" t="s">
        <v>5928</v>
      </c>
      <c r="G1719" s="1641"/>
      <c r="H1719" s="1641"/>
      <c r="I1719" s="1641"/>
      <c r="J1719" s="1654">
        <v>2.84</v>
      </c>
      <c r="K1719" s="2034">
        <v>4</v>
      </c>
      <c r="L1719" s="1654">
        <v>42.84</v>
      </c>
      <c r="M1719" s="1655">
        <v>35.75</v>
      </c>
      <c r="N1719" s="1679">
        <v>1531.53</v>
      </c>
      <c r="EW1719" s="2031"/>
      <c r="EX1719" s="1619"/>
      <c r="EY1719" s="1628"/>
      <c r="EZ1719" s="1628"/>
      <c r="FA1719" s="1628"/>
      <c r="FF1719" s="1864" t="s">
        <v>7965</v>
      </c>
      <c r="FH1719" s="1628"/>
      <c r="FU1719" s="1678"/>
      <c r="FW1719" s="1678"/>
    </row>
    <row r="1720" spans="1:179" s="1484" customFormat="1" ht="15" x14ac:dyDescent="0.25">
      <c r="A1720" s="2033"/>
      <c r="B1720" s="1631"/>
      <c r="C1720" s="2805" t="s">
        <v>867</v>
      </c>
      <c r="D1720" s="2805"/>
      <c r="E1720" s="2805"/>
      <c r="F1720" s="1683"/>
      <c r="G1720" s="1641"/>
      <c r="H1720" s="1641"/>
      <c r="I1720" s="1641"/>
      <c r="J1720" s="1640"/>
      <c r="K1720" s="1641"/>
      <c r="L1720" s="1654">
        <v>477.41</v>
      </c>
      <c r="M1720" s="1641"/>
      <c r="N1720" s="1679">
        <v>17067.41</v>
      </c>
      <c r="EW1720" s="2031"/>
      <c r="EX1720" s="1619"/>
      <c r="EY1720" s="1628"/>
      <c r="EZ1720" s="1628"/>
      <c r="FA1720" s="1628"/>
      <c r="FF1720" s="1864" t="s">
        <v>867</v>
      </c>
      <c r="FH1720" s="1628"/>
      <c r="FU1720" s="1678"/>
      <c r="FW1720" s="1678"/>
    </row>
    <row r="1721" spans="1:179" s="1484" customFormat="1" ht="15" x14ac:dyDescent="0.25">
      <c r="A1721" s="2033"/>
      <c r="B1721" s="1631" t="s">
        <v>8054</v>
      </c>
      <c r="C1721" s="2805" t="s">
        <v>8055</v>
      </c>
      <c r="D1721" s="2805"/>
      <c r="E1721" s="2805"/>
      <c r="F1721" s="1683" t="s">
        <v>636</v>
      </c>
      <c r="G1721" s="2034">
        <v>112</v>
      </c>
      <c r="H1721" s="1641"/>
      <c r="I1721" s="2034">
        <v>112</v>
      </c>
      <c r="J1721" s="1640"/>
      <c r="K1721" s="1641"/>
      <c r="L1721" s="1654">
        <v>534.70000000000005</v>
      </c>
      <c r="M1721" s="1641"/>
      <c r="N1721" s="1679">
        <v>19115.5</v>
      </c>
      <c r="EW1721" s="2031"/>
      <c r="EX1721" s="1619"/>
      <c r="EY1721" s="1628"/>
      <c r="EZ1721" s="1628"/>
      <c r="FA1721" s="1628"/>
      <c r="FF1721" s="1864" t="s">
        <v>8055</v>
      </c>
      <c r="FH1721" s="1628"/>
      <c r="FU1721" s="1678"/>
      <c r="FW1721" s="1678"/>
    </row>
    <row r="1722" spans="1:179" s="1484" customFormat="1" ht="15" x14ac:dyDescent="0.25">
      <c r="A1722" s="2033"/>
      <c r="B1722" s="1631" t="s">
        <v>8056</v>
      </c>
      <c r="C1722" s="2805" t="s">
        <v>8057</v>
      </c>
      <c r="D1722" s="2805"/>
      <c r="E1722" s="2805"/>
      <c r="F1722" s="1683" t="s">
        <v>636</v>
      </c>
      <c r="G1722" s="2034">
        <v>65</v>
      </c>
      <c r="H1722" s="1641"/>
      <c r="I1722" s="2034">
        <v>65</v>
      </c>
      <c r="J1722" s="1640"/>
      <c r="K1722" s="1641"/>
      <c r="L1722" s="1654">
        <v>310.32</v>
      </c>
      <c r="M1722" s="1641"/>
      <c r="N1722" s="1679">
        <v>11093.82</v>
      </c>
      <c r="EW1722" s="2031"/>
      <c r="EX1722" s="1619"/>
      <c r="EY1722" s="1628"/>
      <c r="EZ1722" s="1628"/>
      <c r="FA1722" s="1628"/>
      <c r="FF1722" s="1864" t="s">
        <v>8057</v>
      </c>
      <c r="FH1722" s="1628"/>
      <c r="FU1722" s="1678"/>
      <c r="FW1722" s="1678"/>
    </row>
    <row r="1723" spans="1:179" s="1484" customFormat="1" ht="15" x14ac:dyDescent="0.25">
      <c r="A1723" s="1650"/>
      <c r="B1723" s="1651"/>
      <c r="C1723" s="2803" t="s">
        <v>872</v>
      </c>
      <c r="D1723" s="2803"/>
      <c r="E1723" s="2803"/>
      <c r="F1723" s="1621"/>
      <c r="G1723" s="1622"/>
      <c r="H1723" s="1622"/>
      <c r="I1723" s="1622"/>
      <c r="J1723" s="1625"/>
      <c r="K1723" s="1622"/>
      <c r="L1723" s="1648">
        <v>1607.22</v>
      </c>
      <c r="M1723" s="2037"/>
      <c r="N1723" s="1649">
        <v>46610.97</v>
      </c>
      <c r="EW1723" s="2031"/>
      <c r="EX1723" s="1619"/>
      <c r="EY1723" s="1628"/>
      <c r="EZ1723" s="1628"/>
      <c r="FA1723" s="1628"/>
      <c r="FH1723" s="1628" t="s">
        <v>872</v>
      </c>
      <c r="FU1723" s="1678"/>
      <c r="FW1723" s="1678"/>
    </row>
    <row r="1724" spans="1:179" s="1484" customFormat="1" ht="56.25" x14ac:dyDescent="0.25">
      <c r="A1724" s="1620" t="s">
        <v>8145</v>
      </c>
      <c r="B1724" s="1863" t="s">
        <v>8146</v>
      </c>
      <c r="C1724" s="2803" t="s">
        <v>8147</v>
      </c>
      <c r="D1724" s="2803"/>
      <c r="E1724" s="2803"/>
      <c r="F1724" s="1621" t="s">
        <v>835</v>
      </c>
      <c r="G1724" s="1622">
        <v>6932.1647999999996</v>
      </c>
      <c r="H1724" s="1623">
        <v>1</v>
      </c>
      <c r="I1724" s="2041">
        <v>6932.1647999999996</v>
      </c>
      <c r="J1724" s="2040">
        <v>23.7</v>
      </c>
      <c r="K1724" s="1622"/>
      <c r="L1724" s="1648">
        <v>164292.31</v>
      </c>
      <c r="M1724" s="1687">
        <v>9.14</v>
      </c>
      <c r="N1724" s="1649">
        <v>1501631.71</v>
      </c>
      <c r="EW1724" s="2031"/>
      <c r="EX1724" s="1619"/>
      <c r="EY1724" s="1628" t="s">
        <v>8147</v>
      </c>
      <c r="EZ1724" s="1628" t="s">
        <v>588</v>
      </c>
      <c r="FA1724" s="1628" t="s">
        <v>588</v>
      </c>
      <c r="FH1724" s="1628"/>
      <c r="FU1724" s="1678"/>
      <c r="FW1724" s="1678"/>
    </row>
    <row r="1725" spans="1:179" s="1484" customFormat="1" ht="15" x14ac:dyDescent="0.25">
      <c r="A1725" s="1650"/>
      <c r="B1725" s="1651"/>
      <c r="C1725" s="2805" t="s">
        <v>8722</v>
      </c>
      <c r="D1725" s="2805"/>
      <c r="E1725" s="2805"/>
      <c r="F1725" s="2805"/>
      <c r="G1725" s="2805"/>
      <c r="H1725" s="2805"/>
      <c r="I1725" s="2805"/>
      <c r="J1725" s="2805"/>
      <c r="K1725" s="2805"/>
      <c r="L1725" s="2805"/>
      <c r="M1725" s="2805"/>
      <c r="N1725" s="2806"/>
      <c r="EW1725" s="2031"/>
      <c r="EX1725" s="1619"/>
      <c r="EY1725" s="1628"/>
      <c r="EZ1725" s="1628"/>
      <c r="FA1725" s="1628"/>
      <c r="FH1725" s="1628"/>
      <c r="FI1725" s="1864" t="s">
        <v>8722</v>
      </c>
      <c r="FJ1725" s="1864" t="s">
        <v>588</v>
      </c>
      <c r="FK1725" s="1864" t="s">
        <v>588</v>
      </c>
      <c r="FL1725" s="1864" t="s">
        <v>588</v>
      </c>
      <c r="FM1725" s="1864" t="s">
        <v>588</v>
      </c>
      <c r="FN1725" s="1864" t="s">
        <v>588</v>
      </c>
      <c r="FO1725" s="1864" t="s">
        <v>588</v>
      </c>
      <c r="FP1725" s="1864" t="s">
        <v>588</v>
      </c>
      <c r="FQ1725" s="1864" t="s">
        <v>588</v>
      </c>
      <c r="FR1725" s="1864" t="s">
        <v>588</v>
      </c>
      <c r="FS1725" s="1864" t="s">
        <v>588</v>
      </c>
      <c r="FT1725" s="1864" t="s">
        <v>588</v>
      </c>
      <c r="FU1725" s="1678"/>
      <c r="FW1725" s="1678"/>
    </row>
    <row r="1726" spans="1:179" s="1484" customFormat="1" ht="15" x14ac:dyDescent="0.25">
      <c r="A1726" s="1629"/>
      <c r="B1726" s="1862"/>
      <c r="C1726" s="2805" t="s">
        <v>8816</v>
      </c>
      <c r="D1726" s="2805"/>
      <c r="E1726" s="2805"/>
      <c r="F1726" s="2805"/>
      <c r="G1726" s="2805"/>
      <c r="H1726" s="2805"/>
      <c r="I1726" s="2805"/>
      <c r="J1726" s="2805"/>
      <c r="K1726" s="2805"/>
      <c r="L1726" s="2805"/>
      <c r="M1726" s="2805"/>
      <c r="N1726" s="2806"/>
      <c r="EW1726" s="2031"/>
      <c r="EX1726" s="1619"/>
      <c r="EY1726" s="1628"/>
      <c r="EZ1726" s="1628"/>
      <c r="FA1726" s="1628"/>
      <c r="FB1726" s="1864" t="s">
        <v>8816</v>
      </c>
      <c r="FH1726" s="1628"/>
      <c r="FU1726" s="1678"/>
      <c r="FW1726" s="1678"/>
    </row>
    <row r="1727" spans="1:179" s="1484" customFormat="1" ht="15" x14ac:dyDescent="0.25">
      <c r="A1727" s="1650"/>
      <c r="B1727" s="1651"/>
      <c r="C1727" s="2803" t="s">
        <v>872</v>
      </c>
      <c r="D1727" s="2803"/>
      <c r="E1727" s="2803"/>
      <c r="F1727" s="1621"/>
      <c r="G1727" s="1622"/>
      <c r="H1727" s="1622"/>
      <c r="I1727" s="1622"/>
      <c r="J1727" s="1625"/>
      <c r="K1727" s="1622"/>
      <c r="L1727" s="1648">
        <v>164292.31</v>
      </c>
      <c r="M1727" s="2037"/>
      <c r="N1727" s="1649">
        <v>1501631.71</v>
      </c>
      <c r="EW1727" s="2031"/>
      <c r="EX1727" s="1619"/>
      <c r="EY1727" s="1628"/>
      <c r="EZ1727" s="1628"/>
      <c r="FA1727" s="1628"/>
      <c r="FH1727" s="1628" t="s">
        <v>872</v>
      </c>
      <c r="FU1727" s="1678"/>
      <c r="FW1727" s="1678"/>
    </row>
    <row r="1728" spans="1:179" s="1484" customFormat="1" ht="33.75" x14ac:dyDescent="0.25">
      <c r="A1728" s="1620" t="s">
        <v>8247</v>
      </c>
      <c r="B1728" s="1863" t="s">
        <v>8148</v>
      </c>
      <c r="C1728" s="2803" t="s">
        <v>8149</v>
      </c>
      <c r="D1728" s="2803"/>
      <c r="E1728" s="2803"/>
      <c r="F1728" s="1621" t="s">
        <v>2555</v>
      </c>
      <c r="G1728" s="1622">
        <v>3.7709999999999999</v>
      </c>
      <c r="H1728" s="1623">
        <v>1</v>
      </c>
      <c r="I1728" s="2045">
        <v>3.7709999999999999</v>
      </c>
      <c r="J1728" s="1625"/>
      <c r="K1728" s="1622"/>
      <c r="L1728" s="1625"/>
      <c r="M1728" s="1622"/>
      <c r="N1728" s="1627"/>
      <c r="EW1728" s="2031"/>
      <c r="EX1728" s="1619"/>
      <c r="EY1728" s="1628" t="s">
        <v>8149</v>
      </c>
      <c r="EZ1728" s="1628" t="s">
        <v>588</v>
      </c>
      <c r="FA1728" s="1628" t="s">
        <v>588</v>
      </c>
      <c r="FH1728" s="1628"/>
      <c r="FU1728" s="1678"/>
      <c r="FW1728" s="1678"/>
    </row>
    <row r="1729" spans="1:179" s="1484" customFormat="1" ht="15" x14ac:dyDescent="0.25">
      <c r="A1729" s="1629"/>
      <c r="B1729" s="1862"/>
      <c r="C1729" s="2805" t="s">
        <v>8815</v>
      </c>
      <c r="D1729" s="2805"/>
      <c r="E1729" s="2805"/>
      <c r="F1729" s="2805"/>
      <c r="G1729" s="2805"/>
      <c r="H1729" s="2805"/>
      <c r="I1729" s="2805"/>
      <c r="J1729" s="2805"/>
      <c r="K1729" s="2805"/>
      <c r="L1729" s="2805"/>
      <c r="M1729" s="2805"/>
      <c r="N1729" s="2806"/>
      <c r="EW1729" s="2031"/>
      <c r="EX1729" s="1619"/>
      <c r="EY1729" s="1628"/>
      <c r="EZ1729" s="1628"/>
      <c r="FA1729" s="1628"/>
      <c r="FB1729" s="1864" t="s">
        <v>8815</v>
      </c>
      <c r="FH1729" s="1628"/>
      <c r="FU1729" s="1678"/>
      <c r="FW1729" s="1678"/>
    </row>
    <row r="1730" spans="1:179" s="1484" customFormat="1" ht="22.5" x14ac:dyDescent="0.25">
      <c r="A1730" s="1630"/>
      <c r="B1730" s="1631" t="s">
        <v>6062</v>
      </c>
      <c r="C1730" s="2809" t="s">
        <v>6063</v>
      </c>
      <c r="D1730" s="2809"/>
      <c r="E1730" s="2809"/>
      <c r="F1730" s="2809"/>
      <c r="G1730" s="2809"/>
      <c r="H1730" s="2809"/>
      <c r="I1730" s="2809"/>
      <c r="J1730" s="2809"/>
      <c r="K1730" s="2809"/>
      <c r="L1730" s="2809"/>
      <c r="M1730" s="2809"/>
      <c r="N1730" s="2810"/>
      <c r="EW1730" s="2031"/>
      <c r="EX1730" s="1619"/>
      <c r="EY1730" s="1628"/>
      <c r="EZ1730" s="1628"/>
      <c r="FA1730" s="1628"/>
      <c r="FC1730" s="1864" t="s">
        <v>6063</v>
      </c>
      <c r="FH1730" s="1628"/>
      <c r="FU1730" s="1678"/>
      <c r="FW1730" s="1678"/>
    </row>
    <row r="1731" spans="1:179" s="1484" customFormat="1" ht="22.5" x14ac:dyDescent="0.25">
      <c r="A1731" s="2033"/>
      <c r="B1731" s="1631" t="s">
        <v>3260</v>
      </c>
      <c r="C1731" s="2805" t="s">
        <v>8636</v>
      </c>
      <c r="D1731" s="2805"/>
      <c r="E1731" s="2805"/>
      <c r="F1731" s="1683" t="s">
        <v>807</v>
      </c>
      <c r="G1731" s="1655">
        <v>3.69</v>
      </c>
      <c r="H1731" s="1641"/>
      <c r="I1731" s="2042">
        <v>13.91499</v>
      </c>
      <c r="J1731" s="1654">
        <v>9.18</v>
      </c>
      <c r="K1731" s="1655">
        <v>1.25</v>
      </c>
      <c r="L1731" s="1654">
        <v>159.66999999999999</v>
      </c>
      <c r="M1731" s="1641"/>
      <c r="N1731" s="1681"/>
      <c r="EW1731" s="2031"/>
      <c r="EX1731" s="1619"/>
      <c r="EY1731" s="1628"/>
      <c r="EZ1731" s="1628"/>
      <c r="FA1731" s="1628"/>
      <c r="FD1731" s="1864" t="s">
        <v>8636</v>
      </c>
      <c r="FH1731" s="1628"/>
      <c r="FU1731" s="1678"/>
      <c r="FW1731" s="1678"/>
    </row>
    <row r="1732" spans="1:179" s="1484" customFormat="1" ht="22.5" x14ac:dyDescent="0.25">
      <c r="A1732" s="2033"/>
      <c r="B1732" s="1631" t="s">
        <v>5008</v>
      </c>
      <c r="C1732" s="2805" t="s">
        <v>5009</v>
      </c>
      <c r="D1732" s="2805"/>
      <c r="E1732" s="2805"/>
      <c r="F1732" s="1683" t="s">
        <v>4994</v>
      </c>
      <c r="G1732" s="1655">
        <v>0.01</v>
      </c>
      <c r="H1732" s="1641"/>
      <c r="I1732" s="2042">
        <v>3.771E-2</v>
      </c>
      <c r="J1732" s="1654">
        <v>27.66</v>
      </c>
      <c r="K1732" s="1641"/>
      <c r="L1732" s="1654">
        <v>1.04</v>
      </c>
      <c r="M1732" s="1641"/>
      <c r="N1732" s="1681"/>
      <c r="EW1732" s="2031"/>
      <c r="EX1732" s="1619"/>
      <c r="EY1732" s="1628"/>
      <c r="EZ1732" s="1628"/>
      <c r="FA1732" s="1628"/>
      <c r="FD1732" s="1864" t="s">
        <v>5009</v>
      </c>
      <c r="FH1732" s="1628"/>
      <c r="FU1732" s="1678"/>
      <c r="FW1732" s="1678"/>
    </row>
    <row r="1733" spans="1:179" s="1484" customFormat="1" ht="15" x14ac:dyDescent="0.25">
      <c r="A1733" s="2033"/>
      <c r="B1733" s="1631" t="s">
        <v>821</v>
      </c>
      <c r="C1733" s="2805" t="s">
        <v>822</v>
      </c>
      <c r="D1733" s="2805"/>
      <c r="E1733" s="2805"/>
      <c r="F1733" s="1683" t="s">
        <v>4994</v>
      </c>
      <c r="G1733" s="1655">
        <v>0.04</v>
      </c>
      <c r="H1733" s="1641"/>
      <c r="I1733" s="2042">
        <v>0.15084</v>
      </c>
      <c r="J1733" s="1654">
        <v>65.709999999999994</v>
      </c>
      <c r="K1733" s="1641"/>
      <c r="L1733" s="1654">
        <v>9.91</v>
      </c>
      <c r="M1733" s="1641"/>
      <c r="N1733" s="1681"/>
      <c r="EW1733" s="2031"/>
      <c r="EX1733" s="1619"/>
      <c r="EY1733" s="1628"/>
      <c r="EZ1733" s="1628"/>
      <c r="FA1733" s="1628"/>
      <c r="FD1733" s="1864" t="s">
        <v>822</v>
      </c>
      <c r="FH1733" s="1628"/>
      <c r="FU1733" s="1678"/>
      <c r="FW1733" s="1678"/>
    </row>
    <row r="1734" spans="1:179" s="1484" customFormat="1" ht="33.75" x14ac:dyDescent="0.25">
      <c r="A1734" s="2033"/>
      <c r="B1734" s="1631" t="s">
        <v>5029</v>
      </c>
      <c r="C1734" s="2805" t="s">
        <v>5030</v>
      </c>
      <c r="D1734" s="2805"/>
      <c r="E1734" s="2805"/>
      <c r="F1734" s="1683" t="s">
        <v>4994</v>
      </c>
      <c r="G1734" s="1655">
        <v>2.82</v>
      </c>
      <c r="H1734" s="1641"/>
      <c r="I1734" s="2042">
        <v>10.634219999999999</v>
      </c>
      <c r="J1734" s="1654">
        <v>6.82</v>
      </c>
      <c r="K1734" s="1641"/>
      <c r="L1734" s="1654">
        <v>72.53</v>
      </c>
      <c r="M1734" s="1641"/>
      <c r="N1734" s="1681"/>
      <c r="EW1734" s="2031"/>
      <c r="EX1734" s="1619"/>
      <c r="EY1734" s="1628"/>
      <c r="EZ1734" s="1628"/>
      <c r="FA1734" s="1628"/>
      <c r="FD1734" s="1864" t="s">
        <v>5030</v>
      </c>
      <c r="FH1734" s="1628"/>
      <c r="FU1734" s="1678"/>
      <c r="FW1734" s="1678"/>
    </row>
    <row r="1735" spans="1:179" s="1484" customFormat="1" ht="15" x14ac:dyDescent="0.25">
      <c r="A1735" s="2033"/>
      <c r="B1735" s="1631" t="s">
        <v>1755</v>
      </c>
      <c r="C1735" s="2805" t="s">
        <v>2634</v>
      </c>
      <c r="D1735" s="2805"/>
      <c r="E1735" s="2805"/>
      <c r="F1735" s="1683" t="s">
        <v>832</v>
      </c>
      <c r="G1735" s="1655">
        <v>0.01</v>
      </c>
      <c r="H1735" s="1641"/>
      <c r="I1735" s="2042">
        <v>3.771E-2</v>
      </c>
      <c r="J1735" s="1654">
        <v>2.44</v>
      </c>
      <c r="K1735" s="1641"/>
      <c r="L1735" s="1654">
        <v>0.09</v>
      </c>
      <c r="M1735" s="1641"/>
      <c r="N1735" s="1681"/>
      <c r="EW1735" s="2031"/>
      <c r="EX1735" s="1619"/>
      <c r="EY1735" s="1628"/>
      <c r="EZ1735" s="1628"/>
      <c r="FA1735" s="1628"/>
      <c r="FD1735" s="1864" t="s">
        <v>2634</v>
      </c>
      <c r="FH1735" s="1628"/>
      <c r="FU1735" s="1678"/>
      <c r="FW1735" s="1678"/>
    </row>
    <row r="1736" spans="1:179" s="1484" customFormat="1" ht="15" x14ac:dyDescent="0.25">
      <c r="A1736" s="2033"/>
      <c r="B1736" s="1631" t="s">
        <v>4922</v>
      </c>
      <c r="C1736" s="2805" t="s">
        <v>8707</v>
      </c>
      <c r="D1736" s="2805"/>
      <c r="E1736" s="2805"/>
      <c r="F1736" s="1683" t="s">
        <v>835</v>
      </c>
      <c r="G1736" s="2034">
        <v>1</v>
      </c>
      <c r="H1736" s="1641"/>
      <c r="I1736" s="2046">
        <v>3.7709999999999999</v>
      </c>
      <c r="J1736" s="1654">
        <v>1.82</v>
      </c>
      <c r="K1736" s="1641"/>
      <c r="L1736" s="1654">
        <v>6.86</v>
      </c>
      <c r="M1736" s="1641"/>
      <c r="N1736" s="1681"/>
      <c r="EW1736" s="2031"/>
      <c r="EX1736" s="1619"/>
      <c r="EY1736" s="1628"/>
      <c r="EZ1736" s="1628"/>
      <c r="FA1736" s="1628"/>
      <c r="FD1736" s="1864" t="s">
        <v>8707</v>
      </c>
      <c r="FH1736" s="1628"/>
      <c r="FU1736" s="1678"/>
      <c r="FW1736" s="1678"/>
    </row>
    <row r="1737" spans="1:179" s="1484" customFormat="1" ht="15" x14ac:dyDescent="0.25">
      <c r="A1737" s="2032"/>
      <c r="B1737" s="1631" t="s">
        <v>190</v>
      </c>
      <c r="C1737" s="2805" t="s">
        <v>2523</v>
      </c>
      <c r="D1737" s="2805"/>
      <c r="E1737" s="2805"/>
      <c r="F1737" s="1683"/>
      <c r="G1737" s="1641"/>
      <c r="H1737" s="1641"/>
      <c r="I1737" s="1641"/>
      <c r="J1737" s="1654">
        <v>33.869999999999997</v>
      </c>
      <c r="K1737" s="1655">
        <v>1.25</v>
      </c>
      <c r="L1737" s="1654">
        <v>159.65</v>
      </c>
      <c r="M1737" s="1655">
        <v>35.75</v>
      </c>
      <c r="N1737" s="1679">
        <v>5707.49</v>
      </c>
      <c r="EW1737" s="2031"/>
      <c r="EX1737" s="1619"/>
      <c r="EY1737" s="1628"/>
      <c r="EZ1737" s="1628"/>
      <c r="FA1737" s="1628"/>
      <c r="FE1737" s="1864" t="s">
        <v>2523</v>
      </c>
      <c r="FH1737" s="1628"/>
      <c r="FU1737" s="1678"/>
      <c r="FW1737" s="1678"/>
    </row>
    <row r="1738" spans="1:179" s="1484" customFormat="1" ht="15" x14ac:dyDescent="0.25">
      <c r="A1738" s="2032"/>
      <c r="B1738" s="1631" t="s">
        <v>639</v>
      </c>
      <c r="C1738" s="2805" t="s">
        <v>697</v>
      </c>
      <c r="D1738" s="2805"/>
      <c r="E1738" s="2805"/>
      <c r="F1738" s="1683"/>
      <c r="G1738" s="1641"/>
      <c r="H1738" s="1641"/>
      <c r="I1738" s="1641"/>
      <c r="J1738" s="1654">
        <v>22.14</v>
      </c>
      <c r="K1738" s="1641"/>
      <c r="L1738" s="1654">
        <v>83.49</v>
      </c>
      <c r="M1738" s="1655">
        <v>11.97</v>
      </c>
      <c r="N1738" s="2039">
        <v>999.38</v>
      </c>
      <c r="EW1738" s="2031"/>
      <c r="EX1738" s="1619"/>
      <c r="EY1738" s="1628"/>
      <c r="EZ1738" s="1628"/>
      <c r="FA1738" s="1628"/>
      <c r="FE1738" s="1864" t="s">
        <v>697</v>
      </c>
      <c r="FH1738" s="1628"/>
      <c r="FU1738" s="1678"/>
      <c r="FW1738" s="1678"/>
    </row>
    <row r="1739" spans="1:179" s="1484" customFormat="1" ht="15" x14ac:dyDescent="0.25">
      <c r="A1739" s="2032"/>
      <c r="B1739" s="1631" t="s">
        <v>640</v>
      </c>
      <c r="C1739" s="2805" t="s">
        <v>2500</v>
      </c>
      <c r="D1739" s="2805"/>
      <c r="E1739" s="2805"/>
      <c r="F1739" s="1683"/>
      <c r="G1739" s="1641"/>
      <c r="H1739" s="1641"/>
      <c r="I1739" s="1641"/>
      <c r="J1739" s="1654">
        <v>0.57999999999999996</v>
      </c>
      <c r="K1739" s="1641"/>
      <c r="L1739" s="1654">
        <v>2.19</v>
      </c>
      <c r="M1739" s="1655">
        <v>35.75</v>
      </c>
      <c r="N1739" s="2039">
        <v>78.290000000000006</v>
      </c>
      <c r="EW1739" s="2031"/>
      <c r="EX1739" s="1619"/>
      <c r="EY1739" s="1628"/>
      <c r="EZ1739" s="1628"/>
      <c r="FA1739" s="1628"/>
      <c r="FE1739" s="1864" t="s">
        <v>2500</v>
      </c>
      <c r="FH1739" s="1628"/>
      <c r="FU1739" s="1678"/>
      <c r="FW1739" s="1678"/>
    </row>
    <row r="1740" spans="1:179" s="1484" customFormat="1" ht="15" x14ac:dyDescent="0.25">
      <c r="A1740" s="2032"/>
      <c r="B1740" s="1631" t="s">
        <v>232</v>
      </c>
      <c r="C1740" s="2805" t="s">
        <v>829</v>
      </c>
      <c r="D1740" s="2805"/>
      <c r="E1740" s="2805"/>
      <c r="F1740" s="1683"/>
      <c r="G1740" s="1641"/>
      <c r="H1740" s="1641"/>
      <c r="I1740" s="1641"/>
      <c r="J1740" s="1654">
        <v>1.84</v>
      </c>
      <c r="K1740" s="1641"/>
      <c r="L1740" s="1654">
        <v>6.94</v>
      </c>
      <c r="M1740" s="1655">
        <v>9.14</v>
      </c>
      <c r="N1740" s="2039">
        <v>63.43</v>
      </c>
      <c r="EW1740" s="2031"/>
      <c r="EX1740" s="1619"/>
      <c r="EY1740" s="1628"/>
      <c r="EZ1740" s="1628"/>
      <c r="FA1740" s="1628"/>
      <c r="FE1740" s="1864" t="s">
        <v>829</v>
      </c>
      <c r="FH1740" s="1628"/>
      <c r="FU1740" s="1678"/>
      <c r="FW1740" s="1678"/>
    </row>
    <row r="1741" spans="1:179" s="1484" customFormat="1" ht="15" x14ac:dyDescent="0.25">
      <c r="A1741" s="2033"/>
      <c r="B1741" s="1631"/>
      <c r="C1741" s="2805" t="s">
        <v>2524</v>
      </c>
      <c r="D1741" s="2805"/>
      <c r="E1741" s="2805"/>
      <c r="F1741" s="1683" t="s">
        <v>807</v>
      </c>
      <c r="G1741" s="1655">
        <v>3.69</v>
      </c>
      <c r="H1741" s="1641"/>
      <c r="I1741" s="2042">
        <v>13.91499</v>
      </c>
      <c r="J1741" s="1640"/>
      <c r="K1741" s="1641"/>
      <c r="L1741" s="1640"/>
      <c r="M1741" s="1641"/>
      <c r="N1741" s="1681"/>
      <c r="EW1741" s="2031"/>
      <c r="EX1741" s="1619"/>
      <c r="EY1741" s="1628"/>
      <c r="EZ1741" s="1628"/>
      <c r="FA1741" s="1628"/>
      <c r="FF1741" s="1864" t="s">
        <v>2524</v>
      </c>
      <c r="FH1741" s="1628"/>
      <c r="FU1741" s="1678"/>
      <c r="FW1741" s="1678"/>
    </row>
    <row r="1742" spans="1:179" s="1484" customFormat="1" ht="15" x14ac:dyDescent="0.25">
      <c r="A1742" s="2033"/>
      <c r="B1742" s="1631"/>
      <c r="C1742" s="2805" t="s">
        <v>2501</v>
      </c>
      <c r="D1742" s="2805"/>
      <c r="E1742" s="2805"/>
      <c r="F1742" s="1683" t="s">
        <v>807</v>
      </c>
      <c r="G1742" s="1655">
        <v>0.05</v>
      </c>
      <c r="H1742" s="1641"/>
      <c r="I1742" s="2042">
        <v>0.18855</v>
      </c>
      <c r="J1742" s="1640"/>
      <c r="K1742" s="1641"/>
      <c r="L1742" s="1640"/>
      <c r="M1742" s="1641"/>
      <c r="N1742" s="1681"/>
      <c r="EW1742" s="2031"/>
      <c r="EX1742" s="1619"/>
      <c r="EY1742" s="1628"/>
      <c r="EZ1742" s="1628"/>
      <c r="FA1742" s="1628"/>
      <c r="FF1742" s="1864" t="s">
        <v>2501</v>
      </c>
      <c r="FH1742" s="1628"/>
      <c r="FU1742" s="1678"/>
      <c r="FW1742" s="1678"/>
    </row>
    <row r="1743" spans="1:179" s="1484" customFormat="1" ht="15" x14ac:dyDescent="0.25">
      <c r="A1743" s="2032"/>
      <c r="B1743" s="1631"/>
      <c r="C1743" s="2917" t="s">
        <v>2502</v>
      </c>
      <c r="D1743" s="2917"/>
      <c r="E1743" s="2917"/>
      <c r="F1743" s="2036"/>
      <c r="G1743" s="2037"/>
      <c r="H1743" s="2037"/>
      <c r="I1743" s="2037"/>
      <c r="J1743" s="2044">
        <v>57.85</v>
      </c>
      <c r="K1743" s="2037"/>
      <c r="L1743" s="2044">
        <v>250.08</v>
      </c>
      <c r="M1743" s="2037"/>
      <c r="N1743" s="2068">
        <v>6770.3</v>
      </c>
      <c r="EW1743" s="2031"/>
      <c r="EX1743" s="1619"/>
      <c r="EY1743" s="1628"/>
      <c r="EZ1743" s="1628"/>
      <c r="FA1743" s="1628"/>
      <c r="FG1743" s="1864" t="s">
        <v>2502</v>
      </c>
      <c r="FH1743" s="1628"/>
      <c r="FU1743" s="1678"/>
      <c r="FW1743" s="1678"/>
    </row>
    <row r="1744" spans="1:179" s="1484" customFormat="1" ht="15" x14ac:dyDescent="0.25">
      <c r="A1744" s="2033" t="s">
        <v>8248</v>
      </c>
      <c r="B1744" s="1631"/>
      <c r="C1744" s="2805" t="s">
        <v>7964</v>
      </c>
      <c r="D1744" s="2805"/>
      <c r="E1744" s="2805"/>
      <c r="F1744" s="1683" t="s">
        <v>5928</v>
      </c>
      <c r="G1744" s="1641"/>
      <c r="H1744" s="1641"/>
      <c r="I1744" s="1641"/>
      <c r="J1744" s="1640"/>
      <c r="K1744" s="1641"/>
      <c r="L1744" s="1654">
        <v>0.55000000000000004</v>
      </c>
      <c r="M1744" s="1641"/>
      <c r="N1744" s="2039">
        <v>19.66</v>
      </c>
      <c r="EW1744" s="2031"/>
      <c r="EX1744" s="1619"/>
      <c r="EY1744" s="1628"/>
      <c r="EZ1744" s="1628"/>
      <c r="FA1744" s="1628"/>
      <c r="FF1744" s="1864" t="s">
        <v>7964</v>
      </c>
      <c r="FH1744" s="1628"/>
      <c r="FU1744" s="1678"/>
      <c r="FW1744" s="1678"/>
    </row>
    <row r="1745" spans="1:179" s="1484" customFormat="1" ht="15" x14ac:dyDescent="0.25">
      <c r="A1745" s="2033"/>
      <c r="B1745" s="1631"/>
      <c r="C1745" s="2805" t="s">
        <v>7965</v>
      </c>
      <c r="D1745" s="2805"/>
      <c r="E1745" s="2805"/>
      <c r="F1745" s="1683" t="s">
        <v>5928</v>
      </c>
      <c r="G1745" s="1641"/>
      <c r="H1745" s="1641"/>
      <c r="I1745" s="1641"/>
      <c r="J1745" s="1654">
        <v>0.57999999999999996</v>
      </c>
      <c r="K1745" s="1655">
        <v>0.25</v>
      </c>
      <c r="L1745" s="1654">
        <v>0.55000000000000004</v>
      </c>
      <c r="M1745" s="1655">
        <v>35.75</v>
      </c>
      <c r="N1745" s="2039">
        <v>19.66</v>
      </c>
      <c r="EW1745" s="2031"/>
      <c r="EX1745" s="1619"/>
      <c r="EY1745" s="1628"/>
      <c r="EZ1745" s="1628"/>
      <c r="FA1745" s="1628"/>
      <c r="FF1745" s="1864" t="s">
        <v>7965</v>
      </c>
      <c r="FH1745" s="1628"/>
      <c r="FU1745" s="1678"/>
      <c r="FW1745" s="1678"/>
    </row>
    <row r="1746" spans="1:179" s="1484" customFormat="1" ht="15" x14ac:dyDescent="0.25">
      <c r="A1746" s="2033"/>
      <c r="B1746" s="1631"/>
      <c r="C1746" s="2805" t="s">
        <v>867</v>
      </c>
      <c r="D1746" s="2805"/>
      <c r="E1746" s="2805"/>
      <c r="F1746" s="1683"/>
      <c r="G1746" s="1641"/>
      <c r="H1746" s="1641"/>
      <c r="I1746" s="1641"/>
      <c r="J1746" s="1640"/>
      <c r="K1746" s="1641"/>
      <c r="L1746" s="1654">
        <v>162.38999999999999</v>
      </c>
      <c r="M1746" s="1641"/>
      <c r="N1746" s="1679">
        <v>5805.44</v>
      </c>
      <c r="EW1746" s="2031"/>
      <c r="EX1746" s="1619"/>
      <c r="EY1746" s="1628"/>
      <c r="EZ1746" s="1628"/>
      <c r="FA1746" s="1628"/>
      <c r="FF1746" s="1864" t="s">
        <v>867</v>
      </c>
      <c r="FH1746" s="1628"/>
      <c r="FU1746" s="1678"/>
      <c r="FW1746" s="1678"/>
    </row>
    <row r="1747" spans="1:179" s="1484" customFormat="1" ht="15" x14ac:dyDescent="0.25">
      <c r="A1747" s="2033"/>
      <c r="B1747" s="1631" t="s">
        <v>7966</v>
      </c>
      <c r="C1747" s="2805" t="s">
        <v>7967</v>
      </c>
      <c r="D1747" s="2805"/>
      <c r="E1747" s="2805"/>
      <c r="F1747" s="1683" t="s">
        <v>636</v>
      </c>
      <c r="G1747" s="2034">
        <v>100</v>
      </c>
      <c r="H1747" s="1641"/>
      <c r="I1747" s="2034">
        <v>100</v>
      </c>
      <c r="J1747" s="1640"/>
      <c r="K1747" s="1641"/>
      <c r="L1747" s="1654">
        <v>162.38999999999999</v>
      </c>
      <c r="M1747" s="1641"/>
      <c r="N1747" s="1679">
        <v>5805.44</v>
      </c>
      <c r="EW1747" s="2031"/>
      <c r="EX1747" s="1619"/>
      <c r="EY1747" s="1628"/>
      <c r="EZ1747" s="1628"/>
      <c r="FA1747" s="1628"/>
      <c r="FF1747" s="1864" t="s">
        <v>7967</v>
      </c>
      <c r="FH1747" s="1628"/>
      <c r="FU1747" s="1678"/>
      <c r="FW1747" s="1678"/>
    </row>
    <row r="1748" spans="1:179" s="1484" customFormat="1" ht="15" x14ac:dyDescent="0.25">
      <c r="A1748" s="2033"/>
      <c r="B1748" s="1631" t="s">
        <v>7968</v>
      </c>
      <c r="C1748" s="2805" t="s">
        <v>7969</v>
      </c>
      <c r="D1748" s="2805"/>
      <c r="E1748" s="2805"/>
      <c r="F1748" s="1683" t="s">
        <v>636</v>
      </c>
      <c r="G1748" s="2034">
        <v>49</v>
      </c>
      <c r="H1748" s="1641"/>
      <c r="I1748" s="2034">
        <v>49</v>
      </c>
      <c r="J1748" s="1640"/>
      <c r="K1748" s="1641"/>
      <c r="L1748" s="1654">
        <v>79.569999999999993</v>
      </c>
      <c r="M1748" s="1641"/>
      <c r="N1748" s="1679">
        <v>2844.67</v>
      </c>
      <c r="EW1748" s="2031"/>
      <c r="EX1748" s="1619"/>
      <c r="EY1748" s="1628"/>
      <c r="EZ1748" s="1628"/>
      <c r="FA1748" s="1628"/>
      <c r="FF1748" s="1864" t="s">
        <v>7969</v>
      </c>
      <c r="FH1748" s="1628"/>
      <c r="FU1748" s="1678"/>
      <c r="FW1748" s="1678"/>
    </row>
    <row r="1749" spans="1:179" s="1484" customFormat="1" ht="15" x14ac:dyDescent="0.25">
      <c r="A1749" s="1650"/>
      <c r="B1749" s="1651"/>
      <c r="C1749" s="2803" t="s">
        <v>872</v>
      </c>
      <c r="D1749" s="2803"/>
      <c r="E1749" s="2803"/>
      <c r="F1749" s="1621"/>
      <c r="G1749" s="1622"/>
      <c r="H1749" s="1622"/>
      <c r="I1749" s="1622"/>
      <c r="J1749" s="1625"/>
      <c r="K1749" s="1622"/>
      <c r="L1749" s="2040">
        <v>492.59</v>
      </c>
      <c r="M1749" s="2037"/>
      <c r="N1749" s="1649">
        <v>15440.07</v>
      </c>
      <c r="EW1749" s="2031"/>
      <c r="EX1749" s="1619"/>
      <c r="EY1749" s="1628"/>
      <c r="EZ1749" s="1628"/>
      <c r="FA1749" s="1628"/>
      <c r="FH1749" s="1628" t="s">
        <v>872</v>
      </c>
      <c r="FU1749" s="1678"/>
      <c r="FW1749" s="1678"/>
    </row>
    <row r="1750" spans="1:179" s="1484" customFormat="1" ht="33.75" x14ac:dyDescent="0.25">
      <c r="A1750" s="1620" t="s">
        <v>8249</v>
      </c>
      <c r="B1750" s="1863" t="s">
        <v>8062</v>
      </c>
      <c r="C1750" s="2803" t="s">
        <v>4978</v>
      </c>
      <c r="D1750" s="2803"/>
      <c r="E1750" s="2803"/>
      <c r="F1750" s="1621" t="s">
        <v>835</v>
      </c>
      <c r="G1750" s="1622">
        <v>52.0398</v>
      </c>
      <c r="H1750" s="1623">
        <v>1</v>
      </c>
      <c r="I1750" s="2041">
        <v>52.0398</v>
      </c>
      <c r="J1750" s="2040">
        <v>13.08</v>
      </c>
      <c r="K1750" s="1622"/>
      <c r="L1750" s="2040">
        <v>680.68</v>
      </c>
      <c r="M1750" s="1687">
        <v>9.14</v>
      </c>
      <c r="N1750" s="1649">
        <v>6221.42</v>
      </c>
      <c r="EW1750" s="2031"/>
      <c r="EX1750" s="1619"/>
      <c r="EY1750" s="1628" t="s">
        <v>4978</v>
      </c>
      <c r="EZ1750" s="1628" t="s">
        <v>588</v>
      </c>
      <c r="FA1750" s="1628" t="s">
        <v>588</v>
      </c>
      <c r="FH1750" s="1628"/>
      <c r="FU1750" s="1678"/>
      <c r="FW1750" s="1678"/>
    </row>
    <row r="1751" spans="1:179" s="1484" customFormat="1" ht="15" x14ac:dyDescent="0.25">
      <c r="A1751" s="1650"/>
      <c r="B1751" s="1651"/>
      <c r="C1751" s="2805" t="s">
        <v>8689</v>
      </c>
      <c r="D1751" s="2805"/>
      <c r="E1751" s="2805"/>
      <c r="F1751" s="2805"/>
      <c r="G1751" s="2805"/>
      <c r="H1751" s="2805"/>
      <c r="I1751" s="2805"/>
      <c r="J1751" s="2805"/>
      <c r="K1751" s="2805"/>
      <c r="L1751" s="2805"/>
      <c r="M1751" s="2805"/>
      <c r="N1751" s="2806"/>
      <c r="EW1751" s="2031"/>
      <c r="EX1751" s="1619"/>
      <c r="EY1751" s="1628"/>
      <c r="EZ1751" s="1628"/>
      <c r="FA1751" s="1628"/>
      <c r="FH1751" s="1628"/>
      <c r="FI1751" s="1864" t="s">
        <v>8689</v>
      </c>
      <c r="FJ1751" s="1864" t="s">
        <v>588</v>
      </c>
      <c r="FK1751" s="1864" t="s">
        <v>588</v>
      </c>
      <c r="FL1751" s="1864" t="s">
        <v>588</v>
      </c>
      <c r="FM1751" s="1864" t="s">
        <v>588</v>
      </c>
      <c r="FN1751" s="1864" t="s">
        <v>588</v>
      </c>
      <c r="FO1751" s="1864" t="s">
        <v>588</v>
      </c>
      <c r="FP1751" s="1864" t="s">
        <v>588</v>
      </c>
      <c r="FQ1751" s="1864" t="s">
        <v>588</v>
      </c>
      <c r="FR1751" s="1864" t="s">
        <v>588</v>
      </c>
      <c r="FS1751" s="1864" t="s">
        <v>588</v>
      </c>
      <c r="FT1751" s="1864" t="s">
        <v>588</v>
      </c>
      <c r="FU1751" s="1678"/>
      <c r="FW1751" s="1678"/>
    </row>
    <row r="1752" spans="1:179" s="1484" customFormat="1" ht="15" x14ac:dyDescent="0.25">
      <c r="A1752" s="1650"/>
      <c r="B1752" s="1651"/>
      <c r="C1752" s="2803" t="s">
        <v>872</v>
      </c>
      <c r="D1752" s="2803"/>
      <c r="E1752" s="2803"/>
      <c r="F1752" s="1621"/>
      <c r="G1752" s="1622"/>
      <c r="H1752" s="1622"/>
      <c r="I1752" s="1622"/>
      <c r="J1752" s="1625"/>
      <c r="K1752" s="1622"/>
      <c r="L1752" s="2040">
        <v>680.68</v>
      </c>
      <c r="M1752" s="2037"/>
      <c r="N1752" s="1649">
        <v>6221.42</v>
      </c>
      <c r="EW1752" s="2031"/>
      <c r="EX1752" s="1619"/>
      <c r="EY1752" s="1628"/>
      <c r="EZ1752" s="1628"/>
      <c r="FA1752" s="1628"/>
      <c r="FH1752" s="1628" t="s">
        <v>872</v>
      </c>
      <c r="FU1752" s="1678"/>
      <c r="FW1752" s="1678"/>
    </row>
    <row r="1753" spans="1:179" s="1484" customFormat="1" ht="56.25" x14ac:dyDescent="0.25">
      <c r="A1753" s="1620" t="s">
        <v>8250</v>
      </c>
      <c r="B1753" s="1863" t="s">
        <v>8172</v>
      </c>
      <c r="C1753" s="2803" t="s">
        <v>8173</v>
      </c>
      <c r="D1753" s="2803"/>
      <c r="E1753" s="2803"/>
      <c r="F1753" s="1621" t="s">
        <v>2555</v>
      </c>
      <c r="G1753" s="1622">
        <v>0.36199999999999999</v>
      </c>
      <c r="H1753" s="1623">
        <v>1</v>
      </c>
      <c r="I1753" s="2045">
        <v>0.36199999999999999</v>
      </c>
      <c r="J1753" s="1625"/>
      <c r="K1753" s="1622"/>
      <c r="L1753" s="1625"/>
      <c r="M1753" s="1622"/>
      <c r="N1753" s="1627"/>
      <c r="EW1753" s="2031"/>
      <c r="EX1753" s="1619"/>
      <c r="EY1753" s="1628" t="s">
        <v>8173</v>
      </c>
      <c r="EZ1753" s="1628" t="s">
        <v>588</v>
      </c>
      <c r="FA1753" s="1628" t="s">
        <v>588</v>
      </c>
      <c r="FH1753" s="1628"/>
      <c r="FU1753" s="1678"/>
      <c r="FW1753" s="1678"/>
    </row>
    <row r="1754" spans="1:179" s="1484" customFormat="1" ht="15" x14ac:dyDescent="0.25">
      <c r="A1754" s="1629"/>
      <c r="B1754" s="1862"/>
      <c r="C1754" s="2805" t="s">
        <v>8814</v>
      </c>
      <c r="D1754" s="2805"/>
      <c r="E1754" s="2805"/>
      <c r="F1754" s="2805"/>
      <c r="G1754" s="2805"/>
      <c r="H1754" s="2805"/>
      <c r="I1754" s="2805"/>
      <c r="J1754" s="2805"/>
      <c r="K1754" s="2805"/>
      <c r="L1754" s="2805"/>
      <c r="M1754" s="2805"/>
      <c r="N1754" s="2806"/>
      <c r="EW1754" s="2031"/>
      <c r="EX1754" s="1619"/>
      <c r="EY1754" s="1628"/>
      <c r="EZ1754" s="1628"/>
      <c r="FA1754" s="1628"/>
      <c r="FB1754" s="1864" t="s">
        <v>8814</v>
      </c>
      <c r="FH1754" s="1628"/>
      <c r="FU1754" s="1678"/>
      <c r="FW1754" s="1678"/>
    </row>
    <row r="1755" spans="1:179" s="1484" customFormat="1" ht="22.5" x14ac:dyDescent="0.25">
      <c r="A1755" s="1630"/>
      <c r="B1755" s="1631" t="s">
        <v>6062</v>
      </c>
      <c r="C1755" s="2809" t="s">
        <v>6063</v>
      </c>
      <c r="D1755" s="2809"/>
      <c r="E1755" s="2809"/>
      <c r="F1755" s="2809"/>
      <c r="G1755" s="2809"/>
      <c r="H1755" s="2809"/>
      <c r="I1755" s="2809"/>
      <c r="J1755" s="2809"/>
      <c r="K1755" s="2809"/>
      <c r="L1755" s="2809"/>
      <c r="M1755" s="2809"/>
      <c r="N1755" s="2810"/>
      <c r="EW1755" s="2031"/>
      <c r="EX1755" s="1619"/>
      <c r="EY1755" s="1628"/>
      <c r="EZ1755" s="1628"/>
      <c r="FA1755" s="1628"/>
      <c r="FC1755" s="1864" t="s">
        <v>6063</v>
      </c>
      <c r="FH1755" s="1628"/>
      <c r="FU1755" s="1678"/>
      <c r="FW1755" s="1678"/>
    </row>
    <row r="1756" spans="1:179" s="1484" customFormat="1" ht="22.5" x14ac:dyDescent="0.25">
      <c r="A1756" s="2033"/>
      <c r="B1756" s="1631" t="s">
        <v>3204</v>
      </c>
      <c r="C1756" s="2805" t="s">
        <v>8647</v>
      </c>
      <c r="D1756" s="2805"/>
      <c r="E1756" s="2805"/>
      <c r="F1756" s="1683" t="s">
        <v>807</v>
      </c>
      <c r="G1756" s="1655">
        <v>119.78</v>
      </c>
      <c r="H1756" s="1641"/>
      <c r="I1756" s="2042">
        <v>43.36036</v>
      </c>
      <c r="J1756" s="1654">
        <v>8.74</v>
      </c>
      <c r="K1756" s="1655">
        <v>1.25</v>
      </c>
      <c r="L1756" s="1654">
        <v>473.71</v>
      </c>
      <c r="M1756" s="1641"/>
      <c r="N1756" s="1681"/>
      <c r="EW1756" s="2031"/>
      <c r="EX1756" s="1619"/>
      <c r="EY1756" s="1628"/>
      <c r="EZ1756" s="1628"/>
      <c r="FA1756" s="1628"/>
      <c r="FD1756" s="1864" t="s">
        <v>8647</v>
      </c>
      <c r="FH1756" s="1628"/>
      <c r="FU1756" s="1678"/>
      <c r="FW1756" s="1678"/>
    </row>
    <row r="1757" spans="1:179" s="1484" customFormat="1" ht="15" x14ac:dyDescent="0.25">
      <c r="A1757" s="2033"/>
      <c r="B1757" s="1631" t="s">
        <v>1741</v>
      </c>
      <c r="C1757" s="2805" t="s">
        <v>8697</v>
      </c>
      <c r="D1757" s="2805"/>
      <c r="E1757" s="2805"/>
      <c r="F1757" s="1683" t="s">
        <v>4994</v>
      </c>
      <c r="G1757" s="1655">
        <v>0.36</v>
      </c>
      <c r="H1757" s="1641"/>
      <c r="I1757" s="2042">
        <v>0.13031999999999999</v>
      </c>
      <c r="J1757" s="1654">
        <v>89.99</v>
      </c>
      <c r="K1757" s="1641"/>
      <c r="L1757" s="1654">
        <v>11.73</v>
      </c>
      <c r="M1757" s="1641"/>
      <c r="N1757" s="1681"/>
      <c r="EW1757" s="2031"/>
      <c r="EX1757" s="1619"/>
      <c r="EY1757" s="1628"/>
      <c r="EZ1757" s="1628"/>
      <c r="FA1757" s="1628"/>
      <c r="FD1757" s="1864" t="s">
        <v>8697</v>
      </c>
      <c r="FH1757" s="1628"/>
      <c r="FU1757" s="1678"/>
      <c r="FW1757" s="1678"/>
    </row>
    <row r="1758" spans="1:179" s="1484" customFormat="1" ht="22.5" x14ac:dyDescent="0.25">
      <c r="A1758" s="2033"/>
      <c r="B1758" s="1631" t="s">
        <v>5010</v>
      </c>
      <c r="C1758" s="2805" t="s">
        <v>5011</v>
      </c>
      <c r="D1758" s="2805"/>
      <c r="E1758" s="2805"/>
      <c r="F1758" s="1683" t="s">
        <v>4994</v>
      </c>
      <c r="G1758" s="1953">
        <v>2.2999999999999998</v>
      </c>
      <c r="H1758" s="1641"/>
      <c r="I1758" s="2035">
        <v>0.83260000000000001</v>
      </c>
      <c r="J1758" s="1654">
        <v>31.26</v>
      </c>
      <c r="K1758" s="1641"/>
      <c r="L1758" s="1654">
        <v>26.03</v>
      </c>
      <c r="M1758" s="1641"/>
      <c r="N1758" s="1681"/>
      <c r="EW1758" s="2031"/>
      <c r="EX1758" s="1619"/>
      <c r="EY1758" s="1628"/>
      <c r="EZ1758" s="1628"/>
      <c r="FA1758" s="1628"/>
      <c r="FD1758" s="1864" t="s">
        <v>5011</v>
      </c>
      <c r="FH1758" s="1628"/>
      <c r="FU1758" s="1678"/>
      <c r="FW1758" s="1678"/>
    </row>
    <row r="1759" spans="1:179" s="1484" customFormat="1" ht="22.5" x14ac:dyDescent="0.25">
      <c r="A1759" s="2033"/>
      <c r="B1759" s="1631" t="s">
        <v>5016</v>
      </c>
      <c r="C1759" s="2805" t="s">
        <v>5017</v>
      </c>
      <c r="D1759" s="2805"/>
      <c r="E1759" s="2805"/>
      <c r="F1759" s="1683" t="s">
        <v>4994</v>
      </c>
      <c r="G1759" s="1655">
        <v>1.56</v>
      </c>
      <c r="H1759" s="1641"/>
      <c r="I1759" s="2042">
        <v>0.56472</v>
      </c>
      <c r="J1759" s="1654">
        <v>12.39</v>
      </c>
      <c r="K1759" s="1641"/>
      <c r="L1759" s="1654">
        <v>7</v>
      </c>
      <c r="M1759" s="1641"/>
      <c r="N1759" s="1681"/>
      <c r="EW1759" s="2031"/>
      <c r="EX1759" s="1619"/>
      <c r="EY1759" s="1628"/>
      <c r="EZ1759" s="1628"/>
      <c r="FA1759" s="1628"/>
      <c r="FD1759" s="1864" t="s">
        <v>5017</v>
      </c>
      <c r="FH1759" s="1628"/>
      <c r="FU1759" s="1678"/>
      <c r="FW1759" s="1678"/>
    </row>
    <row r="1760" spans="1:179" s="1484" customFormat="1" ht="15" x14ac:dyDescent="0.25">
      <c r="A1760" s="2033"/>
      <c r="B1760" s="1631" t="s">
        <v>821</v>
      </c>
      <c r="C1760" s="2805" t="s">
        <v>822</v>
      </c>
      <c r="D1760" s="2805"/>
      <c r="E1760" s="2805"/>
      <c r="F1760" s="1683" t="s">
        <v>4994</v>
      </c>
      <c r="G1760" s="1655">
        <v>0.28000000000000003</v>
      </c>
      <c r="H1760" s="1641"/>
      <c r="I1760" s="2042">
        <v>0.10136000000000001</v>
      </c>
      <c r="J1760" s="1654">
        <v>65.709999999999994</v>
      </c>
      <c r="K1760" s="1641"/>
      <c r="L1760" s="1654">
        <v>6.66</v>
      </c>
      <c r="M1760" s="1641"/>
      <c r="N1760" s="1681"/>
      <c r="EW1760" s="2031"/>
      <c r="EX1760" s="1619"/>
      <c r="EY1760" s="1628"/>
      <c r="EZ1760" s="1628"/>
      <c r="FA1760" s="1628"/>
      <c r="FD1760" s="1864" t="s">
        <v>822</v>
      </c>
      <c r="FH1760" s="1628"/>
      <c r="FU1760" s="1678"/>
      <c r="FW1760" s="1678"/>
    </row>
    <row r="1761" spans="1:179" s="1484" customFormat="1" ht="15" x14ac:dyDescent="0.25">
      <c r="A1761" s="2033"/>
      <c r="B1761" s="1631" t="s">
        <v>1755</v>
      </c>
      <c r="C1761" s="2805" t="s">
        <v>2634</v>
      </c>
      <c r="D1761" s="2805"/>
      <c r="E1761" s="2805"/>
      <c r="F1761" s="1683" t="s">
        <v>832</v>
      </c>
      <c r="G1761" s="1953">
        <v>0.1</v>
      </c>
      <c r="H1761" s="1641"/>
      <c r="I1761" s="2035">
        <v>3.6200000000000003E-2</v>
      </c>
      <c r="J1761" s="1654">
        <v>2.44</v>
      </c>
      <c r="K1761" s="1641"/>
      <c r="L1761" s="1654">
        <v>0.09</v>
      </c>
      <c r="M1761" s="1641"/>
      <c r="N1761" s="1681"/>
      <c r="EW1761" s="2031"/>
      <c r="EX1761" s="1619"/>
      <c r="EY1761" s="1628"/>
      <c r="EZ1761" s="1628"/>
      <c r="FA1761" s="1628"/>
      <c r="FD1761" s="1864" t="s">
        <v>2634</v>
      </c>
      <c r="FH1761" s="1628"/>
      <c r="FU1761" s="1678"/>
      <c r="FW1761" s="1678"/>
    </row>
    <row r="1762" spans="1:179" s="1484" customFormat="1" ht="15" x14ac:dyDescent="0.25">
      <c r="A1762" s="2033"/>
      <c r="B1762" s="1631" t="s">
        <v>4922</v>
      </c>
      <c r="C1762" s="2805" t="s">
        <v>8707</v>
      </c>
      <c r="D1762" s="2805"/>
      <c r="E1762" s="2805"/>
      <c r="F1762" s="1683" t="s">
        <v>835</v>
      </c>
      <c r="G1762" s="1953">
        <v>0.5</v>
      </c>
      <c r="H1762" s="1641"/>
      <c r="I1762" s="2046">
        <v>0.18099999999999999</v>
      </c>
      <c r="J1762" s="1654">
        <v>1.82</v>
      </c>
      <c r="K1762" s="1641"/>
      <c r="L1762" s="1654">
        <v>0.33</v>
      </c>
      <c r="M1762" s="1641"/>
      <c r="N1762" s="1681"/>
      <c r="EW1762" s="2031"/>
      <c r="EX1762" s="1619"/>
      <c r="EY1762" s="1628"/>
      <c r="EZ1762" s="1628"/>
      <c r="FA1762" s="1628"/>
      <c r="FD1762" s="1864" t="s">
        <v>8707</v>
      </c>
      <c r="FH1762" s="1628"/>
      <c r="FU1762" s="1678"/>
      <c r="FW1762" s="1678"/>
    </row>
    <row r="1763" spans="1:179" s="1484" customFormat="1" ht="33.75" x14ac:dyDescent="0.25">
      <c r="A1763" s="2033"/>
      <c r="B1763" s="1631" t="s">
        <v>4940</v>
      </c>
      <c r="C1763" s="2805" t="s">
        <v>4941</v>
      </c>
      <c r="D1763" s="2805"/>
      <c r="E1763" s="2805"/>
      <c r="F1763" s="1683" t="s">
        <v>801</v>
      </c>
      <c r="G1763" s="1655">
        <v>0.05</v>
      </c>
      <c r="H1763" s="1641"/>
      <c r="I1763" s="2035">
        <v>1.8100000000000002E-2</v>
      </c>
      <c r="J1763" s="1657">
        <v>6513</v>
      </c>
      <c r="K1763" s="1641"/>
      <c r="L1763" s="1654">
        <v>117.89</v>
      </c>
      <c r="M1763" s="1641"/>
      <c r="N1763" s="1681"/>
      <c r="EW1763" s="2031"/>
      <c r="EX1763" s="1619"/>
      <c r="EY1763" s="1628"/>
      <c r="EZ1763" s="1628"/>
      <c r="FA1763" s="1628"/>
      <c r="FD1763" s="1864" t="s">
        <v>4941</v>
      </c>
      <c r="FH1763" s="1628"/>
      <c r="FU1763" s="1678"/>
      <c r="FW1763" s="1678"/>
    </row>
    <row r="1764" spans="1:179" s="1484" customFormat="1" ht="33.75" x14ac:dyDescent="0.25">
      <c r="A1764" s="2033"/>
      <c r="B1764" s="1631" t="s">
        <v>8752</v>
      </c>
      <c r="C1764" s="2805" t="s">
        <v>8751</v>
      </c>
      <c r="D1764" s="2805"/>
      <c r="E1764" s="2805"/>
      <c r="F1764" s="1683" t="s">
        <v>130</v>
      </c>
      <c r="G1764" s="2034">
        <v>102</v>
      </c>
      <c r="H1764" s="1641"/>
      <c r="I1764" s="2046">
        <v>36.923999999999999</v>
      </c>
      <c r="J1764" s="1654">
        <v>67.8</v>
      </c>
      <c r="K1764" s="1641"/>
      <c r="L1764" s="1657">
        <v>2503.4499999999998</v>
      </c>
      <c r="M1764" s="1641"/>
      <c r="N1764" s="1681"/>
      <c r="EW1764" s="2031"/>
      <c r="EX1764" s="1619"/>
      <c r="EY1764" s="1628"/>
      <c r="EZ1764" s="1628"/>
      <c r="FA1764" s="1628"/>
      <c r="FD1764" s="1864" t="s">
        <v>8751</v>
      </c>
      <c r="FH1764" s="1628"/>
      <c r="FU1764" s="1678"/>
      <c r="FW1764" s="1678"/>
    </row>
    <row r="1765" spans="1:179" s="1484" customFormat="1" ht="15" x14ac:dyDescent="0.25">
      <c r="A1765" s="2033"/>
      <c r="B1765" s="1631" t="s">
        <v>4972</v>
      </c>
      <c r="C1765" s="2805" t="s">
        <v>8061</v>
      </c>
      <c r="D1765" s="2805"/>
      <c r="E1765" s="2805"/>
      <c r="F1765" s="1683" t="s">
        <v>835</v>
      </c>
      <c r="G1765" s="2034">
        <v>450</v>
      </c>
      <c r="H1765" s="1641"/>
      <c r="I1765" s="1953">
        <v>162.9</v>
      </c>
      <c r="J1765" s="1654">
        <v>1.37</v>
      </c>
      <c r="K1765" s="1641"/>
      <c r="L1765" s="1654">
        <v>223.17</v>
      </c>
      <c r="M1765" s="1641"/>
      <c r="N1765" s="1681"/>
      <c r="EW1765" s="2031"/>
      <c r="EX1765" s="1619"/>
      <c r="EY1765" s="1628"/>
      <c r="EZ1765" s="1628"/>
      <c r="FA1765" s="1628"/>
      <c r="FD1765" s="1864" t="s">
        <v>8061</v>
      </c>
      <c r="FH1765" s="1628"/>
      <c r="FU1765" s="1678"/>
      <c r="FW1765" s="1678"/>
    </row>
    <row r="1766" spans="1:179" s="1484" customFormat="1" ht="15" x14ac:dyDescent="0.25">
      <c r="A1766" s="2032"/>
      <c r="B1766" s="1631" t="s">
        <v>190</v>
      </c>
      <c r="C1766" s="2805" t="s">
        <v>2523</v>
      </c>
      <c r="D1766" s="2805"/>
      <c r="E1766" s="2805"/>
      <c r="F1766" s="1683"/>
      <c r="G1766" s="1641"/>
      <c r="H1766" s="1641"/>
      <c r="I1766" s="1641"/>
      <c r="J1766" s="1657">
        <v>1046.8800000000001</v>
      </c>
      <c r="K1766" s="1655">
        <v>1.25</v>
      </c>
      <c r="L1766" s="1654">
        <v>473.71</v>
      </c>
      <c r="M1766" s="1655">
        <v>35.75</v>
      </c>
      <c r="N1766" s="1679">
        <v>16935.13</v>
      </c>
      <c r="EW1766" s="2031"/>
      <c r="EX1766" s="1619"/>
      <c r="EY1766" s="1628"/>
      <c r="EZ1766" s="1628"/>
      <c r="FA1766" s="1628"/>
      <c r="FE1766" s="1864" t="s">
        <v>2523</v>
      </c>
      <c r="FH1766" s="1628"/>
      <c r="FU1766" s="1678"/>
      <c r="FW1766" s="1678"/>
    </row>
    <row r="1767" spans="1:179" s="1484" customFormat="1" ht="15" x14ac:dyDescent="0.25">
      <c r="A1767" s="2032"/>
      <c r="B1767" s="1631" t="s">
        <v>639</v>
      </c>
      <c r="C1767" s="2805" t="s">
        <v>697</v>
      </c>
      <c r="D1767" s="2805"/>
      <c r="E1767" s="2805"/>
      <c r="F1767" s="1683"/>
      <c r="G1767" s="1641"/>
      <c r="H1767" s="1641"/>
      <c r="I1767" s="1641"/>
      <c r="J1767" s="1654">
        <v>142.03</v>
      </c>
      <c r="K1767" s="1641"/>
      <c r="L1767" s="1654">
        <v>51.41</v>
      </c>
      <c r="M1767" s="1655">
        <v>11.97</v>
      </c>
      <c r="N1767" s="2039">
        <v>615.38</v>
      </c>
      <c r="EW1767" s="2031"/>
      <c r="EX1767" s="1619"/>
      <c r="EY1767" s="1628"/>
      <c r="EZ1767" s="1628"/>
      <c r="FA1767" s="1628"/>
      <c r="FE1767" s="1864" t="s">
        <v>697</v>
      </c>
      <c r="FH1767" s="1628"/>
      <c r="FU1767" s="1678"/>
      <c r="FW1767" s="1678"/>
    </row>
    <row r="1768" spans="1:179" s="1484" customFormat="1" ht="15" x14ac:dyDescent="0.25">
      <c r="A1768" s="2032"/>
      <c r="B1768" s="1631" t="s">
        <v>640</v>
      </c>
      <c r="C1768" s="2805" t="s">
        <v>2500</v>
      </c>
      <c r="D1768" s="2805"/>
      <c r="E1768" s="2805"/>
      <c r="F1768" s="1683"/>
      <c r="G1768" s="1641"/>
      <c r="H1768" s="1641"/>
      <c r="I1768" s="1641"/>
      <c r="J1768" s="1654">
        <v>53.61</v>
      </c>
      <c r="K1768" s="1641"/>
      <c r="L1768" s="1654">
        <v>19.41</v>
      </c>
      <c r="M1768" s="1655">
        <v>35.75</v>
      </c>
      <c r="N1768" s="2039">
        <v>693.91</v>
      </c>
      <c r="EW1768" s="2031"/>
      <c r="EX1768" s="1619"/>
      <c r="EY1768" s="1628"/>
      <c r="EZ1768" s="1628"/>
      <c r="FA1768" s="1628"/>
      <c r="FE1768" s="1864" t="s">
        <v>2500</v>
      </c>
      <c r="FH1768" s="1628"/>
      <c r="FU1768" s="1678"/>
      <c r="FW1768" s="1678"/>
    </row>
    <row r="1769" spans="1:179" s="1484" customFormat="1" ht="15" x14ac:dyDescent="0.25">
      <c r="A1769" s="2032"/>
      <c r="B1769" s="1631" t="s">
        <v>232</v>
      </c>
      <c r="C1769" s="2805" t="s">
        <v>829</v>
      </c>
      <c r="D1769" s="2805"/>
      <c r="E1769" s="2805"/>
      <c r="F1769" s="1683"/>
      <c r="G1769" s="1641"/>
      <c r="H1769" s="1641"/>
      <c r="I1769" s="1641"/>
      <c r="J1769" s="1657">
        <v>7858.9</v>
      </c>
      <c r="K1769" s="1641"/>
      <c r="L1769" s="1657">
        <v>2844.92</v>
      </c>
      <c r="M1769" s="1655">
        <v>9.14</v>
      </c>
      <c r="N1769" s="1679">
        <v>26002.57</v>
      </c>
      <c r="EW1769" s="2031"/>
      <c r="EX1769" s="1619"/>
      <c r="EY1769" s="1628"/>
      <c r="EZ1769" s="1628"/>
      <c r="FA1769" s="1628"/>
      <c r="FE1769" s="1864" t="s">
        <v>829</v>
      </c>
      <c r="FH1769" s="1628"/>
      <c r="FU1769" s="1678"/>
      <c r="FW1769" s="1678"/>
    </row>
    <row r="1770" spans="1:179" s="1484" customFormat="1" ht="15" x14ac:dyDescent="0.25">
      <c r="A1770" s="2033"/>
      <c r="B1770" s="1631"/>
      <c r="C1770" s="2805" t="s">
        <v>2524</v>
      </c>
      <c r="D1770" s="2805"/>
      <c r="E1770" s="2805"/>
      <c r="F1770" s="1683" t="s">
        <v>807</v>
      </c>
      <c r="G1770" s="1655">
        <v>119.78</v>
      </c>
      <c r="H1770" s="1641"/>
      <c r="I1770" s="2042">
        <v>43.36036</v>
      </c>
      <c r="J1770" s="1640"/>
      <c r="K1770" s="1641"/>
      <c r="L1770" s="1640"/>
      <c r="M1770" s="1641"/>
      <c r="N1770" s="1681"/>
      <c r="EW1770" s="2031"/>
      <c r="EX1770" s="1619"/>
      <c r="EY1770" s="1628"/>
      <c r="EZ1770" s="1628"/>
      <c r="FA1770" s="1628"/>
      <c r="FF1770" s="1864" t="s">
        <v>2524</v>
      </c>
      <c r="FH1770" s="1628"/>
      <c r="FU1770" s="1678"/>
      <c r="FW1770" s="1678"/>
    </row>
    <row r="1771" spans="1:179" s="1484" customFormat="1" ht="15" x14ac:dyDescent="0.25">
      <c r="A1771" s="2033"/>
      <c r="B1771" s="1631"/>
      <c r="C1771" s="2805" t="s">
        <v>2501</v>
      </c>
      <c r="D1771" s="2805"/>
      <c r="E1771" s="2805"/>
      <c r="F1771" s="1683" t="s">
        <v>807</v>
      </c>
      <c r="G1771" s="1953">
        <v>4.5</v>
      </c>
      <c r="H1771" s="1641"/>
      <c r="I1771" s="2046">
        <v>1.629</v>
      </c>
      <c r="J1771" s="1640"/>
      <c r="K1771" s="1641"/>
      <c r="L1771" s="1640"/>
      <c r="M1771" s="1641"/>
      <c r="N1771" s="1681"/>
      <c r="EW1771" s="2031"/>
      <c r="EX1771" s="1619"/>
      <c r="EY1771" s="1628"/>
      <c r="EZ1771" s="1628"/>
      <c r="FA1771" s="1628"/>
      <c r="FF1771" s="1864" t="s">
        <v>2501</v>
      </c>
      <c r="FH1771" s="1628"/>
      <c r="FU1771" s="1678"/>
      <c r="FW1771" s="1678"/>
    </row>
    <row r="1772" spans="1:179" s="1484" customFormat="1" ht="15" x14ac:dyDescent="0.25">
      <c r="A1772" s="2032"/>
      <c r="B1772" s="1631"/>
      <c r="C1772" s="2917" t="s">
        <v>2502</v>
      </c>
      <c r="D1772" s="2917"/>
      <c r="E1772" s="2917"/>
      <c r="F1772" s="2036"/>
      <c r="G1772" s="2037"/>
      <c r="H1772" s="2037"/>
      <c r="I1772" s="2037"/>
      <c r="J1772" s="2038">
        <v>9047.81</v>
      </c>
      <c r="K1772" s="2037"/>
      <c r="L1772" s="2038">
        <v>3370.04</v>
      </c>
      <c r="M1772" s="2037"/>
      <c r="N1772" s="2068">
        <v>43553.08</v>
      </c>
      <c r="EW1772" s="2031"/>
      <c r="EX1772" s="1619"/>
      <c r="EY1772" s="1628"/>
      <c r="EZ1772" s="1628"/>
      <c r="FA1772" s="1628"/>
      <c r="FG1772" s="1864" t="s">
        <v>2502</v>
      </c>
      <c r="FH1772" s="1628"/>
      <c r="FU1772" s="1678"/>
      <c r="FW1772" s="1678"/>
    </row>
    <row r="1773" spans="1:179" s="1484" customFormat="1" ht="15" x14ac:dyDescent="0.25">
      <c r="A1773" s="2033" t="s">
        <v>8251</v>
      </c>
      <c r="B1773" s="1631"/>
      <c r="C1773" s="2805" t="s">
        <v>7964</v>
      </c>
      <c r="D1773" s="2805"/>
      <c r="E1773" s="2805"/>
      <c r="F1773" s="1683" t="s">
        <v>5928</v>
      </c>
      <c r="G1773" s="1641"/>
      <c r="H1773" s="1641"/>
      <c r="I1773" s="1641"/>
      <c r="J1773" s="1640"/>
      <c r="K1773" s="1641"/>
      <c r="L1773" s="1654">
        <v>4.8499999999999996</v>
      </c>
      <c r="M1773" s="1641"/>
      <c r="N1773" s="2039">
        <v>173.39</v>
      </c>
      <c r="EW1773" s="2031"/>
      <c r="EX1773" s="1619"/>
      <c r="EY1773" s="1628"/>
      <c r="EZ1773" s="1628"/>
      <c r="FA1773" s="1628"/>
      <c r="FF1773" s="1864" t="s">
        <v>7964</v>
      </c>
      <c r="FH1773" s="1628"/>
      <c r="FU1773" s="1678"/>
      <c r="FW1773" s="1678"/>
    </row>
    <row r="1774" spans="1:179" s="1484" customFormat="1" ht="15" x14ac:dyDescent="0.25">
      <c r="A1774" s="2033"/>
      <c r="B1774" s="1631"/>
      <c r="C1774" s="2805" t="s">
        <v>7965</v>
      </c>
      <c r="D1774" s="2805"/>
      <c r="E1774" s="2805"/>
      <c r="F1774" s="1683" t="s">
        <v>5928</v>
      </c>
      <c r="G1774" s="1641"/>
      <c r="H1774" s="1641"/>
      <c r="I1774" s="1641"/>
      <c r="J1774" s="1654">
        <v>53.61</v>
      </c>
      <c r="K1774" s="1655">
        <v>0.25</v>
      </c>
      <c r="L1774" s="1654">
        <v>4.8499999999999996</v>
      </c>
      <c r="M1774" s="1655">
        <v>35.75</v>
      </c>
      <c r="N1774" s="2039">
        <v>173.39</v>
      </c>
      <c r="EW1774" s="2031"/>
      <c r="EX1774" s="1619"/>
      <c r="EY1774" s="1628"/>
      <c r="EZ1774" s="1628"/>
      <c r="FA1774" s="1628"/>
      <c r="FF1774" s="1864" t="s">
        <v>7965</v>
      </c>
      <c r="FH1774" s="1628"/>
      <c r="FU1774" s="1678"/>
      <c r="FW1774" s="1678"/>
    </row>
    <row r="1775" spans="1:179" s="1484" customFormat="1" ht="15" x14ac:dyDescent="0.25">
      <c r="A1775" s="2033"/>
      <c r="B1775" s="1631"/>
      <c r="C1775" s="2805" t="s">
        <v>867</v>
      </c>
      <c r="D1775" s="2805"/>
      <c r="E1775" s="2805"/>
      <c r="F1775" s="1683"/>
      <c r="G1775" s="1641"/>
      <c r="H1775" s="1641"/>
      <c r="I1775" s="1641"/>
      <c r="J1775" s="1640"/>
      <c r="K1775" s="1641"/>
      <c r="L1775" s="1654">
        <v>497.97</v>
      </c>
      <c r="M1775" s="1641"/>
      <c r="N1775" s="1679">
        <v>17802.43</v>
      </c>
      <c r="EW1775" s="2031"/>
      <c r="EX1775" s="1619"/>
      <c r="EY1775" s="1628"/>
      <c r="EZ1775" s="1628"/>
      <c r="FA1775" s="1628"/>
      <c r="FF1775" s="1864" t="s">
        <v>867</v>
      </c>
      <c r="FH1775" s="1628"/>
      <c r="FU1775" s="1678"/>
      <c r="FW1775" s="1678"/>
    </row>
    <row r="1776" spans="1:179" s="1484" customFormat="1" ht="15" x14ac:dyDescent="0.25">
      <c r="A1776" s="2033"/>
      <c r="B1776" s="1631" t="s">
        <v>8054</v>
      </c>
      <c r="C1776" s="2805" t="s">
        <v>8055</v>
      </c>
      <c r="D1776" s="2805"/>
      <c r="E1776" s="2805"/>
      <c r="F1776" s="1683" t="s">
        <v>636</v>
      </c>
      <c r="G1776" s="2034">
        <v>112</v>
      </c>
      <c r="H1776" s="1641"/>
      <c r="I1776" s="2034">
        <v>112</v>
      </c>
      <c r="J1776" s="1640"/>
      <c r="K1776" s="1641"/>
      <c r="L1776" s="1654">
        <v>557.73</v>
      </c>
      <c r="M1776" s="1641"/>
      <c r="N1776" s="1679">
        <v>19938.72</v>
      </c>
      <c r="EW1776" s="2031"/>
      <c r="EX1776" s="1619"/>
      <c r="EY1776" s="1628"/>
      <c r="EZ1776" s="1628"/>
      <c r="FA1776" s="1628"/>
      <c r="FF1776" s="1864" t="s">
        <v>8055</v>
      </c>
      <c r="FH1776" s="1628"/>
      <c r="FU1776" s="1678"/>
      <c r="FW1776" s="1678"/>
    </row>
    <row r="1777" spans="1:179" s="1484" customFormat="1" ht="15" x14ac:dyDescent="0.25">
      <c r="A1777" s="2033"/>
      <c r="B1777" s="1631" t="s">
        <v>8056</v>
      </c>
      <c r="C1777" s="2805" t="s">
        <v>8057</v>
      </c>
      <c r="D1777" s="2805"/>
      <c r="E1777" s="2805"/>
      <c r="F1777" s="1683" t="s">
        <v>636</v>
      </c>
      <c r="G1777" s="2034">
        <v>65</v>
      </c>
      <c r="H1777" s="1641"/>
      <c r="I1777" s="2034">
        <v>65</v>
      </c>
      <c r="J1777" s="1640"/>
      <c r="K1777" s="1641"/>
      <c r="L1777" s="1654">
        <v>323.68</v>
      </c>
      <c r="M1777" s="1641"/>
      <c r="N1777" s="1679">
        <v>11571.58</v>
      </c>
      <c r="EW1777" s="2031"/>
      <c r="EX1777" s="1619"/>
      <c r="EY1777" s="1628"/>
      <c r="EZ1777" s="1628"/>
      <c r="FA1777" s="1628"/>
      <c r="FF1777" s="1864" t="s">
        <v>8057</v>
      </c>
      <c r="FH1777" s="1628"/>
      <c r="FU1777" s="1678"/>
      <c r="FW1777" s="1678"/>
    </row>
    <row r="1778" spans="1:179" s="1484" customFormat="1" ht="15" x14ac:dyDescent="0.25">
      <c r="A1778" s="1650"/>
      <c r="B1778" s="1651"/>
      <c r="C1778" s="2803" t="s">
        <v>872</v>
      </c>
      <c r="D1778" s="2803"/>
      <c r="E1778" s="2803"/>
      <c r="F1778" s="1621"/>
      <c r="G1778" s="1622"/>
      <c r="H1778" s="1622"/>
      <c r="I1778" s="1622"/>
      <c r="J1778" s="1625"/>
      <c r="K1778" s="1622"/>
      <c r="L1778" s="1648">
        <v>4256.3</v>
      </c>
      <c r="M1778" s="2037"/>
      <c r="N1778" s="1649">
        <v>75236.77</v>
      </c>
      <c r="EW1778" s="2031"/>
      <c r="EX1778" s="1619"/>
      <c r="EY1778" s="1628"/>
      <c r="EZ1778" s="1628"/>
      <c r="FA1778" s="1628"/>
      <c r="FH1778" s="1628" t="s">
        <v>872</v>
      </c>
      <c r="FU1778" s="1678"/>
      <c r="FW1778" s="1678"/>
    </row>
    <row r="1779" spans="1:179" s="1484" customFormat="1" ht="15" x14ac:dyDescent="0.25">
      <c r="A1779" s="2811" t="s">
        <v>8252</v>
      </c>
      <c r="B1779" s="2812"/>
      <c r="C1779" s="2812"/>
      <c r="D1779" s="2812"/>
      <c r="E1779" s="2812"/>
      <c r="F1779" s="2812"/>
      <c r="G1779" s="2812"/>
      <c r="H1779" s="2812"/>
      <c r="I1779" s="2812"/>
      <c r="J1779" s="2812"/>
      <c r="K1779" s="2812"/>
      <c r="L1779" s="2812"/>
      <c r="M1779" s="2812"/>
      <c r="N1779" s="2813"/>
      <c r="EW1779" s="2031"/>
      <c r="EX1779" s="1619" t="s">
        <v>8252</v>
      </c>
      <c r="EY1779" s="1628"/>
      <c r="EZ1779" s="1628"/>
      <c r="FA1779" s="1628"/>
      <c r="FH1779" s="1628"/>
      <c r="FU1779" s="1678"/>
      <c r="FW1779" s="1678"/>
    </row>
    <row r="1780" spans="1:179" s="1484" customFormat="1" ht="33.75" x14ac:dyDescent="0.25">
      <c r="A1780" s="1620" t="s">
        <v>8253</v>
      </c>
      <c r="B1780" s="1863" t="s">
        <v>8157</v>
      </c>
      <c r="C1780" s="2803" t="s">
        <v>8158</v>
      </c>
      <c r="D1780" s="2803"/>
      <c r="E1780" s="2803"/>
      <c r="F1780" s="1621" t="s">
        <v>2555</v>
      </c>
      <c r="G1780" s="1622">
        <v>0.19500000000000001</v>
      </c>
      <c r="H1780" s="1623">
        <v>1</v>
      </c>
      <c r="I1780" s="2045">
        <v>0.19500000000000001</v>
      </c>
      <c r="J1780" s="1625"/>
      <c r="K1780" s="1622"/>
      <c r="L1780" s="1625"/>
      <c r="M1780" s="1622"/>
      <c r="N1780" s="1627"/>
      <c r="EW1780" s="2031"/>
      <c r="EX1780" s="1619"/>
      <c r="EY1780" s="1628" t="s">
        <v>8158</v>
      </c>
      <c r="EZ1780" s="1628" t="s">
        <v>588</v>
      </c>
      <c r="FA1780" s="1628" t="s">
        <v>588</v>
      </c>
      <c r="FH1780" s="1628"/>
      <c r="FU1780" s="1678"/>
      <c r="FW1780" s="1678"/>
    </row>
    <row r="1781" spans="1:179" s="1484" customFormat="1" ht="15" x14ac:dyDescent="0.25">
      <c r="A1781" s="1629"/>
      <c r="B1781" s="1862"/>
      <c r="C1781" s="2805" t="s">
        <v>8810</v>
      </c>
      <c r="D1781" s="2805"/>
      <c r="E1781" s="2805"/>
      <c r="F1781" s="2805"/>
      <c r="G1781" s="2805"/>
      <c r="H1781" s="2805"/>
      <c r="I1781" s="2805"/>
      <c r="J1781" s="2805"/>
      <c r="K1781" s="2805"/>
      <c r="L1781" s="2805"/>
      <c r="M1781" s="2805"/>
      <c r="N1781" s="2806"/>
      <c r="EW1781" s="2031"/>
      <c r="EX1781" s="1619"/>
      <c r="EY1781" s="1628"/>
      <c r="EZ1781" s="1628"/>
      <c r="FA1781" s="1628"/>
      <c r="FB1781" s="1864" t="s">
        <v>8810</v>
      </c>
      <c r="FH1781" s="1628"/>
      <c r="FU1781" s="1678"/>
      <c r="FW1781" s="1678"/>
    </row>
    <row r="1782" spans="1:179" s="1484" customFormat="1" ht="22.5" x14ac:dyDescent="0.25">
      <c r="A1782" s="1630"/>
      <c r="B1782" s="1631" t="s">
        <v>6062</v>
      </c>
      <c r="C1782" s="2809" t="s">
        <v>6063</v>
      </c>
      <c r="D1782" s="2809"/>
      <c r="E1782" s="2809"/>
      <c r="F1782" s="2809"/>
      <c r="G1782" s="2809"/>
      <c r="H1782" s="2809"/>
      <c r="I1782" s="2809"/>
      <c r="J1782" s="2809"/>
      <c r="K1782" s="2809"/>
      <c r="L1782" s="2809"/>
      <c r="M1782" s="2809"/>
      <c r="N1782" s="2810"/>
      <c r="EW1782" s="2031"/>
      <c r="EX1782" s="1619"/>
      <c r="EY1782" s="1628"/>
      <c r="EZ1782" s="1628"/>
      <c r="FA1782" s="1628"/>
      <c r="FC1782" s="1864" t="s">
        <v>6063</v>
      </c>
      <c r="FH1782" s="1628"/>
      <c r="FU1782" s="1678"/>
      <c r="FW1782" s="1678"/>
    </row>
    <row r="1783" spans="1:179" s="1484" customFormat="1" ht="22.5" x14ac:dyDescent="0.25">
      <c r="A1783" s="2033"/>
      <c r="B1783" s="1631" t="s">
        <v>8657</v>
      </c>
      <c r="C1783" s="2805" t="s">
        <v>8656</v>
      </c>
      <c r="D1783" s="2805"/>
      <c r="E1783" s="2805"/>
      <c r="F1783" s="1683" t="s">
        <v>807</v>
      </c>
      <c r="G1783" s="1953">
        <v>29.6</v>
      </c>
      <c r="H1783" s="1641"/>
      <c r="I1783" s="2046">
        <v>5.7720000000000002</v>
      </c>
      <c r="J1783" s="1654">
        <v>10.06</v>
      </c>
      <c r="K1783" s="1655">
        <v>1.25</v>
      </c>
      <c r="L1783" s="1654">
        <v>72.58</v>
      </c>
      <c r="M1783" s="1641"/>
      <c r="N1783" s="1681"/>
      <c r="EW1783" s="2031"/>
      <c r="EX1783" s="1619"/>
      <c r="EY1783" s="1628"/>
      <c r="EZ1783" s="1628"/>
      <c r="FA1783" s="1628"/>
      <c r="FD1783" s="1864" t="s">
        <v>8656</v>
      </c>
      <c r="FH1783" s="1628"/>
      <c r="FU1783" s="1678"/>
      <c r="FW1783" s="1678"/>
    </row>
    <row r="1784" spans="1:179" s="1484" customFormat="1" ht="22.5" x14ac:dyDescent="0.25">
      <c r="A1784" s="2033"/>
      <c r="B1784" s="1631" t="s">
        <v>5010</v>
      </c>
      <c r="C1784" s="2805" t="s">
        <v>5011</v>
      </c>
      <c r="D1784" s="2805"/>
      <c r="E1784" s="2805"/>
      <c r="F1784" s="1683" t="s">
        <v>4994</v>
      </c>
      <c r="G1784" s="1655">
        <v>0.23</v>
      </c>
      <c r="H1784" s="1641"/>
      <c r="I1784" s="2042">
        <v>4.4850000000000001E-2</v>
      </c>
      <c r="J1784" s="1654">
        <v>31.26</v>
      </c>
      <c r="K1784" s="1641"/>
      <c r="L1784" s="1654">
        <v>1.4</v>
      </c>
      <c r="M1784" s="1641"/>
      <c r="N1784" s="1681"/>
      <c r="EW1784" s="2031"/>
      <c r="EX1784" s="1619"/>
      <c r="EY1784" s="1628"/>
      <c r="EZ1784" s="1628"/>
      <c r="FA1784" s="1628"/>
      <c r="FD1784" s="1864" t="s">
        <v>5011</v>
      </c>
      <c r="FH1784" s="1628"/>
      <c r="FU1784" s="1678"/>
      <c r="FW1784" s="1678"/>
    </row>
    <row r="1785" spans="1:179" s="1484" customFormat="1" ht="15" x14ac:dyDescent="0.25">
      <c r="A1785" s="2033"/>
      <c r="B1785" s="1631" t="s">
        <v>821</v>
      </c>
      <c r="C1785" s="2805" t="s">
        <v>822</v>
      </c>
      <c r="D1785" s="2805"/>
      <c r="E1785" s="2805"/>
      <c r="F1785" s="1683" t="s">
        <v>4994</v>
      </c>
      <c r="G1785" s="1655">
        <v>0.33</v>
      </c>
      <c r="H1785" s="1641"/>
      <c r="I1785" s="2042">
        <v>6.4350000000000004E-2</v>
      </c>
      <c r="J1785" s="1654">
        <v>65.709999999999994</v>
      </c>
      <c r="K1785" s="1641"/>
      <c r="L1785" s="1654">
        <v>4.2300000000000004</v>
      </c>
      <c r="M1785" s="1641"/>
      <c r="N1785" s="1681"/>
      <c r="EW1785" s="2031"/>
      <c r="EX1785" s="1619"/>
      <c r="EY1785" s="1628"/>
      <c r="EZ1785" s="1628"/>
      <c r="FA1785" s="1628"/>
      <c r="FD1785" s="1864" t="s">
        <v>822</v>
      </c>
      <c r="FH1785" s="1628"/>
      <c r="FU1785" s="1678"/>
      <c r="FW1785" s="1678"/>
    </row>
    <row r="1786" spans="1:179" s="1484" customFormat="1" ht="15" x14ac:dyDescent="0.25">
      <c r="A1786" s="2033"/>
      <c r="B1786" s="1631" t="s">
        <v>5033</v>
      </c>
      <c r="C1786" s="2805" t="s">
        <v>5034</v>
      </c>
      <c r="D1786" s="2805"/>
      <c r="E1786" s="2805"/>
      <c r="F1786" s="1683" t="s">
        <v>4994</v>
      </c>
      <c r="G1786" s="2034">
        <v>7</v>
      </c>
      <c r="H1786" s="1641"/>
      <c r="I1786" s="2046">
        <v>1.365</v>
      </c>
      <c r="J1786" s="1654">
        <v>2.7</v>
      </c>
      <c r="K1786" s="1641"/>
      <c r="L1786" s="1654">
        <v>3.69</v>
      </c>
      <c r="M1786" s="1641"/>
      <c r="N1786" s="1681"/>
      <c r="EW1786" s="2031"/>
      <c r="EX1786" s="1619"/>
      <c r="EY1786" s="1628"/>
      <c r="EZ1786" s="1628"/>
      <c r="FA1786" s="1628"/>
      <c r="FD1786" s="1864" t="s">
        <v>5034</v>
      </c>
      <c r="FH1786" s="1628"/>
      <c r="FU1786" s="1678"/>
      <c r="FW1786" s="1678"/>
    </row>
    <row r="1787" spans="1:179" s="1484" customFormat="1" ht="22.5" x14ac:dyDescent="0.25">
      <c r="A1787" s="2033"/>
      <c r="B1787" s="1631" t="s">
        <v>4866</v>
      </c>
      <c r="C1787" s="2805" t="s">
        <v>8779</v>
      </c>
      <c r="D1787" s="2805"/>
      <c r="E1787" s="2805"/>
      <c r="F1787" s="1683" t="s">
        <v>801</v>
      </c>
      <c r="G1787" s="2046">
        <v>2.3E-2</v>
      </c>
      <c r="H1787" s="1641"/>
      <c r="I1787" s="2043">
        <v>4.4850000000000003E-3</v>
      </c>
      <c r="J1787" s="1657">
        <v>1412.5</v>
      </c>
      <c r="K1787" s="1641"/>
      <c r="L1787" s="1654">
        <v>6.34</v>
      </c>
      <c r="M1787" s="1641"/>
      <c r="N1787" s="1681"/>
      <c r="EW1787" s="2031"/>
      <c r="EX1787" s="1619"/>
      <c r="EY1787" s="1628"/>
      <c r="EZ1787" s="1628"/>
      <c r="FA1787" s="1628"/>
      <c r="FD1787" s="1864" t="s">
        <v>8779</v>
      </c>
      <c r="FH1787" s="1628"/>
      <c r="FU1787" s="1678"/>
      <c r="FW1787" s="1678"/>
    </row>
    <row r="1788" spans="1:179" s="1484" customFormat="1" ht="15" x14ac:dyDescent="0.25">
      <c r="A1788" s="2033"/>
      <c r="B1788" s="1631" t="s">
        <v>8778</v>
      </c>
      <c r="C1788" s="2805" t="s">
        <v>8777</v>
      </c>
      <c r="D1788" s="2805"/>
      <c r="E1788" s="2805"/>
      <c r="F1788" s="1683" t="s">
        <v>801</v>
      </c>
      <c r="G1788" s="2046">
        <v>0.246</v>
      </c>
      <c r="H1788" s="1641"/>
      <c r="I1788" s="2042">
        <v>4.7969999999999999E-2</v>
      </c>
      <c r="J1788" s="1657">
        <v>1995</v>
      </c>
      <c r="K1788" s="1641"/>
      <c r="L1788" s="1654">
        <v>95.7</v>
      </c>
      <c r="M1788" s="1641"/>
      <c r="N1788" s="1681"/>
      <c r="EW1788" s="2031"/>
      <c r="EX1788" s="1619"/>
      <c r="EY1788" s="1628"/>
      <c r="EZ1788" s="1628"/>
      <c r="FA1788" s="1628"/>
      <c r="FD1788" s="1864" t="s">
        <v>8777</v>
      </c>
      <c r="FH1788" s="1628"/>
      <c r="FU1788" s="1678"/>
      <c r="FW1788" s="1678"/>
    </row>
    <row r="1789" spans="1:179" s="1484" customFormat="1" ht="15" x14ac:dyDescent="0.25">
      <c r="A1789" s="2033"/>
      <c r="B1789" s="1631" t="s">
        <v>4873</v>
      </c>
      <c r="C1789" s="2805" t="s">
        <v>4874</v>
      </c>
      <c r="D1789" s="2805"/>
      <c r="E1789" s="2805"/>
      <c r="F1789" s="1683" t="s">
        <v>835</v>
      </c>
      <c r="G1789" s="2034">
        <v>54</v>
      </c>
      <c r="H1789" s="1641"/>
      <c r="I1789" s="1655">
        <v>10.53</v>
      </c>
      <c r="J1789" s="1654">
        <v>6.15</v>
      </c>
      <c r="K1789" s="1641"/>
      <c r="L1789" s="1654">
        <v>64.760000000000005</v>
      </c>
      <c r="M1789" s="1641"/>
      <c r="N1789" s="1681"/>
      <c r="EW1789" s="2031"/>
      <c r="EX1789" s="1619"/>
      <c r="EY1789" s="1628"/>
      <c r="EZ1789" s="1628"/>
      <c r="FA1789" s="1628"/>
      <c r="FD1789" s="1864" t="s">
        <v>4874</v>
      </c>
      <c r="FH1789" s="1628"/>
      <c r="FU1789" s="1678"/>
      <c r="FW1789" s="1678"/>
    </row>
    <row r="1790" spans="1:179" s="1484" customFormat="1" ht="22.5" x14ac:dyDescent="0.25">
      <c r="A1790" s="2033"/>
      <c r="B1790" s="1631" t="s">
        <v>4881</v>
      </c>
      <c r="C1790" s="2805" t="s">
        <v>4882</v>
      </c>
      <c r="D1790" s="2805"/>
      <c r="E1790" s="2805"/>
      <c r="F1790" s="1683" t="s">
        <v>801</v>
      </c>
      <c r="G1790" s="2046">
        <v>4.0000000000000001E-3</v>
      </c>
      <c r="H1790" s="1641"/>
      <c r="I1790" s="2042">
        <v>7.7999999999999999E-4</v>
      </c>
      <c r="J1790" s="1657">
        <v>37870</v>
      </c>
      <c r="K1790" s="1641"/>
      <c r="L1790" s="1654">
        <v>29.54</v>
      </c>
      <c r="M1790" s="1641"/>
      <c r="N1790" s="1681"/>
      <c r="EW1790" s="2031"/>
      <c r="EX1790" s="1619"/>
      <c r="EY1790" s="1628"/>
      <c r="EZ1790" s="1628"/>
      <c r="FA1790" s="1628"/>
      <c r="FD1790" s="1864" t="s">
        <v>4882</v>
      </c>
      <c r="FH1790" s="1628"/>
      <c r="FU1790" s="1678"/>
      <c r="FW1790" s="1678"/>
    </row>
    <row r="1791" spans="1:179" s="1484" customFormat="1" ht="15" x14ac:dyDescent="0.25">
      <c r="A1791" s="2033"/>
      <c r="B1791" s="1631" t="s">
        <v>4922</v>
      </c>
      <c r="C1791" s="2805" t="s">
        <v>8707</v>
      </c>
      <c r="D1791" s="2805"/>
      <c r="E1791" s="2805"/>
      <c r="F1791" s="1683" t="s">
        <v>835</v>
      </c>
      <c r="G1791" s="1953">
        <v>0.5</v>
      </c>
      <c r="H1791" s="1641"/>
      <c r="I1791" s="2035">
        <v>9.7500000000000003E-2</v>
      </c>
      <c r="J1791" s="1654">
        <v>1.82</v>
      </c>
      <c r="K1791" s="1641"/>
      <c r="L1791" s="1654">
        <v>0.18</v>
      </c>
      <c r="M1791" s="1641"/>
      <c r="N1791" s="1681"/>
      <c r="EW1791" s="2031"/>
      <c r="EX1791" s="1619"/>
      <c r="EY1791" s="1628"/>
      <c r="EZ1791" s="1628"/>
      <c r="FA1791" s="1628"/>
      <c r="FD1791" s="1864" t="s">
        <v>8707</v>
      </c>
      <c r="FH1791" s="1628"/>
      <c r="FU1791" s="1678"/>
      <c r="FW1791" s="1678"/>
    </row>
    <row r="1792" spans="1:179" s="1484" customFormat="1" ht="15" x14ac:dyDescent="0.25">
      <c r="A1792" s="2032"/>
      <c r="B1792" s="1631" t="s">
        <v>190</v>
      </c>
      <c r="C1792" s="2805" t="s">
        <v>2523</v>
      </c>
      <c r="D1792" s="2805"/>
      <c r="E1792" s="2805"/>
      <c r="F1792" s="1683"/>
      <c r="G1792" s="1641"/>
      <c r="H1792" s="1641"/>
      <c r="I1792" s="1641"/>
      <c r="J1792" s="1654">
        <v>297.77999999999997</v>
      </c>
      <c r="K1792" s="1655">
        <v>1.25</v>
      </c>
      <c r="L1792" s="1654">
        <v>72.58</v>
      </c>
      <c r="M1792" s="1655">
        <v>35.75</v>
      </c>
      <c r="N1792" s="1679">
        <v>2594.7399999999998</v>
      </c>
      <c r="EW1792" s="2031"/>
      <c r="EX1792" s="1619"/>
      <c r="EY1792" s="1628"/>
      <c r="EZ1792" s="1628"/>
      <c r="FA1792" s="1628"/>
      <c r="FE1792" s="1864" t="s">
        <v>2523</v>
      </c>
      <c r="FH1792" s="1628"/>
      <c r="FU1792" s="1678"/>
      <c r="FW1792" s="1678"/>
    </row>
    <row r="1793" spans="1:179" s="1484" customFormat="1" ht="15" x14ac:dyDescent="0.25">
      <c r="A1793" s="2032"/>
      <c r="B1793" s="1631" t="s">
        <v>639</v>
      </c>
      <c r="C1793" s="2805" t="s">
        <v>697</v>
      </c>
      <c r="D1793" s="2805"/>
      <c r="E1793" s="2805"/>
      <c r="F1793" s="1683"/>
      <c r="G1793" s="1641"/>
      <c r="H1793" s="1641"/>
      <c r="I1793" s="1641"/>
      <c r="J1793" s="1654">
        <v>47.77</v>
      </c>
      <c r="K1793" s="1641"/>
      <c r="L1793" s="1654">
        <v>9.32</v>
      </c>
      <c r="M1793" s="1655">
        <v>11.97</v>
      </c>
      <c r="N1793" s="2039">
        <v>111.56</v>
      </c>
      <c r="EW1793" s="2031"/>
      <c r="EX1793" s="1619"/>
      <c r="EY1793" s="1628"/>
      <c r="EZ1793" s="1628"/>
      <c r="FA1793" s="1628"/>
      <c r="FE1793" s="1864" t="s">
        <v>697</v>
      </c>
      <c r="FH1793" s="1628"/>
      <c r="FU1793" s="1678"/>
      <c r="FW1793" s="1678"/>
    </row>
    <row r="1794" spans="1:179" s="1484" customFormat="1" ht="15" x14ac:dyDescent="0.25">
      <c r="A1794" s="2032"/>
      <c r="B1794" s="1631" t="s">
        <v>640</v>
      </c>
      <c r="C1794" s="2805" t="s">
        <v>2500</v>
      </c>
      <c r="D1794" s="2805"/>
      <c r="E1794" s="2805"/>
      <c r="F1794" s="1683"/>
      <c r="G1794" s="1641"/>
      <c r="H1794" s="1641"/>
      <c r="I1794" s="1641"/>
      <c r="J1794" s="1654">
        <v>6.94</v>
      </c>
      <c r="K1794" s="1641"/>
      <c r="L1794" s="1654">
        <v>1.35</v>
      </c>
      <c r="M1794" s="1655">
        <v>35.75</v>
      </c>
      <c r="N1794" s="2039">
        <v>48.26</v>
      </c>
      <c r="EW1794" s="2031"/>
      <c r="EX1794" s="1619"/>
      <c r="EY1794" s="1628"/>
      <c r="EZ1794" s="1628"/>
      <c r="FA1794" s="1628"/>
      <c r="FE1794" s="1864" t="s">
        <v>2500</v>
      </c>
      <c r="FH1794" s="1628"/>
      <c r="FU1794" s="1678"/>
      <c r="FW1794" s="1678"/>
    </row>
    <row r="1795" spans="1:179" s="1484" customFormat="1" ht="15" x14ac:dyDescent="0.25">
      <c r="A1795" s="2032"/>
      <c r="B1795" s="1631" t="s">
        <v>232</v>
      </c>
      <c r="C1795" s="2805" t="s">
        <v>829</v>
      </c>
      <c r="D1795" s="2805"/>
      <c r="E1795" s="2805"/>
      <c r="F1795" s="1683"/>
      <c r="G1795" s="1641"/>
      <c r="H1795" s="1641"/>
      <c r="I1795" s="1641"/>
      <c r="J1795" s="1657">
        <v>1007.75</v>
      </c>
      <c r="K1795" s="1641"/>
      <c r="L1795" s="1654">
        <v>196.51</v>
      </c>
      <c r="M1795" s="1655">
        <v>9.14</v>
      </c>
      <c r="N1795" s="1679">
        <v>1796.1</v>
      </c>
      <c r="EW1795" s="2031"/>
      <c r="EX1795" s="1619"/>
      <c r="EY1795" s="1628"/>
      <c r="EZ1795" s="1628"/>
      <c r="FA1795" s="1628"/>
      <c r="FE1795" s="1864" t="s">
        <v>829</v>
      </c>
      <c r="FH1795" s="1628"/>
      <c r="FU1795" s="1678"/>
      <c r="FW1795" s="1678"/>
    </row>
    <row r="1796" spans="1:179" s="1484" customFormat="1" ht="15" x14ac:dyDescent="0.25">
      <c r="A1796" s="2033"/>
      <c r="B1796" s="1631"/>
      <c r="C1796" s="2805" t="s">
        <v>2524</v>
      </c>
      <c r="D1796" s="2805"/>
      <c r="E1796" s="2805"/>
      <c r="F1796" s="1683" t="s">
        <v>807</v>
      </c>
      <c r="G1796" s="1953">
        <v>29.6</v>
      </c>
      <c r="H1796" s="1641"/>
      <c r="I1796" s="2046">
        <v>5.7720000000000002</v>
      </c>
      <c r="J1796" s="1640"/>
      <c r="K1796" s="1641"/>
      <c r="L1796" s="1640"/>
      <c r="M1796" s="1641"/>
      <c r="N1796" s="1681"/>
      <c r="EW1796" s="2031"/>
      <c r="EX1796" s="1619"/>
      <c r="EY1796" s="1628"/>
      <c r="EZ1796" s="1628"/>
      <c r="FA1796" s="1628"/>
      <c r="FF1796" s="1864" t="s">
        <v>2524</v>
      </c>
      <c r="FH1796" s="1628"/>
      <c r="FU1796" s="1678"/>
      <c r="FW1796" s="1678"/>
    </row>
    <row r="1797" spans="1:179" s="1484" customFormat="1" ht="15" x14ac:dyDescent="0.25">
      <c r="A1797" s="2033"/>
      <c r="B1797" s="1631"/>
      <c r="C1797" s="2805" t="s">
        <v>2501</v>
      </c>
      <c r="D1797" s="2805"/>
      <c r="E1797" s="2805"/>
      <c r="F1797" s="1683" t="s">
        <v>807</v>
      </c>
      <c r="G1797" s="1655">
        <v>0.56000000000000005</v>
      </c>
      <c r="H1797" s="1641"/>
      <c r="I1797" s="2035">
        <v>0.10920000000000001</v>
      </c>
      <c r="J1797" s="1640"/>
      <c r="K1797" s="1641"/>
      <c r="L1797" s="1640"/>
      <c r="M1797" s="1641"/>
      <c r="N1797" s="1681"/>
      <c r="EW1797" s="2031"/>
      <c r="EX1797" s="1619"/>
      <c r="EY1797" s="1628"/>
      <c r="EZ1797" s="1628"/>
      <c r="FA1797" s="1628"/>
      <c r="FF1797" s="1864" t="s">
        <v>2501</v>
      </c>
      <c r="FH1797" s="1628"/>
      <c r="FU1797" s="1678"/>
      <c r="FW1797" s="1678"/>
    </row>
    <row r="1798" spans="1:179" s="1484" customFormat="1" ht="15" x14ac:dyDescent="0.25">
      <c r="A1798" s="2032"/>
      <c r="B1798" s="1631"/>
      <c r="C1798" s="2917" t="s">
        <v>2502</v>
      </c>
      <c r="D1798" s="2917"/>
      <c r="E1798" s="2917"/>
      <c r="F1798" s="2036"/>
      <c r="G1798" s="2037"/>
      <c r="H1798" s="2037"/>
      <c r="I1798" s="2037"/>
      <c r="J1798" s="2038">
        <v>1353.3</v>
      </c>
      <c r="K1798" s="2037"/>
      <c r="L1798" s="2044">
        <v>278.41000000000003</v>
      </c>
      <c r="M1798" s="2037"/>
      <c r="N1798" s="2068">
        <v>4502.3999999999996</v>
      </c>
      <c r="EW1798" s="2031"/>
      <c r="EX1798" s="1619"/>
      <c r="EY1798" s="1628"/>
      <c r="EZ1798" s="1628"/>
      <c r="FA1798" s="1628"/>
      <c r="FG1798" s="1864" t="s">
        <v>2502</v>
      </c>
      <c r="FH1798" s="1628"/>
      <c r="FU1798" s="1678"/>
      <c r="FW1798" s="1678"/>
    </row>
    <row r="1799" spans="1:179" s="1484" customFormat="1" ht="15" x14ac:dyDescent="0.25">
      <c r="A1799" s="2033" t="s">
        <v>8254</v>
      </c>
      <c r="B1799" s="1631"/>
      <c r="C1799" s="2805" t="s">
        <v>7964</v>
      </c>
      <c r="D1799" s="2805"/>
      <c r="E1799" s="2805"/>
      <c r="F1799" s="1683" t="s">
        <v>5928</v>
      </c>
      <c r="G1799" s="1641"/>
      <c r="H1799" s="1641"/>
      <c r="I1799" s="1641"/>
      <c r="J1799" s="1640"/>
      <c r="K1799" s="1641"/>
      <c r="L1799" s="1654">
        <v>0.34</v>
      </c>
      <c r="M1799" s="1641"/>
      <c r="N1799" s="2039">
        <v>12.16</v>
      </c>
      <c r="EW1799" s="2031"/>
      <c r="EX1799" s="1619"/>
      <c r="EY1799" s="1628"/>
      <c r="EZ1799" s="1628"/>
      <c r="FA1799" s="1628"/>
      <c r="FF1799" s="1864" t="s">
        <v>7964</v>
      </c>
      <c r="FH1799" s="1628"/>
      <c r="FU1799" s="1678"/>
      <c r="FW1799" s="1678"/>
    </row>
    <row r="1800" spans="1:179" s="1484" customFormat="1" ht="15" x14ac:dyDescent="0.25">
      <c r="A1800" s="2033"/>
      <c r="B1800" s="1631"/>
      <c r="C1800" s="2805" t="s">
        <v>7965</v>
      </c>
      <c r="D1800" s="2805"/>
      <c r="E1800" s="2805"/>
      <c r="F1800" s="1683" t="s">
        <v>5928</v>
      </c>
      <c r="G1800" s="1641"/>
      <c r="H1800" s="1641"/>
      <c r="I1800" s="1641"/>
      <c r="J1800" s="1654">
        <v>6.94</v>
      </c>
      <c r="K1800" s="1655">
        <v>0.25</v>
      </c>
      <c r="L1800" s="1654">
        <v>0.34</v>
      </c>
      <c r="M1800" s="1655">
        <v>35.75</v>
      </c>
      <c r="N1800" s="2039">
        <v>12.16</v>
      </c>
      <c r="EW1800" s="2031"/>
      <c r="EX1800" s="1619"/>
      <c r="EY1800" s="1628"/>
      <c r="EZ1800" s="1628"/>
      <c r="FA1800" s="1628"/>
      <c r="FF1800" s="1864" t="s">
        <v>7965</v>
      </c>
      <c r="FH1800" s="1628"/>
      <c r="FU1800" s="1678"/>
      <c r="FW1800" s="1678"/>
    </row>
    <row r="1801" spans="1:179" s="1484" customFormat="1" ht="15" x14ac:dyDescent="0.25">
      <c r="A1801" s="2033"/>
      <c r="B1801" s="1631"/>
      <c r="C1801" s="2805" t="s">
        <v>867</v>
      </c>
      <c r="D1801" s="2805"/>
      <c r="E1801" s="2805"/>
      <c r="F1801" s="1683"/>
      <c r="G1801" s="1641"/>
      <c r="H1801" s="1641"/>
      <c r="I1801" s="1641"/>
      <c r="J1801" s="1640"/>
      <c r="K1801" s="1641"/>
      <c r="L1801" s="1654">
        <v>74.27</v>
      </c>
      <c r="M1801" s="1641"/>
      <c r="N1801" s="1679">
        <v>2655.16</v>
      </c>
      <c r="EW1801" s="2031"/>
      <c r="EX1801" s="1619"/>
      <c r="EY1801" s="1628"/>
      <c r="EZ1801" s="1628"/>
      <c r="FA1801" s="1628"/>
      <c r="FF1801" s="1864" t="s">
        <v>867</v>
      </c>
      <c r="FH1801" s="1628"/>
      <c r="FU1801" s="1678"/>
      <c r="FW1801" s="1678"/>
    </row>
    <row r="1802" spans="1:179" s="1484" customFormat="1" ht="15" x14ac:dyDescent="0.25">
      <c r="A1802" s="2033"/>
      <c r="B1802" s="1631" t="s">
        <v>8054</v>
      </c>
      <c r="C1802" s="2805" t="s">
        <v>8055</v>
      </c>
      <c r="D1802" s="2805"/>
      <c r="E1802" s="2805"/>
      <c r="F1802" s="1683" t="s">
        <v>636</v>
      </c>
      <c r="G1802" s="2034">
        <v>112</v>
      </c>
      <c r="H1802" s="1641"/>
      <c r="I1802" s="2034">
        <v>112</v>
      </c>
      <c r="J1802" s="1640"/>
      <c r="K1802" s="1641"/>
      <c r="L1802" s="1654">
        <v>83.18</v>
      </c>
      <c r="M1802" s="1641"/>
      <c r="N1802" s="1679">
        <v>2973.78</v>
      </c>
      <c r="EW1802" s="2031"/>
      <c r="EX1802" s="1619"/>
      <c r="EY1802" s="1628"/>
      <c r="EZ1802" s="1628"/>
      <c r="FA1802" s="1628"/>
      <c r="FF1802" s="1864" t="s">
        <v>8055</v>
      </c>
      <c r="FH1802" s="1628"/>
      <c r="FU1802" s="1678"/>
      <c r="FW1802" s="1678"/>
    </row>
    <row r="1803" spans="1:179" s="1484" customFormat="1" ht="15" x14ac:dyDescent="0.25">
      <c r="A1803" s="2033"/>
      <c r="B1803" s="1631" t="s">
        <v>8056</v>
      </c>
      <c r="C1803" s="2805" t="s">
        <v>8057</v>
      </c>
      <c r="D1803" s="2805"/>
      <c r="E1803" s="2805"/>
      <c r="F1803" s="1683" t="s">
        <v>636</v>
      </c>
      <c r="G1803" s="2034">
        <v>65</v>
      </c>
      <c r="H1803" s="1641"/>
      <c r="I1803" s="2034">
        <v>65</v>
      </c>
      <c r="J1803" s="1640"/>
      <c r="K1803" s="1641"/>
      <c r="L1803" s="1654">
        <v>48.28</v>
      </c>
      <c r="M1803" s="1641"/>
      <c r="N1803" s="1679">
        <v>1725.85</v>
      </c>
      <c r="EW1803" s="2031"/>
      <c r="EX1803" s="1619"/>
      <c r="EY1803" s="1628"/>
      <c r="EZ1803" s="1628"/>
      <c r="FA1803" s="1628"/>
      <c r="FF1803" s="1864" t="s">
        <v>8057</v>
      </c>
      <c r="FH1803" s="1628"/>
      <c r="FU1803" s="1678"/>
      <c r="FW1803" s="1678"/>
    </row>
    <row r="1804" spans="1:179" s="1484" customFormat="1" ht="15" x14ac:dyDescent="0.25">
      <c r="A1804" s="1650"/>
      <c r="B1804" s="1651"/>
      <c r="C1804" s="2803" t="s">
        <v>872</v>
      </c>
      <c r="D1804" s="2803"/>
      <c r="E1804" s="2803"/>
      <c r="F1804" s="1621"/>
      <c r="G1804" s="1622"/>
      <c r="H1804" s="1622"/>
      <c r="I1804" s="1622"/>
      <c r="J1804" s="1625"/>
      <c r="K1804" s="1622"/>
      <c r="L1804" s="2040">
        <v>410.21</v>
      </c>
      <c r="M1804" s="2037"/>
      <c r="N1804" s="1649">
        <v>9214.19</v>
      </c>
      <c r="EW1804" s="2031"/>
      <c r="EX1804" s="1619"/>
      <c r="EY1804" s="1628"/>
      <c r="EZ1804" s="1628"/>
      <c r="FA1804" s="1628"/>
      <c r="FH1804" s="1628" t="s">
        <v>872</v>
      </c>
      <c r="FU1804" s="1678"/>
      <c r="FW1804" s="1678"/>
    </row>
    <row r="1805" spans="1:179" s="1484" customFormat="1" ht="15" x14ac:dyDescent="0.25">
      <c r="A1805" s="1620" t="s">
        <v>8255</v>
      </c>
      <c r="B1805" s="1863" t="s">
        <v>8256</v>
      </c>
      <c r="C1805" s="2803" t="s">
        <v>8257</v>
      </c>
      <c r="D1805" s="2803"/>
      <c r="E1805" s="2803"/>
      <c r="F1805" s="1621" t="s">
        <v>130</v>
      </c>
      <c r="G1805" s="1622">
        <v>21.84</v>
      </c>
      <c r="H1805" s="1623">
        <v>1</v>
      </c>
      <c r="I1805" s="1687">
        <v>21.84</v>
      </c>
      <c r="J1805" s="2040">
        <v>24.94</v>
      </c>
      <c r="K1805" s="1622"/>
      <c r="L1805" s="2040">
        <v>544.69000000000005</v>
      </c>
      <c r="M1805" s="1687">
        <v>9.14</v>
      </c>
      <c r="N1805" s="1649">
        <v>4978.47</v>
      </c>
      <c r="EW1805" s="2031"/>
      <c r="EX1805" s="1619"/>
      <c r="EY1805" s="1628" t="s">
        <v>8257</v>
      </c>
      <c r="EZ1805" s="1628" t="s">
        <v>588</v>
      </c>
      <c r="FA1805" s="1628" t="s">
        <v>588</v>
      </c>
      <c r="FH1805" s="1628"/>
      <c r="FU1805" s="1678"/>
      <c r="FW1805" s="1678"/>
    </row>
    <row r="1806" spans="1:179" s="1484" customFormat="1" ht="15" x14ac:dyDescent="0.25">
      <c r="A1806" s="1650"/>
      <c r="B1806" s="1651"/>
      <c r="C1806" s="2805" t="s">
        <v>8640</v>
      </c>
      <c r="D1806" s="2805"/>
      <c r="E1806" s="2805"/>
      <c r="F1806" s="2805"/>
      <c r="G1806" s="2805"/>
      <c r="H1806" s="2805"/>
      <c r="I1806" s="2805"/>
      <c r="J1806" s="2805"/>
      <c r="K1806" s="2805"/>
      <c r="L1806" s="2805"/>
      <c r="M1806" s="2805"/>
      <c r="N1806" s="2806"/>
      <c r="EW1806" s="2031"/>
      <c r="EX1806" s="1619"/>
      <c r="EY1806" s="1628"/>
      <c r="EZ1806" s="1628"/>
      <c r="FA1806" s="1628"/>
      <c r="FH1806" s="1628"/>
      <c r="FI1806" s="1864" t="s">
        <v>8640</v>
      </c>
      <c r="FJ1806" s="1864" t="s">
        <v>588</v>
      </c>
      <c r="FK1806" s="1864" t="s">
        <v>588</v>
      </c>
      <c r="FL1806" s="1864" t="s">
        <v>588</v>
      </c>
      <c r="FM1806" s="1864" t="s">
        <v>588</v>
      </c>
      <c r="FN1806" s="1864" t="s">
        <v>588</v>
      </c>
      <c r="FO1806" s="1864" t="s">
        <v>588</v>
      </c>
      <c r="FP1806" s="1864" t="s">
        <v>588</v>
      </c>
      <c r="FQ1806" s="1864" t="s">
        <v>588</v>
      </c>
      <c r="FR1806" s="1864" t="s">
        <v>588</v>
      </c>
      <c r="FS1806" s="1864" t="s">
        <v>588</v>
      </c>
      <c r="FT1806" s="1864" t="s">
        <v>588</v>
      </c>
      <c r="FU1806" s="1678"/>
      <c r="FW1806" s="1678"/>
    </row>
    <row r="1807" spans="1:179" s="1484" customFormat="1" ht="15" x14ac:dyDescent="0.25">
      <c r="A1807" s="1629"/>
      <c r="B1807" s="1862"/>
      <c r="C1807" s="2805" t="s">
        <v>8813</v>
      </c>
      <c r="D1807" s="2805"/>
      <c r="E1807" s="2805"/>
      <c r="F1807" s="2805"/>
      <c r="G1807" s="2805"/>
      <c r="H1807" s="2805"/>
      <c r="I1807" s="2805"/>
      <c r="J1807" s="2805"/>
      <c r="K1807" s="2805"/>
      <c r="L1807" s="2805"/>
      <c r="M1807" s="2805"/>
      <c r="N1807" s="2806"/>
      <c r="EW1807" s="2031"/>
      <c r="EX1807" s="1619"/>
      <c r="EY1807" s="1628"/>
      <c r="EZ1807" s="1628"/>
      <c r="FA1807" s="1628"/>
      <c r="FB1807" s="1864" t="s">
        <v>8813</v>
      </c>
      <c r="FH1807" s="1628"/>
      <c r="FU1807" s="1678"/>
      <c r="FW1807" s="1678"/>
    </row>
    <row r="1808" spans="1:179" s="1484" customFormat="1" ht="15" x14ac:dyDescent="0.25">
      <c r="A1808" s="1650"/>
      <c r="B1808" s="1651"/>
      <c r="C1808" s="2803" t="s">
        <v>872</v>
      </c>
      <c r="D1808" s="2803"/>
      <c r="E1808" s="2803"/>
      <c r="F1808" s="1621"/>
      <c r="G1808" s="1622"/>
      <c r="H1808" s="1622"/>
      <c r="I1808" s="1622"/>
      <c r="J1808" s="1625"/>
      <c r="K1808" s="1622"/>
      <c r="L1808" s="2040">
        <v>544.69000000000005</v>
      </c>
      <c r="M1808" s="2037"/>
      <c r="N1808" s="1649">
        <v>4978.47</v>
      </c>
      <c r="EW1808" s="2031"/>
      <c r="EX1808" s="1619"/>
      <c r="EY1808" s="1628"/>
      <c r="EZ1808" s="1628"/>
      <c r="FA1808" s="1628"/>
      <c r="FH1808" s="1628" t="s">
        <v>872</v>
      </c>
      <c r="FU1808" s="1678"/>
      <c r="FW1808" s="1678"/>
    </row>
    <row r="1809" spans="1:179" s="1484" customFormat="1" ht="22.5" x14ac:dyDescent="0.25">
      <c r="A1809" s="1620" t="s">
        <v>8258</v>
      </c>
      <c r="B1809" s="1863" t="s">
        <v>8139</v>
      </c>
      <c r="C1809" s="2803" t="s">
        <v>8140</v>
      </c>
      <c r="D1809" s="2803"/>
      <c r="E1809" s="2803"/>
      <c r="F1809" s="1621" t="s">
        <v>2555</v>
      </c>
      <c r="G1809" s="1622">
        <v>0.19500000000000001</v>
      </c>
      <c r="H1809" s="1623">
        <v>1</v>
      </c>
      <c r="I1809" s="2045">
        <v>0.19500000000000001</v>
      </c>
      <c r="J1809" s="1625"/>
      <c r="K1809" s="1622"/>
      <c r="L1809" s="1625"/>
      <c r="M1809" s="1622"/>
      <c r="N1809" s="1627"/>
      <c r="EW1809" s="2031"/>
      <c r="EX1809" s="1619"/>
      <c r="EY1809" s="1628" t="s">
        <v>8140</v>
      </c>
      <c r="EZ1809" s="1628" t="s">
        <v>588</v>
      </c>
      <c r="FA1809" s="1628" t="s">
        <v>588</v>
      </c>
      <c r="FH1809" s="1628"/>
      <c r="FU1809" s="1678"/>
      <c r="FW1809" s="1678"/>
    </row>
    <row r="1810" spans="1:179" s="1484" customFormat="1" ht="15" x14ac:dyDescent="0.25">
      <c r="A1810" s="1629"/>
      <c r="B1810" s="1862"/>
      <c r="C1810" s="2805" t="s">
        <v>8810</v>
      </c>
      <c r="D1810" s="2805"/>
      <c r="E1810" s="2805"/>
      <c r="F1810" s="2805"/>
      <c r="G1810" s="2805"/>
      <c r="H1810" s="2805"/>
      <c r="I1810" s="2805"/>
      <c r="J1810" s="2805"/>
      <c r="K1810" s="2805"/>
      <c r="L1810" s="2805"/>
      <c r="M1810" s="2805"/>
      <c r="N1810" s="2806"/>
      <c r="EW1810" s="2031"/>
      <c r="EX1810" s="1619"/>
      <c r="EY1810" s="1628"/>
      <c r="EZ1810" s="1628"/>
      <c r="FA1810" s="1628"/>
      <c r="FB1810" s="1864" t="s">
        <v>8810</v>
      </c>
      <c r="FH1810" s="1628"/>
      <c r="FU1810" s="1678"/>
      <c r="FW1810" s="1678"/>
    </row>
    <row r="1811" spans="1:179" s="1484" customFormat="1" ht="22.5" x14ac:dyDescent="0.25">
      <c r="A1811" s="1630"/>
      <c r="B1811" s="1631" t="s">
        <v>6062</v>
      </c>
      <c r="C1811" s="2809" t="s">
        <v>6063</v>
      </c>
      <c r="D1811" s="2809"/>
      <c r="E1811" s="2809"/>
      <c r="F1811" s="2809"/>
      <c r="G1811" s="2809"/>
      <c r="H1811" s="2809"/>
      <c r="I1811" s="2809"/>
      <c r="J1811" s="2809"/>
      <c r="K1811" s="2809"/>
      <c r="L1811" s="2809"/>
      <c r="M1811" s="2809"/>
      <c r="N1811" s="2810"/>
      <c r="EW1811" s="2031"/>
      <c r="EX1811" s="1619"/>
      <c r="EY1811" s="1628"/>
      <c r="EZ1811" s="1628"/>
      <c r="FA1811" s="1628"/>
      <c r="FC1811" s="1864" t="s">
        <v>6063</v>
      </c>
      <c r="FH1811" s="1628"/>
      <c r="FU1811" s="1678"/>
      <c r="FW1811" s="1678"/>
    </row>
    <row r="1812" spans="1:179" s="1484" customFormat="1" ht="22.5" x14ac:dyDescent="0.25">
      <c r="A1812" s="2033"/>
      <c r="B1812" s="1631" t="s">
        <v>8756</v>
      </c>
      <c r="C1812" s="2805" t="s">
        <v>8755</v>
      </c>
      <c r="D1812" s="2805"/>
      <c r="E1812" s="2805"/>
      <c r="F1812" s="1683" t="s">
        <v>807</v>
      </c>
      <c r="G1812" s="1953">
        <v>35.6</v>
      </c>
      <c r="H1812" s="1641"/>
      <c r="I1812" s="2046">
        <v>6.9420000000000002</v>
      </c>
      <c r="J1812" s="1654">
        <v>7.94</v>
      </c>
      <c r="K1812" s="1655">
        <v>1.25</v>
      </c>
      <c r="L1812" s="1654">
        <v>68.900000000000006</v>
      </c>
      <c r="M1812" s="1641"/>
      <c r="N1812" s="1681"/>
      <c r="EW1812" s="2031"/>
      <c r="EX1812" s="1619"/>
      <c r="EY1812" s="1628"/>
      <c r="EZ1812" s="1628"/>
      <c r="FA1812" s="1628"/>
      <c r="FD1812" s="1864" t="s">
        <v>8755</v>
      </c>
      <c r="FH1812" s="1628"/>
      <c r="FU1812" s="1678"/>
      <c r="FW1812" s="1678"/>
    </row>
    <row r="1813" spans="1:179" s="1484" customFormat="1" ht="22.5" x14ac:dyDescent="0.25">
      <c r="A1813" s="2033"/>
      <c r="B1813" s="1631" t="s">
        <v>5010</v>
      </c>
      <c r="C1813" s="2805" t="s">
        <v>5011</v>
      </c>
      <c r="D1813" s="2805"/>
      <c r="E1813" s="2805"/>
      <c r="F1813" s="1683" t="s">
        <v>4994</v>
      </c>
      <c r="G1813" s="1655">
        <v>1.27</v>
      </c>
      <c r="H1813" s="1641"/>
      <c r="I1813" s="2042">
        <v>0.24765000000000001</v>
      </c>
      <c r="J1813" s="1654">
        <v>31.26</v>
      </c>
      <c r="K1813" s="1641"/>
      <c r="L1813" s="1654">
        <v>7.74</v>
      </c>
      <c r="M1813" s="1641"/>
      <c r="N1813" s="1681"/>
      <c r="EW1813" s="2031"/>
      <c r="EX1813" s="1619"/>
      <c r="EY1813" s="1628"/>
      <c r="EZ1813" s="1628"/>
      <c r="FA1813" s="1628"/>
      <c r="FD1813" s="1864" t="s">
        <v>5011</v>
      </c>
      <c r="FH1813" s="1628"/>
      <c r="FU1813" s="1678"/>
      <c r="FW1813" s="1678"/>
    </row>
    <row r="1814" spans="1:179" s="1484" customFormat="1" ht="15" x14ac:dyDescent="0.25">
      <c r="A1814" s="2033"/>
      <c r="B1814" s="1631" t="s">
        <v>5012</v>
      </c>
      <c r="C1814" s="2805" t="s">
        <v>5013</v>
      </c>
      <c r="D1814" s="2805"/>
      <c r="E1814" s="2805"/>
      <c r="F1814" s="1683" t="s">
        <v>4994</v>
      </c>
      <c r="G1814" s="1655">
        <v>7.82</v>
      </c>
      <c r="H1814" s="1641"/>
      <c r="I1814" s="2035">
        <v>1.5248999999999999</v>
      </c>
      <c r="J1814" s="1654">
        <v>0.5</v>
      </c>
      <c r="K1814" s="1641"/>
      <c r="L1814" s="1654">
        <v>0.76</v>
      </c>
      <c r="M1814" s="1641"/>
      <c r="N1814" s="1681"/>
      <c r="EW1814" s="2031"/>
      <c r="EX1814" s="1619"/>
      <c r="EY1814" s="1628"/>
      <c r="EZ1814" s="1628"/>
      <c r="FA1814" s="1628"/>
      <c r="FD1814" s="1864" t="s">
        <v>5013</v>
      </c>
      <c r="FH1814" s="1628"/>
      <c r="FU1814" s="1678"/>
      <c r="FW1814" s="1678"/>
    </row>
    <row r="1815" spans="1:179" s="1484" customFormat="1" ht="15" x14ac:dyDescent="0.25">
      <c r="A1815" s="2033"/>
      <c r="B1815" s="1631" t="s">
        <v>1755</v>
      </c>
      <c r="C1815" s="2805" t="s">
        <v>2634</v>
      </c>
      <c r="D1815" s="2805"/>
      <c r="E1815" s="2805"/>
      <c r="F1815" s="1683" t="s">
        <v>832</v>
      </c>
      <c r="G1815" s="1953">
        <v>3.5</v>
      </c>
      <c r="H1815" s="1641"/>
      <c r="I1815" s="2035">
        <v>0.6825</v>
      </c>
      <c r="J1815" s="1654">
        <v>2.44</v>
      </c>
      <c r="K1815" s="1641"/>
      <c r="L1815" s="1654">
        <v>1.67</v>
      </c>
      <c r="M1815" s="1641"/>
      <c r="N1815" s="1681"/>
      <c r="EW1815" s="2031"/>
      <c r="EX1815" s="1619"/>
      <c r="EY1815" s="1628"/>
      <c r="EZ1815" s="1628"/>
      <c r="FA1815" s="1628"/>
      <c r="FD1815" s="1864" t="s">
        <v>2634</v>
      </c>
      <c r="FH1815" s="1628"/>
      <c r="FU1815" s="1678"/>
      <c r="FW1815" s="1678"/>
    </row>
    <row r="1816" spans="1:179" s="1484" customFormat="1" ht="15" x14ac:dyDescent="0.25">
      <c r="A1816" s="2032"/>
      <c r="B1816" s="1631" t="s">
        <v>190</v>
      </c>
      <c r="C1816" s="2805" t="s">
        <v>2523</v>
      </c>
      <c r="D1816" s="2805"/>
      <c r="E1816" s="2805"/>
      <c r="F1816" s="1683"/>
      <c r="G1816" s="1641"/>
      <c r="H1816" s="1641"/>
      <c r="I1816" s="1641"/>
      <c r="J1816" s="1654">
        <v>282.66000000000003</v>
      </c>
      <c r="K1816" s="1655">
        <v>1.25</v>
      </c>
      <c r="L1816" s="1654">
        <v>68.900000000000006</v>
      </c>
      <c r="M1816" s="1655">
        <v>35.75</v>
      </c>
      <c r="N1816" s="1679">
        <v>2463.1799999999998</v>
      </c>
      <c r="EW1816" s="2031"/>
      <c r="EX1816" s="1619"/>
      <c r="EY1816" s="1628"/>
      <c r="EZ1816" s="1628"/>
      <c r="FA1816" s="1628"/>
      <c r="FE1816" s="1864" t="s">
        <v>2523</v>
      </c>
      <c r="FH1816" s="1628"/>
      <c r="FU1816" s="1678"/>
      <c r="FW1816" s="1678"/>
    </row>
    <row r="1817" spans="1:179" s="1484" customFormat="1" ht="15" x14ac:dyDescent="0.25">
      <c r="A1817" s="2032"/>
      <c r="B1817" s="1631" t="s">
        <v>639</v>
      </c>
      <c r="C1817" s="2805" t="s">
        <v>697</v>
      </c>
      <c r="D1817" s="2805"/>
      <c r="E1817" s="2805"/>
      <c r="F1817" s="1683"/>
      <c r="G1817" s="1641"/>
      <c r="H1817" s="1641"/>
      <c r="I1817" s="1641"/>
      <c r="J1817" s="1654">
        <v>43.61</v>
      </c>
      <c r="K1817" s="1641"/>
      <c r="L1817" s="1654">
        <v>8.5</v>
      </c>
      <c r="M1817" s="1655">
        <v>11.97</v>
      </c>
      <c r="N1817" s="2039">
        <v>101.75</v>
      </c>
      <c r="EW1817" s="2031"/>
      <c r="EX1817" s="1619"/>
      <c r="EY1817" s="1628"/>
      <c r="EZ1817" s="1628"/>
      <c r="FA1817" s="1628"/>
      <c r="FE1817" s="1864" t="s">
        <v>697</v>
      </c>
      <c r="FH1817" s="1628"/>
      <c r="FU1817" s="1678"/>
      <c r="FW1817" s="1678"/>
    </row>
    <row r="1818" spans="1:179" s="1484" customFormat="1" ht="15" x14ac:dyDescent="0.25">
      <c r="A1818" s="2032"/>
      <c r="B1818" s="1631" t="s">
        <v>640</v>
      </c>
      <c r="C1818" s="2805" t="s">
        <v>2500</v>
      </c>
      <c r="D1818" s="2805"/>
      <c r="E1818" s="2805"/>
      <c r="F1818" s="1683"/>
      <c r="G1818" s="1641"/>
      <c r="H1818" s="1641"/>
      <c r="I1818" s="1641"/>
      <c r="J1818" s="1654">
        <v>17.149999999999999</v>
      </c>
      <c r="K1818" s="1641"/>
      <c r="L1818" s="1654">
        <v>3.34</v>
      </c>
      <c r="M1818" s="1655">
        <v>35.75</v>
      </c>
      <c r="N1818" s="2039">
        <v>119.41</v>
      </c>
      <c r="EW1818" s="2031"/>
      <c r="EX1818" s="1619"/>
      <c r="EY1818" s="1628"/>
      <c r="EZ1818" s="1628"/>
      <c r="FA1818" s="1628"/>
      <c r="FE1818" s="1864" t="s">
        <v>2500</v>
      </c>
      <c r="FH1818" s="1628"/>
      <c r="FU1818" s="1678"/>
      <c r="FW1818" s="1678"/>
    </row>
    <row r="1819" spans="1:179" s="1484" customFormat="1" ht="15" x14ac:dyDescent="0.25">
      <c r="A1819" s="2032"/>
      <c r="B1819" s="1631" t="s">
        <v>232</v>
      </c>
      <c r="C1819" s="2805" t="s">
        <v>829</v>
      </c>
      <c r="D1819" s="2805"/>
      <c r="E1819" s="2805"/>
      <c r="F1819" s="1683"/>
      <c r="G1819" s="1641"/>
      <c r="H1819" s="1641"/>
      <c r="I1819" s="1641"/>
      <c r="J1819" s="1654">
        <v>8.5399999999999991</v>
      </c>
      <c r="K1819" s="1641"/>
      <c r="L1819" s="1654">
        <v>1.67</v>
      </c>
      <c r="M1819" s="1655">
        <v>9.14</v>
      </c>
      <c r="N1819" s="2039">
        <v>15.26</v>
      </c>
      <c r="EW1819" s="2031"/>
      <c r="EX1819" s="1619"/>
      <c r="EY1819" s="1628"/>
      <c r="EZ1819" s="1628"/>
      <c r="FA1819" s="1628"/>
      <c r="FE1819" s="1864" t="s">
        <v>829</v>
      </c>
      <c r="FH1819" s="1628"/>
      <c r="FU1819" s="1678"/>
      <c r="FW1819" s="1678"/>
    </row>
    <row r="1820" spans="1:179" s="1484" customFormat="1" ht="15" x14ac:dyDescent="0.25">
      <c r="A1820" s="2033"/>
      <c r="B1820" s="1631"/>
      <c r="C1820" s="2805" t="s">
        <v>2524</v>
      </c>
      <c r="D1820" s="2805"/>
      <c r="E1820" s="2805"/>
      <c r="F1820" s="1683" t="s">
        <v>807</v>
      </c>
      <c r="G1820" s="1953">
        <v>35.6</v>
      </c>
      <c r="H1820" s="1641"/>
      <c r="I1820" s="2046">
        <v>6.9420000000000002</v>
      </c>
      <c r="J1820" s="1640"/>
      <c r="K1820" s="1641"/>
      <c r="L1820" s="1640"/>
      <c r="M1820" s="1641"/>
      <c r="N1820" s="1681"/>
      <c r="EW1820" s="2031"/>
      <c r="EX1820" s="1619"/>
      <c r="EY1820" s="1628"/>
      <c r="EZ1820" s="1628"/>
      <c r="FA1820" s="1628"/>
      <c r="FF1820" s="1864" t="s">
        <v>2524</v>
      </c>
      <c r="FH1820" s="1628"/>
      <c r="FU1820" s="1678"/>
      <c r="FW1820" s="1678"/>
    </row>
    <row r="1821" spans="1:179" s="1484" customFormat="1" ht="15" x14ac:dyDescent="0.25">
      <c r="A1821" s="2033"/>
      <c r="B1821" s="1631"/>
      <c r="C1821" s="2805" t="s">
        <v>2501</v>
      </c>
      <c r="D1821" s="2805"/>
      <c r="E1821" s="2805"/>
      <c r="F1821" s="1683" t="s">
        <v>807</v>
      </c>
      <c r="G1821" s="1655">
        <v>1.27</v>
      </c>
      <c r="H1821" s="1641"/>
      <c r="I1821" s="2042">
        <v>0.24765000000000001</v>
      </c>
      <c r="J1821" s="1640"/>
      <c r="K1821" s="1641"/>
      <c r="L1821" s="1640"/>
      <c r="M1821" s="1641"/>
      <c r="N1821" s="1681"/>
      <c r="EW1821" s="2031"/>
      <c r="EX1821" s="1619"/>
      <c r="EY1821" s="1628"/>
      <c r="EZ1821" s="1628"/>
      <c r="FA1821" s="1628"/>
      <c r="FF1821" s="1864" t="s">
        <v>2501</v>
      </c>
      <c r="FH1821" s="1628"/>
      <c r="FU1821" s="1678"/>
      <c r="FW1821" s="1678"/>
    </row>
    <row r="1822" spans="1:179" s="1484" customFormat="1" ht="15" x14ac:dyDescent="0.25">
      <c r="A1822" s="2032"/>
      <c r="B1822" s="1631"/>
      <c r="C1822" s="2917" t="s">
        <v>2502</v>
      </c>
      <c r="D1822" s="2917"/>
      <c r="E1822" s="2917"/>
      <c r="F1822" s="2036"/>
      <c r="G1822" s="2037"/>
      <c r="H1822" s="2037"/>
      <c r="I1822" s="2037"/>
      <c r="J1822" s="2044">
        <v>334.81</v>
      </c>
      <c r="K1822" s="2037"/>
      <c r="L1822" s="2044">
        <v>79.069999999999993</v>
      </c>
      <c r="M1822" s="2037"/>
      <c r="N1822" s="2068">
        <v>2580.19</v>
      </c>
      <c r="EW1822" s="2031"/>
      <c r="EX1822" s="1619"/>
      <c r="EY1822" s="1628"/>
      <c r="EZ1822" s="1628"/>
      <c r="FA1822" s="1628"/>
      <c r="FG1822" s="1864" t="s">
        <v>2502</v>
      </c>
      <c r="FH1822" s="1628"/>
      <c r="FU1822" s="1678"/>
      <c r="FW1822" s="1678"/>
    </row>
    <row r="1823" spans="1:179" s="1484" customFormat="1" ht="15" x14ac:dyDescent="0.25">
      <c r="A1823" s="2033" t="s">
        <v>8259</v>
      </c>
      <c r="B1823" s="1631"/>
      <c r="C1823" s="2805" t="s">
        <v>7964</v>
      </c>
      <c r="D1823" s="2805"/>
      <c r="E1823" s="2805"/>
      <c r="F1823" s="1683" t="s">
        <v>5928</v>
      </c>
      <c r="G1823" s="1641"/>
      <c r="H1823" s="1641"/>
      <c r="I1823" s="1641"/>
      <c r="J1823" s="1640"/>
      <c r="K1823" s="1641"/>
      <c r="L1823" s="1654">
        <v>0.84</v>
      </c>
      <c r="M1823" s="1641"/>
      <c r="N1823" s="2039">
        <v>30.03</v>
      </c>
      <c r="EW1823" s="2031"/>
      <c r="EX1823" s="1619"/>
      <c r="EY1823" s="1628"/>
      <c r="EZ1823" s="1628"/>
      <c r="FA1823" s="1628"/>
      <c r="FF1823" s="1864" t="s">
        <v>7964</v>
      </c>
      <c r="FH1823" s="1628"/>
      <c r="FU1823" s="1678"/>
      <c r="FW1823" s="1678"/>
    </row>
    <row r="1824" spans="1:179" s="1484" customFormat="1" ht="15" x14ac:dyDescent="0.25">
      <c r="A1824" s="2033"/>
      <c r="B1824" s="1631"/>
      <c r="C1824" s="2805" t="s">
        <v>7965</v>
      </c>
      <c r="D1824" s="2805"/>
      <c r="E1824" s="2805"/>
      <c r="F1824" s="1683" t="s">
        <v>5928</v>
      </c>
      <c r="G1824" s="1641"/>
      <c r="H1824" s="1641"/>
      <c r="I1824" s="1641"/>
      <c r="J1824" s="1654">
        <v>17.149999999999999</v>
      </c>
      <c r="K1824" s="1655">
        <v>0.25</v>
      </c>
      <c r="L1824" s="1654">
        <v>0.84</v>
      </c>
      <c r="M1824" s="1655">
        <v>35.75</v>
      </c>
      <c r="N1824" s="2039">
        <v>30.03</v>
      </c>
      <c r="EW1824" s="2031"/>
      <c r="EX1824" s="1619"/>
      <c r="EY1824" s="1628"/>
      <c r="EZ1824" s="1628"/>
      <c r="FA1824" s="1628"/>
      <c r="FF1824" s="1864" t="s">
        <v>7965</v>
      </c>
      <c r="FH1824" s="1628"/>
      <c r="FU1824" s="1678"/>
      <c r="FW1824" s="1678"/>
    </row>
    <row r="1825" spans="1:179" s="1484" customFormat="1" ht="15" x14ac:dyDescent="0.25">
      <c r="A1825" s="2033"/>
      <c r="B1825" s="1631"/>
      <c r="C1825" s="2805" t="s">
        <v>867</v>
      </c>
      <c r="D1825" s="2805"/>
      <c r="E1825" s="2805"/>
      <c r="F1825" s="1683"/>
      <c r="G1825" s="1641"/>
      <c r="H1825" s="1641"/>
      <c r="I1825" s="1641"/>
      <c r="J1825" s="1640"/>
      <c r="K1825" s="1641"/>
      <c r="L1825" s="1654">
        <v>73.08</v>
      </c>
      <c r="M1825" s="1641"/>
      <c r="N1825" s="1679">
        <v>2612.62</v>
      </c>
      <c r="EW1825" s="2031"/>
      <c r="EX1825" s="1619"/>
      <c r="EY1825" s="1628"/>
      <c r="EZ1825" s="1628"/>
      <c r="FA1825" s="1628"/>
      <c r="FF1825" s="1864" t="s">
        <v>867</v>
      </c>
      <c r="FH1825" s="1628"/>
      <c r="FU1825" s="1678"/>
      <c r="FW1825" s="1678"/>
    </row>
    <row r="1826" spans="1:179" s="1484" customFormat="1" ht="15" x14ac:dyDescent="0.25">
      <c r="A1826" s="2033"/>
      <c r="B1826" s="1631" t="s">
        <v>8054</v>
      </c>
      <c r="C1826" s="2805" t="s">
        <v>8055</v>
      </c>
      <c r="D1826" s="2805"/>
      <c r="E1826" s="2805"/>
      <c r="F1826" s="1683" t="s">
        <v>636</v>
      </c>
      <c r="G1826" s="2034">
        <v>112</v>
      </c>
      <c r="H1826" s="1641"/>
      <c r="I1826" s="2034">
        <v>112</v>
      </c>
      <c r="J1826" s="1640"/>
      <c r="K1826" s="1641"/>
      <c r="L1826" s="1654">
        <v>81.849999999999994</v>
      </c>
      <c r="M1826" s="1641"/>
      <c r="N1826" s="1679">
        <v>2926.13</v>
      </c>
      <c r="EW1826" s="2031"/>
      <c r="EX1826" s="1619"/>
      <c r="EY1826" s="1628"/>
      <c r="EZ1826" s="1628"/>
      <c r="FA1826" s="1628"/>
      <c r="FF1826" s="1864" t="s">
        <v>8055</v>
      </c>
      <c r="FH1826" s="1628"/>
      <c r="FU1826" s="1678"/>
      <c r="FW1826" s="1678"/>
    </row>
    <row r="1827" spans="1:179" s="1484" customFormat="1" ht="15" x14ac:dyDescent="0.25">
      <c r="A1827" s="2033"/>
      <c r="B1827" s="1631" t="s">
        <v>8056</v>
      </c>
      <c r="C1827" s="2805" t="s">
        <v>8057</v>
      </c>
      <c r="D1827" s="2805"/>
      <c r="E1827" s="2805"/>
      <c r="F1827" s="1683" t="s">
        <v>636</v>
      </c>
      <c r="G1827" s="2034">
        <v>65</v>
      </c>
      <c r="H1827" s="1641"/>
      <c r="I1827" s="2034">
        <v>65</v>
      </c>
      <c r="J1827" s="1640"/>
      <c r="K1827" s="1641"/>
      <c r="L1827" s="1654">
        <v>47.5</v>
      </c>
      <c r="M1827" s="1641"/>
      <c r="N1827" s="1679">
        <v>1698.2</v>
      </c>
      <c r="EW1827" s="2031"/>
      <c r="EX1827" s="1619"/>
      <c r="EY1827" s="1628"/>
      <c r="EZ1827" s="1628"/>
      <c r="FA1827" s="1628"/>
      <c r="FF1827" s="1864" t="s">
        <v>8057</v>
      </c>
      <c r="FH1827" s="1628"/>
      <c r="FU1827" s="1678"/>
      <c r="FW1827" s="1678"/>
    </row>
    <row r="1828" spans="1:179" s="1484" customFormat="1" ht="15" x14ac:dyDescent="0.25">
      <c r="A1828" s="1650"/>
      <c r="B1828" s="1651"/>
      <c r="C1828" s="2803" t="s">
        <v>872</v>
      </c>
      <c r="D1828" s="2803"/>
      <c r="E1828" s="2803"/>
      <c r="F1828" s="1621"/>
      <c r="G1828" s="1622"/>
      <c r="H1828" s="1622"/>
      <c r="I1828" s="1622"/>
      <c r="J1828" s="1625"/>
      <c r="K1828" s="1622"/>
      <c r="L1828" s="2040">
        <v>209.26</v>
      </c>
      <c r="M1828" s="2037"/>
      <c r="N1828" s="1649">
        <v>7234.55</v>
      </c>
      <c r="EW1828" s="2031"/>
      <c r="EX1828" s="1619"/>
      <c r="EY1828" s="1628"/>
      <c r="EZ1828" s="1628"/>
      <c r="FA1828" s="1628"/>
      <c r="FH1828" s="1628" t="s">
        <v>872</v>
      </c>
      <c r="FU1828" s="1678"/>
      <c r="FW1828" s="1678"/>
    </row>
    <row r="1829" spans="1:179" s="1484" customFormat="1" ht="33.75" x14ac:dyDescent="0.25">
      <c r="A1829" s="1620" t="s">
        <v>8260</v>
      </c>
      <c r="B1829" s="1863" t="s">
        <v>8769</v>
      </c>
      <c r="C1829" s="2803" t="s">
        <v>8141</v>
      </c>
      <c r="D1829" s="2803"/>
      <c r="E1829" s="2803"/>
      <c r="F1829" s="1621" t="s">
        <v>2555</v>
      </c>
      <c r="G1829" s="1622">
        <v>1.2310000000000001</v>
      </c>
      <c r="H1829" s="1623">
        <v>1</v>
      </c>
      <c r="I1829" s="2045">
        <v>1.2310000000000001</v>
      </c>
      <c r="J1829" s="1625"/>
      <c r="K1829" s="1622"/>
      <c r="L1829" s="1625"/>
      <c r="M1829" s="1622"/>
      <c r="N1829" s="1627"/>
      <c r="EW1829" s="2031"/>
      <c r="EX1829" s="1619"/>
      <c r="EY1829" s="1628" t="s">
        <v>8141</v>
      </c>
      <c r="EZ1829" s="1628" t="s">
        <v>588</v>
      </c>
      <c r="FA1829" s="1628" t="s">
        <v>588</v>
      </c>
      <c r="FH1829" s="1628"/>
      <c r="FU1829" s="1678"/>
      <c r="FW1829" s="1678"/>
    </row>
    <row r="1830" spans="1:179" s="1484" customFormat="1" ht="15" x14ac:dyDescent="0.25">
      <c r="A1830" s="1629"/>
      <c r="B1830" s="1862"/>
      <c r="C1830" s="2805" t="s">
        <v>8811</v>
      </c>
      <c r="D1830" s="2805"/>
      <c r="E1830" s="2805"/>
      <c r="F1830" s="2805"/>
      <c r="G1830" s="2805"/>
      <c r="H1830" s="2805"/>
      <c r="I1830" s="2805"/>
      <c r="J1830" s="2805"/>
      <c r="K1830" s="2805"/>
      <c r="L1830" s="2805"/>
      <c r="M1830" s="2805"/>
      <c r="N1830" s="2806"/>
      <c r="EW1830" s="2031"/>
      <c r="EX1830" s="1619"/>
      <c r="EY1830" s="1628"/>
      <c r="EZ1830" s="1628"/>
      <c r="FA1830" s="1628"/>
      <c r="FB1830" s="1864" t="s">
        <v>8811</v>
      </c>
      <c r="FH1830" s="1628"/>
      <c r="FU1830" s="1678"/>
      <c r="FW1830" s="1678"/>
    </row>
    <row r="1831" spans="1:179" s="1484" customFormat="1" ht="22.5" x14ac:dyDescent="0.25">
      <c r="A1831" s="1630"/>
      <c r="B1831" s="1631" t="s">
        <v>6062</v>
      </c>
      <c r="C1831" s="2809" t="s">
        <v>6063</v>
      </c>
      <c r="D1831" s="2809"/>
      <c r="E1831" s="2809"/>
      <c r="F1831" s="2809"/>
      <c r="G1831" s="2809"/>
      <c r="H1831" s="2809"/>
      <c r="I1831" s="2809"/>
      <c r="J1831" s="2809"/>
      <c r="K1831" s="2809"/>
      <c r="L1831" s="2809"/>
      <c r="M1831" s="2809"/>
      <c r="N1831" s="2810"/>
      <c r="EW1831" s="2031"/>
      <c r="EX1831" s="1619"/>
      <c r="EY1831" s="1628"/>
      <c r="EZ1831" s="1628"/>
      <c r="FA1831" s="1628"/>
      <c r="FC1831" s="1864" t="s">
        <v>6063</v>
      </c>
      <c r="FH1831" s="1628"/>
      <c r="FU1831" s="1678"/>
      <c r="FW1831" s="1678"/>
    </row>
    <row r="1832" spans="1:179" s="1484" customFormat="1" ht="15" x14ac:dyDescent="0.25">
      <c r="A1832" s="1630"/>
      <c r="B1832" s="1631" t="s">
        <v>8142</v>
      </c>
      <c r="C1832" s="2809" t="s">
        <v>8245</v>
      </c>
      <c r="D1832" s="2809"/>
      <c r="E1832" s="2809"/>
      <c r="F1832" s="2809"/>
      <c r="G1832" s="2809"/>
      <c r="H1832" s="2809"/>
      <c r="I1832" s="2809"/>
      <c r="J1832" s="2809"/>
      <c r="K1832" s="2809"/>
      <c r="L1832" s="2809"/>
      <c r="M1832" s="2809"/>
      <c r="N1832" s="2810"/>
      <c r="EW1832" s="2031"/>
      <c r="EX1832" s="1619"/>
      <c r="EY1832" s="1628"/>
      <c r="EZ1832" s="1628"/>
      <c r="FA1832" s="1628"/>
      <c r="FC1832" s="1864" t="s">
        <v>8245</v>
      </c>
      <c r="FH1832" s="1628"/>
      <c r="FU1832" s="1678"/>
      <c r="FW1832" s="1678"/>
    </row>
    <row r="1833" spans="1:179" s="1484" customFormat="1" ht="22.5" x14ac:dyDescent="0.25">
      <c r="A1833" s="2033"/>
      <c r="B1833" s="1631" t="s">
        <v>8756</v>
      </c>
      <c r="C1833" s="2805" t="s">
        <v>8755</v>
      </c>
      <c r="D1833" s="2805"/>
      <c r="E1833" s="2805"/>
      <c r="F1833" s="1683" t="s">
        <v>807</v>
      </c>
      <c r="G1833" s="1655">
        <v>0.44</v>
      </c>
      <c r="H1833" s="2034">
        <v>16</v>
      </c>
      <c r="I1833" s="2042">
        <v>8.6662400000000002</v>
      </c>
      <c r="J1833" s="1654">
        <v>7.94</v>
      </c>
      <c r="K1833" s="1655">
        <v>1.25</v>
      </c>
      <c r="L1833" s="1654">
        <v>86.01</v>
      </c>
      <c r="M1833" s="1641"/>
      <c r="N1833" s="1681"/>
      <c r="EW1833" s="2031"/>
      <c r="EX1833" s="1619"/>
      <c r="EY1833" s="1628"/>
      <c r="EZ1833" s="1628"/>
      <c r="FA1833" s="1628"/>
      <c r="FD1833" s="1864" t="s">
        <v>8755</v>
      </c>
      <c r="FH1833" s="1628"/>
      <c r="FU1833" s="1678"/>
      <c r="FW1833" s="1678"/>
    </row>
    <row r="1834" spans="1:179" s="1484" customFormat="1" ht="22.5" x14ac:dyDescent="0.25">
      <c r="A1834" s="2033"/>
      <c r="B1834" s="1631" t="s">
        <v>5010</v>
      </c>
      <c r="C1834" s="2805" t="s">
        <v>5011</v>
      </c>
      <c r="D1834" s="2805"/>
      <c r="E1834" s="2805"/>
      <c r="F1834" s="1683" t="s">
        <v>4994</v>
      </c>
      <c r="G1834" s="1655">
        <v>0.21</v>
      </c>
      <c r="H1834" s="2034">
        <v>16</v>
      </c>
      <c r="I1834" s="2042">
        <v>4.1361600000000003</v>
      </c>
      <c r="J1834" s="1654">
        <v>31.26</v>
      </c>
      <c r="K1834" s="1641"/>
      <c r="L1834" s="1654">
        <v>129.30000000000001</v>
      </c>
      <c r="M1834" s="1641"/>
      <c r="N1834" s="1681"/>
      <c r="EW1834" s="2031"/>
      <c r="EX1834" s="1619"/>
      <c r="EY1834" s="1628"/>
      <c r="EZ1834" s="1628"/>
      <c r="FA1834" s="1628"/>
      <c r="FD1834" s="1864" t="s">
        <v>5011</v>
      </c>
      <c r="FH1834" s="1628"/>
      <c r="FU1834" s="1678"/>
      <c r="FW1834" s="1678"/>
    </row>
    <row r="1835" spans="1:179" s="1484" customFormat="1" ht="15" x14ac:dyDescent="0.25">
      <c r="A1835" s="2033"/>
      <c r="B1835" s="1631" t="s">
        <v>5012</v>
      </c>
      <c r="C1835" s="2805" t="s">
        <v>5013</v>
      </c>
      <c r="D1835" s="2805"/>
      <c r="E1835" s="2805"/>
      <c r="F1835" s="1683" t="s">
        <v>4994</v>
      </c>
      <c r="G1835" s="2034">
        <v>2</v>
      </c>
      <c r="H1835" s="2034">
        <v>16</v>
      </c>
      <c r="I1835" s="2046">
        <v>39.392000000000003</v>
      </c>
      <c r="J1835" s="1654">
        <v>0.5</v>
      </c>
      <c r="K1835" s="1641"/>
      <c r="L1835" s="1654">
        <v>19.7</v>
      </c>
      <c r="M1835" s="1641"/>
      <c r="N1835" s="1681"/>
      <c r="EW1835" s="2031"/>
      <c r="EX1835" s="1619"/>
      <c r="EY1835" s="1628"/>
      <c r="EZ1835" s="1628"/>
      <c r="FA1835" s="1628"/>
      <c r="FD1835" s="1864" t="s">
        <v>5013</v>
      </c>
      <c r="FH1835" s="1628"/>
      <c r="FU1835" s="1678"/>
      <c r="FW1835" s="1678"/>
    </row>
    <row r="1836" spans="1:179" s="1484" customFormat="1" ht="15" x14ac:dyDescent="0.25">
      <c r="A1836" s="2032"/>
      <c r="B1836" s="1631" t="s">
        <v>190</v>
      </c>
      <c r="C1836" s="2805" t="s">
        <v>2523</v>
      </c>
      <c r="D1836" s="2805"/>
      <c r="E1836" s="2805"/>
      <c r="F1836" s="1683"/>
      <c r="G1836" s="1641"/>
      <c r="H1836" s="1641"/>
      <c r="I1836" s="1641"/>
      <c r="J1836" s="1654">
        <v>3.49</v>
      </c>
      <c r="K1836" s="2034">
        <v>20</v>
      </c>
      <c r="L1836" s="1654">
        <v>85.92</v>
      </c>
      <c r="M1836" s="1655">
        <v>35.75</v>
      </c>
      <c r="N1836" s="1679">
        <v>3071.64</v>
      </c>
      <c r="EW1836" s="2031"/>
      <c r="EX1836" s="1619"/>
      <c r="EY1836" s="1628"/>
      <c r="EZ1836" s="1628"/>
      <c r="FA1836" s="1628"/>
      <c r="FE1836" s="1864" t="s">
        <v>2523</v>
      </c>
      <c r="FH1836" s="1628"/>
      <c r="FU1836" s="1678"/>
      <c r="FW1836" s="1678"/>
    </row>
    <row r="1837" spans="1:179" s="1484" customFormat="1" ht="15" x14ac:dyDescent="0.25">
      <c r="A1837" s="2032"/>
      <c r="B1837" s="1631" t="s">
        <v>639</v>
      </c>
      <c r="C1837" s="2805" t="s">
        <v>697</v>
      </c>
      <c r="D1837" s="2805"/>
      <c r="E1837" s="2805"/>
      <c r="F1837" s="1683"/>
      <c r="G1837" s="1641"/>
      <c r="H1837" s="1641"/>
      <c r="I1837" s="1641"/>
      <c r="J1837" s="1654">
        <v>7.56</v>
      </c>
      <c r="K1837" s="2034">
        <v>16</v>
      </c>
      <c r="L1837" s="1654">
        <v>148.9</v>
      </c>
      <c r="M1837" s="1655">
        <v>11.97</v>
      </c>
      <c r="N1837" s="1679">
        <v>1782.33</v>
      </c>
      <c r="EW1837" s="2031"/>
      <c r="EX1837" s="1619"/>
      <c r="EY1837" s="1628"/>
      <c r="EZ1837" s="1628"/>
      <c r="FA1837" s="1628"/>
      <c r="FE1837" s="1864" t="s">
        <v>697</v>
      </c>
      <c r="FH1837" s="1628"/>
      <c r="FU1837" s="1678"/>
      <c r="FW1837" s="1678"/>
    </row>
    <row r="1838" spans="1:179" s="1484" customFormat="1" ht="15" x14ac:dyDescent="0.25">
      <c r="A1838" s="2032"/>
      <c r="B1838" s="1631" t="s">
        <v>640</v>
      </c>
      <c r="C1838" s="2805" t="s">
        <v>2500</v>
      </c>
      <c r="D1838" s="2805"/>
      <c r="E1838" s="2805"/>
      <c r="F1838" s="1683"/>
      <c r="G1838" s="1641"/>
      <c r="H1838" s="1641"/>
      <c r="I1838" s="1641"/>
      <c r="J1838" s="1654">
        <v>2.84</v>
      </c>
      <c r="K1838" s="2034">
        <v>16</v>
      </c>
      <c r="L1838" s="1654">
        <v>55.94</v>
      </c>
      <c r="M1838" s="1655">
        <v>35.75</v>
      </c>
      <c r="N1838" s="1679">
        <v>1999.86</v>
      </c>
      <c r="EW1838" s="2031"/>
      <c r="EX1838" s="1619"/>
      <c r="EY1838" s="1628"/>
      <c r="EZ1838" s="1628"/>
      <c r="FA1838" s="1628"/>
      <c r="FE1838" s="1864" t="s">
        <v>2500</v>
      </c>
      <c r="FH1838" s="1628"/>
      <c r="FU1838" s="1678"/>
      <c r="FW1838" s="1678"/>
    </row>
    <row r="1839" spans="1:179" s="1484" customFormat="1" ht="15" x14ac:dyDescent="0.25">
      <c r="A1839" s="2033"/>
      <c r="B1839" s="1631"/>
      <c r="C1839" s="2805" t="s">
        <v>2524</v>
      </c>
      <c r="D1839" s="2805"/>
      <c r="E1839" s="2805"/>
      <c r="F1839" s="1683" t="s">
        <v>807</v>
      </c>
      <c r="G1839" s="1655">
        <v>0.44</v>
      </c>
      <c r="H1839" s="2034">
        <v>16</v>
      </c>
      <c r="I1839" s="2042">
        <v>8.6662400000000002</v>
      </c>
      <c r="J1839" s="1640"/>
      <c r="K1839" s="1641"/>
      <c r="L1839" s="1640"/>
      <c r="M1839" s="1641"/>
      <c r="N1839" s="1681"/>
      <c r="EW1839" s="2031"/>
      <c r="EX1839" s="1619"/>
      <c r="EY1839" s="1628"/>
      <c r="EZ1839" s="1628"/>
      <c r="FA1839" s="1628"/>
      <c r="FF1839" s="1864" t="s">
        <v>2524</v>
      </c>
      <c r="FH1839" s="1628"/>
      <c r="FU1839" s="1678"/>
      <c r="FW1839" s="1678"/>
    </row>
    <row r="1840" spans="1:179" s="1484" customFormat="1" ht="15" x14ac:dyDescent="0.25">
      <c r="A1840" s="2033"/>
      <c r="B1840" s="1631"/>
      <c r="C1840" s="2805" t="s">
        <v>2501</v>
      </c>
      <c r="D1840" s="2805"/>
      <c r="E1840" s="2805"/>
      <c r="F1840" s="1683" t="s">
        <v>807</v>
      </c>
      <c r="G1840" s="1655">
        <v>0.21</v>
      </c>
      <c r="H1840" s="2034">
        <v>16</v>
      </c>
      <c r="I1840" s="2042">
        <v>4.1361600000000003</v>
      </c>
      <c r="J1840" s="1640"/>
      <c r="K1840" s="1641"/>
      <c r="L1840" s="1640"/>
      <c r="M1840" s="1641"/>
      <c r="N1840" s="1681"/>
      <c r="EW1840" s="2031"/>
      <c r="EX1840" s="1619"/>
      <c r="EY1840" s="1628"/>
      <c r="EZ1840" s="1628"/>
      <c r="FA1840" s="1628"/>
      <c r="FF1840" s="1864" t="s">
        <v>2501</v>
      </c>
      <c r="FH1840" s="1628"/>
      <c r="FU1840" s="1678"/>
      <c r="FW1840" s="1678"/>
    </row>
    <row r="1841" spans="1:179" s="1484" customFormat="1" ht="15" x14ac:dyDescent="0.25">
      <c r="A1841" s="2032"/>
      <c r="B1841" s="1631"/>
      <c r="C1841" s="2917" t="s">
        <v>2502</v>
      </c>
      <c r="D1841" s="2917"/>
      <c r="E1841" s="2917"/>
      <c r="F1841" s="2036"/>
      <c r="G1841" s="2037"/>
      <c r="H1841" s="2037"/>
      <c r="I1841" s="2037"/>
      <c r="J1841" s="2044">
        <v>11.05</v>
      </c>
      <c r="K1841" s="2037"/>
      <c r="L1841" s="2044">
        <v>234.82</v>
      </c>
      <c r="M1841" s="2037"/>
      <c r="N1841" s="2068">
        <v>4853.97</v>
      </c>
      <c r="EW1841" s="2031"/>
      <c r="EX1841" s="1619"/>
      <c r="EY1841" s="1628"/>
      <c r="EZ1841" s="1628"/>
      <c r="FA1841" s="1628"/>
      <c r="FG1841" s="1864" t="s">
        <v>2502</v>
      </c>
      <c r="FH1841" s="1628"/>
      <c r="FU1841" s="1678"/>
      <c r="FW1841" s="1678"/>
    </row>
    <row r="1842" spans="1:179" s="1484" customFormat="1" ht="15" x14ac:dyDescent="0.25">
      <c r="A1842" s="2033" t="s">
        <v>8261</v>
      </c>
      <c r="B1842" s="1631"/>
      <c r="C1842" s="2805" t="s">
        <v>7964</v>
      </c>
      <c r="D1842" s="2805"/>
      <c r="E1842" s="2805"/>
      <c r="F1842" s="1683" t="s">
        <v>5928</v>
      </c>
      <c r="G1842" s="1641"/>
      <c r="H1842" s="1641"/>
      <c r="I1842" s="1641"/>
      <c r="J1842" s="1640"/>
      <c r="K1842" s="1641"/>
      <c r="L1842" s="1654">
        <v>13.98</v>
      </c>
      <c r="M1842" s="1641"/>
      <c r="N1842" s="2039">
        <v>499.79</v>
      </c>
      <c r="EW1842" s="2031"/>
      <c r="EX1842" s="1619"/>
      <c r="EY1842" s="1628"/>
      <c r="EZ1842" s="1628"/>
      <c r="FA1842" s="1628"/>
      <c r="FF1842" s="1864" t="s">
        <v>7964</v>
      </c>
      <c r="FH1842" s="1628"/>
      <c r="FU1842" s="1678"/>
      <c r="FW1842" s="1678"/>
    </row>
    <row r="1843" spans="1:179" s="1484" customFormat="1" ht="15" x14ac:dyDescent="0.25">
      <c r="A1843" s="2033"/>
      <c r="B1843" s="1631"/>
      <c r="C1843" s="2805" t="s">
        <v>7965</v>
      </c>
      <c r="D1843" s="2805"/>
      <c r="E1843" s="2805"/>
      <c r="F1843" s="1683" t="s">
        <v>5928</v>
      </c>
      <c r="G1843" s="1641"/>
      <c r="H1843" s="1641"/>
      <c r="I1843" s="1641"/>
      <c r="J1843" s="1654">
        <v>2.84</v>
      </c>
      <c r="K1843" s="2034">
        <v>4</v>
      </c>
      <c r="L1843" s="1654">
        <v>13.98</v>
      </c>
      <c r="M1843" s="1655">
        <v>35.75</v>
      </c>
      <c r="N1843" s="2039">
        <v>499.79</v>
      </c>
      <c r="EW1843" s="2031"/>
      <c r="EX1843" s="1619"/>
      <c r="EY1843" s="1628"/>
      <c r="EZ1843" s="1628"/>
      <c r="FA1843" s="1628"/>
      <c r="FF1843" s="1864" t="s">
        <v>7965</v>
      </c>
      <c r="FH1843" s="1628"/>
      <c r="FU1843" s="1678"/>
      <c r="FW1843" s="1678"/>
    </row>
    <row r="1844" spans="1:179" s="1484" customFormat="1" ht="15" x14ac:dyDescent="0.25">
      <c r="A1844" s="2033"/>
      <c r="B1844" s="1631"/>
      <c r="C1844" s="2805" t="s">
        <v>867</v>
      </c>
      <c r="D1844" s="2805"/>
      <c r="E1844" s="2805"/>
      <c r="F1844" s="1683"/>
      <c r="G1844" s="1641"/>
      <c r="H1844" s="1641"/>
      <c r="I1844" s="1641"/>
      <c r="J1844" s="1640"/>
      <c r="K1844" s="1641"/>
      <c r="L1844" s="1654">
        <v>155.84</v>
      </c>
      <c r="M1844" s="1641"/>
      <c r="N1844" s="1679">
        <v>5571.29</v>
      </c>
      <c r="EW1844" s="2031"/>
      <c r="EX1844" s="1619"/>
      <c r="EY1844" s="1628"/>
      <c r="EZ1844" s="1628"/>
      <c r="FA1844" s="1628"/>
      <c r="FF1844" s="1864" t="s">
        <v>867</v>
      </c>
      <c r="FH1844" s="1628"/>
      <c r="FU1844" s="1678"/>
      <c r="FW1844" s="1678"/>
    </row>
    <row r="1845" spans="1:179" s="1484" customFormat="1" ht="15" x14ac:dyDescent="0.25">
      <c r="A1845" s="2033"/>
      <c r="B1845" s="1631" t="s">
        <v>8054</v>
      </c>
      <c r="C1845" s="2805" t="s">
        <v>8055</v>
      </c>
      <c r="D1845" s="2805"/>
      <c r="E1845" s="2805"/>
      <c r="F1845" s="1683" t="s">
        <v>636</v>
      </c>
      <c r="G1845" s="2034">
        <v>112</v>
      </c>
      <c r="H1845" s="1641"/>
      <c r="I1845" s="2034">
        <v>112</v>
      </c>
      <c r="J1845" s="1640"/>
      <c r="K1845" s="1641"/>
      <c r="L1845" s="1654">
        <v>174.54</v>
      </c>
      <c r="M1845" s="1641"/>
      <c r="N1845" s="1679">
        <v>6239.84</v>
      </c>
      <c r="EW1845" s="2031"/>
      <c r="EX1845" s="1619"/>
      <c r="EY1845" s="1628"/>
      <c r="EZ1845" s="1628"/>
      <c r="FA1845" s="1628"/>
      <c r="FF1845" s="1864" t="s">
        <v>8055</v>
      </c>
      <c r="FH1845" s="1628"/>
      <c r="FU1845" s="1678"/>
      <c r="FW1845" s="1678"/>
    </row>
    <row r="1846" spans="1:179" s="1484" customFormat="1" ht="15" x14ac:dyDescent="0.25">
      <c r="A1846" s="2033"/>
      <c r="B1846" s="1631" t="s">
        <v>8056</v>
      </c>
      <c r="C1846" s="2805" t="s">
        <v>8057</v>
      </c>
      <c r="D1846" s="2805"/>
      <c r="E1846" s="2805"/>
      <c r="F1846" s="1683" t="s">
        <v>636</v>
      </c>
      <c r="G1846" s="2034">
        <v>65</v>
      </c>
      <c r="H1846" s="1641"/>
      <c r="I1846" s="2034">
        <v>65</v>
      </c>
      <c r="J1846" s="1640"/>
      <c r="K1846" s="1641"/>
      <c r="L1846" s="1654">
        <v>101.3</v>
      </c>
      <c r="M1846" s="1641"/>
      <c r="N1846" s="1679">
        <v>3621.34</v>
      </c>
      <c r="EW1846" s="2031"/>
      <c r="EX1846" s="1619"/>
      <c r="EY1846" s="1628"/>
      <c r="EZ1846" s="1628"/>
      <c r="FA1846" s="1628"/>
      <c r="FF1846" s="1864" t="s">
        <v>8057</v>
      </c>
      <c r="FH1846" s="1628"/>
      <c r="FU1846" s="1678"/>
      <c r="FW1846" s="1678"/>
    </row>
    <row r="1847" spans="1:179" s="1484" customFormat="1" ht="15" x14ac:dyDescent="0.25">
      <c r="A1847" s="1650"/>
      <c r="B1847" s="1651"/>
      <c r="C1847" s="2803" t="s">
        <v>872</v>
      </c>
      <c r="D1847" s="2803"/>
      <c r="E1847" s="2803"/>
      <c r="F1847" s="1621"/>
      <c r="G1847" s="1622"/>
      <c r="H1847" s="1622"/>
      <c r="I1847" s="1622"/>
      <c r="J1847" s="1625"/>
      <c r="K1847" s="1622"/>
      <c r="L1847" s="2040">
        <v>524.64</v>
      </c>
      <c r="M1847" s="2037"/>
      <c r="N1847" s="1649">
        <v>15214.94</v>
      </c>
      <c r="EW1847" s="2031"/>
      <c r="EX1847" s="1619"/>
      <c r="EY1847" s="1628"/>
      <c r="EZ1847" s="1628"/>
      <c r="FA1847" s="1628"/>
      <c r="FH1847" s="1628" t="s">
        <v>872</v>
      </c>
      <c r="FU1847" s="1678"/>
      <c r="FW1847" s="1678"/>
    </row>
    <row r="1848" spans="1:179" s="1484" customFormat="1" ht="56.25" x14ac:dyDescent="0.25">
      <c r="A1848" s="1620" t="s">
        <v>8262</v>
      </c>
      <c r="B1848" s="1863" t="s">
        <v>8146</v>
      </c>
      <c r="C1848" s="2803" t="s">
        <v>8147</v>
      </c>
      <c r="D1848" s="2803"/>
      <c r="E1848" s="2803"/>
      <c r="F1848" s="1621" t="s">
        <v>835</v>
      </c>
      <c r="G1848" s="1622">
        <v>2297.4072000000001</v>
      </c>
      <c r="H1848" s="1623">
        <v>1</v>
      </c>
      <c r="I1848" s="2041">
        <v>2297.4072000000001</v>
      </c>
      <c r="J1848" s="2040">
        <v>23.7</v>
      </c>
      <c r="K1848" s="1622"/>
      <c r="L1848" s="1648">
        <v>54448.55</v>
      </c>
      <c r="M1848" s="1687">
        <v>9.14</v>
      </c>
      <c r="N1848" s="1649">
        <v>497659.75</v>
      </c>
      <c r="EW1848" s="2031"/>
      <c r="EX1848" s="1619"/>
      <c r="EY1848" s="1628" t="s">
        <v>8147</v>
      </c>
      <c r="EZ1848" s="1628" t="s">
        <v>588</v>
      </c>
      <c r="FA1848" s="1628" t="s">
        <v>588</v>
      </c>
      <c r="FH1848" s="1628"/>
      <c r="FU1848" s="1678"/>
      <c r="FW1848" s="1678"/>
    </row>
    <row r="1849" spans="1:179" s="1484" customFormat="1" ht="15" x14ac:dyDescent="0.25">
      <c r="A1849" s="1650"/>
      <c r="B1849" s="1651"/>
      <c r="C1849" s="2805" t="s">
        <v>8722</v>
      </c>
      <c r="D1849" s="2805"/>
      <c r="E1849" s="2805"/>
      <c r="F1849" s="2805"/>
      <c r="G1849" s="2805"/>
      <c r="H1849" s="2805"/>
      <c r="I1849" s="2805"/>
      <c r="J1849" s="2805"/>
      <c r="K1849" s="2805"/>
      <c r="L1849" s="2805"/>
      <c r="M1849" s="2805"/>
      <c r="N1849" s="2806"/>
      <c r="EW1849" s="2031"/>
      <c r="EX1849" s="1619"/>
      <c r="EY1849" s="1628"/>
      <c r="EZ1849" s="1628"/>
      <c r="FA1849" s="1628"/>
      <c r="FH1849" s="1628"/>
      <c r="FI1849" s="1864" t="s">
        <v>8722</v>
      </c>
      <c r="FJ1849" s="1864" t="s">
        <v>588</v>
      </c>
      <c r="FK1849" s="1864" t="s">
        <v>588</v>
      </c>
      <c r="FL1849" s="1864" t="s">
        <v>588</v>
      </c>
      <c r="FM1849" s="1864" t="s">
        <v>588</v>
      </c>
      <c r="FN1849" s="1864" t="s">
        <v>588</v>
      </c>
      <c r="FO1849" s="1864" t="s">
        <v>588</v>
      </c>
      <c r="FP1849" s="1864" t="s">
        <v>588</v>
      </c>
      <c r="FQ1849" s="1864" t="s">
        <v>588</v>
      </c>
      <c r="FR1849" s="1864" t="s">
        <v>588</v>
      </c>
      <c r="FS1849" s="1864" t="s">
        <v>588</v>
      </c>
      <c r="FT1849" s="1864" t="s">
        <v>588</v>
      </c>
      <c r="FU1849" s="1678"/>
      <c r="FW1849" s="1678"/>
    </row>
    <row r="1850" spans="1:179" s="1484" customFormat="1" ht="15" x14ac:dyDescent="0.25">
      <c r="A1850" s="1629"/>
      <c r="B1850" s="1862"/>
      <c r="C1850" s="2805" t="s">
        <v>8812</v>
      </c>
      <c r="D1850" s="2805"/>
      <c r="E1850" s="2805"/>
      <c r="F1850" s="2805"/>
      <c r="G1850" s="2805"/>
      <c r="H1850" s="2805"/>
      <c r="I1850" s="2805"/>
      <c r="J1850" s="2805"/>
      <c r="K1850" s="2805"/>
      <c r="L1850" s="2805"/>
      <c r="M1850" s="2805"/>
      <c r="N1850" s="2806"/>
      <c r="EW1850" s="2031"/>
      <c r="EX1850" s="1619"/>
      <c r="EY1850" s="1628"/>
      <c r="EZ1850" s="1628"/>
      <c r="FA1850" s="1628"/>
      <c r="FB1850" s="1864" t="s">
        <v>8812</v>
      </c>
      <c r="FH1850" s="1628"/>
      <c r="FU1850" s="1678"/>
      <c r="FW1850" s="1678"/>
    </row>
    <row r="1851" spans="1:179" s="1484" customFormat="1" ht="15" x14ac:dyDescent="0.25">
      <c r="A1851" s="1650"/>
      <c r="B1851" s="1651"/>
      <c r="C1851" s="2803" t="s">
        <v>872</v>
      </c>
      <c r="D1851" s="2803"/>
      <c r="E1851" s="2803"/>
      <c r="F1851" s="1621"/>
      <c r="G1851" s="1622"/>
      <c r="H1851" s="1622"/>
      <c r="I1851" s="1622"/>
      <c r="J1851" s="1625"/>
      <c r="K1851" s="1622"/>
      <c r="L1851" s="1648">
        <v>54448.55</v>
      </c>
      <c r="M1851" s="2037"/>
      <c r="N1851" s="1649">
        <v>497659.75</v>
      </c>
      <c r="EW1851" s="2031"/>
      <c r="EX1851" s="1619"/>
      <c r="EY1851" s="1628"/>
      <c r="EZ1851" s="1628"/>
      <c r="FA1851" s="1628"/>
      <c r="FH1851" s="1628" t="s">
        <v>872</v>
      </c>
      <c r="FU1851" s="1678"/>
      <c r="FW1851" s="1678"/>
    </row>
    <row r="1852" spans="1:179" s="1484" customFormat="1" ht="33.75" x14ac:dyDescent="0.25">
      <c r="A1852" s="1620" t="s">
        <v>8263</v>
      </c>
      <c r="B1852" s="1863" t="s">
        <v>8148</v>
      </c>
      <c r="C1852" s="2803" t="s">
        <v>8149</v>
      </c>
      <c r="D1852" s="2803"/>
      <c r="E1852" s="2803"/>
      <c r="F1852" s="1621" t="s">
        <v>2555</v>
      </c>
      <c r="G1852" s="1622">
        <v>1.2310000000000001</v>
      </c>
      <c r="H1852" s="1623">
        <v>1</v>
      </c>
      <c r="I1852" s="2045">
        <v>1.2310000000000001</v>
      </c>
      <c r="J1852" s="1625"/>
      <c r="K1852" s="1622"/>
      <c r="L1852" s="1625"/>
      <c r="M1852" s="1622"/>
      <c r="N1852" s="1627"/>
      <c r="EW1852" s="2031"/>
      <c r="EX1852" s="1619"/>
      <c r="EY1852" s="1628" t="s">
        <v>8149</v>
      </c>
      <c r="EZ1852" s="1628" t="s">
        <v>588</v>
      </c>
      <c r="FA1852" s="1628" t="s">
        <v>588</v>
      </c>
      <c r="FH1852" s="1628"/>
      <c r="FU1852" s="1678"/>
      <c r="FW1852" s="1678"/>
    </row>
    <row r="1853" spans="1:179" s="1484" customFormat="1" ht="15" x14ac:dyDescent="0.25">
      <c r="A1853" s="1629"/>
      <c r="B1853" s="1862"/>
      <c r="C1853" s="2805" t="s">
        <v>8811</v>
      </c>
      <c r="D1853" s="2805"/>
      <c r="E1853" s="2805"/>
      <c r="F1853" s="2805"/>
      <c r="G1853" s="2805"/>
      <c r="H1853" s="2805"/>
      <c r="I1853" s="2805"/>
      <c r="J1853" s="2805"/>
      <c r="K1853" s="2805"/>
      <c r="L1853" s="2805"/>
      <c r="M1853" s="2805"/>
      <c r="N1853" s="2806"/>
      <c r="EW1853" s="2031"/>
      <c r="EX1853" s="1619"/>
      <c r="EY1853" s="1628"/>
      <c r="EZ1853" s="1628"/>
      <c r="FA1853" s="1628"/>
      <c r="FB1853" s="1864" t="s">
        <v>8811</v>
      </c>
      <c r="FH1853" s="1628"/>
      <c r="FU1853" s="1678"/>
      <c r="FW1853" s="1678"/>
    </row>
    <row r="1854" spans="1:179" s="1484" customFormat="1" ht="22.5" x14ac:dyDescent="0.25">
      <c r="A1854" s="1630"/>
      <c r="B1854" s="1631" t="s">
        <v>6062</v>
      </c>
      <c r="C1854" s="2809" t="s">
        <v>6063</v>
      </c>
      <c r="D1854" s="2809"/>
      <c r="E1854" s="2809"/>
      <c r="F1854" s="2809"/>
      <c r="G1854" s="2809"/>
      <c r="H1854" s="2809"/>
      <c r="I1854" s="2809"/>
      <c r="J1854" s="2809"/>
      <c r="K1854" s="2809"/>
      <c r="L1854" s="2809"/>
      <c r="M1854" s="2809"/>
      <c r="N1854" s="2810"/>
      <c r="EW1854" s="2031"/>
      <c r="EX1854" s="1619"/>
      <c r="EY1854" s="1628"/>
      <c r="EZ1854" s="1628"/>
      <c r="FA1854" s="1628"/>
      <c r="FC1854" s="1864" t="s">
        <v>6063</v>
      </c>
      <c r="FH1854" s="1628"/>
      <c r="FU1854" s="1678"/>
      <c r="FW1854" s="1678"/>
    </row>
    <row r="1855" spans="1:179" s="1484" customFormat="1" ht="22.5" x14ac:dyDescent="0.25">
      <c r="A1855" s="2033"/>
      <c r="B1855" s="1631" t="s">
        <v>3260</v>
      </c>
      <c r="C1855" s="2805" t="s">
        <v>8636</v>
      </c>
      <c r="D1855" s="2805"/>
      <c r="E1855" s="2805"/>
      <c r="F1855" s="1683" t="s">
        <v>807</v>
      </c>
      <c r="G1855" s="1655">
        <v>3.69</v>
      </c>
      <c r="H1855" s="1641"/>
      <c r="I1855" s="2042">
        <v>4.5423900000000001</v>
      </c>
      <c r="J1855" s="1654">
        <v>9.18</v>
      </c>
      <c r="K1855" s="1655">
        <v>1.25</v>
      </c>
      <c r="L1855" s="1654">
        <v>52.12</v>
      </c>
      <c r="M1855" s="1641"/>
      <c r="N1855" s="1681"/>
      <c r="EW1855" s="2031"/>
      <c r="EX1855" s="1619"/>
      <c r="EY1855" s="1628"/>
      <c r="EZ1855" s="1628"/>
      <c r="FA1855" s="1628"/>
      <c r="FD1855" s="1864" t="s">
        <v>8636</v>
      </c>
      <c r="FH1855" s="1628"/>
      <c r="FU1855" s="1678"/>
      <c r="FW1855" s="1678"/>
    </row>
    <row r="1856" spans="1:179" s="1484" customFormat="1" ht="22.5" x14ac:dyDescent="0.25">
      <c r="A1856" s="2033"/>
      <c r="B1856" s="1631" t="s">
        <v>5008</v>
      </c>
      <c r="C1856" s="2805" t="s">
        <v>5009</v>
      </c>
      <c r="D1856" s="2805"/>
      <c r="E1856" s="2805"/>
      <c r="F1856" s="1683" t="s">
        <v>4994</v>
      </c>
      <c r="G1856" s="1655">
        <v>0.01</v>
      </c>
      <c r="H1856" s="1641"/>
      <c r="I1856" s="2042">
        <v>1.231E-2</v>
      </c>
      <c r="J1856" s="1654">
        <v>27.66</v>
      </c>
      <c r="K1856" s="1641"/>
      <c r="L1856" s="1654">
        <v>0.34</v>
      </c>
      <c r="M1856" s="1641"/>
      <c r="N1856" s="1681"/>
      <c r="EW1856" s="2031"/>
      <c r="EX1856" s="1619"/>
      <c r="EY1856" s="1628"/>
      <c r="EZ1856" s="1628"/>
      <c r="FA1856" s="1628"/>
      <c r="FD1856" s="1864" t="s">
        <v>5009</v>
      </c>
      <c r="FH1856" s="1628"/>
      <c r="FU1856" s="1678"/>
      <c r="FW1856" s="1678"/>
    </row>
    <row r="1857" spans="1:179" s="1484" customFormat="1" ht="15" x14ac:dyDescent="0.25">
      <c r="A1857" s="2033"/>
      <c r="B1857" s="1631" t="s">
        <v>821</v>
      </c>
      <c r="C1857" s="2805" t="s">
        <v>822</v>
      </c>
      <c r="D1857" s="2805"/>
      <c r="E1857" s="2805"/>
      <c r="F1857" s="1683" t="s">
        <v>4994</v>
      </c>
      <c r="G1857" s="1655">
        <v>0.04</v>
      </c>
      <c r="H1857" s="1641"/>
      <c r="I1857" s="2042">
        <v>4.9239999999999999E-2</v>
      </c>
      <c r="J1857" s="1654">
        <v>65.709999999999994</v>
      </c>
      <c r="K1857" s="1641"/>
      <c r="L1857" s="1654">
        <v>3.24</v>
      </c>
      <c r="M1857" s="1641"/>
      <c r="N1857" s="1681"/>
      <c r="EW1857" s="2031"/>
      <c r="EX1857" s="1619"/>
      <c r="EY1857" s="1628"/>
      <c r="EZ1857" s="1628"/>
      <c r="FA1857" s="1628"/>
      <c r="FD1857" s="1864" t="s">
        <v>822</v>
      </c>
      <c r="FH1857" s="1628"/>
      <c r="FU1857" s="1678"/>
      <c r="FW1857" s="1678"/>
    </row>
    <row r="1858" spans="1:179" s="1484" customFormat="1" ht="33.75" x14ac:dyDescent="0.25">
      <c r="A1858" s="2033"/>
      <c r="B1858" s="1631" t="s">
        <v>5029</v>
      </c>
      <c r="C1858" s="2805" t="s">
        <v>5030</v>
      </c>
      <c r="D1858" s="2805"/>
      <c r="E1858" s="2805"/>
      <c r="F1858" s="1683" t="s">
        <v>4994</v>
      </c>
      <c r="G1858" s="1655">
        <v>2.82</v>
      </c>
      <c r="H1858" s="1641"/>
      <c r="I1858" s="2042">
        <v>3.4714200000000002</v>
      </c>
      <c r="J1858" s="1654">
        <v>6.82</v>
      </c>
      <c r="K1858" s="1641"/>
      <c r="L1858" s="1654">
        <v>23.68</v>
      </c>
      <c r="M1858" s="1641"/>
      <c r="N1858" s="1681"/>
      <c r="EW1858" s="2031"/>
      <c r="EX1858" s="1619"/>
      <c r="EY1858" s="1628"/>
      <c r="EZ1858" s="1628"/>
      <c r="FA1858" s="1628"/>
      <c r="FD1858" s="1864" t="s">
        <v>5030</v>
      </c>
      <c r="FH1858" s="1628"/>
      <c r="FU1858" s="1678"/>
      <c r="FW1858" s="1678"/>
    </row>
    <row r="1859" spans="1:179" s="1484" customFormat="1" ht="15" x14ac:dyDescent="0.25">
      <c r="A1859" s="2033"/>
      <c r="B1859" s="1631" t="s">
        <v>1755</v>
      </c>
      <c r="C1859" s="2805" t="s">
        <v>2634</v>
      </c>
      <c r="D1859" s="2805"/>
      <c r="E1859" s="2805"/>
      <c r="F1859" s="1683" t="s">
        <v>832</v>
      </c>
      <c r="G1859" s="1655">
        <v>0.01</v>
      </c>
      <c r="H1859" s="1641"/>
      <c r="I1859" s="2042">
        <v>1.231E-2</v>
      </c>
      <c r="J1859" s="1654">
        <v>2.44</v>
      </c>
      <c r="K1859" s="1641"/>
      <c r="L1859" s="1654">
        <v>0.03</v>
      </c>
      <c r="M1859" s="1641"/>
      <c r="N1859" s="1681"/>
      <c r="EW1859" s="2031"/>
      <c r="EX1859" s="1619"/>
      <c r="EY1859" s="1628"/>
      <c r="EZ1859" s="1628"/>
      <c r="FA1859" s="1628"/>
      <c r="FD1859" s="1864" t="s">
        <v>2634</v>
      </c>
      <c r="FH1859" s="1628"/>
      <c r="FU1859" s="1678"/>
      <c r="FW1859" s="1678"/>
    </row>
    <row r="1860" spans="1:179" s="1484" customFormat="1" ht="15" x14ac:dyDescent="0.25">
      <c r="A1860" s="2033"/>
      <c r="B1860" s="1631" t="s">
        <v>4922</v>
      </c>
      <c r="C1860" s="2805" t="s">
        <v>8707</v>
      </c>
      <c r="D1860" s="2805"/>
      <c r="E1860" s="2805"/>
      <c r="F1860" s="1683" t="s">
        <v>835</v>
      </c>
      <c r="G1860" s="2034">
        <v>1</v>
      </c>
      <c r="H1860" s="1641"/>
      <c r="I1860" s="2046">
        <v>1.2310000000000001</v>
      </c>
      <c r="J1860" s="1654">
        <v>1.82</v>
      </c>
      <c r="K1860" s="1641"/>
      <c r="L1860" s="1654">
        <v>2.2400000000000002</v>
      </c>
      <c r="M1860" s="1641"/>
      <c r="N1860" s="1681"/>
      <c r="EW1860" s="2031"/>
      <c r="EX1860" s="1619"/>
      <c r="EY1860" s="1628"/>
      <c r="EZ1860" s="1628"/>
      <c r="FA1860" s="1628"/>
      <c r="FD1860" s="1864" t="s">
        <v>8707</v>
      </c>
      <c r="FH1860" s="1628"/>
      <c r="FU1860" s="1678"/>
      <c r="FW1860" s="1678"/>
    </row>
    <row r="1861" spans="1:179" s="1484" customFormat="1" ht="15" x14ac:dyDescent="0.25">
      <c r="A1861" s="2032"/>
      <c r="B1861" s="1631" t="s">
        <v>190</v>
      </c>
      <c r="C1861" s="2805" t="s">
        <v>2523</v>
      </c>
      <c r="D1861" s="2805"/>
      <c r="E1861" s="2805"/>
      <c r="F1861" s="1683"/>
      <c r="G1861" s="1641"/>
      <c r="H1861" s="1641"/>
      <c r="I1861" s="1641"/>
      <c r="J1861" s="1654">
        <v>33.869999999999997</v>
      </c>
      <c r="K1861" s="1655">
        <v>1.25</v>
      </c>
      <c r="L1861" s="1654">
        <v>52.12</v>
      </c>
      <c r="M1861" s="1655">
        <v>35.75</v>
      </c>
      <c r="N1861" s="1679">
        <v>1863.29</v>
      </c>
      <c r="EW1861" s="2031"/>
      <c r="EX1861" s="1619"/>
      <c r="EY1861" s="1628"/>
      <c r="EZ1861" s="1628"/>
      <c r="FA1861" s="1628"/>
      <c r="FE1861" s="1864" t="s">
        <v>2523</v>
      </c>
      <c r="FH1861" s="1628"/>
      <c r="FU1861" s="1678"/>
      <c r="FW1861" s="1678"/>
    </row>
    <row r="1862" spans="1:179" s="1484" customFormat="1" ht="15" x14ac:dyDescent="0.25">
      <c r="A1862" s="2032"/>
      <c r="B1862" s="1631" t="s">
        <v>639</v>
      </c>
      <c r="C1862" s="2805" t="s">
        <v>697</v>
      </c>
      <c r="D1862" s="2805"/>
      <c r="E1862" s="2805"/>
      <c r="F1862" s="1683"/>
      <c r="G1862" s="1641"/>
      <c r="H1862" s="1641"/>
      <c r="I1862" s="1641"/>
      <c r="J1862" s="1654">
        <v>22.14</v>
      </c>
      <c r="K1862" s="1641"/>
      <c r="L1862" s="1654">
        <v>27.25</v>
      </c>
      <c r="M1862" s="1655">
        <v>11.97</v>
      </c>
      <c r="N1862" s="2039">
        <v>326.18</v>
      </c>
      <c r="EW1862" s="2031"/>
      <c r="EX1862" s="1619"/>
      <c r="EY1862" s="1628"/>
      <c r="EZ1862" s="1628"/>
      <c r="FA1862" s="1628"/>
      <c r="FE1862" s="1864" t="s">
        <v>697</v>
      </c>
      <c r="FH1862" s="1628"/>
      <c r="FU1862" s="1678"/>
      <c r="FW1862" s="1678"/>
    </row>
    <row r="1863" spans="1:179" s="1484" customFormat="1" ht="15" x14ac:dyDescent="0.25">
      <c r="A1863" s="2032"/>
      <c r="B1863" s="1631" t="s">
        <v>640</v>
      </c>
      <c r="C1863" s="2805" t="s">
        <v>2500</v>
      </c>
      <c r="D1863" s="2805"/>
      <c r="E1863" s="2805"/>
      <c r="F1863" s="1683"/>
      <c r="G1863" s="1641"/>
      <c r="H1863" s="1641"/>
      <c r="I1863" s="1641"/>
      <c r="J1863" s="1654">
        <v>0.57999999999999996</v>
      </c>
      <c r="K1863" s="1641"/>
      <c r="L1863" s="1654">
        <v>0.71</v>
      </c>
      <c r="M1863" s="1655">
        <v>35.75</v>
      </c>
      <c r="N1863" s="2039">
        <v>25.38</v>
      </c>
      <c r="EW1863" s="2031"/>
      <c r="EX1863" s="1619"/>
      <c r="EY1863" s="1628"/>
      <c r="EZ1863" s="1628"/>
      <c r="FA1863" s="1628"/>
      <c r="FE1863" s="1864" t="s">
        <v>2500</v>
      </c>
      <c r="FH1863" s="1628"/>
      <c r="FU1863" s="1678"/>
      <c r="FW1863" s="1678"/>
    </row>
    <row r="1864" spans="1:179" s="1484" customFormat="1" ht="15" x14ac:dyDescent="0.25">
      <c r="A1864" s="2032"/>
      <c r="B1864" s="1631" t="s">
        <v>232</v>
      </c>
      <c r="C1864" s="2805" t="s">
        <v>829</v>
      </c>
      <c r="D1864" s="2805"/>
      <c r="E1864" s="2805"/>
      <c r="F1864" s="1683"/>
      <c r="G1864" s="1641"/>
      <c r="H1864" s="1641"/>
      <c r="I1864" s="1641"/>
      <c r="J1864" s="1654">
        <v>1.84</v>
      </c>
      <c r="K1864" s="1641"/>
      <c r="L1864" s="1654">
        <v>2.27</v>
      </c>
      <c r="M1864" s="1655">
        <v>9.14</v>
      </c>
      <c r="N1864" s="2039">
        <v>20.75</v>
      </c>
      <c r="EW1864" s="2031"/>
      <c r="EX1864" s="1619"/>
      <c r="EY1864" s="1628"/>
      <c r="EZ1864" s="1628"/>
      <c r="FA1864" s="1628"/>
      <c r="FE1864" s="1864" t="s">
        <v>829</v>
      </c>
      <c r="FH1864" s="1628"/>
      <c r="FU1864" s="1678"/>
      <c r="FW1864" s="1678"/>
    </row>
    <row r="1865" spans="1:179" s="1484" customFormat="1" ht="15" x14ac:dyDescent="0.25">
      <c r="A1865" s="2033"/>
      <c r="B1865" s="1631"/>
      <c r="C1865" s="2805" t="s">
        <v>2524</v>
      </c>
      <c r="D1865" s="2805"/>
      <c r="E1865" s="2805"/>
      <c r="F1865" s="1683" t="s">
        <v>807</v>
      </c>
      <c r="G1865" s="1655">
        <v>3.69</v>
      </c>
      <c r="H1865" s="1641"/>
      <c r="I1865" s="2042">
        <v>4.5423900000000001</v>
      </c>
      <c r="J1865" s="1640"/>
      <c r="K1865" s="1641"/>
      <c r="L1865" s="1640"/>
      <c r="M1865" s="1641"/>
      <c r="N1865" s="1681"/>
      <c r="EW1865" s="2031"/>
      <c r="EX1865" s="1619"/>
      <c r="EY1865" s="1628"/>
      <c r="EZ1865" s="1628"/>
      <c r="FA1865" s="1628"/>
      <c r="FF1865" s="1864" t="s">
        <v>2524</v>
      </c>
      <c r="FH1865" s="1628"/>
      <c r="FU1865" s="1678"/>
      <c r="FW1865" s="1678"/>
    </row>
    <row r="1866" spans="1:179" s="1484" customFormat="1" ht="15" x14ac:dyDescent="0.25">
      <c r="A1866" s="2033"/>
      <c r="B1866" s="1631"/>
      <c r="C1866" s="2805" t="s">
        <v>2501</v>
      </c>
      <c r="D1866" s="2805"/>
      <c r="E1866" s="2805"/>
      <c r="F1866" s="1683" t="s">
        <v>807</v>
      </c>
      <c r="G1866" s="1655">
        <v>0.05</v>
      </c>
      <c r="H1866" s="1641"/>
      <c r="I1866" s="2042">
        <v>6.1550000000000001E-2</v>
      </c>
      <c r="J1866" s="1640"/>
      <c r="K1866" s="1641"/>
      <c r="L1866" s="1640"/>
      <c r="M1866" s="1641"/>
      <c r="N1866" s="1681"/>
      <c r="EW1866" s="2031"/>
      <c r="EX1866" s="1619"/>
      <c r="EY1866" s="1628"/>
      <c r="EZ1866" s="1628"/>
      <c r="FA1866" s="1628"/>
      <c r="FF1866" s="1864" t="s">
        <v>2501</v>
      </c>
      <c r="FH1866" s="1628"/>
      <c r="FU1866" s="1678"/>
      <c r="FW1866" s="1678"/>
    </row>
    <row r="1867" spans="1:179" s="1484" customFormat="1" ht="15" x14ac:dyDescent="0.25">
      <c r="A1867" s="2032"/>
      <c r="B1867" s="1631"/>
      <c r="C1867" s="2917" t="s">
        <v>2502</v>
      </c>
      <c r="D1867" s="2917"/>
      <c r="E1867" s="2917"/>
      <c r="F1867" s="2036"/>
      <c r="G1867" s="2037"/>
      <c r="H1867" s="2037"/>
      <c r="I1867" s="2037"/>
      <c r="J1867" s="2044">
        <v>57.85</v>
      </c>
      <c r="K1867" s="2037"/>
      <c r="L1867" s="2044">
        <v>81.64</v>
      </c>
      <c r="M1867" s="2037"/>
      <c r="N1867" s="2068">
        <v>2210.2199999999998</v>
      </c>
      <c r="EW1867" s="2031"/>
      <c r="EX1867" s="1619"/>
      <c r="EY1867" s="1628"/>
      <c r="EZ1867" s="1628"/>
      <c r="FA1867" s="1628"/>
      <c r="FG1867" s="1864" t="s">
        <v>2502</v>
      </c>
      <c r="FH1867" s="1628"/>
      <c r="FU1867" s="1678"/>
      <c r="FW1867" s="1678"/>
    </row>
    <row r="1868" spans="1:179" s="1484" customFormat="1" ht="15" x14ac:dyDescent="0.25">
      <c r="A1868" s="2033" t="s">
        <v>8264</v>
      </c>
      <c r="B1868" s="1631"/>
      <c r="C1868" s="2805" t="s">
        <v>7964</v>
      </c>
      <c r="D1868" s="2805"/>
      <c r="E1868" s="2805"/>
      <c r="F1868" s="1683" t="s">
        <v>5928</v>
      </c>
      <c r="G1868" s="1641"/>
      <c r="H1868" s="1641"/>
      <c r="I1868" s="1641"/>
      <c r="J1868" s="1640"/>
      <c r="K1868" s="1641"/>
      <c r="L1868" s="1654">
        <v>0.18</v>
      </c>
      <c r="M1868" s="1641"/>
      <c r="N1868" s="2039">
        <v>6.44</v>
      </c>
      <c r="EW1868" s="2031"/>
      <c r="EX1868" s="1619"/>
      <c r="EY1868" s="1628"/>
      <c r="EZ1868" s="1628"/>
      <c r="FA1868" s="1628"/>
      <c r="FF1868" s="1864" t="s">
        <v>7964</v>
      </c>
      <c r="FH1868" s="1628"/>
      <c r="FU1868" s="1678"/>
      <c r="FW1868" s="1678"/>
    </row>
    <row r="1869" spans="1:179" s="1484" customFormat="1" ht="15" x14ac:dyDescent="0.25">
      <c r="A1869" s="2033"/>
      <c r="B1869" s="1631"/>
      <c r="C1869" s="2805" t="s">
        <v>7965</v>
      </c>
      <c r="D1869" s="2805"/>
      <c r="E1869" s="2805"/>
      <c r="F1869" s="1683" t="s">
        <v>5928</v>
      </c>
      <c r="G1869" s="1641"/>
      <c r="H1869" s="1641"/>
      <c r="I1869" s="1641"/>
      <c r="J1869" s="1654">
        <v>0.57999999999999996</v>
      </c>
      <c r="K1869" s="1655">
        <v>0.25</v>
      </c>
      <c r="L1869" s="1654">
        <v>0.18</v>
      </c>
      <c r="M1869" s="1655">
        <v>35.75</v>
      </c>
      <c r="N1869" s="2039">
        <v>6.44</v>
      </c>
      <c r="EW1869" s="2031"/>
      <c r="EX1869" s="1619"/>
      <c r="EY1869" s="1628"/>
      <c r="EZ1869" s="1628"/>
      <c r="FA1869" s="1628"/>
      <c r="FF1869" s="1864" t="s">
        <v>7965</v>
      </c>
      <c r="FH1869" s="1628"/>
      <c r="FU1869" s="1678"/>
      <c r="FW1869" s="1678"/>
    </row>
    <row r="1870" spans="1:179" s="1484" customFormat="1" ht="15" x14ac:dyDescent="0.25">
      <c r="A1870" s="2033"/>
      <c r="B1870" s="1631"/>
      <c r="C1870" s="2805" t="s">
        <v>867</v>
      </c>
      <c r="D1870" s="2805"/>
      <c r="E1870" s="2805"/>
      <c r="F1870" s="1683"/>
      <c r="G1870" s="1641"/>
      <c r="H1870" s="1641"/>
      <c r="I1870" s="1641"/>
      <c r="J1870" s="1640"/>
      <c r="K1870" s="1641"/>
      <c r="L1870" s="1654">
        <v>53.01</v>
      </c>
      <c r="M1870" s="1641"/>
      <c r="N1870" s="1679">
        <v>1895.11</v>
      </c>
      <c r="EW1870" s="2031"/>
      <c r="EX1870" s="1619"/>
      <c r="EY1870" s="1628"/>
      <c r="EZ1870" s="1628"/>
      <c r="FA1870" s="1628"/>
      <c r="FF1870" s="1864" t="s">
        <v>867</v>
      </c>
      <c r="FH1870" s="1628"/>
      <c r="FU1870" s="1678"/>
      <c r="FW1870" s="1678"/>
    </row>
    <row r="1871" spans="1:179" s="1484" customFormat="1" ht="15" x14ac:dyDescent="0.25">
      <c r="A1871" s="2033"/>
      <c r="B1871" s="1631" t="s">
        <v>7966</v>
      </c>
      <c r="C1871" s="2805" t="s">
        <v>7967</v>
      </c>
      <c r="D1871" s="2805"/>
      <c r="E1871" s="2805"/>
      <c r="F1871" s="1683" t="s">
        <v>636</v>
      </c>
      <c r="G1871" s="2034">
        <v>100</v>
      </c>
      <c r="H1871" s="1641"/>
      <c r="I1871" s="2034">
        <v>100</v>
      </c>
      <c r="J1871" s="1640"/>
      <c r="K1871" s="1641"/>
      <c r="L1871" s="1654">
        <v>53.01</v>
      </c>
      <c r="M1871" s="1641"/>
      <c r="N1871" s="1679">
        <v>1895.11</v>
      </c>
      <c r="EW1871" s="2031"/>
      <c r="EX1871" s="1619"/>
      <c r="EY1871" s="1628"/>
      <c r="EZ1871" s="1628"/>
      <c r="FA1871" s="1628"/>
      <c r="FF1871" s="1864" t="s">
        <v>7967</v>
      </c>
      <c r="FH1871" s="1628"/>
      <c r="FU1871" s="1678"/>
      <c r="FW1871" s="1678"/>
    </row>
    <row r="1872" spans="1:179" s="1484" customFormat="1" ht="15" x14ac:dyDescent="0.25">
      <c r="A1872" s="2033"/>
      <c r="B1872" s="1631" t="s">
        <v>7968</v>
      </c>
      <c r="C1872" s="2805" t="s">
        <v>7969</v>
      </c>
      <c r="D1872" s="2805"/>
      <c r="E1872" s="2805"/>
      <c r="F1872" s="1683" t="s">
        <v>636</v>
      </c>
      <c r="G1872" s="2034">
        <v>49</v>
      </c>
      <c r="H1872" s="1641"/>
      <c r="I1872" s="2034">
        <v>49</v>
      </c>
      <c r="J1872" s="1640"/>
      <c r="K1872" s="1641"/>
      <c r="L1872" s="1654">
        <v>25.97</v>
      </c>
      <c r="M1872" s="1641"/>
      <c r="N1872" s="2039">
        <v>928.6</v>
      </c>
      <c r="EW1872" s="2031"/>
      <c r="EX1872" s="1619"/>
      <c r="EY1872" s="1628"/>
      <c r="EZ1872" s="1628"/>
      <c r="FA1872" s="1628"/>
      <c r="FF1872" s="1864" t="s">
        <v>7969</v>
      </c>
      <c r="FH1872" s="1628"/>
      <c r="FU1872" s="1678"/>
      <c r="FW1872" s="1678"/>
    </row>
    <row r="1873" spans="1:179" s="1484" customFormat="1" ht="15" x14ac:dyDescent="0.25">
      <c r="A1873" s="1650"/>
      <c r="B1873" s="1651"/>
      <c r="C1873" s="2803" t="s">
        <v>872</v>
      </c>
      <c r="D1873" s="2803"/>
      <c r="E1873" s="2803"/>
      <c r="F1873" s="1621"/>
      <c r="G1873" s="1622"/>
      <c r="H1873" s="1622"/>
      <c r="I1873" s="1622"/>
      <c r="J1873" s="1625"/>
      <c r="K1873" s="1622"/>
      <c r="L1873" s="2040">
        <v>160.80000000000001</v>
      </c>
      <c r="M1873" s="2037"/>
      <c r="N1873" s="1649">
        <v>5040.37</v>
      </c>
      <c r="EW1873" s="2031"/>
      <c r="EX1873" s="1619"/>
      <c r="EY1873" s="1628"/>
      <c r="EZ1873" s="1628"/>
      <c r="FA1873" s="1628"/>
      <c r="FH1873" s="1628" t="s">
        <v>872</v>
      </c>
      <c r="FU1873" s="1678"/>
      <c r="FW1873" s="1678"/>
    </row>
    <row r="1874" spans="1:179" s="1484" customFormat="1" ht="33.75" x14ac:dyDescent="0.25">
      <c r="A1874" s="1620" t="s">
        <v>8265</v>
      </c>
      <c r="B1874" s="1863" t="s">
        <v>8062</v>
      </c>
      <c r="C1874" s="2803" t="s">
        <v>4978</v>
      </c>
      <c r="D1874" s="2803"/>
      <c r="E1874" s="2803"/>
      <c r="F1874" s="1621" t="s">
        <v>835</v>
      </c>
      <c r="G1874" s="1622">
        <v>16.9878</v>
      </c>
      <c r="H1874" s="1623">
        <v>1</v>
      </c>
      <c r="I1874" s="2041">
        <v>16.9878</v>
      </c>
      <c r="J1874" s="2040">
        <v>13.08</v>
      </c>
      <c r="K1874" s="1622"/>
      <c r="L1874" s="2040">
        <v>222.2</v>
      </c>
      <c r="M1874" s="1687">
        <v>9.14</v>
      </c>
      <c r="N1874" s="1649">
        <v>2030.91</v>
      </c>
      <c r="EW1874" s="2031"/>
      <c r="EX1874" s="1619"/>
      <c r="EY1874" s="1628" t="s">
        <v>4978</v>
      </c>
      <c r="EZ1874" s="1628" t="s">
        <v>588</v>
      </c>
      <c r="FA1874" s="1628" t="s">
        <v>588</v>
      </c>
      <c r="FH1874" s="1628"/>
      <c r="FU1874" s="1678"/>
      <c r="FW1874" s="1678"/>
    </row>
    <row r="1875" spans="1:179" s="1484" customFormat="1" ht="15" x14ac:dyDescent="0.25">
      <c r="A1875" s="1650"/>
      <c r="B1875" s="1651"/>
      <c r="C1875" s="2805" t="s">
        <v>8689</v>
      </c>
      <c r="D1875" s="2805"/>
      <c r="E1875" s="2805"/>
      <c r="F1875" s="2805"/>
      <c r="G1875" s="2805"/>
      <c r="H1875" s="2805"/>
      <c r="I1875" s="2805"/>
      <c r="J1875" s="2805"/>
      <c r="K1875" s="2805"/>
      <c r="L1875" s="2805"/>
      <c r="M1875" s="2805"/>
      <c r="N1875" s="2806"/>
      <c r="EW1875" s="2031"/>
      <c r="EX1875" s="1619"/>
      <c r="EY1875" s="1628"/>
      <c r="EZ1875" s="1628"/>
      <c r="FA1875" s="1628"/>
      <c r="FH1875" s="1628"/>
      <c r="FI1875" s="1864" t="s">
        <v>8689</v>
      </c>
      <c r="FJ1875" s="1864" t="s">
        <v>588</v>
      </c>
      <c r="FK1875" s="1864" t="s">
        <v>588</v>
      </c>
      <c r="FL1875" s="1864" t="s">
        <v>588</v>
      </c>
      <c r="FM1875" s="1864" t="s">
        <v>588</v>
      </c>
      <c r="FN1875" s="1864" t="s">
        <v>588</v>
      </c>
      <c r="FO1875" s="1864" t="s">
        <v>588</v>
      </c>
      <c r="FP1875" s="1864" t="s">
        <v>588</v>
      </c>
      <c r="FQ1875" s="1864" t="s">
        <v>588</v>
      </c>
      <c r="FR1875" s="1864" t="s">
        <v>588</v>
      </c>
      <c r="FS1875" s="1864" t="s">
        <v>588</v>
      </c>
      <c r="FT1875" s="1864" t="s">
        <v>588</v>
      </c>
      <c r="FU1875" s="1678"/>
      <c r="FW1875" s="1678"/>
    </row>
    <row r="1876" spans="1:179" s="1484" customFormat="1" ht="15" x14ac:dyDescent="0.25">
      <c r="A1876" s="1650"/>
      <c r="B1876" s="1651"/>
      <c r="C1876" s="2803" t="s">
        <v>872</v>
      </c>
      <c r="D1876" s="2803"/>
      <c r="E1876" s="2803"/>
      <c r="F1876" s="1621"/>
      <c r="G1876" s="1622"/>
      <c r="H1876" s="1622"/>
      <c r="I1876" s="1622"/>
      <c r="J1876" s="1625"/>
      <c r="K1876" s="1622"/>
      <c r="L1876" s="2040">
        <v>222.2</v>
      </c>
      <c r="M1876" s="2037"/>
      <c r="N1876" s="1649">
        <v>2030.91</v>
      </c>
      <c r="EW1876" s="2031"/>
      <c r="EX1876" s="1619"/>
      <c r="EY1876" s="1628"/>
      <c r="EZ1876" s="1628"/>
      <c r="FA1876" s="1628"/>
      <c r="FH1876" s="1628" t="s">
        <v>872</v>
      </c>
      <c r="FU1876" s="1678"/>
      <c r="FW1876" s="1678"/>
    </row>
    <row r="1877" spans="1:179" s="1484" customFormat="1" ht="56.25" x14ac:dyDescent="0.25">
      <c r="A1877" s="1620" t="s">
        <v>8266</v>
      </c>
      <c r="B1877" s="1863" t="s">
        <v>8172</v>
      </c>
      <c r="C1877" s="2803" t="s">
        <v>8173</v>
      </c>
      <c r="D1877" s="2803"/>
      <c r="E1877" s="2803"/>
      <c r="F1877" s="1621" t="s">
        <v>2555</v>
      </c>
      <c r="G1877" s="1622">
        <v>0.19500000000000001</v>
      </c>
      <c r="H1877" s="1623">
        <v>1</v>
      </c>
      <c r="I1877" s="2045">
        <v>0.19500000000000001</v>
      </c>
      <c r="J1877" s="1625"/>
      <c r="K1877" s="1622"/>
      <c r="L1877" s="1625"/>
      <c r="M1877" s="1622"/>
      <c r="N1877" s="1627"/>
      <c r="EW1877" s="2031"/>
      <c r="EX1877" s="1619"/>
      <c r="EY1877" s="1628" t="s">
        <v>8173</v>
      </c>
      <c r="EZ1877" s="1628" t="s">
        <v>588</v>
      </c>
      <c r="FA1877" s="1628" t="s">
        <v>588</v>
      </c>
      <c r="FH1877" s="1628"/>
      <c r="FU1877" s="1678"/>
      <c r="FW1877" s="1678"/>
    </row>
    <row r="1878" spans="1:179" s="1484" customFormat="1" ht="15" x14ac:dyDescent="0.25">
      <c r="A1878" s="1629"/>
      <c r="B1878" s="1862"/>
      <c r="C1878" s="2805" t="s">
        <v>8810</v>
      </c>
      <c r="D1878" s="2805"/>
      <c r="E1878" s="2805"/>
      <c r="F1878" s="2805"/>
      <c r="G1878" s="2805"/>
      <c r="H1878" s="2805"/>
      <c r="I1878" s="2805"/>
      <c r="J1878" s="2805"/>
      <c r="K1878" s="2805"/>
      <c r="L1878" s="2805"/>
      <c r="M1878" s="2805"/>
      <c r="N1878" s="2806"/>
      <c r="EW1878" s="2031"/>
      <c r="EX1878" s="1619"/>
      <c r="EY1878" s="1628"/>
      <c r="EZ1878" s="1628"/>
      <c r="FA1878" s="1628"/>
      <c r="FB1878" s="1864" t="s">
        <v>8810</v>
      </c>
      <c r="FH1878" s="1628"/>
      <c r="FU1878" s="1678"/>
      <c r="FW1878" s="1678"/>
    </row>
    <row r="1879" spans="1:179" s="1484" customFormat="1" ht="22.5" x14ac:dyDescent="0.25">
      <c r="A1879" s="1630"/>
      <c r="B1879" s="1631" t="s">
        <v>6062</v>
      </c>
      <c r="C1879" s="2809" t="s">
        <v>6063</v>
      </c>
      <c r="D1879" s="2809"/>
      <c r="E1879" s="2809"/>
      <c r="F1879" s="2809"/>
      <c r="G1879" s="2809"/>
      <c r="H1879" s="2809"/>
      <c r="I1879" s="2809"/>
      <c r="J1879" s="2809"/>
      <c r="K1879" s="2809"/>
      <c r="L1879" s="2809"/>
      <c r="M1879" s="2809"/>
      <c r="N1879" s="2810"/>
      <c r="EW1879" s="2031"/>
      <c r="EX1879" s="1619"/>
      <c r="EY1879" s="1628"/>
      <c r="EZ1879" s="1628"/>
      <c r="FA1879" s="1628"/>
      <c r="FC1879" s="1864" t="s">
        <v>6063</v>
      </c>
      <c r="FH1879" s="1628"/>
      <c r="FU1879" s="1678"/>
      <c r="FW1879" s="1678"/>
    </row>
    <row r="1880" spans="1:179" s="1484" customFormat="1" ht="22.5" x14ac:dyDescent="0.25">
      <c r="A1880" s="2033"/>
      <c r="B1880" s="1631" t="s">
        <v>3204</v>
      </c>
      <c r="C1880" s="2805" t="s">
        <v>8647</v>
      </c>
      <c r="D1880" s="2805"/>
      <c r="E1880" s="2805"/>
      <c r="F1880" s="1683" t="s">
        <v>807</v>
      </c>
      <c r="G1880" s="1655">
        <v>119.78</v>
      </c>
      <c r="H1880" s="1641"/>
      <c r="I1880" s="2035">
        <v>23.357099999999999</v>
      </c>
      <c r="J1880" s="1654">
        <v>8.74</v>
      </c>
      <c r="K1880" s="1655">
        <v>1.25</v>
      </c>
      <c r="L1880" s="1654">
        <v>255.18</v>
      </c>
      <c r="M1880" s="1641"/>
      <c r="N1880" s="1681"/>
      <c r="EW1880" s="2031"/>
      <c r="EX1880" s="1619"/>
      <c r="EY1880" s="1628"/>
      <c r="EZ1880" s="1628"/>
      <c r="FA1880" s="1628"/>
      <c r="FD1880" s="1864" t="s">
        <v>8647</v>
      </c>
      <c r="FH1880" s="1628"/>
      <c r="FU1880" s="1678"/>
      <c r="FW1880" s="1678"/>
    </row>
    <row r="1881" spans="1:179" s="1484" customFormat="1" ht="15" x14ac:dyDescent="0.25">
      <c r="A1881" s="2033"/>
      <c r="B1881" s="1631" t="s">
        <v>1741</v>
      </c>
      <c r="C1881" s="2805" t="s">
        <v>8697</v>
      </c>
      <c r="D1881" s="2805"/>
      <c r="E1881" s="2805"/>
      <c r="F1881" s="1683" t="s">
        <v>4994</v>
      </c>
      <c r="G1881" s="1655">
        <v>0.36</v>
      </c>
      <c r="H1881" s="1641"/>
      <c r="I1881" s="2035">
        <v>7.0199999999999999E-2</v>
      </c>
      <c r="J1881" s="1654">
        <v>89.99</v>
      </c>
      <c r="K1881" s="1641"/>
      <c r="L1881" s="1654">
        <v>6.32</v>
      </c>
      <c r="M1881" s="1641"/>
      <c r="N1881" s="1681"/>
      <c r="EW1881" s="2031"/>
      <c r="EX1881" s="1619"/>
      <c r="EY1881" s="1628"/>
      <c r="EZ1881" s="1628"/>
      <c r="FA1881" s="1628"/>
      <c r="FD1881" s="1864" t="s">
        <v>8697</v>
      </c>
      <c r="FH1881" s="1628"/>
      <c r="FU1881" s="1678"/>
      <c r="FW1881" s="1678"/>
    </row>
    <row r="1882" spans="1:179" s="1484" customFormat="1" ht="22.5" x14ac:dyDescent="0.25">
      <c r="A1882" s="2033"/>
      <c r="B1882" s="1631" t="s">
        <v>5010</v>
      </c>
      <c r="C1882" s="2805" t="s">
        <v>5011</v>
      </c>
      <c r="D1882" s="2805"/>
      <c r="E1882" s="2805"/>
      <c r="F1882" s="1683" t="s">
        <v>4994</v>
      </c>
      <c r="G1882" s="1953">
        <v>2.2999999999999998</v>
      </c>
      <c r="H1882" s="1641"/>
      <c r="I1882" s="2035">
        <v>0.44850000000000001</v>
      </c>
      <c r="J1882" s="1654">
        <v>31.26</v>
      </c>
      <c r="K1882" s="1641"/>
      <c r="L1882" s="1654">
        <v>14.02</v>
      </c>
      <c r="M1882" s="1641"/>
      <c r="N1882" s="1681"/>
      <c r="EW1882" s="2031"/>
      <c r="EX1882" s="1619"/>
      <c r="EY1882" s="1628"/>
      <c r="EZ1882" s="1628"/>
      <c r="FA1882" s="1628"/>
      <c r="FD1882" s="1864" t="s">
        <v>5011</v>
      </c>
      <c r="FH1882" s="1628"/>
      <c r="FU1882" s="1678"/>
      <c r="FW1882" s="1678"/>
    </row>
    <row r="1883" spans="1:179" s="1484" customFormat="1" ht="22.5" x14ac:dyDescent="0.25">
      <c r="A1883" s="2033"/>
      <c r="B1883" s="1631" t="s">
        <v>5016</v>
      </c>
      <c r="C1883" s="2805" t="s">
        <v>5017</v>
      </c>
      <c r="D1883" s="2805"/>
      <c r="E1883" s="2805"/>
      <c r="F1883" s="1683" t="s">
        <v>4994</v>
      </c>
      <c r="G1883" s="1655">
        <v>1.56</v>
      </c>
      <c r="H1883" s="1641"/>
      <c r="I1883" s="2035">
        <v>0.30420000000000003</v>
      </c>
      <c r="J1883" s="1654">
        <v>12.39</v>
      </c>
      <c r="K1883" s="1641"/>
      <c r="L1883" s="1654">
        <v>3.77</v>
      </c>
      <c r="M1883" s="1641"/>
      <c r="N1883" s="1681"/>
      <c r="EW1883" s="2031"/>
      <c r="EX1883" s="1619"/>
      <c r="EY1883" s="1628"/>
      <c r="EZ1883" s="1628"/>
      <c r="FA1883" s="1628"/>
      <c r="FD1883" s="1864" t="s">
        <v>5017</v>
      </c>
      <c r="FH1883" s="1628"/>
      <c r="FU1883" s="1678"/>
      <c r="FW1883" s="1678"/>
    </row>
    <row r="1884" spans="1:179" s="1484" customFormat="1" ht="15" x14ac:dyDescent="0.25">
      <c r="A1884" s="2033"/>
      <c r="B1884" s="1631" t="s">
        <v>821</v>
      </c>
      <c r="C1884" s="2805" t="s">
        <v>822</v>
      </c>
      <c r="D1884" s="2805"/>
      <c r="E1884" s="2805"/>
      <c r="F1884" s="1683" t="s">
        <v>4994</v>
      </c>
      <c r="G1884" s="1655">
        <v>0.28000000000000003</v>
      </c>
      <c r="H1884" s="1641"/>
      <c r="I1884" s="2035">
        <v>5.4600000000000003E-2</v>
      </c>
      <c r="J1884" s="1654">
        <v>65.709999999999994</v>
      </c>
      <c r="K1884" s="1641"/>
      <c r="L1884" s="1654">
        <v>3.59</v>
      </c>
      <c r="M1884" s="1641"/>
      <c r="N1884" s="1681"/>
      <c r="EW1884" s="2031"/>
      <c r="EX1884" s="1619"/>
      <c r="EY1884" s="1628"/>
      <c r="EZ1884" s="1628"/>
      <c r="FA1884" s="1628"/>
      <c r="FD1884" s="1864" t="s">
        <v>822</v>
      </c>
      <c r="FH1884" s="1628"/>
      <c r="FU1884" s="1678"/>
      <c r="FW1884" s="1678"/>
    </row>
    <row r="1885" spans="1:179" s="1484" customFormat="1" ht="15" x14ac:dyDescent="0.25">
      <c r="A1885" s="2033"/>
      <c r="B1885" s="1631" t="s">
        <v>1755</v>
      </c>
      <c r="C1885" s="2805" t="s">
        <v>2634</v>
      </c>
      <c r="D1885" s="2805"/>
      <c r="E1885" s="2805"/>
      <c r="F1885" s="1683" t="s">
        <v>832</v>
      </c>
      <c r="G1885" s="1953">
        <v>0.1</v>
      </c>
      <c r="H1885" s="1641"/>
      <c r="I1885" s="2035">
        <v>1.95E-2</v>
      </c>
      <c r="J1885" s="1654">
        <v>2.44</v>
      </c>
      <c r="K1885" s="1641"/>
      <c r="L1885" s="1654">
        <v>0.05</v>
      </c>
      <c r="M1885" s="1641"/>
      <c r="N1885" s="1681"/>
      <c r="EW1885" s="2031"/>
      <c r="EX1885" s="1619"/>
      <c r="EY1885" s="1628"/>
      <c r="EZ1885" s="1628"/>
      <c r="FA1885" s="1628"/>
      <c r="FD1885" s="1864" t="s">
        <v>2634</v>
      </c>
      <c r="FH1885" s="1628"/>
      <c r="FU1885" s="1678"/>
      <c r="FW1885" s="1678"/>
    </row>
    <row r="1886" spans="1:179" s="1484" customFormat="1" ht="15" x14ac:dyDescent="0.25">
      <c r="A1886" s="2033"/>
      <c r="B1886" s="1631" t="s">
        <v>4922</v>
      </c>
      <c r="C1886" s="2805" t="s">
        <v>8707</v>
      </c>
      <c r="D1886" s="2805"/>
      <c r="E1886" s="2805"/>
      <c r="F1886" s="1683" t="s">
        <v>835</v>
      </c>
      <c r="G1886" s="1953">
        <v>0.5</v>
      </c>
      <c r="H1886" s="1641"/>
      <c r="I1886" s="2035">
        <v>9.7500000000000003E-2</v>
      </c>
      <c r="J1886" s="1654">
        <v>1.82</v>
      </c>
      <c r="K1886" s="1641"/>
      <c r="L1886" s="1654">
        <v>0.18</v>
      </c>
      <c r="M1886" s="1641"/>
      <c r="N1886" s="1681"/>
      <c r="EW1886" s="2031"/>
      <c r="EX1886" s="1619"/>
      <c r="EY1886" s="1628"/>
      <c r="EZ1886" s="1628"/>
      <c r="FA1886" s="1628"/>
      <c r="FD1886" s="1864" t="s">
        <v>8707</v>
      </c>
      <c r="FH1886" s="1628"/>
      <c r="FU1886" s="1678"/>
      <c r="FW1886" s="1678"/>
    </row>
    <row r="1887" spans="1:179" s="1484" customFormat="1" ht="33.75" x14ac:dyDescent="0.25">
      <c r="A1887" s="2033"/>
      <c r="B1887" s="1631" t="s">
        <v>4940</v>
      </c>
      <c r="C1887" s="2805" t="s">
        <v>4941</v>
      </c>
      <c r="D1887" s="2805"/>
      <c r="E1887" s="2805"/>
      <c r="F1887" s="1683" t="s">
        <v>801</v>
      </c>
      <c r="G1887" s="1655">
        <v>0.05</v>
      </c>
      <c r="H1887" s="1641"/>
      <c r="I1887" s="2042">
        <v>9.75E-3</v>
      </c>
      <c r="J1887" s="1657">
        <v>6513</v>
      </c>
      <c r="K1887" s="1641"/>
      <c r="L1887" s="1654">
        <v>63.5</v>
      </c>
      <c r="M1887" s="1641"/>
      <c r="N1887" s="1681"/>
      <c r="EW1887" s="2031"/>
      <c r="EX1887" s="1619"/>
      <c r="EY1887" s="1628"/>
      <c r="EZ1887" s="1628"/>
      <c r="FA1887" s="1628"/>
      <c r="FD1887" s="1864" t="s">
        <v>4941</v>
      </c>
      <c r="FH1887" s="1628"/>
      <c r="FU1887" s="1678"/>
      <c r="FW1887" s="1678"/>
    </row>
    <row r="1888" spans="1:179" s="1484" customFormat="1" ht="33.75" x14ac:dyDescent="0.25">
      <c r="A1888" s="2033"/>
      <c r="B1888" s="1631" t="s">
        <v>8752</v>
      </c>
      <c r="C1888" s="2805" t="s">
        <v>8751</v>
      </c>
      <c r="D1888" s="2805"/>
      <c r="E1888" s="2805"/>
      <c r="F1888" s="1683" t="s">
        <v>130</v>
      </c>
      <c r="G1888" s="2034">
        <v>102</v>
      </c>
      <c r="H1888" s="1641"/>
      <c r="I1888" s="1655">
        <v>19.89</v>
      </c>
      <c r="J1888" s="1654">
        <v>67.8</v>
      </c>
      <c r="K1888" s="1641"/>
      <c r="L1888" s="1657">
        <v>1348.54</v>
      </c>
      <c r="M1888" s="1641"/>
      <c r="N1888" s="1681"/>
      <c r="EW1888" s="2031"/>
      <c r="EX1888" s="1619"/>
      <c r="EY1888" s="1628"/>
      <c r="EZ1888" s="1628"/>
      <c r="FA1888" s="1628"/>
      <c r="FD1888" s="1864" t="s">
        <v>8751</v>
      </c>
      <c r="FH1888" s="1628"/>
      <c r="FU1888" s="1678"/>
      <c r="FW1888" s="1678"/>
    </row>
    <row r="1889" spans="1:179" s="1484" customFormat="1" ht="15" x14ac:dyDescent="0.25">
      <c r="A1889" s="2033"/>
      <c r="B1889" s="1631" t="s">
        <v>4972</v>
      </c>
      <c r="C1889" s="2805" t="s">
        <v>8061</v>
      </c>
      <c r="D1889" s="2805"/>
      <c r="E1889" s="2805"/>
      <c r="F1889" s="1683" t="s">
        <v>835</v>
      </c>
      <c r="G1889" s="2034">
        <v>450</v>
      </c>
      <c r="H1889" s="1641"/>
      <c r="I1889" s="1655">
        <v>87.75</v>
      </c>
      <c r="J1889" s="1654">
        <v>1.37</v>
      </c>
      <c r="K1889" s="1641"/>
      <c r="L1889" s="1654">
        <v>120.22</v>
      </c>
      <c r="M1889" s="1641"/>
      <c r="N1889" s="1681"/>
      <c r="EW1889" s="2031"/>
      <c r="EX1889" s="1619"/>
      <c r="EY1889" s="1628"/>
      <c r="EZ1889" s="1628"/>
      <c r="FA1889" s="1628"/>
      <c r="FD1889" s="1864" t="s">
        <v>8061</v>
      </c>
      <c r="FH1889" s="1628"/>
      <c r="FU1889" s="1678"/>
      <c r="FW1889" s="1678"/>
    </row>
    <row r="1890" spans="1:179" s="1484" customFormat="1" ht="15" x14ac:dyDescent="0.25">
      <c r="A1890" s="2032"/>
      <c r="B1890" s="1631" t="s">
        <v>190</v>
      </c>
      <c r="C1890" s="2805" t="s">
        <v>2523</v>
      </c>
      <c r="D1890" s="2805"/>
      <c r="E1890" s="2805"/>
      <c r="F1890" s="1683"/>
      <c r="G1890" s="1641"/>
      <c r="H1890" s="1641"/>
      <c r="I1890" s="1641"/>
      <c r="J1890" s="1657">
        <v>1046.8800000000001</v>
      </c>
      <c r="K1890" s="1655">
        <v>1.25</v>
      </c>
      <c r="L1890" s="1654">
        <v>255.18</v>
      </c>
      <c r="M1890" s="1655">
        <v>35.75</v>
      </c>
      <c r="N1890" s="1679">
        <v>9122.69</v>
      </c>
      <c r="EW1890" s="2031"/>
      <c r="EX1890" s="1619"/>
      <c r="EY1890" s="1628"/>
      <c r="EZ1890" s="1628"/>
      <c r="FA1890" s="1628"/>
      <c r="FE1890" s="1864" t="s">
        <v>2523</v>
      </c>
      <c r="FH1890" s="1628"/>
      <c r="FU1890" s="1678"/>
      <c r="FW1890" s="1678"/>
    </row>
    <row r="1891" spans="1:179" s="1484" customFormat="1" ht="15" x14ac:dyDescent="0.25">
      <c r="A1891" s="2032"/>
      <c r="B1891" s="1631" t="s">
        <v>639</v>
      </c>
      <c r="C1891" s="2805" t="s">
        <v>697</v>
      </c>
      <c r="D1891" s="2805"/>
      <c r="E1891" s="2805"/>
      <c r="F1891" s="1683"/>
      <c r="G1891" s="1641"/>
      <c r="H1891" s="1641"/>
      <c r="I1891" s="1641"/>
      <c r="J1891" s="1654">
        <v>142.03</v>
      </c>
      <c r="K1891" s="1641"/>
      <c r="L1891" s="1654">
        <v>27.7</v>
      </c>
      <c r="M1891" s="1655">
        <v>11.97</v>
      </c>
      <c r="N1891" s="2039">
        <v>331.57</v>
      </c>
      <c r="EW1891" s="2031"/>
      <c r="EX1891" s="1619"/>
      <c r="EY1891" s="1628"/>
      <c r="EZ1891" s="1628"/>
      <c r="FA1891" s="1628"/>
      <c r="FE1891" s="1864" t="s">
        <v>697</v>
      </c>
      <c r="FH1891" s="1628"/>
      <c r="FU1891" s="1678"/>
      <c r="FW1891" s="1678"/>
    </row>
    <row r="1892" spans="1:179" s="1484" customFormat="1" ht="15" x14ac:dyDescent="0.25">
      <c r="A1892" s="2032"/>
      <c r="B1892" s="1631" t="s">
        <v>640</v>
      </c>
      <c r="C1892" s="2805" t="s">
        <v>2500</v>
      </c>
      <c r="D1892" s="2805"/>
      <c r="E1892" s="2805"/>
      <c r="F1892" s="1683"/>
      <c r="G1892" s="1641"/>
      <c r="H1892" s="1641"/>
      <c r="I1892" s="1641"/>
      <c r="J1892" s="1654">
        <v>53.61</v>
      </c>
      <c r="K1892" s="1641"/>
      <c r="L1892" s="1654">
        <v>10.45</v>
      </c>
      <c r="M1892" s="1655">
        <v>35.75</v>
      </c>
      <c r="N1892" s="2039">
        <v>373.59</v>
      </c>
      <c r="EW1892" s="2031"/>
      <c r="EX1892" s="1619"/>
      <c r="EY1892" s="1628"/>
      <c r="EZ1892" s="1628"/>
      <c r="FA1892" s="1628"/>
      <c r="FE1892" s="1864" t="s">
        <v>2500</v>
      </c>
      <c r="FH1892" s="1628"/>
      <c r="FU1892" s="1678"/>
      <c r="FW1892" s="1678"/>
    </row>
    <row r="1893" spans="1:179" s="1484" customFormat="1" ht="15" x14ac:dyDescent="0.25">
      <c r="A1893" s="2032"/>
      <c r="B1893" s="1631" t="s">
        <v>232</v>
      </c>
      <c r="C1893" s="2805" t="s">
        <v>829</v>
      </c>
      <c r="D1893" s="2805"/>
      <c r="E1893" s="2805"/>
      <c r="F1893" s="1683"/>
      <c r="G1893" s="1641"/>
      <c r="H1893" s="1641"/>
      <c r="I1893" s="1641"/>
      <c r="J1893" s="1657">
        <v>7858.9</v>
      </c>
      <c r="K1893" s="1641"/>
      <c r="L1893" s="1657">
        <v>1532.49</v>
      </c>
      <c r="M1893" s="1655">
        <v>9.14</v>
      </c>
      <c r="N1893" s="1679">
        <v>14006.96</v>
      </c>
      <c r="EW1893" s="2031"/>
      <c r="EX1893" s="1619"/>
      <c r="EY1893" s="1628"/>
      <c r="EZ1893" s="1628"/>
      <c r="FA1893" s="1628"/>
      <c r="FE1893" s="1864" t="s">
        <v>829</v>
      </c>
      <c r="FH1893" s="1628"/>
      <c r="FU1893" s="1678"/>
      <c r="FW1893" s="1678"/>
    </row>
    <row r="1894" spans="1:179" s="1484" customFormat="1" ht="15" x14ac:dyDescent="0.25">
      <c r="A1894" s="2033"/>
      <c r="B1894" s="1631"/>
      <c r="C1894" s="2805" t="s">
        <v>2524</v>
      </c>
      <c r="D1894" s="2805"/>
      <c r="E1894" s="2805"/>
      <c r="F1894" s="1683" t="s">
        <v>807</v>
      </c>
      <c r="G1894" s="1655">
        <v>119.78</v>
      </c>
      <c r="H1894" s="1641"/>
      <c r="I1894" s="2035">
        <v>23.357099999999999</v>
      </c>
      <c r="J1894" s="1640"/>
      <c r="K1894" s="1641"/>
      <c r="L1894" s="1640"/>
      <c r="M1894" s="1641"/>
      <c r="N1894" s="1681"/>
      <c r="EW1894" s="2031"/>
      <c r="EX1894" s="1619"/>
      <c r="EY1894" s="1628"/>
      <c r="EZ1894" s="1628"/>
      <c r="FA1894" s="1628"/>
      <c r="FF1894" s="1864" t="s">
        <v>2524</v>
      </c>
      <c r="FH1894" s="1628"/>
      <c r="FU1894" s="1678"/>
      <c r="FW1894" s="1678"/>
    </row>
    <row r="1895" spans="1:179" s="1484" customFormat="1" ht="15" x14ac:dyDescent="0.25">
      <c r="A1895" s="2033"/>
      <c r="B1895" s="1631"/>
      <c r="C1895" s="2805" t="s">
        <v>2501</v>
      </c>
      <c r="D1895" s="2805"/>
      <c r="E1895" s="2805"/>
      <c r="F1895" s="1683" t="s">
        <v>807</v>
      </c>
      <c r="G1895" s="1953">
        <v>4.5</v>
      </c>
      <c r="H1895" s="1641"/>
      <c r="I1895" s="2035">
        <v>0.87749999999999995</v>
      </c>
      <c r="J1895" s="1640"/>
      <c r="K1895" s="1641"/>
      <c r="L1895" s="1640"/>
      <c r="M1895" s="1641"/>
      <c r="N1895" s="1681"/>
      <c r="EW1895" s="2031"/>
      <c r="EX1895" s="1619"/>
      <c r="EY1895" s="1628"/>
      <c r="EZ1895" s="1628"/>
      <c r="FA1895" s="1628"/>
      <c r="FF1895" s="1864" t="s">
        <v>2501</v>
      </c>
      <c r="FH1895" s="1628"/>
      <c r="FU1895" s="1678"/>
      <c r="FW1895" s="1678"/>
    </row>
    <row r="1896" spans="1:179" s="1484" customFormat="1" ht="15" x14ac:dyDescent="0.25">
      <c r="A1896" s="2032"/>
      <c r="B1896" s="1631"/>
      <c r="C1896" s="2917" t="s">
        <v>2502</v>
      </c>
      <c r="D1896" s="2917"/>
      <c r="E1896" s="2917"/>
      <c r="F1896" s="2036"/>
      <c r="G1896" s="2037"/>
      <c r="H1896" s="2037"/>
      <c r="I1896" s="2037"/>
      <c r="J1896" s="2038">
        <v>9047.81</v>
      </c>
      <c r="K1896" s="2037"/>
      <c r="L1896" s="2038">
        <v>1815.37</v>
      </c>
      <c r="M1896" s="2037"/>
      <c r="N1896" s="2068">
        <v>23461.22</v>
      </c>
      <c r="EW1896" s="2031"/>
      <c r="EX1896" s="1619"/>
      <c r="EY1896" s="1628"/>
      <c r="EZ1896" s="1628"/>
      <c r="FA1896" s="1628"/>
      <c r="FG1896" s="1864" t="s">
        <v>2502</v>
      </c>
      <c r="FH1896" s="1628"/>
      <c r="FU1896" s="1678"/>
      <c r="FW1896" s="1678"/>
    </row>
    <row r="1897" spans="1:179" s="1484" customFormat="1" ht="15" x14ac:dyDescent="0.25">
      <c r="A1897" s="2033" t="s">
        <v>8267</v>
      </c>
      <c r="B1897" s="1631"/>
      <c r="C1897" s="2805" t="s">
        <v>7964</v>
      </c>
      <c r="D1897" s="2805"/>
      <c r="E1897" s="2805"/>
      <c r="F1897" s="1683" t="s">
        <v>5928</v>
      </c>
      <c r="G1897" s="1641"/>
      <c r="H1897" s="1641"/>
      <c r="I1897" s="1641"/>
      <c r="J1897" s="1640"/>
      <c r="K1897" s="1641"/>
      <c r="L1897" s="1654">
        <v>2.61</v>
      </c>
      <c r="M1897" s="1641"/>
      <c r="N1897" s="2039">
        <v>93.31</v>
      </c>
      <c r="EW1897" s="2031"/>
      <c r="EX1897" s="1619"/>
      <c r="EY1897" s="1628"/>
      <c r="EZ1897" s="1628"/>
      <c r="FA1897" s="1628"/>
      <c r="FF1897" s="1864" t="s">
        <v>7964</v>
      </c>
      <c r="FH1897" s="1628"/>
      <c r="FU1897" s="1678"/>
      <c r="FW1897" s="1678"/>
    </row>
    <row r="1898" spans="1:179" s="1484" customFormat="1" ht="15" x14ac:dyDescent="0.25">
      <c r="A1898" s="2033"/>
      <c r="B1898" s="1631"/>
      <c r="C1898" s="2805" t="s">
        <v>7965</v>
      </c>
      <c r="D1898" s="2805"/>
      <c r="E1898" s="2805"/>
      <c r="F1898" s="1683" t="s">
        <v>5928</v>
      </c>
      <c r="G1898" s="1641"/>
      <c r="H1898" s="1641"/>
      <c r="I1898" s="1641"/>
      <c r="J1898" s="1654">
        <v>53.61</v>
      </c>
      <c r="K1898" s="1655">
        <v>0.25</v>
      </c>
      <c r="L1898" s="1654">
        <v>2.61</v>
      </c>
      <c r="M1898" s="1655">
        <v>35.75</v>
      </c>
      <c r="N1898" s="2039">
        <v>93.31</v>
      </c>
      <c r="EW1898" s="2031"/>
      <c r="EX1898" s="1619"/>
      <c r="EY1898" s="1628"/>
      <c r="EZ1898" s="1628"/>
      <c r="FA1898" s="1628"/>
      <c r="FF1898" s="1864" t="s">
        <v>7965</v>
      </c>
      <c r="FH1898" s="1628"/>
      <c r="FU1898" s="1678"/>
      <c r="FW1898" s="1678"/>
    </row>
    <row r="1899" spans="1:179" s="1484" customFormat="1" ht="15" x14ac:dyDescent="0.25">
      <c r="A1899" s="2033"/>
      <c r="B1899" s="1631"/>
      <c r="C1899" s="2805" t="s">
        <v>867</v>
      </c>
      <c r="D1899" s="2805"/>
      <c r="E1899" s="2805"/>
      <c r="F1899" s="1683"/>
      <c r="G1899" s="1641"/>
      <c r="H1899" s="1641"/>
      <c r="I1899" s="1641"/>
      <c r="J1899" s="1640"/>
      <c r="K1899" s="1641"/>
      <c r="L1899" s="1654">
        <v>268.24</v>
      </c>
      <c r="M1899" s="1641"/>
      <c r="N1899" s="1679">
        <v>9589.59</v>
      </c>
      <c r="EW1899" s="2031"/>
      <c r="EX1899" s="1619"/>
      <c r="EY1899" s="1628"/>
      <c r="EZ1899" s="1628"/>
      <c r="FA1899" s="1628"/>
      <c r="FF1899" s="1864" t="s">
        <v>867</v>
      </c>
      <c r="FH1899" s="1628"/>
      <c r="FU1899" s="1678"/>
      <c r="FW1899" s="1678"/>
    </row>
    <row r="1900" spans="1:179" s="1484" customFormat="1" ht="15" x14ac:dyDescent="0.25">
      <c r="A1900" s="2033"/>
      <c r="B1900" s="1631" t="s">
        <v>8054</v>
      </c>
      <c r="C1900" s="2805" t="s">
        <v>8055</v>
      </c>
      <c r="D1900" s="2805"/>
      <c r="E1900" s="2805"/>
      <c r="F1900" s="1683" t="s">
        <v>636</v>
      </c>
      <c r="G1900" s="2034">
        <v>112</v>
      </c>
      <c r="H1900" s="1641"/>
      <c r="I1900" s="2034">
        <v>112</v>
      </c>
      <c r="J1900" s="1640"/>
      <c r="K1900" s="1641"/>
      <c r="L1900" s="1654">
        <v>300.43</v>
      </c>
      <c r="M1900" s="1641"/>
      <c r="N1900" s="1679">
        <v>10740.34</v>
      </c>
      <c r="EW1900" s="2031"/>
      <c r="EX1900" s="1619"/>
      <c r="EY1900" s="1628"/>
      <c r="EZ1900" s="1628"/>
      <c r="FA1900" s="1628"/>
      <c r="FF1900" s="1864" t="s">
        <v>8055</v>
      </c>
      <c r="FH1900" s="1628"/>
      <c r="FU1900" s="1678"/>
      <c r="FW1900" s="1678"/>
    </row>
    <row r="1901" spans="1:179" s="1484" customFormat="1" ht="15" x14ac:dyDescent="0.25">
      <c r="A1901" s="2033"/>
      <c r="B1901" s="1631" t="s">
        <v>8056</v>
      </c>
      <c r="C1901" s="2805" t="s">
        <v>8057</v>
      </c>
      <c r="D1901" s="2805"/>
      <c r="E1901" s="2805"/>
      <c r="F1901" s="1683" t="s">
        <v>636</v>
      </c>
      <c r="G1901" s="2034">
        <v>65</v>
      </c>
      <c r="H1901" s="1641"/>
      <c r="I1901" s="2034">
        <v>65</v>
      </c>
      <c r="J1901" s="1640"/>
      <c r="K1901" s="1641"/>
      <c r="L1901" s="1654">
        <v>174.36</v>
      </c>
      <c r="M1901" s="1641"/>
      <c r="N1901" s="1679">
        <v>6233.23</v>
      </c>
      <c r="EW1901" s="2031"/>
      <c r="EX1901" s="1619"/>
      <c r="EY1901" s="1628"/>
      <c r="EZ1901" s="1628"/>
      <c r="FA1901" s="1628"/>
      <c r="FF1901" s="1864" t="s">
        <v>8057</v>
      </c>
      <c r="FH1901" s="1628"/>
      <c r="FU1901" s="1678"/>
      <c r="FW1901" s="1678"/>
    </row>
    <row r="1902" spans="1:179" s="1484" customFormat="1" ht="15" x14ac:dyDescent="0.25">
      <c r="A1902" s="1650"/>
      <c r="B1902" s="1651"/>
      <c r="C1902" s="2803" t="s">
        <v>872</v>
      </c>
      <c r="D1902" s="2803"/>
      <c r="E1902" s="2803"/>
      <c r="F1902" s="1621"/>
      <c r="G1902" s="1622"/>
      <c r="H1902" s="1622"/>
      <c r="I1902" s="1622"/>
      <c r="J1902" s="1625"/>
      <c r="K1902" s="1622"/>
      <c r="L1902" s="1648">
        <v>2292.77</v>
      </c>
      <c r="M1902" s="2037"/>
      <c r="N1902" s="1649">
        <v>40528.1</v>
      </c>
      <c r="EW1902" s="2031"/>
      <c r="EX1902" s="1619"/>
      <c r="EY1902" s="1628"/>
      <c r="EZ1902" s="1628"/>
      <c r="FA1902" s="1628"/>
      <c r="FH1902" s="1628" t="s">
        <v>872</v>
      </c>
      <c r="FU1902" s="1678"/>
      <c r="FW1902" s="1678"/>
    </row>
    <row r="1903" spans="1:179" s="1484" customFormat="1" ht="15" x14ac:dyDescent="0.25">
      <c r="A1903" s="2811" t="s">
        <v>8268</v>
      </c>
      <c r="B1903" s="2812"/>
      <c r="C1903" s="2812"/>
      <c r="D1903" s="2812"/>
      <c r="E1903" s="2812"/>
      <c r="F1903" s="2812"/>
      <c r="G1903" s="2812"/>
      <c r="H1903" s="2812"/>
      <c r="I1903" s="2812"/>
      <c r="J1903" s="2812"/>
      <c r="K1903" s="2812"/>
      <c r="L1903" s="2812"/>
      <c r="M1903" s="2812"/>
      <c r="N1903" s="2813"/>
      <c r="EW1903" s="2031"/>
      <c r="EX1903" s="1619" t="s">
        <v>8268</v>
      </c>
      <c r="EY1903" s="1628"/>
      <c r="EZ1903" s="1628"/>
      <c r="FA1903" s="1628"/>
      <c r="FH1903" s="1628"/>
      <c r="FU1903" s="1678"/>
      <c r="FW1903" s="1678"/>
    </row>
    <row r="1904" spans="1:179" s="1484" customFormat="1" ht="33.75" x14ac:dyDescent="0.25">
      <c r="A1904" s="1620" t="s">
        <v>8269</v>
      </c>
      <c r="B1904" s="1863" t="s">
        <v>8769</v>
      </c>
      <c r="C1904" s="2803" t="s">
        <v>8141</v>
      </c>
      <c r="D1904" s="2803"/>
      <c r="E1904" s="2803"/>
      <c r="F1904" s="1621" t="s">
        <v>2555</v>
      </c>
      <c r="G1904" s="1622">
        <v>0.98799999999999999</v>
      </c>
      <c r="H1904" s="1623">
        <v>1</v>
      </c>
      <c r="I1904" s="2045">
        <v>0.98799999999999999</v>
      </c>
      <c r="J1904" s="1625"/>
      <c r="K1904" s="1622"/>
      <c r="L1904" s="1625"/>
      <c r="M1904" s="1622"/>
      <c r="N1904" s="1627"/>
      <c r="EW1904" s="2031"/>
      <c r="EX1904" s="1619"/>
      <c r="EY1904" s="1628" t="s">
        <v>8141</v>
      </c>
      <c r="EZ1904" s="1628" t="s">
        <v>588</v>
      </c>
      <c r="FA1904" s="1628" t="s">
        <v>588</v>
      </c>
      <c r="FH1904" s="1628"/>
      <c r="FU1904" s="1678"/>
      <c r="FW1904" s="1678"/>
    </row>
    <row r="1905" spans="1:179" s="1484" customFormat="1" ht="15" x14ac:dyDescent="0.25">
      <c r="A1905" s="1629"/>
      <c r="B1905" s="1862"/>
      <c r="C1905" s="2805" t="s">
        <v>8764</v>
      </c>
      <c r="D1905" s="2805"/>
      <c r="E1905" s="2805"/>
      <c r="F1905" s="2805"/>
      <c r="G1905" s="2805"/>
      <c r="H1905" s="2805"/>
      <c r="I1905" s="2805"/>
      <c r="J1905" s="2805"/>
      <c r="K1905" s="2805"/>
      <c r="L1905" s="2805"/>
      <c r="M1905" s="2805"/>
      <c r="N1905" s="2806"/>
      <c r="EW1905" s="2031"/>
      <c r="EX1905" s="1619"/>
      <c r="EY1905" s="1628"/>
      <c r="EZ1905" s="1628"/>
      <c r="FA1905" s="1628"/>
      <c r="FB1905" s="1864" t="s">
        <v>8764</v>
      </c>
      <c r="FH1905" s="1628"/>
      <c r="FU1905" s="1678"/>
      <c r="FW1905" s="1678"/>
    </row>
    <row r="1906" spans="1:179" s="1484" customFormat="1" ht="22.5" x14ac:dyDescent="0.25">
      <c r="A1906" s="1630"/>
      <c r="B1906" s="1631" t="s">
        <v>6062</v>
      </c>
      <c r="C1906" s="2809" t="s">
        <v>6063</v>
      </c>
      <c r="D1906" s="2809"/>
      <c r="E1906" s="2809"/>
      <c r="F1906" s="2809"/>
      <c r="G1906" s="2809"/>
      <c r="H1906" s="2809"/>
      <c r="I1906" s="2809"/>
      <c r="J1906" s="2809"/>
      <c r="K1906" s="2809"/>
      <c r="L1906" s="2809"/>
      <c r="M1906" s="2809"/>
      <c r="N1906" s="2810"/>
      <c r="EW1906" s="2031"/>
      <c r="EX1906" s="1619"/>
      <c r="EY1906" s="1628"/>
      <c r="EZ1906" s="1628"/>
      <c r="FA1906" s="1628"/>
      <c r="FC1906" s="1864" t="s">
        <v>6063</v>
      </c>
      <c r="FH1906" s="1628"/>
      <c r="FU1906" s="1678"/>
      <c r="FW1906" s="1678"/>
    </row>
    <row r="1907" spans="1:179" s="1484" customFormat="1" ht="15" x14ac:dyDescent="0.25">
      <c r="A1907" s="1630"/>
      <c r="B1907" s="1631" t="s">
        <v>8142</v>
      </c>
      <c r="C1907" s="2809" t="s">
        <v>8245</v>
      </c>
      <c r="D1907" s="2809"/>
      <c r="E1907" s="2809"/>
      <c r="F1907" s="2809"/>
      <c r="G1907" s="2809"/>
      <c r="H1907" s="2809"/>
      <c r="I1907" s="2809"/>
      <c r="J1907" s="2809"/>
      <c r="K1907" s="2809"/>
      <c r="L1907" s="2809"/>
      <c r="M1907" s="2809"/>
      <c r="N1907" s="2810"/>
      <c r="EW1907" s="2031"/>
      <c r="EX1907" s="1619"/>
      <c r="EY1907" s="1628"/>
      <c r="EZ1907" s="1628"/>
      <c r="FA1907" s="1628"/>
      <c r="FC1907" s="1864" t="s">
        <v>8245</v>
      </c>
      <c r="FH1907" s="1628"/>
      <c r="FU1907" s="1678"/>
      <c r="FW1907" s="1678"/>
    </row>
    <row r="1908" spans="1:179" s="1484" customFormat="1" ht="22.5" x14ac:dyDescent="0.25">
      <c r="A1908" s="2033"/>
      <c r="B1908" s="1631" t="s">
        <v>8756</v>
      </c>
      <c r="C1908" s="2805" t="s">
        <v>8755</v>
      </c>
      <c r="D1908" s="2805"/>
      <c r="E1908" s="2805"/>
      <c r="F1908" s="1683" t="s">
        <v>807</v>
      </c>
      <c r="G1908" s="1655">
        <v>0.44</v>
      </c>
      <c r="H1908" s="2034">
        <v>16</v>
      </c>
      <c r="I1908" s="2042">
        <v>6.9555199999999999</v>
      </c>
      <c r="J1908" s="1654">
        <v>7.94</v>
      </c>
      <c r="K1908" s="1655">
        <v>1.25</v>
      </c>
      <c r="L1908" s="1654">
        <v>69.03</v>
      </c>
      <c r="M1908" s="1641"/>
      <c r="N1908" s="1681"/>
      <c r="EW1908" s="2031"/>
      <c r="EX1908" s="1619"/>
      <c r="EY1908" s="1628"/>
      <c r="EZ1908" s="1628"/>
      <c r="FA1908" s="1628"/>
      <c r="FD1908" s="1864" t="s">
        <v>8755</v>
      </c>
      <c r="FH1908" s="1628"/>
      <c r="FU1908" s="1678"/>
      <c r="FW1908" s="1678"/>
    </row>
    <row r="1909" spans="1:179" s="1484" customFormat="1" ht="22.5" x14ac:dyDescent="0.25">
      <c r="A1909" s="2033"/>
      <c r="B1909" s="1631" t="s">
        <v>5010</v>
      </c>
      <c r="C1909" s="2805" t="s">
        <v>5011</v>
      </c>
      <c r="D1909" s="2805"/>
      <c r="E1909" s="2805"/>
      <c r="F1909" s="1683" t="s">
        <v>4994</v>
      </c>
      <c r="G1909" s="1655">
        <v>0.21</v>
      </c>
      <c r="H1909" s="2034">
        <v>16</v>
      </c>
      <c r="I1909" s="2042">
        <v>3.31968</v>
      </c>
      <c r="J1909" s="1654">
        <v>31.26</v>
      </c>
      <c r="K1909" s="1641"/>
      <c r="L1909" s="1654">
        <v>103.77</v>
      </c>
      <c r="M1909" s="1641"/>
      <c r="N1909" s="1681"/>
      <c r="EW1909" s="2031"/>
      <c r="EX1909" s="1619"/>
      <c r="EY1909" s="1628"/>
      <c r="EZ1909" s="1628"/>
      <c r="FA1909" s="1628"/>
      <c r="FD1909" s="1864" t="s">
        <v>5011</v>
      </c>
      <c r="FH1909" s="1628"/>
      <c r="FU1909" s="1678"/>
      <c r="FW1909" s="1678"/>
    </row>
    <row r="1910" spans="1:179" s="1484" customFormat="1" ht="15" x14ac:dyDescent="0.25">
      <c r="A1910" s="2033"/>
      <c r="B1910" s="1631" t="s">
        <v>5012</v>
      </c>
      <c r="C1910" s="2805" t="s">
        <v>5013</v>
      </c>
      <c r="D1910" s="2805"/>
      <c r="E1910" s="2805"/>
      <c r="F1910" s="1683" t="s">
        <v>4994</v>
      </c>
      <c r="G1910" s="2034">
        <v>2</v>
      </c>
      <c r="H1910" s="2034">
        <v>16</v>
      </c>
      <c r="I1910" s="2046">
        <v>31.616</v>
      </c>
      <c r="J1910" s="1654">
        <v>0.5</v>
      </c>
      <c r="K1910" s="1641"/>
      <c r="L1910" s="1654">
        <v>15.81</v>
      </c>
      <c r="M1910" s="1641"/>
      <c r="N1910" s="1681"/>
      <c r="EW1910" s="2031"/>
      <c r="EX1910" s="1619"/>
      <c r="EY1910" s="1628"/>
      <c r="EZ1910" s="1628"/>
      <c r="FA1910" s="1628"/>
      <c r="FD1910" s="1864" t="s">
        <v>5013</v>
      </c>
      <c r="FH1910" s="1628"/>
      <c r="FU1910" s="1678"/>
      <c r="FW1910" s="1678"/>
    </row>
    <row r="1911" spans="1:179" s="1484" customFormat="1" ht="15" x14ac:dyDescent="0.25">
      <c r="A1911" s="2032"/>
      <c r="B1911" s="1631" t="s">
        <v>190</v>
      </c>
      <c r="C1911" s="2805" t="s">
        <v>2523</v>
      </c>
      <c r="D1911" s="2805"/>
      <c r="E1911" s="2805"/>
      <c r="F1911" s="1683"/>
      <c r="G1911" s="1641"/>
      <c r="H1911" s="1641"/>
      <c r="I1911" s="1641"/>
      <c r="J1911" s="1654">
        <v>3.49</v>
      </c>
      <c r="K1911" s="2034">
        <v>20</v>
      </c>
      <c r="L1911" s="1654">
        <v>68.959999999999994</v>
      </c>
      <c r="M1911" s="1655">
        <v>35.75</v>
      </c>
      <c r="N1911" s="1679">
        <v>2465.3200000000002</v>
      </c>
      <c r="EW1911" s="2031"/>
      <c r="EX1911" s="1619"/>
      <c r="EY1911" s="1628"/>
      <c r="EZ1911" s="1628"/>
      <c r="FA1911" s="1628"/>
      <c r="FE1911" s="1864" t="s">
        <v>2523</v>
      </c>
      <c r="FH1911" s="1628"/>
      <c r="FU1911" s="1678"/>
      <c r="FW1911" s="1678"/>
    </row>
    <row r="1912" spans="1:179" s="1484" customFormat="1" ht="15" x14ac:dyDescent="0.25">
      <c r="A1912" s="2032"/>
      <c r="B1912" s="1631" t="s">
        <v>639</v>
      </c>
      <c r="C1912" s="2805" t="s">
        <v>697</v>
      </c>
      <c r="D1912" s="2805"/>
      <c r="E1912" s="2805"/>
      <c r="F1912" s="1683"/>
      <c r="G1912" s="1641"/>
      <c r="H1912" s="1641"/>
      <c r="I1912" s="1641"/>
      <c r="J1912" s="1654">
        <v>7.56</v>
      </c>
      <c r="K1912" s="2034">
        <v>16</v>
      </c>
      <c r="L1912" s="1654">
        <v>119.51</v>
      </c>
      <c r="M1912" s="1655">
        <v>11.97</v>
      </c>
      <c r="N1912" s="1679">
        <v>1430.53</v>
      </c>
      <c r="EW1912" s="2031"/>
      <c r="EX1912" s="1619"/>
      <c r="EY1912" s="1628"/>
      <c r="EZ1912" s="1628"/>
      <c r="FA1912" s="1628"/>
      <c r="FE1912" s="1864" t="s">
        <v>697</v>
      </c>
      <c r="FH1912" s="1628"/>
      <c r="FU1912" s="1678"/>
      <c r="FW1912" s="1678"/>
    </row>
    <row r="1913" spans="1:179" s="1484" customFormat="1" ht="15" x14ac:dyDescent="0.25">
      <c r="A1913" s="2032"/>
      <c r="B1913" s="1631" t="s">
        <v>640</v>
      </c>
      <c r="C1913" s="2805" t="s">
        <v>2500</v>
      </c>
      <c r="D1913" s="2805"/>
      <c r="E1913" s="2805"/>
      <c r="F1913" s="1683"/>
      <c r="G1913" s="1641"/>
      <c r="H1913" s="1641"/>
      <c r="I1913" s="1641"/>
      <c r="J1913" s="1654">
        <v>2.84</v>
      </c>
      <c r="K1913" s="2034">
        <v>16</v>
      </c>
      <c r="L1913" s="1654">
        <v>44.89</v>
      </c>
      <c r="M1913" s="1655">
        <v>35.75</v>
      </c>
      <c r="N1913" s="1679">
        <v>1604.82</v>
      </c>
      <c r="EW1913" s="2031"/>
      <c r="EX1913" s="1619"/>
      <c r="EY1913" s="1628"/>
      <c r="EZ1913" s="1628"/>
      <c r="FA1913" s="1628"/>
      <c r="FE1913" s="1864" t="s">
        <v>2500</v>
      </c>
      <c r="FH1913" s="1628"/>
      <c r="FU1913" s="1678"/>
      <c r="FW1913" s="1678"/>
    </row>
    <row r="1914" spans="1:179" s="1484" customFormat="1" ht="15" x14ac:dyDescent="0.25">
      <c r="A1914" s="2033"/>
      <c r="B1914" s="1631"/>
      <c r="C1914" s="2805" t="s">
        <v>2524</v>
      </c>
      <c r="D1914" s="2805"/>
      <c r="E1914" s="2805"/>
      <c r="F1914" s="1683" t="s">
        <v>807</v>
      </c>
      <c r="G1914" s="1655">
        <v>0.44</v>
      </c>
      <c r="H1914" s="2034">
        <v>16</v>
      </c>
      <c r="I1914" s="2042">
        <v>6.9555199999999999</v>
      </c>
      <c r="J1914" s="1640"/>
      <c r="K1914" s="1641"/>
      <c r="L1914" s="1640"/>
      <c r="M1914" s="1641"/>
      <c r="N1914" s="1681"/>
      <c r="EW1914" s="2031"/>
      <c r="EX1914" s="1619"/>
      <c r="EY1914" s="1628"/>
      <c r="EZ1914" s="1628"/>
      <c r="FA1914" s="1628"/>
      <c r="FF1914" s="1864" t="s">
        <v>2524</v>
      </c>
      <c r="FH1914" s="1628"/>
      <c r="FU1914" s="1678"/>
      <c r="FW1914" s="1678"/>
    </row>
    <row r="1915" spans="1:179" s="1484" customFormat="1" ht="15" x14ac:dyDescent="0.25">
      <c r="A1915" s="2033"/>
      <c r="B1915" s="1631"/>
      <c r="C1915" s="2805" t="s">
        <v>2501</v>
      </c>
      <c r="D1915" s="2805"/>
      <c r="E1915" s="2805"/>
      <c r="F1915" s="1683" t="s">
        <v>807</v>
      </c>
      <c r="G1915" s="1655">
        <v>0.21</v>
      </c>
      <c r="H1915" s="2034">
        <v>16</v>
      </c>
      <c r="I1915" s="2042">
        <v>3.31968</v>
      </c>
      <c r="J1915" s="1640"/>
      <c r="K1915" s="1641"/>
      <c r="L1915" s="1640"/>
      <c r="M1915" s="1641"/>
      <c r="N1915" s="1681"/>
      <c r="EW1915" s="2031"/>
      <c r="EX1915" s="1619"/>
      <c r="EY1915" s="1628"/>
      <c r="EZ1915" s="1628"/>
      <c r="FA1915" s="1628"/>
      <c r="FF1915" s="1864" t="s">
        <v>2501</v>
      </c>
      <c r="FH1915" s="1628"/>
      <c r="FU1915" s="1678"/>
      <c r="FW1915" s="1678"/>
    </row>
    <row r="1916" spans="1:179" s="1484" customFormat="1" ht="15" x14ac:dyDescent="0.25">
      <c r="A1916" s="2032"/>
      <c r="B1916" s="1631"/>
      <c r="C1916" s="2917" t="s">
        <v>2502</v>
      </c>
      <c r="D1916" s="2917"/>
      <c r="E1916" s="2917"/>
      <c r="F1916" s="2036"/>
      <c r="G1916" s="2037"/>
      <c r="H1916" s="2037"/>
      <c r="I1916" s="2037"/>
      <c r="J1916" s="2044">
        <v>11.05</v>
      </c>
      <c r="K1916" s="2037"/>
      <c r="L1916" s="2044">
        <v>188.47</v>
      </c>
      <c r="M1916" s="2037"/>
      <c r="N1916" s="2068">
        <v>3895.85</v>
      </c>
      <c r="EW1916" s="2031"/>
      <c r="EX1916" s="1619"/>
      <c r="EY1916" s="1628"/>
      <c r="EZ1916" s="1628"/>
      <c r="FA1916" s="1628"/>
      <c r="FG1916" s="1864" t="s">
        <v>2502</v>
      </c>
      <c r="FH1916" s="1628"/>
      <c r="FU1916" s="1678"/>
      <c r="FW1916" s="1678"/>
    </row>
    <row r="1917" spans="1:179" s="1484" customFormat="1" ht="15" x14ac:dyDescent="0.25">
      <c r="A1917" s="2033" t="s">
        <v>8270</v>
      </c>
      <c r="B1917" s="1631"/>
      <c r="C1917" s="2805" t="s">
        <v>7964</v>
      </c>
      <c r="D1917" s="2805"/>
      <c r="E1917" s="2805"/>
      <c r="F1917" s="1683" t="s">
        <v>5928</v>
      </c>
      <c r="G1917" s="1641"/>
      <c r="H1917" s="1641"/>
      <c r="I1917" s="1641"/>
      <c r="J1917" s="1640"/>
      <c r="K1917" s="1641"/>
      <c r="L1917" s="1654">
        <v>11.22</v>
      </c>
      <c r="M1917" s="1641"/>
      <c r="N1917" s="2039">
        <v>401.12</v>
      </c>
      <c r="EW1917" s="2031"/>
      <c r="EX1917" s="1619"/>
      <c r="EY1917" s="1628"/>
      <c r="EZ1917" s="1628"/>
      <c r="FA1917" s="1628"/>
      <c r="FF1917" s="1864" t="s">
        <v>7964</v>
      </c>
      <c r="FH1917" s="1628"/>
      <c r="FU1917" s="1678"/>
      <c r="FW1917" s="1678"/>
    </row>
    <row r="1918" spans="1:179" s="1484" customFormat="1" ht="15" x14ac:dyDescent="0.25">
      <c r="A1918" s="2033"/>
      <c r="B1918" s="1631"/>
      <c r="C1918" s="2805" t="s">
        <v>7965</v>
      </c>
      <c r="D1918" s="2805"/>
      <c r="E1918" s="2805"/>
      <c r="F1918" s="1683" t="s">
        <v>5928</v>
      </c>
      <c r="G1918" s="1641"/>
      <c r="H1918" s="1641"/>
      <c r="I1918" s="1641"/>
      <c r="J1918" s="1654">
        <v>2.84</v>
      </c>
      <c r="K1918" s="2034">
        <v>4</v>
      </c>
      <c r="L1918" s="1654">
        <v>11.22</v>
      </c>
      <c r="M1918" s="1655">
        <v>35.75</v>
      </c>
      <c r="N1918" s="2039">
        <v>401.12</v>
      </c>
      <c r="EW1918" s="2031"/>
      <c r="EX1918" s="1619"/>
      <c r="EY1918" s="1628"/>
      <c r="EZ1918" s="1628"/>
      <c r="FA1918" s="1628"/>
      <c r="FF1918" s="1864" t="s">
        <v>7965</v>
      </c>
      <c r="FH1918" s="1628"/>
      <c r="FU1918" s="1678"/>
      <c r="FW1918" s="1678"/>
    </row>
    <row r="1919" spans="1:179" s="1484" customFormat="1" ht="15" x14ac:dyDescent="0.25">
      <c r="A1919" s="2033"/>
      <c r="B1919" s="1631"/>
      <c r="C1919" s="2805" t="s">
        <v>867</v>
      </c>
      <c r="D1919" s="2805"/>
      <c r="E1919" s="2805"/>
      <c r="F1919" s="1683"/>
      <c r="G1919" s="1641"/>
      <c r="H1919" s="1641"/>
      <c r="I1919" s="1641"/>
      <c r="J1919" s="1640"/>
      <c r="K1919" s="1641"/>
      <c r="L1919" s="1654">
        <v>125.07</v>
      </c>
      <c r="M1919" s="1641"/>
      <c r="N1919" s="1679">
        <v>4471.26</v>
      </c>
      <c r="EW1919" s="2031"/>
      <c r="EX1919" s="1619"/>
      <c r="EY1919" s="1628"/>
      <c r="EZ1919" s="1628"/>
      <c r="FA1919" s="1628"/>
      <c r="FF1919" s="1864" t="s">
        <v>867</v>
      </c>
      <c r="FH1919" s="1628"/>
      <c r="FU1919" s="1678"/>
      <c r="FW1919" s="1678"/>
    </row>
    <row r="1920" spans="1:179" s="1484" customFormat="1" ht="15" x14ac:dyDescent="0.25">
      <c r="A1920" s="2033"/>
      <c r="B1920" s="1631" t="s">
        <v>8054</v>
      </c>
      <c r="C1920" s="2805" t="s">
        <v>8055</v>
      </c>
      <c r="D1920" s="2805"/>
      <c r="E1920" s="2805"/>
      <c r="F1920" s="1683" t="s">
        <v>636</v>
      </c>
      <c r="G1920" s="2034">
        <v>112</v>
      </c>
      <c r="H1920" s="1641"/>
      <c r="I1920" s="2034">
        <v>112</v>
      </c>
      <c r="J1920" s="1640"/>
      <c r="K1920" s="1641"/>
      <c r="L1920" s="1654">
        <v>140.08000000000001</v>
      </c>
      <c r="M1920" s="1641"/>
      <c r="N1920" s="1679">
        <v>5007.8100000000004</v>
      </c>
      <c r="EW1920" s="2031"/>
      <c r="EX1920" s="1619"/>
      <c r="EY1920" s="1628"/>
      <c r="EZ1920" s="1628"/>
      <c r="FA1920" s="1628"/>
      <c r="FF1920" s="1864" t="s">
        <v>8055</v>
      </c>
      <c r="FH1920" s="1628"/>
      <c r="FU1920" s="1678"/>
      <c r="FW1920" s="1678"/>
    </row>
    <row r="1921" spans="1:179" s="1484" customFormat="1" ht="15" x14ac:dyDescent="0.25">
      <c r="A1921" s="2033"/>
      <c r="B1921" s="1631" t="s">
        <v>8056</v>
      </c>
      <c r="C1921" s="2805" t="s">
        <v>8057</v>
      </c>
      <c r="D1921" s="2805"/>
      <c r="E1921" s="2805"/>
      <c r="F1921" s="1683" t="s">
        <v>636</v>
      </c>
      <c r="G1921" s="2034">
        <v>65</v>
      </c>
      <c r="H1921" s="1641"/>
      <c r="I1921" s="2034">
        <v>65</v>
      </c>
      <c r="J1921" s="1640"/>
      <c r="K1921" s="1641"/>
      <c r="L1921" s="1654">
        <v>81.3</v>
      </c>
      <c r="M1921" s="1641"/>
      <c r="N1921" s="1679">
        <v>2906.32</v>
      </c>
      <c r="EW1921" s="2031"/>
      <c r="EX1921" s="1619"/>
      <c r="EY1921" s="1628"/>
      <c r="EZ1921" s="1628"/>
      <c r="FA1921" s="1628"/>
      <c r="FF1921" s="1864" t="s">
        <v>8057</v>
      </c>
      <c r="FH1921" s="1628"/>
      <c r="FU1921" s="1678"/>
      <c r="FW1921" s="1678"/>
    </row>
    <row r="1922" spans="1:179" s="1484" customFormat="1" ht="15" x14ac:dyDescent="0.25">
      <c r="A1922" s="1650"/>
      <c r="B1922" s="1651"/>
      <c r="C1922" s="2803" t="s">
        <v>872</v>
      </c>
      <c r="D1922" s="2803"/>
      <c r="E1922" s="2803"/>
      <c r="F1922" s="1621"/>
      <c r="G1922" s="1622"/>
      <c r="H1922" s="1622"/>
      <c r="I1922" s="1622"/>
      <c r="J1922" s="1625"/>
      <c r="K1922" s="1622"/>
      <c r="L1922" s="2040">
        <v>421.07</v>
      </c>
      <c r="M1922" s="2037"/>
      <c r="N1922" s="1649">
        <v>12211.1</v>
      </c>
      <c r="EW1922" s="2031"/>
      <c r="EX1922" s="1619"/>
      <c r="EY1922" s="1628"/>
      <c r="EZ1922" s="1628"/>
      <c r="FA1922" s="1628"/>
      <c r="FH1922" s="1628" t="s">
        <v>872</v>
      </c>
      <c r="FU1922" s="1678"/>
      <c r="FW1922" s="1678"/>
    </row>
    <row r="1923" spans="1:179" s="1484" customFormat="1" ht="56.25" x14ac:dyDescent="0.25">
      <c r="A1923" s="1620" t="s">
        <v>8262</v>
      </c>
      <c r="B1923" s="1863" t="s">
        <v>8146</v>
      </c>
      <c r="C1923" s="2803" t="s">
        <v>8147</v>
      </c>
      <c r="D1923" s="2803"/>
      <c r="E1923" s="2803"/>
      <c r="F1923" s="1621" t="s">
        <v>835</v>
      </c>
      <c r="G1923" s="1622">
        <v>2217.0720000000001</v>
      </c>
      <c r="H1923" s="1623">
        <v>1</v>
      </c>
      <c r="I1923" s="2045">
        <v>2217.0720000000001</v>
      </c>
      <c r="J1923" s="2040">
        <v>23.7</v>
      </c>
      <c r="K1923" s="1622"/>
      <c r="L1923" s="1648">
        <v>52544.61</v>
      </c>
      <c r="M1923" s="1687">
        <v>9.14</v>
      </c>
      <c r="N1923" s="1649">
        <v>480257.74</v>
      </c>
      <c r="EW1923" s="2031"/>
      <c r="EX1923" s="1619"/>
      <c r="EY1923" s="1628" t="s">
        <v>8147</v>
      </c>
      <c r="EZ1923" s="1628" t="s">
        <v>588</v>
      </c>
      <c r="FA1923" s="1628" t="s">
        <v>588</v>
      </c>
      <c r="FH1923" s="1628"/>
      <c r="FU1923" s="1678"/>
      <c r="FW1923" s="1678"/>
    </row>
    <row r="1924" spans="1:179" s="1484" customFormat="1" ht="15" x14ac:dyDescent="0.25">
      <c r="A1924" s="1650"/>
      <c r="B1924" s="1651"/>
      <c r="C1924" s="2805" t="s">
        <v>8722</v>
      </c>
      <c r="D1924" s="2805"/>
      <c r="E1924" s="2805"/>
      <c r="F1924" s="2805"/>
      <c r="G1924" s="2805"/>
      <c r="H1924" s="2805"/>
      <c r="I1924" s="2805"/>
      <c r="J1924" s="2805"/>
      <c r="K1924" s="2805"/>
      <c r="L1924" s="2805"/>
      <c r="M1924" s="2805"/>
      <c r="N1924" s="2806"/>
      <c r="EW1924" s="2031"/>
      <c r="EX1924" s="1619"/>
      <c r="EY1924" s="1628"/>
      <c r="EZ1924" s="1628"/>
      <c r="FA1924" s="1628"/>
      <c r="FH1924" s="1628"/>
      <c r="FI1924" s="1864" t="s">
        <v>8722</v>
      </c>
      <c r="FJ1924" s="1864" t="s">
        <v>588</v>
      </c>
      <c r="FK1924" s="1864" t="s">
        <v>588</v>
      </c>
      <c r="FL1924" s="1864" t="s">
        <v>588</v>
      </c>
      <c r="FM1924" s="1864" t="s">
        <v>588</v>
      </c>
      <c r="FN1924" s="1864" t="s">
        <v>588</v>
      </c>
      <c r="FO1924" s="1864" t="s">
        <v>588</v>
      </c>
      <c r="FP1924" s="1864" t="s">
        <v>588</v>
      </c>
      <c r="FQ1924" s="1864" t="s">
        <v>588</v>
      </c>
      <c r="FR1924" s="1864" t="s">
        <v>588</v>
      </c>
      <c r="FS1924" s="1864" t="s">
        <v>588</v>
      </c>
      <c r="FT1924" s="1864" t="s">
        <v>588</v>
      </c>
      <c r="FU1924" s="1678"/>
      <c r="FW1924" s="1678"/>
    </row>
    <row r="1925" spans="1:179" s="1484" customFormat="1" ht="15" x14ac:dyDescent="0.25">
      <c r="A1925" s="1629"/>
      <c r="B1925" s="1862"/>
      <c r="C1925" s="2805" t="s">
        <v>8809</v>
      </c>
      <c r="D1925" s="2805"/>
      <c r="E1925" s="2805"/>
      <c r="F1925" s="2805"/>
      <c r="G1925" s="2805"/>
      <c r="H1925" s="2805"/>
      <c r="I1925" s="2805"/>
      <c r="J1925" s="2805"/>
      <c r="K1925" s="2805"/>
      <c r="L1925" s="2805"/>
      <c r="M1925" s="2805"/>
      <c r="N1925" s="2806"/>
      <c r="EW1925" s="2031"/>
      <c r="EX1925" s="1619"/>
      <c r="EY1925" s="1628"/>
      <c r="EZ1925" s="1628"/>
      <c r="FA1925" s="1628"/>
      <c r="FB1925" s="1864" t="s">
        <v>8809</v>
      </c>
      <c r="FH1925" s="1628"/>
      <c r="FU1925" s="1678"/>
      <c r="FW1925" s="1678"/>
    </row>
    <row r="1926" spans="1:179" s="1484" customFormat="1" ht="15" x14ac:dyDescent="0.25">
      <c r="A1926" s="1650"/>
      <c r="B1926" s="1651"/>
      <c r="C1926" s="2803" t="s">
        <v>872</v>
      </c>
      <c r="D1926" s="2803"/>
      <c r="E1926" s="2803"/>
      <c r="F1926" s="1621"/>
      <c r="G1926" s="1622"/>
      <c r="H1926" s="1622"/>
      <c r="I1926" s="1622"/>
      <c r="J1926" s="1625"/>
      <c r="K1926" s="1622"/>
      <c r="L1926" s="1648">
        <v>52544.61</v>
      </c>
      <c r="M1926" s="2037"/>
      <c r="N1926" s="1649">
        <v>480257.74</v>
      </c>
      <c r="EW1926" s="2031"/>
      <c r="EX1926" s="1619"/>
      <c r="EY1926" s="1628"/>
      <c r="EZ1926" s="1628"/>
      <c r="FA1926" s="1628"/>
      <c r="FH1926" s="1628" t="s">
        <v>872</v>
      </c>
      <c r="FU1926" s="1678"/>
      <c r="FW1926" s="1678"/>
    </row>
    <row r="1927" spans="1:179" s="1484" customFormat="1" ht="33.75" x14ac:dyDescent="0.25">
      <c r="A1927" s="1620" t="s">
        <v>8271</v>
      </c>
      <c r="B1927" s="1863" t="s">
        <v>8148</v>
      </c>
      <c r="C1927" s="2803" t="s">
        <v>8149</v>
      </c>
      <c r="D1927" s="2803"/>
      <c r="E1927" s="2803"/>
      <c r="F1927" s="1621" t="s">
        <v>2555</v>
      </c>
      <c r="G1927" s="1622">
        <v>0.98799999999999999</v>
      </c>
      <c r="H1927" s="1623">
        <v>1</v>
      </c>
      <c r="I1927" s="2045">
        <v>0.98799999999999999</v>
      </c>
      <c r="J1927" s="1625"/>
      <c r="K1927" s="1622"/>
      <c r="L1927" s="1625"/>
      <c r="M1927" s="1622"/>
      <c r="N1927" s="1627"/>
      <c r="EW1927" s="2031"/>
      <c r="EX1927" s="1619"/>
      <c r="EY1927" s="1628" t="s">
        <v>8149</v>
      </c>
      <c r="EZ1927" s="1628" t="s">
        <v>588</v>
      </c>
      <c r="FA1927" s="1628" t="s">
        <v>588</v>
      </c>
      <c r="FH1927" s="1628"/>
      <c r="FU1927" s="1678"/>
      <c r="FW1927" s="1678"/>
    </row>
    <row r="1928" spans="1:179" s="1484" customFormat="1" ht="15" x14ac:dyDescent="0.25">
      <c r="A1928" s="1629"/>
      <c r="B1928" s="1862"/>
      <c r="C1928" s="2805" t="s">
        <v>8764</v>
      </c>
      <c r="D1928" s="2805"/>
      <c r="E1928" s="2805"/>
      <c r="F1928" s="2805"/>
      <c r="G1928" s="2805"/>
      <c r="H1928" s="2805"/>
      <c r="I1928" s="2805"/>
      <c r="J1928" s="2805"/>
      <c r="K1928" s="2805"/>
      <c r="L1928" s="2805"/>
      <c r="M1928" s="2805"/>
      <c r="N1928" s="2806"/>
      <c r="EW1928" s="2031"/>
      <c r="EX1928" s="1619"/>
      <c r="EY1928" s="1628"/>
      <c r="EZ1928" s="1628"/>
      <c r="FA1928" s="1628"/>
      <c r="FB1928" s="1864" t="s">
        <v>8764</v>
      </c>
      <c r="FH1928" s="1628"/>
      <c r="FU1928" s="1678"/>
      <c r="FW1928" s="1678"/>
    </row>
    <row r="1929" spans="1:179" s="1484" customFormat="1" ht="22.5" x14ac:dyDescent="0.25">
      <c r="A1929" s="1630"/>
      <c r="B1929" s="1631" t="s">
        <v>6062</v>
      </c>
      <c r="C1929" s="2809" t="s">
        <v>6063</v>
      </c>
      <c r="D1929" s="2809"/>
      <c r="E1929" s="2809"/>
      <c r="F1929" s="2809"/>
      <c r="G1929" s="2809"/>
      <c r="H1929" s="2809"/>
      <c r="I1929" s="2809"/>
      <c r="J1929" s="2809"/>
      <c r="K1929" s="2809"/>
      <c r="L1929" s="2809"/>
      <c r="M1929" s="2809"/>
      <c r="N1929" s="2810"/>
      <c r="EW1929" s="2031"/>
      <c r="EX1929" s="1619"/>
      <c r="EY1929" s="1628"/>
      <c r="EZ1929" s="1628"/>
      <c r="FA1929" s="1628"/>
      <c r="FC1929" s="1864" t="s">
        <v>6063</v>
      </c>
      <c r="FH1929" s="1628"/>
      <c r="FU1929" s="1678"/>
      <c r="FW1929" s="1678"/>
    </row>
    <row r="1930" spans="1:179" s="1484" customFormat="1" ht="22.5" x14ac:dyDescent="0.25">
      <c r="A1930" s="2033"/>
      <c r="B1930" s="1631" t="s">
        <v>3260</v>
      </c>
      <c r="C1930" s="2805" t="s">
        <v>8636</v>
      </c>
      <c r="D1930" s="2805"/>
      <c r="E1930" s="2805"/>
      <c r="F1930" s="1683" t="s">
        <v>807</v>
      </c>
      <c r="G1930" s="1655">
        <v>3.69</v>
      </c>
      <c r="H1930" s="1641"/>
      <c r="I1930" s="2042">
        <v>3.6457199999999998</v>
      </c>
      <c r="J1930" s="1654">
        <v>9.18</v>
      </c>
      <c r="K1930" s="1655">
        <v>1.25</v>
      </c>
      <c r="L1930" s="1654">
        <v>41.83</v>
      </c>
      <c r="M1930" s="1641"/>
      <c r="N1930" s="1681"/>
      <c r="EW1930" s="2031"/>
      <c r="EX1930" s="1619"/>
      <c r="EY1930" s="1628"/>
      <c r="EZ1930" s="1628"/>
      <c r="FA1930" s="1628"/>
      <c r="FD1930" s="1864" t="s">
        <v>8636</v>
      </c>
      <c r="FH1930" s="1628"/>
      <c r="FU1930" s="1678"/>
      <c r="FW1930" s="1678"/>
    </row>
    <row r="1931" spans="1:179" s="1484" customFormat="1" ht="22.5" x14ac:dyDescent="0.25">
      <c r="A1931" s="2033"/>
      <c r="B1931" s="1631" t="s">
        <v>5008</v>
      </c>
      <c r="C1931" s="2805" t="s">
        <v>5009</v>
      </c>
      <c r="D1931" s="2805"/>
      <c r="E1931" s="2805"/>
      <c r="F1931" s="1683" t="s">
        <v>4994</v>
      </c>
      <c r="G1931" s="1655">
        <v>0.01</v>
      </c>
      <c r="H1931" s="1641"/>
      <c r="I1931" s="2042">
        <v>9.8799999999999999E-3</v>
      </c>
      <c r="J1931" s="1654">
        <v>27.66</v>
      </c>
      <c r="K1931" s="1641"/>
      <c r="L1931" s="1654">
        <v>0.27</v>
      </c>
      <c r="M1931" s="1641"/>
      <c r="N1931" s="1681"/>
      <c r="EW1931" s="2031"/>
      <c r="EX1931" s="1619"/>
      <c r="EY1931" s="1628"/>
      <c r="EZ1931" s="1628"/>
      <c r="FA1931" s="1628"/>
      <c r="FD1931" s="1864" t="s">
        <v>5009</v>
      </c>
      <c r="FH1931" s="1628"/>
      <c r="FU1931" s="1678"/>
      <c r="FW1931" s="1678"/>
    </row>
    <row r="1932" spans="1:179" s="1484" customFormat="1" ht="15" x14ac:dyDescent="0.25">
      <c r="A1932" s="2033"/>
      <c r="B1932" s="1631" t="s">
        <v>821</v>
      </c>
      <c r="C1932" s="2805" t="s">
        <v>822</v>
      </c>
      <c r="D1932" s="2805"/>
      <c r="E1932" s="2805"/>
      <c r="F1932" s="1683" t="s">
        <v>4994</v>
      </c>
      <c r="G1932" s="1655">
        <v>0.04</v>
      </c>
      <c r="H1932" s="1641"/>
      <c r="I1932" s="2042">
        <v>3.952E-2</v>
      </c>
      <c r="J1932" s="1654">
        <v>65.709999999999994</v>
      </c>
      <c r="K1932" s="1641"/>
      <c r="L1932" s="1654">
        <v>2.6</v>
      </c>
      <c r="M1932" s="1641"/>
      <c r="N1932" s="1681"/>
      <c r="EW1932" s="2031"/>
      <c r="EX1932" s="1619"/>
      <c r="EY1932" s="1628"/>
      <c r="EZ1932" s="1628"/>
      <c r="FA1932" s="1628"/>
      <c r="FD1932" s="1864" t="s">
        <v>822</v>
      </c>
      <c r="FH1932" s="1628"/>
      <c r="FU1932" s="1678"/>
      <c r="FW1932" s="1678"/>
    </row>
    <row r="1933" spans="1:179" s="1484" customFormat="1" ht="33.75" x14ac:dyDescent="0.25">
      <c r="A1933" s="2033"/>
      <c r="B1933" s="1631" t="s">
        <v>5029</v>
      </c>
      <c r="C1933" s="2805" t="s">
        <v>5030</v>
      </c>
      <c r="D1933" s="2805"/>
      <c r="E1933" s="2805"/>
      <c r="F1933" s="1683" t="s">
        <v>4994</v>
      </c>
      <c r="G1933" s="1655">
        <v>2.82</v>
      </c>
      <c r="H1933" s="1641"/>
      <c r="I1933" s="2042">
        <v>2.7861600000000002</v>
      </c>
      <c r="J1933" s="1654">
        <v>6.82</v>
      </c>
      <c r="K1933" s="1641"/>
      <c r="L1933" s="1654">
        <v>19</v>
      </c>
      <c r="M1933" s="1641"/>
      <c r="N1933" s="1681"/>
      <c r="EW1933" s="2031"/>
      <c r="EX1933" s="1619"/>
      <c r="EY1933" s="1628"/>
      <c r="EZ1933" s="1628"/>
      <c r="FA1933" s="1628"/>
      <c r="FD1933" s="1864" t="s">
        <v>5030</v>
      </c>
      <c r="FH1933" s="1628"/>
      <c r="FU1933" s="1678"/>
      <c r="FW1933" s="1678"/>
    </row>
    <row r="1934" spans="1:179" s="1484" customFormat="1" ht="15" x14ac:dyDescent="0.25">
      <c r="A1934" s="2033"/>
      <c r="B1934" s="1631" t="s">
        <v>1755</v>
      </c>
      <c r="C1934" s="2805" t="s">
        <v>2634</v>
      </c>
      <c r="D1934" s="2805"/>
      <c r="E1934" s="2805"/>
      <c r="F1934" s="1683" t="s">
        <v>832</v>
      </c>
      <c r="G1934" s="1655">
        <v>0.01</v>
      </c>
      <c r="H1934" s="1641"/>
      <c r="I1934" s="2042">
        <v>9.8799999999999999E-3</v>
      </c>
      <c r="J1934" s="1654">
        <v>2.44</v>
      </c>
      <c r="K1934" s="1641"/>
      <c r="L1934" s="1654">
        <v>0.02</v>
      </c>
      <c r="M1934" s="1641"/>
      <c r="N1934" s="1681"/>
      <c r="EW1934" s="2031"/>
      <c r="EX1934" s="1619"/>
      <c r="EY1934" s="1628"/>
      <c r="EZ1934" s="1628"/>
      <c r="FA1934" s="1628"/>
      <c r="FD1934" s="1864" t="s">
        <v>2634</v>
      </c>
      <c r="FH1934" s="1628"/>
      <c r="FU1934" s="1678"/>
      <c r="FW1934" s="1678"/>
    </row>
    <row r="1935" spans="1:179" s="1484" customFormat="1" ht="15" x14ac:dyDescent="0.25">
      <c r="A1935" s="2033"/>
      <c r="B1935" s="1631" t="s">
        <v>4922</v>
      </c>
      <c r="C1935" s="2805" t="s">
        <v>8707</v>
      </c>
      <c r="D1935" s="2805"/>
      <c r="E1935" s="2805"/>
      <c r="F1935" s="1683" t="s">
        <v>835</v>
      </c>
      <c r="G1935" s="2034">
        <v>1</v>
      </c>
      <c r="H1935" s="1641"/>
      <c r="I1935" s="2046">
        <v>0.98799999999999999</v>
      </c>
      <c r="J1935" s="1654">
        <v>1.82</v>
      </c>
      <c r="K1935" s="1641"/>
      <c r="L1935" s="1654">
        <v>1.8</v>
      </c>
      <c r="M1935" s="1641"/>
      <c r="N1935" s="1681"/>
      <c r="EW1935" s="2031"/>
      <c r="EX1935" s="1619"/>
      <c r="EY1935" s="1628"/>
      <c r="EZ1935" s="1628"/>
      <c r="FA1935" s="1628"/>
      <c r="FD1935" s="1864" t="s">
        <v>8707</v>
      </c>
      <c r="FH1935" s="1628"/>
      <c r="FU1935" s="1678"/>
      <c r="FW1935" s="1678"/>
    </row>
    <row r="1936" spans="1:179" s="1484" customFormat="1" ht="15" x14ac:dyDescent="0.25">
      <c r="A1936" s="2032"/>
      <c r="B1936" s="1631" t="s">
        <v>190</v>
      </c>
      <c r="C1936" s="2805" t="s">
        <v>2523</v>
      </c>
      <c r="D1936" s="2805"/>
      <c r="E1936" s="2805"/>
      <c r="F1936" s="1683"/>
      <c r="G1936" s="1641"/>
      <c r="H1936" s="1641"/>
      <c r="I1936" s="1641"/>
      <c r="J1936" s="1654">
        <v>33.869999999999997</v>
      </c>
      <c r="K1936" s="1655">
        <v>1.25</v>
      </c>
      <c r="L1936" s="1654">
        <v>41.83</v>
      </c>
      <c r="M1936" s="1655">
        <v>35.75</v>
      </c>
      <c r="N1936" s="1679">
        <v>1495.42</v>
      </c>
      <c r="EW1936" s="2031"/>
      <c r="EX1936" s="1619"/>
      <c r="EY1936" s="1628"/>
      <c r="EZ1936" s="1628"/>
      <c r="FA1936" s="1628"/>
      <c r="FE1936" s="1864" t="s">
        <v>2523</v>
      </c>
      <c r="FH1936" s="1628"/>
      <c r="FU1936" s="1678"/>
      <c r="FW1936" s="1678"/>
    </row>
    <row r="1937" spans="1:179" s="1484" customFormat="1" ht="15" x14ac:dyDescent="0.25">
      <c r="A1937" s="2032"/>
      <c r="B1937" s="1631" t="s">
        <v>639</v>
      </c>
      <c r="C1937" s="2805" t="s">
        <v>697</v>
      </c>
      <c r="D1937" s="2805"/>
      <c r="E1937" s="2805"/>
      <c r="F1937" s="1683"/>
      <c r="G1937" s="1641"/>
      <c r="H1937" s="1641"/>
      <c r="I1937" s="1641"/>
      <c r="J1937" s="1654">
        <v>22.14</v>
      </c>
      <c r="K1937" s="1641"/>
      <c r="L1937" s="1654">
        <v>21.87</v>
      </c>
      <c r="M1937" s="1655">
        <v>11.97</v>
      </c>
      <c r="N1937" s="2039">
        <v>261.77999999999997</v>
      </c>
      <c r="EW1937" s="2031"/>
      <c r="EX1937" s="1619"/>
      <c r="EY1937" s="1628"/>
      <c r="EZ1937" s="1628"/>
      <c r="FA1937" s="1628"/>
      <c r="FE1937" s="1864" t="s">
        <v>697</v>
      </c>
      <c r="FH1937" s="1628"/>
      <c r="FU1937" s="1678"/>
      <c r="FW1937" s="1678"/>
    </row>
    <row r="1938" spans="1:179" s="1484" customFormat="1" ht="15" x14ac:dyDescent="0.25">
      <c r="A1938" s="2032"/>
      <c r="B1938" s="1631" t="s">
        <v>640</v>
      </c>
      <c r="C1938" s="2805" t="s">
        <v>2500</v>
      </c>
      <c r="D1938" s="2805"/>
      <c r="E1938" s="2805"/>
      <c r="F1938" s="1683"/>
      <c r="G1938" s="1641"/>
      <c r="H1938" s="1641"/>
      <c r="I1938" s="1641"/>
      <c r="J1938" s="1654">
        <v>0.57999999999999996</v>
      </c>
      <c r="K1938" s="1641"/>
      <c r="L1938" s="1654">
        <v>0.56999999999999995</v>
      </c>
      <c r="M1938" s="1655">
        <v>35.75</v>
      </c>
      <c r="N1938" s="2039">
        <v>20.38</v>
      </c>
      <c r="EW1938" s="2031"/>
      <c r="EX1938" s="1619"/>
      <c r="EY1938" s="1628"/>
      <c r="EZ1938" s="1628"/>
      <c r="FA1938" s="1628"/>
      <c r="FE1938" s="1864" t="s">
        <v>2500</v>
      </c>
      <c r="FH1938" s="1628"/>
      <c r="FU1938" s="1678"/>
      <c r="FW1938" s="1678"/>
    </row>
    <row r="1939" spans="1:179" s="1484" customFormat="1" ht="15" x14ac:dyDescent="0.25">
      <c r="A1939" s="2032"/>
      <c r="B1939" s="1631" t="s">
        <v>232</v>
      </c>
      <c r="C1939" s="2805" t="s">
        <v>829</v>
      </c>
      <c r="D1939" s="2805"/>
      <c r="E1939" s="2805"/>
      <c r="F1939" s="1683"/>
      <c r="G1939" s="1641"/>
      <c r="H1939" s="1641"/>
      <c r="I1939" s="1641"/>
      <c r="J1939" s="1654">
        <v>1.84</v>
      </c>
      <c r="K1939" s="1641"/>
      <c r="L1939" s="1654">
        <v>1.82</v>
      </c>
      <c r="M1939" s="1655">
        <v>9.14</v>
      </c>
      <c r="N1939" s="2039">
        <v>16.63</v>
      </c>
      <c r="EW1939" s="2031"/>
      <c r="EX1939" s="1619"/>
      <c r="EY1939" s="1628"/>
      <c r="EZ1939" s="1628"/>
      <c r="FA1939" s="1628"/>
      <c r="FE1939" s="1864" t="s">
        <v>829</v>
      </c>
      <c r="FH1939" s="1628"/>
      <c r="FU1939" s="1678"/>
      <c r="FW1939" s="1678"/>
    </row>
    <row r="1940" spans="1:179" s="1484" customFormat="1" ht="15" x14ac:dyDescent="0.25">
      <c r="A1940" s="2033"/>
      <c r="B1940" s="1631"/>
      <c r="C1940" s="2805" t="s">
        <v>2524</v>
      </c>
      <c r="D1940" s="2805"/>
      <c r="E1940" s="2805"/>
      <c r="F1940" s="1683" t="s">
        <v>807</v>
      </c>
      <c r="G1940" s="1655">
        <v>3.69</v>
      </c>
      <c r="H1940" s="1641"/>
      <c r="I1940" s="2042">
        <v>3.6457199999999998</v>
      </c>
      <c r="J1940" s="1640"/>
      <c r="K1940" s="1641"/>
      <c r="L1940" s="1640"/>
      <c r="M1940" s="1641"/>
      <c r="N1940" s="1681"/>
      <c r="EW1940" s="2031"/>
      <c r="EX1940" s="1619"/>
      <c r="EY1940" s="1628"/>
      <c r="EZ1940" s="1628"/>
      <c r="FA1940" s="1628"/>
      <c r="FF1940" s="1864" t="s">
        <v>2524</v>
      </c>
      <c r="FH1940" s="1628"/>
      <c r="FU1940" s="1678"/>
      <c r="FW1940" s="1678"/>
    </row>
    <row r="1941" spans="1:179" s="1484" customFormat="1" ht="15" x14ac:dyDescent="0.25">
      <c r="A1941" s="2033"/>
      <c r="B1941" s="1631"/>
      <c r="C1941" s="2805" t="s">
        <v>2501</v>
      </c>
      <c r="D1941" s="2805"/>
      <c r="E1941" s="2805"/>
      <c r="F1941" s="1683" t="s">
        <v>807</v>
      </c>
      <c r="G1941" s="1655">
        <v>0.05</v>
      </c>
      <c r="H1941" s="1641"/>
      <c r="I1941" s="2035">
        <v>4.9399999999999999E-2</v>
      </c>
      <c r="J1941" s="1640"/>
      <c r="K1941" s="1641"/>
      <c r="L1941" s="1640"/>
      <c r="M1941" s="1641"/>
      <c r="N1941" s="1681"/>
      <c r="EW1941" s="2031"/>
      <c r="EX1941" s="1619"/>
      <c r="EY1941" s="1628"/>
      <c r="EZ1941" s="1628"/>
      <c r="FA1941" s="1628"/>
      <c r="FF1941" s="1864" t="s">
        <v>2501</v>
      </c>
      <c r="FH1941" s="1628"/>
      <c r="FU1941" s="1678"/>
      <c r="FW1941" s="1678"/>
    </row>
    <row r="1942" spans="1:179" s="1484" customFormat="1" ht="15" x14ac:dyDescent="0.25">
      <c r="A1942" s="2032"/>
      <c r="B1942" s="1631"/>
      <c r="C1942" s="2917" t="s">
        <v>2502</v>
      </c>
      <c r="D1942" s="2917"/>
      <c r="E1942" s="2917"/>
      <c r="F1942" s="2036"/>
      <c r="G1942" s="2037"/>
      <c r="H1942" s="2037"/>
      <c r="I1942" s="2037"/>
      <c r="J1942" s="2044">
        <v>57.85</v>
      </c>
      <c r="K1942" s="2037"/>
      <c r="L1942" s="2044">
        <v>65.52</v>
      </c>
      <c r="M1942" s="2037"/>
      <c r="N1942" s="2068">
        <v>1773.83</v>
      </c>
      <c r="EW1942" s="2031"/>
      <c r="EX1942" s="1619"/>
      <c r="EY1942" s="1628"/>
      <c r="EZ1942" s="1628"/>
      <c r="FA1942" s="1628"/>
      <c r="FG1942" s="1864" t="s">
        <v>2502</v>
      </c>
      <c r="FH1942" s="1628"/>
      <c r="FU1942" s="1678"/>
      <c r="FW1942" s="1678"/>
    </row>
    <row r="1943" spans="1:179" s="1484" customFormat="1" ht="15" x14ac:dyDescent="0.25">
      <c r="A1943" s="2033" t="s">
        <v>8272</v>
      </c>
      <c r="B1943" s="1631"/>
      <c r="C1943" s="2805" t="s">
        <v>7964</v>
      </c>
      <c r="D1943" s="2805"/>
      <c r="E1943" s="2805"/>
      <c r="F1943" s="1683" t="s">
        <v>5928</v>
      </c>
      <c r="G1943" s="1641"/>
      <c r="H1943" s="1641"/>
      <c r="I1943" s="1641"/>
      <c r="J1943" s="1640"/>
      <c r="K1943" s="1641"/>
      <c r="L1943" s="1654">
        <v>0.14000000000000001</v>
      </c>
      <c r="M1943" s="1641"/>
      <c r="N1943" s="2039">
        <v>5.01</v>
      </c>
      <c r="EW1943" s="2031"/>
      <c r="EX1943" s="1619"/>
      <c r="EY1943" s="1628"/>
      <c r="EZ1943" s="1628"/>
      <c r="FA1943" s="1628"/>
      <c r="FF1943" s="1864" t="s">
        <v>7964</v>
      </c>
      <c r="FH1943" s="1628"/>
      <c r="FU1943" s="1678"/>
      <c r="FW1943" s="1678"/>
    </row>
    <row r="1944" spans="1:179" s="1484" customFormat="1" ht="15" x14ac:dyDescent="0.25">
      <c r="A1944" s="2033"/>
      <c r="B1944" s="1631"/>
      <c r="C1944" s="2805" t="s">
        <v>7965</v>
      </c>
      <c r="D1944" s="2805"/>
      <c r="E1944" s="2805"/>
      <c r="F1944" s="1683" t="s">
        <v>5928</v>
      </c>
      <c r="G1944" s="1641"/>
      <c r="H1944" s="1641"/>
      <c r="I1944" s="1641"/>
      <c r="J1944" s="1654">
        <v>0.57999999999999996</v>
      </c>
      <c r="K1944" s="1655">
        <v>0.25</v>
      </c>
      <c r="L1944" s="1654">
        <v>0.14000000000000001</v>
      </c>
      <c r="M1944" s="1655">
        <v>35.75</v>
      </c>
      <c r="N1944" s="2039">
        <v>5.01</v>
      </c>
      <c r="EW1944" s="2031"/>
      <c r="EX1944" s="1619"/>
      <c r="EY1944" s="1628"/>
      <c r="EZ1944" s="1628"/>
      <c r="FA1944" s="1628"/>
      <c r="FF1944" s="1864" t="s">
        <v>7965</v>
      </c>
      <c r="FH1944" s="1628"/>
      <c r="FU1944" s="1678"/>
      <c r="FW1944" s="1678"/>
    </row>
    <row r="1945" spans="1:179" s="1484" customFormat="1" ht="15" x14ac:dyDescent="0.25">
      <c r="A1945" s="2033"/>
      <c r="B1945" s="1631"/>
      <c r="C1945" s="2805" t="s">
        <v>867</v>
      </c>
      <c r="D1945" s="2805"/>
      <c r="E1945" s="2805"/>
      <c r="F1945" s="1683"/>
      <c r="G1945" s="1641"/>
      <c r="H1945" s="1641"/>
      <c r="I1945" s="1641"/>
      <c r="J1945" s="1640"/>
      <c r="K1945" s="1641"/>
      <c r="L1945" s="1654">
        <v>42.54</v>
      </c>
      <c r="M1945" s="1641"/>
      <c r="N1945" s="1679">
        <v>1520.81</v>
      </c>
      <c r="EW1945" s="2031"/>
      <c r="EX1945" s="1619"/>
      <c r="EY1945" s="1628"/>
      <c r="EZ1945" s="1628"/>
      <c r="FA1945" s="1628"/>
      <c r="FF1945" s="1864" t="s">
        <v>867</v>
      </c>
      <c r="FH1945" s="1628"/>
      <c r="FU1945" s="1678"/>
      <c r="FW1945" s="1678"/>
    </row>
    <row r="1946" spans="1:179" s="1484" customFormat="1" ht="15" x14ac:dyDescent="0.25">
      <c r="A1946" s="2033"/>
      <c r="B1946" s="1631" t="s">
        <v>7966</v>
      </c>
      <c r="C1946" s="2805" t="s">
        <v>7967</v>
      </c>
      <c r="D1946" s="2805"/>
      <c r="E1946" s="2805"/>
      <c r="F1946" s="1683" t="s">
        <v>636</v>
      </c>
      <c r="G1946" s="2034">
        <v>100</v>
      </c>
      <c r="H1946" s="1641"/>
      <c r="I1946" s="2034">
        <v>100</v>
      </c>
      <c r="J1946" s="1640"/>
      <c r="K1946" s="1641"/>
      <c r="L1946" s="1654">
        <v>42.54</v>
      </c>
      <c r="M1946" s="1641"/>
      <c r="N1946" s="1679">
        <v>1520.81</v>
      </c>
      <c r="EW1946" s="2031"/>
      <c r="EX1946" s="1619"/>
      <c r="EY1946" s="1628"/>
      <c r="EZ1946" s="1628"/>
      <c r="FA1946" s="1628"/>
      <c r="FF1946" s="1864" t="s">
        <v>7967</v>
      </c>
      <c r="FH1946" s="1628"/>
      <c r="FU1946" s="1678"/>
      <c r="FW1946" s="1678"/>
    </row>
    <row r="1947" spans="1:179" s="1484" customFormat="1" ht="15" x14ac:dyDescent="0.25">
      <c r="A1947" s="2033"/>
      <c r="B1947" s="1631" t="s">
        <v>7968</v>
      </c>
      <c r="C1947" s="2805" t="s">
        <v>7969</v>
      </c>
      <c r="D1947" s="2805"/>
      <c r="E1947" s="2805"/>
      <c r="F1947" s="1683" t="s">
        <v>636</v>
      </c>
      <c r="G1947" s="2034">
        <v>49</v>
      </c>
      <c r="H1947" s="1641"/>
      <c r="I1947" s="2034">
        <v>49</v>
      </c>
      <c r="J1947" s="1640"/>
      <c r="K1947" s="1641"/>
      <c r="L1947" s="1654">
        <v>20.84</v>
      </c>
      <c r="M1947" s="1641"/>
      <c r="N1947" s="2039">
        <v>745.2</v>
      </c>
      <c r="EW1947" s="2031"/>
      <c r="EX1947" s="1619"/>
      <c r="EY1947" s="1628"/>
      <c r="EZ1947" s="1628"/>
      <c r="FA1947" s="1628"/>
      <c r="FF1947" s="1864" t="s">
        <v>7969</v>
      </c>
      <c r="FH1947" s="1628"/>
      <c r="FU1947" s="1678"/>
      <c r="FW1947" s="1678"/>
    </row>
    <row r="1948" spans="1:179" s="1484" customFormat="1" ht="15" x14ac:dyDescent="0.25">
      <c r="A1948" s="1650"/>
      <c r="B1948" s="1651"/>
      <c r="C1948" s="2803" t="s">
        <v>872</v>
      </c>
      <c r="D1948" s="2803"/>
      <c r="E1948" s="2803"/>
      <c r="F1948" s="1621"/>
      <c r="G1948" s="1622"/>
      <c r="H1948" s="1622"/>
      <c r="I1948" s="1622"/>
      <c r="J1948" s="1625"/>
      <c r="K1948" s="1622"/>
      <c r="L1948" s="2040">
        <v>129.04</v>
      </c>
      <c r="M1948" s="2037"/>
      <c r="N1948" s="1649">
        <v>4044.85</v>
      </c>
      <c r="EW1948" s="2031"/>
      <c r="EX1948" s="1619"/>
      <c r="EY1948" s="1628"/>
      <c r="EZ1948" s="1628"/>
      <c r="FA1948" s="1628"/>
      <c r="FH1948" s="1628" t="s">
        <v>872</v>
      </c>
      <c r="FU1948" s="1678"/>
      <c r="FW1948" s="1678"/>
    </row>
    <row r="1949" spans="1:179" s="1484" customFormat="1" ht="33.75" x14ac:dyDescent="0.25">
      <c r="A1949" s="1620" t="s">
        <v>8273</v>
      </c>
      <c r="B1949" s="1863" t="s">
        <v>8062</v>
      </c>
      <c r="C1949" s="2803" t="s">
        <v>4978</v>
      </c>
      <c r="D1949" s="2803"/>
      <c r="E1949" s="2803"/>
      <c r="F1949" s="1621" t="s">
        <v>835</v>
      </c>
      <c r="G1949" s="1622">
        <v>13.634399999999999</v>
      </c>
      <c r="H1949" s="1623">
        <v>1</v>
      </c>
      <c r="I1949" s="2041">
        <v>13.634399999999999</v>
      </c>
      <c r="J1949" s="2040">
        <v>13.08</v>
      </c>
      <c r="K1949" s="1622"/>
      <c r="L1949" s="2040">
        <v>178.34</v>
      </c>
      <c r="M1949" s="1687">
        <v>9.14</v>
      </c>
      <c r="N1949" s="1649">
        <v>1630.03</v>
      </c>
      <c r="EW1949" s="2031"/>
      <c r="EX1949" s="1619"/>
      <c r="EY1949" s="1628" t="s">
        <v>4978</v>
      </c>
      <c r="EZ1949" s="1628" t="s">
        <v>588</v>
      </c>
      <c r="FA1949" s="1628" t="s">
        <v>588</v>
      </c>
      <c r="FH1949" s="1628"/>
      <c r="FU1949" s="1678"/>
      <c r="FW1949" s="1678"/>
    </row>
    <row r="1950" spans="1:179" s="1484" customFormat="1" ht="15" x14ac:dyDescent="0.25">
      <c r="A1950" s="1650"/>
      <c r="B1950" s="1651"/>
      <c r="C1950" s="2805" t="s">
        <v>8689</v>
      </c>
      <c r="D1950" s="2805"/>
      <c r="E1950" s="2805"/>
      <c r="F1950" s="2805"/>
      <c r="G1950" s="2805"/>
      <c r="H1950" s="2805"/>
      <c r="I1950" s="2805"/>
      <c r="J1950" s="2805"/>
      <c r="K1950" s="2805"/>
      <c r="L1950" s="2805"/>
      <c r="M1950" s="2805"/>
      <c r="N1950" s="2806"/>
      <c r="EW1950" s="2031"/>
      <c r="EX1950" s="1619"/>
      <c r="EY1950" s="1628"/>
      <c r="EZ1950" s="1628"/>
      <c r="FA1950" s="1628"/>
      <c r="FH1950" s="1628"/>
      <c r="FI1950" s="1864" t="s">
        <v>8689</v>
      </c>
      <c r="FJ1950" s="1864" t="s">
        <v>588</v>
      </c>
      <c r="FK1950" s="1864" t="s">
        <v>588</v>
      </c>
      <c r="FL1950" s="1864" t="s">
        <v>588</v>
      </c>
      <c r="FM1950" s="1864" t="s">
        <v>588</v>
      </c>
      <c r="FN1950" s="1864" t="s">
        <v>588</v>
      </c>
      <c r="FO1950" s="1864" t="s">
        <v>588</v>
      </c>
      <c r="FP1950" s="1864" t="s">
        <v>588</v>
      </c>
      <c r="FQ1950" s="1864" t="s">
        <v>588</v>
      </c>
      <c r="FR1950" s="1864" t="s">
        <v>588</v>
      </c>
      <c r="FS1950" s="1864" t="s">
        <v>588</v>
      </c>
      <c r="FT1950" s="1864" t="s">
        <v>588</v>
      </c>
      <c r="FU1950" s="1678"/>
      <c r="FW1950" s="1678"/>
    </row>
    <row r="1951" spans="1:179" s="1484" customFormat="1" ht="15" x14ac:dyDescent="0.25">
      <c r="A1951" s="1650"/>
      <c r="B1951" s="1651"/>
      <c r="C1951" s="2803" t="s">
        <v>872</v>
      </c>
      <c r="D1951" s="2803"/>
      <c r="E1951" s="2803"/>
      <c r="F1951" s="1621"/>
      <c r="G1951" s="1622"/>
      <c r="H1951" s="1622"/>
      <c r="I1951" s="1622"/>
      <c r="J1951" s="1625"/>
      <c r="K1951" s="1622"/>
      <c r="L1951" s="2040">
        <v>178.34</v>
      </c>
      <c r="M1951" s="2037"/>
      <c r="N1951" s="1649">
        <v>1630.03</v>
      </c>
      <c r="EW1951" s="2031"/>
      <c r="EX1951" s="1619"/>
      <c r="EY1951" s="1628"/>
      <c r="EZ1951" s="1628"/>
      <c r="FA1951" s="1628"/>
      <c r="FH1951" s="1628" t="s">
        <v>872</v>
      </c>
      <c r="FU1951" s="1678"/>
      <c r="FW1951" s="1678"/>
    </row>
    <row r="1952" spans="1:179" s="1484" customFormat="1" ht="15" x14ac:dyDescent="0.25">
      <c r="A1952" s="2811" t="s">
        <v>8274</v>
      </c>
      <c r="B1952" s="2812"/>
      <c r="C1952" s="2812"/>
      <c r="D1952" s="2812"/>
      <c r="E1952" s="2812"/>
      <c r="F1952" s="2812"/>
      <c r="G1952" s="2812"/>
      <c r="H1952" s="2812"/>
      <c r="I1952" s="2812"/>
      <c r="J1952" s="2812"/>
      <c r="K1952" s="2812"/>
      <c r="L1952" s="2812"/>
      <c r="M1952" s="2812"/>
      <c r="N1952" s="2813"/>
      <c r="EW1952" s="2031"/>
      <c r="EX1952" s="1619" t="s">
        <v>8274</v>
      </c>
      <c r="EY1952" s="1628"/>
      <c r="EZ1952" s="1628"/>
      <c r="FA1952" s="1628"/>
      <c r="FH1952" s="1628"/>
      <c r="FU1952" s="1678"/>
      <c r="FW1952" s="1678"/>
    </row>
    <row r="1953" spans="1:179" s="1484" customFormat="1" ht="22.5" x14ac:dyDescent="0.25">
      <c r="A1953" s="1620" t="s">
        <v>8275</v>
      </c>
      <c r="B1953" s="1863" t="s">
        <v>8276</v>
      </c>
      <c r="C1953" s="2803" t="s">
        <v>8277</v>
      </c>
      <c r="D1953" s="2803"/>
      <c r="E1953" s="2803"/>
      <c r="F1953" s="1621" t="s">
        <v>832</v>
      </c>
      <c r="G1953" s="1622">
        <v>1.6319999999999999</v>
      </c>
      <c r="H1953" s="1623">
        <v>1</v>
      </c>
      <c r="I1953" s="2045">
        <v>1.6319999999999999</v>
      </c>
      <c r="J1953" s="1625"/>
      <c r="K1953" s="1622"/>
      <c r="L1953" s="1625"/>
      <c r="M1953" s="1622"/>
      <c r="N1953" s="1627"/>
      <c r="EW1953" s="2031"/>
      <c r="EX1953" s="1619"/>
      <c r="EY1953" s="1628" t="s">
        <v>8277</v>
      </c>
      <c r="EZ1953" s="1628" t="s">
        <v>588</v>
      </c>
      <c r="FA1953" s="1628" t="s">
        <v>588</v>
      </c>
      <c r="FH1953" s="1628"/>
      <c r="FU1953" s="1678"/>
      <c r="FW1953" s="1678"/>
    </row>
    <row r="1954" spans="1:179" s="1484" customFormat="1" ht="15" x14ac:dyDescent="0.25">
      <c r="A1954" s="1629"/>
      <c r="B1954" s="1862"/>
      <c r="C1954" s="2805" t="s">
        <v>8808</v>
      </c>
      <c r="D1954" s="2805"/>
      <c r="E1954" s="2805"/>
      <c r="F1954" s="2805"/>
      <c r="G1954" s="2805"/>
      <c r="H1954" s="2805"/>
      <c r="I1954" s="2805"/>
      <c r="J1954" s="2805"/>
      <c r="K1954" s="2805"/>
      <c r="L1954" s="2805"/>
      <c r="M1954" s="2805"/>
      <c r="N1954" s="2806"/>
      <c r="EW1954" s="2031"/>
      <c r="EX1954" s="1619"/>
      <c r="EY1954" s="1628"/>
      <c r="EZ1954" s="1628"/>
      <c r="FA1954" s="1628"/>
      <c r="FB1954" s="1864" t="s">
        <v>8808</v>
      </c>
      <c r="FH1954" s="1628"/>
      <c r="FU1954" s="1678"/>
      <c r="FW1954" s="1678"/>
    </row>
    <row r="1955" spans="1:179" s="1484" customFormat="1" ht="22.5" x14ac:dyDescent="0.25">
      <c r="A1955" s="1630"/>
      <c r="B1955" s="1631" t="s">
        <v>6062</v>
      </c>
      <c r="C1955" s="2809" t="s">
        <v>6063</v>
      </c>
      <c r="D1955" s="2809"/>
      <c r="E1955" s="2809"/>
      <c r="F1955" s="2809"/>
      <c r="G1955" s="2809"/>
      <c r="H1955" s="2809"/>
      <c r="I1955" s="2809"/>
      <c r="J1955" s="2809"/>
      <c r="K1955" s="2809"/>
      <c r="L1955" s="2809"/>
      <c r="M1955" s="2809"/>
      <c r="N1955" s="2810"/>
      <c r="EW1955" s="2031"/>
      <c r="EX1955" s="1619"/>
      <c r="EY1955" s="1628"/>
      <c r="EZ1955" s="1628"/>
      <c r="FA1955" s="1628"/>
      <c r="FC1955" s="1864" t="s">
        <v>6063</v>
      </c>
      <c r="FH1955" s="1628"/>
      <c r="FU1955" s="1678"/>
      <c r="FW1955" s="1678"/>
    </row>
    <row r="1956" spans="1:179" s="1484" customFormat="1" ht="22.5" x14ac:dyDescent="0.25">
      <c r="A1956" s="2033"/>
      <c r="B1956" s="1631" t="s">
        <v>1729</v>
      </c>
      <c r="C1956" s="2805" t="s">
        <v>8712</v>
      </c>
      <c r="D1956" s="2805"/>
      <c r="E1956" s="2805"/>
      <c r="F1956" s="1683" t="s">
        <v>807</v>
      </c>
      <c r="G1956" s="1953">
        <v>2.2000000000000002</v>
      </c>
      <c r="H1956" s="1641"/>
      <c r="I1956" s="2035">
        <v>3.5903999999999998</v>
      </c>
      <c r="J1956" s="1654">
        <v>8.5299999999999994</v>
      </c>
      <c r="K1956" s="1655">
        <v>1.25</v>
      </c>
      <c r="L1956" s="1654">
        <v>38.28</v>
      </c>
      <c r="M1956" s="1641"/>
      <c r="N1956" s="1681"/>
      <c r="EW1956" s="2031"/>
      <c r="EX1956" s="1619"/>
      <c r="EY1956" s="1628"/>
      <c r="EZ1956" s="1628"/>
      <c r="FA1956" s="1628"/>
      <c r="FD1956" s="1864" t="s">
        <v>8712</v>
      </c>
      <c r="FH1956" s="1628"/>
      <c r="FU1956" s="1678"/>
      <c r="FW1956" s="1678"/>
    </row>
    <row r="1957" spans="1:179" s="1484" customFormat="1" ht="15" x14ac:dyDescent="0.25">
      <c r="A1957" s="2033"/>
      <c r="B1957" s="1631" t="s">
        <v>1741</v>
      </c>
      <c r="C1957" s="2805" t="s">
        <v>8697</v>
      </c>
      <c r="D1957" s="2805"/>
      <c r="E1957" s="2805"/>
      <c r="F1957" s="1683" t="s">
        <v>4994</v>
      </c>
      <c r="G1957" s="1655">
        <v>0.27</v>
      </c>
      <c r="H1957" s="1641"/>
      <c r="I1957" s="2042">
        <v>0.44063999999999998</v>
      </c>
      <c r="J1957" s="1654">
        <v>89.99</v>
      </c>
      <c r="K1957" s="1641"/>
      <c r="L1957" s="1654">
        <v>39.65</v>
      </c>
      <c r="M1957" s="1641"/>
      <c r="N1957" s="1681"/>
      <c r="EW1957" s="2031"/>
      <c r="EX1957" s="1619"/>
      <c r="EY1957" s="1628"/>
      <c r="EZ1957" s="1628"/>
      <c r="FA1957" s="1628"/>
      <c r="FD1957" s="1864" t="s">
        <v>8697</v>
      </c>
      <c r="FH1957" s="1628"/>
      <c r="FU1957" s="1678"/>
      <c r="FW1957" s="1678"/>
    </row>
    <row r="1958" spans="1:179" s="1484" customFormat="1" ht="22.5" x14ac:dyDescent="0.25">
      <c r="A1958" s="2033"/>
      <c r="B1958" s="1631" t="s">
        <v>5010</v>
      </c>
      <c r="C1958" s="2805" t="s">
        <v>5011</v>
      </c>
      <c r="D1958" s="2805"/>
      <c r="E1958" s="2805"/>
      <c r="F1958" s="1683" t="s">
        <v>4994</v>
      </c>
      <c r="G1958" s="1655">
        <v>0.18</v>
      </c>
      <c r="H1958" s="1641"/>
      <c r="I1958" s="2042">
        <v>0.29376000000000002</v>
      </c>
      <c r="J1958" s="1654">
        <v>31.26</v>
      </c>
      <c r="K1958" s="1641"/>
      <c r="L1958" s="1654">
        <v>9.18</v>
      </c>
      <c r="M1958" s="1641"/>
      <c r="N1958" s="1681"/>
      <c r="EW1958" s="2031"/>
      <c r="EX1958" s="1619"/>
      <c r="EY1958" s="1628"/>
      <c r="EZ1958" s="1628"/>
      <c r="FA1958" s="1628"/>
      <c r="FD1958" s="1864" t="s">
        <v>5011</v>
      </c>
      <c r="FH1958" s="1628"/>
      <c r="FU1958" s="1678"/>
      <c r="FW1958" s="1678"/>
    </row>
    <row r="1959" spans="1:179" s="1484" customFormat="1" ht="15" x14ac:dyDescent="0.25">
      <c r="A1959" s="2032"/>
      <c r="B1959" s="1631" t="s">
        <v>190</v>
      </c>
      <c r="C1959" s="2805" t="s">
        <v>2523</v>
      </c>
      <c r="D1959" s="2805"/>
      <c r="E1959" s="2805"/>
      <c r="F1959" s="1683"/>
      <c r="G1959" s="1641"/>
      <c r="H1959" s="1641"/>
      <c r="I1959" s="1641"/>
      <c r="J1959" s="1654">
        <v>18.77</v>
      </c>
      <c r="K1959" s="1655">
        <v>1.25</v>
      </c>
      <c r="L1959" s="1654">
        <v>38.29</v>
      </c>
      <c r="M1959" s="1655">
        <v>35.75</v>
      </c>
      <c r="N1959" s="1679">
        <v>1368.87</v>
      </c>
      <c r="EW1959" s="2031"/>
      <c r="EX1959" s="1619"/>
      <c r="EY1959" s="1628"/>
      <c r="EZ1959" s="1628"/>
      <c r="FA1959" s="1628"/>
      <c r="FE1959" s="1864" t="s">
        <v>2523</v>
      </c>
      <c r="FH1959" s="1628"/>
      <c r="FU1959" s="1678"/>
      <c r="FW1959" s="1678"/>
    </row>
    <row r="1960" spans="1:179" s="1484" customFormat="1" ht="15" x14ac:dyDescent="0.25">
      <c r="A1960" s="2032"/>
      <c r="B1960" s="1631" t="s">
        <v>639</v>
      </c>
      <c r="C1960" s="2805" t="s">
        <v>697</v>
      </c>
      <c r="D1960" s="2805"/>
      <c r="E1960" s="2805"/>
      <c r="F1960" s="1683"/>
      <c r="G1960" s="1641"/>
      <c r="H1960" s="1641"/>
      <c r="I1960" s="1641"/>
      <c r="J1960" s="1654">
        <v>29.93</v>
      </c>
      <c r="K1960" s="1641"/>
      <c r="L1960" s="1654">
        <v>48.85</v>
      </c>
      <c r="M1960" s="1655">
        <v>11.97</v>
      </c>
      <c r="N1960" s="2039">
        <v>584.73</v>
      </c>
      <c r="EW1960" s="2031"/>
      <c r="EX1960" s="1619"/>
      <c r="EY1960" s="1628"/>
      <c r="EZ1960" s="1628"/>
      <c r="FA1960" s="1628"/>
      <c r="FE1960" s="1864" t="s">
        <v>697</v>
      </c>
      <c r="FH1960" s="1628"/>
      <c r="FU1960" s="1678"/>
      <c r="FW1960" s="1678"/>
    </row>
    <row r="1961" spans="1:179" s="1484" customFormat="1" ht="15" x14ac:dyDescent="0.25">
      <c r="A1961" s="2032"/>
      <c r="B1961" s="1631" t="s">
        <v>640</v>
      </c>
      <c r="C1961" s="2805" t="s">
        <v>2500</v>
      </c>
      <c r="D1961" s="2805"/>
      <c r="E1961" s="2805"/>
      <c r="F1961" s="1683"/>
      <c r="G1961" s="1641"/>
      <c r="H1961" s="1641"/>
      <c r="I1961" s="1641"/>
      <c r="J1961" s="1654">
        <v>5.15</v>
      </c>
      <c r="K1961" s="1641"/>
      <c r="L1961" s="1654">
        <v>8.4</v>
      </c>
      <c r="M1961" s="1655">
        <v>35.75</v>
      </c>
      <c r="N1961" s="2039">
        <v>300.3</v>
      </c>
      <c r="EW1961" s="2031"/>
      <c r="EX1961" s="1619"/>
      <c r="EY1961" s="1628"/>
      <c r="EZ1961" s="1628"/>
      <c r="FA1961" s="1628"/>
      <c r="FE1961" s="1864" t="s">
        <v>2500</v>
      </c>
      <c r="FH1961" s="1628"/>
      <c r="FU1961" s="1678"/>
      <c r="FW1961" s="1678"/>
    </row>
    <row r="1962" spans="1:179" s="1484" customFormat="1" ht="15" x14ac:dyDescent="0.25">
      <c r="A1962" s="2033"/>
      <c r="B1962" s="1631"/>
      <c r="C1962" s="2805" t="s">
        <v>2524</v>
      </c>
      <c r="D1962" s="2805"/>
      <c r="E1962" s="2805"/>
      <c r="F1962" s="1683" t="s">
        <v>807</v>
      </c>
      <c r="G1962" s="1953">
        <v>2.2000000000000002</v>
      </c>
      <c r="H1962" s="1641"/>
      <c r="I1962" s="2035">
        <v>3.5903999999999998</v>
      </c>
      <c r="J1962" s="1640"/>
      <c r="K1962" s="1641"/>
      <c r="L1962" s="1640"/>
      <c r="M1962" s="1641"/>
      <c r="N1962" s="1681"/>
      <c r="EW1962" s="2031"/>
      <c r="EX1962" s="1619"/>
      <c r="EY1962" s="1628"/>
      <c r="EZ1962" s="1628"/>
      <c r="FA1962" s="1628"/>
      <c r="FF1962" s="1864" t="s">
        <v>2524</v>
      </c>
      <c r="FH1962" s="1628"/>
      <c r="FU1962" s="1678"/>
      <c r="FW1962" s="1678"/>
    </row>
    <row r="1963" spans="1:179" s="1484" customFormat="1" ht="15" x14ac:dyDescent="0.25">
      <c r="A1963" s="2033"/>
      <c r="B1963" s="1631"/>
      <c r="C1963" s="2805" t="s">
        <v>2501</v>
      </c>
      <c r="D1963" s="2805"/>
      <c r="E1963" s="2805"/>
      <c r="F1963" s="1683" t="s">
        <v>807</v>
      </c>
      <c r="G1963" s="1655">
        <v>0.45</v>
      </c>
      <c r="H1963" s="1641"/>
      <c r="I1963" s="2035">
        <v>0.73440000000000005</v>
      </c>
      <c r="J1963" s="1640"/>
      <c r="K1963" s="1641"/>
      <c r="L1963" s="1640"/>
      <c r="M1963" s="1641"/>
      <c r="N1963" s="1681"/>
      <c r="EW1963" s="2031"/>
      <c r="EX1963" s="1619"/>
      <c r="EY1963" s="1628"/>
      <c r="EZ1963" s="1628"/>
      <c r="FA1963" s="1628"/>
      <c r="FF1963" s="1864" t="s">
        <v>2501</v>
      </c>
      <c r="FH1963" s="1628"/>
      <c r="FU1963" s="1678"/>
      <c r="FW1963" s="1678"/>
    </row>
    <row r="1964" spans="1:179" s="1484" customFormat="1" ht="15" x14ac:dyDescent="0.25">
      <c r="A1964" s="2032"/>
      <c r="B1964" s="1631"/>
      <c r="C1964" s="2917" t="s">
        <v>2502</v>
      </c>
      <c r="D1964" s="2917"/>
      <c r="E1964" s="2917"/>
      <c r="F1964" s="2036"/>
      <c r="G1964" s="2037"/>
      <c r="H1964" s="2037"/>
      <c r="I1964" s="2037"/>
      <c r="J1964" s="2044">
        <v>48.7</v>
      </c>
      <c r="K1964" s="2037"/>
      <c r="L1964" s="2044">
        <v>87.14</v>
      </c>
      <c r="M1964" s="2037"/>
      <c r="N1964" s="2068">
        <v>1953.6</v>
      </c>
      <c r="EW1964" s="2031"/>
      <c r="EX1964" s="1619"/>
      <c r="EY1964" s="1628"/>
      <c r="EZ1964" s="1628"/>
      <c r="FA1964" s="1628"/>
      <c r="FG1964" s="1864" t="s">
        <v>2502</v>
      </c>
      <c r="FH1964" s="1628"/>
      <c r="FU1964" s="1678"/>
      <c r="FW1964" s="1678"/>
    </row>
    <row r="1965" spans="1:179" s="1484" customFormat="1" ht="15" x14ac:dyDescent="0.25">
      <c r="A1965" s="2033" t="s">
        <v>8278</v>
      </c>
      <c r="B1965" s="1631"/>
      <c r="C1965" s="2805" t="s">
        <v>7964</v>
      </c>
      <c r="D1965" s="2805"/>
      <c r="E1965" s="2805"/>
      <c r="F1965" s="1683" t="s">
        <v>5928</v>
      </c>
      <c r="G1965" s="1641"/>
      <c r="H1965" s="1641"/>
      <c r="I1965" s="1641"/>
      <c r="J1965" s="1640"/>
      <c r="K1965" s="1641"/>
      <c r="L1965" s="1654">
        <v>2.1</v>
      </c>
      <c r="M1965" s="1641"/>
      <c r="N1965" s="2039">
        <v>75.08</v>
      </c>
      <c r="EW1965" s="2031"/>
      <c r="EX1965" s="1619"/>
      <c r="EY1965" s="1628"/>
      <c r="EZ1965" s="1628"/>
      <c r="FA1965" s="1628"/>
      <c r="FF1965" s="1864" t="s">
        <v>7964</v>
      </c>
      <c r="FH1965" s="1628"/>
      <c r="FU1965" s="1678"/>
      <c r="FW1965" s="1678"/>
    </row>
    <row r="1966" spans="1:179" s="1484" customFormat="1" ht="15" x14ac:dyDescent="0.25">
      <c r="A1966" s="2033"/>
      <c r="B1966" s="1631"/>
      <c r="C1966" s="2805" t="s">
        <v>7965</v>
      </c>
      <c r="D1966" s="2805"/>
      <c r="E1966" s="2805"/>
      <c r="F1966" s="1683" t="s">
        <v>5928</v>
      </c>
      <c r="G1966" s="1641"/>
      <c r="H1966" s="1641"/>
      <c r="I1966" s="1641"/>
      <c r="J1966" s="1654">
        <v>5.15</v>
      </c>
      <c r="K1966" s="1655">
        <v>0.25</v>
      </c>
      <c r="L1966" s="1654">
        <v>2.1</v>
      </c>
      <c r="M1966" s="1655">
        <v>35.75</v>
      </c>
      <c r="N1966" s="2039">
        <v>75.08</v>
      </c>
      <c r="EW1966" s="2031"/>
      <c r="EX1966" s="1619"/>
      <c r="EY1966" s="1628"/>
      <c r="EZ1966" s="1628"/>
      <c r="FA1966" s="1628"/>
      <c r="FF1966" s="1864" t="s">
        <v>7965</v>
      </c>
      <c r="FH1966" s="1628"/>
      <c r="FU1966" s="1678"/>
      <c r="FW1966" s="1678"/>
    </row>
    <row r="1967" spans="1:179" s="1484" customFormat="1" ht="15" x14ac:dyDescent="0.25">
      <c r="A1967" s="2033"/>
      <c r="B1967" s="1631"/>
      <c r="C1967" s="2805" t="s">
        <v>867</v>
      </c>
      <c r="D1967" s="2805"/>
      <c r="E1967" s="2805"/>
      <c r="F1967" s="1683"/>
      <c r="G1967" s="1641"/>
      <c r="H1967" s="1641"/>
      <c r="I1967" s="1641"/>
      <c r="J1967" s="1640"/>
      <c r="K1967" s="1641"/>
      <c r="L1967" s="1654">
        <v>48.79</v>
      </c>
      <c r="M1967" s="1641"/>
      <c r="N1967" s="1679">
        <v>1744.25</v>
      </c>
      <c r="EW1967" s="2031"/>
      <c r="EX1967" s="1619"/>
      <c r="EY1967" s="1628"/>
      <c r="EZ1967" s="1628"/>
      <c r="FA1967" s="1628"/>
      <c r="FF1967" s="1864" t="s">
        <v>867</v>
      </c>
      <c r="FH1967" s="1628"/>
      <c r="FU1967" s="1678"/>
      <c r="FW1967" s="1678"/>
    </row>
    <row r="1968" spans="1:179" s="1484" customFormat="1" ht="15" x14ac:dyDescent="0.25">
      <c r="A1968" s="2033"/>
      <c r="B1968" s="1631" t="s">
        <v>8054</v>
      </c>
      <c r="C1968" s="2805" t="s">
        <v>8055</v>
      </c>
      <c r="D1968" s="2805"/>
      <c r="E1968" s="2805"/>
      <c r="F1968" s="1683" t="s">
        <v>636</v>
      </c>
      <c r="G1968" s="2034">
        <v>112</v>
      </c>
      <c r="H1968" s="1641"/>
      <c r="I1968" s="2034">
        <v>112</v>
      </c>
      <c r="J1968" s="1640"/>
      <c r="K1968" s="1641"/>
      <c r="L1968" s="1654">
        <v>54.64</v>
      </c>
      <c r="M1968" s="1641"/>
      <c r="N1968" s="1679">
        <v>1953.56</v>
      </c>
      <c r="EW1968" s="2031"/>
      <c r="EX1968" s="1619"/>
      <c r="EY1968" s="1628"/>
      <c r="EZ1968" s="1628"/>
      <c r="FA1968" s="1628"/>
      <c r="FF1968" s="1864" t="s">
        <v>8055</v>
      </c>
      <c r="FH1968" s="1628"/>
      <c r="FU1968" s="1678"/>
      <c r="FW1968" s="1678"/>
    </row>
    <row r="1969" spans="1:179" s="1484" customFormat="1" ht="15" x14ac:dyDescent="0.25">
      <c r="A1969" s="2033"/>
      <c r="B1969" s="1631" t="s">
        <v>8056</v>
      </c>
      <c r="C1969" s="2805" t="s">
        <v>8057</v>
      </c>
      <c r="D1969" s="2805"/>
      <c r="E1969" s="2805"/>
      <c r="F1969" s="1683" t="s">
        <v>636</v>
      </c>
      <c r="G1969" s="2034">
        <v>65</v>
      </c>
      <c r="H1969" s="1641"/>
      <c r="I1969" s="2034">
        <v>65</v>
      </c>
      <c r="J1969" s="1640"/>
      <c r="K1969" s="1641"/>
      <c r="L1969" s="1654">
        <v>31.71</v>
      </c>
      <c r="M1969" s="1641"/>
      <c r="N1969" s="1679">
        <v>1133.76</v>
      </c>
      <c r="EW1969" s="2031"/>
      <c r="EX1969" s="1619"/>
      <c r="EY1969" s="1628"/>
      <c r="EZ1969" s="1628"/>
      <c r="FA1969" s="1628"/>
      <c r="FF1969" s="1864" t="s">
        <v>8057</v>
      </c>
      <c r="FH1969" s="1628"/>
      <c r="FU1969" s="1678"/>
      <c r="FW1969" s="1678"/>
    </row>
    <row r="1970" spans="1:179" s="1484" customFormat="1" ht="15" x14ac:dyDescent="0.25">
      <c r="A1970" s="1650"/>
      <c r="B1970" s="1651"/>
      <c r="C1970" s="2803" t="s">
        <v>872</v>
      </c>
      <c r="D1970" s="2803"/>
      <c r="E1970" s="2803"/>
      <c r="F1970" s="1621"/>
      <c r="G1970" s="1622"/>
      <c r="H1970" s="1622"/>
      <c r="I1970" s="1622"/>
      <c r="J1970" s="1625"/>
      <c r="K1970" s="1622"/>
      <c r="L1970" s="2040">
        <v>175.59</v>
      </c>
      <c r="M1970" s="2037"/>
      <c r="N1970" s="1649">
        <v>5116</v>
      </c>
      <c r="EW1970" s="2031"/>
      <c r="EX1970" s="1619"/>
      <c r="EY1970" s="1628"/>
      <c r="EZ1970" s="1628"/>
      <c r="FA1970" s="1628"/>
      <c r="FH1970" s="1628" t="s">
        <v>872</v>
      </c>
      <c r="FU1970" s="1678"/>
      <c r="FW1970" s="1678"/>
    </row>
    <row r="1971" spans="1:179" s="1484" customFormat="1" ht="15" x14ac:dyDescent="0.25">
      <c r="A1971" s="1620" t="s">
        <v>8279</v>
      </c>
      <c r="B1971" s="1863" t="s">
        <v>8280</v>
      </c>
      <c r="C1971" s="2803" t="s">
        <v>4924</v>
      </c>
      <c r="D1971" s="2803"/>
      <c r="E1971" s="2803"/>
      <c r="F1971" s="1621" t="s">
        <v>832</v>
      </c>
      <c r="G1971" s="1622">
        <v>0.54600000000000004</v>
      </c>
      <c r="H1971" s="1623">
        <v>1</v>
      </c>
      <c r="I1971" s="2045">
        <v>0.54600000000000004</v>
      </c>
      <c r="J1971" s="2040">
        <v>166.7</v>
      </c>
      <c r="K1971" s="1622"/>
      <c r="L1971" s="2040">
        <v>91.02</v>
      </c>
      <c r="M1971" s="1687">
        <v>9.14</v>
      </c>
      <c r="N1971" s="2069">
        <v>831.92</v>
      </c>
      <c r="EW1971" s="2031"/>
      <c r="EX1971" s="1619"/>
      <c r="EY1971" s="1628" t="s">
        <v>4924</v>
      </c>
      <c r="EZ1971" s="1628" t="s">
        <v>588</v>
      </c>
      <c r="FA1971" s="1628" t="s">
        <v>588</v>
      </c>
      <c r="FH1971" s="1628"/>
      <c r="FU1971" s="1678"/>
      <c r="FW1971" s="1678"/>
    </row>
    <row r="1972" spans="1:179" s="1484" customFormat="1" ht="15" x14ac:dyDescent="0.25">
      <c r="A1972" s="1650"/>
      <c r="B1972" s="1651"/>
      <c r="C1972" s="2805" t="s">
        <v>8640</v>
      </c>
      <c r="D1972" s="2805"/>
      <c r="E1972" s="2805"/>
      <c r="F1972" s="2805"/>
      <c r="G1972" s="2805"/>
      <c r="H1972" s="2805"/>
      <c r="I1972" s="2805"/>
      <c r="J1972" s="2805"/>
      <c r="K1972" s="2805"/>
      <c r="L1972" s="2805"/>
      <c r="M1972" s="2805"/>
      <c r="N1972" s="2806"/>
      <c r="EW1972" s="2031"/>
      <c r="EX1972" s="1619"/>
      <c r="EY1972" s="1628"/>
      <c r="EZ1972" s="1628"/>
      <c r="FA1972" s="1628"/>
      <c r="FH1972" s="1628"/>
      <c r="FI1972" s="1864" t="s">
        <v>8640</v>
      </c>
      <c r="FJ1972" s="1864" t="s">
        <v>588</v>
      </c>
      <c r="FK1972" s="1864" t="s">
        <v>588</v>
      </c>
      <c r="FL1972" s="1864" t="s">
        <v>588</v>
      </c>
      <c r="FM1972" s="1864" t="s">
        <v>588</v>
      </c>
      <c r="FN1972" s="1864" t="s">
        <v>588</v>
      </c>
      <c r="FO1972" s="1864" t="s">
        <v>588</v>
      </c>
      <c r="FP1972" s="1864" t="s">
        <v>588</v>
      </c>
      <c r="FQ1972" s="1864" t="s">
        <v>588</v>
      </c>
      <c r="FR1972" s="1864" t="s">
        <v>588</v>
      </c>
      <c r="FS1972" s="1864" t="s">
        <v>588</v>
      </c>
      <c r="FT1972" s="1864" t="s">
        <v>588</v>
      </c>
      <c r="FU1972" s="1678"/>
      <c r="FW1972" s="1678"/>
    </row>
    <row r="1973" spans="1:179" s="1484" customFormat="1" ht="15" x14ac:dyDescent="0.25">
      <c r="A1973" s="1629"/>
      <c r="B1973" s="1862"/>
      <c r="C1973" s="2805" t="s">
        <v>8807</v>
      </c>
      <c r="D1973" s="2805"/>
      <c r="E1973" s="2805"/>
      <c r="F1973" s="2805"/>
      <c r="G1973" s="2805"/>
      <c r="H1973" s="2805"/>
      <c r="I1973" s="2805"/>
      <c r="J1973" s="2805"/>
      <c r="K1973" s="2805"/>
      <c r="L1973" s="2805"/>
      <c r="M1973" s="2805"/>
      <c r="N1973" s="2806"/>
      <c r="EW1973" s="2031"/>
      <c r="EX1973" s="1619"/>
      <c r="EY1973" s="1628"/>
      <c r="EZ1973" s="1628"/>
      <c r="FA1973" s="1628"/>
      <c r="FB1973" s="1864" t="s">
        <v>8807</v>
      </c>
      <c r="FH1973" s="1628"/>
      <c r="FU1973" s="1678"/>
      <c r="FW1973" s="1678"/>
    </row>
    <row r="1974" spans="1:179" s="1484" customFormat="1" ht="15" x14ac:dyDescent="0.25">
      <c r="A1974" s="1650"/>
      <c r="B1974" s="1651"/>
      <c r="C1974" s="2803" t="s">
        <v>872</v>
      </c>
      <c r="D1974" s="2803"/>
      <c r="E1974" s="2803"/>
      <c r="F1974" s="1621"/>
      <c r="G1974" s="1622"/>
      <c r="H1974" s="1622"/>
      <c r="I1974" s="1622"/>
      <c r="J1974" s="1625"/>
      <c r="K1974" s="1622"/>
      <c r="L1974" s="2040">
        <v>91.02</v>
      </c>
      <c r="M1974" s="2037"/>
      <c r="N1974" s="2069">
        <v>831.92</v>
      </c>
      <c r="EW1974" s="2031"/>
      <c r="EX1974" s="1619"/>
      <c r="EY1974" s="1628"/>
      <c r="EZ1974" s="1628"/>
      <c r="FA1974" s="1628"/>
      <c r="FH1974" s="1628" t="s">
        <v>872</v>
      </c>
      <c r="FU1974" s="1678"/>
      <c r="FW1974" s="1678"/>
    </row>
    <row r="1975" spans="1:179" s="1484" customFormat="1" ht="22.5" x14ac:dyDescent="0.25">
      <c r="A1975" s="1620" t="s">
        <v>8281</v>
      </c>
      <c r="B1975" s="1863" t="s">
        <v>8282</v>
      </c>
      <c r="C1975" s="2803" t="s">
        <v>8283</v>
      </c>
      <c r="D1975" s="2803"/>
      <c r="E1975" s="2803"/>
      <c r="F1975" s="1621" t="s">
        <v>801</v>
      </c>
      <c r="G1975" s="1622">
        <v>8.2400000000000001E-2</v>
      </c>
      <c r="H1975" s="1623">
        <v>1</v>
      </c>
      <c r="I1975" s="2041">
        <v>8.2400000000000001E-2</v>
      </c>
      <c r="J1975" s="1625"/>
      <c r="K1975" s="1622"/>
      <c r="L1975" s="1625"/>
      <c r="M1975" s="1622"/>
      <c r="N1975" s="1627"/>
      <c r="EW1975" s="2031"/>
      <c r="EX1975" s="1619"/>
      <c r="EY1975" s="1628" t="s">
        <v>8283</v>
      </c>
      <c r="EZ1975" s="1628" t="s">
        <v>588</v>
      </c>
      <c r="FA1975" s="1628" t="s">
        <v>588</v>
      </c>
      <c r="FH1975" s="1628"/>
      <c r="FU1975" s="1678"/>
      <c r="FW1975" s="1678"/>
    </row>
    <row r="1976" spans="1:179" s="1484" customFormat="1" ht="15" x14ac:dyDescent="0.25">
      <c r="A1976" s="1629"/>
      <c r="B1976" s="1862"/>
      <c r="C1976" s="2805" t="s">
        <v>8806</v>
      </c>
      <c r="D1976" s="2805"/>
      <c r="E1976" s="2805"/>
      <c r="F1976" s="2805"/>
      <c r="G1976" s="2805"/>
      <c r="H1976" s="2805"/>
      <c r="I1976" s="2805"/>
      <c r="J1976" s="2805"/>
      <c r="K1976" s="2805"/>
      <c r="L1976" s="2805"/>
      <c r="M1976" s="2805"/>
      <c r="N1976" s="2806"/>
      <c r="EW1976" s="2031"/>
      <c r="EX1976" s="1619"/>
      <c r="EY1976" s="1628"/>
      <c r="EZ1976" s="1628"/>
      <c r="FA1976" s="1628"/>
      <c r="FB1976" s="1864" t="s">
        <v>8806</v>
      </c>
      <c r="FH1976" s="1628"/>
      <c r="FU1976" s="1678"/>
      <c r="FW1976" s="1678"/>
    </row>
    <row r="1977" spans="1:179" s="1484" customFormat="1" ht="22.5" x14ac:dyDescent="0.25">
      <c r="A1977" s="1630"/>
      <c r="B1977" s="1631" t="s">
        <v>6062</v>
      </c>
      <c r="C1977" s="2809" t="s">
        <v>6063</v>
      </c>
      <c r="D1977" s="2809"/>
      <c r="E1977" s="2809"/>
      <c r="F1977" s="2809"/>
      <c r="G1977" s="2809"/>
      <c r="H1977" s="2809"/>
      <c r="I1977" s="2809"/>
      <c r="J1977" s="2809"/>
      <c r="K1977" s="2809"/>
      <c r="L1977" s="2809"/>
      <c r="M1977" s="2809"/>
      <c r="N1977" s="2810"/>
      <c r="EW1977" s="2031"/>
      <c r="EX1977" s="1619"/>
      <c r="EY1977" s="1628"/>
      <c r="EZ1977" s="1628"/>
      <c r="FA1977" s="1628"/>
      <c r="FC1977" s="1864" t="s">
        <v>6063</v>
      </c>
      <c r="FH1977" s="1628"/>
      <c r="FU1977" s="1678"/>
      <c r="FW1977" s="1678"/>
    </row>
    <row r="1978" spans="1:179" s="1484" customFormat="1" ht="22.5" x14ac:dyDescent="0.25">
      <c r="A1978" s="2033"/>
      <c r="B1978" s="1631" t="s">
        <v>8743</v>
      </c>
      <c r="C1978" s="2805" t="s">
        <v>8742</v>
      </c>
      <c r="D1978" s="2805"/>
      <c r="E1978" s="2805"/>
      <c r="F1978" s="1683" t="s">
        <v>807</v>
      </c>
      <c r="G1978" s="1953">
        <v>11.6</v>
      </c>
      <c r="H1978" s="1641"/>
      <c r="I1978" s="2042">
        <v>0.95584000000000002</v>
      </c>
      <c r="J1978" s="1654">
        <v>8.86</v>
      </c>
      <c r="K1978" s="1655">
        <v>1.25</v>
      </c>
      <c r="L1978" s="1654">
        <v>10.59</v>
      </c>
      <c r="M1978" s="1641"/>
      <c r="N1978" s="1681"/>
      <c r="EW1978" s="2031"/>
      <c r="EX1978" s="1619"/>
      <c r="EY1978" s="1628"/>
      <c r="EZ1978" s="1628"/>
      <c r="FA1978" s="1628"/>
      <c r="FD1978" s="1864" t="s">
        <v>8742</v>
      </c>
      <c r="FH1978" s="1628"/>
      <c r="FU1978" s="1678"/>
      <c r="FW1978" s="1678"/>
    </row>
    <row r="1979" spans="1:179" s="1484" customFormat="1" ht="22.5" x14ac:dyDescent="0.25">
      <c r="A1979" s="2033"/>
      <c r="B1979" s="1631" t="s">
        <v>817</v>
      </c>
      <c r="C1979" s="2805" t="s">
        <v>818</v>
      </c>
      <c r="D1979" s="2805"/>
      <c r="E1979" s="2805"/>
      <c r="F1979" s="1683" t="s">
        <v>4994</v>
      </c>
      <c r="G1979" s="1655">
        <v>0.15</v>
      </c>
      <c r="H1979" s="1641"/>
      <c r="I1979" s="2042">
        <v>1.2359999999999999E-2</v>
      </c>
      <c r="J1979" s="1654">
        <v>115.4</v>
      </c>
      <c r="K1979" s="1641"/>
      <c r="L1979" s="1654">
        <v>1.43</v>
      </c>
      <c r="M1979" s="1641"/>
      <c r="N1979" s="1681"/>
      <c r="EW1979" s="2031"/>
      <c r="EX1979" s="1619"/>
      <c r="EY1979" s="1628"/>
      <c r="EZ1979" s="1628"/>
      <c r="FA1979" s="1628"/>
      <c r="FD1979" s="1864" t="s">
        <v>818</v>
      </c>
      <c r="FH1979" s="1628"/>
      <c r="FU1979" s="1678"/>
      <c r="FW1979" s="1678"/>
    </row>
    <row r="1980" spans="1:179" s="1484" customFormat="1" ht="15" x14ac:dyDescent="0.25">
      <c r="A1980" s="2033"/>
      <c r="B1980" s="1631" t="s">
        <v>821</v>
      </c>
      <c r="C1980" s="2805" t="s">
        <v>822</v>
      </c>
      <c r="D1980" s="2805"/>
      <c r="E1980" s="2805"/>
      <c r="F1980" s="1683" t="s">
        <v>4994</v>
      </c>
      <c r="G1980" s="1953">
        <v>0.2</v>
      </c>
      <c r="H1980" s="1641"/>
      <c r="I1980" s="2042">
        <v>1.6480000000000002E-2</v>
      </c>
      <c r="J1980" s="1654">
        <v>65.709999999999994</v>
      </c>
      <c r="K1980" s="1641"/>
      <c r="L1980" s="1654">
        <v>1.08</v>
      </c>
      <c r="M1980" s="1641"/>
      <c r="N1980" s="1681"/>
      <c r="EW1980" s="2031"/>
      <c r="EX1980" s="1619"/>
      <c r="EY1980" s="1628"/>
      <c r="EZ1980" s="1628"/>
      <c r="FA1980" s="1628"/>
      <c r="FD1980" s="1864" t="s">
        <v>822</v>
      </c>
      <c r="FH1980" s="1628"/>
      <c r="FU1980" s="1678"/>
      <c r="FW1980" s="1678"/>
    </row>
    <row r="1981" spans="1:179" s="1484" customFormat="1" ht="15" x14ac:dyDescent="0.25">
      <c r="A1981" s="2033"/>
      <c r="B1981" s="1631" t="s">
        <v>1768</v>
      </c>
      <c r="C1981" s="2805" t="s">
        <v>4954</v>
      </c>
      <c r="D1981" s="2805"/>
      <c r="E1981" s="2805"/>
      <c r="F1981" s="1683" t="s">
        <v>801</v>
      </c>
      <c r="G1981" s="2046">
        <v>2.8000000000000001E-2</v>
      </c>
      <c r="H1981" s="1641"/>
      <c r="I1981" s="2049">
        <v>2.3072000000000001E-3</v>
      </c>
      <c r="J1981" s="1657">
        <v>10200</v>
      </c>
      <c r="K1981" s="1641"/>
      <c r="L1981" s="1654">
        <v>23.53</v>
      </c>
      <c r="M1981" s="1641"/>
      <c r="N1981" s="1681"/>
      <c r="EW1981" s="2031"/>
      <c r="EX1981" s="1619"/>
      <c r="EY1981" s="1628"/>
      <c r="EZ1981" s="1628"/>
      <c r="FA1981" s="1628"/>
      <c r="FD1981" s="1864" t="s">
        <v>4954</v>
      </c>
      <c r="FH1981" s="1628"/>
      <c r="FU1981" s="1678"/>
      <c r="FW1981" s="1678"/>
    </row>
    <row r="1982" spans="1:179" s="1484" customFormat="1" ht="15" x14ac:dyDescent="0.25">
      <c r="A1982" s="2032"/>
      <c r="B1982" s="1631" t="s">
        <v>190</v>
      </c>
      <c r="C1982" s="2805" t="s">
        <v>2523</v>
      </c>
      <c r="D1982" s="2805"/>
      <c r="E1982" s="2805"/>
      <c r="F1982" s="1683"/>
      <c r="G1982" s="1641"/>
      <c r="H1982" s="1641"/>
      <c r="I1982" s="1641"/>
      <c r="J1982" s="1654">
        <v>102.78</v>
      </c>
      <c r="K1982" s="1655">
        <v>1.25</v>
      </c>
      <c r="L1982" s="1654">
        <v>10.59</v>
      </c>
      <c r="M1982" s="1655">
        <v>35.75</v>
      </c>
      <c r="N1982" s="2039">
        <v>378.59</v>
      </c>
      <c r="EW1982" s="2031"/>
      <c r="EX1982" s="1619"/>
      <c r="EY1982" s="1628"/>
      <c r="EZ1982" s="1628"/>
      <c r="FA1982" s="1628"/>
      <c r="FE1982" s="1864" t="s">
        <v>2523</v>
      </c>
      <c r="FH1982" s="1628"/>
      <c r="FU1982" s="1678"/>
      <c r="FW1982" s="1678"/>
    </row>
    <row r="1983" spans="1:179" s="1484" customFormat="1" ht="15" x14ac:dyDescent="0.25">
      <c r="A1983" s="2032"/>
      <c r="B1983" s="1631" t="s">
        <v>639</v>
      </c>
      <c r="C1983" s="2805" t="s">
        <v>697</v>
      </c>
      <c r="D1983" s="2805"/>
      <c r="E1983" s="2805"/>
      <c r="F1983" s="1683"/>
      <c r="G1983" s="1641"/>
      <c r="H1983" s="1641"/>
      <c r="I1983" s="1641"/>
      <c r="J1983" s="1654">
        <v>30.45</v>
      </c>
      <c r="K1983" s="1641"/>
      <c r="L1983" s="1654">
        <v>2.5099999999999998</v>
      </c>
      <c r="M1983" s="1655">
        <v>11.97</v>
      </c>
      <c r="N1983" s="2039">
        <v>30.04</v>
      </c>
      <c r="EW1983" s="2031"/>
      <c r="EX1983" s="1619"/>
      <c r="EY1983" s="1628"/>
      <c r="EZ1983" s="1628"/>
      <c r="FA1983" s="1628"/>
      <c r="FE1983" s="1864" t="s">
        <v>697</v>
      </c>
      <c r="FH1983" s="1628"/>
      <c r="FU1983" s="1678"/>
      <c r="FW1983" s="1678"/>
    </row>
    <row r="1984" spans="1:179" s="1484" customFormat="1" ht="15" x14ac:dyDescent="0.25">
      <c r="A1984" s="2032"/>
      <c r="B1984" s="1631" t="s">
        <v>640</v>
      </c>
      <c r="C1984" s="2805" t="s">
        <v>2500</v>
      </c>
      <c r="D1984" s="2805"/>
      <c r="E1984" s="2805"/>
      <c r="F1984" s="1683"/>
      <c r="G1984" s="1641"/>
      <c r="H1984" s="1641"/>
      <c r="I1984" s="1641"/>
      <c r="J1984" s="1654">
        <v>4.3499999999999996</v>
      </c>
      <c r="K1984" s="1641"/>
      <c r="L1984" s="1654">
        <v>0.36</v>
      </c>
      <c r="M1984" s="1655">
        <v>35.75</v>
      </c>
      <c r="N1984" s="2039">
        <v>12.87</v>
      </c>
      <c r="EW1984" s="2031"/>
      <c r="EX1984" s="1619"/>
      <c r="EY1984" s="1628"/>
      <c r="EZ1984" s="1628"/>
      <c r="FA1984" s="1628"/>
      <c r="FE1984" s="1864" t="s">
        <v>2500</v>
      </c>
      <c r="FH1984" s="1628"/>
      <c r="FU1984" s="1678"/>
      <c r="FW1984" s="1678"/>
    </row>
    <row r="1985" spans="1:179" s="1484" customFormat="1" ht="15" x14ac:dyDescent="0.25">
      <c r="A1985" s="2032"/>
      <c r="B1985" s="1631" t="s">
        <v>232</v>
      </c>
      <c r="C1985" s="2805" t="s">
        <v>829</v>
      </c>
      <c r="D1985" s="2805"/>
      <c r="E1985" s="2805"/>
      <c r="F1985" s="1683"/>
      <c r="G1985" s="1641"/>
      <c r="H1985" s="1641"/>
      <c r="I1985" s="1641"/>
      <c r="J1985" s="1654">
        <v>285.60000000000002</v>
      </c>
      <c r="K1985" s="1641"/>
      <c r="L1985" s="1654">
        <v>23.53</v>
      </c>
      <c r="M1985" s="1655">
        <v>9.14</v>
      </c>
      <c r="N1985" s="2039">
        <v>215.06</v>
      </c>
      <c r="EW1985" s="2031"/>
      <c r="EX1985" s="1619"/>
      <c r="EY1985" s="1628"/>
      <c r="EZ1985" s="1628"/>
      <c r="FA1985" s="1628"/>
      <c r="FE1985" s="1864" t="s">
        <v>829</v>
      </c>
      <c r="FH1985" s="1628"/>
      <c r="FU1985" s="1678"/>
      <c r="FW1985" s="1678"/>
    </row>
    <row r="1986" spans="1:179" s="1484" customFormat="1" ht="15" x14ac:dyDescent="0.25">
      <c r="A1986" s="2033"/>
      <c r="B1986" s="1631"/>
      <c r="C1986" s="2805" t="s">
        <v>2524</v>
      </c>
      <c r="D1986" s="2805"/>
      <c r="E1986" s="2805"/>
      <c r="F1986" s="1683" t="s">
        <v>807</v>
      </c>
      <c r="G1986" s="1953">
        <v>11.6</v>
      </c>
      <c r="H1986" s="1641"/>
      <c r="I1986" s="2042">
        <v>0.95584000000000002</v>
      </c>
      <c r="J1986" s="1640"/>
      <c r="K1986" s="1641"/>
      <c r="L1986" s="1640"/>
      <c r="M1986" s="1641"/>
      <c r="N1986" s="1681"/>
      <c r="EW1986" s="2031"/>
      <c r="EX1986" s="1619"/>
      <c r="EY1986" s="1628"/>
      <c r="EZ1986" s="1628"/>
      <c r="FA1986" s="1628"/>
      <c r="FF1986" s="1864" t="s">
        <v>2524</v>
      </c>
      <c r="FH1986" s="1628"/>
      <c r="FU1986" s="1678"/>
      <c r="FW1986" s="1678"/>
    </row>
    <row r="1987" spans="1:179" s="1484" customFormat="1" ht="15" x14ac:dyDescent="0.25">
      <c r="A1987" s="2033"/>
      <c r="B1987" s="1631"/>
      <c r="C1987" s="2805" t="s">
        <v>2501</v>
      </c>
      <c r="D1987" s="2805"/>
      <c r="E1987" s="2805"/>
      <c r="F1987" s="1683" t="s">
        <v>807</v>
      </c>
      <c r="G1987" s="1655">
        <v>0.35</v>
      </c>
      <c r="H1987" s="1641"/>
      <c r="I1987" s="2042">
        <v>2.8840000000000001E-2</v>
      </c>
      <c r="J1987" s="1640"/>
      <c r="K1987" s="1641"/>
      <c r="L1987" s="1640"/>
      <c r="M1987" s="1641"/>
      <c r="N1987" s="1681"/>
      <c r="EW1987" s="2031"/>
      <c r="EX1987" s="1619"/>
      <c r="EY1987" s="1628"/>
      <c r="EZ1987" s="1628"/>
      <c r="FA1987" s="1628"/>
      <c r="FF1987" s="1864" t="s">
        <v>2501</v>
      </c>
      <c r="FH1987" s="1628"/>
      <c r="FU1987" s="1678"/>
      <c r="FW1987" s="1678"/>
    </row>
    <row r="1988" spans="1:179" s="1484" customFormat="1" ht="15" x14ac:dyDescent="0.25">
      <c r="A1988" s="2032"/>
      <c r="B1988" s="1631"/>
      <c r="C1988" s="2917" t="s">
        <v>2502</v>
      </c>
      <c r="D1988" s="2917"/>
      <c r="E1988" s="2917"/>
      <c r="F1988" s="2036"/>
      <c r="G1988" s="2037"/>
      <c r="H1988" s="2037"/>
      <c r="I1988" s="2037"/>
      <c r="J1988" s="2044">
        <v>418.83</v>
      </c>
      <c r="K1988" s="2037"/>
      <c r="L1988" s="2044">
        <v>36.630000000000003</v>
      </c>
      <c r="M1988" s="2037"/>
      <c r="N1988" s="2070">
        <v>623.69000000000005</v>
      </c>
      <c r="EW1988" s="2031"/>
      <c r="EX1988" s="1619"/>
      <c r="EY1988" s="1628"/>
      <c r="EZ1988" s="1628"/>
      <c r="FA1988" s="1628"/>
      <c r="FG1988" s="1864" t="s">
        <v>2502</v>
      </c>
      <c r="FH1988" s="1628"/>
      <c r="FU1988" s="1678"/>
      <c r="FW1988" s="1678"/>
    </row>
    <row r="1989" spans="1:179" s="1484" customFormat="1" ht="15" x14ac:dyDescent="0.25">
      <c r="A1989" s="2033" t="s">
        <v>8284</v>
      </c>
      <c r="B1989" s="1631"/>
      <c r="C1989" s="2805" t="s">
        <v>7964</v>
      </c>
      <c r="D1989" s="2805"/>
      <c r="E1989" s="2805"/>
      <c r="F1989" s="1683" t="s">
        <v>5928</v>
      </c>
      <c r="G1989" s="1641"/>
      <c r="H1989" s="1641"/>
      <c r="I1989" s="1641"/>
      <c r="J1989" s="1640"/>
      <c r="K1989" s="1641"/>
      <c r="L1989" s="1654">
        <v>0.09</v>
      </c>
      <c r="M1989" s="1641"/>
      <c r="N1989" s="2039">
        <v>3.22</v>
      </c>
      <c r="EW1989" s="2031"/>
      <c r="EX1989" s="1619"/>
      <c r="EY1989" s="1628"/>
      <c r="EZ1989" s="1628"/>
      <c r="FA1989" s="1628"/>
      <c r="FF1989" s="1864" t="s">
        <v>7964</v>
      </c>
      <c r="FH1989" s="1628"/>
      <c r="FU1989" s="1678"/>
      <c r="FW1989" s="1678"/>
    </row>
    <row r="1990" spans="1:179" s="1484" customFormat="1" ht="15" x14ac:dyDescent="0.25">
      <c r="A1990" s="2033"/>
      <c r="B1990" s="1631"/>
      <c r="C1990" s="2805" t="s">
        <v>7965</v>
      </c>
      <c r="D1990" s="2805"/>
      <c r="E1990" s="2805"/>
      <c r="F1990" s="1683" t="s">
        <v>5928</v>
      </c>
      <c r="G1990" s="1641"/>
      <c r="H1990" s="1641"/>
      <c r="I1990" s="1641"/>
      <c r="J1990" s="1654">
        <v>4.3499999999999996</v>
      </c>
      <c r="K1990" s="1655">
        <v>0.25</v>
      </c>
      <c r="L1990" s="1654">
        <v>0.09</v>
      </c>
      <c r="M1990" s="1655">
        <v>35.75</v>
      </c>
      <c r="N1990" s="2039">
        <v>3.22</v>
      </c>
      <c r="EW1990" s="2031"/>
      <c r="EX1990" s="1619"/>
      <c r="EY1990" s="1628"/>
      <c r="EZ1990" s="1628"/>
      <c r="FA1990" s="1628"/>
      <c r="FF1990" s="1864" t="s">
        <v>7965</v>
      </c>
      <c r="FH1990" s="1628"/>
      <c r="FU1990" s="1678"/>
      <c r="FW1990" s="1678"/>
    </row>
    <row r="1991" spans="1:179" s="1484" customFormat="1" ht="15" x14ac:dyDescent="0.25">
      <c r="A1991" s="2033"/>
      <c r="B1991" s="1631"/>
      <c r="C1991" s="2805" t="s">
        <v>867</v>
      </c>
      <c r="D1991" s="2805"/>
      <c r="E1991" s="2805"/>
      <c r="F1991" s="1683"/>
      <c r="G1991" s="1641"/>
      <c r="H1991" s="1641"/>
      <c r="I1991" s="1641"/>
      <c r="J1991" s="1640"/>
      <c r="K1991" s="1641"/>
      <c r="L1991" s="1654">
        <v>11.04</v>
      </c>
      <c r="M1991" s="1641"/>
      <c r="N1991" s="2039">
        <v>394.68</v>
      </c>
      <c r="EW1991" s="2031"/>
      <c r="EX1991" s="1619"/>
      <c r="EY1991" s="1628"/>
      <c r="EZ1991" s="1628"/>
      <c r="FA1991" s="1628"/>
      <c r="FF1991" s="1864" t="s">
        <v>867</v>
      </c>
      <c r="FH1991" s="1628"/>
      <c r="FU1991" s="1678"/>
      <c r="FW1991" s="1678"/>
    </row>
    <row r="1992" spans="1:179" s="1484" customFormat="1" ht="22.5" x14ac:dyDescent="0.25">
      <c r="A1992" s="2033"/>
      <c r="B1992" s="1631" t="s">
        <v>2525</v>
      </c>
      <c r="C1992" s="2805" t="s">
        <v>2526</v>
      </c>
      <c r="D1992" s="2805"/>
      <c r="E1992" s="2805"/>
      <c r="F1992" s="1683" t="s">
        <v>636</v>
      </c>
      <c r="G1992" s="2034">
        <v>102</v>
      </c>
      <c r="H1992" s="1641"/>
      <c r="I1992" s="2034">
        <v>102</v>
      </c>
      <c r="J1992" s="1640"/>
      <c r="K1992" s="1641"/>
      <c r="L1992" s="1654">
        <v>11.26</v>
      </c>
      <c r="M1992" s="1641"/>
      <c r="N1992" s="2039">
        <v>402.57</v>
      </c>
      <c r="EW1992" s="2031"/>
      <c r="EX1992" s="1619"/>
      <c r="EY1992" s="1628"/>
      <c r="EZ1992" s="1628"/>
      <c r="FA1992" s="1628"/>
      <c r="FF1992" s="1864" t="s">
        <v>2526</v>
      </c>
      <c r="FH1992" s="1628"/>
      <c r="FU1992" s="1678"/>
      <c r="FW1992" s="1678"/>
    </row>
    <row r="1993" spans="1:179" s="1484" customFormat="1" ht="22.5" x14ac:dyDescent="0.25">
      <c r="A1993" s="2033"/>
      <c r="B1993" s="1631" t="s">
        <v>2527</v>
      </c>
      <c r="C1993" s="2805" t="s">
        <v>2528</v>
      </c>
      <c r="D1993" s="2805"/>
      <c r="E1993" s="2805"/>
      <c r="F1993" s="1683" t="s">
        <v>636</v>
      </c>
      <c r="G1993" s="2034">
        <v>58</v>
      </c>
      <c r="H1993" s="1641"/>
      <c r="I1993" s="2034">
        <v>58</v>
      </c>
      <c r="J1993" s="1640"/>
      <c r="K1993" s="1641"/>
      <c r="L1993" s="1654">
        <v>6.4</v>
      </c>
      <c r="M1993" s="1641"/>
      <c r="N1993" s="2039">
        <v>228.91</v>
      </c>
      <c r="EW1993" s="2031"/>
      <c r="EX1993" s="1619"/>
      <c r="EY1993" s="1628"/>
      <c r="EZ1993" s="1628"/>
      <c r="FA1993" s="1628"/>
      <c r="FF1993" s="1864" t="s">
        <v>2528</v>
      </c>
      <c r="FH1993" s="1628"/>
      <c r="FU1993" s="1678"/>
      <c r="FW1993" s="1678"/>
    </row>
    <row r="1994" spans="1:179" s="1484" customFormat="1" ht="15" x14ac:dyDescent="0.25">
      <c r="A1994" s="1650"/>
      <c r="B1994" s="1651"/>
      <c r="C1994" s="2803" t="s">
        <v>872</v>
      </c>
      <c r="D1994" s="2803"/>
      <c r="E1994" s="2803"/>
      <c r="F1994" s="1621"/>
      <c r="G1994" s="1622"/>
      <c r="H1994" s="1622"/>
      <c r="I1994" s="1622"/>
      <c r="J1994" s="1625"/>
      <c r="K1994" s="1622"/>
      <c r="L1994" s="2040">
        <v>54.38</v>
      </c>
      <c r="M1994" s="2037"/>
      <c r="N1994" s="1649">
        <v>1258.3900000000001</v>
      </c>
      <c r="EW1994" s="2031"/>
      <c r="EX1994" s="1619"/>
      <c r="EY1994" s="1628"/>
      <c r="EZ1994" s="1628"/>
      <c r="FA1994" s="1628"/>
      <c r="FH1994" s="1628" t="s">
        <v>872</v>
      </c>
      <c r="FU1994" s="1678"/>
      <c r="FW1994" s="1678"/>
    </row>
    <row r="1995" spans="1:179" s="1484" customFormat="1" ht="33.75" x14ac:dyDescent="0.25">
      <c r="A1995" s="1620" t="s">
        <v>8285</v>
      </c>
      <c r="B1995" s="1863" t="s">
        <v>8286</v>
      </c>
      <c r="C1995" s="2803" t="s">
        <v>8287</v>
      </c>
      <c r="D1995" s="2803"/>
      <c r="E1995" s="2803"/>
      <c r="F1995" s="1621" t="s">
        <v>130</v>
      </c>
      <c r="G1995" s="1622">
        <v>40.799999999999997</v>
      </c>
      <c r="H1995" s="1623">
        <v>1</v>
      </c>
      <c r="I1995" s="1624">
        <v>40.799999999999997</v>
      </c>
      <c r="J1995" s="2040">
        <v>14.06</v>
      </c>
      <c r="K1995" s="1622"/>
      <c r="L1995" s="2040">
        <v>573.65</v>
      </c>
      <c r="M1995" s="1687">
        <v>9.14</v>
      </c>
      <c r="N1995" s="1649">
        <v>5243.16</v>
      </c>
      <c r="EW1995" s="2031"/>
      <c r="EX1995" s="1619"/>
      <c r="EY1995" s="1628" t="s">
        <v>8287</v>
      </c>
      <c r="EZ1995" s="1628" t="s">
        <v>588</v>
      </c>
      <c r="FA1995" s="1628" t="s">
        <v>588</v>
      </c>
      <c r="FH1995" s="1628"/>
      <c r="FU1995" s="1678"/>
      <c r="FW1995" s="1678"/>
    </row>
    <row r="1996" spans="1:179" s="1484" customFormat="1" ht="15" x14ac:dyDescent="0.25">
      <c r="A1996" s="1650"/>
      <c r="B1996" s="1651"/>
      <c r="C1996" s="2805" t="s">
        <v>8805</v>
      </c>
      <c r="D1996" s="2805"/>
      <c r="E1996" s="2805"/>
      <c r="F1996" s="2805"/>
      <c r="G1996" s="2805"/>
      <c r="H1996" s="2805"/>
      <c r="I1996" s="2805"/>
      <c r="J1996" s="2805"/>
      <c r="K1996" s="2805"/>
      <c r="L1996" s="2805"/>
      <c r="M1996" s="2805"/>
      <c r="N1996" s="2806"/>
      <c r="EW1996" s="2031"/>
      <c r="EX1996" s="1619"/>
      <c r="EY1996" s="1628"/>
      <c r="EZ1996" s="1628"/>
      <c r="FA1996" s="1628"/>
      <c r="FH1996" s="1628"/>
      <c r="FI1996" s="1864" t="s">
        <v>8805</v>
      </c>
      <c r="FJ1996" s="1864" t="s">
        <v>588</v>
      </c>
      <c r="FK1996" s="1864" t="s">
        <v>588</v>
      </c>
      <c r="FL1996" s="1864" t="s">
        <v>588</v>
      </c>
      <c r="FM1996" s="1864" t="s">
        <v>588</v>
      </c>
      <c r="FN1996" s="1864" t="s">
        <v>588</v>
      </c>
      <c r="FO1996" s="1864" t="s">
        <v>588</v>
      </c>
      <c r="FP1996" s="1864" t="s">
        <v>588</v>
      </c>
      <c r="FQ1996" s="1864" t="s">
        <v>588</v>
      </c>
      <c r="FR1996" s="1864" t="s">
        <v>588</v>
      </c>
      <c r="FS1996" s="1864" t="s">
        <v>588</v>
      </c>
      <c r="FT1996" s="1864" t="s">
        <v>588</v>
      </c>
      <c r="FU1996" s="1678"/>
      <c r="FW1996" s="1678"/>
    </row>
    <row r="1997" spans="1:179" s="1484" customFormat="1" ht="15" x14ac:dyDescent="0.25">
      <c r="A1997" s="1629"/>
      <c r="B1997" s="1862"/>
      <c r="C1997" s="2805" t="s">
        <v>8784</v>
      </c>
      <c r="D1997" s="2805"/>
      <c r="E1997" s="2805"/>
      <c r="F1997" s="2805"/>
      <c r="G1997" s="2805"/>
      <c r="H1997" s="2805"/>
      <c r="I1997" s="2805"/>
      <c r="J1997" s="2805"/>
      <c r="K1997" s="2805"/>
      <c r="L1997" s="2805"/>
      <c r="M1997" s="2805"/>
      <c r="N1997" s="2806"/>
      <c r="EW1997" s="2031"/>
      <c r="EX1997" s="1619"/>
      <c r="EY1997" s="1628"/>
      <c r="EZ1997" s="1628"/>
      <c r="FA1997" s="1628"/>
      <c r="FB1997" s="1864" t="s">
        <v>8784</v>
      </c>
      <c r="FH1997" s="1628"/>
      <c r="FU1997" s="1678"/>
      <c r="FW1997" s="1678"/>
    </row>
    <row r="1998" spans="1:179" s="1484" customFormat="1" ht="15" x14ac:dyDescent="0.25">
      <c r="A1998" s="1650"/>
      <c r="B1998" s="1651"/>
      <c r="C1998" s="2803" t="s">
        <v>872</v>
      </c>
      <c r="D1998" s="2803"/>
      <c r="E1998" s="2803"/>
      <c r="F1998" s="1621"/>
      <c r="G1998" s="1622"/>
      <c r="H1998" s="1622"/>
      <c r="I1998" s="1622"/>
      <c r="J1998" s="1625"/>
      <c r="K1998" s="1622"/>
      <c r="L1998" s="2040">
        <v>573.65</v>
      </c>
      <c r="M1998" s="2037"/>
      <c r="N1998" s="1649">
        <v>5243.16</v>
      </c>
      <c r="EW1998" s="2031"/>
      <c r="EX1998" s="1619"/>
      <c r="EY1998" s="1628"/>
      <c r="EZ1998" s="1628"/>
      <c r="FA1998" s="1628"/>
      <c r="FH1998" s="1628" t="s">
        <v>872</v>
      </c>
      <c r="FU1998" s="1678"/>
      <c r="FW1998" s="1678"/>
    </row>
    <row r="1999" spans="1:179" s="1484" customFormat="1" ht="22.5" x14ac:dyDescent="0.25">
      <c r="A1999" s="1620" t="s">
        <v>8288</v>
      </c>
      <c r="B1999" s="1863" t="s">
        <v>8139</v>
      </c>
      <c r="C1999" s="2803" t="s">
        <v>8140</v>
      </c>
      <c r="D1999" s="2803"/>
      <c r="E1999" s="2803"/>
      <c r="F1999" s="1621" t="s">
        <v>2555</v>
      </c>
      <c r="G1999" s="1622">
        <v>0.40799999999999997</v>
      </c>
      <c r="H1999" s="1623">
        <v>1</v>
      </c>
      <c r="I1999" s="2045">
        <v>0.40799999999999997</v>
      </c>
      <c r="J1999" s="1625"/>
      <c r="K1999" s="1622"/>
      <c r="L1999" s="1625"/>
      <c r="M1999" s="1622"/>
      <c r="N1999" s="1627"/>
      <c r="EW1999" s="2031"/>
      <c r="EX1999" s="1619"/>
      <c r="EY1999" s="1628" t="s">
        <v>8140</v>
      </c>
      <c r="EZ1999" s="1628" t="s">
        <v>588</v>
      </c>
      <c r="FA1999" s="1628" t="s">
        <v>588</v>
      </c>
      <c r="FH1999" s="1628"/>
      <c r="FU1999" s="1678"/>
      <c r="FW1999" s="1678"/>
    </row>
    <row r="2000" spans="1:179" s="1484" customFormat="1" ht="15" x14ac:dyDescent="0.25">
      <c r="A2000" s="1629"/>
      <c r="B2000" s="1862"/>
      <c r="C2000" s="2805" t="s">
        <v>8786</v>
      </c>
      <c r="D2000" s="2805"/>
      <c r="E2000" s="2805"/>
      <c r="F2000" s="2805"/>
      <c r="G2000" s="2805"/>
      <c r="H2000" s="2805"/>
      <c r="I2000" s="2805"/>
      <c r="J2000" s="2805"/>
      <c r="K2000" s="2805"/>
      <c r="L2000" s="2805"/>
      <c r="M2000" s="2805"/>
      <c r="N2000" s="2806"/>
      <c r="EW2000" s="2031"/>
      <c r="EX2000" s="1619"/>
      <c r="EY2000" s="1628"/>
      <c r="EZ2000" s="1628"/>
      <c r="FA2000" s="1628"/>
      <c r="FB2000" s="1864" t="s">
        <v>8786</v>
      </c>
      <c r="FH2000" s="1628"/>
      <c r="FU2000" s="1678"/>
      <c r="FW2000" s="1678"/>
    </row>
    <row r="2001" spans="1:179" s="1484" customFormat="1" ht="22.5" x14ac:dyDescent="0.25">
      <c r="A2001" s="1630"/>
      <c r="B2001" s="1631" t="s">
        <v>6062</v>
      </c>
      <c r="C2001" s="2809" t="s">
        <v>6063</v>
      </c>
      <c r="D2001" s="2809"/>
      <c r="E2001" s="2809"/>
      <c r="F2001" s="2809"/>
      <c r="G2001" s="2809"/>
      <c r="H2001" s="2809"/>
      <c r="I2001" s="2809"/>
      <c r="J2001" s="2809"/>
      <c r="K2001" s="2809"/>
      <c r="L2001" s="2809"/>
      <c r="M2001" s="2809"/>
      <c r="N2001" s="2810"/>
      <c r="EW2001" s="2031"/>
      <c r="EX2001" s="1619"/>
      <c r="EY2001" s="1628"/>
      <c r="EZ2001" s="1628"/>
      <c r="FA2001" s="1628"/>
      <c r="FC2001" s="1864" t="s">
        <v>6063</v>
      </c>
      <c r="FH2001" s="1628"/>
      <c r="FU2001" s="1678"/>
      <c r="FW2001" s="1678"/>
    </row>
    <row r="2002" spans="1:179" s="1484" customFormat="1" ht="22.5" x14ac:dyDescent="0.25">
      <c r="A2002" s="2033"/>
      <c r="B2002" s="1631" t="s">
        <v>8756</v>
      </c>
      <c r="C2002" s="2805" t="s">
        <v>8755</v>
      </c>
      <c r="D2002" s="2805"/>
      <c r="E2002" s="2805"/>
      <c r="F2002" s="1683" t="s">
        <v>807</v>
      </c>
      <c r="G2002" s="1953">
        <v>35.6</v>
      </c>
      <c r="H2002" s="1641"/>
      <c r="I2002" s="2035">
        <v>14.524800000000001</v>
      </c>
      <c r="J2002" s="1654">
        <v>7.94</v>
      </c>
      <c r="K2002" s="1655">
        <v>1.25</v>
      </c>
      <c r="L2002" s="1654">
        <v>144.16</v>
      </c>
      <c r="M2002" s="1641"/>
      <c r="N2002" s="1681"/>
      <c r="EW2002" s="2031"/>
      <c r="EX2002" s="1619"/>
      <c r="EY2002" s="1628"/>
      <c r="EZ2002" s="1628"/>
      <c r="FA2002" s="1628"/>
      <c r="FD2002" s="1864" t="s">
        <v>8755</v>
      </c>
      <c r="FH2002" s="1628"/>
      <c r="FU2002" s="1678"/>
      <c r="FW2002" s="1678"/>
    </row>
    <row r="2003" spans="1:179" s="1484" customFormat="1" ht="22.5" x14ac:dyDescent="0.25">
      <c r="A2003" s="2033"/>
      <c r="B2003" s="1631" t="s">
        <v>5010</v>
      </c>
      <c r="C2003" s="2805" t="s">
        <v>5011</v>
      </c>
      <c r="D2003" s="2805"/>
      <c r="E2003" s="2805"/>
      <c r="F2003" s="1683" t="s">
        <v>4994</v>
      </c>
      <c r="G2003" s="1655">
        <v>1.27</v>
      </c>
      <c r="H2003" s="1641"/>
      <c r="I2003" s="2042">
        <v>0.51815999999999995</v>
      </c>
      <c r="J2003" s="1654">
        <v>31.26</v>
      </c>
      <c r="K2003" s="1641"/>
      <c r="L2003" s="1654">
        <v>16.2</v>
      </c>
      <c r="M2003" s="1641"/>
      <c r="N2003" s="1681"/>
      <c r="EW2003" s="2031"/>
      <c r="EX2003" s="1619"/>
      <c r="EY2003" s="1628"/>
      <c r="EZ2003" s="1628"/>
      <c r="FA2003" s="1628"/>
      <c r="FD2003" s="1864" t="s">
        <v>5011</v>
      </c>
      <c r="FH2003" s="1628"/>
      <c r="FU2003" s="1678"/>
      <c r="FW2003" s="1678"/>
    </row>
    <row r="2004" spans="1:179" s="1484" customFormat="1" ht="15" x14ac:dyDescent="0.25">
      <c r="A2004" s="2033"/>
      <c r="B2004" s="1631" t="s">
        <v>5012</v>
      </c>
      <c r="C2004" s="2805" t="s">
        <v>5013</v>
      </c>
      <c r="D2004" s="2805"/>
      <c r="E2004" s="2805"/>
      <c r="F2004" s="1683" t="s">
        <v>4994</v>
      </c>
      <c r="G2004" s="1655">
        <v>7.82</v>
      </c>
      <c r="H2004" s="1641"/>
      <c r="I2004" s="2042">
        <v>3.1905600000000001</v>
      </c>
      <c r="J2004" s="1654">
        <v>0.5</v>
      </c>
      <c r="K2004" s="1641"/>
      <c r="L2004" s="1654">
        <v>1.6</v>
      </c>
      <c r="M2004" s="1641"/>
      <c r="N2004" s="1681"/>
      <c r="EW2004" s="2031"/>
      <c r="EX2004" s="1619"/>
      <c r="EY2004" s="1628"/>
      <c r="EZ2004" s="1628"/>
      <c r="FA2004" s="1628"/>
      <c r="FD2004" s="1864" t="s">
        <v>5013</v>
      </c>
      <c r="FH2004" s="1628"/>
      <c r="FU2004" s="1678"/>
      <c r="FW2004" s="1678"/>
    </row>
    <row r="2005" spans="1:179" s="1484" customFormat="1" ht="15" x14ac:dyDescent="0.25">
      <c r="A2005" s="2033"/>
      <c r="B2005" s="1631" t="s">
        <v>1755</v>
      </c>
      <c r="C2005" s="2805" t="s">
        <v>2634</v>
      </c>
      <c r="D2005" s="2805"/>
      <c r="E2005" s="2805"/>
      <c r="F2005" s="1683" t="s">
        <v>832</v>
      </c>
      <c r="G2005" s="1953">
        <v>3.5</v>
      </c>
      <c r="H2005" s="1641"/>
      <c r="I2005" s="2046">
        <v>1.4279999999999999</v>
      </c>
      <c r="J2005" s="1654">
        <v>2.44</v>
      </c>
      <c r="K2005" s="1641"/>
      <c r="L2005" s="1654">
        <v>3.48</v>
      </c>
      <c r="M2005" s="1641"/>
      <c r="N2005" s="1681"/>
      <c r="EW2005" s="2031"/>
      <c r="EX2005" s="1619"/>
      <c r="EY2005" s="1628"/>
      <c r="EZ2005" s="1628"/>
      <c r="FA2005" s="1628"/>
      <c r="FD2005" s="1864" t="s">
        <v>2634</v>
      </c>
      <c r="FH2005" s="1628"/>
      <c r="FU2005" s="1678"/>
      <c r="FW2005" s="1678"/>
    </row>
    <row r="2006" spans="1:179" s="1484" customFormat="1" ht="15" x14ac:dyDescent="0.25">
      <c r="A2006" s="2032"/>
      <c r="B2006" s="1631" t="s">
        <v>190</v>
      </c>
      <c r="C2006" s="2805" t="s">
        <v>2523</v>
      </c>
      <c r="D2006" s="2805"/>
      <c r="E2006" s="2805"/>
      <c r="F2006" s="1683"/>
      <c r="G2006" s="1641"/>
      <c r="H2006" s="1641"/>
      <c r="I2006" s="1641"/>
      <c r="J2006" s="1654">
        <v>282.66000000000003</v>
      </c>
      <c r="K2006" s="1655">
        <v>1.25</v>
      </c>
      <c r="L2006" s="1654">
        <v>144.16</v>
      </c>
      <c r="M2006" s="1655">
        <v>35.75</v>
      </c>
      <c r="N2006" s="1679">
        <v>5153.72</v>
      </c>
      <c r="EW2006" s="2031"/>
      <c r="EX2006" s="1619"/>
      <c r="EY2006" s="1628"/>
      <c r="EZ2006" s="1628"/>
      <c r="FA2006" s="1628"/>
      <c r="FE2006" s="1864" t="s">
        <v>2523</v>
      </c>
      <c r="FH2006" s="1628"/>
      <c r="FU2006" s="1678"/>
      <c r="FW2006" s="1678"/>
    </row>
    <row r="2007" spans="1:179" s="1484" customFormat="1" ht="15" x14ac:dyDescent="0.25">
      <c r="A2007" s="2032"/>
      <c r="B2007" s="1631" t="s">
        <v>639</v>
      </c>
      <c r="C2007" s="2805" t="s">
        <v>697</v>
      </c>
      <c r="D2007" s="2805"/>
      <c r="E2007" s="2805"/>
      <c r="F2007" s="1683"/>
      <c r="G2007" s="1641"/>
      <c r="H2007" s="1641"/>
      <c r="I2007" s="1641"/>
      <c r="J2007" s="1654">
        <v>43.61</v>
      </c>
      <c r="K2007" s="1641"/>
      <c r="L2007" s="1654">
        <v>17.79</v>
      </c>
      <c r="M2007" s="1655">
        <v>11.97</v>
      </c>
      <c r="N2007" s="2039">
        <v>212.95</v>
      </c>
      <c r="EW2007" s="2031"/>
      <c r="EX2007" s="1619"/>
      <c r="EY2007" s="1628"/>
      <c r="EZ2007" s="1628"/>
      <c r="FA2007" s="1628"/>
      <c r="FE2007" s="1864" t="s">
        <v>697</v>
      </c>
      <c r="FH2007" s="1628"/>
      <c r="FU2007" s="1678"/>
      <c r="FW2007" s="1678"/>
    </row>
    <row r="2008" spans="1:179" s="1484" customFormat="1" ht="15" x14ac:dyDescent="0.25">
      <c r="A2008" s="2032"/>
      <c r="B2008" s="1631" t="s">
        <v>640</v>
      </c>
      <c r="C2008" s="2805" t="s">
        <v>2500</v>
      </c>
      <c r="D2008" s="2805"/>
      <c r="E2008" s="2805"/>
      <c r="F2008" s="1683"/>
      <c r="G2008" s="1641"/>
      <c r="H2008" s="1641"/>
      <c r="I2008" s="1641"/>
      <c r="J2008" s="1654">
        <v>17.149999999999999</v>
      </c>
      <c r="K2008" s="1641"/>
      <c r="L2008" s="1654">
        <v>7</v>
      </c>
      <c r="M2008" s="1655">
        <v>35.75</v>
      </c>
      <c r="N2008" s="2039">
        <v>250.25</v>
      </c>
      <c r="EW2008" s="2031"/>
      <c r="EX2008" s="1619"/>
      <c r="EY2008" s="1628"/>
      <c r="EZ2008" s="1628"/>
      <c r="FA2008" s="1628"/>
      <c r="FE2008" s="1864" t="s">
        <v>2500</v>
      </c>
      <c r="FH2008" s="1628"/>
      <c r="FU2008" s="1678"/>
      <c r="FW2008" s="1678"/>
    </row>
    <row r="2009" spans="1:179" s="1484" customFormat="1" ht="15" x14ac:dyDescent="0.25">
      <c r="A2009" s="2032"/>
      <c r="B2009" s="1631" t="s">
        <v>232</v>
      </c>
      <c r="C2009" s="2805" t="s">
        <v>829</v>
      </c>
      <c r="D2009" s="2805"/>
      <c r="E2009" s="2805"/>
      <c r="F2009" s="1683"/>
      <c r="G2009" s="1641"/>
      <c r="H2009" s="1641"/>
      <c r="I2009" s="1641"/>
      <c r="J2009" s="1654">
        <v>8.5399999999999991</v>
      </c>
      <c r="K2009" s="1641"/>
      <c r="L2009" s="1654">
        <v>3.48</v>
      </c>
      <c r="M2009" s="1655">
        <v>9.14</v>
      </c>
      <c r="N2009" s="2039">
        <v>31.81</v>
      </c>
      <c r="EW2009" s="2031"/>
      <c r="EX2009" s="1619"/>
      <c r="EY2009" s="1628"/>
      <c r="EZ2009" s="1628"/>
      <c r="FA2009" s="1628"/>
      <c r="FE2009" s="1864" t="s">
        <v>829</v>
      </c>
      <c r="FH2009" s="1628"/>
      <c r="FU2009" s="1678"/>
      <c r="FW2009" s="1678"/>
    </row>
    <row r="2010" spans="1:179" s="1484" customFormat="1" ht="15" x14ac:dyDescent="0.25">
      <c r="A2010" s="2033"/>
      <c r="B2010" s="1631"/>
      <c r="C2010" s="2805" t="s">
        <v>2524</v>
      </c>
      <c r="D2010" s="2805"/>
      <c r="E2010" s="2805"/>
      <c r="F2010" s="1683" t="s">
        <v>807</v>
      </c>
      <c r="G2010" s="1953">
        <v>35.6</v>
      </c>
      <c r="H2010" s="1641"/>
      <c r="I2010" s="2035">
        <v>14.524800000000001</v>
      </c>
      <c r="J2010" s="1640"/>
      <c r="K2010" s="1641"/>
      <c r="L2010" s="1640"/>
      <c r="M2010" s="1641"/>
      <c r="N2010" s="1681"/>
      <c r="EW2010" s="2031"/>
      <c r="EX2010" s="1619"/>
      <c r="EY2010" s="1628"/>
      <c r="EZ2010" s="1628"/>
      <c r="FA2010" s="1628"/>
      <c r="FF2010" s="1864" t="s">
        <v>2524</v>
      </c>
      <c r="FH2010" s="1628"/>
      <c r="FU2010" s="1678"/>
      <c r="FW2010" s="1678"/>
    </row>
    <row r="2011" spans="1:179" s="1484" customFormat="1" ht="15" x14ac:dyDescent="0.25">
      <c r="A2011" s="2033"/>
      <c r="B2011" s="1631"/>
      <c r="C2011" s="2805" t="s">
        <v>2501</v>
      </c>
      <c r="D2011" s="2805"/>
      <c r="E2011" s="2805"/>
      <c r="F2011" s="1683" t="s">
        <v>807</v>
      </c>
      <c r="G2011" s="1655">
        <v>1.27</v>
      </c>
      <c r="H2011" s="1641"/>
      <c r="I2011" s="2042">
        <v>0.51815999999999995</v>
      </c>
      <c r="J2011" s="1640"/>
      <c r="K2011" s="1641"/>
      <c r="L2011" s="1640"/>
      <c r="M2011" s="1641"/>
      <c r="N2011" s="1681"/>
      <c r="EW2011" s="2031"/>
      <c r="EX2011" s="1619"/>
      <c r="EY2011" s="1628"/>
      <c r="EZ2011" s="1628"/>
      <c r="FA2011" s="1628"/>
      <c r="FF2011" s="1864" t="s">
        <v>2501</v>
      </c>
      <c r="FH2011" s="1628"/>
      <c r="FU2011" s="1678"/>
      <c r="FW2011" s="1678"/>
    </row>
    <row r="2012" spans="1:179" s="1484" customFormat="1" ht="15" x14ac:dyDescent="0.25">
      <c r="A2012" s="2032"/>
      <c r="B2012" s="1631"/>
      <c r="C2012" s="2917" t="s">
        <v>2502</v>
      </c>
      <c r="D2012" s="2917"/>
      <c r="E2012" s="2917"/>
      <c r="F2012" s="2036"/>
      <c r="G2012" s="2037"/>
      <c r="H2012" s="2037"/>
      <c r="I2012" s="2037"/>
      <c r="J2012" s="2044">
        <v>334.81</v>
      </c>
      <c r="K2012" s="2037"/>
      <c r="L2012" s="2044">
        <v>165.43</v>
      </c>
      <c r="M2012" s="2037"/>
      <c r="N2012" s="2068">
        <v>5398.48</v>
      </c>
      <c r="EW2012" s="2031"/>
      <c r="EX2012" s="1619"/>
      <c r="EY2012" s="1628"/>
      <c r="EZ2012" s="1628"/>
      <c r="FA2012" s="1628"/>
      <c r="FG2012" s="1864" t="s">
        <v>2502</v>
      </c>
      <c r="FH2012" s="1628"/>
      <c r="FU2012" s="1678"/>
      <c r="FW2012" s="1678"/>
    </row>
    <row r="2013" spans="1:179" s="1484" customFormat="1" ht="15" x14ac:dyDescent="0.25">
      <c r="A2013" s="2033" t="s">
        <v>8289</v>
      </c>
      <c r="B2013" s="1631"/>
      <c r="C2013" s="2805" t="s">
        <v>7964</v>
      </c>
      <c r="D2013" s="2805"/>
      <c r="E2013" s="2805"/>
      <c r="F2013" s="1683" t="s">
        <v>5928</v>
      </c>
      <c r="G2013" s="1641"/>
      <c r="H2013" s="1641"/>
      <c r="I2013" s="1641"/>
      <c r="J2013" s="1640"/>
      <c r="K2013" s="1641"/>
      <c r="L2013" s="1654">
        <v>1.75</v>
      </c>
      <c r="M2013" s="1641"/>
      <c r="N2013" s="2039">
        <v>62.56</v>
      </c>
      <c r="EW2013" s="2031"/>
      <c r="EX2013" s="1619"/>
      <c r="EY2013" s="1628"/>
      <c r="EZ2013" s="1628"/>
      <c r="FA2013" s="1628"/>
      <c r="FF2013" s="1864" t="s">
        <v>7964</v>
      </c>
      <c r="FH2013" s="1628"/>
      <c r="FU2013" s="1678"/>
      <c r="FW2013" s="1678"/>
    </row>
    <row r="2014" spans="1:179" s="1484" customFormat="1" ht="15" x14ac:dyDescent="0.25">
      <c r="A2014" s="2033"/>
      <c r="B2014" s="1631"/>
      <c r="C2014" s="2805" t="s">
        <v>7965</v>
      </c>
      <c r="D2014" s="2805"/>
      <c r="E2014" s="2805"/>
      <c r="F2014" s="1683" t="s">
        <v>5928</v>
      </c>
      <c r="G2014" s="1641"/>
      <c r="H2014" s="1641"/>
      <c r="I2014" s="1641"/>
      <c r="J2014" s="1654">
        <v>17.149999999999999</v>
      </c>
      <c r="K2014" s="1655">
        <v>0.25</v>
      </c>
      <c r="L2014" s="1654">
        <v>1.75</v>
      </c>
      <c r="M2014" s="1655">
        <v>35.75</v>
      </c>
      <c r="N2014" s="2039">
        <v>62.56</v>
      </c>
      <c r="EW2014" s="2031"/>
      <c r="EX2014" s="1619"/>
      <c r="EY2014" s="1628"/>
      <c r="EZ2014" s="1628"/>
      <c r="FA2014" s="1628"/>
      <c r="FF2014" s="1864" t="s">
        <v>7965</v>
      </c>
      <c r="FH2014" s="1628"/>
      <c r="FU2014" s="1678"/>
      <c r="FW2014" s="1678"/>
    </row>
    <row r="2015" spans="1:179" s="1484" customFormat="1" ht="15" x14ac:dyDescent="0.25">
      <c r="A2015" s="2033"/>
      <c r="B2015" s="1631"/>
      <c r="C2015" s="2805" t="s">
        <v>867</v>
      </c>
      <c r="D2015" s="2805"/>
      <c r="E2015" s="2805"/>
      <c r="F2015" s="1683"/>
      <c r="G2015" s="1641"/>
      <c r="H2015" s="1641"/>
      <c r="I2015" s="1641"/>
      <c r="J2015" s="1640"/>
      <c r="K2015" s="1641"/>
      <c r="L2015" s="1654">
        <v>152.91</v>
      </c>
      <c r="M2015" s="1641"/>
      <c r="N2015" s="1679">
        <v>5466.53</v>
      </c>
      <c r="EW2015" s="2031"/>
      <c r="EX2015" s="1619"/>
      <c r="EY2015" s="1628"/>
      <c r="EZ2015" s="1628"/>
      <c r="FA2015" s="1628"/>
      <c r="FF2015" s="1864" t="s">
        <v>867</v>
      </c>
      <c r="FH2015" s="1628"/>
      <c r="FU2015" s="1678"/>
      <c r="FW2015" s="1678"/>
    </row>
    <row r="2016" spans="1:179" s="1484" customFormat="1" ht="15" x14ac:dyDescent="0.25">
      <c r="A2016" s="2033"/>
      <c r="B2016" s="1631" t="s">
        <v>8054</v>
      </c>
      <c r="C2016" s="2805" t="s">
        <v>8055</v>
      </c>
      <c r="D2016" s="2805"/>
      <c r="E2016" s="2805"/>
      <c r="F2016" s="1683" t="s">
        <v>636</v>
      </c>
      <c r="G2016" s="2034">
        <v>112</v>
      </c>
      <c r="H2016" s="1641"/>
      <c r="I2016" s="2034">
        <v>112</v>
      </c>
      <c r="J2016" s="1640"/>
      <c r="K2016" s="1641"/>
      <c r="L2016" s="1654">
        <v>171.26</v>
      </c>
      <c r="M2016" s="1641"/>
      <c r="N2016" s="1679">
        <v>6122.51</v>
      </c>
      <c r="EW2016" s="2031"/>
      <c r="EX2016" s="1619"/>
      <c r="EY2016" s="1628"/>
      <c r="EZ2016" s="1628"/>
      <c r="FA2016" s="1628"/>
      <c r="FF2016" s="1864" t="s">
        <v>8055</v>
      </c>
      <c r="FH2016" s="1628"/>
      <c r="FU2016" s="1678"/>
      <c r="FW2016" s="1678"/>
    </row>
    <row r="2017" spans="1:179" s="1484" customFormat="1" ht="15" x14ac:dyDescent="0.25">
      <c r="A2017" s="2033"/>
      <c r="B2017" s="1631" t="s">
        <v>8056</v>
      </c>
      <c r="C2017" s="2805" t="s">
        <v>8057</v>
      </c>
      <c r="D2017" s="2805"/>
      <c r="E2017" s="2805"/>
      <c r="F2017" s="1683" t="s">
        <v>636</v>
      </c>
      <c r="G2017" s="2034">
        <v>65</v>
      </c>
      <c r="H2017" s="1641"/>
      <c r="I2017" s="2034">
        <v>65</v>
      </c>
      <c r="J2017" s="1640"/>
      <c r="K2017" s="1641"/>
      <c r="L2017" s="1654">
        <v>99.39</v>
      </c>
      <c r="M2017" s="1641"/>
      <c r="N2017" s="1679">
        <v>3553.24</v>
      </c>
      <c r="EW2017" s="2031"/>
      <c r="EX2017" s="1619"/>
      <c r="EY2017" s="1628"/>
      <c r="EZ2017" s="1628"/>
      <c r="FA2017" s="1628"/>
      <c r="FF2017" s="1864" t="s">
        <v>8057</v>
      </c>
      <c r="FH2017" s="1628"/>
      <c r="FU2017" s="1678"/>
      <c r="FW2017" s="1678"/>
    </row>
    <row r="2018" spans="1:179" s="1484" customFormat="1" ht="15" x14ac:dyDescent="0.25">
      <c r="A2018" s="1650"/>
      <c r="B2018" s="1651"/>
      <c r="C2018" s="2803" t="s">
        <v>872</v>
      </c>
      <c r="D2018" s="2803"/>
      <c r="E2018" s="2803"/>
      <c r="F2018" s="1621"/>
      <c r="G2018" s="1622"/>
      <c r="H2018" s="1622"/>
      <c r="I2018" s="1622"/>
      <c r="J2018" s="1625"/>
      <c r="K2018" s="1622"/>
      <c r="L2018" s="2040">
        <v>437.83</v>
      </c>
      <c r="M2018" s="2037"/>
      <c r="N2018" s="1649">
        <v>15136.79</v>
      </c>
      <c r="EW2018" s="2031"/>
      <c r="EX2018" s="1619"/>
      <c r="EY2018" s="1628"/>
      <c r="EZ2018" s="1628"/>
      <c r="FA2018" s="1628"/>
      <c r="FH2018" s="1628" t="s">
        <v>872</v>
      </c>
      <c r="FU2018" s="1678"/>
      <c r="FW2018" s="1678"/>
    </row>
    <row r="2019" spans="1:179" s="1484" customFormat="1" ht="22.5" x14ac:dyDescent="0.25">
      <c r="A2019" s="1620" t="s">
        <v>8290</v>
      </c>
      <c r="B2019" s="1863" t="s">
        <v>8291</v>
      </c>
      <c r="C2019" s="2803" t="s">
        <v>4935</v>
      </c>
      <c r="D2019" s="2803"/>
      <c r="E2019" s="2803"/>
      <c r="F2019" s="1621" t="s">
        <v>832</v>
      </c>
      <c r="G2019" s="1622">
        <v>0.83231999999999995</v>
      </c>
      <c r="H2019" s="1623">
        <v>1</v>
      </c>
      <c r="I2019" s="2048">
        <v>0.83231999999999995</v>
      </c>
      <c r="J2019" s="2040">
        <v>548.29999999999995</v>
      </c>
      <c r="K2019" s="1622"/>
      <c r="L2019" s="2040">
        <v>456.36</v>
      </c>
      <c r="M2019" s="1687">
        <v>9.14</v>
      </c>
      <c r="N2019" s="1649">
        <v>4171.13</v>
      </c>
      <c r="EW2019" s="2031"/>
      <c r="EX2019" s="1619"/>
      <c r="EY2019" s="1628" t="s">
        <v>4935</v>
      </c>
      <c r="EZ2019" s="1628" t="s">
        <v>588</v>
      </c>
      <c r="FA2019" s="1628" t="s">
        <v>588</v>
      </c>
      <c r="FH2019" s="1628"/>
      <c r="FU2019" s="1678"/>
      <c r="FW2019" s="1678"/>
    </row>
    <row r="2020" spans="1:179" s="1484" customFormat="1" ht="15" x14ac:dyDescent="0.25">
      <c r="A2020" s="1650"/>
      <c r="B2020" s="1651"/>
      <c r="C2020" s="2805" t="s">
        <v>8640</v>
      </c>
      <c r="D2020" s="2805"/>
      <c r="E2020" s="2805"/>
      <c r="F2020" s="2805"/>
      <c r="G2020" s="2805"/>
      <c r="H2020" s="2805"/>
      <c r="I2020" s="2805"/>
      <c r="J2020" s="2805"/>
      <c r="K2020" s="2805"/>
      <c r="L2020" s="2805"/>
      <c r="M2020" s="2805"/>
      <c r="N2020" s="2806"/>
      <c r="EW2020" s="2031"/>
      <c r="EX2020" s="1619"/>
      <c r="EY2020" s="1628"/>
      <c r="EZ2020" s="1628"/>
      <c r="FA2020" s="1628"/>
      <c r="FH2020" s="1628"/>
      <c r="FI2020" s="1864" t="s">
        <v>8640</v>
      </c>
      <c r="FJ2020" s="1864" t="s">
        <v>588</v>
      </c>
      <c r="FK2020" s="1864" t="s">
        <v>588</v>
      </c>
      <c r="FL2020" s="1864" t="s">
        <v>588</v>
      </c>
      <c r="FM2020" s="1864" t="s">
        <v>588</v>
      </c>
      <c r="FN2020" s="1864" t="s">
        <v>588</v>
      </c>
      <c r="FO2020" s="1864" t="s">
        <v>588</v>
      </c>
      <c r="FP2020" s="1864" t="s">
        <v>588</v>
      </c>
      <c r="FQ2020" s="1864" t="s">
        <v>588</v>
      </c>
      <c r="FR2020" s="1864" t="s">
        <v>588</v>
      </c>
      <c r="FS2020" s="1864" t="s">
        <v>588</v>
      </c>
      <c r="FT2020" s="1864" t="s">
        <v>588</v>
      </c>
      <c r="FU2020" s="1678"/>
      <c r="FW2020" s="1678"/>
    </row>
    <row r="2021" spans="1:179" s="1484" customFormat="1" ht="15" x14ac:dyDescent="0.25">
      <c r="A2021" s="1629"/>
      <c r="B2021" s="1862"/>
      <c r="C2021" s="2805" t="s">
        <v>8804</v>
      </c>
      <c r="D2021" s="2805"/>
      <c r="E2021" s="2805"/>
      <c r="F2021" s="2805"/>
      <c r="G2021" s="2805"/>
      <c r="H2021" s="2805"/>
      <c r="I2021" s="2805"/>
      <c r="J2021" s="2805"/>
      <c r="K2021" s="2805"/>
      <c r="L2021" s="2805"/>
      <c r="M2021" s="2805"/>
      <c r="N2021" s="2806"/>
      <c r="EW2021" s="2031"/>
      <c r="EX2021" s="1619"/>
      <c r="EY2021" s="1628"/>
      <c r="EZ2021" s="1628"/>
      <c r="FA2021" s="1628"/>
      <c r="FB2021" s="1864" t="s">
        <v>8804</v>
      </c>
      <c r="FH2021" s="1628"/>
      <c r="FU2021" s="1678"/>
      <c r="FW2021" s="1678"/>
    </row>
    <row r="2022" spans="1:179" s="1484" customFormat="1" ht="15" x14ac:dyDescent="0.25">
      <c r="A2022" s="1650"/>
      <c r="B2022" s="1651"/>
      <c r="C2022" s="2803" t="s">
        <v>872</v>
      </c>
      <c r="D2022" s="2803"/>
      <c r="E2022" s="2803"/>
      <c r="F2022" s="1621"/>
      <c r="G2022" s="1622"/>
      <c r="H2022" s="1622"/>
      <c r="I2022" s="1622"/>
      <c r="J2022" s="1625"/>
      <c r="K2022" s="1622"/>
      <c r="L2022" s="2040">
        <v>456.36</v>
      </c>
      <c r="M2022" s="2037"/>
      <c r="N2022" s="1649">
        <v>4171.13</v>
      </c>
      <c r="EW2022" s="2031"/>
      <c r="EX2022" s="1619"/>
      <c r="EY2022" s="1628"/>
      <c r="EZ2022" s="1628"/>
      <c r="FA2022" s="1628"/>
      <c r="FH2022" s="1628" t="s">
        <v>872</v>
      </c>
      <c r="FU2022" s="1678"/>
      <c r="FW2022" s="1678"/>
    </row>
    <row r="2023" spans="1:179" s="1484" customFormat="1" ht="33.75" x14ac:dyDescent="0.25">
      <c r="A2023" s="1620" t="s">
        <v>8292</v>
      </c>
      <c r="B2023" s="1863" t="s">
        <v>8757</v>
      </c>
      <c r="C2023" s="2803" t="s">
        <v>8141</v>
      </c>
      <c r="D2023" s="2803"/>
      <c r="E2023" s="2803"/>
      <c r="F2023" s="1621" t="s">
        <v>2555</v>
      </c>
      <c r="G2023" s="1622">
        <v>0.40799999999999997</v>
      </c>
      <c r="H2023" s="1623">
        <v>1</v>
      </c>
      <c r="I2023" s="2045">
        <v>0.40799999999999997</v>
      </c>
      <c r="J2023" s="1625"/>
      <c r="K2023" s="1622"/>
      <c r="L2023" s="1625"/>
      <c r="M2023" s="1622"/>
      <c r="N2023" s="1627"/>
      <c r="EW2023" s="2031"/>
      <c r="EX2023" s="1619"/>
      <c r="EY2023" s="1628" t="s">
        <v>8141</v>
      </c>
      <c r="EZ2023" s="1628" t="s">
        <v>588</v>
      </c>
      <c r="FA2023" s="1628" t="s">
        <v>588</v>
      </c>
      <c r="FH2023" s="1628"/>
      <c r="FU2023" s="1678"/>
      <c r="FW2023" s="1678"/>
    </row>
    <row r="2024" spans="1:179" s="1484" customFormat="1" ht="15" x14ac:dyDescent="0.25">
      <c r="A2024" s="1629"/>
      <c r="B2024" s="1862"/>
      <c r="C2024" s="2805" t="s">
        <v>8786</v>
      </c>
      <c r="D2024" s="2805"/>
      <c r="E2024" s="2805"/>
      <c r="F2024" s="2805"/>
      <c r="G2024" s="2805"/>
      <c r="H2024" s="2805"/>
      <c r="I2024" s="2805"/>
      <c r="J2024" s="2805"/>
      <c r="K2024" s="2805"/>
      <c r="L2024" s="2805"/>
      <c r="M2024" s="2805"/>
      <c r="N2024" s="2806"/>
      <c r="EW2024" s="2031"/>
      <c r="EX2024" s="1619"/>
      <c r="EY2024" s="1628"/>
      <c r="EZ2024" s="1628"/>
      <c r="FA2024" s="1628"/>
      <c r="FB2024" s="1864" t="s">
        <v>8786</v>
      </c>
      <c r="FH2024" s="1628"/>
      <c r="FU2024" s="1678"/>
      <c r="FW2024" s="1678"/>
    </row>
    <row r="2025" spans="1:179" s="1484" customFormat="1" ht="22.5" x14ac:dyDescent="0.25">
      <c r="A2025" s="1630"/>
      <c r="B2025" s="1631" t="s">
        <v>6062</v>
      </c>
      <c r="C2025" s="2809" t="s">
        <v>6063</v>
      </c>
      <c r="D2025" s="2809"/>
      <c r="E2025" s="2809"/>
      <c r="F2025" s="2809"/>
      <c r="G2025" s="2809"/>
      <c r="H2025" s="2809"/>
      <c r="I2025" s="2809"/>
      <c r="J2025" s="2809"/>
      <c r="K2025" s="2809"/>
      <c r="L2025" s="2809"/>
      <c r="M2025" s="2809"/>
      <c r="N2025" s="2810"/>
      <c r="EW2025" s="2031"/>
      <c r="EX2025" s="1619"/>
      <c r="EY2025" s="1628"/>
      <c r="EZ2025" s="1628"/>
      <c r="FA2025" s="1628"/>
      <c r="FC2025" s="1864" t="s">
        <v>6063</v>
      </c>
      <c r="FH2025" s="1628"/>
      <c r="FU2025" s="1678"/>
      <c r="FW2025" s="1678"/>
    </row>
    <row r="2026" spans="1:179" s="1484" customFormat="1" ht="15" x14ac:dyDescent="0.25">
      <c r="A2026" s="1630"/>
      <c r="B2026" s="1631" t="s">
        <v>8142</v>
      </c>
      <c r="C2026" s="2809" t="s">
        <v>8143</v>
      </c>
      <c r="D2026" s="2809"/>
      <c r="E2026" s="2809"/>
      <c r="F2026" s="2809"/>
      <c r="G2026" s="2809"/>
      <c r="H2026" s="2809"/>
      <c r="I2026" s="2809"/>
      <c r="J2026" s="2809"/>
      <c r="K2026" s="2809"/>
      <c r="L2026" s="2809"/>
      <c r="M2026" s="2809"/>
      <c r="N2026" s="2810"/>
      <c r="EW2026" s="2031"/>
      <c r="EX2026" s="1619"/>
      <c r="EY2026" s="1628"/>
      <c r="EZ2026" s="1628"/>
      <c r="FA2026" s="1628"/>
      <c r="FC2026" s="1864" t="s">
        <v>8143</v>
      </c>
      <c r="FH2026" s="1628"/>
      <c r="FU2026" s="1678"/>
      <c r="FW2026" s="1678"/>
    </row>
    <row r="2027" spans="1:179" s="1484" customFormat="1" ht="22.5" x14ac:dyDescent="0.25">
      <c r="A2027" s="2033"/>
      <c r="B2027" s="1631" t="s">
        <v>8756</v>
      </c>
      <c r="C2027" s="2805" t="s">
        <v>8755</v>
      </c>
      <c r="D2027" s="2805"/>
      <c r="E2027" s="2805"/>
      <c r="F2027" s="1683" t="s">
        <v>807</v>
      </c>
      <c r="G2027" s="1655">
        <v>0.44</v>
      </c>
      <c r="H2027" s="2034">
        <v>4</v>
      </c>
      <c r="I2027" s="2042">
        <v>0.71808000000000005</v>
      </c>
      <c r="J2027" s="1654">
        <v>7.94</v>
      </c>
      <c r="K2027" s="1655">
        <v>1.25</v>
      </c>
      <c r="L2027" s="1654">
        <v>7.13</v>
      </c>
      <c r="M2027" s="1641"/>
      <c r="N2027" s="1681"/>
      <c r="EW2027" s="2031"/>
      <c r="EX2027" s="1619"/>
      <c r="EY2027" s="1628"/>
      <c r="EZ2027" s="1628"/>
      <c r="FA2027" s="1628"/>
      <c r="FD2027" s="1864" t="s">
        <v>8755</v>
      </c>
      <c r="FH2027" s="1628"/>
      <c r="FU2027" s="1678"/>
      <c r="FW2027" s="1678"/>
    </row>
    <row r="2028" spans="1:179" s="1484" customFormat="1" ht="22.5" x14ac:dyDescent="0.25">
      <c r="A2028" s="2033"/>
      <c r="B2028" s="1631" t="s">
        <v>5010</v>
      </c>
      <c r="C2028" s="2805" t="s">
        <v>5011</v>
      </c>
      <c r="D2028" s="2805"/>
      <c r="E2028" s="2805"/>
      <c r="F2028" s="1683" t="s">
        <v>4994</v>
      </c>
      <c r="G2028" s="1655">
        <v>0.21</v>
      </c>
      <c r="H2028" s="2034">
        <v>4</v>
      </c>
      <c r="I2028" s="2042">
        <v>0.34272000000000002</v>
      </c>
      <c r="J2028" s="1654">
        <v>31.26</v>
      </c>
      <c r="K2028" s="1641"/>
      <c r="L2028" s="1654">
        <v>10.71</v>
      </c>
      <c r="M2028" s="1641"/>
      <c r="N2028" s="1681"/>
      <c r="EW2028" s="2031"/>
      <c r="EX2028" s="1619"/>
      <c r="EY2028" s="1628"/>
      <c r="EZ2028" s="1628"/>
      <c r="FA2028" s="1628"/>
      <c r="FD2028" s="1864" t="s">
        <v>5011</v>
      </c>
      <c r="FH2028" s="1628"/>
      <c r="FU2028" s="1678"/>
      <c r="FW2028" s="1678"/>
    </row>
    <row r="2029" spans="1:179" s="1484" customFormat="1" ht="15" x14ac:dyDescent="0.25">
      <c r="A2029" s="2033"/>
      <c r="B2029" s="1631" t="s">
        <v>5012</v>
      </c>
      <c r="C2029" s="2805" t="s">
        <v>5013</v>
      </c>
      <c r="D2029" s="2805"/>
      <c r="E2029" s="2805"/>
      <c r="F2029" s="1683" t="s">
        <v>4994</v>
      </c>
      <c r="G2029" s="2034">
        <v>2</v>
      </c>
      <c r="H2029" s="2034">
        <v>4</v>
      </c>
      <c r="I2029" s="2046">
        <v>3.2639999999999998</v>
      </c>
      <c r="J2029" s="1654">
        <v>0.5</v>
      </c>
      <c r="K2029" s="1641"/>
      <c r="L2029" s="1654">
        <v>1.63</v>
      </c>
      <c r="M2029" s="1641"/>
      <c r="N2029" s="1681"/>
      <c r="EW2029" s="2031"/>
      <c r="EX2029" s="1619"/>
      <c r="EY2029" s="1628"/>
      <c r="EZ2029" s="1628"/>
      <c r="FA2029" s="1628"/>
      <c r="FD2029" s="1864" t="s">
        <v>5013</v>
      </c>
      <c r="FH2029" s="1628"/>
      <c r="FU2029" s="1678"/>
      <c r="FW2029" s="1678"/>
    </row>
    <row r="2030" spans="1:179" s="1484" customFormat="1" ht="15" x14ac:dyDescent="0.25">
      <c r="A2030" s="2032"/>
      <c r="B2030" s="1631" t="s">
        <v>190</v>
      </c>
      <c r="C2030" s="2805" t="s">
        <v>2523</v>
      </c>
      <c r="D2030" s="2805"/>
      <c r="E2030" s="2805"/>
      <c r="F2030" s="1683"/>
      <c r="G2030" s="1641"/>
      <c r="H2030" s="1641"/>
      <c r="I2030" s="1641"/>
      <c r="J2030" s="1654">
        <v>3.49</v>
      </c>
      <c r="K2030" s="2034">
        <v>5</v>
      </c>
      <c r="L2030" s="1654">
        <v>7.12</v>
      </c>
      <c r="M2030" s="1655">
        <v>35.75</v>
      </c>
      <c r="N2030" s="2039">
        <v>254.54</v>
      </c>
      <c r="EW2030" s="2031"/>
      <c r="EX2030" s="1619"/>
      <c r="EY2030" s="1628"/>
      <c r="EZ2030" s="1628"/>
      <c r="FA2030" s="1628"/>
      <c r="FE2030" s="1864" t="s">
        <v>2523</v>
      </c>
      <c r="FH2030" s="1628"/>
      <c r="FU2030" s="1678"/>
      <c r="FW2030" s="1678"/>
    </row>
    <row r="2031" spans="1:179" s="1484" customFormat="1" ht="15" x14ac:dyDescent="0.25">
      <c r="A2031" s="2032"/>
      <c r="B2031" s="1631" t="s">
        <v>639</v>
      </c>
      <c r="C2031" s="2805" t="s">
        <v>697</v>
      </c>
      <c r="D2031" s="2805"/>
      <c r="E2031" s="2805"/>
      <c r="F2031" s="1683"/>
      <c r="G2031" s="1641"/>
      <c r="H2031" s="1641"/>
      <c r="I2031" s="1641"/>
      <c r="J2031" s="1654">
        <v>7.56</v>
      </c>
      <c r="K2031" s="2034">
        <v>4</v>
      </c>
      <c r="L2031" s="1654">
        <v>12.34</v>
      </c>
      <c r="M2031" s="1655">
        <v>11.97</v>
      </c>
      <c r="N2031" s="2039">
        <v>147.71</v>
      </c>
      <c r="EW2031" s="2031"/>
      <c r="EX2031" s="1619"/>
      <c r="EY2031" s="1628"/>
      <c r="EZ2031" s="1628"/>
      <c r="FA2031" s="1628"/>
      <c r="FE2031" s="1864" t="s">
        <v>697</v>
      </c>
      <c r="FH2031" s="1628"/>
      <c r="FU2031" s="1678"/>
      <c r="FW2031" s="1678"/>
    </row>
    <row r="2032" spans="1:179" s="1484" customFormat="1" ht="15" x14ac:dyDescent="0.25">
      <c r="A2032" s="2032"/>
      <c r="B2032" s="1631" t="s">
        <v>640</v>
      </c>
      <c r="C2032" s="2805" t="s">
        <v>2500</v>
      </c>
      <c r="D2032" s="2805"/>
      <c r="E2032" s="2805"/>
      <c r="F2032" s="1683"/>
      <c r="G2032" s="1641"/>
      <c r="H2032" s="1641"/>
      <c r="I2032" s="1641"/>
      <c r="J2032" s="1654">
        <v>2.84</v>
      </c>
      <c r="K2032" s="2034">
        <v>4</v>
      </c>
      <c r="L2032" s="1654">
        <v>4.63</v>
      </c>
      <c r="M2032" s="1655">
        <v>35.75</v>
      </c>
      <c r="N2032" s="2039">
        <v>165.52</v>
      </c>
      <c r="EW2032" s="2031"/>
      <c r="EX2032" s="1619"/>
      <c r="EY2032" s="1628"/>
      <c r="EZ2032" s="1628"/>
      <c r="FA2032" s="1628"/>
      <c r="FE2032" s="1864" t="s">
        <v>2500</v>
      </c>
      <c r="FH2032" s="1628"/>
      <c r="FU2032" s="1678"/>
      <c r="FW2032" s="1678"/>
    </row>
    <row r="2033" spans="1:179" s="1484" customFormat="1" ht="15" x14ac:dyDescent="0.25">
      <c r="A2033" s="2033"/>
      <c r="B2033" s="1631"/>
      <c r="C2033" s="2805" t="s">
        <v>2524</v>
      </c>
      <c r="D2033" s="2805"/>
      <c r="E2033" s="2805"/>
      <c r="F2033" s="1683" t="s">
        <v>807</v>
      </c>
      <c r="G2033" s="1655">
        <v>0.44</v>
      </c>
      <c r="H2033" s="2034">
        <v>4</v>
      </c>
      <c r="I2033" s="2042">
        <v>0.71808000000000005</v>
      </c>
      <c r="J2033" s="1640"/>
      <c r="K2033" s="1641"/>
      <c r="L2033" s="1640"/>
      <c r="M2033" s="1641"/>
      <c r="N2033" s="1681"/>
      <c r="EW2033" s="2031"/>
      <c r="EX2033" s="1619"/>
      <c r="EY2033" s="1628"/>
      <c r="EZ2033" s="1628"/>
      <c r="FA2033" s="1628"/>
      <c r="FF2033" s="1864" t="s">
        <v>2524</v>
      </c>
      <c r="FH2033" s="1628"/>
      <c r="FU2033" s="1678"/>
      <c r="FW2033" s="1678"/>
    </row>
    <row r="2034" spans="1:179" s="1484" customFormat="1" ht="15" x14ac:dyDescent="0.25">
      <c r="A2034" s="2033"/>
      <c r="B2034" s="1631"/>
      <c r="C2034" s="2805" t="s">
        <v>2501</v>
      </c>
      <c r="D2034" s="2805"/>
      <c r="E2034" s="2805"/>
      <c r="F2034" s="1683" t="s">
        <v>807</v>
      </c>
      <c r="G2034" s="1655">
        <v>0.21</v>
      </c>
      <c r="H2034" s="2034">
        <v>4</v>
      </c>
      <c r="I2034" s="2042">
        <v>0.34272000000000002</v>
      </c>
      <c r="J2034" s="1640"/>
      <c r="K2034" s="1641"/>
      <c r="L2034" s="1640"/>
      <c r="M2034" s="1641"/>
      <c r="N2034" s="1681"/>
      <c r="EW2034" s="2031"/>
      <c r="EX2034" s="1619"/>
      <c r="EY2034" s="1628"/>
      <c r="EZ2034" s="1628"/>
      <c r="FA2034" s="1628"/>
      <c r="FF2034" s="1864" t="s">
        <v>2501</v>
      </c>
      <c r="FH2034" s="1628"/>
      <c r="FU2034" s="1678"/>
      <c r="FW2034" s="1678"/>
    </row>
    <row r="2035" spans="1:179" s="1484" customFormat="1" ht="15" x14ac:dyDescent="0.25">
      <c r="A2035" s="2032"/>
      <c r="B2035" s="1631"/>
      <c r="C2035" s="2917" t="s">
        <v>2502</v>
      </c>
      <c r="D2035" s="2917"/>
      <c r="E2035" s="2917"/>
      <c r="F2035" s="2036"/>
      <c r="G2035" s="2037"/>
      <c r="H2035" s="2037"/>
      <c r="I2035" s="2037"/>
      <c r="J2035" s="2044">
        <v>11.05</v>
      </c>
      <c r="K2035" s="2037"/>
      <c r="L2035" s="2044">
        <v>19.46</v>
      </c>
      <c r="M2035" s="2037"/>
      <c r="N2035" s="2070">
        <v>402.25</v>
      </c>
      <c r="EW2035" s="2031"/>
      <c r="EX2035" s="1619"/>
      <c r="EY2035" s="1628"/>
      <c r="EZ2035" s="1628"/>
      <c r="FA2035" s="1628"/>
      <c r="FG2035" s="1864" t="s">
        <v>2502</v>
      </c>
      <c r="FH2035" s="1628"/>
      <c r="FU2035" s="1678"/>
      <c r="FW2035" s="1678"/>
    </row>
    <row r="2036" spans="1:179" s="1484" customFormat="1" ht="15" x14ac:dyDescent="0.25">
      <c r="A2036" s="2033" t="s">
        <v>8293</v>
      </c>
      <c r="B2036" s="1631"/>
      <c r="C2036" s="2805" t="s">
        <v>7964</v>
      </c>
      <c r="D2036" s="2805"/>
      <c r="E2036" s="2805"/>
      <c r="F2036" s="1683" t="s">
        <v>5928</v>
      </c>
      <c r="G2036" s="1641"/>
      <c r="H2036" s="1641"/>
      <c r="I2036" s="1641"/>
      <c r="J2036" s="1640"/>
      <c r="K2036" s="1641"/>
      <c r="L2036" s="1654">
        <v>1.1599999999999999</v>
      </c>
      <c r="M2036" s="1641"/>
      <c r="N2036" s="2039">
        <v>41.47</v>
      </c>
      <c r="EW2036" s="2031"/>
      <c r="EX2036" s="1619"/>
      <c r="EY2036" s="1628"/>
      <c r="EZ2036" s="1628"/>
      <c r="FA2036" s="1628"/>
      <c r="FF2036" s="1864" t="s">
        <v>7964</v>
      </c>
      <c r="FH2036" s="1628"/>
      <c r="FU2036" s="1678"/>
      <c r="FW2036" s="1678"/>
    </row>
    <row r="2037" spans="1:179" s="1484" customFormat="1" ht="15" x14ac:dyDescent="0.25">
      <c r="A2037" s="2033"/>
      <c r="B2037" s="1631"/>
      <c r="C2037" s="2805" t="s">
        <v>7965</v>
      </c>
      <c r="D2037" s="2805"/>
      <c r="E2037" s="2805"/>
      <c r="F2037" s="1683" t="s">
        <v>5928</v>
      </c>
      <c r="G2037" s="1641"/>
      <c r="H2037" s="1641"/>
      <c r="I2037" s="1641"/>
      <c r="J2037" s="1654">
        <v>2.84</v>
      </c>
      <c r="K2037" s="2034">
        <v>1</v>
      </c>
      <c r="L2037" s="1654">
        <v>1.1599999999999999</v>
      </c>
      <c r="M2037" s="1655">
        <v>35.75</v>
      </c>
      <c r="N2037" s="2039">
        <v>41.47</v>
      </c>
      <c r="EW2037" s="2031"/>
      <c r="EX2037" s="1619"/>
      <c r="EY2037" s="1628"/>
      <c r="EZ2037" s="1628"/>
      <c r="FA2037" s="1628"/>
      <c r="FF2037" s="1864" t="s">
        <v>7965</v>
      </c>
      <c r="FH2037" s="1628"/>
      <c r="FU2037" s="1678"/>
      <c r="FW2037" s="1678"/>
    </row>
    <row r="2038" spans="1:179" s="1484" customFormat="1" ht="15" x14ac:dyDescent="0.25">
      <c r="A2038" s="2033"/>
      <c r="B2038" s="1631"/>
      <c r="C2038" s="2805" t="s">
        <v>867</v>
      </c>
      <c r="D2038" s="2805"/>
      <c r="E2038" s="2805"/>
      <c r="F2038" s="1683"/>
      <c r="G2038" s="1641"/>
      <c r="H2038" s="1641"/>
      <c r="I2038" s="1641"/>
      <c r="J2038" s="1640"/>
      <c r="K2038" s="1641"/>
      <c r="L2038" s="1654">
        <v>12.91</v>
      </c>
      <c r="M2038" s="1641"/>
      <c r="N2038" s="2039">
        <v>461.53</v>
      </c>
      <c r="EW2038" s="2031"/>
      <c r="EX2038" s="1619"/>
      <c r="EY2038" s="1628"/>
      <c r="EZ2038" s="1628"/>
      <c r="FA2038" s="1628"/>
      <c r="FF2038" s="1864" t="s">
        <v>867</v>
      </c>
      <c r="FH2038" s="1628"/>
      <c r="FU2038" s="1678"/>
      <c r="FW2038" s="1678"/>
    </row>
    <row r="2039" spans="1:179" s="1484" customFormat="1" ht="15" x14ac:dyDescent="0.25">
      <c r="A2039" s="2033"/>
      <c r="B2039" s="1631" t="s">
        <v>8054</v>
      </c>
      <c r="C2039" s="2805" t="s">
        <v>8055</v>
      </c>
      <c r="D2039" s="2805"/>
      <c r="E2039" s="2805"/>
      <c r="F2039" s="1683" t="s">
        <v>636</v>
      </c>
      <c r="G2039" s="2034">
        <v>112</v>
      </c>
      <c r="H2039" s="1641"/>
      <c r="I2039" s="2034">
        <v>112</v>
      </c>
      <c r="J2039" s="1640"/>
      <c r="K2039" s="1641"/>
      <c r="L2039" s="1654">
        <v>14.46</v>
      </c>
      <c r="M2039" s="1641"/>
      <c r="N2039" s="2039">
        <v>516.91</v>
      </c>
      <c r="EW2039" s="2031"/>
      <c r="EX2039" s="1619"/>
      <c r="EY2039" s="1628"/>
      <c r="EZ2039" s="1628"/>
      <c r="FA2039" s="1628"/>
      <c r="FF2039" s="1864" t="s">
        <v>8055</v>
      </c>
      <c r="FH2039" s="1628"/>
      <c r="FU2039" s="1678"/>
      <c r="FW2039" s="1678"/>
    </row>
    <row r="2040" spans="1:179" s="1484" customFormat="1" ht="15" x14ac:dyDescent="0.25">
      <c r="A2040" s="2033"/>
      <c r="B2040" s="1631" t="s">
        <v>8056</v>
      </c>
      <c r="C2040" s="2805" t="s">
        <v>8057</v>
      </c>
      <c r="D2040" s="2805"/>
      <c r="E2040" s="2805"/>
      <c r="F2040" s="1683" t="s">
        <v>636</v>
      </c>
      <c r="G2040" s="2034">
        <v>65</v>
      </c>
      <c r="H2040" s="1641"/>
      <c r="I2040" s="2034">
        <v>65</v>
      </c>
      <c r="J2040" s="1640"/>
      <c r="K2040" s="1641"/>
      <c r="L2040" s="1654">
        <v>8.39</v>
      </c>
      <c r="M2040" s="1641"/>
      <c r="N2040" s="2039">
        <v>299.99</v>
      </c>
      <c r="EW2040" s="2031"/>
      <c r="EX2040" s="1619"/>
      <c r="EY2040" s="1628"/>
      <c r="EZ2040" s="1628"/>
      <c r="FA2040" s="1628"/>
      <c r="FF2040" s="1864" t="s">
        <v>8057</v>
      </c>
      <c r="FH2040" s="1628"/>
      <c r="FU2040" s="1678"/>
      <c r="FW2040" s="1678"/>
    </row>
    <row r="2041" spans="1:179" s="1484" customFormat="1" ht="15" x14ac:dyDescent="0.25">
      <c r="A2041" s="1650"/>
      <c r="B2041" s="1651"/>
      <c r="C2041" s="2803" t="s">
        <v>872</v>
      </c>
      <c r="D2041" s="2803"/>
      <c r="E2041" s="2803"/>
      <c r="F2041" s="1621"/>
      <c r="G2041" s="1622"/>
      <c r="H2041" s="1622"/>
      <c r="I2041" s="1622"/>
      <c r="J2041" s="1625"/>
      <c r="K2041" s="1622"/>
      <c r="L2041" s="2040">
        <v>43.47</v>
      </c>
      <c r="M2041" s="2037"/>
      <c r="N2041" s="1649">
        <v>1260.6199999999999</v>
      </c>
      <c r="EW2041" s="2031"/>
      <c r="EX2041" s="1619"/>
      <c r="EY2041" s="1628"/>
      <c r="EZ2041" s="1628"/>
      <c r="FA2041" s="1628"/>
      <c r="FH2041" s="1628" t="s">
        <v>872</v>
      </c>
      <c r="FU2041" s="1678"/>
      <c r="FW2041" s="1678"/>
    </row>
    <row r="2042" spans="1:179" s="1484" customFormat="1" ht="22.5" x14ac:dyDescent="0.25">
      <c r="A2042" s="1620" t="s">
        <v>8294</v>
      </c>
      <c r="B2042" s="1863" t="s">
        <v>8291</v>
      </c>
      <c r="C2042" s="2803" t="s">
        <v>4935</v>
      </c>
      <c r="D2042" s="2803"/>
      <c r="E2042" s="2803"/>
      <c r="F2042" s="1621" t="s">
        <v>832</v>
      </c>
      <c r="G2042" s="1622">
        <v>0.83231999999999995</v>
      </c>
      <c r="H2042" s="1623">
        <v>1</v>
      </c>
      <c r="I2042" s="2048">
        <v>0.83231999999999995</v>
      </c>
      <c r="J2042" s="2040">
        <v>548.29999999999995</v>
      </c>
      <c r="K2042" s="1622"/>
      <c r="L2042" s="2040">
        <v>456.36</v>
      </c>
      <c r="M2042" s="1687">
        <v>9.14</v>
      </c>
      <c r="N2042" s="1649">
        <v>4171.13</v>
      </c>
      <c r="EW2042" s="2031"/>
      <c r="EX2042" s="1619"/>
      <c r="EY2042" s="1628" t="s">
        <v>4935</v>
      </c>
      <c r="EZ2042" s="1628" t="s">
        <v>588</v>
      </c>
      <c r="FA2042" s="1628" t="s">
        <v>588</v>
      </c>
      <c r="FH2042" s="1628"/>
      <c r="FU2042" s="1678"/>
      <c r="FW2042" s="1678"/>
    </row>
    <row r="2043" spans="1:179" s="1484" customFormat="1" ht="15" x14ac:dyDescent="0.25">
      <c r="A2043" s="1650"/>
      <c r="B2043" s="1651"/>
      <c r="C2043" s="2805" t="s">
        <v>8640</v>
      </c>
      <c r="D2043" s="2805"/>
      <c r="E2043" s="2805"/>
      <c r="F2043" s="2805"/>
      <c r="G2043" s="2805"/>
      <c r="H2043" s="2805"/>
      <c r="I2043" s="2805"/>
      <c r="J2043" s="2805"/>
      <c r="K2043" s="2805"/>
      <c r="L2043" s="2805"/>
      <c r="M2043" s="2805"/>
      <c r="N2043" s="2806"/>
      <c r="EW2043" s="2031"/>
      <c r="EX2043" s="1619"/>
      <c r="EY2043" s="1628"/>
      <c r="EZ2043" s="1628"/>
      <c r="FA2043" s="1628"/>
      <c r="FH2043" s="1628"/>
      <c r="FI2043" s="1864" t="s">
        <v>8640</v>
      </c>
      <c r="FJ2043" s="1864" t="s">
        <v>588</v>
      </c>
      <c r="FK2043" s="1864" t="s">
        <v>588</v>
      </c>
      <c r="FL2043" s="1864" t="s">
        <v>588</v>
      </c>
      <c r="FM2043" s="1864" t="s">
        <v>588</v>
      </c>
      <c r="FN2043" s="1864" t="s">
        <v>588</v>
      </c>
      <c r="FO2043" s="1864" t="s">
        <v>588</v>
      </c>
      <c r="FP2043" s="1864" t="s">
        <v>588</v>
      </c>
      <c r="FQ2043" s="1864" t="s">
        <v>588</v>
      </c>
      <c r="FR2043" s="1864" t="s">
        <v>588</v>
      </c>
      <c r="FS2043" s="1864" t="s">
        <v>588</v>
      </c>
      <c r="FT2043" s="1864" t="s">
        <v>588</v>
      </c>
      <c r="FU2043" s="1678"/>
      <c r="FW2043" s="1678"/>
    </row>
    <row r="2044" spans="1:179" s="1484" customFormat="1" ht="15" x14ac:dyDescent="0.25">
      <c r="A2044" s="1629"/>
      <c r="B2044" s="1862"/>
      <c r="C2044" s="2805" t="s">
        <v>8804</v>
      </c>
      <c r="D2044" s="2805"/>
      <c r="E2044" s="2805"/>
      <c r="F2044" s="2805"/>
      <c r="G2044" s="2805"/>
      <c r="H2044" s="2805"/>
      <c r="I2044" s="2805"/>
      <c r="J2044" s="2805"/>
      <c r="K2044" s="2805"/>
      <c r="L2044" s="2805"/>
      <c r="M2044" s="2805"/>
      <c r="N2044" s="2806"/>
      <c r="EW2044" s="2031"/>
      <c r="EX2044" s="1619"/>
      <c r="EY2044" s="1628"/>
      <c r="EZ2044" s="1628"/>
      <c r="FA2044" s="1628"/>
      <c r="FB2044" s="1864" t="s">
        <v>8804</v>
      </c>
      <c r="FH2044" s="1628"/>
      <c r="FU2044" s="1678"/>
      <c r="FW2044" s="1678"/>
    </row>
    <row r="2045" spans="1:179" s="1484" customFormat="1" ht="15" x14ac:dyDescent="0.25">
      <c r="A2045" s="1650"/>
      <c r="B2045" s="1651"/>
      <c r="C2045" s="2803" t="s">
        <v>872</v>
      </c>
      <c r="D2045" s="2803"/>
      <c r="E2045" s="2803"/>
      <c r="F2045" s="1621"/>
      <c r="G2045" s="1622"/>
      <c r="H2045" s="1622"/>
      <c r="I2045" s="1622"/>
      <c r="J2045" s="1625"/>
      <c r="K2045" s="1622"/>
      <c r="L2045" s="2040">
        <v>456.36</v>
      </c>
      <c r="M2045" s="2037"/>
      <c r="N2045" s="1649">
        <v>4171.13</v>
      </c>
      <c r="EW2045" s="2031"/>
      <c r="EX2045" s="1619"/>
      <c r="EY2045" s="1628"/>
      <c r="EZ2045" s="1628"/>
      <c r="FA2045" s="1628"/>
      <c r="FH2045" s="1628" t="s">
        <v>872</v>
      </c>
      <c r="FU2045" s="1678"/>
      <c r="FW2045" s="1678"/>
    </row>
    <row r="2046" spans="1:179" s="1484" customFormat="1" ht="22.5" x14ac:dyDescent="0.25">
      <c r="A2046" s="1620" t="s">
        <v>8295</v>
      </c>
      <c r="B2046" s="1863" t="s">
        <v>8296</v>
      </c>
      <c r="C2046" s="2803" t="s">
        <v>8297</v>
      </c>
      <c r="D2046" s="2803"/>
      <c r="E2046" s="2803"/>
      <c r="F2046" s="1621" t="s">
        <v>2555</v>
      </c>
      <c r="G2046" s="1622">
        <v>0.40799999999999997</v>
      </c>
      <c r="H2046" s="1623">
        <v>1</v>
      </c>
      <c r="I2046" s="2045">
        <v>0.40799999999999997</v>
      </c>
      <c r="J2046" s="1625"/>
      <c r="K2046" s="1622"/>
      <c r="L2046" s="1625"/>
      <c r="M2046" s="1622"/>
      <c r="N2046" s="1627"/>
      <c r="EW2046" s="2031"/>
      <c r="EX2046" s="1619"/>
      <c r="EY2046" s="1628" t="s">
        <v>8297</v>
      </c>
      <c r="EZ2046" s="1628" t="s">
        <v>588</v>
      </c>
      <c r="FA2046" s="1628" t="s">
        <v>588</v>
      </c>
      <c r="FH2046" s="1628"/>
      <c r="FU2046" s="1678"/>
      <c r="FW2046" s="1678"/>
    </row>
    <row r="2047" spans="1:179" s="1484" customFormat="1" ht="15" x14ac:dyDescent="0.25">
      <c r="A2047" s="1629"/>
      <c r="B2047" s="1862"/>
      <c r="C2047" s="2805" t="s">
        <v>8786</v>
      </c>
      <c r="D2047" s="2805"/>
      <c r="E2047" s="2805"/>
      <c r="F2047" s="2805"/>
      <c r="G2047" s="2805"/>
      <c r="H2047" s="2805"/>
      <c r="I2047" s="2805"/>
      <c r="J2047" s="2805"/>
      <c r="K2047" s="2805"/>
      <c r="L2047" s="2805"/>
      <c r="M2047" s="2805"/>
      <c r="N2047" s="2806"/>
      <c r="EW2047" s="2031"/>
      <c r="EX2047" s="1619"/>
      <c r="EY2047" s="1628"/>
      <c r="EZ2047" s="1628"/>
      <c r="FA2047" s="1628"/>
      <c r="FB2047" s="1864" t="s">
        <v>8786</v>
      </c>
      <c r="FH2047" s="1628"/>
      <c r="FU2047" s="1678"/>
      <c r="FW2047" s="1678"/>
    </row>
    <row r="2048" spans="1:179" s="1484" customFormat="1" ht="22.5" x14ac:dyDescent="0.25">
      <c r="A2048" s="1630"/>
      <c r="B2048" s="1631" t="s">
        <v>6062</v>
      </c>
      <c r="C2048" s="2809" t="s">
        <v>6063</v>
      </c>
      <c r="D2048" s="2809"/>
      <c r="E2048" s="2809"/>
      <c r="F2048" s="2809"/>
      <c r="G2048" s="2809"/>
      <c r="H2048" s="2809"/>
      <c r="I2048" s="2809"/>
      <c r="J2048" s="2809"/>
      <c r="K2048" s="2809"/>
      <c r="L2048" s="2809"/>
      <c r="M2048" s="2809"/>
      <c r="N2048" s="2810"/>
      <c r="EW2048" s="2031"/>
      <c r="EX2048" s="1619"/>
      <c r="EY2048" s="1628"/>
      <c r="EZ2048" s="1628"/>
      <c r="FA2048" s="1628"/>
      <c r="FC2048" s="1864" t="s">
        <v>6063</v>
      </c>
      <c r="FH2048" s="1628"/>
      <c r="FU2048" s="1678"/>
      <c r="FW2048" s="1678"/>
    </row>
    <row r="2049" spans="1:179" s="1484" customFormat="1" ht="22.5" x14ac:dyDescent="0.25">
      <c r="A2049" s="2033"/>
      <c r="B2049" s="1631" t="s">
        <v>8803</v>
      </c>
      <c r="C2049" s="2805" t="s">
        <v>8802</v>
      </c>
      <c r="D2049" s="2805"/>
      <c r="E2049" s="2805"/>
      <c r="F2049" s="1683" t="s">
        <v>807</v>
      </c>
      <c r="G2049" s="1655">
        <v>26.97</v>
      </c>
      <c r="H2049" s="1641"/>
      <c r="I2049" s="2042">
        <v>11.00376</v>
      </c>
      <c r="J2049" s="1654">
        <v>10.94</v>
      </c>
      <c r="K2049" s="1655">
        <v>1.25</v>
      </c>
      <c r="L2049" s="1654">
        <v>150.47999999999999</v>
      </c>
      <c r="M2049" s="1641"/>
      <c r="N2049" s="1681"/>
      <c r="EW2049" s="2031"/>
      <c r="EX2049" s="1619"/>
      <c r="EY2049" s="1628"/>
      <c r="EZ2049" s="1628"/>
      <c r="FA2049" s="1628"/>
      <c r="FD2049" s="1864" t="s">
        <v>8802</v>
      </c>
      <c r="FH2049" s="1628"/>
      <c r="FU2049" s="1678"/>
      <c r="FW2049" s="1678"/>
    </row>
    <row r="2050" spans="1:179" s="1484" customFormat="1" ht="22.5" x14ac:dyDescent="0.25">
      <c r="A2050" s="2033"/>
      <c r="B2050" s="1631" t="s">
        <v>5010</v>
      </c>
      <c r="C2050" s="2805" t="s">
        <v>5011</v>
      </c>
      <c r="D2050" s="2805"/>
      <c r="E2050" s="2805"/>
      <c r="F2050" s="1683" t="s">
        <v>4994</v>
      </c>
      <c r="G2050" s="1655">
        <v>0.03</v>
      </c>
      <c r="H2050" s="1641"/>
      <c r="I2050" s="2042">
        <v>1.2239999999999999E-2</v>
      </c>
      <c r="J2050" s="1654">
        <v>31.26</v>
      </c>
      <c r="K2050" s="1641"/>
      <c r="L2050" s="1654">
        <v>0.38</v>
      </c>
      <c r="M2050" s="1641"/>
      <c r="N2050" s="1681"/>
      <c r="EW2050" s="2031"/>
      <c r="EX2050" s="1619"/>
      <c r="EY2050" s="1628"/>
      <c r="EZ2050" s="1628"/>
      <c r="FA2050" s="1628"/>
      <c r="FD2050" s="1864" t="s">
        <v>5011</v>
      </c>
      <c r="FH2050" s="1628"/>
      <c r="FU2050" s="1678"/>
      <c r="FW2050" s="1678"/>
    </row>
    <row r="2051" spans="1:179" s="1484" customFormat="1" ht="15" x14ac:dyDescent="0.25">
      <c r="A2051" s="2033"/>
      <c r="B2051" s="1631" t="s">
        <v>5019</v>
      </c>
      <c r="C2051" s="2805" t="s">
        <v>8801</v>
      </c>
      <c r="D2051" s="2805"/>
      <c r="E2051" s="2805"/>
      <c r="F2051" s="1683" t="s">
        <v>4994</v>
      </c>
      <c r="G2051" s="1655">
        <v>0.72</v>
      </c>
      <c r="H2051" s="1641"/>
      <c r="I2051" s="2042">
        <v>0.29376000000000002</v>
      </c>
      <c r="J2051" s="1654">
        <v>30</v>
      </c>
      <c r="K2051" s="1641"/>
      <c r="L2051" s="1654">
        <v>8.81</v>
      </c>
      <c r="M2051" s="1641"/>
      <c r="N2051" s="1681"/>
      <c r="EW2051" s="2031"/>
      <c r="EX2051" s="1619"/>
      <c r="EY2051" s="1628"/>
      <c r="EZ2051" s="1628"/>
      <c r="FA2051" s="1628"/>
      <c r="FD2051" s="1864" t="s">
        <v>8801</v>
      </c>
      <c r="FH2051" s="1628"/>
      <c r="FU2051" s="1678"/>
      <c r="FW2051" s="1678"/>
    </row>
    <row r="2052" spans="1:179" s="1484" customFormat="1" ht="15" x14ac:dyDescent="0.25">
      <c r="A2052" s="2033"/>
      <c r="B2052" s="1631" t="s">
        <v>821</v>
      </c>
      <c r="C2052" s="2805" t="s">
        <v>822</v>
      </c>
      <c r="D2052" s="2805"/>
      <c r="E2052" s="2805"/>
      <c r="F2052" s="1683" t="s">
        <v>4994</v>
      </c>
      <c r="G2052" s="1655">
        <v>0.04</v>
      </c>
      <c r="H2052" s="1641"/>
      <c r="I2052" s="2042">
        <v>1.6320000000000001E-2</v>
      </c>
      <c r="J2052" s="1654">
        <v>65.709999999999994</v>
      </c>
      <c r="K2052" s="1641"/>
      <c r="L2052" s="1654">
        <v>1.07</v>
      </c>
      <c r="M2052" s="1641"/>
      <c r="N2052" s="1681"/>
      <c r="EW2052" s="2031"/>
      <c r="EX2052" s="1619"/>
      <c r="EY2052" s="1628"/>
      <c r="EZ2052" s="1628"/>
      <c r="FA2052" s="1628"/>
      <c r="FD2052" s="1864" t="s">
        <v>822</v>
      </c>
      <c r="FH2052" s="1628"/>
      <c r="FU2052" s="1678"/>
      <c r="FW2052" s="1678"/>
    </row>
    <row r="2053" spans="1:179" s="1484" customFormat="1" ht="15" x14ac:dyDescent="0.25">
      <c r="A2053" s="2033"/>
      <c r="B2053" s="1631" t="s">
        <v>5033</v>
      </c>
      <c r="C2053" s="2805" t="s">
        <v>5034</v>
      </c>
      <c r="D2053" s="2805"/>
      <c r="E2053" s="2805"/>
      <c r="F2053" s="1683" t="s">
        <v>4994</v>
      </c>
      <c r="G2053" s="1655">
        <v>0.25</v>
      </c>
      <c r="H2053" s="1641"/>
      <c r="I2053" s="2046">
        <v>0.10199999999999999</v>
      </c>
      <c r="J2053" s="1654">
        <v>2.7</v>
      </c>
      <c r="K2053" s="1641"/>
      <c r="L2053" s="1654">
        <v>0.28000000000000003</v>
      </c>
      <c r="M2053" s="1641"/>
      <c r="N2053" s="1681"/>
      <c r="EW2053" s="2031"/>
      <c r="EX2053" s="1619"/>
      <c r="EY2053" s="1628"/>
      <c r="EZ2053" s="1628"/>
      <c r="FA2053" s="1628"/>
      <c r="FD2053" s="1864" t="s">
        <v>5034</v>
      </c>
      <c r="FH2053" s="1628"/>
      <c r="FU2053" s="1678"/>
      <c r="FW2053" s="1678"/>
    </row>
    <row r="2054" spans="1:179" s="1484" customFormat="1" ht="15" x14ac:dyDescent="0.25">
      <c r="A2054" s="2033"/>
      <c r="B2054" s="1631" t="s">
        <v>4867</v>
      </c>
      <c r="C2054" s="2805" t="s">
        <v>8800</v>
      </c>
      <c r="D2054" s="2805"/>
      <c r="E2054" s="2805"/>
      <c r="F2054" s="1683" t="s">
        <v>801</v>
      </c>
      <c r="G2054" s="1655">
        <v>0.02</v>
      </c>
      <c r="H2054" s="1641"/>
      <c r="I2054" s="2042">
        <v>8.1600000000000006E-3</v>
      </c>
      <c r="J2054" s="1657">
        <v>1383.1</v>
      </c>
      <c r="K2054" s="1641"/>
      <c r="L2054" s="1654">
        <v>11.29</v>
      </c>
      <c r="M2054" s="1641"/>
      <c r="N2054" s="1681"/>
      <c r="EW2054" s="2031"/>
      <c r="EX2054" s="1619"/>
      <c r="EY2054" s="1628"/>
      <c r="EZ2054" s="1628"/>
      <c r="FA2054" s="1628"/>
      <c r="FD2054" s="1864" t="s">
        <v>8800</v>
      </c>
      <c r="FH2054" s="1628"/>
      <c r="FU2054" s="1678"/>
      <c r="FW2054" s="1678"/>
    </row>
    <row r="2055" spans="1:179" s="1484" customFormat="1" ht="15" x14ac:dyDescent="0.25">
      <c r="A2055" s="2033"/>
      <c r="B2055" s="1631" t="s">
        <v>4875</v>
      </c>
      <c r="C2055" s="2805" t="s">
        <v>4876</v>
      </c>
      <c r="D2055" s="2805"/>
      <c r="E2055" s="2805"/>
      <c r="F2055" s="1683" t="s">
        <v>801</v>
      </c>
      <c r="G2055" s="1655">
        <v>0.04</v>
      </c>
      <c r="H2055" s="1641"/>
      <c r="I2055" s="2042">
        <v>1.6320000000000001E-2</v>
      </c>
      <c r="J2055" s="1657">
        <v>2606.9</v>
      </c>
      <c r="K2055" s="1641"/>
      <c r="L2055" s="1654">
        <v>42.54</v>
      </c>
      <c r="M2055" s="1641"/>
      <c r="N2055" s="1681"/>
      <c r="EW2055" s="2031"/>
      <c r="EX2055" s="1619"/>
      <c r="EY2055" s="1628"/>
      <c r="EZ2055" s="1628"/>
      <c r="FA2055" s="1628"/>
      <c r="FD2055" s="1864" t="s">
        <v>4876</v>
      </c>
      <c r="FH2055" s="1628"/>
      <c r="FU2055" s="1678"/>
      <c r="FW2055" s="1678"/>
    </row>
    <row r="2056" spans="1:179" s="1484" customFormat="1" ht="15" x14ac:dyDescent="0.25">
      <c r="A2056" s="2033"/>
      <c r="B2056" s="1631" t="s">
        <v>4922</v>
      </c>
      <c r="C2056" s="2805" t="s">
        <v>8707</v>
      </c>
      <c r="D2056" s="2805"/>
      <c r="E2056" s="2805"/>
      <c r="F2056" s="1683" t="s">
        <v>835</v>
      </c>
      <c r="G2056" s="1953">
        <v>0.5</v>
      </c>
      <c r="H2056" s="1641"/>
      <c r="I2056" s="2046">
        <v>0.20399999999999999</v>
      </c>
      <c r="J2056" s="1654">
        <v>1.82</v>
      </c>
      <c r="K2056" s="1641"/>
      <c r="L2056" s="1654">
        <v>0.37</v>
      </c>
      <c r="M2056" s="1641"/>
      <c r="N2056" s="1681"/>
      <c r="EW2056" s="2031"/>
      <c r="EX2056" s="1619"/>
      <c r="EY2056" s="1628"/>
      <c r="EZ2056" s="1628"/>
      <c r="FA2056" s="1628"/>
      <c r="FD2056" s="1864" t="s">
        <v>8707</v>
      </c>
      <c r="FH2056" s="1628"/>
      <c r="FU2056" s="1678"/>
      <c r="FW2056" s="1678"/>
    </row>
    <row r="2057" spans="1:179" s="1484" customFormat="1" ht="15" x14ac:dyDescent="0.25">
      <c r="A2057" s="2032"/>
      <c r="B2057" s="1631" t="s">
        <v>190</v>
      </c>
      <c r="C2057" s="2805" t="s">
        <v>2523</v>
      </c>
      <c r="D2057" s="2805"/>
      <c r="E2057" s="2805"/>
      <c r="F2057" s="1683"/>
      <c r="G2057" s="1641"/>
      <c r="H2057" s="1641"/>
      <c r="I2057" s="1641"/>
      <c r="J2057" s="1654">
        <v>295.05</v>
      </c>
      <c r="K2057" s="1655">
        <v>1.25</v>
      </c>
      <c r="L2057" s="1654">
        <v>150.47999999999999</v>
      </c>
      <c r="M2057" s="1655">
        <v>35.75</v>
      </c>
      <c r="N2057" s="1679">
        <v>5379.66</v>
      </c>
      <c r="EW2057" s="2031"/>
      <c r="EX2057" s="1619"/>
      <c r="EY2057" s="1628"/>
      <c r="EZ2057" s="1628"/>
      <c r="FA2057" s="1628"/>
      <c r="FE2057" s="1864" t="s">
        <v>2523</v>
      </c>
      <c r="FH2057" s="1628"/>
      <c r="FU2057" s="1678"/>
      <c r="FW2057" s="1678"/>
    </row>
    <row r="2058" spans="1:179" s="1484" customFormat="1" ht="15" x14ac:dyDescent="0.25">
      <c r="A2058" s="2032"/>
      <c r="B2058" s="1631" t="s">
        <v>639</v>
      </c>
      <c r="C2058" s="2805" t="s">
        <v>697</v>
      </c>
      <c r="D2058" s="2805"/>
      <c r="E2058" s="2805"/>
      <c r="F2058" s="1683"/>
      <c r="G2058" s="1641"/>
      <c r="H2058" s="1641"/>
      <c r="I2058" s="1641"/>
      <c r="J2058" s="1654">
        <v>25.85</v>
      </c>
      <c r="K2058" s="1641"/>
      <c r="L2058" s="1654">
        <v>10.55</v>
      </c>
      <c r="M2058" s="1655">
        <v>11.97</v>
      </c>
      <c r="N2058" s="2039">
        <v>126.28</v>
      </c>
      <c r="EW2058" s="2031"/>
      <c r="EX2058" s="1619"/>
      <c r="EY2058" s="1628"/>
      <c r="EZ2058" s="1628"/>
      <c r="FA2058" s="1628"/>
      <c r="FE2058" s="1864" t="s">
        <v>697</v>
      </c>
      <c r="FH2058" s="1628"/>
      <c r="FU2058" s="1678"/>
      <c r="FW2058" s="1678"/>
    </row>
    <row r="2059" spans="1:179" s="1484" customFormat="1" ht="15" x14ac:dyDescent="0.25">
      <c r="A2059" s="2032"/>
      <c r="B2059" s="1631" t="s">
        <v>640</v>
      </c>
      <c r="C2059" s="2805" t="s">
        <v>2500</v>
      </c>
      <c r="D2059" s="2805"/>
      <c r="E2059" s="2805"/>
      <c r="F2059" s="1683"/>
      <c r="G2059" s="1641"/>
      <c r="H2059" s="1641"/>
      <c r="I2059" s="1641"/>
      <c r="J2059" s="1654">
        <v>0.87</v>
      </c>
      <c r="K2059" s="1641"/>
      <c r="L2059" s="1654">
        <v>0.35</v>
      </c>
      <c r="M2059" s="1655">
        <v>35.75</v>
      </c>
      <c r="N2059" s="2039">
        <v>12.51</v>
      </c>
      <c r="EW2059" s="2031"/>
      <c r="EX2059" s="1619"/>
      <c r="EY2059" s="1628"/>
      <c r="EZ2059" s="1628"/>
      <c r="FA2059" s="1628"/>
      <c r="FE2059" s="1864" t="s">
        <v>2500</v>
      </c>
      <c r="FH2059" s="1628"/>
      <c r="FU2059" s="1678"/>
      <c r="FW2059" s="1678"/>
    </row>
    <row r="2060" spans="1:179" s="1484" customFormat="1" ht="15" x14ac:dyDescent="0.25">
      <c r="A2060" s="2032"/>
      <c r="B2060" s="1631" t="s">
        <v>232</v>
      </c>
      <c r="C2060" s="2805" t="s">
        <v>829</v>
      </c>
      <c r="D2060" s="2805"/>
      <c r="E2060" s="2805"/>
      <c r="F2060" s="1683"/>
      <c r="G2060" s="1641"/>
      <c r="H2060" s="1641"/>
      <c r="I2060" s="1641"/>
      <c r="J2060" s="1654">
        <v>132.85</v>
      </c>
      <c r="K2060" s="1641"/>
      <c r="L2060" s="1654">
        <v>54.2</v>
      </c>
      <c r="M2060" s="1655">
        <v>9.14</v>
      </c>
      <c r="N2060" s="2039">
        <v>495.39</v>
      </c>
      <c r="EW2060" s="2031"/>
      <c r="EX2060" s="1619"/>
      <c r="EY2060" s="1628"/>
      <c r="EZ2060" s="1628"/>
      <c r="FA2060" s="1628"/>
      <c r="FE2060" s="1864" t="s">
        <v>829</v>
      </c>
      <c r="FH2060" s="1628"/>
      <c r="FU2060" s="1678"/>
      <c r="FW2060" s="1678"/>
    </row>
    <row r="2061" spans="1:179" s="1484" customFormat="1" ht="15" x14ac:dyDescent="0.25">
      <c r="A2061" s="2033"/>
      <c r="B2061" s="1631"/>
      <c r="C2061" s="2805" t="s">
        <v>2524</v>
      </c>
      <c r="D2061" s="2805"/>
      <c r="E2061" s="2805"/>
      <c r="F2061" s="1683" t="s">
        <v>807</v>
      </c>
      <c r="G2061" s="1655">
        <v>26.97</v>
      </c>
      <c r="H2061" s="1641"/>
      <c r="I2061" s="2042">
        <v>11.00376</v>
      </c>
      <c r="J2061" s="1640"/>
      <c r="K2061" s="1641"/>
      <c r="L2061" s="1640"/>
      <c r="M2061" s="1641"/>
      <c r="N2061" s="1681"/>
      <c r="EW2061" s="2031"/>
      <c r="EX2061" s="1619"/>
      <c r="EY2061" s="1628"/>
      <c r="EZ2061" s="1628"/>
      <c r="FA2061" s="1628"/>
      <c r="FF2061" s="1864" t="s">
        <v>2524</v>
      </c>
      <c r="FH2061" s="1628"/>
      <c r="FU2061" s="1678"/>
      <c r="FW2061" s="1678"/>
    </row>
    <row r="2062" spans="1:179" s="1484" customFormat="1" ht="15" x14ac:dyDescent="0.25">
      <c r="A2062" s="2033"/>
      <c r="B2062" s="1631"/>
      <c r="C2062" s="2805" t="s">
        <v>2501</v>
      </c>
      <c r="D2062" s="2805"/>
      <c r="E2062" s="2805"/>
      <c r="F2062" s="1683" t="s">
        <v>807</v>
      </c>
      <c r="G2062" s="1655">
        <v>7.0000000000000007E-2</v>
      </c>
      <c r="H2062" s="1641"/>
      <c r="I2062" s="2042">
        <v>2.8559999999999999E-2</v>
      </c>
      <c r="J2062" s="1640"/>
      <c r="K2062" s="1641"/>
      <c r="L2062" s="1640"/>
      <c r="M2062" s="1641"/>
      <c r="N2062" s="1681"/>
      <c r="EW2062" s="2031"/>
      <c r="EX2062" s="1619"/>
      <c r="EY2062" s="1628"/>
      <c r="EZ2062" s="1628"/>
      <c r="FA2062" s="1628"/>
      <c r="FF2062" s="1864" t="s">
        <v>2501</v>
      </c>
      <c r="FH2062" s="1628"/>
      <c r="FU2062" s="1678"/>
      <c r="FW2062" s="1678"/>
    </row>
    <row r="2063" spans="1:179" s="1484" customFormat="1" ht="15" x14ac:dyDescent="0.25">
      <c r="A2063" s="2032"/>
      <c r="B2063" s="1631"/>
      <c r="C2063" s="2917" t="s">
        <v>2502</v>
      </c>
      <c r="D2063" s="2917"/>
      <c r="E2063" s="2917"/>
      <c r="F2063" s="2036"/>
      <c r="G2063" s="2037"/>
      <c r="H2063" s="2037"/>
      <c r="I2063" s="2037"/>
      <c r="J2063" s="2044">
        <v>453.75</v>
      </c>
      <c r="K2063" s="2037"/>
      <c r="L2063" s="2044">
        <v>215.23</v>
      </c>
      <c r="M2063" s="2037"/>
      <c r="N2063" s="2068">
        <v>6001.33</v>
      </c>
      <c r="EW2063" s="2031"/>
      <c r="EX2063" s="1619"/>
      <c r="EY2063" s="1628"/>
      <c r="EZ2063" s="1628"/>
      <c r="FA2063" s="1628"/>
      <c r="FG2063" s="1864" t="s">
        <v>2502</v>
      </c>
      <c r="FH2063" s="1628"/>
      <c r="FU2063" s="1678"/>
      <c r="FW2063" s="1678"/>
    </row>
    <row r="2064" spans="1:179" s="1484" customFormat="1" ht="15" x14ac:dyDescent="0.25">
      <c r="A2064" s="2033" t="s">
        <v>8298</v>
      </c>
      <c r="B2064" s="1631"/>
      <c r="C2064" s="2805" t="s">
        <v>7964</v>
      </c>
      <c r="D2064" s="2805"/>
      <c r="E2064" s="2805"/>
      <c r="F2064" s="1683" t="s">
        <v>5928</v>
      </c>
      <c r="G2064" s="1641"/>
      <c r="H2064" s="1641"/>
      <c r="I2064" s="1641"/>
      <c r="J2064" s="1640"/>
      <c r="K2064" s="1641"/>
      <c r="L2064" s="1654">
        <v>0.09</v>
      </c>
      <c r="M2064" s="1641"/>
      <c r="N2064" s="2039">
        <v>3.22</v>
      </c>
      <c r="EW2064" s="2031"/>
      <c r="EX2064" s="1619"/>
      <c r="EY2064" s="1628"/>
      <c r="EZ2064" s="1628"/>
      <c r="FA2064" s="1628"/>
      <c r="FF2064" s="1864" t="s">
        <v>7964</v>
      </c>
      <c r="FH2064" s="1628"/>
      <c r="FU2064" s="1678"/>
      <c r="FW2064" s="1678"/>
    </row>
    <row r="2065" spans="1:179" s="1484" customFormat="1" ht="15" x14ac:dyDescent="0.25">
      <c r="A2065" s="2033"/>
      <c r="B2065" s="1631"/>
      <c r="C2065" s="2805" t="s">
        <v>7965</v>
      </c>
      <c r="D2065" s="2805"/>
      <c r="E2065" s="2805"/>
      <c r="F2065" s="1683" t="s">
        <v>5928</v>
      </c>
      <c r="G2065" s="1641"/>
      <c r="H2065" s="1641"/>
      <c r="I2065" s="1641"/>
      <c r="J2065" s="1654">
        <v>0.87</v>
      </c>
      <c r="K2065" s="1655">
        <v>0.25</v>
      </c>
      <c r="L2065" s="1654">
        <v>0.09</v>
      </c>
      <c r="M2065" s="1655">
        <v>35.75</v>
      </c>
      <c r="N2065" s="2039">
        <v>3.22</v>
      </c>
      <c r="EW2065" s="2031"/>
      <c r="EX2065" s="1619"/>
      <c r="EY2065" s="1628"/>
      <c r="EZ2065" s="1628"/>
      <c r="FA2065" s="1628"/>
      <c r="FF2065" s="1864" t="s">
        <v>7965</v>
      </c>
      <c r="FH2065" s="1628"/>
      <c r="FU2065" s="1678"/>
      <c r="FW2065" s="1678"/>
    </row>
    <row r="2066" spans="1:179" s="1484" customFormat="1" ht="15" x14ac:dyDescent="0.25">
      <c r="A2066" s="2033"/>
      <c r="B2066" s="1631"/>
      <c r="C2066" s="2805" t="s">
        <v>867</v>
      </c>
      <c r="D2066" s="2805"/>
      <c r="E2066" s="2805"/>
      <c r="F2066" s="1683"/>
      <c r="G2066" s="1641"/>
      <c r="H2066" s="1641"/>
      <c r="I2066" s="1641"/>
      <c r="J2066" s="1640"/>
      <c r="K2066" s="1641"/>
      <c r="L2066" s="1654">
        <v>150.91999999999999</v>
      </c>
      <c r="M2066" s="1641"/>
      <c r="N2066" s="1679">
        <v>5395.39</v>
      </c>
      <c r="EW2066" s="2031"/>
      <c r="EX2066" s="1619"/>
      <c r="EY2066" s="1628"/>
      <c r="EZ2066" s="1628"/>
      <c r="FA2066" s="1628"/>
      <c r="FF2066" s="1864" t="s">
        <v>867</v>
      </c>
      <c r="FH2066" s="1628"/>
      <c r="FU2066" s="1678"/>
      <c r="FW2066" s="1678"/>
    </row>
    <row r="2067" spans="1:179" s="1484" customFormat="1" ht="15" x14ac:dyDescent="0.25">
      <c r="A2067" s="2033"/>
      <c r="B2067" s="1631" t="s">
        <v>8054</v>
      </c>
      <c r="C2067" s="2805" t="s">
        <v>8055</v>
      </c>
      <c r="D2067" s="2805"/>
      <c r="E2067" s="2805"/>
      <c r="F2067" s="1683" t="s">
        <v>636</v>
      </c>
      <c r="G2067" s="2034">
        <v>112</v>
      </c>
      <c r="H2067" s="1641"/>
      <c r="I2067" s="2034">
        <v>112</v>
      </c>
      <c r="J2067" s="1640"/>
      <c r="K2067" s="1641"/>
      <c r="L2067" s="1654">
        <v>169.03</v>
      </c>
      <c r="M2067" s="1641"/>
      <c r="N2067" s="1679">
        <v>6042.84</v>
      </c>
      <c r="EW2067" s="2031"/>
      <c r="EX2067" s="1619"/>
      <c r="EY2067" s="1628"/>
      <c r="EZ2067" s="1628"/>
      <c r="FA2067" s="1628"/>
      <c r="FF2067" s="1864" t="s">
        <v>8055</v>
      </c>
      <c r="FH2067" s="1628"/>
      <c r="FU2067" s="1678"/>
      <c r="FW2067" s="1678"/>
    </row>
    <row r="2068" spans="1:179" s="1484" customFormat="1" ht="15" x14ac:dyDescent="0.25">
      <c r="A2068" s="2033"/>
      <c r="B2068" s="1631" t="s">
        <v>8056</v>
      </c>
      <c r="C2068" s="2805" t="s">
        <v>8057</v>
      </c>
      <c r="D2068" s="2805"/>
      <c r="E2068" s="2805"/>
      <c r="F2068" s="1683" t="s">
        <v>636</v>
      </c>
      <c r="G2068" s="2034">
        <v>65</v>
      </c>
      <c r="H2068" s="1641"/>
      <c r="I2068" s="2034">
        <v>65</v>
      </c>
      <c r="J2068" s="1640"/>
      <c r="K2068" s="1641"/>
      <c r="L2068" s="1654">
        <v>98.1</v>
      </c>
      <c r="M2068" s="1641"/>
      <c r="N2068" s="1679">
        <v>3507</v>
      </c>
      <c r="EW2068" s="2031"/>
      <c r="EX2068" s="1619"/>
      <c r="EY2068" s="1628"/>
      <c r="EZ2068" s="1628"/>
      <c r="FA2068" s="1628"/>
      <c r="FF2068" s="1864" t="s">
        <v>8057</v>
      </c>
      <c r="FH2068" s="1628"/>
      <c r="FU2068" s="1678"/>
      <c r="FW2068" s="1678"/>
    </row>
    <row r="2069" spans="1:179" s="1484" customFormat="1" ht="15" x14ac:dyDescent="0.25">
      <c r="A2069" s="1650"/>
      <c r="B2069" s="1651"/>
      <c r="C2069" s="2803" t="s">
        <v>872</v>
      </c>
      <c r="D2069" s="2803"/>
      <c r="E2069" s="2803"/>
      <c r="F2069" s="1621"/>
      <c r="G2069" s="1622"/>
      <c r="H2069" s="1622"/>
      <c r="I2069" s="1622"/>
      <c r="J2069" s="1625"/>
      <c r="K2069" s="1622"/>
      <c r="L2069" s="2040">
        <v>482.45</v>
      </c>
      <c r="M2069" s="2037"/>
      <c r="N2069" s="1649">
        <v>15554.39</v>
      </c>
      <c r="EW2069" s="2031"/>
      <c r="EX2069" s="1619"/>
      <c r="EY2069" s="1628"/>
      <c r="EZ2069" s="1628"/>
      <c r="FA2069" s="1628"/>
      <c r="FH2069" s="1628" t="s">
        <v>872</v>
      </c>
      <c r="FU2069" s="1678"/>
      <c r="FW2069" s="1678"/>
    </row>
    <row r="2070" spans="1:179" s="1484" customFormat="1" ht="33.75" x14ac:dyDescent="0.25">
      <c r="A2070" s="1620" t="s">
        <v>8299</v>
      </c>
      <c r="B2070" s="1863" t="s">
        <v>8157</v>
      </c>
      <c r="C2070" s="2803" t="s">
        <v>8158</v>
      </c>
      <c r="D2070" s="2803"/>
      <c r="E2070" s="2803"/>
      <c r="F2070" s="1621" t="s">
        <v>2555</v>
      </c>
      <c r="G2070" s="1622">
        <v>0.40799999999999997</v>
      </c>
      <c r="H2070" s="1623">
        <v>1</v>
      </c>
      <c r="I2070" s="2045">
        <v>0.40799999999999997</v>
      </c>
      <c r="J2070" s="1625"/>
      <c r="K2070" s="1622"/>
      <c r="L2070" s="1625"/>
      <c r="M2070" s="1622"/>
      <c r="N2070" s="1627"/>
      <c r="EW2070" s="2031"/>
      <c r="EX2070" s="1619"/>
      <c r="EY2070" s="1628" t="s">
        <v>8158</v>
      </c>
      <c r="EZ2070" s="1628" t="s">
        <v>588</v>
      </c>
      <c r="FA2070" s="1628" t="s">
        <v>588</v>
      </c>
      <c r="FH2070" s="1628"/>
      <c r="FU2070" s="1678"/>
      <c r="FW2070" s="1678"/>
    </row>
    <row r="2071" spans="1:179" s="1484" customFormat="1" ht="15" x14ac:dyDescent="0.25">
      <c r="A2071" s="1629"/>
      <c r="B2071" s="1862"/>
      <c r="C2071" s="2805" t="s">
        <v>8786</v>
      </c>
      <c r="D2071" s="2805"/>
      <c r="E2071" s="2805"/>
      <c r="F2071" s="2805"/>
      <c r="G2071" s="2805"/>
      <c r="H2071" s="2805"/>
      <c r="I2071" s="2805"/>
      <c r="J2071" s="2805"/>
      <c r="K2071" s="2805"/>
      <c r="L2071" s="2805"/>
      <c r="M2071" s="2805"/>
      <c r="N2071" s="2806"/>
      <c r="EW2071" s="2031"/>
      <c r="EX2071" s="1619"/>
      <c r="EY2071" s="1628"/>
      <c r="EZ2071" s="1628"/>
      <c r="FA2071" s="1628"/>
      <c r="FB2071" s="1864" t="s">
        <v>8786</v>
      </c>
      <c r="FH2071" s="1628"/>
      <c r="FU2071" s="1678"/>
      <c r="FW2071" s="1678"/>
    </row>
    <row r="2072" spans="1:179" s="1484" customFormat="1" ht="22.5" x14ac:dyDescent="0.25">
      <c r="A2072" s="1630"/>
      <c r="B2072" s="1631" t="s">
        <v>6062</v>
      </c>
      <c r="C2072" s="2809" t="s">
        <v>6063</v>
      </c>
      <c r="D2072" s="2809"/>
      <c r="E2072" s="2809"/>
      <c r="F2072" s="2809"/>
      <c r="G2072" s="2809"/>
      <c r="H2072" s="2809"/>
      <c r="I2072" s="2809"/>
      <c r="J2072" s="2809"/>
      <c r="K2072" s="2809"/>
      <c r="L2072" s="2809"/>
      <c r="M2072" s="2809"/>
      <c r="N2072" s="2810"/>
      <c r="EW2072" s="2031"/>
      <c r="EX2072" s="1619"/>
      <c r="EY2072" s="1628"/>
      <c r="EZ2072" s="1628"/>
      <c r="FA2072" s="1628"/>
      <c r="FC2072" s="1864" t="s">
        <v>6063</v>
      </c>
      <c r="FH2072" s="1628"/>
      <c r="FU2072" s="1678"/>
      <c r="FW2072" s="1678"/>
    </row>
    <row r="2073" spans="1:179" s="1484" customFormat="1" ht="22.5" x14ac:dyDescent="0.25">
      <c r="A2073" s="2033"/>
      <c r="B2073" s="1631" t="s">
        <v>8657</v>
      </c>
      <c r="C2073" s="2805" t="s">
        <v>8656</v>
      </c>
      <c r="D2073" s="2805"/>
      <c r="E2073" s="2805"/>
      <c r="F2073" s="1683" t="s">
        <v>807</v>
      </c>
      <c r="G2073" s="1953">
        <v>29.6</v>
      </c>
      <c r="H2073" s="1641"/>
      <c r="I2073" s="2035">
        <v>12.0768</v>
      </c>
      <c r="J2073" s="1654">
        <v>10.06</v>
      </c>
      <c r="K2073" s="1655">
        <v>1.25</v>
      </c>
      <c r="L2073" s="1654">
        <v>151.87</v>
      </c>
      <c r="M2073" s="1641"/>
      <c r="N2073" s="1681"/>
      <c r="EW2073" s="2031"/>
      <c r="EX2073" s="1619"/>
      <c r="EY2073" s="1628"/>
      <c r="EZ2073" s="1628"/>
      <c r="FA2073" s="1628"/>
      <c r="FD2073" s="1864" t="s">
        <v>8656</v>
      </c>
      <c r="FH2073" s="1628"/>
      <c r="FU2073" s="1678"/>
      <c r="FW2073" s="1678"/>
    </row>
    <row r="2074" spans="1:179" s="1484" customFormat="1" ht="22.5" x14ac:dyDescent="0.25">
      <c r="A2074" s="2033"/>
      <c r="B2074" s="1631" t="s">
        <v>5010</v>
      </c>
      <c r="C2074" s="2805" t="s">
        <v>5011</v>
      </c>
      <c r="D2074" s="2805"/>
      <c r="E2074" s="2805"/>
      <c r="F2074" s="1683" t="s">
        <v>4994</v>
      </c>
      <c r="G2074" s="1655">
        <v>0.23</v>
      </c>
      <c r="H2074" s="1641"/>
      <c r="I2074" s="2042">
        <v>9.3840000000000007E-2</v>
      </c>
      <c r="J2074" s="1654">
        <v>31.26</v>
      </c>
      <c r="K2074" s="1641"/>
      <c r="L2074" s="1654">
        <v>2.93</v>
      </c>
      <c r="M2074" s="1641"/>
      <c r="N2074" s="1681"/>
      <c r="EW2074" s="2031"/>
      <c r="EX2074" s="1619"/>
      <c r="EY2074" s="1628"/>
      <c r="EZ2074" s="1628"/>
      <c r="FA2074" s="1628"/>
      <c r="FD2074" s="1864" t="s">
        <v>5011</v>
      </c>
      <c r="FH2074" s="1628"/>
      <c r="FU2074" s="1678"/>
      <c r="FW2074" s="1678"/>
    </row>
    <row r="2075" spans="1:179" s="1484" customFormat="1" ht="15" x14ac:dyDescent="0.25">
      <c r="A2075" s="2033"/>
      <c r="B2075" s="1631" t="s">
        <v>821</v>
      </c>
      <c r="C2075" s="2805" t="s">
        <v>822</v>
      </c>
      <c r="D2075" s="2805"/>
      <c r="E2075" s="2805"/>
      <c r="F2075" s="1683" t="s">
        <v>4994</v>
      </c>
      <c r="G2075" s="1655">
        <v>0.33</v>
      </c>
      <c r="H2075" s="1641"/>
      <c r="I2075" s="2042">
        <v>0.13464000000000001</v>
      </c>
      <c r="J2075" s="1654">
        <v>65.709999999999994</v>
      </c>
      <c r="K2075" s="1641"/>
      <c r="L2075" s="1654">
        <v>8.85</v>
      </c>
      <c r="M2075" s="1641"/>
      <c r="N2075" s="1681"/>
      <c r="EW2075" s="2031"/>
      <c r="EX2075" s="1619"/>
      <c r="EY2075" s="1628"/>
      <c r="EZ2075" s="1628"/>
      <c r="FA2075" s="1628"/>
      <c r="FD2075" s="1864" t="s">
        <v>822</v>
      </c>
      <c r="FH2075" s="1628"/>
      <c r="FU2075" s="1678"/>
      <c r="FW2075" s="1678"/>
    </row>
    <row r="2076" spans="1:179" s="1484" customFormat="1" ht="15" x14ac:dyDescent="0.25">
      <c r="A2076" s="2033"/>
      <c r="B2076" s="1631" t="s">
        <v>5033</v>
      </c>
      <c r="C2076" s="2805" t="s">
        <v>5034</v>
      </c>
      <c r="D2076" s="2805"/>
      <c r="E2076" s="2805"/>
      <c r="F2076" s="1683" t="s">
        <v>4994</v>
      </c>
      <c r="G2076" s="2034">
        <v>7</v>
      </c>
      <c r="H2076" s="1641"/>
      <c r="I2076" s="2046">
        <v>2.8559999999999999</v>
      </c>
      <c r="J2076" s="1654">
        <v>2.7</v>
      </c>
      <c r="K2076" s="1641"/>
      <c r="L2076" s="1654">
        <v>7.71</v>
      </c>
      <c r="M2076" s="1641"/>
      <c r="N2076" s="1681"/>
      <c r="EW2076" s="2031"/>
      <c r="EX2076" s="1619"/>
      <c r="EY2076" s="1628"/>
      <c r="EZ2076" s="1628"/>
      <c r="FA2076" s="1628"/>
      <c r="FD2076" s="1864" t="s">
        <v>5034</v>
      </c>
      <c r="FH2076" s="1628"/>
      <c r="FU2076" s="1678"/>
      <c r="FW2076" s="1678"/>
    </row>
    <row r="2077" spans="1:179" s="1484" customFormat="1" ht="22.5" x14ac:dyDescent="0.25">
      <c r="A2077" s="2033"/>
      <c r="B2077" s="1631" t="s">
        <v>4866</v>
      </c>
      <c r="C2077" s="2805" t="s">
        <v>8779</v>
      </c>
      <c r="D2077" s="2805"/>
      <c r="E2077" s="2805"/>
      <c r="F2077" s="1683" t="s">
        <v>801</v>
      </c>
      <c r="G2077" s="2046">
        <v>2.3E-2</v>
      </c>
      <c r="H2077" s="1641"/>
      <c r="I2077" s="2043">
        <v>9.384E-3</v>
      </c>
      <c r="J2077" s="1657">
        <v>1412.5</v>
      </c>
      <c r="K2077" s="1641"/>
      <c r="L2077" s="1654">
        <v>13.25</v>
      </c>
      <c r="M2077" s="1641"/>
      <c r="N2077" s="1681"/>
      <c r="EW2077" s="2031"/>
      <c r="EX2077" s="1619"/>
      <c r="EY2077" s="1628"/>
      <c r="EZ2077" s="1628"/>
      <c r="FA2077" s="1628"/>
      <c r="FD2077" s="1864" t="s">
        <v>8779</v>
      </c>
      <c r="FH2077" s="1628"/>
      <c r="FU2077" s="1678"/>
      <c r="FW2077" s="1678"/>
    </row>
    <row r="2078" spans="1:179" s="1484" customFormat="1" ht="15" x14ac:dyDescent="0.25">
      <c r="A2078" s="2033"/>
      <c r="B2078" s="1631" t="s">
        <v>8778</v>
      </c>
      <c r="C2078" s="2805" t="s">
        <v>8777</v>
      </c>
      <c r="D2078" s="2805"/>
      <c r="E2078" s="2805"/>
      <c r="F2078" s="1683" t="s">
        <v>801</v>
      </c>
      <c r="G2078" s="2046">
        <v>0.246</v>
      </c>
      <c r="H2078" s="1641"/>
      <c r="I2078" s="2043">
        <v>0.100368</v>
      </c>
      <c r="J2078" s="1657">
        <v>1995</v>
      </c>
      <c r="K2078" s="1641"/>
      <c r="L2078" s="1654">
        <v>200.23</v>
      </c>
      <c r="M2078" s="1641"/>
      <c r="N2078" s="1681"/>
      <c r="EW2078" s="2031"/>
      <c r="EX2078" s="1619"/>
      <c r="EY2078" s="1628"/>
      <c r="EZ2078" s="1628"/>
      <c r="FA2078" s="1628"/>
      <c r="FD2078" s="1864" t="s">
        <v>8777</v>
      </c>
      <c r="FH2078" s="1628"/>
      <c r="FU2078" s="1678"/>
      <c r="FW2078" s="1678"/>
    </row>
    <row r="2079" spans="1:179" s="1484" customFormat="1" ht="15" x14ac:dyDescent="0.25">
      <c r="A2079" s="2033"/>
      <c r="B2079" s="1631" t="s">
        <v>4873</v>
      </c>
      <c r="C2079" s="2805" t="s">
        <v>4874</v>
      </c>
      <c r="D2079" s="2805"/>
      <c r="E2079" s="2805"/>
      <c r="F2079" s="1683" t="s">
        <v>835</v>
      </c>
      <c r="G2079" s="2034">
        <v>54</v>
      </c>
      <c r="H2079" s="1641"/>
      <c r="I2079" s="2046">
        <v>22.032</v>
      </c>
      <c r="J2079" s="1654">
        <v>6.15</v>
      </c>
      <c r="K2079" s="1641"/>
      <c r="L2079" s="1654">
        <v>135.5</v>
      </c>
      <c r="M2079" s="1641"/>
      <c r="N2079" s="1681"/>
      <c r="EW2079" s="2031"/>
      <c r="EX2079" s="1619"/>
      <c r="EY2079" s="1628"/>
      <c r="EZ2079" s="1628"/>
      <c r="FA2079" s="1628"/>
      <c r="FD2079" s="1864" t="s">
        <v>4874</v>
      </c>
      <c r="FH2079" s="1628"/>
      <c r="FU2079" s="1678"/>
      <c r="FW2079" s="1678"/>
    </row>
    <row r="2080" spans="1:179" s="1484" customFormat="1" ht="22.5" x14ac:dyDescent="0.25">
      <c r="A2080" s="2033"/>
      <c r="B2080" s="1631" t="s">
        <v>4881</v>
      </c>
      <c r="C2080" s="2805" t="s">
        <v>4882</v>
      </c>
      <c r="D2080" s="2805"/>
      <c r="E2080" s="2805"/>
      <c r="F2080" s="1683" t="s">
        <v>801</v>
      </c>
      <c r="G2080" s="2046">
        <v>4.0000000000000001E-3</v>
      </c>
      <c r="H2080" s="1641"/>
      <c r="I2080" s="2043">
        <v>1.632E-3</v>
      </c>
      <c r="J2080" s="1657">
        <v>37870</v>
      </c>
      <c r="K2080" s="1641"/>
      <c r="L2080" s="1654">
        <v>61.8</v>
      </c>
      <c r="M2080" s="1641"/>
      <c r="N2080" s="1681"/>
      <c r="EW2080" s="2031"/>
      <c r="EX2080" s="1619"/>
      <c r="EY2080" s="1628"/>
      <c r="EZ2080" s="1628"/>
      <c r="FA2080" s="1628"/>
      <c r="FD2080" s="1864" t="s">
        <v>4882</v>
      </c>
      <c r="FH2080" s="1628"/>
      <c r="FU2080" s="1678"/>
      <c r="FW2080" s="1678"/>
    </row>
    <row r="2081" spans="1:179" s="1484" customFormat="1" ht="15" x14ac:dyDescent="0.25">
      <c r="A2081" s="2033"/>
      <c r="B2081" s="1631" t="s">
        <v>4922</v>
      </c>
      <c r="C2081" s="2805" t="s">
        <v>8707</v>
      </c>
      <c r="D2081" s="2805"/>
      <c r="E2081" s="2805"/>
      <c r="F2081" s="1683" t="s">
        <v>835</v>
      </c>
      <c r="G2081" s="1953">
        <v>0.5</v>
      </c>
      <c r="H2081" s="1641"/>
      <c r="I2081" s="2046">
        <v>0.20399999999999999</v>
      </c>
      <c r="J2081" s="1654">
        <v>1.82</v>
      </c>
      <c r="K2081" s="1641"/>
      <c r="L2081" s="1654">
        <v>0.37</v>
      </c>
      <c r="M2081" s="1641"/>
      <c r="N2081" s="1681"/>
      <c r="EW2081" s="2031"/>
      <c r="EX2081" s="1619"/>
      <c r="EY2081" s="1628"/>
      <c r="EZ2081" s="1628"/>
      <c r="FA2081" s="1628"/>
      <c r="FD2081" s="1864" t="s">
        <v>8707</v>
      </c>
      <c r="FH2081" s="1628"/>
      <c r="FU2081" s="1678"/>
      <c r="FW2081" s="1678"/>
    </row>
    <row r="2082" spans="1:179" s="1484" customFormat="1" ht="15" x14ac:dyDescent="0.25">
      <c r="A2082" s="2032"/>
      <c r="B2082" s="1631" t="s">
        <v>190</v>
      </c>
      <c r="C2082" s="2805" t="s">
        <v>2523</v>
      </c>
      <c r="D2082" s="2805"/>
      <c r="E2082" s="2805"/>
      <c r="F2082" s="1683"/>
      <c r="G2082" s="1641"/>
      <c r="H2082" s="1641"/>
      <c r="I2082" s="1641"/>
      <c r="J2082" s="1654">
        <v>297.77999999999997</v>
      </c>
      <c r="K2082" s="1655">
        <v>1.25</v>
      </c>
      <c r="L2082" s="1654">
        <v>151.87</v>
      </c>
      <c r="M2082" s="1655">
        <v>35.75</v>
      </c>
      <c r="N2082" s="1679">
        <v>5429.35</v>
      </c>
      <c r="EW2082" s="2031"/>
      <c r="EX2082" s="1619"/>
      <c r="EY2082" s="1628"/>
      <c r="EZ2082" s="1628"/>
      <c r="FA2082" s="1628"/>
      <c r="FE2082" s="1864" t="s">
        <v>2523</v>
      </c>
      <c r="FH2082" s="1628"/>
      <c r="FU2082" s="1678"/>
      <c r="FW2082" s="1678"/>
    </row>
    <row r="2083" spans="1:179" s="1484" customFormat="1" ht="15" x14ac:dyDescent="0.25">
      <c r="A2083" s="2032"/>
      <c r="B2083" s="1631" t="s">
        <v>639</v>
      </c>
      <c r="C2083" s="2805" t="s">
        <v>697</v>
      </c>
      <c r="D2083" s="2805"/>
      <c r="E2083" s="2805"/>
      <c r="F2083" s="1683"/>
      <c r="G2083" s="1641"/>
      <c r="H2083" s="1641"/>
      <c r="I2083" s="1641"/>
      <c r="J2083" s="1654">
        <v>47.77</v>
      </c>
      <c r="K2083" s="1641"/>
      <c r="L2083" s="1654">
        <v>19.489999999999998</v>
      </c>
      <c r="M2083" s="1655">
        <v>11.97</v>
      </c>
      <c r="N2083" s="2039">
        <v>233.3</v>
      </c>
      <c r="EW2083" s="2031"/>
      <c r="EX2083" s="1619"/>
      <c r="EY2083" s="1628"/>
      <c r="EZ2083" s="1628"/>
      <c r="FA2083" s="1628"/>
      <c r="FE2083" s="1864" t="s">
        <v>697</v>
      </c>
      <c r="FH2083" s="1628"/>
      <c r="FU2083" s="1678"/>
      <c r="FW2083" s="1678"/>
    </row>
    <row r="2084" spans="1:179" s="1484" customFormat="1" ht="15" x14ac:dyDescent="0.25">
      <c r="A2084" s="2032"/>
      <c r="B2084" s="1631" t="s">
        <v>640</v>
      </c>
      <c r="C2084" s="2805" t="s">
        <v>2500</v>
      </c>
      <c r="D2084" s="2805"/>
      <c r="E2084" s="2805"/>
      <c r="F2084" s="1683"/>
      <c r="G2084" s="1641"/>
      <c r="H2084" s="1641"/>
      <c r="I2084" s="1641"/>
      <c r="J2084" s="1654">
        <v>6.94</v>
      </c>
      <c r="K2084" s="1641"/>
      <c r="L2084" s="1654">
        <v>2.83</v>
      </c>
      <c r="M2084" s="1655">
        <v>35.75</v>
      </c>
      <c r="N2084" s="2039">
        <v>101.17</v>
      </c>
      <c r="EW2084" s="2031"/>
      <c r="EX2084" s="1619"/>
      <c r="EY2084" s="1628"/>
      <c r="EZ2084" s="1628"/>
      <c r="FA2084" s="1628"/>
      <c r="FE2084" s="1864" t="s">
        <v>2500</v>
      </c>
      <c r="FH2084" s="1628"/>
      <c r="FU2084" s="1678"/>
      <c r="FW2084" s="1678"/>
    </row>
    <row r="2085" spans="1:179" s="1484" customFormat="1" ht="15" x14ac:dyDescent="0.25">
      <c r="A2085" s="2032"/>
      <c r="B2085" s="1631" t="s">
        <v>232</v>
      </c>
      <c r="C2085" s="2805" t="s">
        <v>829</v>
      </c>
      <c r="D2085" s="2805"/>
      <c r="E2085" s="2805"/>
      <c r="F2085" s="1683"/>
      <c r="G2085" s="1641"/>
      <c r="H2085" s="1641"/>
      <c r="I2085" s="1641"/>
      <c r="J2085" s="1657">
        <v>1007.75</v>
      </c>
      <c r="K2085" s="1641"/>
      <c r="L2085" s="1654">
        <v>411.16</v>
      </c>
      <c r="M2085" s="1655">
        <v>9.14</v>
      </c>
      <c r="N2085" s="1679">
        <v>3758</v>
      </c>
      <c r="EW2085" s="2031"/>
      <c r="EX2085" s="1619"/>
      <c r="EY2085" s="1628"/>
      <c r="EZ2085" s="1628"/>
      <c r="FA2085" s="1628"/>
      <c r="FE2085" s="1864" t="s">
        <v>829</v>
      </c>
      <c r="FH2085" s="1628"/>
      <c r="FU2085" s="1678"/>
      <c r="FW2085" s="1678"/>
    </row>
    <row r="2086" spans="1:179" s="1484" customFormat="1" ht="15" x14ac:dyDescent="0.25">
      <c r="A2086" s="2033"/>
      <c r="B2086" s="1631"/>
      <c r="C2086" s="2805" t="s">
        <v>2524</v>
      </c>
      <c r="D2086" s="2805"/>
      <c r="E2086" s="2805"/>
      <c r="F2086" s="1683" t="s">
        <v>807</v>
      </c>
      <c r="G2086" s="1953">
        <v>29.6</v>
      </c>
      <c r="H2086" s="1641"/>
      <c r="I2086" s="2035">
        <v>12.0768</v>
      </c>
      <c r="J2086" s="1640"/>
      <c r="K2086" s="1641"/>
      <c r="L2086" s="1640"/>
      <c r="M2086" s="1641"/>
      <c r="N2086" s="1681"/>
      <c r="EW2086" s="2031"/>
      <c r="EX2086" s="1619"/>
      <c r="EY2086" s="1628"/>
      <c r="EZ2086" s="1628"/>
      <c r="FA2086" s="1628"/>
      <c r="FF2086" s="1864" t="s">
        <v>2524</v>
      </c>
      <c r="FH2086" s="1628"/>
      <c r="FU2086" s="1678"/>
      <c r="FW2086" s="1678"/>
    </row>
    <row r="2087" spans="1:179" s="1484" customFormat="1" ht="15" x14ac:dyDescent="0.25">
      <c r="A2087" s="2033"/>
      <c r="B2087" s="1631"/>
      <c r="C2087" s="2805" t="s">
        <v>2501</v>
      </c>
      <c r="D2087" s="2805"/>
      <c r="E2087" s="2805"/>
      <c r="F2087" s="1683" t="s">
        <v>807</v>
      </c>
      <c r="G2087" s="1655">
        <v>0.56000000000000005</v>
      </c>
      <c r="H2087" s="1641"/>
      <c r="I2087" s="2042">
        <v>0.22847999999999999</v>
      </c>
      <c r="J2087" s="1640"/>
      <c r="K2087" s="1641"/>
      <c r="L2087" s="1640"/>
      <c r="M2087" s="1641"/>
      <c r="N2087" s="1681"/>
      <c r="EW2087" s="2031"/>
      <c r="EX2087" s="1619"/>
      <c r="EY2087" s="1628"/>
      <c r="EZ2087" s="1628"/>
      <c r="FA2087" s="1628"/>
      <c r="FF2087" s="1864" t="s">
        <v>2501</v>
      </c>
      <c r="FH2087" s="1628"/>
      <c r="FU2087" s="1678"/>
      <c r="FW2087" s="1678"/>
    </row>
    <row r="2088" spans="1:179" s="1484" customFormat="1" ht="15" x14ac:dyDescent="0.25">
      <c r="A2088" s="2032"/>
      <c r="B2088" s="1631"/>
      <c r="C2088" s="2917" t="s">
        <v>2502</v>
      </c>
      <c r="D2088" s="2917"/>
      <c r="E2088" s="2917"/>
      <c r="F2088" s="2036"/>
      <c r="G2088" s="2037"/>
      <c r="H2088" s="2037"/>
      <c r="I2088" s="2037"/>
      <c r="J2088" s="2038">
        <v>1353.3</v>
      </c>
      <c r="K2088" s="2037"/>
      <c r="L2088" s="2044">
        <v>582.52</v>
      </c>
      <c r="M2088" s="2037"/>
      <c r="N2088" s="2068">
        <v>9420.65</v>
      </c>
      <c r="EW2088" s="2031"/>
      <c r="EX2088" s="1619"/>
      <c r="EY2088" s="1628"/>
      <c r="EZ2088" s="1628"/>
      <c r="FA2088" s="1628"/>
      <c r="FG2088" s="1864" t="s">
        <v>2502</v>
      </c>
      <c r="FH2088" s="1628"/>
      <c r="FU2088" s="1678"/>
      <c r="FW2088" s="1678"/>
    </row>
    <row r="2089" spans="1:179" s="1484" customFormat="1" ht="15" x14ac:dyDescent="0.25">
      <c r="A2089" s="2033" t="s">
        <v>8300</v>
      </c>
      <c r="B2089" s="1631"/>
      <c r="C2089" s="2805" t="s">
        <v>7964</v>
      </c>
      <c r="D2089" s="2805"/>
      <c r="E2089" s="2805"/>
      <c r="F2089" s="1683" t="s">
        <v>5928</v>
      </c>
      <c r="G2089" s="1641"/>
      <c r="H2089" s="1641"/>
      <c r="I2089" s="1641"/>
      <c r="J2089" s="1640"/>
      <c r="K2089" s="1641"/>
      <c r="L2089" s="1654">
        <v>0.71</v>
      </c>
      <c r="M2089" s="1641"/>
      <c r="N2089" s="2039">
        <v>25.38</v>
      </c>
      <c r="EW2089" s="2031"/>
      <c r="EX2089" s="1619"/>
      <c r="EY2089" s="1628"/>
      <c r="EZ2089" s="1628"/>
      <c r="FA2089" s="1628"/>
      <c r="FF2089" s="1864" t="s">
        <v>7964</v>
      </c>
      <c r="FH2089" s="1628"/>
      <c r="FU2089" s="1678"/>
      <c r="FW2089" s="1678"/>
    </row>
    <row r="2090" spans="1:179" s="1484" customFormat="1" ht="15" x14ac:dyDescent="0.25">
      <c r="A2090" s="2033"/>
      <c r="B2090" s="1631"/>
      <c r="C2090" s="2805" t="s">
        <v>7965</v>
      </c>
      <c r="D2090" s="2805"/>
      <c r="E2090" s="2805"/>
      <c r="F2090" s="1683" t="s">
        <v>5928</v>
      </c>
      <c r="G2090" s="1641"/>
      <c r="H2090" s="1641"/>
      <c r="I2090" s="1641"/>
      <c r="J2090" s="1654">
        <v>6.94</v>
      </c>
      <c r="K2090" s="1655">
        <v>0.25</v>
      </c>
      <c r="L2090" s="1654">
        <v>0.71</v>
      </c>
      <c r="M2090" s="1655">
        <v>35.75</v>
      </c>
      <c r="N2090" s="2039">
        <v>25.38</v>
      </c>
      <c r="EW2090" s="2031"/>
      <c r="EX2090" s="1619"/>
      <c r="EY2090" s="1628"/>
      <c r="EZ2090" s="1628"/>
      <c r="FA2090" s="1628"/>
      <c r="FF2090" s="1864" t="s">
        <v>7965</v>
      </c>
      <c r="FH2090" s="1628"/>
      <c r="FU2090" s="1678"/>
      <c r="FW2090" s="1678"/>
    </row>
    <row r="2091" spans="1:179" s="1484" customFormat="1" ht="15" x14ac:dyDescent="0.25">
      <c r="A2091" s="2033"/>
      <c r="B2091" s="1631"/>
      <c r="C2091" s="2805" t="s">
        <v>867</v>
      </c>
      <c r="D2091" s="2805"/>
      <c r="E2091" s="2805"/>
      <c r="F2091" s="1683"/>
      <c r="G2091" s="1641"/>
      <c r="H2091" s="1641"/>
      <c r="I2091" s="1641"/>
      <c r="J2091" s="1640"/>
      <c r="K2091" s="1641"/>
      <c r="L2091" s="1654">
        <v>155.41</v>
      </c>
      <c r="M2091" s="1641"/>
      <c r="N2091" s="1679">
        <v>5555.9</v>
      </c>
      <c r="EW2091" s="2031"/>
      <c r="EX2091" s="1619"/>
      <c r="EY2091" s="1628"/>
      <c r="EZ2091" s="1628"/>
      <c r="FA2091" s="1628"/>
      <c r="FF2091" s="1864" t="s">
        <v>867</v>
      </c>
      <c r="FH2091" s="1628"/>
      <c r="FU2091" s="1678"/>
      <c r="FW2091" s="1678"/>
    </row>
    <row r="2092" spans="1:179" s="1484" customFormat="1" ht="15" x14ac:dyDescent="0.25">
      <c r="A2092" s="2033"/>
      <c r="B2092" s="1631" t="s">
        <v>8054</v>
      </c>
      <c r="C2092" s="2805" t="s">
        <v>8055</v>
      </c>
      <c r="D2092" s="2805"/>
      <c r="E2092" s="2805"/>
      <c r="F2092" s="1683" t="s">
        <v>636</v>
      </c>
      <c r="G2092" s="2034">
        <v>112</v>
      </c>
      <c r="H2092" s="1641"/>
      <c r="I2092" s="2034">
        <v>112</v>
      </c>
      <c r="J2092" s="1640"/>
      <c r="K2092" s="1641"/>
      <c r="L2092" s="1654">
        <v>174.06</v>
      </c>
      <c r="M2092" s="1641"/>
      <c r="N2092" s="1679">
        <v>6222.61</v>
      </c>
      <c r="EW2092" s="2031"/>
      <c r="EX2092" s="1619"/>
      <c r="EY2092" s="1628"/>
      <c r="EZ2092" s="1628"/>
      <c r="FA2092" s="1628"/>
      <c r="FF2092" s="1864" t="s">
        <v>8055</v>
      </c>
      <c r="FH2092" s="1628"/>
      <c r="FU2092" s="1678"/>
      <c r="FW2092" s="1678"/>
    </row>
    <row r="2093" spans="1:179" s="1484" customFormat="1" ht="15" x14ac:dyDescent="0.25">
      <c r="A2093" s="2033"/>
      <c r="B2093" s="1631" t="s">
        <v>8056</v>
      </c>
      <c r="C2093" s="2805" t="s">
        <v>8057</v>
      </c>
      <c r="D2093" s="2805"/>
      <c r="E2093" s="2805"/>
      <c r="F2093" s="1683" t="s">
        <v>636</v>
      </c>
      <c r="G2093" s="2034">
        <v>65</v>
      </c>
      <c r="H2093" s="1641"/>
      <c r="I2093" s="2034">
        <v>65</v>
      </c>
      <c r="J2093" s="1640"/>
      <c r="K2093" s="1641"/>
      <c r="L2093" s="1654">
        <v>101.02</v>
      </c>
      <c r="M2093" s="1641"/>
      <c r="N2093" s="1679">
        <v>3611.34</v>
      </c>
      <c r="EW2093" s="2031"/>
      <c r="EX2093" s="1619"/>
      <c r="EY2093" s="1628"/>
      <c r="EZ2093" s="1628"/>
      <c r="FA2093" s="1628"/>
      <c r="FF2093" s="1864" t="s">
        <v>8057</v>
      </c>
      <c r="FH2093" s="1628"/>
      <c r="FU2093" s="1678"/>
      <c r="FW2093" s="1678"/>
    </row>
    <row r="2094" spans="1:179" s="1484" customFormat="1" ht="15" x14ac:dyDescent="0.25">
      <c r="A2094" s="1650"/>
      <c r="B2094" s="1651"/>
      <c r="C2094" s="2803" t="s">
        <v>872</v>
      </c>
      <c r="D2094" s="2803"/>
      <c r="E2094" s="2803"/>
      <c r="F2094" s="1621"/>
      <c r="G2094" s="1622"/>
      <c r="H2094" s="1622"/>
      <c r="I2094" s="1622"/>
      <c r="J2094" s="1625"/>
      <c r="K2094" s="1622"/>
      <c r="L2094" s="2040">
        <v>858.31</v>
      </c>
      <c r="M2094" s="2037"/>
      <c r="N2094" s="1649">
        <v>19279.98</v>
      </c>
      <c r="EW2094" s="2031"/>
      <c r="EX2094" s="1619"/>
      <c r="EY2094" s="1628"/>
      <c r="EZ2094" s="1628"/>
      <c r="FA2094" s="1628"/>
      <c r="FH2094" s="1628" t="s">
        <v>872</v>
      </c>
      <c r="FU2094" s="1678"/>
      <c r="FW2094" s="1678"/>
    </row>
    <row r="2095" spans="1:179" s="1484" customFormat="1" ht="15" x14ac:dyDescent="0.25">
      <c r="A2095" s="1620" t="s">
        <v>8301</v>
      </c>
      <c r="B2095" s="1863" t="s">
        <v>8256</v>
      </c>
      <c r="C2095" s="2803" t="s">
        <v>8257</v>
      </c>
      <c r="D2095" s="2803"/>
      <c r="E2095" s="2803"/>
      <c r="F2095" s="1621" t="s">
        <v>130</v>
      </c>
      <c r="G2095" s="1622">
        <v>45.7</v>
      </c>
      <c r="H2095" s="1623">
        <v>1</v>
      </c>
      <c r="I2095" s="1624">
        <v>45.7</v>
      </c>
      <c r="J2095" s="2040">
        <v>24.94</v>
      </c>
      <c r="K2095" s="1622"/>
      <c r="L2095" s="1648">
        <v>1139.76</v>
      </c>
      <c r="M2095" s="1687">
        <v>9.14</v>
      </c>
      <c r="N2095" s="1649">
        <v>10417.41</v>
      </c>
      <c r="EW2095" s="2031"/>
      <c r="EX2095" s="1619"/>
      <c r="EY2095" s="1628" t="s">
        <v>8257</v>
      </c>
      <c r="EZ2095" s="1628" t="s">
        <v>588</v>
      </c>
      <c r="FA2095" s="1628" t="s">
        <v>588</v>
      </c>
      <c r="FH2095" s="1628"/>
      <c r="FU2095" s="1678"/>
      <c r="FW2095" s="1678"/>
    </row>
    <row r="2096" spans="1:179" s="1484" customFormat="1" ht="15" x14ac:dyDescent="0.25">
      <c r="A2096" s="1650"/>
      <c r="B2096" s="1651"/>
      <c r="C2096" s="2805" t="s">
        <v>8640</v>
      </c>
      <c r="D2096" s="2805"/>
      <c r="E2096" s="2805"/>
      <c r="F2096" s="2805"/>
      <c r="G2096" s="2805"/>
      <c r="H2096" s="2805"/>
      <c r="I2096" s="2805"/>
      <c r="J2096" s="2805"/>
      <c r="K2096" s="2805"/>
      <c r="L2096" s="2805"/>
      <c r="M2096" s="2805"/>
      <c r="N2096" s="2806"/>
      <c r="EW2096" s="2031"/>
      <c r="EX2096" s="1619"/>
      <c r="EY2096" s="1628"/>
      <c r="EZ2096" s="1628"/>
      <c r="FA2096" s="1628"/>
      <c r="FH2096" s="1628"/>
      <c r="FI2096" s="1864" t="s">
        <v>8640</v>
      </c>
      <c r="FJ2096" s="1864" t="s">
        <v>588</v>
      </c>
      <c r="FK2096" s="1864" t="s">
        <v>588</v>
      </c>
      <c r="FL2096" s="1864" t="s">
        <v>588</v>
      </c>
      <c r="FM2096" s="1864" t="s">
        <v>588</v>
      </c>
      <c r="FN2096" s="1864" t="s">
        <v>588</v>
      </c>
      <c r="FO2096" s="1864" t="s">
        <v>588</v>
      </c>
      <c r="FP2096" s="1864" t="s">
        <v>588</v>
      </c>
      <c r="FQ2096" s="1864" t="s">
        <v>588</v>
      </c>
      <c r="FR2096" s="1864" t="s">
        <v>588</v>
      </c>
      <c r="FS2096" s="1864" t="s">
        <v>588</v>
      </c>
      <c r="FT2096" s="1864" t="s">
        <v>588</v>
      </c>
      <c r="FU2096" s="1678"/>
      <c r="FW2096" s="1678"/>
    </row>
    <row r="2097" spans="1:179" s="1484" customFormat="1" ht="15" x14ac:dyDescent="0.25">
      <c r="A2097" s="1629"/>
      <c r="B2097" s="1862"/>
      <c r="C2097" s="2805" t="s">
        <v>8799</v>
      </c>
      <c r="D2097" s="2805"/>
      <c r="E2097" s="2805"/>
      <c r="F2097" s="2805"/>
      <c r="G2097" s="2805"/>
      <c r="H2097" s="2805"/>
      <c r="I2097" s="2805"/>
      <c r="J2097" s="2805"/>
      <c r="K2097" s="2805"/>
      <c r="L2097" s="2805"/>
      <c r="M2097" s="2805"/>
      <c r="N2097" s="2806"/>
      <c r="EW2097" s="2031"/>
      <c r="EX2097" s="1619"/>
      <c r="EY2097" s="1628"/>
      <c r="EZ2097" s="1628"/>
      <c r="FA2097" s="1628"/>
      <c r="FB2097" s="1864" t="s">
        <v>8799</v>
      </c>
      <c r="FH2097" s="1628"/>
      <c r="FU2097" s="1678"/>
      <c r="FW2097" s="1678"/>
    </row>
    <row r="2098" spans="1:179" s="1484" customFormat="1" ht="15" x14ac:dyDescent="0.25">
      <c r="A2098" s="1650"/>
      <c r="B2098" s="1651"/>
      <c r="C2098" s="2803" t="s">
        <v>872</v>
      </c>
      <c r="D2098" s="2803"/>
      <c r="E2098" s="2803"/>
      <c r="F2098" s="1621"/>
      <c r="G2098" s="1622"/>
      <c r="H2098" s="1622"/>
      <c r="I2098" s="1622"/>
      <c r="J2098" s="1625"/>
      <c r="K2098" s="1622"/>
      <c r="L2098" s="1648">
        <v>1139.76</v>
      </c>
      <c r="M2098" s="2037"/>
      <c r="N2098" s="1649">
        <v>10417.41</v>
      </c>
      <c r="EW2098" s="2031"/>
      <c r="EX2098" s="1619"/>
      <c r="EY2098" s="1628"/>
      <c r="EZ2098" s="1628"/>
      <c r="FA2098" s="1628"/>
      <c r="FH2098" s="1628" t="s">
        <v>872</v>
      </c>
      <c r="FU2098" s="1678"/>
      <c r="FW2098" s="1678"/>
    </row>
    <row r="2099" spans="1:179" s="1484" customFormat="1" ht="33.75" x14ac:dyDescent="0.25">
      <c r="A2099" s="1620" t="s">
        <v>8302</v>
      </c>
      <c r="B2099" s="1863" t="s">
        <v>8162</v>
      </c>
      <c r="C2099" s="2803" t="s">
        <v>8163</v>
      </c>
      <c r="D2099" s="2803"/>
      <c r="E2099" s="2803"/>
      <c r="F2099" s="1621" t="s">
        <v>2555</v>
      </c>
      <c r="G2099" s="1622">
        <v>0.40799999999999997</v>
      </c>
      <c r="H2099" s="1623">
        <v>1</v>
      </c>
      <c r="I2099" s="2045">
        <v>0.40799999999999997</v>
      </c>
      <c r="J2099" s="1625"/>
      <c r="K2099" s="1622"/>
      <c r="L2099" s="1625"/>
      <c r="M2099" s="1622"/>
      <c r="N2099" s="1627"/>
      <c r="EW2099" s="2031"/>
      <c r="EX2099" s="1619"/>
      <c r="EY2099" s="1628" t="s">
        <v>8163</v>
      </c>
      <c r="EZ2099" s="1628" t="s">
        <v>588</v>
      </c>
      <c r="FA2099" s="1628" t="s">
        <v>588</v>
      </c>
      <c r="FH2099" s="1628"/>
      <c r="FU2099" s="1678"/>
      <c r="FW2099" s="1678"/>
    </row>
    <row r="2100" spans="1:179" s="1484" customFormat="1" ht="15" x14ac:dyDescent="0.25">
      <c r="A2100" s="1629"/>
      <c r="B2100" s="1862"/>
      <c r="C2100" s="2805" t="s">
        <v>8786</v>
      </c>
      <c r="D2100" s="2805"/>
      <c r="E2100" s="2805"/>
      <c r="F2100" s="2805"/>
      <c r="G2100" s="2805"/>
      <c r="H2100" s="2805"/>
      <c r="I2100" s="2805"/>
      <c r="J2100" s="2805"/>
      <c r="K2100" s="2805"/>
      <c r="L2100" s="2805"/>
      <c r="M2100" s="2805"/>
      <c r="N2100" s="2806"/>
      <c r="EW2100" s="2031"/>
      <c r="EX2100" s="1619"/>
      <c r="EY2100" s="1628"/>
      <c r="EZ2100" s="1628"/>
      <c r="FA2100" s="1628"/>
      <c r="FB2100" s="1864" t="s">
        <v>8786</v>
      </c>
      <c r="FH2100" s="1628"/>
      <c r="FU2100" s="1678"/>
      <c r="FW2100" s="1678"/>
    </row>
    <row r="2101" spans="1:179" s="1484" customFormat="1" ht="22.5" x14ac:dyDescent="0.25">
      <c r="A2101" s="1630"/>
      <c r="B2101" s="1631" t="s">
        <v>6062</v>
      </c>
      <c r="C2101" s="2809" t="s">
        <v>6063</v>
      </c>
      <c r="D2101" s="2809"/>
      <c r="E2101" s="2809"/>
      <c r="F2101" s="2809"/>
      <c r="G2101" s="2809"/>
      <c r="H2101" s="2809"/>
      <c r="I2101" s="2809"/>
      <c r="J2101" s="2809"/>
      <c r="K2101" s="2809"/>
      <c r="L2101" s="2809"/>
      <c r="M2101" s="2809"/>
      <c r="N2101" s="2810"/>
      <c r="EW2101" s="2031"/>
      <c r="EX2101" s="1619"/>
      <c r="EY2101" s="1628"/>
      <c r="EZ2101" s="1628"/>
      <c r="FA2101" s="1628"/>
      <c r="FC2101" s="1864" t="s">
        <v>6063</v>
      </c>
      <c r="FH2101" s="1628"/>
      <c r="FU2101" s="1678"/>
      <c r="FW2101" s="1678"/>
    </row>
    <row r="2102" spans="1:179" s="1484" customFormat="1" ht="22.5" x14ac:dyDescent="0.25">
      <c r="A2102" s="2033"/>
      <c r="B2102" s="1631" t="s">
        <v>8657</v>
      </c>
      <c r="C2102" s="2805" t="s">
        <v>8656</v>
      </c>
      <c r="D2102" s="2805"/>
      <c r="E2102" s="2805"/>
      <c r="F2102" s="1683" t="s">
        <v>807</v>
      </c>
      <c r="G2102" s="1953">
        <v>21.3</v>
      </c>
      <c r="H2102" s="1641"/>
      <c r="I2102" s="2035">
        <v>8.6904000000000003</v>
      </c>
      <c r="J2102" s="1654">
        <v>10.06</v>
      </c>
      <c r="K2102" s="1655">
        <v>1.25</v>
      </c>
      <c r="L2102" s="1654">
        <v>109.28</v>
      </c>
      <c r="M2102" s="1641"/>
      <c r="N2102" s="1681"/>
      <c r="EW2102" s="2031"/>
      <c r="EX2102" s="1619"/>
      <c r="EY2102" s="1628"/>
      <c r="EZ2102" s="1628"/>
      <c r="FA2102" s="1628"/>
      <c r="FD2102" s="1864" t="s">
        <v>8656</v>
      </c>
      <c r="FH2102" s="1628"/>
      <c r="FU2102" s="1678"/>
      <c r="FW2102" s="1678"/>
    </row>
    <row r="2103" spans="1:179" s="1484" customFormat="1" ht="22.5" x14ac:dyDescent="0.25">
      <c r="A2103" s="2033"/>
      <c r="B2103" s="1631" t="s">
        <v>5010</v>
      </c>
      <c r="C2103" s="2805" t="s">
        <v>5011</v>
      </c>
      <c r="D2103" s="2805"/>
      <c r="E2103" s="2805"/>
      <c r="F2103" s="1683" t="s">
        <v>4994</v>
      </c>
      <c r="G2103" s="1655">
        <v>0.16</v>
      </c>
      <c r="H2103" s="1641"/>
      <c r="I2103" s="2042">
        <v>6.5280000000000005E-2</v>
      </c>
      <c r="J2103" s="1654">
        <v>31.26</v>
      </c>
      <c r="K2103" s="1641"/>
      <c r="L2103" s="1654">
        <v>2.04</v>
      </c>
      <c r="M2103" s="1641"/>
      <c r="N2103" s="1681"/>
      <c r="EW2103" s="2031"/>
      <c r="EX2103" s="1619"/>
      <c r="EY2103" s="1628"/>
      <c r="EZ2103" s="1628"/>
      <c r="FA2103" s="1628"/>
      <c r="FD2103" s="1864" t="s">
        <v>5011</v>
      </c>
      <c r="FH2103" s="1628"/>
      <c r="FU2103" s="1678"/>
      <c r="FW2103" s="1678"/>
    </row>
    <row r="2104" spans="1:179" s="1484" customFormat="1" ht="15" x14ac:dyDescent="0.25">
      <c r="A2104" s="2033"/>
      <c r="B2104" s="1631" t="s">
        <v>821</v>
      </c>
      <c r="C2104" s="2805" t="s">
        <v>822</v>
      </c>
      <c r="D2104" s="2805"/>
      <c r="E2104" s="2805"/>
      <c r="F2104" s="1683" t="s">
        <v>4994</v>
      </c>
      <c r="G2104" s="1655">
        <v>0.22</v>
      </c>
      <c r="H2104" s="1641"/>
      <c r="I2104" s="2042">
        <v>8.9760000000000006E-2</v>
      </c>
      <c r="J2104" s="1654">
        <v>65.709999999999994</v>
      </c>
      <c r="K2104" s="1641"/>
      <c r="L2104" s="1654">
        <v>5.9</v>
      </c>
      <c r="M2104" s="1641"/>
      <c r="N2104" s="1681"/>
      <c r="EW2104" s="2031"/>
      <c r="EX2104" s="1619"/>
      <c r="EY2104" s="1628"/>
      <c r="EZ2104" s="1628"/>
      <c r="FA2104" s="1628"/>
      <c r="FD2104" s="1864" t="s">
        <v>822</v>
      </c>
      <c r="FH2104" s="1628"/>
      <c r="FU2104" s="1678"/>
      <c r="FW2104" s="1678"/>
    </row>
    <row r="2105" spans="1:179" s="1484" customFormat="1" ht="15" x14ac:dyDescent="0.25">
      <c r="A2105" s="2033"/>
      <c r="B2105" s="1631" t="s">
        <v>5033</v>
      </c>
      <c r="C2105" s="2805" t="s">
        <v>5034</v>
      </c>
      <c r="D2105" s="2805"/>
      <c r="E2105" s="2805"/>
      <c r="F2105" s="1683" t="s">
        <v>4994</v>
      </c>
      <c r="G2105" s="1953">
        <v>4.5</v>
      </c>
      <c r="H2105" s="1641"/>
      <c r="I2105" s="2046">
        <v>1.8360000000000001</v>
      </c>
      <c r="J2105" s="1654">
        <v>2.7</v>
      </c>
      <c r="K2105" s="1641"/>
      <c r="L2105" s="1654">
        <v>4.96</v>
      </c>
      <c r="M2105" s="1641"/>
      <c r="N2105" s="1681"/>
      <c r="EW2105" s="2031"/>
      <c r="EX2105" s="1619"/>
      <c r="EY2105" s="1628"/>
      <c r="EZ2105" s="1628"/>
      <c r="FA2105" s="1628"/>
      <c r="FD2105" s="1864" t="s">
        <v>5034</v>
      </c>
      <c r="FH2105" s="1628"/>
      <c r="FU2105" s="1678"/>
      <c r="FW2105" s="1678"/>
    </row>
    <row r="2106" spans="1:179" s="1484" customFormat="1" ht="22.5" x14ac:dyDescent="0.25">
      <c r="A2106" s="2033"/>
      <c r="B2106" s="1631" t="s">
        <v>4866</v>
      </c>
      <c r="C2106" s="2805" t="s">
        <v>8779</v>
      </c>
      <c r="D2106" s="2805"/>
      <c r="E2106" s="2805"/>
      <c r="F2106" s="1683" t="s">
        <v>801</v>
      </c>
      <c r="G2106" s="2046">
        <v>2.3E-2</v>
      </c>
      <c r="H2106" s="1641"/>
      <c r="I2106" s="2043">
        <v>9.384E-3</v>
      </c>
      <c r="J2106" s="1657">
        <v>1412.5</v>
      </c>
      <c r="K2106" s="1641"/>
      <c r="L2106" s="1654">
        <v>13.25</v>
      </c>
      <c r="M2106" s="1641"/>
      <c r="N2106" s="1681"/>
      <c r="EW2106" s="2031"/>
      <c r="EX2106" s="1619"/>
      <c r="EY2106" s="1628"/>
      <c r="EZ2106" s="1628"/>
      <c r="FA2106" s="1628"/>
      <c r="FD2106" s="1864" t="s">
        <v>8779</v>
      </c>
      <c r="FH2106" s="1628"/>
      <c r="FU2106" s="1678"/>
      <c r="FW2106" s="1678"/>
    </row>
    <row r="2107" spans="1:179" s="1484" customFormat="1" ht="15" x14ac:dyDescent="0.25">
      <c r="A2107" s="2033"/>
      <c r="B2107" s="1631" t="s">
        <v>8778</v>
      </c>
      <c r="C2107" s="2805" t="s">
        <v>8777</v>
      </c>
      <c r="D2107" s="2805"/>
      <c r="E2107" s="2805"/>
      <c r="F2107" s="1683" t="s">
        <v>801</v>
      </c>
      <c r="G2107" s="1655">
        <v>0.13</v>
      </c>
      <c r="H2107" s="1641"/>
      <c r="I2107" s="2042">
        <v>5.3039999999999997E-2</v>
      </c>
      <c r="J2107" s="1657">
        <v>1995</v>
      </c>
      <c r="K2107" s="1641"/>
      <c r="L2107" s="1654">
        <v>105.81</v>
      </c>
      <c r="M2107" s="1641"/>
      <c r="N2107" s="1681"/>
      <c r="EW2107" s="2031"/>
      <c r="EX2107" s="1619"/>
      <c r="EY2107" s="1628"/>
      <c r="EZ2107" s="1628"/>
      <c r="FA2107" s="1628"/>
      <c r="FD2107" s="1864" t="s">
        <v>8777</v>
      </c>
      <c r="FH2107" s="1628"/>
      <c r="FU2107" s="1678"/>
      <c r="FW2107" s="1678"/>
    </row>
    <row r="2108" spans="1:179" s="1484" customFormat="1" ht="15" x14ac:dyDescent="0.25">
      <c r="A2108" s="2033"/>
      <c r="B2108" s="1631" t="s">
        <v>4873</v>
      </c>
      <c r="C2108" s="2805" t="s">
        <v>4874</v>
      </c>
      <c r="D2108" s="2805"/>
      <c r="E2108" s="2805"/>
      <c r="F2108" s="1683" t="s">
        <v>835</v>
      </c>
      <c r="G2108" s="2034">
        <v>54</v>
      </c>
      <c r="H2108" s="1641"/>
      <c r="I2108" s="2046">
        <v>22.032</v>
      </c>
      <c r="J2108" s="1654">
        <v>6.15</v>
      </c>
      <c r="K2108" s="1641"/>
      <c r="L2108" s="1654">
        <v>135.5</v>
      </c>
      <c r="M2108" s="1641"/>
      <c r="N2108" s="1681"/>
      <c r="EW2108" s="2031"/>
      <c r="EX2108" s="1619"/>
      <c r="EY2108" s="1628"/>
      <c r="EZ2108" s="1628"/>
      <c r="FA2108" s="1628"/>
      <c r="FD2108" s="1864" t="s">
        <v>4874</v>
      </c>
      <c r="FH2108" s="1628"/>
      <c r="FU2108" s="1678"/>
      <c r="FW2108" s="1678"/>
    </row>
    <row r="2109" spans="1:179" s="1484" customFormat="1" ht="22.5" x14ac:dyDescent="0.25">
      <c r="A2109" s="2033"/>
      <c r="B2109" s="1631" t="s">
        <v>4881</v>
      </c>
      <c r="C2109" s="2805" t="s">
        <v>4882</v>
      </c>
      <c r="D2109" s="2805"/>
      <c r="E2109" s="2805"/>
      <c r="F2109" s="1683" t="s">
        <v>801</v>
      </c>
      <c r="G2109" s="2046">
        <v>4.0000000000000001E-3</v>
      </c>
      <c r="H2109" s="1641"/>
      <c r="I2109" s="2043">
        <v>1.632E-3</v>
      </c>
      <c r="J2109" s="1657">
        <v>37870</v>
      </c>
      <c r="K2109" s="1641"/>
      <c r="L2109" s="1654">
        <v>61.8</v>
      </c>
      <c r="M2109" s="1641"/>
      <c r="N2109" s="1681"/>
      <c r="EW2109" s="2031"/>
      <c r="EX2109" s="1619"/>
      <c r="EY2109" s="1628"/>
      <c r="EZ2109" s="1628"/>
      <c r="FA2109" s="1628"/>
      <c r="FD2109" s="1864" t="s">
        <v>4882</v>
      </c>
      <c r="FH2109" s="1628"/>
      <c r="FU2109" s="1678"/>
      <c r="FW2109" s="1678"/>
    </row>
    <row r="2110" spans="1:179" s="1484" customFormat="1" ht="15" x14ac:dyDescent="0.25">
      <c r="A2110" s="2032"/>
      <c r="B2110" s="1631" t="s">
        <v>190</v>
      </c>
      <c r="C2110" s="2805" t="s">
        <v>2523</v>
      </c>
      <c r="D2110" s="2805"/>
      <c r="E2110" s="2805"/>
      <c r="F2110" s="1683"/>
      <c r="G2110" s="1641"/>
      <c r="H2110" s="1641"/>
      <c r="I2110" s="1641"/>
      <c r="J2110" s="1654">
        <v>214.28</v>
      </c>
      <c r="K2110" s="1655">
        <v>1.25</v>
      </c>
      <c r="L2110" s="1654">
        <v>109.28</v>
      </c>
      <c r="M2110" s="1655">
        <v>35.75</v>
      </c>
      <c r="N2110" s="1679">
        <v>3906.76</v>
      </c>
      <c r="EW2110" s="2031"/>
      <c r="EX2110" s="1619"/>
      <c r="EY2110" s="1628"/>
      <c r="EZ2110" s="1628"/>
      <c r="FA2110" s="1628"/>
      <c r="FE2110" s="1864" t="s">
        <v>2523</v>
      </c>
      <c r="FH2110" s="1628"/>
      <c r="FU2110" s="1678"/>
      <c r="FW2110" s="1678"/>
    </row>
    <row r="2111" spans="1:179" s="1484" customFormat="1" ht="15" x14ac:dyDescent="0.25">
      <c r="A2111" s="2032"/>
      <c r="B2111" s="1631" t="s">
        <v>639</v>
      </c>
      <c r="C2111" s="2805" t="s">
        <v>697</v>
      </c>
      <c r="D2111" s="2805"/>
      <c r="E2111" s="2805"/>
      <c r="F2111" s="1683"/>
      <c r="G2111" s="1641"/>
      <c r="H2111" s="1641"/>
      <c r="I2111" s="1641"/>
      <c r="J2111" s="1654">
        <v>31.61</v>
      </c>
      <c r="K2111" s="1641"/>
      <c r="L2111" s="1654">
        <v>12.9</v>
      </c>
      <c r="M2111" s="1655">
        <v>11.97</v>
      </c>
      <c r="N2111" s="2039">
        <v>154.41</v>
      </c>
      <c r="EW2111" s="2031"/>
      <c r="EX2111" s="1619"/>
      <c r="EY2111" s="1628"/>
      <c r="EZ2111" s="1628"/>
      <c r="FA2111" s="1628"/>
      <c r="FE2111" s="1864" t="s">
        <v>697</v>
      </c>
      <c r="FH2111" s="1628"/>
      <c r="FU2111" s="1678"/>
      <c r="FW2111" s="1678"/>
    </row>
    <row r="2112" spans="1:179" s="1484" customFormat="1" ht="15" x14ac:dyDescent="0.25">
      <c r="A2112" s="2032"/>
      <c r="B2112" s="1631" t="s">
        <v>640</v>
      </c>
      <c r="C2112" s="2805" t="s">
        <v>2500</v>
      </c>
      <c r="D2112" s="2805"/>
      <c r="E2112" s="2805"/>
      <c r="F2112" s="1683"/>
      <c r="G2112" s="1641"/>
      <c r="H2112" s="1641"/>
      <c r="I2112" s="1641"/>
      <c r="J2112" s="1654">
        <v>4.71</v>
      </c>
      <c r="K2112" s="1641"/>
      <c r="L2112" s="1654">
        <v>1.92</v>
      </c>
      <c r="M2112" s="1655">
        <v>35.75</v>
      </c>
      <c r="N2112" s="2039">
        <v>68.64</v>
      </c>
      <c r="EW2112" s="2031"/>
      <c r="EX2112" s="1619"/>
      <c r="EY2112" s="1628"/>
      <c r="EZ2112" s="1628"/>
      <c r="FA2112" s="1628"/>
      <c r="FE2112" s="1864" t="s">
        <v>2500</v>
      </c>
      <c r="FH2112" s="1628"/>
      <c r="FU2112" s="1678"/>
      <c r="FW2112" s="1678"/>
    </row>
    <row r="2113" spans="1:179" s="1484" customFormat="1" ht="15" x14ac:dyDescent="0.25">
      <c r="A2113" s="2032"/>
      <c r="B2113" s="1631" t="s">
        <v>232</v>
      </c>
      <c r="C2113" s="2805" t="s">
        <v>829</v>
      </c>
      <c r="D2113" s="2805"/>
      <c r="E2113" s="2805"/>
      <c r="F2113" s="1683"/>
      <c r="G2113" s="1641"/>
      <c r="H2113" s="1641"/>
      <c r="I2113" s="1641"/>
      <c r="J2113" s="1654">
        <v>775.42</v>
      </c>
      <c r="K2113" s="1641"/>
      <c r="L2113" s="1654">
        <v>316.37</v>
      </c>
      <c r="M2113" s="1655">
        <v>9.14</v>
      </c>
      <c r="N2113" s="1679">
        <v>2891.62</v>
      </c>
      <c r="EW2113" s="2031"/>
      <c r="EX2113" s="1619"/>
      <c r="EY2113" s="1628"/>
      <c r="EZ2113" s="1628"/>
      <c r="FA2113" s="1628"/>
      <c r="FE2113" s="1864" t="s">
        <v>829</v>
      </c>
      <c r="FH2113" s="1628"/>
      <c r="FU2113" s="1678"/>
      <c r="FW2113" s="1678"/>
    </row>
    <row r="2114" spans="1:179" s="1484" customFormat="1" ht="15" x14ac:dyDescent="0.25">
      <c r="A2114" s="2033"/>
      <c r="B2114" s="1631"/>
      <c r="C2114" s="2805" t="s">
        <v>2524</v>
      </c>
      <c r="D2114" s="2805"/>
      <c r="E2114" s="2805"/>
      <c r="F2114" s="1683" t="s">
        <v>807</v>
      </c>
      <c r="G2114" s="1953">
        <v>21.3</v>
      </c>
      <c r="H2114" s="1641"/>
      <c r="I2114" s="2035">
        <v>8.6904000000000003</v>
      </c>
      <c r="J2114" s="1640"/>
      <c r="K2114" s="1641"/>
      <c r="L2114" s="1640"/>
      <c r="M2114" s="1641"/>
      <c r="N2114" s="1681"/>
      <c r="EW2114" s="2031"/>
      <c r="EX2114" s="1619"/>
      <c r="EY2114" s="1628"/>
      <c r="EZ2114" s="1628"/>
      <c r="FA2114" s="1628"/>
      <c r="FF2114" s="1864" t="s">
        <v>2524</v>
      </c>
      <c r="FH2114" s="1628"/>
      <c r="FU2114" s="1678"/>
      <c r="FW2114" s="1678"/>
    </row>
    <row r="2115" spans="1:179" s="1484" customFormat="1" ht="15" x14ac:dyDescent="0.25">
      <c r="A2115" s="2033"/>
      <c r="B2115" s="1631"/>
      <c r="C2115" s="2805" t="s">
        <v>2501</v>
      </c>
      <c r="D2115" s="2805"/>
      <c r="E2115" s="2805"/>
      <c r="F2115" s="1683" t="s">
        <v>807</v>
      </c>
      <c r="G2115" s="1655">
        <v>0.38</v>
      </c>
      <c r="H2115" s="1641"/>
      <c r="I2115" s="2042">
        <v>0.15504000000000001</v>
      </c>
      <c r="J2115" s="1640"/>
      <c r="K2115" s="1641"/>
      <c r="L2115" s="1640"/>
      <c r="M2115" s="1641"/>
      <c r="N2115" s="1681"/>
      <c r="EW2115" s="2031"/>
      <c r="EX2115" s="1619"/>
      <c r="EY2115" s="1628"/>
      <c r="EZ2115" s="1628"/>
      <c r="FA2115" s="1628"/>
      <c r="FF2115" s="1864" t="s">
        <v>2501</v>
      </c>
      <c r="FH2115" s="1628"/>
      <c r="FU2115" s="1678"/>
      <c r="FW2115" s="1678"/>
    </row>
    <row r="2116" spans="1:179" s="1484" customFormat="1" ht="15" x14ac:dyDescent="0.25">
      <c r="A2116" s="2032"/>
      <c r="B2116" s="1631"/>
      <c r="C2116" s="2917" t="s">
        <v>2502</v>
      </c>
      <c r="D2116" s="2917"/>
      <c r="E2116" s="2917"/>
      <c r="F2116" s="2036"/>
      <c r="G2116" s="2037"/>
      <c r="H2116" s="2037"/>
      <c r="I2116" s="2037"/>
      <c r="J2116" s="2038">
        <v>1021.31</v>
      </c>
      <c r="K2116" s="2037"/>
      <c r="L2116" s="2044">
        <v>438.55</v>
      </c>
      <c r="M2116" s="2037"/>
      <c r="N2116" s="2068">
        <v>6952.79</v>
      </c>
      <c r="EW2116" s="2031"/>
      <c r="EX2116" s="1619"/>
      <c r="EY2116" s="1628"/>
      <c r="EZ2116" s="1628"/>
      <c r="FA2116" s="1628"/>
      <c r="FG2116" s="1864" t="s">
        <v>2502</v>
      </c>
      <c r="FH2116" s="1628"/>
      <c r="FU2116" s="1678"/>
      <c r="FW2116" s="1678"/>
    </row>
    <row r="2117" spans="1:179" s="1484" customFormat="1" ht="15" x14ac:dyDescent="0.25">
      <c r="A2117" s="2033" t="s">
        <v>8303</v>
      </c>
      <c r="B2117" s="1631"/>
      <c r="C2117" s="2805" t="s">
        <v>7964</v>
      </c>
      <c r="D2117" s="2805"/>
      <c r="E2117" s="2805"/>
      <c r="F2117" s="1683" t="s">
        <v>5928</v>
      </c>
      <c r="G2117" s="1641"/>
      <c r="H2117" s="1641"/>
      <c r="I2117" s="1641"/>
      <c r="J2117" s="1640"/>
      <c r="K2117" s="1641"/>
      <c r="L2117" s="1654">
        <v>0.48</v>
      </c>
      <c r="M2117" s="1641"/>
      <c r="N2117" s="2039">
        <v>17.16</v>
      </c>
      <c r="EW2117" s="2031"/>
      <c r="EX2117" s="1619"/>
      <c r="EY2117" s="1628"/>
      <c r="EZ2117" s="1628"/>
      <c r="FA2117" s="1628"/>
      <c r="FF2117" s="1864" t="s">
        <v>7964</v>
      </c>
      <c r="FH2117" s="1628"/>
      <c r="FU2117" s="1678"/>
      <c r="FW2117" s="1678"/>
    </row>
    <row r="2118" spans="1:179" s="1484" customFormat="1" ht="15" x14ac:dyDescent="0.25">
      <c r="A2118" s="2033"/>
      <c r="B2118" s="1631"/>
      <c r="C2118" s="2805" t="s">
        <v>7965</v>
      </c>
      <c r="D2118" s="2805"/>
      <c r="E2118" s="2805"/>
      <c r="F2118" s="1683" t="s">
        <v>5928</v>
      </c>
      <c r="G2118" s="1641"/>
      <c r="H2118" s="1641"/>
      <c r="I2118" s="1641"/>
      <c r="J2118" s="1654">
        <v>4.71</v>
      </c>
      <c r="K2118" s="1655">
        <v>0.25</v>
      </c>
      <c r="L2118" s="1654">
        <v>0.48</v>
      </c>
      <c r="M2118" s="1655">
        <v>35.75</v>
      </c>
      <c r="N2118" s="2039">
        <v>17.16</v>
      </c>
      <c r="EW2118" s="2031"/>
      <c r="EX2118" s="1619"/>
      <c r="EY2118" s="1628"/>
      <c r="EZ2118" s="1628"/>
      <c r="FA2118" s="1628"/>
      <c r="FF2118" s="1864" t="s">
        <v>7965</v>
      </c>
      <c r="FH2118" s="1628"/>
      <c r="FU2118" s="1678"/>
      <c r="FW2118" s="1678"/>
    </row>
    <row r="2119" spans="1:179" s="1484" customFormat="1" ht="15" x14ac:dyDescent="0.25">
      <c r="A2119" s="2033"/>
      <c r="B2119" s="1631"/>
      <c r="C2119" s="2805" t="s">
        <v>867</v>
      </c>
      <c r="D2119" s="2805"/>
      <c r="E2119" s="2805"/>
      <c r="F2119" s="1683"/>
      <c r="G2119" s="1641"/>
      <c r="H2119" s="1641"/>
      <c r="I2119" s="1641"/>
      <c r="J2119" s="1640"/>
      <c r="K2119" s="1641"/>
      <c r="L2119" s="1654">
        <v>111.68</v>
      </c>
      <c r="M2119" s="1641"/>
      <c r="N2119" s="1679">
        <v>3992.56</v>
      </c>
      <c r="EW2119" s="2031"/>
      <c r="EX2119" s="1619"/>
      <c r="EY2119" s="1628"/>
      <c r="EZ2119" s="1628"/>
      <c r="FA2119" s="1628"/>
      <c r="FF2119" s="1864" t="s">
        <v>867</v>
      </c>
      <c r="FH2119" s="1628"/>
      <c r="FU2119" s="1678"/>
      <c r="FW2119" s="1678"/>
    </row>
    <row r="2120" spans="1:179" s="1484" customFormat="1" ht="15" x14ac:dyDescent="0.25">
      <c r="A2120" s="2033"/>
      <c r="B2120" s="1631" t="s">
        <v>8054</v>
      </c>
      <c r="C2120" s="2805" t="s">
        <v>8055</v>
      </c>
      <c r="D2120" s="2805"/>
      <c r="E2120" s="2805"/>
      <c r="F2120" s="1683" t="s">
        <v>636</v>
      </c>
      <c r="G2120" s="2034">
        <v>112</v>
      </c>
      <c r="H2120" s="1641"/>
      <c r="I2120" s="2034">
        <v>112</v>
      </c>
      <c r="J2120" s="1640"/>
      <c r="K2120" s="1641"/>
      <c r="L2120" s="1654">
        <v>125.08</v>
      </c>
      <c r="M2120" s="1641"/>
      <c r="N2120" s="1679">
        <v>4471.67</v>
      </c>
      <c r="EW2120" s="2031"/>
      <c r="EX2120" s="1619"/>
      <c r="EY2120" s="1628"/>
      <c r="EZ2120" s="1628"/>
      <c r="FA2120" s="1628"/>
      <c r="FF2120" s="1864" t="s">
        <v>8055</v>
      </c>
      <c r="FH2120" s="1628"/>
      <c r="FU2120" s="1678"/>
      <c r="FW2120" s="1678"/>
    </row>
    <row r="2121" spans="1:179" s="1484" customFormat="1" ht="15" x14ac:dyDescent="0.25">
      <c r="A2121" s="2033"/>
      <c r="B2121" s="1631" t="s">
        <v>8056</v>
      </c>
      <c r="C2121" s="2805" t="s">
        <v>8057</v>
      </c>
      <c r="D2121" s="2805"/>
      <c r="E2121" s="2805"/>
      <c r="F2121" s="1683" t="s">
        <v>636</v>
      </c>
      <c r="G2121" s="2034">
        <v>65</v>
      </c>
      <c r="H2121" s="1641"/>
      <c r="I2121" s="2034">
        <v>65</v>
      </c>
      <c r="J2121" s="1640"/>
      <c r="K2121" s="1641"/>
      <c r="L2121" s="1654">
        <v>72.59</v>
      </c>
      <c r="M2121" s="1641"/>
      <c r="N2121" s="1679">
        <v>2595.16</v>
      </c>
      <c r="EW2121" s="2031"/>
      <c r="EX2121" s="1619"/>
      <c r="EY2121" s="1628"/>
      <c r="EZ2121" s="1628"/>
      <c r="FA2121" s="1628"/>
      <c r="FF2121" s="1864" t="s">
        <v>8057</v>
      </c>
      <c r="FH2121" s="1628"/>
      <c r="FU2121" s="1678"/>
      <c r="FW2121" s="1678"/>
    </row>
    <row r="2122" spans="1:179" s="1484" customFormat="1" ht="15" x14ac:dyDescent="0.25">
      <c r="A2122" s="1650"/>
      <c r="B2122" s="1651"/>
      <c r="C2122" s="2803" t="s">
        <v>872</v>
      </c>
      <c r="D2122" s="2803"/>
      <c r="E2122" s="2803"/>
      <c r="F2122" s="1621"/>
      <c r="G2122" s="1622"/>
      <c r="H2122" s="1622"/>
      <c r="I2122" s="1622"/>
      <c r="J2122" s="1625"/>
      <c r="K2122" s="1622"/>
      <c r="L2122" s="2040">
        <v>636.70000000000005</v>
      </c>
      <c r="M2122" s="2037"/>
      <c r="N2122" s="1649">
        <v>14036.78</v>
      </c>
      <c r="EW2122" s="2031"/>
      <c r="EX2122" s="1619"/>
      <c r="EY2122" s="1628"/>
      <c r="EZ2122" s="1628"/>
      <c r="FA2122" s="1628"/>
      <c r="FH2122" s="1628" t="s">
        <v>872</v>
      </c>
      <c r="FU2122" s="1678"/>
      <c r="FW2122" s="1678"/>
    </row>
    <row r="2123" spans="1:179" s="1484" customFormat="1" ht="15" x14ac:dyDescent="0.25">
      <c r="A2123" s="1620" t="s">
        <v>8304</v>
      </c>
      <c r="B2123" s="1863" t="s">
        <v>8256</v>
      </c>
      <c r="C2123" s="2803" t="s">
        <v>8257</v>
      </c>
      <c r="D2123" s="2803"/>
      <c r="E2123" s="2803"/>
      <c r="F2123" s="1621" t="s">
        <v>130</v>
      </c>
      <c r="G2123" s="1622">
        <v>45.7</v>
      </c>
      <c r="H2123" s="1623">
        <v>1</v>
      </c>
      <c r="I2123" s="1624">
        <v>45.7</v>
      </c>
      <c r="J2123" s="2040">
        <v>24.94</v>
      </c>
      <c r="K2123" s="1622"/>
      <c r="L2123" s="1648">
        <v>1139.76</v>
      </c>
      <c r="M2123" s="1687">
        <v>9.14</v>
      </c>
      <c r="N2123" s="1649">
        <v>10417.41</v>
      </c>
      <c r="EW2123" s="2031"/>
      <c r="EX2123" s="1619"/>
      <c r="EY2123" s="1628" t="s">
        <v>8257</v>
      </c>
      <c r="EZ2123" s="1628" t="s">
        <v>588</v>
      </c>
      <c r="FA2123" s="1628" t="s">
        <v>588</v>
      </c>
      <c r="FH2123" s="1628"/>
      <c r="FU2123" s="1678"/>
      <c r="FW2123" s="1678"/>
    </row>
    <row r="2124" spans="1:179" s="1484" customFormat="1" ht="15" x14ac:dyDescent="0.25">
      <c r="A2124" s="1650"/>
      <c r="B2124" s="1651"/>
      <c r="C2124" s="2805" t="s">
        <v>8640</v>
      </c>
      <c r="D2124" s="2805"/>
      <c r="E2124" s="2805"/>
      <c r="F2124" s="2805"/>
      <c r="G2124" s="2805"/>
      <c r="H2124" s="2805"/>
      <c r="I2124" s="2805"/>
      <c r="J2124" s="2805"/>
      <c r="K2124" s="2805"/>
      <c r="L2124" s="2805"/>
      <c r="M2124" s="2805"/>
      <c r="N2124" s="2806"/>
      <c r="EW2124" s="2031"/>
      <c r="EX2124" s="1619"/>
      <c r="EY2124" s="1628"/>
      <c r="EZ2124" s="1628"/>
      <c r="FA2124" s="1628"/>
      <c r="FH2124" s="1628"/>
      <c r="FI2124" s="1864" t="s">
        <v>8640</v>
      </c>
      <c r="FJ2124" s="1864" t="s">
        <v>588</v>
      </c>
      <c r="FK2124" s="1864" t="s">
        <v>588</v>
      </c>
      <c r="FL2124" s="1864" t="s">
        <v>588</v>
      </c>
      <c r="FM2124" s="1864" t="s">
        <v>588</v>
      </c>
      <c r="FN2124" s="1864" t="s">
        <v>588</v>
      </c>
      <c r="FO2124" s="1864" t="s">
        <v>588</v>
      </c>
      <c r="FP2124" s="1864" t="s">
        <v>588</v>
      </c>
      <c r="FQ2124" s="1864" t="s">
        <v>588</v>
      </c>
      <c r="FR2124" s="1864" t="s">
        <v>588</v>
      </c>
      <c r="FS2124" s="1864" t="s">
        <v>588</v>
      </c>
      <c r="FT2124" s="1864" t="s">
        <v>588</v>
      </c>
      <c r="FU2124" s="1678"/>
      <c r="FW2124" s="1678"/>
    </row>
    <row r="2125" spans="1:179" s="1484" customFormat="1" ht="15" x14ac:dyDescent="0.25">
      <c r="A2125" s="1629"/>
      <c r="B2125" s="1862"/>
      <c r="C2125" s="2805" t="s">
        <v>8799</v>
      </c>
      <c r="D2125" s="2805"/>
      <c r="E2125" s="2805"/>
      <c r="F2125" s="2805"/>
      <c r="G2125" s="2805"/>
      <c r="H2125" s="2805"/>
      <c r="I2125" s="2805"/>
      <c r="J2125" s="2805"/>
      <c r="K2125" s="2805"/>
      <c r="L2125" s="2805"/>
      <c r="M2125" s="2805"/>
      <c r="N2125" s="2806"/>
      <c r="EW2125" s="2031"/>
      <c r="EX2125" s="1619"/>
      <c r="EY2125" s="1628"/>
      <c r="EZ2125" s="1628"/>
      <c r="FA2125" s="1628"/>
      <c r="FB2125" s="1864" t="s">
        <v>8799</v>
      </c>
      <c r="FH2125" s="1628"/>
      <c r="FU2125" s="1678"/>
      <c r="FW2125" s="1678"/>
    </row>
    <row r="2126" spans="1:179" s="1484" customFormat="1" ht="15" x14ac:dyDescent="0.25">
      <c r="A2126" s="1650"/>
      <c r="B2126" s="1651"/>
      <c r="C2126" s="2803" t="s">
        <v>872</v>
      </c>
      <c r="D2126" s="2803"/>
      <c r="E2126" s="2803"/>
      <c r="F2126" s="1621"/>
      <c r="G2126" s="1622"/>
      <c r="H2126" s="1622"/>
      <c r="I2126" s="1622"/>
      <c r="J2126" s="1625"/>
      <c r="K2126" s="1622"/>
      <c r="L2126" s="1648">
        <v>1139.76</v>
      </c>
      <c r="M2126" s="2037"/>
      <c r="N2126" s="1649">
        <v>10417.41</v>
      </c>
      <c r="EW2126" s="2031"/>
      <c r="EX2126" s="1619"/>
      <c r="EY2126" s="1628"/>
      <c r="EZ2126" s="1628"/>
      <c r="FA2126" s="1628"/>
      <c r="FH2126" s="1628" t="s">
        <v>872</v>
      </c>
      <c r="FU2126" s="1678"/>
      <c r="FW2126" s="1678"/>
    </row>
    <row r="2127" spans="1:179" s="1484" customFormat="1" ht="33.75" x14ac:dyDescent="0.25">
      <c r="A2127" s="1620" t="s">
        <v>8305</v>
      </c>
      <c r="B2127" s="1863" t="s">
        <v>8306</v>
      </c>
      <c r="C2127" s="2803" t="s">
        <v>8307</v>
      </c>
      <c r="D2127" s="2803"/>
      <c r="E2127" s="2803"/>
      <c r="F2127" s="1621" t="s">
        <v>4884</v>
      </c>
      <c r="G2127" s="1622">
        <v>4.0800000000000003E-2</v>
      </c>
      <c r="H2127" s="1623">
        <v>1</v>
      </c>
      <c r="I2127" s="2041">
        <v>4.0800000000000003E-2</v>
      </c>
      <c r="J2127" s="1625"/>
      <c r="K2127" s="1622"/>
      <c r="L2127" s="1625"/>
      <c r="M2127" s="1622"/>
      <c r="N2127" s="1627"/>
      <c r="EW2127" s="2031"/>
      <c r="EX2127" s="1619"/>
      <c r="EY2127" s="1628" t="s">
        <v>8307</v>
      </c>
      <c r="EZ2127" s="1628" t="s">
        <v>588</v>
      </c>
      <c r="FA2127" s="1628" t="s">
        <v>588</v>
      </c>
      <c r="FH2127" s="1628"/>
      <c r="FU2127" s="1678"/>
      <c r="FW2127" s="1678"/>
    </row>
    <row r="2128" spans="1:179" s="1484" customFormat="1" ht="15" x14ac:dyDescent="0.25">
      <c r="A2128" s="1629"/>
      <c r="B2128" s="1862"/>
      <c r="C2128" s="2805" t="s">
        <v>8792</v>
      </c>
      <c r="D2128" s="2805"/>
      <c r="E2128" s="2805"/>
      <c r="F2128" s="2805"/>
      <c r="G2128" s="2805"/>
      <c r="H2128" s="2805"/>
      <c r="I2128" s="2805"/>
      <c r="J2128" s="2805"/>
      <c r="K2128" s="2805"/>
      <c r="L2128" s="2805"/>
      <c r="M2128" s="2805"/>
      <c r="N2128" s="2806"/>
      <c r="EW2128" s="2031"/>
      <c r="EX2128" s="1619"/>
      <c r="EY2128" s="1628"/>
      <c r="EZ2128" s="1628"/>
      <c r="FA2128" s="1628"/>
      <c r="FB2128" s="1864" t="s">
        <v>8792</v>
      </c>
      <c r="FH2128" s="1628"/>
      <c r="FU2128" s="1678"/>
      <c r="FW2128" s="1678"/>
    </row>
    <row r="2129" spans="1:179" s="1484" customFormat="1" ht="22.5" x14ac:dyDescent="0.25">
      <c r="A2129" s="1630"/>
      <c r="B2129" s="1631" t="s">
        <v>6062</v>
      </c>
      <c r="C2129" s="2809" t="s">
        <v>6063</v>
      </c>
      <c r="D2129" s="2809"/>
      <c r="E2129" s="2809"/>
      <c r="F2129" s="2809"/>
      <c r="G2129" s="2809"/>
      <c r="H2129" s="2809"/>
      <c r="I2129" s="2809"/>
      <c r="J2129" s="2809"/>
      <c r="K2129" s="2809"/>
      <c r="L2129" s="2809"/>
      <c r="M2129" s="2809"/>
      <c r="N2129" s="2810"/>
      <c r="EW2129" s="2031"/>
      <c r="EX2129" s="1619"/>
      <c r="EY2129" s="1628"/>
      <c r="EZ2129" s="1628"/>
      <c r="FA2129" s="1628"/>
      <c r="FC2129" s="1864" t="s">
        <v>6063</v>
      </c>
      <c r="FH2129" s="1628"/>
      <c r="FU2129" s="1678"/>
      <c r="FW2129" s="1678"/>
    </row>
    <row r="2130" spans="1:179" s="1484" customFormat="1" ht="22.5" x14ac:dyDescent="0.25">
      <c r="A2130" s="2033"/>
      <c r="B2130" s="1631" t="s">
        <v>8756</v>
      </c>
      <c r="C2130" s="2805" t="s">
        <v>8755</v>
      </c>
      <c r="D2130" s="2805"/>
      <c r="E2130" s="2805"/>
      <c r="F2130" s="1683" t="s">
        <v>807</v>
      </c>
      <c r="G2130" s="1953">
        <v>32.4</v>
      </c>
      <c r="H2130" s="1641"/>
      <c r="I2130" s="2042">
        <v>1.32192</v>
      </c>
      <c r="J2130" s="1654">
        <v>7.94</v>
      </c>
      <c r="K2130" s="1655">
        <v>1.25</v>
      </c>
      <c r="L2130" s="1654">
        <v>13.12</v>
      </c>
      <c r="M2130" s="1641"/>
      <c r="N2130" s="1681"/>
      <c r="EW2130" s="2031"/>
      <c r="EX2130" s="1619"/>
      <c r="EY2130" s="1628"/>
      <c r="EZ2130" s="1628"/>
      <c r="FA2130" s="1628"/>
      <c r="FD2130" s="1864" t="s">
        <v>8755</v>
      </c>
      <c r="FH2130" s="1628"/>
      <c r="FU2130" s="1678"/>
      <c r="FW2130" s="1678"/>
    </row>
    <row r="2131" spans="1:179" s="1484" customFormat="1" ht="15" x14ac:dyDescent="0.25">
      <c r="A2131" s="2033"/>
      <c r="B2131" s="1631" t="s">
        <v>821</v>
      </c>
      <c r="C2131" s="2805" t="s">
        <v>822</v>
      </c>
      <c r="D2131" s="2805"/>
      <c r="E2131" s="2805"/>
      <c r="F2131" s="1683" t="s">
        <v>4994</v>
      </c>
      <c r="G2131" s="1953">
        <v>0.2</v>
      </c>
      <c r="H2131" s="1641"/>
      <c r="I2131" s="2042">
        <v>8.1600000000000006E-3</v>
      </c>
      <c r="J2131" s="1654">
        <v>65.709999999999994</v>
      </c>
      <c r="K2131" s="1641"/>
      <c r="L2131" s="1654">
        <v>0.54</v>
      </c>
      <c r="M2131" s="1641"/>
      <c r="N2131" s="1681"/>
      <c r="EW2131" s="2031"/>
      <c r="EX2131" s="1619"/>
      <c r="EY2131" s="1628"/>
      <c r="EZ2131" s="1628"/>
      <c r="FA2131" s="1628"/>
      <c r="FD2131" s="1864" t="s">
        <v>822</v>
      </c>
      <c r="FH2131" s="1628"/>
      <c r="FU2131" s="1678"/>
      <c r="FW2131" s="1678"/>
    </row>
    <row r="2132" spans="1:179" s="1484" customFormat="1" ht="15" x14ac:dyDescent="0.25">
      <c r="A2132" s="2033"/>
      <c r="B2132" s="1631" t="s">
        <v>1910</v>
      </c>
      <c r="C2132" s="2805" t="s">
        <v>8791</v>
      </c>
      <c r="D2132" s="2805"/>
      <c r="E2132" s="2805"/>
      <c r="F2132" s="1683" t="s">
        <v>801</v>
      </c>
      <c r="G2132" s="2035">
        <v>2.3E-3</v>
      </c>
      <c r="H2132" s="1641"/>
      <c r="I2132" s="2049">
        <v>9.3800000000000003E-5</v>
      </c>
      <c r="J2132" s="1657">
        <v>5989</v>
      </c>
      <c r="K2132" s="1641"/>
      <c r="L2132" s="1654">
        <v>0.56000000000000005</v>
      </c>
      <c r="M2132" s="1641"/>
      <c r="N2132" s="1681"/>
      <c r="EW2132" s="2031"/>
      <c r="EX2132" s="1619"/>
      <c r="EY2132" s="1628"/>
      <c r="EZ2132" s="1628"/>
      <c r="FA2132" s="1628"/>
      <c r="FD2132" s="1864" t="s">
        <v>8791</v>
      </c>
      <c r="FH2132" s="1628"/>
      <c r="FU2132" s="1678"/>
      <c r="FW2132" s="1678"/>
    </row>
    <row r="2133" spans="1:179" s="1484" customFormat="1" ht="15" x14ac:dyDescent="0.25">
      <c r="A2133" s="2032"/>
      <c r="B2133" s="1631" t="s">
        <v>190</v>
      </c>
      <c r="C2133" s="2805" t="s">
        <v>2523</v>
      </c>
      <c r="D2133" s="2805"/>
      <c r="E2133" s="2805"/>
      <c r="F2133" s="1683"/>
      <c r="G2133" s="1641"/>
      <c r="H2133" s="1641"/>
      <c r="I2133" s="1641"/>
      <c r="J2133" s="1654">
        <v>257.26</v>
      </c>
      <c r="K2133" s="1655">
        <v>1.25</v>
      </c>
      <c r="L2133" s="1654">
        <v>13.12</v>
      </c>
      <c r="M2133" s="1655">
        <v>35.75</v>
      </c>
      <c r="N2133" s="2039">
        <v>469.04</v>
      </c>
      <c r="EW2133" s="2031"/>
      <c r="EX2133" s="1619"/>
      <c r="EY2133" s="1628"/>
      <c r="EZ2133" s="1628"/>
      <c r="FA2133" s="1628"/>
      <c r="FE2133" s="1864" t="s">
        <v>2523</v>
      </c>
      <c r="FH2133" s="1628"/>
      <c r="FU2133" s="1678"/>
      <c r="FW2133" s="1678"/>
    </row>
    <row r="2134" spans="1:179" s="1484" customFormat="1" ht="15" x14ac:dyDescent="0.25">
      <c r="A2134" s="2032"/>
      <c r="B2134" s="1631" t="s">
        <v>639</v>
      </c>
      <c r="C2134" s="2805" t="s">
        <v>697</v>
      </c>
      <c r="D2134" s="2805"/>
      <c r="E2134" s="2805"/>
      <c r="F2134" s="1683"/>
      <c r="G2134" s="1641"/>
      <c r="H2134" s="1641"/>
      <c r="I2134" s="1641"/>
      <c r="J2134" s="1654">
        <v>13.14</v>
      </c>
      <c r="K2134" s="1641"/>
      <c r="L2134" s="1654">
        <v>0.54</v>
      </c>
      <c r="M2134" s="1655">
        <v>11.97</v>
      </c>
      <c r="N2134" s="2039">
        <v>6.46</v>
      </c>
      <c r="EW2134" s="2031"/>
      <c r="EX2134" s="1619"/>
      <c r="EY2134" s="1628"/>
      <c r="EZ2134" s="1628"/>
      <c r="FA2134" s="1628"/>
      <c r="FE2134" s="1864" t="s">
        <v>697</v>
      </c>
      <c r="FH2134" s="1628"/>
      <c r="FU2134" s="1678"/>
      <c r="FW2134" s="1678"/>
    </row>
    <row r="2135" spans="1:179" s="1484" customFormat="1" ht="15" x14ac:dyDescent="0.25">
      <c r="A2135" s="2032"/>
      <c r="B2135" s="1631" t="s">
        <v>640</v>
      </c>
      <c r="C2135" s="2805" t="s">
        <v>2500</v>
      </c>
      <c r="D2135" s="2805"/>
      <c r="E2135" s="2805"/>
      <c r="F2135" s="1683"/>
      <c r="G2135" s="1641"/>
      <c r="H2135" s="1641"/>
      <c r="I2135" s="1641"/>
      <c r="J2135" s="1654">
        <v>2.3199999999999998</v>
      </c>
      <c r="K2135" s="1641"/>
      <c r="L2135" s="1654">
        <v>0.09</v>
      </c>
      <c r="M2135" s="1655">
        <v>35.75</v>
      </c>
      <c r="N2135" s="2039">
        <v>3.22</v>
      </c>
      <c r="EW2135" s="2031"/>
      <c r="EX2135" s="1619"/>
      <c r="EY2135" s="1628"/>
      <c r="EZ2135" s="1628"/>
      <c r="FA2135" s="1628"/>
      <c r="FE2135" s="1864" t="s">
        <v>2500</v>
      </c>
      <c r="FH2135" s="1628"/>
      <c r="FU2135" s="1678"/>
      <c r="FW2135" s="1678"/>
    </row>
    <row r="2136" spans="1:179" s="1484" customFormat="1" ht="15" x14ac:dyDescent="0.25">
      <c r="A2136" s="2032"/>
      <c r="B2136" s="1631" t="s">
        <v>232</v>
      </c>
      <c r="C2136" s="2805" t="s">
        <v>829</v>
      </c>
      <c r="D2136" s="2805"/>
      <c r="E2136" s="2805"/>
      <c r="F2136" s="1683"/>
      <c r="G2136" s="1641"/>
      <c r="H2136" s="1641"/>
      <c r="I2136" s="1641"/>
      <c r="J2136" s="1654">
        <v>13.77</v>
      </c>
      <c r="K2136" s="1641"/>
      <c r="L2136" s="1654">
        <v>0.56000000000000005</v>
      </c>
      <c r="M2136" s="1655">
        <v>9.14</v>
      </c>
      <c r="N2136" s="2039">
        <v>5.12</v>
      </c>
      <c r="EW2136" s="2031"/>
      <c r="EX2136" s="1619"/>
      <c r="EY2136" s="1628"/>
      <c r="EZ2136" s="1628"/>
      <c r="FA2136" s="1628"/>
      <c r="FE2136" s="1864" t="s">
        <v>829</v>
      </c>
      <c r="FH2136" s="1628"/>
      <c r="FU2136" s="1678"/>
      <c r="FW2136" s="1678"/>
    </row>
    <row r="2137" spans="1:179" s="1484" customFormat="1" ht="15" x14ac:dyDescent="0.25">
      <c r="A2137" s="2033"/>
      <c r="B2137" s="1631"/>
      <c r="C2137" s="2805" t="s">
        <v>2524</v>
      </c>
      <c r="D2137" s="2805"/>
      <c r="E2137" s="2805"/>
      <c r="F2137" s="1683" t="s">
        <v>807</v>
      </c>
      <c r="G2137" s="1953">
        <v>32.4</v>
      </c>
      <c r="H2137" s="1641"/>
      <c r="I2137" s="2042">
        <v>1.32192</v>
      </c>
      <c r="J2137" s="1640"/>
      <c r="K2137" s="1641"/>
      <c r="L2137" s="1640"/>
      <c r="M2137" s="1641"/>
      <c r="N2137" s="1681"/>
      <c r="EW2137" s="2031"/>
      <c r="EX2137" s="1619"/>
      <c r="EY2137" s="1628"/>
      <c r="EZ2137" s="1628"/>
      <c r="FA2137" s="1628"/>
      <c r="FF2137" s="1864" t="s">
        <v>2524</v>
      </c>
      <c r="FH2137" s="1628"/>
      <c r="FU2137" s="1678"/>
      <c r="FW2137" s="1678"/>
    </row>
    <row r="2138" spans="1:179" s="1484" customFormat="1" ht="15" x14ac:dyDescent="0.25">
      <c r="A2138" s="2033"/>
      <c r="B2138" s="1631"/>
      <c r="C2138" s="2805" t="s">
        <v>2501</v>
      </c>
      <c r="D2138" s="2805"/>
      <c r="E2138" s="2805"/>
      <c r="F2138" s="1683" t="s">
        <v>807</v>
      </c>
      <c r="G2138" s="1953">
        <v>0.2</v>
      </c>
      <c r="H2138" s="1641"/>
      <c r="I2138" s="2042">
        <v>8.1600000000000006E-3</v>
      </c>
      <c r="J2138" s="1640"/>
      <c r="K2138" s="1641"/>
      <c r="L2138" s="1640"/>
      <c r="M2138" s="1641"/>
      <c r="N2138" s="1681"/>
      <c r="EW2138" s="2031"/>
      <c r="EX2138" s="1619"/>
      <c r="EY2138" s="1628"/>
      <c r="EZ2138" s="1628"/>
      <c r="FA2138" s="1628"/>
      <c r="FF2138" s="1864" t="s">
        <v>2501</v>
      </c>
      <c r="FH2138" s="1628"/>
      <c r="FU2138" s="1678"/>
      <c r="FW2138" s="1678"/>
    </row>
    <row r="2139" spans="1:179" s="1484" customFormat="1" ht="15" x14ac:dyDescent="0.25">
      <c r="A2139" s="2032"/>
      <c r="B2139" s="1631"/>
      <c r="C2139" s="2917" t="s">
        <v>2502</v>
      </c>
      <c r="D2139" s="2917"/>
      <c r="E2139" s="2917"/>
      <c r="F2139" s="2036"/>
      <c r="G2139" s="2037"/>
      <c r="H2139" s="2037"/>
      <c r="I2139" s="2037"/>
      <c r="J2139" s="2044">
        <v>284.17</v>
      </c>
      <c r="K2139" s="2037"/>
      <c r="L2139" s="2044">
        <v>14.22</v>
      </c>
      <c r="M2139" s="2037"/>
      <c r="N2139" s="2070">
        <v>480.62</v>
      </c>
      <c r="EW2139" s="2031"/>
      <c r="EX2139" s="1619"/>
      <c r="EY2139" s="1628"/>
      <c r="EZ2139" s="1628"/>
      <c r="FA2139" s="1628"/>
      <c r="FG2139" s="1864" t="s">
        <v>2502</v>
      </c>
      <c r="FH2139" s="1628"/>
      <c r="FU2139" s="1678"/>
      <c r="FW2139" s="1678"/>
    </row>
    <row r="2140" spans="1:179" s="1484" customFormat="1" ht="15" x14ac:dyDescent="0.25">
      <c r="A2140" s="2033" t="s">
        <v>8308</v>
      </c>
      <c r="B2140" s="1631"/>
      <c r="C2140" s="2805" t="s">
        <v>7964</v>
      </c>
      <c r="D2140" s="2805"/>
      <c r="E2140" s="2805"/>
      <c r="F2140" s="1683" t="s">
        <v>5928</v>
      </c>
      <c r="G2140" s="1641"/>
      <c r="H2140" s="1641"/>
      <c r="I2140" s="1641"/>
      <c r="J2140" s="1640"/>
      <c r="K2140" s="1641"/>
      <c r="L2140" s="1654">
        <v>0.02</v>
      </c>
      <c r="M2140" s="1641"/>
      <c r="N2140" s="2039">
        <v>0.72</v>
      </c>
      <c r="EW2140" s="2031"/>
      <c r="EX2140" s="1619"/>
      <c r="EY2140" s="1628"/>
      <c r="EZ2140" s="1628"/>
      <c r="FA2140" s="1628"/>
      <c r="FF2140" s="1864" t="s">
        <v>7964</v>
      </c>
      <c r="FH2140" s="1628"/>
      <c r="FU2140" s="1678"/>
      <c r="FW2140" s="1678"/>
    </row>
    <row r="2141" spans="1:179" s="1484" customFormat="1" ht="15" x14ac:dyDescent="0.25">
      <c r="A2141" s="2033"/>
      <c r="B2141" s="1631"/>
      <c r="C2141" s="2805" t="s">
        <v>7965</v>
      </c>
      <c r="D2141" s="2805"/>
      <c r="E2141" s="2805"/>
      <c r="F2141" s="1683" t="s">
        <v>5928</v>
      </c>
      <c r="G2141" s="1641"/>
      <c r="H2141" s="1641"/>
      <c r="I2141" s="1641"/>
      <c r="J2141" s="1654">
        <v>2.3199999999999998</v>
      </c>
      <c r="K2141" s="1655">
        <v>0.25</v>
      </c>
      <c r="L2141" s="1654">
        <v>0.02</v>
      </c>
      <c r="M2141" s="1655">
        <v>35.75</v>
      </c>
      <c r="N2141" s="2039">
        <v>0.72</v>
      </c>
      <c r="EW2141" s="2031"/>
      <c r="EX2141" s="1619"/>
      <c r="EY2141" s="1628"/>
      <c r="EZ2141" s="1628"/>
      <c r="FA2141" s="1628"/>
      <c r="FF2141" s="1864" t="s">
        <v>7965</v>
      </c>
      <c r="FH2141" s="1628"/>
      <c r="FU2141" s="1678"/>
      <c r="FW2141" s="1678"/>
    </row>
    <row r="2142" spans="1:179" s="1484" customFormat="1" ht="15" x14ac:dyDescent="0.25">
      <c r="A2142" s="2033"/>
      <c r="B2142" s="1631"/>
      <c r="C2142" s="2805" t="s">
        <v>867</v>
      </c>
      <c r="D2142" s="2805"/>
      <c r="E2142" s="2805"/>
      <c r="F2142" s="1683"/>
      <c r="G2142" s="1641"/>
      <c r="H2142" s="1641"/>
      <c r="I2142" s="1641"/>
      <c r="J2142" s="1640"/>
      <c r="K2142" s="1641"/>
      <c r="L2142" s="1654">
        <v>13.23</v>
      </c>
      <c r="M2142" s="1641"/>
      <c r="N2142" s="2039">
        <v>472.98</v>
      </c>
      <c r="EW2142" s="2031"/>
      <c r="EX2142" s="1619"/>
      <c r="EY2142" s="1628"/>
      <c r="EZ2142" s="1628"/>
      <c r="FA2142" s="1628"/>
      <c r="FF2142" s="1864" t="s">
        <v>867</v>
      </c>
      <c r="FH2142" s="1628"/>
      <c r="FU2142" s="1678"/>
      <c r="FW2142" s="1678"/>
    </row>
    <row r="2143" spans="1:179" s="1484" customFormat="1" ht="15" x14ac:dyDescent="0.25">
      <c r="A2143" s="2033"/>
      <c r="B2143" s="1631" t="s">
        <v>6071</v>
      </c>
      <c r="C2143" s="2805" t="s">
        <v>6072</v>
      </c>
      <c r="D2143" s="2805"/>
      <c r="E2143" s="2805"/>
      <c r="F2143" s="1683" t="s">
        <v>636</v>
      </c>
      <c r="G2143" s="2034">
        <v>147</v>
      </c>
      <c r="H2143" s="1641"/>
      <c r="I2143" s="2034">
        <v>147</v>
      </c>
      <c r="J2143" s="1640"/>
      <c r="K2143" s="1641"/>
      <c r="L2143" s="1654">
        <v>19.45</v>
      </c>
      <c r="M2143" s="1641"/>
      <c r="N2143" s="2039">
        <v>695.28</v>
      </c>
      <c r="EW2143" s="2031"/>
      <c r="EX2143" s="1619"/>
      <c r="EY2143" s="1628"/>
      <c r="EZ2143" s="1628"/>
      <c r="FA2143" s="1628"/>
      <c r="FF2143" s="1864" t="s">
        <v>6072</v>
      </c>
      <c r="FH2143" s="1628"/>
      <c r="FU2143" s="1678"/>
      <c r="FW2143" s="1678"/>
    </row>
    <row r="2144" spans="1:179" s="1484" customFormat="1" ht="15" x14ac:dyDescent="0.25">
      <c r="A2144" s="2033"/>
      <c r="B2144" s="1631" t="s">
        <v>6073</v>
      </c>
      <c r="C2144" s="2805" t="s">
        <v>6074</v>
      </c>
      <c r="D2144" s="2805"/>
      <c r="E2144" s="2805"/>
      <c r="F2144" s="1683" t="s">
        <v>636</v>
      </c>
      <c r="G2144" s="2034">
        <v>134</v>
      </c>
      <c r="H2144" s="1641"/>
      <c r="I2144" s="2034">
        <v>134</v>
      </c>
      <c r="J2144" s="1640"/>
      <c r="K2144" s="1641"/>
      <c r="L2144" s="1654">
        <v>17.73</v>
      </c>
      <c r="M2144" s="1641"/>
      <c r="N2144" s="2039">
        <v>633.79</v>
      </c>
      <c r="EW2144" s="2031"/>
      <c r="EX2144" s="1619"/>
      <c r="EY2144" s="1628"/>
      <c r="EZ2144" s="1628"/>
      <c r="FA2144" s="1628"/>
      <c r="FF2144" s="1864" t="s">
        <v>6074</v>
      </c>
      <c r="FH2144" s="1628"/>
      <c r="FU2144" s="1678"/>
      <c r="FW2144" s="1678"/>
    </row>
    <row r="2145" spans="1:179" s="1484" customFormat="1" ht="15" x14ac:dyDescent="0.25">
      <c r="A2145" s="1650"/>
      <c r="B2145" s="1651"/>
      <c r="C2145" s="2803" t="s">
        <v>872</v>
      </c>
      <c r="D2145" s="2803"/>
      <c r="E2145" s="2803"/>
      <c r="F2145" s="1621"/>
      <c r="G2145" s="1622"/>
      <c r="H2145" s="1622"/>
      <c r="I2145" s="1622"/>
      <c r="J2145" s="1625"/>
      <c r="K2145" s="1622"/>
      <c r="L2145" s="2040">
        <v>51.42</v>
      </c>
      <c r="M2145" s="2037"/>
      <c r="N2145" s="1649">
        <v>1810.41</v>
      </c>
      <c r="EW2145" s="2031"/>
      <c r="EX2145" s="1619"/>
      <c r="EY2145" s="1628"/>
      <c r="EZ2145" s="1628"/>
      <c r="FA2145" s="1628"/>
      <c r="FH2145" s="1628" t="s">
        <v>872</v>
      </c>
      <c r="FU2145" s="1678"/>
      <c r="FW2145" s="1678"/>
    </row>
    <row r="2146" spans="1:179" s="1484" customFormat="1" ht="33.75" x14ac:dyDescent="0.25">
      <c r="A2146" s="1620" t="s">
        <v>8309</v>
      </c>
      <c r="B2146" s="1863" t="s">
        <v>8310</v>
      </c>
      <c r="C2146" s="2803" t="s">
        <v>8311</v>
      </c>
      <c r="D2146" s="2803"/>
      <c r="E2146" s="2803"/>
      <c r="F2146" s="1621" t="s">
        <v>130</v>
      </c>
      <c r="G2146" s="1622">
        <v>44.88</v>
      </c>
      <c r="H2146" s="1623">
        <v>1</v>
      </c>
      <c r="I2146" s="1687">
        <v>44.88</v>
      </c>
      <c r="J2146" s="2040">
        <v>5.46</v>
      </c>
      <c r="K2146" s="1622"/>
      <c r="L2146" s="2040">
        <v>245.04</v>
      </c>
      <c r="M2146" s="1687">
        <v>9.14</v>
      </c>
      <c r="N2146" s="1649">
        <v>2239.67</v>
      </c>
      <c r="EW2146" s="2031"/>
      <c r="EX2146" s="1619"/>
      <c r="EY2146" s="1628" t="s">
        <v>8311</v>
      </c>
      <c r="EZ2146" s="1628" t="s">
        <v>588</v>
      </c>
      <c r="FA2146" s="1628" t="s">
        <v>588</v>
      </c>
      <c r="FH2146" s="1628"/>
      <c r="FU2146" s="1678"/>
      <c r="FW2146" s="1678"/>
    </row>
    <row r="2147" spans="1:179" s="1484" customFormat="1" ht="15" x14ac:dyDescent="0.25">
      <c r="A2147" s="1650"/>
      <c r="B2147" s="1651"/>
      <c r="C2147" s="2805" t="s">
        <v>6075</v>
      </c>
      <c r="D2147" s="2805"/>
      <c r="E2147" s="2805"/>
      <c r="F2147" s="2805"/>
      <c r="G2147" s="2805"/>
      <c r="H2147" s="2805"/>
      <c r="I2147" s="2805"/>
      <c r="J2147" s="2805"/>
      <c r="K2147" s="2805"/>
      <c r="L2147" s="2805"/>
      <c r="M2147" s="2805"/>
      <c r="N2147" s="2806"/>
      <c r="EW2147" s="2031"/>
      <c r="EX2147" s="1619"/>
      <c r="EY2147" s="1628"/>
      <c r="EZ2147" s="1628"/>
      <c r="FA2147" s="1628"/>
      <c r="FH2147" s="1628"/>
      <c r="FI2147" s="1864" t="s">
        <v>6075</v>
      </c>
      <c r="FJ2147" s="1864" t="s">
        <v>588</v>
      </c>
      <c r="FK2147" s="1864" t="s">
        <v>588</v>
      </c>
      <c r="FL2147" s="1864" t="s">
        <v>588</v>
      </c>
      <c r="FM2147" s="1864" t="s">
        <v>588</v>
      </c>
      <c r="FN2147" s="1864" t="s">
        <v>588</v>
      </c>
      <c r="FO2147" s="1864" t="s">
        <v>588</v>
      </c>
      <c r="FP2147" s="1864" t="s">
        <v>588</v>
      </c>
      <c r="FQ2147" s="1864" t="s">
        <v>588</v>
      </c>
      <c r="FR2147" s="1864" t="s">
        <v>588</v>
      </c>
      <c r="FS2147" s="1864" t="s">
        <v>588</v>
      </c>
      <c r="FT2147" s="1864" t="s">
        <v>588</v>
      </c>
      <c r="FU2147" s="1678"/>
      <c r="FW2147" s="1678"/>
    </row>
    <row r="2148" spans="1:179" s="1484" customFormat="1" ht="15" x14ac:dyDescent="0.25">
      <c r="A2148" s="1629"/>
      <c r="B2148" s="1862"/>
      <c r="C2148" s="2805" t="s">
        <v>8790</v>
      </c>
      <c r="D2148" s="2805"/>
      <c r="E2148" s="2805"/>
      <c r="F2148" s="2805"/>
      <c r="G2148" s="2805"/>
      <c r="H2148" s="2805"/>
      <c r="I2148" s="2805"/>
      <c r="J2148" s="2805"/>
      <c r="K2148" s="2805"/>
      <c r="L2148" s="2805"/>
      <c r="M2148" s="2805"/>
      <c r="N2148" s="2806"/>
      <c r="EW2148" s="2031"/>
      <c r="EX2148" s="1619"/>
      <c r="EY2148" s="1628"/>
      <c r="EZ2148" s="1628"/>
      <c r="FA2148" s="1628"/>
      <c r="FB2148" s="1864" t="s">
        <v>8790</v>
      </c>
      <c r="FH2148" s="1628"/>
      <c r="FU2148" s="1678"/>
      <c r="FW2148" s="1678"/>
    </row>
    <row r="2149" spans="1:179" s="1484" customFormat="1" ht="15" x14ac:dyDescent="0.25">
      <c r="A2149" s="1650"/>
      <c r="B2149" s="1651"/>
      <c r="C2149" s="2803" t="s">
        <v>872</v>
      </c>
      <c r="D2149" s="2803"/>
      <c r="E2149" s="2803"/>
      <c r="F2149" s="1621"/>
      <c r="G2149" s="1622"/>
      <c r="H2149" s="1622"/>
      <c r="I2149" s="1622"/>
      <c r="J2149" s="1625"/>
      <c r="K2149" s="1622"/>
      <c r="L2149" s="2040">
        <v>245.04</v>
      </c>
      <c r="M2149" s="2037"/>
      <c r="N2149" s="1649">
        <v>2239.67</v>
      </c>
      <c r="EW2149" s="2031"/>
      <c r="EX2149" s="1619"/>
      <c r="EY2149" s="1628"/>
      <c r="EZ2149" s="1628"/>
      <c r="FA2149" s="1628"/>
      <c r="FH2149" s="1628" t="s">
        <v>872</v>
      </c>
      <c r="FU2149" s="1678"/>
      <c r="FW2149" s="1678"/>
    </row>
    <row r="2150" spans="1:179" s="1484" customFormat="1" ht="33.75" x14ac:dyDescent="0.25">
      <c r="A2150" s="1620" t="s">
        <v>8312</v>
      </c>
      <c r="B2150" s="1863" t="s">
        <v>8133</v>
      </c>
      <c r="C2150" s="2803" t="s">
        <v>8134</v>
      </c>
      <c r="D2150" s="2803"/>
      <c r="E2150" s="2803"/>
      <c r="F2150" s="1621" t="s">
        <v>2555</v>
      </c>
      <c r="G2150" s="1622">
        <v>0.40799999999999997</v>
      </c>
      <c r="H2150" s="1623">
        <v>1</v>
      </c>
      <c r="I2150" s="2045">
        <v>0.40799999999999997</v>
      </c>
      <c r="J2150" s="1625"/>
      <c r="K2150" s="1622"/>
      <c r="L2150" s="1625"/>
      <c r="M2150" s="1622"/>
      <c r="N2150" s="1627"/>
      <c r="EW2150" s="2031"/>
      <c r="EX2150" s="1619"/>
      <c r="EY2150" s="1628" t="s">
        <v>8134</v>
      </c>
      <c r="EZ2150" s="1628" t="s">
        <v>588</v>
      </c>
      <c r="FA2150" s="1628" t="s">
        <v>588</v>
      </c>
      <c r="FH2150" s="1628"/>
      <c r="FU2150" s="1678"/>
      <c r="FW2150" s="1678"/>
    </row>
    <row r="2151" spans="1:179" s="1484" customFormat="1" ht="15" x14ac:dyDescent="0.25">
      <c r="A2151" s="1629"/>
      <c r="B2151" s="1862"/>
      <c r="C2151" s="2805" t="s">
        <v>8786</v>
      </c>
      <c r="D2151" s="2805"/>
      <c r="E2151" s="2805"/>
      <c r="F2151" s="2805"/>
      <c r="G2151" s="2805"/>
      <c r="H2151" s="2805"/>
      <c r="I2151" s="2805"/>
      <c r="J2151" s="2805"/>
      <c r="K2151" s="2805"/>
      <c r="L2151" s="2805"/>
      <c r="M2151" s="2805"/>
      <c r="N2151" s="2806"/>
      <c r="EW2151" s="2031"/>
      <c r="EX2151" s="1619"/>
      <c r="EY2151" s="1628"/>
      <c r="EZ2151" s="1628"/>
      <c r="FA2151" s="1628"/>
      <c r="FB2151" s="1864" t="s">
        <v>8786</v>
      </c>
      <c r="FH2151" s="1628"/>
      <c r="FU2151" s="1678"/>
      <c r="FW2151" s="1678"/>
    </row>
    <row r="2152" spans="1:179" s="1484" customFormat="1" ht="22.5" x14ac:dyDescent="0.25">
      <c r="A2152" s="1630"/>
      <c r="B2152" s="1631" t="s">
        <v>6062</v>
      </c>
      <c r="C2152" s="2809" t="s">
        <v>6063</v>
      </c>
      <c r="D2152" s="2809"/>
      <c r="E2152" s="2809"/>
      <c r="F2152" s="2809"/>
      <c r="G2152" s="2809"/>
      <c r="H2152" s="2809"/>
      <c r="I2152" s="2809"/>
      <c r="J2152" s="2809"/>
      <c r="K2152" s="2809"/>
      <c r="L2152" s="2809"/>
      <c r="M2152" s="2809"/>
      <c r="N2152" s="2810"/>
      <c r="EW2152" s="2031"/>
      <c r="EX2152" s="1619"/>
      <c r="EY2152" s="1628"/>
      <c r="EZ2152" s="1628"/>
      <c r="FA2152" s="1628"/>
      <c r="FC2152" s="1864" t="s">
        <v>6063</v>
      </c>
      <c r="FH2152" s="1628"/>
      <c r="FU2152" s="1678"/>
      <c r="FW2152" s="1678"/>
    </row>
    <row r="2153" spans="1:179" s="1484" customFormat="1" ht="22.5" x14ac:dyDescent="0.25">
      <c r="A2153" s="2033"/>
      <c r="B2153" s="1631" t="s">
        <v>8732</v>
      </c>
      <c r="C2153" s="2805" t="s">
        <v>8731</v>
      </c>
      <c r="D2153" s="2805"/>
      <c r="E2153" s="2805"/>
      <c r="F2153" s="1683" t="s">
        <v>807</v>
      </c>
      <c r="G2153" s="1953">
        <v>25.8</v>
      </c>
      <c r="H2153" s="1641"/>
      <c r="I2153" s="2035">
        <v>10.526400000000001</v>
      </c>
      <c r="J2153" s="1654">
        <v>8.9700000000000006</v>
      </c>
      <c r="K2153" s="1655">
        <v>1.25</v>
      </c>
      <c r="L2153" s="1654">
        <v>118.03</v>
      </c>
      <c r="M2153" s="1641"/>
      <c r="N2153" s="1681"/>
      <c r="EW2153" s="2031"/>
      <c r="EX2153" s="1619"/>
      <c r="EY2153" s="1628"/>
      <c r="EZ2153" s="1628"/>
      <c r="FA2153" s="1628"/>
      <c r="FD2153" s="1864" t="s">
        <v>8731</v>
      </c>
      <c r="FH2153" s="1628"/>
      <c r="FU2153" s="1678"/>
      <c r="FW2153" s="1678"/>
    </row>
    <row r="2154" spans="1:179" s="1484" customFormat="1" ht="22.5" x14ac:dyDescent="0.25">
      <c r="A2154" s="2033"/>
      <c r="B2154" s="1631" t="s">
        <v>5010</v>
      </c>
      <c r="C2154" s="2805" t="s">
        <v>5011</v>
      </c>
      <c r="D2154" s="2805"/>
      <c r="E2154" s="2805"/>
      <c r="F2154" s="1683" t="s">
        <v>4994</v>
      </c>
      <c r="G2154" s="1655">
        <v>0.18</v>
      </c>
      <c r="H2154" s="1641"/>
      <c r="I2154" s="2042">
        <v>7.3440000000000005E-2</v>
      </c>
      <c r="J2154" s="1654">
        <v>31.26</v>
      </c>
      <c r="K2154" s="1641"/>
      <c r="L2154" s="1654">
        <v>2.2999999999999998</v>
      </c>
      <c r="M2154" s="1641"/>
      <c r="N2154" s="1681"/>
      <c r="EW2154" s="2031"/>
      <c r="EX2154" s="1619"/>
      <c r="EY2154" s="1628"/>
      <c r="EZ2154" s="1628"/>
      <c r="FA2154" s="1628"/>
      <c r="FD2154" s="1864" t="s">
        <v>5011</v>
      </c>
      <c r="FH2154" s="1628"/>
      <c r="FU2154" s="1678"/>
      <c r="FW2154" s="1678"/>
    </row>
    <row r="2155" spans="1:179" s="1484" customFormat="1" ht="15" x14ac:dyDescent="0.25">
      <c r="A2155" s="2033"/>
      <c r="B2155" s="1631" t="s">
        <v>821</v>
      </c>
      <c r="C2155" s="2805" t="s">
        <v>822</v>
      </c>
      <c r="D2155" s="2805"/>
      <c r="E2155" s="2805"/>
      <c r="F2155" s="1683" t="s">
        <v>4994</v>
      </c>
      <c r="G2155" s="1953">
        <v>0.9</v>
      </c>
      <c r="H2155" s="1641"/>
      <c r="I2155" s="2035">
        <v>0.36720000000000003</v>
      </c>
      <c r="J2155" s="1654">
        <v>65.709999999999994</v>
      </c>
      <c r="K2155" s="1641"/>
      <c r="L2155" s="1654">
        <v>24.13</v>
      </c>
      <c r="M2155" s="1641"/>
      <c r="N2155" s="1681"/>
      <c r="EW2155" s="2031"/>
      <c r="EX2155" s="1619"/>
      <c r="EY2155" s="1628"/>
      <c r="EZ2155" s="1628"/>
      <c r="FA2155" s="1628"/>
      <c r="FD2155" s="1864" t="s">
        <v>822</v>
      </c>
      <c r="FH2155" s="1628"/>
      <c r="FU2155" s="1678"/>
      <c r="FW2155" s="1678"/>
    </row>
    <row r="2156" spans="1:179" s="1484" customFormat="1" ht="15" x14ac:dyDescent="0.25">
      <c r="A2156" s="2032"/>
      <c r="B2156" s="1631" t="s">
        <v>190</v>
      </c>
      <c r="C2156" s="2805" t="s">
        <v>2523</v>
      </c>
      <c r="D2156" s="2805"/>
      <c r="E2156" s="2805"/>
      <c r="F2156" s="1683"/>
      <c r="G2156" s="1641"/>
      <c r="H2156" s="1641"/>
      <c r="I2156" s="1641"/>
      <c r="J2156" s="1654">
        <v>231.43</v>
      </c>
      <c r="K2156" s="1655">
        <v>1.25</v>
      </c>
      <c r="L2156" s="1654">
        <v>118.03</v>
      </c>
      <c r="M2156" s="1655">
        <v>35.75</v>
      </c>
      <c r="N2156" s="1679">
        <v>4219.57</v>
      </c>
      <c r="EW2156" s="2031"/>
      <c r="EX2156" s="1619"/>
      <c r="EY2156" s="1628"/>
      <c r="EZ2156" s="1628"/>
      <c r="FA2156" s="1628"/>
      <c r="FE2156" s="1864" t="s">
        <v>2523</v>
      </c>
      <c r="FH2156" s="1628"/>
      <c r="FU2156" s="1678"/>
      <c r="FW2156" s="1678"/>
    </row>
    <row r="2157" spans="1:179" s="1484" customFormat="1" ht="15" x14ac:dyDescent="0.25">
      <c r="A2157" s="2032"/>
      <c r="B2157" s="1631" t="s">
        <v>639</v>
      </c>
      <c r="C2157" s="2805" t="s">
        <v>697</v>
      </c>
      <c r="D2157" s="2805"/>
      <c r="E2157" s="2805"/>
      <c r="F2157" s="1683"/>
      <c r="G2157" s="1641"/>
      <c r="H2157" s="1641"/>
      <c r="I2157" s="1641"/>
      <c r="J2157" s="1654">
        <v>64.77</v>
      </c>
      <c r="K2157" s="1641"/>
      <c r="L2157" s="1654">
        <v>26.43</v>
      </c>
      <c r="M2157" s="1655">
        <v>11.97</v>
      </c>
      <c r="N2157" s="2039">
        <v>316.37</v>
      </c>
      <c r="EW2157" s="2031"/>
      <c r="EX2157" s="1619"/>
      <c r="EY2157" s="1628"/>
      <c r="EZ2157" s="1628"/>
      <c r="FA2157" s="1628"/>
      <c r="FE2157" s="1864" t="s">
        <v>697</v>
      </c>
      <c r="FH2157" s="1628"/>
      <c r="FU2157" s="1678"/>
      <c r="FW2157" s="1678"/>
    </row>
    <row r="2158" spans="1:179" s="1484" customFormat="1" ht="15" x14ac:dyDescent="0.25">
      <c r="A2158" s="2032"/>
      <c r="B2158" s="1631" t="s">
        <v>640</v>
      </c>
      <c r="C2158" s="2805" t="s">
        <v>2500</v>
      </c>
      <c r="D2158" s="2805"/>
      <c r="E2158" s="2805"/>
      <c r="F2158" s="1683"/>
      <c r="G2158" s="1641"/>
      <c r="H2158" s="1641"/>
      <c r="I2158" s="1641"/>
      <c r="J2158" s="1654">
        <v>12.87</v>
      </c>
      <c r="K2158" s="1641"/>
      <c r="L2158" s="1654">
        <v>5.25</v>
      </c>
      <c r="M2158" s="1655">
        <v>35.75</v>
      </c>
      <c r="N2158" s="2039">
        <v>187.69</v>
      </c>
      <c r="EW2158" s="2031"/>
      <c r="EX2158" s="1619"/>
      <c r="EY2158" s="1628"/>
      <c r="EZ2158" s="1628"/>
      <c r="FA2158" s="1628"/>
      <c r="FE2158" s="1864" t="s">
        <v>2500</v>
      </c>
      <c r="FH2158" s="1628"/>
      <c r="FU2158" s="1678"/>
      <c r="FW2158" s="1678"/>
    </row>
    <row r="2159" spans="1:179" s="1484" customFormat="1" ht="15" x14ac:dyDescent="0.25">
      <c r="A2159" s="2033"/>
      <c r="B2159" s="1631"/>
      <c r="C2159" s="2805" t="s">
        <v>2524</v>
      </c>
      <c r="D2159" s="2805"/>
      <c r="E2159" s="2805"/>
      <c r="F2159" s="1683" t="s">
        <v>807</v>
      </c>
      <c r="G2159" s="1953">
        <v>25.8</v>
      </c>
      <c r="H2159" s="1641"/>
      <c r="I2159" s="2035">
        <v>10.526400000000001</v>
      </c>
      <c r="J2159" s="1640"/>
      <c r="K2159" s="1641"/>
      <c r="L2159" s="1640"/>
      <c r="M2159" s="1641"/>
      <c r="N2159" s="1681"/>
      <c r="EW2159" s="2031"/>
      <c r="EX2159" s="1619"/>
      <c r="EY2159" s="1628"/>
      <c r="EZ2159" s="1628"/>
      <c r="FA2159" s="1628"/>
      <c r="FF2159" s="1864" t="s">
        <v>2524</v>
      </c>
      <c r="FH2159" s="1628"/>
      <c r="FU2159" s="1678"/>
      <c r="FW2159" s="1678"/>
    </row>
    <row r="2160" spans="1:179" s="1484" customFormat="1" ht="15" x14ac:dyDescent="0.25">
      <c r="A2160" s="2033"/>
      <c r="B2160" s="1631"/>
      <c r="C2160" s="2805" t="s">
        <v>2501</v>
      </c>
      <c r="D2160" s="2805"/>
      <c r="E2160" s="2805"/>
      <c r="F2160" s="1683" t="s">
        <v>807</v>
      </c>
      <c r="G2160" s="1655">
        <v>1.08</v>
      </c>
      <c r="H2160" s="1641"/>
      <c r="I2160" s="2042">
        <v>0.44063999999999998</v>
      </c>
      <c r="J2160" s="1640"/>
      <c r="K2160" s="1641"/>
      <c r="L2160" s="1640"/>
      <c r="M2160" s="1641"/>
      <c r="N2160" s="1681"/>
      <c r="EW2160" s="2031"/>
      <c r="EX2160" s="1619"/>
      <c r="EY2160" s="1628"/>
      <c r="EZ2160" s="1628"/>
      <c r="FA2160" s="1628"/>
      <c r="FF2160" s="1864" t="s">
        <v>2501</v>
      </c>
      <c r="FH2160" s="1628"/>
      <c r="FU2160" s="1678"/>
      <c r="FW2160" s="1678"/>
    </row>
    <row r="2161" spans="1:179" s="1484" customFormat="1" ht="15" x14ac:dyDescent="0.25">
      <c r="A2161" s="2032"/>
      <c r="B2161" s="1631"/>
      <c r="C2161" s="2917" t="s">
        <v>2502</v>
      </c>
      <c r="D2161" s="2917"/>
      <c r="E2161" s="2917"/>
      <c r="F2161" s="2036"/>
      <c r="G2161" s="2037"/>
      <c r="H2161" s="2037"/>
      <c r="I2161" s="2037"/>
      <c r="J2161" s="2044">
        <v>296.2</v>
      </c>
      <c r="K2161" s="2037"/>
      <c r="L2161" s="2044">
        <v>144.46</v>
      </c>
      <c r="M2161" s="2037"/>
      <c r="N2161" s="2068">
        <v>4535.9399999999996</v>
      </c>
      <c r="EW2161" s="2031"/>
      <c r="EX2161" s="1619"/>
      <c r="EY2161" s="1628"/>
      <c r="EZ2161" s="1628"/>
      <c r="FA2161" s="1628"/>
      <c r="FG2161" s="1864" t="s">
        <v>2502</v>
      </c>
      <c r="FH2161" s="1628"/>
      <c r="FU2161" s="1678"/>
      <c r="FW2161" s="1678"/>
    </row>
    <row r="2162" spans="1:179" s="1484" customFormat="1" ht="15" x14ac:dyDescent="0.25">
      <c r="A2162" s="2033" t="s">
        <v>8313</v>
      </c>
      <c r="B2162" s="1631"/>
      <c r="C2162" s="2805" t="s">
        <v>7964</v>
      </c>
      <c r="D2162" s="2805"/>
      <c r="E2162" s="2805"/>
      <c r="F2162" s="1683" t="s">
        <v>5928</v>
      </c>
      <c r="G2162" s="1641"/>
      <c r="H2162" s="1641"/>
      <c r="I2162" s="1641"/>
      <c r="J2162" s="1640"/>
      <c r="K2162" s="1641"/>
      <c r="L2162" s="1654">
        <v>1.31</v>
      </c>
      <c r="M2162" s="1641"/>
      <c r="N2162" s="2039">
        <v>46.83</v>
      </c>
      <c r="EW2162" s="2031"/>
      <c r="EX2162" s="1619"/>
      <c r="EY2162" s="1628"/>
      <c r="EZ2162" s="1628"/>
      <c r="FA2162" s="1628"/>
      <c r="FF2162" s="1864" t="s">
        <v>7964</v>
      </c>
      <c r="FH2162" s="1628"/>
      <c r="FU2162" s="1678"/>
      <c r="FW2162" s="1678"/>
    </row>
    <row r="2163" spans="1:179" s="1484" customFormat="1" ht="15" x14ac:dyDescent="0.25">
      <c r="A2163" s="2033"/>
      <c r="B2163" s="1631"/>
      <c r="C2163" s="2805" t="s">
        <v>7965</v>
      </c>
      <c r="D2163" s="2805"/>
      <c r="E2163" s="2805"/>
      <c r="F2163" s="1683" t="s">
        <v>5928</v>
      </c>
      <c r="G2163" s="1641"/>
      <c r="H2163" s="1641"/>
      <c r="I2163" s="1641"/>
      <c r="J2163" s="1654">
        <v>12.87</v>
      </c>
      <c r="K2163" s="1655">
        <v>0.25</v>
      </c>
      <c r="L2163" s="1654">
        <v>1.31</v>
      </c>
      <c r="M2163" s="1655">
        <v>35.75</v>
      </c>
      <c r="N2163" s="2039">
        <v>46.83</v>
      </c>
      <c r="EW2163" s="2031"/>
      <c r="EX2163" s="1619"/>
      <c r="EY2163" s="1628"/>
      <c r="EZ2163" s="1628"/>
      <c r="FA2163" s="1628"/>
      <c r="FF2163" s="1864" t="s">
        <v>7965</v>
      </c>
      <c r="FH2163" s="1628"/>
      <c r="FU2163" s="1678"/>
      <c r="FW2163" s="1678"/>
    </row>
    <row r="2164" spans="1:179" s="1484" customFormat="1" ht="15" x14ac:dyDescent="0.25">
      <c r="A2164" s="2033"/>
      <c r="B2164" s="1631"/>
      <c r="C2164" s="2805" t="s">
        <v>867</v>
      </c>
      <c r="D2164" s="2805"/>
      <c r="E2164" s="2805"/>
      <c r="F2164" s="1683"/>
      <c r="G2164" s="1641"/>
      <c r="H2164" s="1641"/>
      <c r="I2164" s="1641"/>
      <c r="J2164" s="1640"/>
      <c r="K2164" s="1641"/>
      <c r="L2164" s="1654">
        <v>124.59</v>
      </c>
      <c r="M2164" s="1641"/>
      <c r="N2164" s="1679">
        <v>4454.09</v>
      </c>
      <c r="EW2164" s="2031"/>
      <c r="EX2164" s="1619"/>
      <c r="EY2164" s="1628"/>
      <c r="EZ2164" s="1628"/>
      <c r="FA2164" s="1628"/>
      <c r="FF2164" s="1864" t="s">
        <v>867</v>
      </c>
      <c r="FH2164" s="1628"/>
      <c r="FU2164" s="1678"/>
      <c r="FW2164" s="1678"/>
    </row>
    <row r="2165" spans="1:179" s="1484" customFormat="1" ht="15" x14ac:dyDescent="0.25">
      <c r="A2165" s="2033"/>
      <c r="B2165" s="1631" t="s">
        <v>8054</v>
      </c>
      <c r="C2165" s="2805" t="s">
        <v>8055</v>
      </c>
      <c r="D2165" s="2805"/>
      <c r="E2165" s="2805"/>
      <c r="F2165" s="1683" t="s">
        <v>636</v>
      </c>
      <c r="G2165" s="2034">
        <v>112</v>
      </c>
      <c r="H2165" s="1641"/>
      <c r="I2165" s="2034">
        <v>112</v>
      </c>
      <c r="J2165" s="1640"/>
      <c r="K2165" s="1641"/>
      <c r="L2165" s="1654">
        <v>139.54</v>
      </c>
      <c r="M2165" s="1641"/>
      <c r="N2165" s="1679">
        <v>4988.58</v>
      </c>
      <c r="EW2165" s="2031"/>
      <c r="EX2165" s="1619"/>
      <c r="EY2165" s="1628"/>
      <c r="EZ2165" s="1628"/>
      <c r="FA2165" s="1628"/>
      <c r="FF2165" s="1864" t="s">
        <v>8055</v>
      </c>
      <c r="FH2165" s="1628"/>
      <c r="FU2165" s="1678"/>
      <c r="FW2165" s="1678"/>
    </row>
    <row r="2166" spans="1:179" s="1484" customFormat="1" ht="15" x14ac:dyDescent="0.25">
      <c r="A2166" s="2033"/>
      <c r="B2166" s="1631" t="s">
        <v>8056</v>
      </c>
      <c r="C2166" s="2805" t="s">
        <v>8057</v>
      </c>
      <c r="D2166" s="2805"/>
      <c r="E2166" s="2805"/>
      <c r="F2166" s="1683" t="s">
        <v>636</v>
      </c>
      <c r="G2166" s="2034">
        <v>65</v>
      </c>
      <c r="H2166" s="1641"/>
      <c r="I2166" s="2034">
        <v>65</v>
      </c>
      <c r="J2166" s="1640"/>
      <c r="K2166" s="1641"/>
      <c r="L2166" s="1654">
        <v>80.98</v>
      </c>
      <c r="M2166" s="1641"/>
      <c r="N2166" s="1679">
        <v>2895.16</v>
      </c>
      <c r="EW2166" s="2031"/>
      <c r="EX2166" s="1619"/>
      <c r="EY2166" s="1628"/>
      <c r="EZ2166" s="1628"/>
      <c r="FA2166" s="1628"/>
      <c r="FF2166" s="1864" t="s">
        <v>8057</v>
      </c>
      <c r="FH2166" s="1628"/>
      <c r="FU2166" s="1678"/>
      <c r="FW2166" s="1678"/>
    </row>
    <row r="2167" spans="1:179" s="1484" customFormat="1" ht="15" x14ac:dyDescent="0.25">
      <c r="A2167" s="1650"/>
      <c r="B2167" s="1651"/>
      <c r="C2167" s="2803" t="s">
        <v>872</v>
      </c>
      <c r="D2167" s="2803"/>
      <c r="E2167" s="2803"/>
      <c r="F2167" s="1621"/>
      <c r="G2167" s="1622"/>
      <c r="H2167" s="1622"/>
      <c r="I2167" s="1622"/>
      <c r="J2167" s="1625"/>
      <c r="K2167" s="1622"/>
      <c r="L2167" s="2040">
        <v>366.29</v>
      </c>
      <c r="M2167" s="2037"/>
      <c r="N2167" s="1649">
        <v>12466.51</v>
      </c>
      <c r="EW2167" s="2031"/>
      <c r="EX2167" s="1619"/>
      <c r="EY2167" s="1628"/>
      <c r="EZ2167" s="1628"/>
      <c r="FA2167" s="1628"/>
      <c r="FH2167" s="1628" t="s">
        <v>872</v>
      </c>
      <c r="FU2167" s="1678"/>
      <c r="FW2167" s="1678"/>
    </row>
    <row r="2168" spans="1:179" s="1484" customFormat="1" ht="22.5" x14ac:dyDescent="0.25">
      <c r="A2168" s="1620" t="s">
        <v>8314</v>
      </c>
      <c r="B2168" s="1863" t="s">
        <v>8315</v>
      </c>
      <c r="C2168" s="2803" t="s">
        <v>8316</v>
      </c>
      <c r="D2168" s="2803"/>
      <c r="E2168" s="2803"/>
      <c r="F2168" s="1621" t="s">
        <v>832</v>
      </c>
      <c r="G2168" s="1622">
        <v>2.5219999999999998</v>
      </c>
      <c r="H2168" s="1623">
        <v>1</v>
      </c>
      <c r="I2168" s="2045">
        <v>2.5219999999999998</v>
      </c>
      <c r="J2168" s="1648">
        <v>1634.71</v>
      </c>
      <c r="K2168" s="1622"/>
      <c r="L2168" s="1648">
        <v>4122.74</v>
      </c>
      <c r="M2168" s="1687">
        <v>9.14</v>
      </c>
      <c r="N2168" s="1649">
        <v>37681.839999999997</v>
      </c>
      <c r="EW2168" s="2031"/>
      <c r="EX2168" s="1619"/>
      <c r="EY2168" s="1628" t="s">
        <v>8316</v>
      </c>
      <c r="EZ2168" s="1628" t="s">
        <v>588</v>
      </c>
      <c r="FA2168" s="1628" t="s">
        <v>588</v>
      </c>
      <c r="FH2168" s="1628"/>
      <c r="FU2168" s="1678"/>
      <c r="FW2168" s="1678"/>
    </row>
    <row r="2169" spans="1:179" s="1484" customFormat="1" ht="15" x14ac:dyDescent="0.25">
      <c r="A2169" s="1650"/>
      <c r="B2169" s="1651"/>
      <c r="C2169" s="2805" t="s">
        <v>8640</v>
      </c>
      <c r="D2169" s="2805"/>
      <c r="E2169" s="2805"/>
      <c r="F2169" s="2805"/>
      <c r="G2169" s="2805"/>
      <c r="H2169" s="2805"/>
      <c r="I2169" s="2805"/>
      <c r="J2169" s="2805"/>
      <c r="K2169" s="2805"/>
      <c r="L2169" s="2805"/>
      <c r="M2169" s="2805"/>
      <c r="N2169" s="2806"/>
      <c r="EW2169" s="2031"/>
      <c r="EX2169" s="1619"/>
      <c r="EY2169" s="1628"/>
      <c r="EZ2169" s="1628"/>
      <c r="FA2169" s="1628"/>
      <c r="FH2169" s="1628"/>
      <c r="FI2169" s="1864" t="s">
        <v>8640</v>
      </c>
      <c r="FJ2169" s="1864" t="s">
        <v>588</v>
      </c>
      <c r="FK2169" s="1864" t="s">
        <v>588</v>
      </c>
      <c r="FL2169" s="1864" t="s">
        <v>588</v>
      </c>
      <c r="FM2169" s="1864" t="s">
        <v>588</v>
      </c>
      <c r="FN2169" s="1864" t="s">
        <v>588</v>
      </c>
      <c r="FO2169" s="1864" t="s">
        <v>588</v>
      </c>
      <c r="FP2169" s="1864" t="s">
        <v>588</v>
      </c>
      <c r="FQ2169" s="1864" t="s">
        <v>588</v>
      </c>
      <c r="FR2169" s="1864" t="s">
        <v>588</v>
      </c>
      <c r="FS2169" s="1864" t="s">
        <v>588</v>
      </c>
      <c r="FT2169" s="1864" t="s">
        <v>588</v>
      </c>
      <c r="FU2169" s="1678"/>
      <c r="FW2169" s="1678"/>
    </row>
    <row r="2170" spans="1:179" s="1484" customFormat="1" ht="15" x14ac:dyDescent="0.25">
      <c r="A2170" s="1629"/>
      <c r="B2170" s="1862"/>
      <c r="C2170" s="2805" t="s">
        <v>8798</v>
      </c>
      <c r="D2170" s="2805"/>
      <c r="E2170" s="2805"/>
      <c r="F2170" s="2805"/>
      <c r="G2170" s="2805"/>
      <c r="H2170" s="2805"/>
      <c r="I2170" s="2805"/>
      <c r="J2170" s="2805"/>
      <c r="K2170" s="2805"/>
      <c r="L2170" s="2805"/>
      <c r="M2170" s="2805"/>
      <c r="N2170" s="2806"/>
      <c r="EW2170" s="2031"/>
      <c r="EX2170" s="1619"/>
      <c r="EY2170" s="1628"/>
      <c r="EZ2170" s="1628"/>
      <c r="FA2170" s="1628"/>
      <c r="FB2170" s="1864" t="s">
        <v>8798</v>
      </c>
      <c r="FH2170" s="1628"/>
      <c r="FU2170" s="1678"/>
      <c r="FW2170" s="1678"/>
    </row>
    <row r="2171" spans="1:179" s="1484" customFormat="1" ht="15" x14ac:dyDescent="0.25">
      <c r="A2171" s="1650"/>
      <c r="B2171" s="1651"/>
      <c r="C2171" s="2803" t="s">
        <v>872</v>
      </c>
      <c r="D2171" s="2803"/>
      <c r="E2171" s="2803"/>
      <c r="F2171" s="1621"/>
      <c r="G2171" s="1622"/>
      <c r="H2171" s="1622"/>
      <c r="I2171" s="1622"/>
      <c r="J2171" s="1625"/>
      <c r="K2171" s="1622"/>
      <c r="L2171" s="1648">
        <v>4122.74</v>
      </c>
      <c r="M2171" s="2037"/>
      <c r="N2171" s="1649">
        <v>37681.839999999997</v>
      </c>
      <c r="EW2171" s="2031"/>
      <c r="EX2171" s="1619"/>
      <c r="EY2171" s="1628"/>
      <c r="EZ2171" s="1628"/>
      <c r="FA2171" s="1628"/>
      <c r="FH2171" s="1628" t="s">
        <v>872</v>
      </c>
      <c r="FU2171" s="1678"/>
      <c r="FW2171" s="1678"/>
    </row>
    <row r="2172" spans="1:179" s="1484" customFormat="1" ht="33.75" x14ac:dyDescent="0.25">
      <c r="A2172" s="1620" t="s">
        <v>8317</v>
      </c>
      <c r="B2172" s="1863" t="s">
        <v>8306</v>
      </c>
      <c r="C2172" s="2803" t="s">
        <v>8307</v>
      </c>
      <c r="D2172" s="2803"/>
      <c r="E2172" s="2803"/>
      <c r="F2172" s="1621" t="s">
        <v>4884</v>
      </c>
      <c r="G2172" s="1622">
        <v>4.0800000000000003E-2</v>
      </c>
      <c r="H2172" s="1623">
        <v>1</v>
      </c>
      <c r="I2172" s="2041">
        <v>4.0800000000000003E-2</v>
      </c>
      <c r="J2172" s="1625"/>
      <c r="K2172" s="1622"/>
      <c r="L2172" s="1625"/>
      <c r="M2172" s="1622"/>
      <c r="N2172" s="1627"/>
      <c r="EW2172" s="2031"/>
      <c r="EX2172" s="1619"/>
      <c r="EY2172" s="1628" t="s">
        <v>8307</v>
      </c>
      <c r="EZ2172" s="1628" t="s">
        <v>588</v>
      </c>
      <c r="FA2172" s="1628" t="s">
        <v>588</v>
      </c>
      <c r="FH2172" s="1628"/>
      <c r="FU2172" s="1678"/>
      <c r="FW2172" s="1678"/>
    </row>
    <row r="2173" spans="1:179" s="1484" customFormat="1" ht="15" x14ac:dyDescent="0.25">
      <c r="A2173" s="1629"/>
      <c r="B2173" s="1862"/>
      <c r="C2173" s="2805" t="s">
        <v>8792</v>
      </c>
      <c r="D2173" s="2805"/>
      <c r="E2173" s="2805"/>
      <c r="F2173" s="2805"/>
      <c r="G2173" s="2805"/>
      <c r="H2173" s="2805"/>
      <c r="I2173" s="2805"/>
      <c r="J2173" s="2805"/>
      <c r="K2173" s="2805"/>
      <c r="L2173" s="2805"/>
      <c r="M2173" s="2805"/>
      <c r="N2173" s="2806"/>
      <c r="EW2173" s="2031"/>
      <c r="EX2173" s="1619"/>
      <c r="EY2173" s="1628"/>
      <c r="EZ2173" s="1628"/>
      <c r="FA2173" s="1628"/>
      <c r="FB2173" s="1864" t="s">
        <v>8792</v>
      </c>
      <c r="FH2173" s="1628"/>
      <c r="FU2173" s="1678"/>
      <c r="FW2173" s="1678"/>
    </row>
    <row r="2174" spans="1:179" s="1484" customFormat="1" ht="22.5" x14ac:dyDescent="0.25">
      <c r="A2174" s="1630"/>
      <c r="B2174" s="1631" t="s">
        <v>6062</v>
      </c>
      <c r="C2174" s="2809" t="s">
        <v>6063</v>
      </c>
      <c r="D2174" s="2809"/>
      <c r="E2174" s="2809"/>
      <c r="F2174" s="2809"/>
      <c r="G2174" s="2809"/>
      <c r="H2174" s="2809"/>
      <c r="I2174" s="2809"/>
      <c r="J2174" s="2809"/>
      <c r="K2174" s="2809"/>
      <c r="L2174" s="2809"/>
      <c r="M2174" s="2809"/>
      <c r="N2174" s="2810"/>
      <c r="EW2174" s="2031"/>
      <c r="EX2174" s="1619"/>
      <c r="EY2174" s="1628"/>
      <c r="EZ2174" s="1628"/>
      <c r="FA2174" s="1628"/>
      <c r="FC2174" s="1864" t="s">
        <v>6063</v>
      </c>
      <c r="FH2174" s="1628"/>
      <c r="FU2174" s="1678"/>
      <c r="FW2174" s="1678"/>
    </row>
    <row r="2175" spans="1:179" s="1484" customFormat="1" ht="22.5" x14ac:dyDescent="0.25">
      <c r="A2175" s="2033"/>
      <c r="B2175" s="1631" t="s">
        <v>8756</v>
      </c>
      <c r="C2175" s="2805" t="s">
        <v>8755</v>
      </c>
      <c r="D2175" s="2805"/>
      <c r="E2175" s="2805"/>
      <c r="F2175" s="1683" t="s">
        <v>807</v>
      </c>
      <c r="G2175" s="1953">
        <v>32.4</v>
      </c>
      <c r="H2175" s="1641"/>
      <c r="I2175" s="2042">
        <v>1.32192</v>
      </c>
      <c r="J2175" s="1654">
        <v>7.94</v>
      </c>
      <c r="K2175" s="1655">
        <v>1.25</v>
      </c>
      <c r="L2175" s="1654">
        <v>13.12</v>
      </c>
      <c r="M2175" s="1641"/>
      <c r="N2175" s="1681"/>
      <c r="EW2175" s="2031"/>
      <c r="EX2175" s="1619"/>
      <c r="EY2175" s="1628"/>
      <c r="EZ2175" s="1628"/>
      <c r="FA2175" s="1628"/>
      <c r="FD2175" s="1864" t="s">
        <v>8755</v>
      </c>
      <c r="FH2175" s="1628"/>
      <c r="FU2175" s="1678"/>
      <c r="FW2175" s="1678"/>
    </row>
    <row r="2176" spans="1:179" s="1484" customFormat="1" ht="15" x14ac:dyDescent="0.25">
      <c r="A2176" s="2033"/>
      <c r="B2176" s="1631" t="s">
        <v>821</v>
      </c>
      <c r="C2176" s="2805" t="s">
        <v>822</v>
      </c>
      <c r="D2176" s="2805"/>
      <c r="E2176" s="2805"/>
      <c r="F2176" s="1683" t="s">
        <v>4994</v>
      </c>
      <c r="G2176" s="1953">
        <v>0.2</v>
      </c>
      <c r="H2176" s="1641"/>
      <c r="I2176" s="2042">
        <v>8.1600000000000006E-3</v>
      </c>
      <c r="J2176" s="1654">
        <v>65.709999999999994</v>
      </c>
      <c r="K2176" s="1641"/>
      <c r="L2176" s="1654">
        <v>0.54</v>
      </c>
      <c r="M2176" s="1641"/>
      <c r="N2176" s="1681"/>
      <c r="EW2176" s="2031"/>
      <c r="EX2176" s="1619"/>
      <c r="EY2176" s="1628"/>
      <c r="EZ2176" s="1628"/>
      <c r="FA2176" s="1628"/>
      <c r="FD2176" s="1864" t="s">
        <v>822</v>
      </c>
      <c r="FH2176" s="1628"/>
      <c r="FU2176" s="1678"/>
      <c r="FW2176" s="1678"/>
    </row>
    <row r="2177" spans="1:179" s="1484" customFormat="1" ht="15" x14ac:dyDescent="0.25">
      <c r="A2177" s="2033"/>
      <c r="B2177" s="1631" t="s">
        <v>1910</v>
      </c>
      <c r="C2177" s="2805" t="s">
        <v>8791</v>
      </c>
      <c r="D2177" s="2805"/>
      <c r="E2177" s="2805"/>
      <c r="F2177" s="1683" t="s">
        <v>801</v>
      </c>
      <c r="G2177" s="2035">
        <v>2.3E-3</v>
      </c>
      <c r="H2177" s="1641"/>
      <c r="I2177" s="2049">
        <v>9.3800000000000003E-5</v>
      </c>
      <c r="J2177" s="1657">
        <v>5989</v>
      </c>
      <c r="K2177" s="1641"/>
      <c r="L2177" s="1654">
        <v>0.56000000000000005</v>
      </c>
      <c r="M2177" s="1641"/>
      <c r="N2177" s="1681"/>
      <c r="EW2177" s="2031"/>
      <c r="EX2177" s="1619"/>
      <c r="EY2177" s="1628"/>
      <c r="EZ2177" s="1628"/>
      <c r="FA2177" s="1628"/>
      <c r="FD2177" s="1864" t="s">
        <v>8791</v>
      </c>
      <c r="FH2177" s="1628"/>
      <c r="FU2177" s="1678"/>
      <c r="FW2177" s="1678"/>
    </row>
    <row r="2178" spans="1:179" s="1484" customFormat="1" ht="15" x14ac:dyDescent="0.25">
      <c r="A2178" s="2032"/>
      <c r="B2178" s="1631" t="s">
        <v>190</v>
      </c>
      <c r="C2178" s="2805" t="s">
        <v>2523</v>
      </c>
      <c r="D2178" s="2805"/>
      <c r="E2178" s="2805"/>
      <c r="F2178" s="1683"/>
      <c r="G2178" s="1641"/>
      <c r="H2178" s="1641"/>
      <c r="I2178" s="1641"/>
      <c r="J2178" s="1654">
        <v>257.26</v>
      </c>
      <c r="K2178" s="1655">
        <v>1.25</v>
      </c>
      <c r="L2178" s="1654">
        <v>13.12</v>
      </c>
      <c r="M2178" s="1655">
        <v>35.75</v>
      </c>
      <c r="N2178" s="2039">
        <v>469.04</v>
      </c>
      <c r="EW2178" s="2031"/>
      <c r="EX2178" s="1619"/>
      <c r="EY2178" s="1628"/>
      <c r="EZ2178" s="1628"/>
      <c r="FA2178" s="1628"/>
      <c r="FE2178" s="1864" t="s">
        <v>2523</v>
      </c>
      <c r="FH2178" s="1628"/>
      <c r="FU2178" s="1678"/>
      <c r="FW2178" s="1678"/>
    </row>
    <row r="2179" spans="1:179" s="1484" customFormat="1" ht="15" x14ac:dyDescent="0.25">
      <c r="A2179" s="2032"/>
      <c r="B2179" s="1631" t="s">
        <v>639</v>
      </c>
      <c r="C2179" s="2805" t="s">
        <v>697</v>
      </c>
      <c r="D2179" s="2805"/>
      <c r="E2179" s="2805"/>
      <c r="F2179" s="1683"/>
      <c r="G2179" s="1641"/>
      <c r="H2179" s="1641"/>
      <c r="I2179" s="1641"/>
      <c r="J2179" s="1654">
        <v>13.14</v>
      </c>
      <c r="K2179" s="1641"/>
      <c r="L2179" s="1654">
        <v>0.54</v>
      </c>
      <c r="M2179" s="1655">
        <v>11.97</v>
      </c>
      <c r="N2179" s="2039">
        <v>6.46</v>
      </c>
      <c r="EW2179" s="2031"/>
      <c r="EX2179" s="1619"/>
      <c r="EY2179" s="1628"/>
      <c r="EZ2179" s="1628"/>
      <c r="FA2179" s="1628"/>
      <c r="FE2179" s="1864" t="s">
        <v>697</v>
      </c>
      <c r="FH2179" s="1628"/>
      <c r="FU2179" s="1678"/>
      <c r="FW2179" s="1678"/>
    </row>
    <row r="2180" spans="1:179" s="1484" customFormat="1" ht="15" x14ac:dyDescent="0.25">
      <c r="A2180" s="2032"/>
      <c r="B2180" s="1631" t="s">
        <v>640</v>
      </c>
      <c r="C2180" s="2805" t="s">
        <v>2500</v>
      </c>
      <c r="D2180" s="2805"/>
      <c r="E2180" s="2805"/>
      <c r="F2180" s="1683"/>
      <c r="G2180" s="1641"/>
      <c r="H2180" s="1641"/>
      <c r="I2180" s="1641"/>
      <c r="J2180" s="1654">
        <v>2.3199999999999998</v>
      </c>
      <c r="K2180" s="1641"/>
      <c r="L2180" s="1654">
        <v>0.09</v>
      </c>
      <c r="M2180" s="1655">
        <v>35.75</v>
      </c>
      <c r="N2180" s="2039">
        <v>3.22</v>
      </c>
      <c r="EW2180" s="2031"/>
      <c r="EX2180" s="1619"/>
      <c r="EY2180" s="1628"/>
      <c r="EZ2180" s="1628"/>
      <c r="FA2180" s="1628"/>
      <c r="FE2180" s="1864" t="s">
        <v>2500</v>
      </c>
      <c r="FH2180" s="1628"/>
      <c r="FU2180" s="1678"/>
      <c r="FW2180" s="1678"/>
    </row>
    <row r="2181" spans="1:179" s="1484" customFormat="1" ht="15" x14ac:dyDescent="0.25">
      <c r="A2181" s="2032"/>
      <c r="B2181" s="1631" t="s">
        <v>232</v>
      </c>
      <c r="C2181" s="2805" t="s">
        <v>829</v>
      </c>
      <c r="D2181" s="2805"/>
      <c r="E2181" s="2805"/>
      <c r="F2181" s="1683"/>
      <c r="G2181" s="1641"/>
      <c r="H2181" s="1641"/>
      <c r="I2181" s="1641"/>
      <c r="J2181" s="1654">
        <v>13.77</v>
      </c>
      <c r="K2181" s="1641"/>
      <c r="L2181" s="1654">
        <v>0.56000000000000005</v>
      </c>
      <c r="M2181" s="1655">
        <v>9.14</v>
      </c>
      <c r="N2181" s="2039">
        <v>5.12</v>
      </c>
      <c r="EW2181" s="2031"/>
      <c r="EX2181" s="1619"/>
      <c r="EY2181" s="1628"/>
      <c r="EZ2181" s="1628"/>
      <c r="FA2181" s="1628"/>
      <c r="FE2181" s="1864" t="s">
        <v>829</v>
      </c>
      <c r="FH2181" s="1628"/>
      <c r="FU2181" s="1678"/>
      <c r="FW2181" s="1678"/>
    </row>
    <row r="2182" spans="1:179" s="1484" customFormat="1" ht="15" x14ac:dyDescent="0.25">
      <c r="A2182" s="2033"/>
      <c r="B2182" s="1631"/>
      <c r="C2182" s="2805" t="s">
        <v>2524</v>
      </c>
      <c r="D2182" s="2805"/>
      <c r="E2182" s="2805"/>
      <c r="F2182" s="1683" t="s">
        <v>807</v>
      </c>
      <c r="G2182" s="1953">
        <v>32.4</v>
      </c>
      <c r="H2182" s="1641"/>
      <c r="I2182" s="2042">
        <v>1.32192</v>
      </c>
      <c r="J2182" s="1640"/>
      <c r="K2182" s="1641"/>
      <c r="L2182" s="1640"/>
      <c r="M2182" s="1641"/>
      <c r="N2182" s="1681"/>
      <c r="EW2182" s="2031"/>
      <c r="EX2182" s="1619"/>
      <c r="EY2182" s="1628"/>
      <c r="EZ2182" s="1628"/>
      <c r="FA2182" s="1628"/>
      <c r="FF2182" s="1864" t="s">
        <v>2524</v>
      </c>
      <c r="FH2182" s="1628"/>
      <c r="FU2182" s="1678"/>
      <c r="FW2182" s="1678"/>
    </row>
    <row r="2183" spans="1:179" s="1484" customFormat="1" ht="15" x14ac:dyDescent="0.25">
      <c r="A2183" s="2033"/>
      <c r="B2183" s="1631"/>
      <c r="C2183" s="2805" t="s">
        <v>2501</v>
      </c>
      <c r="D2183" s="2805"/>
      <c r="E2183" s="2805"/>
      <c r="F2183" s="1683" t="s">
        <v>807</v>
      </c>
      <c r="G2183" s="1953">
        <v>0.2</v>
      </c>
      <c r="H2183" s="1641"/>
      <c r="I2183" s="2042">
        <v>8.1600000000000006E-3</v>
      </c>
      <c r="J2183" s="1640"/>
      <c r="K2183" s="1641"/>
      <c r="L2183" s="1640"/>
      <c r="M2183" s="1641"/>
      <c r="N2183" s="1681"/>
      <c r="EW2183" s="2031"/>
      <c r="EX2183" s="1619"/>
      <c r="EY2183" s="1628"/>
      <c r="EZ2183" s="1628"/>
      <c r="FA2183" s="1628"/>
      <c r="FF2183" s="1864" t="s">
        <v>2501</v>
      </c>
      <c r="FH2183" s="1628"/>
      <c r="FU2183" s="1678"/>
      <c r="FW2183" s="1678"/>
    </row>
    <row r="2184" spans="1:179" s="1484" customFormat="1" ht="15" x14ac:dyDescent="0.25">
      <c r="A2184" s="2032"/>
      <c r="B2184" s="1631"/>
      <c r="C2184" s="2917" t="s">
        <v>2502</v>
      </c>
      <c r="D2184" s="2917"/>
      <c r="E2184" s="2917"/>
      <c r="F2184" s="2036"/>
      <c r="G2184" s="2037"/>
      <c r="H2184" s="2037"/>
      <c r="I2184" s="2037"/>
      <c r="J2184" s="2044">
        <v>284.17</v>
      </c>
      <c r="K2184" s="2037"/>
      <c r="L2184" s="2044">
        <v>14.22</v>
      </c>
      <c r="M2184" s="2037"/>
      <c r="N2184" s="2070">
        <v>480.62</v>
      </c>
      <c r="EW2184" s="2031"/>
      <c r="EX2184" s="1619"/>
      <c r="EY2184" s="1628"/>
      <c r="EZ2184" s="1628"/>
      <c r="FA2184" s="1628"/>
      <c r="FG2184" s="1864" t="s">
        <v>2502</v>
      </c>
      <c r="FH2184" s="1628"/>
      <c r="FU2184" s="1678"/>
      <c r="FW2184" s="1678"/>
    </row>
    <row r="2185" spans="1:179" s="1484" customFormat="1" ht="15" x14ac:dyDescent="0.25">
      <c r="A2185" s="2033" t="s">
        <v>8318</v>
      </c>
      <c r="B2185" s="1631"/>
      <c r="C2185" s="2805" t="s">
        <v>7964</v>
      </c>
      <c r="D2185" s="2805"/>
      <c r="E2185" s="2805"/>
      <c r="F2185" s="1683" t="s">
        <v>5928</v>
      </c>
      <c r="G2185" s="1641"/>
      <c r="H2185" s="1641"/>
      <c r="I2185" s="1641"/>
      <c r="J2185" s="1640"/>
      <c r="K2185" s="1641"/>
      <c r="L2185" s="1654">
        <v>0.02</v>
      </c>
      <c r="M2185" s="1641"/>
      <c r="N2185" s="2039">
        <v>0.72</v>
      </c>
      <c r="EW2185" s="2031"/>
      <c r="EX2185" s="1619"/>
      <c r="EY2185" s="1628"/>
      <c r="EZ2185" s="1628"/>
      <c r="FA2185" s="1628"/>
      <c r="FF2185" s="1864" t="s">
        <v>7964</v>
      </c>
      <c r="FH2185" s="1628"/>
      <c r="FU2185" s="1678"/>
      <c r="FW2185" s="1678"/>
    </row>
    <row r="2186" spans="1:179" s="1484" customFormat="1" ht="15" x14ac:dyDescent="0.25">
      <c r="A2186" s="2033"/>
      <c r="B2186" s="1631"/>
      <c r="C2186" s="2805" t="s">
        <v>7965</v>
      </c>
      <c r="D2186" s="2805"/>
      <c r="E2186" s="2805"/>
      <c r="F2186" s="1683" t="s">
        <v>5928</v>
      </c>
      <c r="G2186" s="1641"/>
      <c r="H2186" s="1641"/>
      <c r="I2186" s="1641"/>
      <c r="J2186" s="1654">
        <v>2.3199999999999998</v>
      </c>
      <c r="K2186" s="1655">
        <v>0.25</v>
      </c>
      <c r="L2186" s="1654">
        <v>0.02</v>
      </c>
      <c r="M2186" s="1655">
        <v>35.75</v>
      </c>
      <c r="N2186" s="2039">
        <v>0.72</v>
      </c>
      <c r="EW2186" s="2031"/>
      <c r="EX2186" s="1619"/>
      <c r="EY2186" s="1628"/>
      <c r="EZ2186" s="1628"/>
      <c r="FA2186" s="1628"/>
      <c r="FF2186" s="1864" t="s">
        <v>7965</v>
      </c>
      <c r="FH2186" s="1628"/>
      <c r="FU2186" s="1678"/>
      <c r="FW2186" s="1678"/>
    </row>
    <row r="2187" spans="1:179" s="1484" customFormat="1" ht="15" x14ac:dyDescent="0.25">
      <c r="A2187" s="2033"/>
      <c r="B2187" s="1631"/>
      <c r="C2187" s="2805" t="s">
        <v>867</v>
      </c>
      <c r="D2187" s="2805"/>
      <c r="E2187" s="2805"/>
      <c r="F2187" s="1683"/>
      <c r="G2187" s="1641"/>
      <c r="H2187" s="1641"/>
      <c r="I2187" s="1641"/>
      <c r="J2187" s="1640"/>
      <c r="K2187" s="1641"/>
      <c r="L2187" s="1654">
        <v>13.23</v>
      </c>
      <c r="M2187" s="1641"/>
      <c r="N2187" s="2039">
        <v>472.98</v>
      </c>
      <c r="EW2187" s="2031"/>
      <c r="EX2187" s="1619"/>
      <c r="EY2187" s="1628"/>
      <c r="EZ2187" s="1628"/>
      <c r="FA2187" s="1628"/>
      <c r="FF2187" s="1864" t="s">
        <v>867</v>
      </c>
      <c r="FH2187" s="1628"/>
      <c r="FU2187" s="1678"/>
      <c r="FW2187" s="1678"/>
    </row>
    <row r="2188" spans="1:179" s="1484" customFormat="1" ht="15" x14ac:dyDescent="0.25">
      <c r="A2188" s="2033"/>
      <c r="B2188" s="1631" t="s">
        <v>6071</v>
      </c>
      <c r="C2188" s="2805" t="s">
        <v>6072</v>
      </c>
      <c r="D2188" s="2805"/>
      <c r="E2188" s="2805"/>
      <c r="F2188" s="1683" t="s">
        <v>636</v>
      </c>
      <c r="G2188" s="2034">
        <v>147</v>
      </c>
      <c r="H2188" s="1641"/>
      <c r="I2188" s="2034">
        <v>147</v>
      </c>
      <c r="J2188" s="1640"/>
      <c r="K2188" s="1641"/>
      <c r="L2188" s="1654">
        <v>19.45</v>
      </c>
      <c r="M2188" s="1641"/>
      <c r="N2188" s="2039">
        <v>695.28</v>
      </c>
      <c r="EW2188" s="2031"/>
      <c r="EX2188" s="1619"/>
      <c r="EY2188" s="1628"/>
      <c r="EZ2188" s="1628"/>
      <c r="FA2188" s="1628"/>
      <c r="FF2188" s="1864" t="s">
        <v>6072</v>
      </c>
      <c r="FH2188" s="1628"/>
      <c r="FU2188" s="1678"/>
      <c r="FW2188" s="1678"/>
    </row>
    <row r="2189" spans="1:179" s="1484" customFormat="1" ht="15" x14ac:dyDescent="0.25">
      <c r="A2189" s="2033"/>
      <c r="B2189" s="1631" t="s">
        <v>6073</v>
      </c>
      <c r="C2189" s="2805" t="s">
        <v>6074</v>
      </c>
      <c r="D2189" s="2805"/>
      <c r="E2189" s="2805"/>
      <c r="F2189" s="1683" t="s">
        <v>636</v>
      </c>
      <c r="G2189" s="2034">
        <v>134</v>
      </c>
      <c r="H2189" s="1641"/>
      <c r="I2189" s="2034">
        <v>134</v>
      </c>
      <c r="J2189" s="1640"/>
      <c r="K2189" s="1641"/>
      <c r="L2189" s="1654">
        <v>17.73</v>
      </c>
      <c r="M2189" s="1641"/>
      <c r="N2189" s="2039">
        <v>633.79</v>
      </c>
      <c r="EW2189" s="2031"/>
      <c r="EX2189" s="1619"/>
      <c r="EY2189" s="1628"/>
      <c r="EZ2189" s="1628"/>
      <c r="FA2189" s="1628"/>
      <c r="FF2189" s="1864" t="s">
        <v>6074</v>
      </c>
      <c r="FH2189" s="1628"/>
      <c r="FU2189" s="1678"/>
      <c r="FW2189" s="1678"/>
    </row>
    <row r="2190" spans="1:179" s="1484" customFormat="1" ht="15" x14ac:dyDescent="0.25">
      <c r="A2190" s="1650"/>
      <c r="B2190" s="1651"/>
      <c r="C2190" s="2803" t="s">
        <v>872</v>
      </c>
      <c r="D2190" s="2803"/>
      <c r="E2190" s="2803"/>
      <c r="F2190" s="1621"/>
      <c r="G2190" s="1622"/>
      <c r="H2190" s="1622"/>
      <c r="I2190" s="1622"/>
      <c r="J2190" s="1625"/>
      <c r="K2190" s="1622"/>
      <c r="L2190" s="2040">
        <v>51.42</v>
      </c>
      <c r="M2190" s="2037"/>
      <c r="N2190" s="1649">
        <v>1810.41</v>
      </c>
      <c r="EW2190" s="2031"/>
      <c r="EX2190" s="1619"/>
      <c r="EY2190" s="1628"/>
      <c r="EZ2190" s="1628"/>
      <c r="FA2190" s="1628"/>
      <c r="FH2190" s="1628" t="s">
        <v>872</v>
      </c>
      <c r="FU2190" s="1678"/>
      <c r="FW2190" s="1678"/>
    </row>
    <row r="2191" spans="1:179" s="1484" customFormat="1" ht="45" x14ac:dyDescent="0.25">
      <c r="A2191" s="1620" t="s">
        <v>8319</v>
      </c>
      <c r="B2191" s="1863" t="s">
        <v>8320</v>
      </c>
      <c r="C2191" s="2803" t="s">
        <v>8321</v>
      </c>
      <c r="D2191" s="2803"/>
      <c r="E2191" s="2803"/>
      <c r="F2191" s="1621" t="s">
        <v>130</v>
      </c>
      <c r="G2191" s="1622">
        <v>44.88</v>
      </c>
      <c r="H2191" s="1623">
        <v>1</v>
      </c>
      <c r="I2191" s="1687">
        <v>44.88</v>
      </c>
      <c r="J2191" s="2040">
        <v>15.71</v>
      </c>
      <c r="K2191" s="1622"/>
      <c r="L2191" s="2040">
        <v>705.06</v>
      </c>
      <c r="M2191" s="1687">
        <v>9.14</v>
      </c>
      <c r="N2191" s="1649">
        <v>6444.25</v>
      </c>
      <c r="EW2191" s="2031"/>
      <c r="EX2191" s="1619"/>
      <c r="EY2191" s="1628" t="s">
        <v>8321</v>
      </c>
      <c r="EZ2191" s="1628" t="s">
        <v>588</v>
      </c>
      <c r="FA2191" s="1628" t="s">
        <v>588</v>
      </c>
      <c r="FH2191" s="1628"/>
      <c r="FU2191" s="1678"/>
      <c r="FW2191" s="1678"/>
    </row>
    <row r="2192" spans="1:179" s="1484" customFormat="1" ht="15" x14ac:dyDescent="0.25">
      <c r="A2192" s="1650"/>
      <c r="B2192" s="1651"/>
      <c r="C2192" s="2805" t="s">
        <v>8797</v>
      </c>
      <c r="D2192" s="2805"/>
      <c r="E2192" s="2805"/>
      <c r="F2192" s="2805"/>
      <c r="G2192" s="2805"/>
      <c r="H2192" s="2805"/>
      <c r="I2192" s="2805"/>
      <c r="J2192" s="2805"/>
      <c r="K2192" s="2805"/>
      <c r="L2192" s="2805"/>
      <c r="M2192" s="2805"/>
      <c r="N2192" s="2806"/>
      <c r="EW2192" s="2031"/>
      <c r="EX2192" s="1619"/>
      <c r="EY2192" s="1628"/>
      <c r="EZ2192" s="1628"/>
      <c r="FA2192" s="1628"/>
      <c r="FH2192" s="1628"/>
      <c r="FI2192" s="1864" t="s">
        <v>8797</v>
      </c>
      <c r="FJ2192" s="1864" t="s">
        <v>588</v>
      </c>
      <c r="FK2192" s="1864" t="s">
        <v>588</v>
      </c>
      <c r="FL2192" s="1864" t="s">
        <v>588</v>
      </c>
      <c r="FM2192" s="1864" t="s">
        <v>588</v>
      </c>
      <c r="FN2192" s="1864" t="s">
        <v>588</v>
      </c>
      <c r="FO2192" s="1864" t="s">
        <v>588</v>
      </c>
      <c r="FP2192" s="1864" t="s">
        <v>588</v>
      </c>
      <c r="FQ2192" s="1864" t="s">
        <v>588</v>
      </c>
      <c r="FR2192" s="1864" t="s">
        <v>588</v>
      </c>
      <c r="FS2192" s="1864" t="s">
        <v>588</v>
      </c>
      <c r="FT2192" s="1864" t="s">
        <v>588</v>
      </c>
      <c r="FU2192" s="1678"/>
      <c r="FW2192" s="1678"/>
    </row>
    <row r="2193" spans="1:179" s="1484" customFormat="1" ht="15" x14ac:dyDescent="0.25">
      <c r="A2193" s="1629"/>
      <c r="B2193" s="1862"/>
      <c r="C2193" s="2805" t="s">
        <v>8790</v>
      </c>
      <c r="D2193" s="2805"/>
      <c r="E2193" s="2805"/>
      <c r="F2193" s="2805"/>
      <c r="G2193" s="2805"/>
      <c r="H2193" s="2805"/>
      <c r="I2193" s="2805"/>
      <c r="J2193" s="2805"/>
      <c r="K2193" s="2805"/>
      <c r="L2193" s="2805"/>
      <c r="M2193" s="2805"/>
      <c r="N2193" s="2806"/>
      <c r="EW2193" s="2031"/>
      <c r="EX2193" s="1619"/>
      <c r="EY2193" s="1628"/>
      <c r="EZ2193" s="1628"/>
      <c r="FA2193" s="1628"/>
      <c r="FB2193" s="1864" t="s">
        <v>8790</v>
      </c>
      <c r="FH2193" s="1628"/>
      <c r="FU2193" s="1678"/>
      <c r="FW2193" s="1678"/>
    </row>
    <row r="2194" spans="1:179" s="1484" customFormat="1" ht="15" x14ac:dyDescent="0.25">
      <c r="A2194" s="1650"/>
      <c r="B2194" s="1651"/>
      <c r="C2194" s="2803" t="s">
        <v>872</v>
      </c>
      <c r="D2194" s="2803"/>
      <c r="E2194" s="2803"/>
      <c r="F2194" s="1621"/>
      <c r="G2194" s="1622"/>
      <c r="H2194" s="1622"/>
      <c r="I2194" s="1622"/>
      <c r="J2194" s="1625"/>
      <c r="K2194" s="1622"/>
      <c r="L2194" s="2040">
        <v>705.06</v>
      </c>
      <c r="M2194" s="2037"/>
      <c r="N2194" s="1649">
        <v>6444.25</v>
      </c>
      <c r="EW2194" s="2031"/>
      <c r="EX2194" s="1619"/>
      <c r="EY2194" s="1628"/>
      <c r="EZ2194" s="1628"/>
      <c r="FA2194" s="1628"/>
      <c r="FH2194" s="1628" t="s">
        <v>872</v>
      </c>
      <c r="FU2194" s="1678"/>
      <c r="FW2194" s="1678"/>
    </row>
    <row r="2195" spans="1:179" s="1484" customFormat="1" ht="15" x14ac:dyDescent="0.25">
      <c r="A2195" s="1620" t="s">
        <v>8322</v>
      </c>
      <c r="B2195" s="1863" t="s">
        <v>8323</v>
      </c>
      <c r="C2195" s="2803" t="s">
        <v>8324</v>
      </c>
      <c r="D2195" s="2803"/>
      <c r="E2195" s="2803"/>
      <c r="F2195" s="1621" t="s">
        <v>832</v>
      </c>
      <c r="G2195" s="1622">
        <v>1.224</v>
      </c>
      <c r="H2195" s="1623">
        <v>1</v>
      </c>
      <c r="I2195" s="2045">
        <v>1.224</v>
      </c>
      <c r="J2195" s="1625"/>
      <c r="K2195" s="1622"/>
      <c r="L2195" s="1625"/>
      <c r="M2195" s="1622"/>
      <c r="N2195" s="1627"/>
      <c r="EW2195" s="2031"/>
      <c r="EX2195" s="1619"/>
      <c r="EY2195" s="1628" t="s">
        <v>8324</v>
      </c>
      <c r="EZ2195" s="1628" t="s">
        <v>588</v>
      </c>
      <c r="FA2195" s="1628" t="s">
        <v>588</v>
      </c>
      <c r="FH2195" s="1628"/>
      <c r="FU2195" s="1678"/>
      <c r="FW2195" s="1678"/>
    </row>
    <row r="2196" spans="1:179" s="1484" customFormat="1" ht="15" x14ac:dyDescent="0.25">
      <c r="A2196" s="1629"/>
      <c r="B2196" s="1862"/>
      <c r="C2196" s="2805" t="s">
        <v>8796</v>
      </c>
      <c r="D2196" s="2805"/>
      <c r="E2196" s="2805"/>
      <c r="F2196" s="2805"/>
      <c r="G2196" s="2805"/>
      <c r="H2196" s="2805"/>
      <c r="I2196" s="2805"/>
      <c r="J2196" s="2805"/>
      <c r="K2196" s="2805"/>
      <c r="L2196" s="2805"/>
      <c r="M2196" s="2805"/>
      <c r="N2196" s="2806"/>
      <c r="EW2196" s="2031"/>
      <c r="EX2196" s="1619"/>
      <c r="EY2196" s="1628"/>
      <c r="EZ2196" s="1628"/>
      <c r="FA2196" s="1628"/>
      <c r="FB2196" s="1864" t="s">
        <v>8796</v>
      </c>
      <c r="FH2196" s="1628"/>
      <c r="FU2196" s="1678"/>
      <c r="FW2196" s="1678"/>
    </row>
    <row r="2197" spans="1:179" s="1484" customFormat="1" ht="22.5" x14ac:dyDescent="0.25">
      <c r="A2197" s="1630"/>
      <c r="B2197" s="1631" t="s">
        <v>6062</v>
      </c>
      <c r="C2197" s="2809" t="s">
        <v>6063</v>
      </c>
      <c r="D2197" s="2809"/>
      <c r="E2197" s="2809"/>
      <c r="F2197" s="2809"/>
      <c r="G2197" s="2809"/>
      <c r="H2197" s="2809"/>
      <c r="I2197" s="2809"/>
      <c r="J2197" s="2809"/>
      <c r="K2197" s="2809"/>
      <c r="L2197" s="2809"/>
      <c r="M2197" s="2809"/>
      <c r="N2197" s="2810"/>
      <c r="EW2197" s="2031"/>
      <c r="EX2197" s="1619"/>
      <c r="EY2197" s="1628"/>
      <c r="EZ2197" s="1628"/>
      <c r="FA2197" s="1628"/>
      <c r="FC2197" s="1864" t="s">
        <v>6063</v>
      </c>
      <c r="FH2197" s="1628"/>
      <c r="FU2197" s="1678"/>
      <c r="FW2197" s="1678"/>
    </row>
    <row r="2198" spans="1:179" s="1484" customFormat="1" ht="22.5" x14ac:dyDescent="0.25">
      <c r="A2198" s="2033"/>
      <c r="B2198" s="1631" t="s">
        <v>3889</v>
      </c>
      <c r="C2198" s="2805" t="s">
        <v>8780</v>
      </c>
      <c r="D2198" s="2805"/>
      <c r="E2198" s="2805"/>
      <c r="F2198" s="1683" t="s">
        <v>807</v>
      </c>
      <c r="G2198" s="1655">
        <v>3.16</v>
      </c>
      <c r="H2198" s="1641"/>
      <c r="I2198" s="2042">
        <v>3.8678400000000002</v>
      </c>
      <c r="J2198" s="1654">
        <v>8.31</v>
      </c>
      <c r="K2198" s="1655">
        <v>1.25</v>
      </c>
      <c r="L2198" s="1654">
        <v>40.18</v>
      </c>
      <c r="M2198" s="1641"/>
      <c r="N2198" s="1681"/>
      <c r="EW2198" s="2031"/>
      <c r="EX2198" s="1619"/>
      <c r="EY2198" s="1628"/>
      <c r="EZ2198" s="1628"/>
      <c r="FA2198" s="1628"/>
      <c r="FD2198" s="1864" t="s">
        <v>8780</v>
      </c>
      <c r="FH2198" s="1628"/>
      <c r="FU2198" s="1678"/>
      <c r="FW2198" s="1678"/>
    </row>
    <row r="2199" spans="1:179" s="1484" customFormat="1" ht="15" x14ac:dyDescent="0.25">
      <c r="A2199" s="2033"/>
      <c r="B2199" s="1631" t="s">
        <v>1741</v>
      </c>
      <c r="C2199" s="2805" t="s">
        <v>8697</v>
      </c>
      <c r="D2199" s="2805"/>
      <c r="E2199" s="2805"/>
      <c r="F2199" s="1683" t="s">
        <v>4994</v>
      </c>
      <c r="G2199" s="1655">
        <v>0.09</v>
      </c>
      <c r="H2199" s="1641"/>
      <c r="I2199" s="2042">
        <v>0.11015999999999999</v>
      </c>
      <c r="J2199" s="1654">
        <v>89.99</v>
      </c>
      <c r="K2199" s="1641"/>
      <c r="L2199" s="1654">
        <v>9.91</v>
      </c>
      <c r="M2199" s="1641"/>
      <c r="N2199" s="1681"/>
      <c r="EW2199" s="2031"/>
      <c r="EX2199" s="1619"/>
      <c r="EY2199" s="1628"/>
      <c r="EZ2199" s="1628"/>
      <c r="FA2199" s="1628"/>
      <c r="FD2199" s="1864" t="s">
        <v>8697</v>
      </c>
      <c r="FH2199" s="1628"/>
      <c r="FU2199" s="1678"/>
      <c r="FW2199" s="1678"/>
    </row>
    <row r="2200" spans="1:179" s="1484" customFormat="1" ht="22.5" x14ac:dyDescent="0.25">
      <c r="A2200" s="2033"/>
      <c r="B2200" s="1631" t="s">
        <v>3215</v>
      </c>
      <c r="C2200" s="2805" t="s">
        <v>8795</v>
      </c>
      <c r="D2200" s="2805"/>
      <c r="E2200" s="2805"/>
      <c r="F2200" s="1683" t="s">
        <v>4994</v>
      </c>
      <c r="G2200" s="1655">
        <v>0.93</v>
      </c>
      <c r="H2200" s="1641"/>
      <c r="I2200" s="2042">
        <v>1.13832</v>
      </c>
      <c r="J2200" s="1654">
        <v>0.55000000000000004</v>
      </c>
      <c r="K2200" s="1641"/>
      <c r="L2200" s="1654">
        <v>0.63</v>
      </c>
      <c r="M2200" s="1641"/>
      <c r="N2200" s="1681"/>
      <c r="EW2200" s="2031"/>
      <c r="EX2200" s="1619"/>
      <c r="EY2200" s="1628"/>
      <c r="EZ2200" s="1628"/>
      <c r="FA2200" s="1628"/>
      <c r="FD2200" s="1864" t="s">
        <v>8795</v>
      </c>
      <c r="FH2200" s="1628"/>
      <c r="FU2200" s="1678"/>
      <c r="FW2200" s="1678"/>
    </row>
    <row r="2201" spans="1:179" s="1484" customFormat="1" ht="33.75" x14ac:dyDescent="0.25">
      <c r="A2201" s="2033"/>
      <c r="B2201" s="1631" t="s">
        <v>1713</v>
      </c>
      <c r="C2201" s="2805" t="s">
        <v>8794</v>
      </c>
      <c r="D2201" s="2805"/>
      <c r="E2201" s="2805"/>
      <c r="F2201" s="1683" t="s">
        <v>4994</v>
      </c>
      <c r="G2201" s="1655">
        <v>0.46</v>
      </c>
      <c r="H2201" s="1641"/>
      <c r="I2201" s="2042">
        <v>0.56303999999999998</v>
      </c>
      <c r="J2201" s="1654">
        <v>90</v>
      </c>
      <c r="K2201" s="1641"/>
      <c r="L2201" s="1654">
        <v>50.67</v>
      </c>
      <c r="M2201" s="1641"/>
      <c r="N2201" s="1681"/>
      <c r="EW2201" s="2031"/>
      <c r="EX2201" s="1619"/>
      <c r="EY2201" s="1628"/>
      <c r="EZ2201" s="1628"/>
      <c r="FA2201" s="1628"/>
      <c r="FD2201" s="1864" t="s">
        <v>8794</v>
      </c>
      <c r="FH2201" s="1628"/>
      <c r="FU2201" s="1678"/>
      <c r="FW2201" s="1678"/>
    </row>
    <row r="2202" spans="1:179" s="1484" customFormat="1" ht="15" x14ac:dyDescent="0.25">
      <c r="A2202" s="2033"/>
      <c r="B2202" s="1631" t="s">
        <v>1755</v>
      </c>
      <c r="C2202" s="2805" t="s">
        <v>2634</v>
      </c>
      <c r="D2202" s="2805"/>
      <c r="E2202" s="2805"/>
      <c r="F2202" s="1683" t="s">
        <v>832</v>
      </c>
      <c r="G2202" s="1655">
        <v>0.15</v>
      </c>
      <c r="H2202" s="1641"/>
      <c r="I2202" s="2035">
        <v>0.18360000000000001</v>
      </c>
      <c r="J2202" s="1654">
        <v>2.44</v>
      </c>
      <c r="K2202" s="1641"/>
      <c r="L2202" s="1654">
        <v>0.45</v>
      </c>
      <c r="M2202" s="1641"/>
      <c r="N2202" s="1681"/>
      <c r="EW2202" s="2031"/>
      <c r="EX2202" s="1619"/>
      <c r="EY2202" s="1628"/>
      <c r="EZ2202" s="1628"/>
      <c r="FA2202" s="1628"/>
      <c r="FD2202" s="1864" t="s">
        <v>2634</v>
      </c>
      <c r="FH2202" s="1628"/>
      <c r="FU2202" s="1678"/>
      <c r="FW2202" s="1678"/>
    </row>
    <row r="2203" spans="1:179" s="1484" customFormat="1" ht="15" x14ac:dyDescent="0.25">
      <c r="A2203" s="2032"/>
      <c r="B2203" s="1631" t="s">
        <v>190</v>
      </c>
      <c r="C2203" s="2805" t="s">
        <v>2523</v>
      </c>
      <c r="D2203" s="2805"/>
      <c r="E2203" s="2805"/>
      <c r="F2203" s="1683"/>
      <c r="G2203" s="1641"/>
      <c r="H2203" s="1641"/>
      <c r="I2203" s="1641"/>
      <c r="J2203" s="1654">
        <v>26.26</v>
      </c>
      <c r="K2203" s="1655">
        <v>1.25</v>
      </c>
      <c r="L2203" s="1654">
        <v>40.18</v>
      </c>
      <c r="M2203" s="1655">
        <v>35.75</v>
      </c>
      <c r="N2203" s="1679">
        <v>1436.44</v>
      </c>
      <c r="EW2203" s="2031"/>
      <c r="EX2203" s="1619"/>
      <c r="EY2203" s="1628"/>
      <c r="EZ2203" s="1628"/>
      <c r="FA2203" s="1628"/>
      <c r="FE2203" s="1864" t="s">
        <v>2523</v>
      </c>
      <c r="FH2203" s="1628"/>
      <c r="FU2203" s="1678"/>
      <c r="FW2203" s="1678"/>
    </row>
    <row r="2204" spans="1:179" s="1484" customFormat="1" ht="15" x14ac:dyDescent="0.25">
      <c r="A2204" s="2032"/>
      <c r="B2204" s="1631" t="s">
        <v>639</v>
      </c>
      <c r="C2204" s="2805" t="s">
        <v>697</v>
      </c>
      <c r="D2204" s="2805"/>
      <c r="E2204" s="2805"/>
      <c r="F2204" s="1683"/>
      <c r="G2204" s="1641"/>
      <c r="H2204" s="1641"/>
      <c r="I2204" s="1641"/>
      <c r="J2204" s="1654">
        <v>50.01</v>
      </c>
      <c r="K2204" s="1641"/>
      <c r="L2204" s="1654">
        <v>61.21</v>
      </c>
      <c r="M2204" s="1655">
        <v>11.97</v>
      </c>
      <c r="N2204" s="2039">
        <v>732.68</v>
      </c>
      <c r="EW2204" s="2031"/>
      <c r="EX2204" s="1619"/>
      <c r="EY2204" s="1628"/>
      <c r="EZ2204" s="1628"/>
      <c r="FA2204" s="1628"/>
      <c r="FE2204" s="1864" t="s">
        <v>697</v>
      </c>
      <c r="FH2204" s="1628"/>
      <c r="FU2204" s="1678"/>
      <c r="FW2204" s="1678"/>
    </row>
    <row r="2205" spans="1:179" s="1484" customFormat="1" ht="15" x14ac:dyDescent="0.25">
      <c r="A2205" s="2032"/>
      <c r="B2205" s="1631" t="s">
        <v>640</v>
      </c>
      <c r="C2205" s="2805" t="s">
        <v>2500</v>
      </c>
      <c r="D2205" s="2805"/>
      <c r="E2205" s="2805"/>
      <c r="F2205" s="1683"/>
      <c r="G2205" s="1641"/>
      <c r="H2205" s="1641"/>
      <c r="I2205" s="1641"/>
      <c r="J2205" s="1654">
        <v>5.54</v>
      </c>
      <c r="K2205" s="1641"/>
      <c r="L2205" s="1654">
        <v>6.78</v>
      </c>
      <c r="M2205" s="1655">
        <v>35.75</v>
      </c>
      <c r="N2205" s="2039">
        <v>242.39</v>
      </c>
      <c r="EW2205" s="2031"/>
      <c r="EX2205" s="1619"/>
      <c r="EY2205" s="1628"/>
      <c r="EZ2205" s="1628"/>
      <c r="FA2205" s="1628"/>
      <c r="FE2205" s="1864" t="s">
        <v>2500</v>
      </c>
      <c r="FH2205" s="1628"/>
      <c r="FU2205" s="1678"/>
      <c r="FW2205" s="1678"/>
    </row>
    <row r="2206" spans="1:179" s="1484" customFormat="1" ht="15" x14ac:dyDescent="0.25">
      <c r="A2206" s="2032"/>
      <c r="B2206" s="1631" t="s">
        <v>232</v>
      </c>
      <c r="C2206" s="2805" t="s">
        <v>829</v>
      </c>
      <c r="D2206" s="2805"/>
      <c r="E2206" s="2805"/>
      <c r="F2206" s="1683"/>
      <c r="G2206" s="1641"/>
      <c r="H2206" s="1641"/>
      <c r="I2206" s="1641"/>
      <c r="J2206" s="1654">
        <v>0.37</v>
      </c>
      <c r="K2206" s="1641"/>
      <c r="L2206" s="1654">
        <v>0.45</v>
      </c>
      <c r="M2206" s="1655">
        <v>9.14</v>
      </c>
      <c r="N2206" s="2039">
        <v>4.1100000000000003</v>
      </c>
      <c r="EW2206" s="2031"/>
      <c r="EX2206" s="1619"/>
      <c r="EY2206" s="1628"/>
      <c r="EZ2206" s="1628"/>
      <c r="FA2206" s="1628"/>
      <c r="FE2206" s="1864" t="s">
        <v>829</v>
      </c>
      <c r="FH2206" s="1628"/>
      <c r="FU2206" s="1678"/>
      <c r="FW2206" s="1678"/>
    </row>
    <row r="2207" spans="1:179" s="1484" customFormat="1" ht="15" x14ac:dyDescent="0.25">
      <c r="A2207" s="2033"/>
      <c r="B2207" s="1631"/>
      <c r="C2207" s="2805" t="s">
        <v>2524</v>
      </c>
      <c r="D2207" s="2805"/>
      <c r="E2207" s="2805"/>
      <c r="F2207" s="1683" t="s">
        <v>807</v>
      </c>
      <c r="G2207" s="1655">
        <v>3.16</v>
      </c>
      <c r="H2207" s="1641"/>
      <c r="I2207" s="2042">
        <v>3.8678400000000002</v>
      </c>
      <c r="J2207" s="1640"/>
      <c r="K2207" s="1641"/>
      <c r="L2207" s="1640"/>
      <c r="M2207" s="1641"/>
      <c r="N2207" s="1681"/>
      <c r="EW2207" s="2031"/>
      <c r="EX2207" s="1619"/>
      <c r="EY2207" s="1628"/>
      <c r="EZ2207" s="1628"/>
      <c r="FA2207" s="1628"/>
      <c r="FF2207" s="1864" t="s">
        <v>2524</v>
      </c>
      <c r="FH2207" s="1628"/>
      <c r="FU2207" s="1678"/>
      <c r="FW2207" s="1678"/>
    </row>
    <row r="2208" spans="1:179" s="1484" customFormat="1" ht="15" x14ac:dyDescent="0.25">
      <c r="A2208" s="2033"/>
      <c r="B2208" s="1631"/>
      <c r="C2208" s="2805" t="s">
        <v>2501</v>
      </c>
      <c r="D2208" s="2805"/>
      <c r="E2208" s="2805"/>
      <c r="F2208" s="1683" t="s">
        <v>807</v>
      </c>
      <c r="G2208" s="1655">
        <v>0.55000000000000004</v>
      </c>
      <c r="H2208" s="1641"/>
      <c r="I2208" s="2035">
        <v>0.67320000000000002</v>
      </c>
      <c r="J2208" s="1640"/>
      <c r="K2208" s="1641"/>
      <c r="L2208" s="1640"/>
      <c r="M2208" s="1641"/>
      <c r="N2208" s="1681"/>
      <c r="EW2208" s="2031"/>
      <c r="EX2208" s="1619"/>
      <c r="EY2208" s="1628"/>
      <c r="EZ2208" s="1628"/>
      <c r="FA2208" s="1628"/>
      <c r="FF2208" s="1864" t="s">
        <v>2501</v>
      </c>
      <c r="FH2208" s="1628"/>
      <c r="FU2208" s="1678"/>
      <c r="FW2208" s="1678"/>
    </row>
    <row r="2209" spans="1:179" s="1484" customFormat="1" ht="15" x14ac:dyDescent="0.25">
      <c r="A2209" s="2032"/>
      <c r="B2209" s="1631"/>
      <c r="C2209" s="2917" t="s">
        <v>2502</v>
      </c>
      <c r="D2209" s="2917"/>
      <c r="E2209" s="2917"/>
      <c r="F2209" s="2036"/>
      <c r="G2209" s="2037"/>
      <c r="H2209" s="2037"/>
      <c r="I2209" s="2037"/>
      <c r="J2209" s="2044">
        <v>76.64</v>
      </c>
      <c r="K2209" s="2037"/>
      <c r="L2209" s="2044">
        <v>101.84</v>
      </c>
      <c r="M2209" s="2037"/>
      <c r="N2209" s="2068">
        <v>2173.23</v>
      </c>
      <c r="EW2209" s="2031"/>
      <c r="EX2209" s="1619"/>
      <c r="EY2209" s="1628"/>
      <c r="EZ2209" s="1628"/>
      <c r="FA2209" s="1628"/>
      <c r="FG2209" s="1864" t="s">
        <v>2502</v>
      </c>
      <c r="FH2209" s="1628"/>
      <c r="FU2209" s="1678"/>
      <c r="FW2209" s="1678"/>
    </row>
    <row r="2210" spans="1:179" s="1484" customFormat="1" ht="15" x14ac:dyDescent="0.25">
      <c r="A2210" s="2033" t="s">
        <v>8325</v>
      </c>
      <c r="B2210" s="1631"/>
      <c r="C2210" s="2805" t="s">
        <v>7964</v>
      </c>
      <c r="D2210" s="2805"/>
      <c r="E2210" s="2805"/>
      <c r="F2210" s="1683" t="s">
        <v>5928</v>
      </c>
      <c r="G2210" s="1641"/>
      <c r="H2210" s="1641"/>
      <c r="I2210" s="1641"/>
      <c r="J2210" s="1640"/>
      <c r="K2210" s="1641"/>
      <c r="L2210" s="1654">
        <v>1.7</v>
      </c>
      <c r="M2210" s="1641"/>
      <c r="N2210" s="2039">
        <v>60.78</v>
      </c>
      <c r="EW2210" s="2031"/>
      <c r="EX2210" s="1619"/>
      <c r="EY2210" s="1628"/>
      <c r="EZ2210" s="1628"/>
      <c r="FA2210" s="1628"/>
      <c r="FF2210" s="1864" t="s">
        <v>7964</v>
      </c>
      <c r="FH2210" s="1628"/>
      <c r="FU2210" s="1678"/>
      <c r="FW2210" s="1678"/>
    </row>
    <row r="2211" spans="1:179" s="1484" customFormat="1" ht="15" x14ac:dyDescent="0.25">
      <c r="A2211" s="2033"/>
      <c r="B2211" s="1631"/>
      <c r="C2211" s="2805" t="s">
        <v>7965</v>
      </c>
      <c r="D2211" s="2805"/>
      <c r="E2211" s="2805"/>
      <c r="F2211" s="1683" t="s">
        <v>5928</v>
      </c>
      <c r="G2211" s="1641"/>
      <c r="H2211" s="1641"/>
      <c r="I2211" s="1641"/>
      <c r="J2211" s="1654">
        <v>5.54</v>
      </c>
      <c r="K2211" s="1655">
        <v>0.25</v>
      </c>
      <c r="L2211" s="1654">
        <v>1.7</v>
      </c>
      <c r="M2211" s="1655">
        <v>35.75</v>
      </c>
      <c r="N2211" s="2039">
        <v>60.78</v>
      </c>
      <c r="EW2211" s="2031"/>
      <c r="EX2211" s="1619"/>
      <c r="EY2211" s="1628"/>
      <c r="EZ2211" s="1628"/>
      <c r="FA2211" s="1628"/>
      <c r="FF2211" s="1864" t="s">
        <v>7965</v>
      </c>
      <c r="FH2211" s="1628"/>
      <c r="FU2211" s="1678"/>
      <c r="FW2211" s="1678"/>
    </row>
    <row r="2212" spans="1:179" s="1484" customFormat="1" ht="15" x14ac:dyDescent="0.25">
      <c r="A2212" s="2033"/>
      <c r="B2212" s="1631"/>
      <c r="C2212" s="2805" t="s">
        <v>867</v>
      </c>
      <c r="D2212" s="2805"/>
      <c r="E2212" s="2805"/>
      <c r="F2212" s="1683"/>
      <c r="G2212" s="1641"/>
      <c r="H2212" s="1641"/>
      <c r="I2212" s="1641"/>
      <c r="J2212" s="1640"/>
      <c r="K2212" s="1641"/>
      <c r="L2212" s="1654">
        <v>48.66</v>
      </c>
      <c r="M2212" s="1641"/>
      <c r="N2212" s="1679">
        <v>1739.61</v>
      </c>
      <c r="EW2212" s="2031"/>
      <c r="EX2212" s="1619"/>
      <c r="EY2212" s="1628"/>
      <c r="EZ2212" s="1628"/>
      <c r="FA2212" s="1628"/>
      <c r="FF2212" s="1864" t="s">
        <v>867</v>
      </c>
      <c r="FH2212" s="1628"/>
      <c r="FU2212" s="1678"/>
      <c r="FW2212" s="1678"/>
    </row>
    <row r="2213" spans="1:179" s="1484" customFormat="1" ht="15" x14ac:dyDescent="0.25">
      <c r="A2213" s="2033"/>
      <c r="B2213" s="1631" t="s">
        <v>8054</v>
      </c>
      <c r="C2213" s="2805" t="s">
        <v>8055</v>
      </c>
      <c r="D2213" s="2805"/>
      <c r="E2213" s="2805"/>
      <c r="F2213" s="1683" t="s">
        <v>636</v>
      </c>
      <c r="G2213" s="2034">
        <v>112</v>
      </c>
      <c r="H2213" s="1641"/>
      <c r="I2213" s="2034">
        <v>112</v>
      </c>
      <c r="J2213" s="1640"/>
      <c r="K2213" s="1641"/>
      <c r="L2213" s="1654">
        <v>54.5</v>
      </c>
      <c r="M2213" s="1641"/>
      <c r="N2213" s="1679">
        <v>1948.36</v>
      </c>
      <c r="EW2213" s="2031"/>
      <c r="EX2213" s="1619"/>
      <c r="EY2213" s="1628"/>
      <c r="EZ2213" s="1628"/>
      <c r="FA2213" s="1628"/>
      <c r="FF2213" s="1864" t="s">
        <v>8055</v>
      </c>
      <c r="FH2213" s="1628"/>
      <c r="FU2213" s="1678"/>
      <c r="FW2213" s="1678"/>
    </row>
    <row r="2214" spans="1:179" s="1484" customFormat="1" ht="15" x14ac:dyDescent="0.25">
      <c r="A2214" s="2033"/>
      <c r="B2214" s="1631" t="s">
        <v>8056</v>
      </c>
      <c r="C2214" s="2805" t="s">
        <v>8057</v>
      </c>
      <c r="D2214" s="2805"/>
      <c r="E2214" s="2805"/>
      <c r="F2214" s="1683" t="s">
        <v>636</v>
      </c>
      <c r="G2214" s="2034">
        <v>65</v>
      </c>
      <c r="H2214" s="1641"/>
      <c r="I2214" s="2034">
        <v>65</v>
      </c>
      <c r="J2214" s="1640"/>
      <c r="K2214" s="1641"/>
      <c r="L2214" s="1654">
        <v>31.63</v>
      </c>
      <c r="M2214" s="1641"/>
      <c r="N2214" s="1679">
        <v>1130.75</v>
      </c>
      <c r="EW2214" s="2031"/>
      <c r="EX2214" s="1619"/>
      <c r="EY2214" s="1628"/>
      <c r="EZ2214" s="1628"/>
      <c r="FA2214" s="1628"/>
      <c r="FF2214" s="1864" t="s">
        <v>8057</v>
      </c>
      <c r="FH2214" s="1628"/>
      <c r="FU2214" s="1678"/>
      <c r="FW2214" s="1678"/>
    </row>
    <row r="2215" spans="1:179" s="1484" customFormat="1" ht="15" x14ac:dyDescent="0.25">
      <c r="A2215" s="1650"/>
      <c r="B2215" s="1651"/>
      <c r="C2215" s="2803" t="s">
        <v>872</v>
      </c>
      <c r="D2215" s="2803"/>
      <c r="E2215" s="2803"/>
      <c r="F2215" s="1621"/>
      <c r="G2215" s="1622"/>
      <c r="H2215" s="1622"/>
      <c r="I2215" s="1622"/>
      <c r="J2215" s="1625"/>
      <c r="K2215" s="1622"/>
      <c r="L2215" s="2040">
        <v>189.67</v>
      </c>
      <c r="M2215" s="2037"/>
      <c r="N2215" s="1649">
        <v>5313.12</v>
      </c>
      <c r="EW2215" s="2031"/>
      <c r="EX2215" s="1619"/>
      <c r="EY2215" s="1628"/>
      <c r="EZ2215" s="1628"/>
      <c r="FA2215" s="1628"/>
      <c r="FH2215" s="1628" t="s">
        <v>872</v>
      </c>
      <c r="FU2215" s="1678"/>
      <c r="FW2215" s="1678"/>
    </row>
    <row r="2216" spans="1:179" s="1484" customFormat="1" ht="15" x14ac:dyDescent="0.25">
      <c r="A2216" s="1620" t="s">
        <v>8326</v>
      </c>
      <c r="B2216" s="1863" t="s">
        <v>8327</v>
      </c>
      <c r="C2216" s="2803" t="s">
        <v>8328</v>
      </c>
      <c r="D2216" s="2803"/>
      <c r="E2216" s="2803"/>
      <c r="F2216" s="1621" t="s">
        <v>832</v>
      </c>
      <c r="G2216" s="1622">
        <v>1.5667</v>
      </c>
      <c r="H2216" s="1623">
        <v>1</v>
      </c>
      <c r="I2216" s="2041">
        <v>1.5667</v>
      </c>
      <c r="J2216" s="2040">
        <v>113.2</v>
      </c>
      <c r="K2216" s="1622"/>
      <c r="L2216" s="2040">
        <v>177.35</v>
      </c>
      <c r="M2216" s="1687">
        <v>9.14</v>
      </c>
      <c r="N2216" s="1649">
        <v>1620.98</v>
      </c>
      <c r="EW2216" s="2031"/>
      <c r="EX2216" s="1619"/>
      <c r="EY2216" s="1628" t="s">
        <v>8328</v>
      </c>
      <c r="EZ2216" s="1628" t="s">
        <v>588</v>
      </c>
      <c r="FA2216" s="1628" t="s">
        <v>588</v>
      </c>
      <c r="FH2216" s="1628"/>
      <c r="FU2216" s="1678"/>
      <c r="FW2216" s="1678"/>
    </row>
    <row r="2217" spans="1:179" s="1484" customFormat="1" ht="15" x14ac:dyDescent="0.25">
      <c r="A2217" s="1650"/>
      <c r="B2217" s="1651"/>
      <c r="C2217" s="2805" t="s">
        <v>8640</v>
      </c>
      <c r="D2217" s="2805"/>
      <c r="E2217" s="2805"/>
      <c r="F2217" s="2805"/>
      <c r="G2217" s="2805"/>
      <c r="H2217" s="2805"/>
      <c r="I2217" s="2805"/>
      <c r="J2217" s="2805"/>
      <c r="K2217" s="2805"/>
      <c r="L2217" s="2805"/>
      <c r="M2217" s="2805"/>
      <c r="N2217" s="2806"/>
      <c r="EW2217" s="2031"/>
      <c r="EX2217" s="1619"/>
      <c r="EY2217" s="1628"/>
      <c r="EZ2217" s="1628"/>
      <c r="FA2217" s="1628"/>
      <c r="FH2217" s="1628"/>
      <c r="FI2217" s="1864" t="s">
        <v>8640</v>
      </c>
      <c r="FJ2217" s="1864" t="s">
        <v>588</v>
      </c>
      <c r="FK2217" s="1864" t="s">
        <v>588</v>
      </c>
      <c r="FL2217" s="1864" t="s">
        <v>588</v>
      </c>
      <c r="FM2217" s="1864" t="s">
        <v>588</v>
      </c>
      <c r="FN2217" s="1864" t="s">
        <v>588</v>
      </c>
      <c r="FO2217" s="1864" t="s">
        <v>588</v>
      </c>
      <c r="FP2217" s="1864" t="s">
        <v>588</v>
      </c>
      <c r="FQ2217" s="1864" t="s">
        <v>588</v>
      </c>
      <c r="FR2217" s="1864" t="s">
        <v>588</v>
      </c>
      <c r="FS2217" s="1864" t="s">
        <v>588</v>
      </c>
      <c r="FT2217" s="1864" t="s">
        <v>588</v>
      </c>
      <c r="FU2217" s="1678"/>
      <c r="FW2217" s="1678"/>
    </row>
    <row r="2218" spans="1:179" s="1484" customFormat="1" ht="15" x14ac:dyDescent="0.25">
      <c r="A2218" s="1629"/>
      <c r="B2218" s="1862"/>
      <c r="C2218" s="2805" t="s">
        <v>8793</v>
      </c>
      <c r="D2218" s="2805"/>
      <c r="E2218" s="2805"/>
      <c r="F2218" s="2805"/>
      <c r="G2218" s="2805"/>
      <c r="H2218" s="2805"/>
      <c r="I2218" s="2805"/>
      <c r="J2218" s="2805"/>
      <c r="K2218" s="2805"/>
      <c r="L2218" s="2805"/>
      <c r="M2218" s="2805"/>
      <c r="N2218" s="2806"/>
      <c r="EW2218" s="2031"/>
      <c r="EX2218" s="1619"/>
      <c r="EY2218" s="1628"/>
      <c r="EZ2218" s="1628"/>
      <c r="FA2218" s="1628"/>
      <c r="FB2218" s="1864" t="s">
        <v>8793</v>
      </c>
      <c r="FH2218" s="1628"/>
      <c r="FU2218" s="1678"/>
      <c r="FW2218" s="1678"/>
    </row>
    <row r="2219" spans="1:179" s="1484" customFormat="1" ht="15" x14ac:dyDescent="0.25">
      <c r="A2219" s="1650"/>
      <c r="B2219" s="1651"/>
      <c r="C2219" s="2803" t="s">
        <v>872</v>
      </c>
      <c r="D2219" s="2803"/>
      <c r="E2219" s="2803"/>
      <c r="F2219" s="1621"/>
      <c r="G2219" s="1622"/>
      <c r="H2219" s="1622"/>
      <c r="I2219" s="1622"/>
      <c r="J2219" s="1625"/>
      <c r="K2219" s="1622"/>
      <c r="L2219" s="2040">
        <v>177.35</v>
      </c>
      <c r="M2219" s="2037"/>
      <c r="N2219" s="1649">
        <v>1620.98</v>
      </c>
      <c r="EW2219" s="2031"/>
      <c r="EX2219" s="1619"/>
      <c r="EY2219" s="1628"/>
      <c r="EZ2219" s="1628"/>
      <c r="FA2219" s="1628"/>
      <c r="FH2219" s="1628" t="s">
        <v>872</v>
      </c>
      <c r="FU2219" s="1678"/>
      <c r="FW2219" s="1678"/>
    </row>
    <row r="2220" spans="1:179" s="1484" customFormat="1" ht="33.75" x14ac:dyDescent="0.25">
      <c r="A2220" s="1620" t="s">
        <v>8329</v>
      </c>
      <c r="B2220" s="1863" t="s">
        <v>8306</v>
      </c>
      <c r="C2220" s="2803" t="s">
        <v>8307</v>
      </c>
      <c r="D2220" s="2803"/>
      <c r="E2220" s="2803"/>
      <c r="F2220" s="1621" t="s">
        <v>4884</v>
      </c>
      <c r="G2220" s="1622">
        <v>4.0800000000000003E-2</v>
      </c>
      <c r="H2220" s="1623">
        <v>1</v>
      </c>
      <c r="I2220" s="2041">
        <v>4.0800000000000003E-2</v>
      </c>
      <c r="J2220" s="1625"/>
      <c r="K2220" s="1622"/>
      <c r="L2220" s="1625"/>
      <c r="M2220" s="1622"/>
      <c r="N2220" s="1627"/>
      <c r="EW2220" s="2031"/>
      <c r="EX2220" s="1619"/>
      <c r="EY2220" s="1628" t="s">
        <v>8307</v>
      </c>
      <c r="EZ2220" s="1628" t="s">
        <v>588</v>
      </c>
      <c r="FA2220" s="1628" t="s">
        <v>588</v>
      </c>
      <c r="FH2220" s="1628"/>
      <c r="FU2220" s="1678"/>
      <c r="FW2220" s="1678"/>
    </row>
    <row r="2221" spans="1:179" s="1484" customFormat="1" ht="15" x14ac:dyDescent="0.25">
      <c r="A2221" s="1629"/>
      <c r="B2221" s="1862"/>
      <c r="C2221" s="2805" t="s">
        <v>8792</v>
      </c>
      <c r="D2221" s="2805"/>
      <c r="E2221" s="2805"/>
      <c r="F2221" s="2805"/>
      <c r="G2221" s="2805"/>
      <c r="H2221" s="2805"/>
      <c r="I2221" s="2805"/>
      <c r="J2221" s="2805"/>
      <c r="K2221" s="2805"/>
      <c r="L2221" s="2805"/>
      <c r="M2221" s="2805"/>
      <c r="N2221" s="2806"/>
      <c r="EW2221" s="2031"/>
      <c r="EX2221" s="1619"/>
      <c r="EY2221" s="1628"/>
      <c r="EZ2221" s="1628"/>
      <c r="FA2221" s="1628"/>
      <c r="FB2221" s="1864" t="s">
        <v>8792</v>
      </c>
      <c r="FH2221" s="1628"/>
      <c r="FU2221" s="1678"/>
      <c r="FW2221" s="1678"/>
    </row>
    <row r="2222" spans="1:179" s="1484" customFormat="1" ht="22.5" x14ac:dyDescent="0.25">
      <c r="A2222" s="1630"/>
      <c r="B2222" s="1631" t="s">
        <v>6062</v>
      </c>
      <c r="C2222" s="2809" t="s">
        <v>6063</v>
      </c>
      <c r="D2222" s="2809"/>
      <c r="E2222" s="2809"/>
      <c r="F2222" s="2809"/>
      <c r="G2222" s="2809"/>
      <c r="H2222" s="2809"/>
      <c r="I2222" s="2809"/>
      <c r="J2222" s="2809"/>
      <c r="K2222" s="2809"/>
      <c r="L2222" s="2809"/>
      <c r="M2222" s="2809"/>
      <c r="N2222" s="2810"/>
      <c r="EW2222" s="2031"/>
      <c r="EX2222" s="1619"/>
      <c r="EY2222" s="1628"/>
      <c r="EZ2222" s="1628"/>
      <c r="FA2222" s="1628"/>
      <c r="FC2222" s="1864" t="s">
        <v>6063</v>
      </c>
      <c r="FH2222" s="1628"/>
      <c r="FU2222" s="1678"/>
      <c r="FW2222" s="1678"/>
    </row>
    <row r="2223" spans="1:179" s="1484" customFormat="1" ht="22.5" x14ac:dyDescent="0.25">
      <c r="A2223" s="2033"/>
      <c r="B2223" s="1631" t="s">
        <v>8756</v>
      </c>
      <c r="C2223" s="2805" t="s">
        <v>8755</v>
      </c>
      <c r="D2223" s="2805"/>
      <c r="E2223" s="2805"/>
      <c r="F2223" s="1683" t="s">
        <v>807</v>
      </c>
      <c r="G2223" s="1953">
        <v>32.4</v>
      </c>
      <c r="H2223" s="1641"/>
      <c r="I2223" s="2042">
        <v>1.32192</v>
      </c>
      <c r="J2223" s="1654">
        <v>7.94</v>
      </c>
      <c r="K2223" s="1655">
        <v>1.25</v>
      </c>
      <c r="L2223" s="1654">
        <v>13.12</v>
      </c>
      <c r="M2223" s="1641"/>
      <c r="N2223" s="1681"/>
      <c r="EW2223" s="2031"/>
      <c r="EX2223" s="1619"/>
      <c r="EY2223" s="1628"/>
      <c r="EZ2223" s="1628"/>
      <c r="FA2223" s="1628"/>
      <c r="FD2223" s="1864" t="s">
        <v>8755</v>
      </c>
      <c r="FH2223" s="1628"/>
      <c r="FU2223" s="1678"/>
      <c r="FW2223" s="1678"/>
    </row>
    <row r="2224" spans="1:179" s="1484" customFormat="1" ht="15" x14ac:dyDescent="0.25">
      <c r="A2224" s="2033"/>
      <c r="B2224" s="1631" t="s">
        <v>821</v>
      </c>
      <c r="C2224" s="2805" t="s">
        <v>822</v>
      </c>
      <c r="D2224" s="2805"/>
      <c r="E2224" s="2805"/>
      <c r="F2224" s="1683" t="s">
        <v>4994</v>
      </c>
      <c r="G2224" s="1953">
        <v>0.2</v>
      </c>
      <c r="H2224" s="1641"/>
      <c r="I2224" s="2042">
        <v>8.1600000000000006E-3</v>
      </c>
      <c r="J2224" s="1654">
        <v>65.709999999999994</v>
      </c>
      <c r="K2224" s="1641"/>
      <c r="L2224" s="1654">
        <v>0.54</v>
      </c>
      <c r="M2224" s="1641"/>
      <c r="N2224" s="1681"/>
      <c r="EW2224" s="2031"/>
      <c r="EX2224" s="1619"/>
      <c r="EY2224" s="1628"/>
      <c r="EZ2224" s="1628"/>
      <c r="FA2224" s="1628"/>
      <c r="FD2224" s="1864" t="s">
        <v>822</v>
      </c>
      <c r="FH2224" s="1628"/>
      <c r="FU2224" s="1678"/>
      <c r="FW2224" s="1678"/>
    </row>
    <row r="2225" spans="1:179" s="1484" customFormat="1" ht="15" x14ac:dyDescent="0.25">
      <c r="A2225" s="2033"/>
      <c r="B2225" s="1631" t="s">
        <v>1910</v>
      </c>
      <c r="C2225" s="2805" t="s">
        <v>8791</v>
      </c>
      <c r="D2225" s="2805"/>
      <c r="E2225" s="2805"/>
      <c r="F2225" s="1683" t="s">
        <v>801</v>
      </c>
      <c r="G2225" s="2035">
        <v>2.3E-3</v>
      </c>
      <c r="H2225" s="1641"/>
      <c r="I2225" s="2049">
        <v>9.3800000000000003E-5</v>
      </c>
      <c r="J2225" s="1657">
        <v>5989</v>
      </c>
      <c r="K2225" s="1641"/>
      <c r="L2225" s="1654">
        <v>0.56000000000000005</v>
      </c>
      <c r="M2225" s="1641"/>
      <c r="N2225" s="1681"/>
      <c r="EW2225" s="2031"/>
      <c r="EX2225" s="1619"/>
      <c r="EY2225" s="1628"/>
      <c r="EZ2225" s="1628"/>
      <c r="FA2225" s="1628"/>
      <c r="FD2225" s="1864" t="s">
        <v>8791</v>
      </c>
      <c r="FH2225" s="1628"/>
      <c r="FU2225" s="1678"/>
      <c r="FW2225" s="1678"/>
    </row>
    <row r="2226" spans="1:179" s="1484" customFormat="1" ht="15" x14ac:dyDescent="0.25">
      <c r="A2226" s="2032"/>
      <c r="B2226" s="1631" t="s">
        <v>190</v>
      </c>
      <c r="C2226" s="2805" t="s">
        <v>2523</v>
      </c>
      <c r="D2226" s="2805"/>
      <c r="E2226" s="2805"/>
      <c r="F2226" s="1683"/>
      <c r="G2226" s="1641"/>
      <c r="H2226" s="1641"/>
      <c r="I2226" s="1641"/>
      <c r="J2226" s="1654">
        <v>257.26</v>
      </c>
      <c r="K2226" s="1655">
        <v>1.25</v>
      </c>
      <c r="L2226" s="1654">
        <v>13.12</v>
      </c>
      <c r="M2226" s="1655">
        <v>35.75</v>
      </c>
      <c r="N2226" s="2039">
        <v>469.04</v>
      </c>
      <c r="EW2226" s="2031"/>
      <c r="EX2226" s="1619"/>
      <c r="EY2226" s="1628"/>
      <c r="EZ2226" s="1628"/>
      <c r="FA2226" s="1628"/>
      <c r="FE2226" s="1864" t="s">
        <v>2523</v>
      </c>
      <c r="FH2226" s="1628"/>
      <c r="FU2226" s="1678"/>
      <c r="FW2226" s="1678"/>
    </row>
    <row r="2227" spans="1:179" s="1484" customFormat="1" ht="15" x14ac:dyDescent="0.25">
      <c r="A2227" s="2032"/>
      <c r="B2227" s="1631" t="s">
        <v>639</v>
      </c>
      <c r="C2227" s="2805" t="s">
        <v>697</v>
      </c>
      <c r="D2227" s="2805"/>
      <c r="E2227" s="2805"/>
      <c r="F2227" s="1683"/>
      <c r="G2227" s="1641"/>
      <c r="H2227" s="1641"/>
      <c r="I2227" s="1641"/>
      <c r="J2227" s="1654">
        <v>13.14</v>
      </c>
      <c r="K2227" s="1641"/>
      <c r="L2227" s="1654">
        <v>0.54</v>
      </c>
      <c r="M2227" s="1655">
        <v>11.97</v>
      </c>
      <c r="N2227" s="2039">
        <v>6.46</v>
      </c>
      <c r="EW2227" s="2031"/>
      <c r="EX2227" s="1619"/>
      <c r="EY2227" s="1628"/>
      <c r="EZ2227" s="1628"/>
      <c r="FA2227" s="1628"/>
      <c r="FE2227" s="1864" t="s">
        <v>697</v>
      </c>
      <c r="FH2227" s="1628"/>
      <c r="FU2227" s="1678"/>
      <c r="FW2227" s="1678"/>
    </row>
    <row r="2228" spans="1:179" s="1484" customFormat="1" ht="15" x14ac:dyDescent="0.25">
      <c r="A2228" s="2032"/>
      <c r="B2228" s="1631" t="s">
        <v>640</v>
      </c>
      <c r="C2228" s="2805" t="s">
        <v>2500</v>
      </c>
      <c r="D2228" s="2805"/>
      <c r="E2228" s="2805"/>
      <c r="F2228" s="1683"/>
      <c r="G2228" s="1641"/>
      <c r="H2228" s="1641"/>
      <c r="I2228" s="1641"/>
      <c r="J2228" s="1654">
        <v>2.3199999999999998</v>
      </c>
      <c r="K2228" s="1641"/>
      <c r="L2228" s="1654">
        <v>0.09</v>
      </c>
      <c r="M2228" s="1655">
        <v>35.75</v>
      </c>
      <c r="N2228" s="2039">
        <v>3.22</v>
      </c>
      <c r="EW2228" s="2031"/>
      <c r="EX2228" s="1619"/>
      <c r="EY2228" s="1628"/>
      <c r="EZ2228" s="1628"/>
      <c r="FA2228" s="1628"/>
      <c r="FE2228" s="1864" t="s">
        <v>2500</v>
      </c>
      <c r="FH2228" s="1628"/>
      <c r="FU2228" s="1678"/>
      <c r="FW2228" s="1678"/>
    </row>
    <row r="2229" spans="1:179" s="1484" customFormat="1" ht="15" x14ac:dyDescent="0.25">
      <c r="A2229" s="2032"/>
      <c r="B2229" s="1631" t="s">
        <v>232</v>
      </c>
      <c r="C2229" s="2805" t="s">
        <v>829</v>
      </c>
      <c r="D2229" s="2805"/>
      <c r="E2229" s="2805"/>
      <c r="F2229" s="1683"/>
      <c r="G2229" s="1641"/>
      <c r="H2229" s="1641"/>
      <c r="I2229" s="1641"/>
      <c r="J2229" s="1654">
        <v>13.77</v>
      </c>
      <c r="K2229" s="1641"/>
      <c r="L2229" s="1654">
        <v>0.56000000000000005</v>
      </c>
      <c r="M2229" s="1655">
        <v>9.14</v>
      </c>
      <c r="N2229" s="2039">
        <v>5.12</v>
      </c>
      <c r="EW2229" s="2031"/>
      <c r="EX2229" s="1619"/>
      <c r="EY2229" s="1628"/>
      <c r="EZ2229" s="1628"/>
      <c r="FA2229" s="1628"/>
      <c r="FE2229" s="1864" t="s">
        <v>829</v>
      </c>
      <c r="FH2229" s="1628"/>
      <c r="FU2229" s="1678"/>
      <c r="FW2229" s="1678"/>
    </row>
    <row r="2230" spans="1:179" s="1484" customFormat="1" ht="15" x14ac:dyDescent="0.25">
      <c r="A2230" s="2033"/>
      <c r="B2230" s="1631"/>
      <c r="C2230" s="2805" t="s">
        <v>2524</v>
      </c>
      <c r="D2230" s="2805"/>
      <c r="E2230" s="2805"/>
      <c r="F2230" s="1683" t="s">
        <v>807</v>
      </c>
      <c r="G2230" s="1953">
        <v>32.4</v>
      </c>
      <c r="H2230" s="1641"/>
      <c r="I2230" s="2042">
        <v>1.32192</v>
      </c>
      <c r="J2230" s="1640"/>
      <c r="K2230" s="1641"/>
      <c r="L2230" s="1640"/>
      <c r="M2230" s="1641"/>
      <c r="N2230" s="1681"/>
      <c r="EW2230" s="2031"/>
      <c r="EX2230" s="1619"/>
      <c r="EY2230" s="1628"/>
      <c r="EZ2230" s="1628"/>
      <c r="FA2230" s="1628"/>
      <c r="FF2230" s="1864" t="s">
        <v>2524</v>
      </c>
      <c r="FH2230" s="1628"/>
      <c r="FU2230" s="1678"/>
      <c r="FW2230" s="1678"/>
    </row>
    <row r="2231" spans="1:179" s="1484" customFormat="1" ht="15" x14ac:dyDescent="0.25">
      <c r="A2231" s="2033"/>
      <c r="B2231" s="1631"/>
      <c r="C2231" s="2805" t="s">
        <v>2501</v>
      </c>
      <c r="D2231" s="2805"/>
      <c r="E2231" s="2805"/>
      <c r="F2231" s="1683" t="s">
        <v>807</v>
      </c>
      <c r="G2231" s="1953">
        <v>0.2</v>
      </c>
      <c r="H2231" s="1641"/>
      <c r="I2231" s="2042">
        <v>8.1600000000000006E-3</v>
      </c>
      <c r="J2231" s="1640"/>
      <c r="K2231" s="1641"/>
      <c r="L2231" s="1640"/>
      <c r="M2231" s="1641"/>
      <c r="N2231" s="1681"/>
      <c r="EW2231" s="2031"/>
      <c r="EX2231" s="1619"/>
      <c r="EY2231" s="1628"/>
      <c r="EZ2231" s="1628"/>
      <c r="FA2231" s="1628"/>
      <c r="FF2231" s="1864" t="s">
        <v>2501</v>
      </c>
      <c r="FH2231" s="1628"/>
      <c r="FU2231" s="1678"/>
      <c r="FW2231" s="1678"/>
    </row>
    <row r="2232" spans="1:179" s="1484" customFormat="1" ht="15" x14ac:dyDescent="0.25">
      <c r="A2232" s="2032"/>
      <c r="B2232" s="1631"/>
      <c r="C2232" s="2917" t="s">
        <v>2502</v>
      </c>
      <c r="D2232" s="2917"/>
      <c r="E2232" s="2917"/>
      <c r="F2232" s="2036"/>
      <c r="G2232" s="2037"/>
      <c r="H2232" s="2037"/>
      <c r="I2232" s="2037"/>
      <c r="J2232" s="2044">
        <v>284.17</v>
      </c>
      <c r="K2232" s="2037"/>
      <c r="L2232" s="2044">
        <v>14.22</v>
      </c>
      <c r="M2232" s="2037"/>
      <c r="N2232" s="2070">
        <v>480.62</v>
      </c>
      <c r="EW2232" s="2031"/>
      <c r="EX2232" s="1619"/>
      <c r="EY2232" s="1628"/>
      <c r="EZ2232" s="1628"/>
      <c r="FA2232" s="1628"/>
      <c r="FG2232" s="1864" t="s">
        <v>2502</v>
      </c>
      <c r="FH2232" s="1628"/>
      <c r="FU2232" s="1678"/>
      <c r="FW2232" s="1678"/>
    </row>
    <row r="2233" spans="1:179" s="1484" customFormat="1" ht="15" x14ac:dyDescent="0.25">
      <c r="A2233" s="2033" t="s">
        <v>8330</v>
      </c>
      <c r="B2233" s="1631"/>
      <c r="C2233" s="2805" t="s">
        <v>7964</v>
      </c>
      <c r="D2233" s="2805"/>
      <c r="E2233" s="2805"/>
      <c r="F2233" s="1683" t="s">
        <v>5928</v>
      </c>
      <c r="G2233" s="1641"/>
      <c r="H2233" s="1641"/>
      <c r="I2233" s="1641"/>
      <c r="J2233" s="1640"/>
      <c r="K2233" s="1641"/>
      <c r="L2233" s="1654">
        <v>0.02</v>
      </c>
      <c r="M2233" s="1641"/>
      <c r="N2233" s="2039">
        <v>0.72</v>
      </c>
      <c r="EW2233" s="2031"/>
      <c r="EX2233" s="1619"/>
      <c r="EY2233" s="1628"/>
      <c r="EZ2233" s="1628"/>
      <c r="FA2233" s="1628"/>
      <c r="FF2233" s="1864" t="s">
        <v>7964</v>
      </c>
      <c r="FH2233" s="1628"/>
      <c r="FU2233" s="1678"/>
      <c r="FW2233" s="1678"/>
    </row>
    <row r="2234" spans="1:179" s="1484" customFormat="1" ht="15" x14ac:dyDescent="0.25">
      <c r="A2234" s="2033"/>
      <c r="B2234" s="1631"/>
      <c r="C2234" s="2805" t="s">
        <v>7965</v>
      </c>
      <c r="D2234" s="2805"/>
      <c r="E2234" s="2805"/>
      <c r="F2234" s="1683" t="s">
        <v>5928</v>
      </c>
      <c r="G2234" s="1641"/>
      <c r="H2234" s="1641"/>
      <c r="I2234" s="1641"/>
      <c r="J2234" s="1654">
        <v>2.3199999999999998</v>
      </c>
      <c r="K2234" s="1655">
        <v>0.25</v>
      </c>
      <c r="L2234" s="1654">
        <v>0.02</v>
      </c>
      <c r="M2234" s="1655">
        <v>35.75</v>
      </c>
      <c r="N2234" s="2039">
        <v>0.72</v>
      </c>
      <c r="EW2234" s="2031"/>
      <c r="EX2234" s="1619"/>
      <c r="EY2234" s="1628"/>
      <c r="EZ2234" s="1628"/>
      <c r="FA2234" s="1628"/>
      <c r="FF2234" s="1864" t="s">
        <v>7965</v>
      </c>
      <c r="FH2234" s="1628"/>
      <c r="FU2234" s="1678"/>
      <c r="FW2234" s="1678"/>
    </row>
    <row r="2235" spans="1:179" s="1484" customFormat="1" ht="15" x14ac:dyDescent="0.25">
      <c r="A2235" s="2033"/>
      <c r="B2235" s="1631"/>
      <c r="C2235" s="2805" t="s">
        <v>867</v>
      </c>
      <c r="D2235" s="2805"/>
      <c r="E2235" s="2805"/>
      <c r="F2235" s="1683"/>
      <c r="G2235" s="1641"/>
      <c r="H2235" s="1641"/>
      <c r="I2235" s="1641"/>
      <c r="J2235" s="1640"/>
      <c r="K2235" s="1641"/>
      <c r="L2235" s="1654">
        <v>13.23</v>
      </c>
      <c r="M2235" s="1641"/>
      <c r="N2235" s="2039">
        <v>472.98</v>
      </c>
      <c r="EW2235" s="2031"/>
      <c r="EX2235" s="1619"/>
      <c r="EY2235" s="1628"/>
      <c r="EZ2235" s="1628"/>
      <c r="FA2235" s="1628"/>
      <c r="FF2235" s="1864" t="s">
        <v>867</v>
      </c>
      <c r="FH2235" s="1628"/>
      <c r="FU2235" s="1678"/>
      <c r="FW2235" s="1678"/>
    </row>
    <row r="2236" spans="1:179" s="1484" customFormat="1" ht="15" x14ac:dyDescent="0.25">
      <c r="A2236" s="2033"/>
      <c r="B2236" s="1631" t="s">
        <v>6071</v>
      </c>
      <c r="C2236" s="2805" t="s">
        <v>6072</v>
      </c>
      <c r="D2236" s="2805"/>
      <c r="E2236" s="2805"/>
      <c r="F2236" s="1683" t="s">
        <v>636</v>
      </c>
      <c r="G2236" s="2034">
        <v>147</v>
      </c>
      <c r="H2236" s="1641"/>
      <c r="I2236" s="2034">
        <v>147</v>
      </c>
      <c r="J2236" s="1640"/>
      <c r="K2236" s="1641"/>
      <c r="L2236" s="1654">
        <v>19.45</v>
      </c>
      <c r="M2236" s="1641"/>
      <c r="N2236" s="2039">
        <v>695.28</v>
      </c>
      <c r="EW2236" s="2031"/>
      <c r="EX2236" s="1619"/>
      <c r="EY2236" s="1628"/>
      <c r="EZ2236" s="1628"/>
      <c r="FA2236" s="1628"/>
      <c r="FF2236" s="1864" t="s">
        <v>6072</v>
      </c>
      <c r="FH2236" s="1628"/>
      <c r="FU2236" s="1678"/>
      <c r="FW2236" s="1678"/>
    </row>
    <row r="2237" spans="1:179" s="1484" customFormat="1" ht="15" x14ac:dyDescent="0.25">
      <c r="A2237" s="2033"/>
      <c r="B2237" s="1631" t="s">
        <v>6073</v>
      </c>
      <c r="C2237" s="2805" t="s">
        <v>6074</v>
      </c>
      <c r="D2237" s="2805"/>
      <c r="E2237" s="2805"/>
      <c r="F2237" s="1683" t="s">
        <v>636</v>
      </c>
      <c r="G2237" s="2034">
        <v>134</v>
      </c>
      <c r="H2237" s="1641"/>
      <c r="I2237" s="2034">
        <v>134</v>
      </c>
      <c r="J2237" s="1640"/>
      <c r="K2237" s="1641"/>
      <c r="L2237" s="1654">
        <v>17.73</v>
      </c>
      <c r="M2237" s="1641"/>
      <c r="N2237" s="2039">
        <v>633.79</v>
      </c>
      <c r="EW2237" s="2031"/>
      <c r="EX2237" s="1619"/>
      <c r="EY2237" s="1628"/>
      <c r="EZ2237" s="1628"/>
      <c r="FA2237" s="1628"/>
      <c r="FF2237" s="1864" t="s">
        <v>6074</v>
      </c>
      <c r="FH2237" s="1628"/>
      <c r="FU2237" s="1678"/>
      <c r="FW2237" s="1678"/>
    </row>
    <row r="2238" spans="1:179" s="1484" customFormat="1" ht="15" x14ac:dyDescent="0.25">
      <c r="A2238" s="1650"/>
      <c r="B2238" s="1651"/>
      <c r="C2238" s="2803" t="s">
        <v>872</v>
      </c>
      <c r="D2238" s="2803"/>
      <c r="E2238" s="2803"/>
      <c r="F2238" s="1621"/>
      <c r="G2238" s="1622"/>
      <c r="H2238" s="1622"/>
      <c r="I2238" s="1622"/>
      <c r="J2238" s="1625"/>
      <c r="K2238" s="1622"/>
      <c r="L2238" s="2040">
        <v>51.42</v>
      </c>
      <c r="M2238" s="2037"/>
      <c r="N2238" s="1649">
        <v>1810.41</v>
      </c>
      <c r="EW2238" s="2031"/>
      <c r="EX2238" s="1619"/>
      <c r="EY2238" s="1628"/>
      <c r="EZ2238" s="1628"/>
      <c r="FA2238" s="1628"/>
      <c r="FH2238" s="1628" t="s">
        <v>872</v>
      </c>
      <c r="FU2238" s="1678"/>
      <c r="FW2238" s="1678"/>
    </row>
    <row r="2239" spans="1:179" s="1484" customFormat="1" ht="33.75" x14ac:dyDescent="0.25">
      <c r="A2239" s="1620" t="s">
        <v>8331</v>
      </c>
      <c r="B2239" s="1863" t="s">
        <v>8310</v>
      </c>
      <c r="C2239" s="2803" t="s">
        <v>8311</v>
      </c>
      <c r="D2239" s="2803"/>
      <c r="E2239" s="2803"/>
      <c r="F2239" s="1621" t="s">
        <v>130</v>
      </c>
      <c r="G2239" s="1622">
        <v>44.88</v>
      </c>
      <c r="H2239" s="1623">
        <v>1</v>
      </c>
      <c r="I2239" s="1687">
        <v>44.88</v>
      </c>
      <c r="J2239" s="2040">
        <v>5.46</v>
      </c>
      <c r="K2239" s="1622"/>
      <c r="L2239" s="2040">
        <v>245.04</v>
      </c>
      <c r="M2239" s="1687">
        <v>9.14</v>
      </c>
      <c r="N2239" s="1649">
        <v>2239.67</v>
      </c>
      <c r="EW2239" s="2031"/>
      <c r="EX2239" s="1619"/>
      <c r="EY2239" s="1628" t="s">
        <v>8311</v>
      </c>
      <c r="EZ2239" s="1628" t="s">
        <v>588</v>
      </c>
      <c r="FA2239" s="1628" t="s">
        <v>588</v>
      </c>
      <c r="FH2239" s="1628"/>
      <c r="FU2239" s="1678"/>
      <c r="FW2239" s="1678"/>
    </row>
    <row r="2240" spans="1:179" s="1484" customFormat="1" ht="15" x14ac:dyDescent="0.25">
      <c r="A2240" s="1650"/>
      <c r="B2240" s="1651"/>
      <c r="C2240" s="2805" t="s">
        <v>6075</v>
      </c>
      <c r="D2240" s="2805"/>
      <c r="E2240" s="2805"/>
      <c r="F2240" s="2805"/>
      <c r="G2240" s="2805"/>
      <c r="H2240" s="2805"/>
      <c r="I2240" s="2805"/>
      <c r="J2240" s="2805"/>
      <c r="K2240" s="2805"/>
      <c r="L2240" s="2805"/>
      <c r="M2240" s="2805"/>
      <c r="N2240" s="2806"/>
      <c r="EW2240" s="2031"/>
      <c r="EX2240" s="1619"/>
      <c r="EY2240" s="1628"/>
      <c r="EZ2240" s="1628"/>
      <c r="FA2240" s="1628"/>
      <c r="FH2240" s="1628"/>
      <c r="FI2240" s="1864" t="s">
        <v>6075</v>
      </c>
      <c r="FJ2240" s="1864" t="s">
        <v>588</v>
      </c>
      <c r="FK2240" s="1864" t="s">
        <v>588</v>
      </c>
      <c r="FL2240" s="1864" t="s">
        <v>588</v>
      </c>
      <c r="FM2240" s="1864" t="s">
        <v>588</v>
      </c>
      <c r="FN2240" s="1864" t="s">
        <v>588</v>
      </c>
      <c r="FO2240" s="1864" t="s">
        <v>588</v>
      </c>
      <c r="FP2240" s="1864" t="s">
        <v>588</v>
      </c>
      <c r="FQ2240" s="1864" t="s">
        <v>588</v>
      </c>
      <c r="FR2240" s="1864" t="s">
        <v>588</v>
      </c>
      <c r="FS2240" s="1864" t="s">
        <v>588</v>
      </c>
      <c r="FT2240" s="1864" t="s">
        <v>588</v>
      </c>
      <c r="FU2240" s="1678"/>
      <c r="FW2240" s="1678"/>
    </row>
    <row r="2241" spans="1:179" s="1484" customFormat="1" ht="15" x14ac:dyDescent="0.25">
      <c r="A2241" s="1629"/>
      <c r="B2241" s="1862"/>
      <c r="C2241" s="2805" t="s">
        <v>8790</v>
      </c>
      <c r="D2241" s="2805"/>
      <c r="E2241" s="2805"/>
      <c r="F2241" s="2805"/>
      <c r="G2241" s="2805"/>
      <c r="H2241" s="2805"/>
      <c r="I2241" s="2805"/>
      <c r="J2241" s="2805"/>
      <c r="K2241" s="2805"/>
      <c r="L2241" s="2805"/>
      <c r="M2241" s="2805"/>
      <c r="N2241" s="2806"/>
      <c r="EW2241" s="2031"/>
      <c r="EX2241" s="1619"/>
      <c r="EY2241" s="1628"/>
      <c r="EZ2241" s="1628"/>
      <c r="FA2241" s="1628"/>
      <c r="FB2241" s="1864" t="s">
        <v>8790</v>
      </c>
      <c r="FH2241" s="1628"/>
      <c r="FU2241" s="1678"/>
      <c r="FW2241" s="1678"/>
    </row>
    <row r="2242" spans="1:179" s="1484" customFormat="1" ht="15" x14ac:dyDescent="0.25">
      <c r="A2242" s="1650"/>
      <c r="B2242" s="1651"/>
      <c r="C2242" s="2803" t="s">
        <v>872</v>
      </c>
      <c r="D2242" s="2803"/>
      <c r="E2242" s="2803"/>
      <c r="F2242" s="1621"/>
      <c r="G2242" s="1622"/>
      <c r="H2242" s="1622"/>
      <c r="I2242" s="1622"/>
      <c r="J2242" s="1625"/>
      <c r="K2242" s="1622"/>
      <c r="L2242" s="2040">
        <v>245.04</v>
      </c>
      <c r="M2242" s="2037"/>
      <c r="N2242" s="1649">
        <v>2239.67</v>
      </c>
      <c r="EW2242" s="2031"/>
      <c r="EX2242" s="1619"/>
      <c r="EY2242" s="1628"/>
      <c r="EZ2242" s="1628"/>
      <c r="FA2242" s="1628"/>
      <c r="FH2242" s="1628" t="s">
        <v>872</v>
      </c>
      <c r="FU2242" s="1678"/>
      <c r="FW2242" s="1678"/>
    </row>
    <row r="2243" spans="1:179" s="1484" customFormat="1" ht="22.5" x14ac:dyDescent="0.25">
      <c r="A2243" s="1620" t="s">
        <v>8332</v>
      </c>
      <c r="B2243" s="1863" t="s">
        <v>8139</v>
      </c>
      <c r="C2243" s="2803" t="s">
        <v>8140</v>
      </c>
      <c r="D2243" s="2803"/>
      <c r="E2243" s="2803"/>
      <c r="F2243" s="1621" t="s">
        <v>2555</v>
      </c>
      <c r="G2243" s="1622">
        <v>0.40799999999999997</v>
      </c>
      <c r="H2243" s="1623">
        <v>1</v>
      </c>
      <c r="I2243" s="2045">
        <v>0.40799999999999997</v>
      </c>
      <c r="J2243" s="1625"/>
      <c r="K2243" s="1622"/>
      <c r="L2243" s="1625"/>
      <c r="M2243" s="1622"/>
      <c r="N2243" s="1627"/>
      <c r="EW2243" s="2031"/>
      <c r="EX2243" s="1619"/>
      <c r="EY2243" s="1628" t="s">
        <v>8140</v>
      </c>
      <c r="EZ2243" s="1628" t="s">
        <v>588</v>
      </c>
      <c r="FA2243" s="1628" t="s">
        <v>588</v>
      </c>
      <c r="FH2243" s="1628"/>
      <c r="FU2243" s="1678"/>
      <c r="FW2243" s="1678"/>
    </row>
    <row r="2244" spans="1:179" s="1484" customFormat="1" ht="15" x14ac:dyDescent="0.25">
      <c r="A2244" s="1629"/>
      <c r="B2244" s="1862"/>
      <c r="C2244" s="2805" t="s">
        <v>8786</v>
      </c>
      <c r="D2244" s="2805"/>
      <c r="E2244" s="2805"/>
      <c r="F2244" s="2805"/>
      <c r="G2244" s="2805"/>
      <c r="H2244" s="2805"/>
      <c r="I2244" s="2805"/>
      <c r="J2244" s="2805"/>
      <c r="K2244" s="2805"/>
      <c r="L2244" s="2805"/>
      <c r="M2244" s="2805"/>
      <c r="N2244" s="2806"/>
      <c r="EW2244" s="2031"/>
      <c r="EX2244" s="1619"/>
      <c r="EY2244" s="1628"/>
      <c r="EZ2244" s="1628"/>
      <c r="FA2244" s="1628"/>
      <c r="FB2244" s="1864" t="s">
        <v>8786</v>
      </c>
      <c r="FH2244" s="1628"/>
      <c r="FU2244" s="1678"/>
      <c r="FW2244" s="1678"/>
    </row>
    <row r="2245" spans="1:179" s="1484" customFormat="1" ht="22.5" x14ac:dyDescent="0.25">
      <c r="A2245" s="1630"/>
      <c r="B2245" s="1631" t="s">
        <v>6062</v>
      </c>
      <c r="C2245" s="2809" t="s">
        <v>6063</v>
      </c>
      <c r="D2245" s="2809"/>
      <c r="E2245" s="2809"/>
      <c r="F2245" s="2809"/>
      <c r="G2245" s="2809"/>
      <c r="H2245" s="2809"/>
      <c r="I2245" s="2809"/>
      <c r="J2245" s="2809"/>
      <c r="K2245" s="2809"/>
      <c r="L2245" s="2809"/>
      <c r="M2245" s="2809"/>
      <c r="N2245" s="2810"/>
      <c r="EW2245" s="2031"/>
      <c r="EX2245" s="1619"/>
      <c r="EY2245" s="1628"/>
      <c r="EZ2245" s="1628"/>
      <c r="FA2245" s="1628"/>
      <c r="FC2245" s="1864" t="s">
        <v>6063</v>
      </c>
      <c r="FH2245" s="1628"/>
      <c r="FU2245" s="1678"/>
      <c r="FW2245" s="1678"/>
    </row>
    <row r="2246" spans="1:179" s="1484" customFormat="1" ht="22.5" x14ac:dyDescent="0.25">
      <c r="A2246" s="2033"/>
      <c r="B2246" s="1631" t="s">
        <v>8756</v>
      </c>
      <c r="C2246" s="2805" t="s">
        <v>8755</v>
      </c>
      <c r="D2246" s="2805"/>
      <c r="E2246" s="2805"/>
      <c r="F2246" s="1683" t="s">
        <v>807</v>
      </c>
      <c r="G2246" s="1953">
        <v>35.6</v>
      </c>
      <c r="H2246" s="1641"/>
      <c r="I2246" s="2035">
        <v>14.524800000000001</v>
      </c>
      <c r="J2246" s="1654">
        <v>7.94</v>
      </c>
      <c r="K2246" s="1655">
        <v>1.25</v>
      </c>
      <c r="L2246" s="1654">
        <v>144.16</v>
      </c>
      <c r="M2246" s="1641"/>
      <c r="N2246" s="1681"/>
      <c r="EW2246" s="2031"/>
      <c r="EX2246" s="1619"/>
      <c r="EY2246" s="1628"/>
      <c r="EZ2246" s="1628"/>
      <c r="FA2246" s="1628"/>
      <c r="FD2246" s="1864" t="s">
        <v>8755</v>
      </c>
      <c r="FH2246" s="1628"/>
      <c r="FU2246" s="1678"/>
      <c r="FW2246" s="1678"/>
    </row>
    <row r="2247" spans="1:179" s="1484" customFormat="1" ht="22.5" x14ac:dyDescent="0.25">
      <c r="A2247" s="2033"/>
      <c r="B2247" s="1631" t="s">
        <v>5010</v>
      </c>
      <c r="C2247" s="2805" t="s">
        <v>5011</v>
      </c>
      <c r="D2247" s="2805"/>
      <c r="E2247" s="2805"/>
      <c r="F2247" s="1683" t="s">
        <v>4994</v>
      </c>
      <c r="G2247" s="1655">
        <v>1.27</v>
      </c>
      <c r="H2247" s="1641"/>
      <c r="I2247" s="2042">
        <v>0.51815999999999995</v>
      </c>
      <c r="J2247" s="1654">
        <v>31.26</v>
      </c>
      <c r="K2247" s="1641"/>
      <c r="L2247" s="1654">
        <v>16.2</v>
      </c>
      <c r="M2247" s="1641"/>
      <c r="N2247" s="1681"/>
      <c r="EW2247" s="2031"/>
      <c r="EX2247" s="1619"/>
      <c r="EY2247" s="1628"/>
      <c r="EZ2247" s="1628"/>
      <c r="FA2247" s="1628"/>
      <c r="FD2247" s="1864" t="s">
        <v>5011</v>
      </c>
      <c r="FH2247" s="1628"/>
      <c r="FU2247" s="1678"/>
      <c r="FW2247" s="1678"/>
    </row>
    <row r="2248" spans="1:179" s="1484" customFormat="1" ht="15" x14ac:dyDescent="0.25">
      <c r="A2248" s="2033"/>
      <c r="B2248" s="1631" t="s">
        <v>5012</v>
      </c>
      <c r="C2248" s="2805" t="s">
        <v>5013</v>
      </c>
      <c r="D2248" s="2805"/>
      <c r="E2248" s="2805"/>
      <c r="F2248" s="1683" t="s">
        <v>4994</v>
      </c>
      <c r="G2248" s="1655">
        <v>7.82</v>
      </c>
      <c r="H2248" s="1641"/>
      <c r="I2248" s="2042">
        <v>3.1905600000000001</v>
      </c>
      <c r="J2248" s="1654">
        <v>0.5</v>
      </c>
      <c r="K2248" s="1641"/>
      <c r="L2248" s="1654">
        <v>1.6</v>
      </c>
      <c r="M2248" s="1641"/>
      <c r="N2248" s="1681"/>
      <c r="EW2248" s="2031"/>
      <c r="EX2248" s="1619"/>
      <c r="EY2248" s="1628"/>
      <c r="EZ2248" s="1628"/>
      <c r="FA2248" s="1628"/>
      <c r="FD2248" s="1864" t="s">
        <v>5013</v>
      </c>
      <c r="FH2248" s="1628"/>
      <c r="FU2248" s="1678"/>
      <c r="FW2248" s="1678"/>
    </row>
    <row r="2249" spans="1:179" s="1484" customFormat="1" ht="15" x14ac:dyDescent="0.25">
      <c r="A2249" s="2033"/>
      <c r="B2249" s="1631" t="s">
        <v>1755</v>
      </c>
      <c r="C2249" s="2805" t="s">
        <v>2634</v>
      </c>
      <c r="D2249" s="2805"/>
      <c r="E2249" s="2805"/>
      <c r="F2249" s="1683" t="s">
        <v>832</v>
      </c>
      <c r="G2249" s="1953">
        <v>3.5</v>
      </c>
      <c r="H2249" s="1641"/>
      <c r="I2249" s="2046">
        <v>1.4279999999999999</v>
      </c>
      <c r="J2249" s="1654">
        <v>2.44</v>
      </c>
      <c r="K2249" s="1641"/>
      <c r="L2249" s="1654">
        <v>3.48</v>
      </c>
      <c r="M2249" s="1641"/>
      <c r="N2249" s="1681"/>
      <c r="EW2249" s="2031"/>
      <c r="EX2249" s="1619"/>
      <c r="EY2249" s="1628"/>
      <c r="EZ2249" s="1628"/>
      <c r="FA2249" s="1628"/>
      <c r="FD2249" s="1864" t="s">
        <v>2634</v>
      </c>
      <c r="FH2249" s="1628"/>
      <c r="FU2249" s="1678"/>
      <c r="FW2249" s="1678"/>
    </row>
    <row r="2250" spans="1:179" s="1484" customFormat="1" ht="15" x14ac:dyDescent="0.25">
      <c r="A2250" s="2032"/>
      <c r="B2250" s="1631" t="s">
        <v>190</v>
      </c>
      <c r="C2250" s="2805" t="s">
        <v>2523</v>
      </c>
      <c r="D2250" s="2805"/>
      <c r="E2250" s="2805"/>
      <c r="F2250" s="1683"/>
      <c r="G2250" s="1641"/>
      <c r="H2250" s="1641"/>
      <c r="I2250" s="1641"/>
      <c r="J2250" s="1654">
        <v>282.66000000000003</v>
      </c>
      <c r="K2250" s="1655">
        <v>1.25</v>
      </c>
      <c r="L2250" s="1654">
        <v>144.16</v>
      </c>
      <c r="M2250" s="1655">
        <v>35.75</v>
      </c>
      <c r="N2250" s="1679">
        <v>5153.72</v>
      </c>
      <c r="EW2250" s="2031"/>
      <c r="EX2250" s="1619"/>
      <c r="EY2250" s="1628"/>
      <c r="EZ2250" s="1628"/>
      <c r="FA2250" s="1628"/>
      <c r="FE2250" s="1864" t="s">
        <v>2523</v>
      </c>
      <c r="FH2250" s="1628"/>
      <c r="FU2250" s="1678"/>
      <c r="FW2250" s="1678"/>
    </row>
    <row r="2251" spans="1:179" s="1484" customFormat="1" ht="15" x14ac:dyDescent="0.25">
      <c r="A2251" s="2032"/>
      <c r="B2251" s="1631" t="s">
        <v>639</v>
      </c>
      <c r="C2251" s="2805" t="s">
        <v>697</v>
      </c>
      <c r="D2251" s="2805"/>
      <c r="E2251" s="2805"/>
      <c r="F2251" s="1683"/>
      <c r="G2251" s="1641"/>
      <c r="H2251" s="1641"/>
      <c r="I2251" s="1641"/>
      <c r="J2251" s="1654">
        <v>43.61</v>
      </c>
      <c r="K2251" s="1641"/>
      <c r="L2251" s="1654">
        <v>17.79</v>
      </c>
      <c r="M2251" s="1655">
        <v>11.97</v>
      </c>
      <c r="N2251" s="2039">
        <v>212.95</v>
      </c>
      <c r="EW2251" s="2031"/>
      <c r="EX2251" s="1619"/>
      <c r="EY2251" s="1628"/>
      <c r="EZ2251" s="1628"/>
      <c r="FA2251" s="1628"/>
      <c r="FE2251" s="1864" t="s">
        <v>697</v>
      </c>
      <c r="FH2251" s="1628"/>
      <c r="FU2251" s="1678"/>
      <c r="FW2251" s="1678"/>
    </row>
    <row r="2252" spans="1:179" s="1484" customFormat="1" ht="15" x14ac:dyDescent="0.25">
      <c r="A2252" s="2032"/>
      <c r="B2252" s="1631" t="s">
        <v>640</v>
      </c>
      <c r="C2252" s="2805" t="s">
        <v>2500</v>
      </c>
      <c r="D2252" s="2805"/>
      <c r="E2252" s="2805"/>
      <c r="F2252" s="1683"/>
      <c r="G2252" s="1641"/>
      <c r="H2252" s="1641"/>
      <c r="I2252" s="1641"/>
      <c r="J2252" s="1654">
        <v>17.149999999999999</v>
      </c>
      <c r="K2252" s="1641"/>
      <c r="L2252" s="1654">
        <v>7</v>
      </c>
      <c r="M2252" s="1655">
        <v>35.75</v>
      </c>
      <c r="N2252" s="2039">
        <v>250.25</v>
      </c>
      <c r="EW2252" s="2031"/>
      <c r="EX2252" s="1619"/>
      <c r="EY2252" s="1628"/>
      <c r="EZ2252" s="1628"/>
      <c r="FA2252" s="1628"/>
      <c r="FE2252" s="1864" t="s">
        <v>2500</v>
      </c>
      <c r="FH2252" s="1628"/>
      <c r="FU2252" s="1678"/>
      <c r="FW2252" s="1678"/>
    </row>
    <row r="2253" spans="1:179" s="1484" customFormat="1" ht="15" x14ac:dyDescent="0.25">
      <c r="A2253" s="2032"/>
      <c r="B2253" s="1631" t="s">
        <v>232</v>
      </c>
      <c r="C2253" s="2805" t="s">
        <v>829</v>
      </c>
      <c r="D2253" s="2805"/>
      <c r="E2253" s="2805"/>
      <c r="F2253" s="1683"/>
      <c r="G2253" s="1641"/>
      <c r="H2253" s="1641"/>
      <c r="I2253" s="1641"/>
      <c r="J2253" s="1654">
        <v>8.5399999999999991</v>
      </c>
      <c r="K2253" s="1641"/>
      <c r="L2253" s="1654">
        <v>3.48</v>
      </c>
      <c r="M2253" s="1655">
        <v>9.14</v>
      </c>
      <c r="N2253" s="2039">
        <v>31.81</v>
      </c>
      <c r="EW2253" s="2031"/>
      <c r="EX2253" s="1619"/>
      <c r="EY2253" s="1628"/>
      <c r="EZ2253" s="1628"/>
      <c r="FA2253" s="1628"/>
      <c r="FE2253" s="1864" t="s">
        <v>829</v>
      </c>
      <c r="FH2253" s="1628"/>
      <c r="FU2253" s="1678"/>
      <c r="FW2253" s="1678"/>
    </row>
    <row r="2254" spans="1:179" s="1484" customFormat="1" ht="15" x14ac:dyDescent="0.25">
      <c r="A2254" s="2033"/>
      <c r="B2254" s="1631"/>
      <c r="C2254" s="2805" t="s">
        <v>2524</v>
      </c>
      <c r="D2254" s="2805"/>
      <c r="E2254" s="2805"/>
      <c r="F2254" s="1683" t="s">
        <v>807</v>
      </c>
      <c r="G2254" s="1953">
        <v>35.6</v>
      </c>
      <c r="H2254" s="1641"/>
      <c r="I2254" s="2035">
        <v>14.524800000000001</v>
      </c>
      <c r="J2254" s="1640"/>
      <c r="K2254" s="1641"/>
      <c r="L2254" s="1640"/>
      <c r="M2254" s="1641"/>
      <c r="N2254" s="1681"/>
      <c r="EW2254" s="2031"/>
      <c r="EX2254" s="1619"/>
      <c r="EY2254" s="1628"/>
      <c r="EZ2254" s="1628"/>
      <c r="FA2254" s="1628"/>
      <c r="FF2254" s="1864" t="s">
        <v>2524</v>
      </c>
      <c r="FH2254" s="1628"/>
      <c r="FU2254" s="1678"/>
      <c r="FW2254" s="1678"/>
    </row>
    <row r="2255" spans="1:179" s="1484" customFormat="1" ht="15" x14ac:dyDescent="0.25">
      <c r="A2255" s="2033"/>
      <c r="B2255" s="1631"/>
      <c r="C2255" s="2805" t="s">
        <v>2501</v>
      </c>
      <c r="D2255" s="2805"/>
      <c r="E2255" s="2805"/>
      <c r="F2255" s="1683" t="s">
        <v>807</v>
      </c>
      <c r="G2255" s="1655">
        <v>1.27</v>
      </c>
      <c r="H2255" s="1641"/>
      <c r="I2255" s="2042">
        <v>0.51815999999999995</v>
      </c>
      <c r="J2255" s="1640"/>
      <c r="K2255" s="1641"/>
      <c r="L2255" s="1640"/>
      <c r="M2255" s="1641"/>
      <c r="N2255" s="1681"/>
      <c r="EW2255" s="2031"/>
      <c r="EX2255" s="1619"/>
      <c r="EY2255" s="1628"/>
      <c r="EZ2255" s="1628"/>
      <c r="FA2255" s="1628"/>
      <c r="FF2255" s="1864" t="s">
        <v>2501</v>
      </c>
      <c r="FH2255" s="1628"/>
      <c r="FU2255" s="1678"/>
      <c r="FW2255" s="1678"/>
    </row>
    <row r="2256" spans="1:179" s="1484" customFormat="1" ht="15" x14ac:dyDescent="0.25">
      <c r="A2256" s="2032"/>
      <c r="B2256" s="1631"/>
      <c r="C2256" s="2917" t="s">
        <v>2502</v>
      </c>
      <c r="D2256" s="2917"/>
      <c r="E2256" s="2917"/>
      <c r="F2256" s="2036"/>
      <c r="G2256" s="2037"/>
      <c r="H2256" s="2037"/>
      <c r="I2256" s="2037"/>
      <c r="J2256" s="2044">
        <v>334.81</v>
      </c>
      <c r="K2256" s="2037"/>
      <c r="L2256" s="2044">
        <v>165.43</v>
      </c>
      <c r="M2256" s="2037"/>
      <c r="N2256" s="2068">
        <v>5398.48</v>
      </c>
      <c r="EW2256" s="2031"/>
      <c r="EX2256" s="1619"/>
      <c r="EY2256" s="1628"/>
      <c r="EZ2256" s="1628"/>
      <c r="FA2256" s="1628"/>
      <c r="FG2256" s="1864" t="s">
        <v>2502</v>
      </c>
      <c r="FH2256" s="1628"/>
      <c r="FU2256" s="1678"/>
      <c r="FW2256" s="1678"/>
    </row>
    <row r="2257" spans="1:179" s="1484" customFormat="1" ht="15" x14ac:dyDescent="0.25">
      <c r="A2257" s="2033" t="s">
        <v>8333</v>
      </c>
      <c r="B2257" s="1631"/>
      <c r="C2257" s="2805" t="s">
        <v>7964</v>
      </c>
      <c r="D2257" s="2805"/>
      <c r="E2257" s="2805"/>
      <c r="F2257" s="1683" t="s">
        <v>5928</v>
      </c>
      <c r="G2257" s="1641"/>
      <c r="H2257" s="1641"/>
      <c r="I2257" s="1641"/>
      <c r="J2257" s="1640"/>
      <c r="K2257" s="1641"/>
      <c r="L2257" s="1654">
        <v>1.75</v>
      </c>
      <c r="M2257" s="1641"/>
      <c r="N2257" s="2039">
        <v>62.56</v>
      </c>
      <c r="EW2257" s="2031"/>
      <c r="EX2257" s="1619"/>
      <c r="EY2257" s="1628"/>
      <c r="EZ2257" s="1628"/>
      <c r="FA2257" s="1628"/>
      <c r="FF2257" s="1864" t="s">
        <v>7964</v>
      </c>
      <c r="FH2257" s="1628"/>
      <c r="FU2257" s="1678"/>
      <c r="FW2257" s="1678"/>
    </row>
    <row r="2258" spans="1:179" s="1484" customFormat="1" ht="15" x14ac:dyDescent="0.25">
      <c r="A2258" s="2033"/>
      <c r="B2258" s="1631"/>
      <c r="C2258" s="2805" t="s">
        <v>7965</v>
      </c>
      <c r="D2258" s="2805"/>
      <c r="E2258" s="2805"/>
      <c r="F2258" s="1683" t="s">
        <v>5928</v>
      </c>
      <c r="G2258" s="1641"/>
      <c r="H2258" s="1641"/>
      <c r="I2258" s="1641"/>
      <c r="J2258" s="1654">
        <v>17.149999999999999</v>
      </c>
      <c r="K2258" s="1655">
        <v>0.25</v>
      </c>
      <c r="L2258" s="1654">
        <v>1.75</v>
      </c>
      <c r="M2258" s="1655">
        <v>35.75</v>
      </c>
      <c r="N2258" s="2039">
        <v>62.56</v>
      </c>
      <c r="EW2258" s="2031"/>
      <c r="EX2258" s="1619"/>
      <c r="EY2258" s="1628"/>
      <c r="EZ2258" s="1628"/>
      <c r="FA2258" s="1628"/>
      <c r="FF2258" s="1864" t="s">
        <v>7965</v>
      </c>
      <c r="FH2258" s="1628"/>
      <c r="FU2258" s="1678"/>
      <c r="FW2258" s="1678"/>
    </row>
    <row r="2259" spans="1:179" s="1484" customFormat="1" ht="15" x14ac:dyDescent="0.25">
      <c r="A2259" s="2033"/>
      <c r="B2259" s="1631"/>
      <c r="C2259" s="2805" t="s">
        <v>867</v>
      </c>
      <c r="D2259" s="2805"/>
      <c r="E2259" s="2805"/>
      <c r="F2259" s="1683"/>
      <c r="G2259" s="1641"/>
      <c r="H2259" s="1641"/>
      <c r="I2259" s="1641"/>
      <c r="J2259" s="1640"/>
      <c r="K2259" s="1641"/>
      <c r="L2259" s="1654">
        <v>152.91</v>
      </c>
      <c r="M2259" s="1641"/>
      <c r="N2259" s="1679">
        <v>5466.53</v>
      </c>
      <c r="EW2259" s="2031"/>
      <c r="EX2259" s="1619"/>
      <c r="EY2259" s="1628"/>
      <c r="EZ2259" s="1628"/>
      <c r="FA2259" s="1628"/>
      <c r="FF2259" s="1864" t="s">
        <v>867</v>
      </c>
      <c r="FH2259" s="1628"/>
      <c r="FU2259" s="1678"/>
      <c r="FW2259" s="1678"/>
    </row>
    <row r="2260" spans="1:179" s="1484" customFormat="1" ht="15" x14ac:dyDescent="0.25">
      <c r="A2260" s="2033"/>
      <c r="B2260" s="1631" t="s">
        <v>8054</v>
      </c>
      <c r="C2260" s="2805" t="s">
        <v>8055</v>
      </c>
      <c r="D2260" s="2805"/>
      <c r="E2260" s="2805"/>
      <c r="F2260" s="1683" t="s">
        <v>636</v>
      </c>
      <c r="G2260" s="2034">
        <v>112</v>
      </c>
      <c r="H2260" s="1641"/>
      <c r="I2260" s="2034">
        <v>112</v>
      </c>
      <c r="J2260" s="1640"/>
      <c r="K2260" s="1641"/>
      <c r="L2260" s="1654">
        <v>171.26</v>
      </c>
      <c r="M2260" s="1641"/>
      <c r="N2260" s="1679">
        <v>6122.51</v>
      </c>
      <c r="EW2260" s="2031"/>
      <c r="EX2260" s="1619"/>
      <c r="EY2260" s="1628"/>
      <c r="EZ2260" s="1628"/>
      <c r="FA2260" s="1628"/>
      <c r="FF2260" s="1864" t="s">
        <v>8055</v>
      </c>
      <c r="FH2260" s="1628"/>
      <c r="FU2260" s="1678"/>
      <c r="FW2260" s="1678"/>
    </row>
    <row r="2261" spans="1:179" s="1484" customFormat="1" ht="15" x14ac:dyDescent="0.25">
      <c r="A2261" s="2033"/>
      <c r="B2261" s="1631" t="s">
        <v>8056</v>
      </c>
      <c r="C2261" s="2805" t="s">
        <v>8057</v>
      </c>
      <c r="D2261" s="2805"/>
      <c r="E2261" s="2805"/>
      <c r="F2261" s="1683" t="s">
        <v>636</v>
      </c>
      <c r="G2261" s="2034">
        <v>65</v>
      </c>
      <c r="H2261" s="1641"/>
      <c r="I2261" s="2034">
        <v>65</v>
      </c>
      <c r="J2261" s="1640"/>
      <c r="K2261" s="1641"/>
      <c r="L2261" s="1654">
        <v>99.39</v>
      </c>
      <c r="M2261" s="1641"/>
      <c r="N2261" s="1679">
        <v>3553.24</v>
      </c>
      <c r="EW2261" s="2031"/>
      <c r="EX2261" s="1619"/>
      <c r="EY2261" s="1628"/>
      <c r="EZ2261" s="1628"/>
      <c r="FA2261" s="1628"/>
      <c r="FF2261" s="1864" t="s">
        <v>8057</v>
      </c>
      <c r="FH2261" s="1628"/>
      <c r="FU2261" s="1678"/>
      <c r="FW2261" s="1678"/>
    </row>
    <row r="2262" spans="1:179" s="1484" customFormat="1" ht="15" x14ac:dyDescent="0.25">
      <c r="A2262" s="1650"/>
      <c r="B2262" s="1651"/>
      <c r="C2262" s="2803" t="s">
        <v>872</v>
      </c>
      <c r="D2262" s="2803"/>
      <c r="E2262" s="2803"/>
      <c r="F2262" s="1621"/>
      <c r="G2262" s="1622"/>
      <c r="H2262" s="1622"/>
      <c r="I2262" s="1622"/>
      <c r="J2262" s="1625"/>
      <c r="K2262" s="1622"/>
      <c r="L2262" s="2040">
        <v>437.83</v>
      </c>
      <c r="M2262" s="2037"/>
      <c r="N2262" s="1649">
        <v>15136.79</v>
      </c>
      <c r="EW2262" s="2031"/>
      <c r="EX2262" s="1619"/>
      <c r="EY2262" s="1628"/>
      <c r="EZ2262" s="1628"/>
      <c r="FA2262" s="1628"/>
      <c r="FH2262" s="1628" t="s">
        <v>872</v>
      </c>
      <c r="FU2262" s="1678"/>
      <c r="FW2262" s="1678"/>
    </row>
    <row r="2263" spans="1:179" s="1484" customFormat="1" ht="22.5" x14ac:dyDescent="0.25">
      <c r="A2263" s="1620" t="s">
        <v>8334</v>
      </c>
      <c r="B2263" s="1863" t="s">
        <v>8291</v>
      </c>
      <c r="C2263" s="2803" t="s">
        <v>4935</v>
      </c>
      <c r="D2263" s="2803"/>
      <c r="E2263" s="2803"/>
      <c r="F2263" s="1621" t="s">
        <v>832</v>
      </c>
      <c r="G2263" s="1622">
        <v>0.83231999999999995</v>
      </c>
      <c r="H2263" s="1623">
        <v>1</v>
      </c>
      <c r="I2263" s="2048">
        <v>0.83231999999999995</v>
      </c>
      <c r="J2263" s="2040">
        <v>548.29999999999995</v>
      </c>
      <c r="K2263" s="1622"/>
      <c r="L2263" s="2040">
        <v>456.36</v>
      </c>
      <c r="M2263" s="1687">
        <v>9.14</v>
      </c>
      <c r="N2263" s="1649">
        <v>4171.13</v>
      </c>
      <c r="EW2263" s="2031"/>
      <c r="EX2263" s="1619"/>
      <c r="EY2263" s="1628" t="s">
        <v>4935</v>
      </c>
      <c r="EZ2263" s="1628" t="s">
        <v>588</v>
      </c>
      <c r="FA2263" s="1628" t="s">
        <v>588</v>
      </c>
      <c r="FH2263" s="1628"/>
      <c r="FU2263" s="1678"/>
      <c r="FW2263" s="1678"/>
    </row>
    <row r="2264" spans="1:179" s="1484" customFormat="1" ht="15" x14ac:dyDescent="0.25">
      <c r="A2264" s="1650"/>
      <c r="B2264" s="1651"/>
      <c r="C2264" s="2805" t="s">
        <v>8640</v>
      </c>
      <c r="D2264" s="2805"/>
      <c r="E2264" s="2805"/>
      <c r="F2264" s="2805"/>
      <c r="G2264" s="2805"/>
      <c r="H2264" s="2805"/>
      <c r="I2264" s="2805"/>
      <c r="J2264" s="2805"/>
      <c r="K2264" s="2805"/>
      <c r="L2264" s="2805"/>
      <c r="M2264" s="2805"/>
      <c r="N2264" s="2806"/>
      <c r="EW2264" s="2031"/>
      <c r="EX2264" s="1619"/>
      <c r="EY2264" s="1628"/>
      <c r="EZ2264" s="1628"/>
      <c r="FA2264" s="1628"/>
      <c r="FH2264" s="1628"/>
      <c r="FI2264" s="1864" t="s">
        <v>8640</v>
      </c>
      <c r="FJ2264" s="1864" t="s">
        <v>588</v>
      </c>
      <c r="FK2264" s="1864" t="s">
        <v>588</v>
      </c>
      <c r="FL2264" s="1864" t="s">
        <v>588</v>
      </c>
      <c r="FM2264" s="1864" t="s">
        <v>588</v>
      </c>
      <c r="FN2264" s="1864" t="s">
        <v>588</v>
      </c>
      <c r="FO2264" s="1864" t="s">
        <v>588</v>
      </c>
      <c r="FP2264" s="1864" t="s">
        <v>588</v>
      </c>
      <c r="FQ2264" s="1864" t="s">
        <v>588</v>
      </c>
      <c r="FR2264" s="1864" t="s">
        <v>588</v>
      </c>
      <c r="FS2264" s="1864" t="s">
        <v>588</v>
      </c>
      <c r="FT2264" s="1864" t="s">
        <v>588</v>
      </c>
      <c r="FU2264" s="1678"/>
      <c r="FW2264" s="1678"/>
    </row>
    <row r="2265" spans="1:179" s="1484" customFormat="1" ht="15" x14ac:dyDescent="0.25">
      <c r="A2265" s="1629"/>
      <c r="B2265" s="1862"/>
      <c r="C2265" s="2805" t="s">
        <v>8789</v>
      </c>
      <c r="D2265" s="2805"/>
      <c r="E2265" s="2805"/>
      <c r="F2265" s="2805"/>
      <c r="G2265" s="2805"/>
      <c r="H2265" s="2805"/>
      <c r="I2265" s="2805"/>
      <c r="J2265" s="2805"/>
      <c r="K2265" s="2805"/>
      <c r="L2265" s="2805"/>
      <c r="M2265" s="2805"/>
      <c r="N2265" s="2806"/>
      <c r="EW2265" s="2031"/>
      <c r="EX2265" s="1619"/>
      <c r="EY2265" s="1628"/>
      <c r="EZ2265" s="1628"/>
      <c r="FA2265" s="1628"/>
      <c r="FB2265" s="1864" t="s">
        <v>8789</v>
      </c>
      <c r="FH2265" s="1628"/>
      <c r="FU2265" s="1678"/>
      <c r="FW2265" s="1678"/>
    </row>
    <row r="2266" spans="1:179" s="1484" customFormat="1" ht="15" x14ac:dyDescent="0.25">
      <c r="A2266" s="1650"/>
      <c r="B2266" s="1651"/>
      <c r="C2266" s="2803" t="s">
        <v>872</v>
      </c>
      <c r="D2266" s="2803"/>
      <c r="E2266" s="2803"/>
      <c r="F2266" s="1621"/>
      <c r="G2266" s="1622"/>
      <c r="H2266" s="1622"/>
      <c r="I2266" s="1622"/>
      <c r="J2266" s="1625"/>
      <c r="K2266" s="1622"/>
      <c r="L2266" s="2040">
        <v>456.36</v>
      </c>
      <c r="M2266" s="2037"/>
      <c r="N2266" s="1649">
        <v>4171.13</v>
      </c>
      <c r="EW2266" s="2031"/>
      <c r="EX2266" s="1619"/>
      <c r="EY2266" s="1628"/>
      <c r="EZ2266" s="1628"/>
      <c r="FA2266" s="1628"/>
      <c r="FH2266" s="1628" t="s">
        <v>872</v>
      </c>
      <c r="FU2266" s="1678"/>
      <c r="FW2266" s="1678"/>
    </row>
    <row r="2267" spans="1:179" s="1484" customFormat="1" ht="33.75" x14ac:dyDescent="0.25">
      <c r="A2267" s="1620" t="s">
        <v>8335</v>
      </c>
      <c r="B2267" s="1863" t="s">
        <v>8788</v>
      </c>
      <c r="C2267" s="2803" t="s">
        <v>8141</v>
      </c>
      <c r="D2267" s="2803"/>
      <c r="E2267" s="2803"/>
      <c r="F2267" s="1621" t="s">
        <v>2555</v>
      </c>
      <c r="G2267" s="1622">
        <v>0.40799999999999997</v>
      </c>
      <c r="H2267" s="1623">
        <v>1</v>
      </c>
      <c r="I2267" s="2045">
        <v>0.40799999999999997</v>
      </c>
      <c r="J2267" s="1625"/>
      <c r="K2267" s="1622"/>
      <c r="L2267" s="1625"/>
      <c r="M2267" s="1622"/>
      <c r="N2267" s="1627"/>
      <c r="EW2267" s="2031"/>
      <c r="EX2267" s="1619"/>
      <c r="EY2267" s="1628" t="s">
        <v>8141</v>
      </c>
      <c r="EZ2267" s="1628" t="s">
        <v>588</v>
      </c>
      <c r="FA2267" s="1628" t="s">
        <v>588</v>
      </c>
      <c r="FH2267" s="1628"/>
      <c r="FU2267" s="1678"/>
      <c r="FW2267" s="1678"/>
    </row>
    <row r="2268" spans="1:179" s="1484" customFormat="1" ht="15" x14ac:dyDescent="0.25">
      <c r="A2268" s="1629"/>
      <c r="B2268" s="1862"/>
      <c r="C2268" s="2805" t="s">
        <v>8786</v>
      </c>
      <c r="D2268" s="2805"/>
      <c r="E2268" s="2805"/>
      <c r="F2268" s="2805"/>
      <c r="G2268" s="2805"/>
      <c r="H2268" s="2805"/>
      <c r="I2268" s="2805"/>
      <c r="J2268" s="2805"/>
      <c r="K2268" s="2805"/>
      <c r="L2268" s="2805"/>
      <c r="M2268" s="2805"/>
      <c r="N2268" s="2806"/>
      <c r="EW2268" s="2031"/>
      <c r="EX2268" s="1619"/>
      <c r="EY2268" s="1628"/>
      <c r="EZ2268" s="1628"/>
      <c r="FA2268" s="1628"/>
      <c r="FB2268" s="1864" t="s">
        <v>8786</v>
      </c>
      <c r="FH2268" s="1628"/>
      <c r="FU2268" s="1678"/>
      <c r="FW2268" s="1678"/>
    </row>
    <row r="2269" spans="1:179" s="1484" customFormat="1" ht="22.5" x14ac:dyDescent="0.25">
      <c r="A2269" s="1630"/>
      <c r="B2269" s="1631" t="s">
        <v>6062</v>
      </c>
      <c r="C2269" s="2809" t="s">
        <v>6063</v>
      </c>
      <c r="D2269" s="2809"/>
      <c r="E2269" s="2809"/>
      <c r="F2269" s="2809"/>
      <c r="G2269" s="2809"/>
      <c r="H2269" s="2809"/>
      <c r="I2269" s="2809"/>
      <c r="J2269" s="2809"/>
      <c r="K2269" s="2809"/>
      <c r="L2269" s="2809"/>
      <c r="M2269" s="2809"/>
      <c r="N2269" s="2810"/>
      <c r="EW2269" s="2031"/>
      <c r="EX2269" s="1619"/>
      <c r="EY2269" s="1628"/>
      <c r="EZ2269" s="1628"/>
      <c r="FA2269" s="1628"/>
      <c r="FC2269" s="1864" t="s">
        <v>6063</v>
      </c>
      <c r="FH2269" s="1628"/>
      <c r="FU2269" s="1678"/>
      <c r="FW2269" s="1678"/>
    </row>
    <row r="2270" spans="1:179" s="1484" customFormat="1" ht="15" x14ac:dyDescent="0.25">
      <c r="A2270" s="1630"/>
      <c r="B2270" s="1631" t="s">
        <v>8142</v>
      </c>
      <c r="C2270" s="2809" t="s">
        <v>8336</v>
      </c>
      <c r="D2270" s="2809"/>
      <c r="E2270" s="2809"/>
      <c r="F2270" s="2809"/>
      <c r="G2270" s="2809"/>
      <c r="H2270" s="2809"/>
      <c r="I2270" s="2809"/>
      <c r="J2270" s="2809"/>
      <c r="K2270" s="2809"/>
      <c r="L2270" s="2809"/>
      <c r="M2270" s="2809"/>
      <c r="N2270" s="2810"/>
      <c r="EW2270" s="2031"/>
      <c r="EX2270" s="1619"/>
      <c r="EY2270" s="1628"/>
      <c r="EZ2270" s="1628"/>
      <c r="FA2270" s="1628"/>
      <c r="FC2270" s="1864" t="s">
        <v>8336</v>
      </c>
      <c r="FH2270" s="1628"/>
      <c r="FU2270" s="1678"/>
      <c r="FW2270" s="1678"/>
    </row>
    <row r="2271" spans="1:179" s="1484" customFormat="1" ht="22.5" x14ac:dyDescent="0.25">
      <c r="A2271" s="2033"/>
      <c r="B2271" s="1631" t="s">
        <v>8756</v>
      </c>
      <c r="C2271" s="2805" t="s">
        <v>8755</v>
      </c>
      <c r="D2271" s="2805"/>
      <c r="E2271" s="2805"/>
      <c r="F2271" s="1683" t="s">
        <v>807</v>
      </c>
      <c r="G2271" s="1655">
        <v>0.44</v>
      </c>
      <c r="H2271" s="2034">
        <v>2</v>
      </c>
      <c r="I2271" s="2042">
        <v>0.35904000000000003</v>
      </c>
      <c r="J2271" s="1654">
        <v>7.94</v>
      </c>
      <c r="K2271" s="1655">
        <v>1.25</v>
      </c>
      <c r="L2271" s="1654">
        <v>3.56</v>
      </c>
      <c r="M2271" s="1641"/>
      <c r="N2271" s="1681"/>
      <c r="EW2271" s="2031"/>
      <c r="EX2271" s="1619"/>
      <c r="EY2271" s="1628"/>
      <c r="EZ2271" s="1628"/>
      <c r="FA2271" s="1628"/>
      <c r="FD2271" s="1864" t="s">
        <v>8755</v>
      </c>
      <c r="FH2271" s="1628"/>
      <c r="FU2271" s="1678"/>
      <c r="FW2271" s="1678"/>
    </row>
    <row r="2272" spans="1:179" s="1484" customFormat="1" ht="22.5" x14ac:dyDescent="0.25">
      <c r="A2272" s="2033"/>
      <c r="B2272" s="1631" t="s">
        <v>5010</v>
      </c>
      <c r="C2272" s="2805" t="s">
        <v>5011</v>
      </c>
      <c r="D2272" s="2805"/>
      <c r="E2272" s="2805"/>
      <c r="F2272" s="1683" t="s">
        <v>4994</v>
      </c>
      <c r="G2272" s="1655">
        <v>0.21</v>
      </c>
      <c r="H2272" s="2034">
        <v>2</v>
      </c>
      <c r="I2272" s="2042">
        <v>0.17136000000000001</v>
      </c>
      <c r="J2272" s="1654">
        <v>31.26</v>
      </c>
      <c r="K2272" s="1641"/>
      <c r="L2272" s="1654">
        <v>5.36</v>
      </c>
      <c r="M2272" s="1641"/>
      <c r="N2272" s="1681"/>
      <c r="EW2272" s="2031"/>
      <c r="EX2272" s="1619"/>
      <c r="EY2272" s="1628"/>
      <c r="EZ2272" s="1628"/>
      <c r="FA2272" s="1628"/>
      <c r="FD2272" s="1864" t="s">
        <v>5011</v>
      </c>
      <c r="FH2272" s="1628"/>
      <c r="FU2272" s="1678"/>
      <c r="FW2272" s="1678"/>
    </row>
    <row r="2273" spans="1:179" s="1484" customFormat="1" ht="15" x14ac:dyDescent="0.25">
      <c r="A2273" s="2033"/>
      <c r="B2273" s="1631" t="s">
        <v>5012</v>
      </c>
      <c r="C2273" s="2805" t="s">
        <v>5013</v>
      </c>
      <c r="D2273" s="2805"/>
      <c r="E2273" s="2805"/>
      <c r="F2273" s="1683" t="s">
        <v>4994</v>
      </c>
      <c r="G2273" s="2034">
        <v>2</v>
      </c>
      <c r="H2273" s="2034">
        <v>2</v>
      </c>
      <c r="I2273" s="2046">
        <v>1.6319999999999999</v>
      </c>
      <c r="J2273" s="1654">
        <v>0.5</v>
      </c>
      <c r="K2273" s="1641"/>
      <c r="L2273" s="1654">
        <v>0.82</v>
      </c>
      <c r="M2273" s="1641"/>
      <c r="N2273" s="1681"/>
      <c r="EW2273" s="2031"/>
      <c r="EX2273" s="1619"/>
      <c r="EY2273" s="1628"/>
      <c r="EZ2273" s="1628"/>
      <c r="FA2273" s="1628"/>
      <c r="FD2273" s="1864" t="s">
        <v>5013</v>
      </c>
      <c r="FH2273" s="1628"/>
      <c r="FU2273" s="1678"/>
      <c r="FW2273" s="1678"/>
    </row>
    <row r="2274" spans="1:179" s="1484" customFormat="1" ht="15" x14ac:dyDescent="0.25">
      <c r="A2274" s="2032"/>
      <c r="B2274" s="1631" t="s">
        <v>190</v>
      </c>
      <c r="C2274" s="2805" t="s">
        <v>2523</v>
      </c>
      <c r="D2274" s="2805"/>
      <c r="E2274" s="2805"/>
      <c r="F2274" s="1683"/>
      <c r="G2274" s="1641"/>
      <c r="H2274" s="1641"/>
      <c r="I2274" s="1641"/>
      <c r="J2274" s="1654">
        <v>3.49</v>
      </c>
      <c r="K2274" s="1953">
        <v>2.5</v>
      </c>
      <c r="L2274" s="1654">
        <v>3.56</v>
      </c>
      <c r="M2274" s="1655">
        <v>35.75</v>
      </c>
      <c r="N2274" s="2039">
        <v>127.27</v>
      </c>
      <c r="EW2274" s="2031"/>
      <c r="EX2274" s="1619"/>
      <c r="EY2274" s="1628"/>
      <c r="EZ2274" s="1628"/>
      <c r="FA2274" s="1628"/>
      <c r="FE2274" s="1864" t="s">
        <v>2523</v>
      </c>
      <c r="FH2274" s="1628"/>
      <c r="FU2274" s="1678"/>
      <c r="FW2274" s="1678"/>
    </row>
    <row r="2275" spans="1:179" s="1484" customFormat="1" ht="15" x14ac:dyDescent="0.25">
      <c r="A2275" s="2032"/>
      <c r="B2275" s="1631" t="s">
        <v>639</v>
      </c>
      <c r="C2275" s="2805" t="s">
        <v>697</v>
      </c>
      <c r="D2275" s="2805"/>
      <c r="E2275" s="2805"/>
      <c r="F2275" s="1683"/>
      <c r="G2275" s="1641"/>
      <c r="H2275" s="1641"/>
      <c r="I2275" s="1641"/>
      <c r="J2275" s="1654">
        <v>7.56</v>
      </c>
      <c r="K2275" s="2034">
        <v>2</v>
      </c>
      <c r="L2275" s="1654">
        <v>6.17</v>
      </c>
      <c r="M2275" s="1655">
        <v>11.97</v>
      </c>
      <c r="N2275" s="2039">
        <v>73.849999999999994</v>
      </c>
      <c r="EW2275" s="2031"/>
      <c r="EX2275" s="1619"/>
      <c r="EY2275" s="1628"/>
      <c r="EZ2275" s="1628"/>
      <c r="FA2275" s="1628"/>
      <c r="FE2275" s="1864" t="s">
        <v>697</v>
      </c>
      <c r="FH2275" s="1628"/>
      <c r="FU2275" s="1678"/>
      <c r="FW2275" s="1678"/>
    </row>
    <row r="2276" spans="1:179" s="1484" customFormat="1" ht="15" x14ac:dyDescent="0.25">
      <c r="A2276" s="2032"/>
      <c r="B2276" s="1631" t="s">
        <v>640</v>
      </c>
      <c r="C2276" s="2805" t="s">
        <v>2500</v>
      </c>
      <c r="D2276" s="2805"/>
      <c r="E2276" s="2805"/>
      <c r="F2276" s="1683"/>
      <c r="G2276" s="1641"/>
      <c r="H2276" s="1641"/>
      <c r="I2276" s="1641"/>
      <c r="J2276" s="1654">
        <v>2.84</v>
      </c>
      <c r="K2276" s="2034">
        <v>2</v>
      </c>
      <c r="L2276" s="1654">
        <v>2.3199999999999998</v>
      </c>
      <c r="M2276" s="1655">
        <v>35.75</v>
      </c>
      <c r="N2276" s="2039">
        <v>82.94</v>
      </c>
      <c r="EW2276" s="2031"/>
      <c r="EX2276" s="1619"/>
      <c r="EY2276" s="1628"/>
      <c r="EZ2276" s="1628"/>
      <c r="FA2276" s="1628"/>
      <c r="FE2276" s="1864" t="s">
        <v>2500</v>
      </c>
      <c r="FH2276" s="1628"/>
      <c r="FU2276" s="1678"/>
      <c r="FW2276" s="1678"/>
    </row>
    <row r="2277" spans="1:179" s="1484" customFormat="1" ht="15" x14ac:dyDescent="0.25">
      <c r="A2277" s="2033"/>
      <c r="B2277" s="1631"/>
      <c r="C2277" s="2805" t="s">
        <v>2524</v>
      </c>
      <c r="D2277" s="2805"/>
      <c r="E2277" s="2805"/>
      <c r="F2277" s="1683" t="s">
        <v>807</v>
      </c>
      <c r="G2277" s="1655">
        <v>0.44</v>
      </c>
      <c r="H2277" s="2034">
        <v>2</v>
      </c>
      <c r="I2277" s="2042">
        <v>0.35904000000000003</v>
      </c>
      <c r="J2277" s="1640"/>
      <c r="K2277" s="1641"/>
      <c r="L2277" s="1640"/>
      <c r="M2277" s="1641"/>
      <c r="N2277" s="1681"/>
      <c r="EW2277" s="2031"/>
      <c r="EX2277" s="1619"/>
      <c r="EY2277" s="1628"/>
      <c r="EZ2277" s="1628"/>
      <c r="FA2277" s="1628"/>
      <c r="FF2277" s="1864" t="s">
        <v>2524</v>
      </c>
      <c r="FH2277" s="1628"/>
      <c r="FU2277" s="1678"/>
      <c r="FW2277" s="1678"/>
    </row>
    <row r="2278" spans="1:179" s="1484" customFormat="1" ht="15" x14ac:dyDescent="0.25">
      <c r="A2278" s="2033"/>
      <c r="B2278" s="1631"/>
      <c r="C2278" s="2805" t="s">
        <v>2501</v>
      </c>
      <c r="D2278" s="2805"/>
      <c r="E2278" s="2805"/>
      <c r="F2278" s="1683" t="s">
        <v>807</v>
      </c>
      <c r="G2278" s="1655">
        <v>0.21</v>
      </c>
      <c r="H2278" s="2034">
        <v>2</v>
      </c>
      <c r="I2278" s="2042">
        <v>0.17136000000000001</v>
      </c>
      <c r="J2278" s="1640"/>
      <c r="K2278" s="1641"/>
      <c r="L2278" s="1640"/>
      <c r="M2278" s="1641"/>
      <c r="N2278" s="1681"/>
      <c r="EW2278" s="2031"/>
      <c r="EX2278" s="1619"/>
      <c r="EY2278" s="1628"/>
      <c r="EZ2278" s="1628"/>
      <c r="FA2278" s="1628"/>
      <c r="FF2278" s="1864" t="s">
        <v>2501</v>
      </c>
      <c r="FH2278" s="1628"/>
      <c r="FU2278" s="1678"/>
      <c r="FW2278" s="1678"/>
    </row>
    <row r="2279" spans="1:179" s="1484" customFormat="1" ht="15" x14ac:dyDescent="0.25">
      <c r="A2279" s="2032"/>
      <c r="B2279" s="1631"/>
      <c r="C2279" s="2917" t="s">
        <v>2502</v>
      </c>
      <c r="D2279" s="2917"/>
      <c r="E2279" s="2917"/>
      <c r="F2279" s="2036"/>
      <c r="G2279" s="2037"/>
      <c r="H2279" s="2037"/>
      <c r="I2279" s="2037"/>
      <c r="J2279" s="2044">
        <v>11.05</v>
      </c>
      <c r="K2279" s="2037"/>
      <c r="L2279" s="2044">
        <v>9.73</v>
      </c>
      <c r="M2279" s="2037"/>
      <c r="N2279" s="2070">
        <v>201.12</v>
      </c>
      <c r="EW2279" s="2031"/>
      <c r="EX2279" s="1619"/>
      <c r="EY2279" s="1628"/>
      <c r="EZ2279" s="1628"/>
      <c r="FA2279" s="1628"/>
      <c r="FG2279" s="1864" t="s">
        <v>2502</v>
      </c>
      <c r="FH2279" s="1628"/>
      <c r="FU2279" s="1678"/>
      <c r="FW2279" s="1678"/>
    </row>
    <row r="2280" spans="1:179" s="1484" customFormat="1" ht="15" x14ac:dyDescent="0.25">
      <c r="A2280" s="2033" t="s">
        <v>8337</v>
      </c>
      <c r="B2280" s="1631"/>
      <c r="C2280" s="2805" t="s">
        <v>7964</v>
      </c>
      <c r="D2280" s="2805"/>
      <c r="E2280" s="2805"/>
      <c r="F2280" s="1683" t="s">
        <v>5928</v>
      </c>
      <c r="G2280" s="1641"/>
      <c r="H2280" s="1641"/>
      <c r="I2280" s="1641"/>
      <c r="J2280" s="1640"/>
      <c r="K2280" s="1641"/>
      <c r="L2280" s="1654">
        <v>0.57999999999999996</v>
      </c>
      <c r="M2280" s="1641"/>
      <c r="N2280" s="2039">
        <v>20.74</v>
      </c>
      <c r="EW2280" s="2031"/>
      <c r="EX2280" s="1619"/>
      <c r="EY2280" s="1628"/>
      <c r="EZ2280" s="1628"/>
      <c r="FA2280" s="1628"/>
      <c r="FF2280" s="1864" t="s">
        <v>7964</v>
      </c>
      <c r="FH2280" s="1628"/>
      <c r="FU2280" s="1678"/>
      <c r="FW2280" s="1678"/>
    </row>
    <row r="2281" spans="1:179" s="1484" customFormat="1" ht="15" x14ac:dyDescent="0.25">
      <c r="A2281" s="2033"/>
      <c r="B2281" s="1631"/>
      <c r="C2281" s="2805" t="s">
        <v>7965</v>
      </c>
      <c r="D2281" s="2805"/>
      <c r="E2281" s="2805"/>
      <c r="F2281" s="1683" t="s">
        <v>5928</v>
      </c>
      <c r="G2281" s="1641"/>
      <c r="H2281" s="1641"/>
      <c r="I2281" s="1641"/>
      <c r="J2281" s="1654">
        <v>2.84</v>
      </c>
      <c r="K2281" s="1953">
        <v>0.5</v>
      </c>
      <c r="L2281" s="1654">
        <v>0.57999999999999996</v>
      </c>
      <c r="M2281" s="1655">
        <v>35.75</v>
      </c>
      <c r="N2281" s="2039">
        <v>20.74</v>
      </c>
      <c r="EW2281" s="2031"/>
      <c r="EX2281" s="1619"/>
      <c r="EY2281" s="1628"/>
      <c r="EZ2281" s="1628"/>
      <c r="FA2281" s="1628"/>
      <c r="FF2281" s="1864" t="s">
        <v>7965</v>
      </c>
      <c r="FH2281" s="1628"/>
      <c r="FU2281" s="1678"/>
      <c r="FW2281" s="1678"/>
    </row>
    <row r="2282" spans="1:179" s="1484" customFormat="1" ht="15" x14ac:dyDescent="0.25">
      <c r="A2282" s="2033"/>
      <c r="B2282" s="1631"/>
      <c r="C2282" s="2805" t="s">
        <v>867</v>
      </c>
      <c r="D2282" s="2805"/>
      <c r="E2282" s="2805"/>
      <c r="F2282" s="1683"/>
      <c r="G2282" s="1641"/>
      <c r="H2282" s="1641"/>
      <c r="I2282" s="1641"/>
      <c r="J2282" s="1640"/>
      <c r="K2282" s="1641"/>
      <c r="L2282" s="1654">
        <v>6.46</v>
      </c>
      <c r="M2282" s="1641"/>
      <c r="N2282" s="2039">
        <v>230.95</v>
      </c>
      <c r="EW2282" s="2031"/>
      <c r="EX2282" s="1619"/>
      <c r="EY2282" s="1628"/>
      <c r="EZ2282" s="1628"/>
      <c r="FA2282" s="1628"/>
      <c r="FF2282" s="1864" t="s">
        <v>867</v>
      </c>
      <c r="FH2282" s="1628"/>
      <c r="FU2282" s="1678"/>
      <c r="FW2282" s="1678"/>
    </row>
    <row r="2283" spans="1:179" s="1484" customFormat="1" ht="15" x14ac:dyDescent="0.25">
      <c r="A2283" s="2033"/>
      <c r="B2283" s="1631" t="s">
        <v>8054</v>
      </c>
      <c r="C2283" s="2805" t="s">
        <v>8055</v>
      </c>
      <c r="D2283" s="2805"/>
      <c r="E2283" s="2805"/>
      <c r="F2283" s="1683" t="s">
        <v>636</v>
      </c>
      <c r="G2283" s="2034">
        <v>112</v>
      </c>
      <c r="H2283" s="1641"/>
      <c r="I2283" s="2034">
        <v>112</v>
      </c>
      <c r="J2283" s="1640"/>
      <c r="K2283" s="1641"/>
      <c r="L2283" s="1654">
        <v>7.24</v>
      </c>
      <c r="M2283" s="1641"/>
      <c r="N2283" s="2039">
        <v>258.66000000000003</v>
      </c>
      <c r="EW2283" s="2031"/>
      <c r="EX2283" s="1619"/>
      <c r="EY2283" s="1628"/>
      <c r="EZ2283" s="1628"/>
      <c r="FA2283" s="1628"/>
      <c r="FF2283" s="1864" t="s">
        <v>8055</v>
      </c>
      <c r="FH2283" s="1628"/>
      <c r="FU2283" s="1678"/>
      <c r="FW2283" s="1678"/>
    </row>
    <row r="2284" spans="1:179" s="1484" customFormat="1" ht="15" x14ac:dyDescent="0.25">
      <c r="A2284" s="2033"/>
      <c r="B2284" s="1631" t="s">
        <v>8056</v>
      </c>
      <c r="C2284" s="2805" t="s">
        <v>8057</v>
      </c>
      <c r="D2284" s="2805"/>
      <c r="E2284" s="2805"/>
      <c r="F2284" s="1683" t="s">
        <v>636</v>
      </c>
      <c r="G2284" s="2034">
        <v>65</v>
      </c>
      <c r="H2284" s="1641"/>
      <c r="I2284" s="2034">
        <v>65</v>
      </c>
      <c r="J2284" s="1640"/>
      <c r="K2284" s="1641"/>
      <c r="L2284" s="1654">
        <v>4.2</v>
      </c>
      <c r="M2284" s="1641"/>
      <c r="N2284" s="2039">
        <v>150.12</v>
      </c>
      <c r="EW2284" s="2031"/>
      <c r="EX2284" s="1619"/>
      <c r="EY2284" s="1628"/>
      <c r="EZ2284" s="1628"/>
      <c r="FA2284" s="1628"/>
      <c r="FF2284" s="1864" t="s">
        <v>8057</v>
      </c>
      <c r="FH2284" s="1628"/>
      <c r="FU2284" s="1678"/>
      <c r="FW2284" s="1678"/>
    </row>
    <row r="2285" spans="1:179" s="1484" customFormat="1" ht="15" x14ac:dyDescent="0.25">
      <c r="A2285" s="1650"/>
      <c r="B2285" s="1651"/>
      <c r="C2285" s="2803" t="s">
        <v>872</v>
      </c>
      <c r="D2285" s="2803"/>
      <c r="E2285" s="2803"/>
      <c r="F2285" s="1621"/>
      <c r="G2285" s="1622"/>
      <c r="H2285" s="1622"/>
      <c r="I2285" s="1622"/>
      <c r="J2285" s="1625"/>
      <c r="K2285" s="1622"/>
      <c r="L2285" s="2040">
        <v>21.75</v>
      </c>
      <c r="M2285" s="2037"/>
      <c r="N2285" s="2069">
        <v>630.64</v>
      </c>
      <c r="EW2285" s="2031"/>
      <c r="EX2285" s="1619"/>
      <c r="EY2285" s="1628"/>
      <c r="EZ2285" s="1628"/>
      <c r="FA2285" s="1628"/>
      <c r="FH2285" s="1628" t="s">
        <v>872</v>
      </c>
      <c r="FU2285" s="1678"/>
      <c r="FW2285" s="1678"/>
    </row>
    <row r="2286" spans="1:179" s="1484" customFormat="1" ht="22.5" x14ac:dyDescent="0.25">
      <c r="A2286" s="1620" t="s">
        <v>8338</v>
      </c>
      <c r="B2286" s="1863" t="s">
        <v>8291</v>
      </c>
      <c r="C2286" s="2803" t="s">
        <v>4935</v>
      </c>
      <c r="D2286" s="2803"/>
      <c r="E2286" s="2803"/>
      <c r="F2286" s="1621" t="s">
        <v>832</v>
      </c>
      <c r="G2286" s="1622">
        <v>0.41615999999999997</v>
      </c>
      <c r="H2286" s="1623">
        <v>1</v>
      </c>
      <c r="I2286" s="2048">
        <v>0.41615999999999997</v>
      </c>
      <c r="J2286" s="2040">
        <v>548.29999999999995</v>
      </c>
      <c r="K2286" s="1622"/>
      <c r="L2286" s="2040">
        <v>228.18</v>
      </c>
      <c r="M2286" s="1687">
        <v>9.14</v>
      </c>
      <c r="N2286" s="1649">
        <v>2085.5700000000002</v>
      </c>
      <c r="EW2286" s="2031"/>
      <c r="EX2286" s="1619"/>
      <c r="EY2286" s="1628" t="s">
        <v>4935</v>
      </c>
      <c r="EZ2286" s="1628" t="s">
        <v>588</v>
      </c>
      <c r="FA2286" s="1628" t="s">
        <v>588</v>
      </c>
      <c r="FH2286" s="1628"/>
      <c r="FU2286" s="1678"/>
      <c r="FW2286" s="1678"/>
    </row>
    <row r="2287" spans="1:179" s="1484" customFormat="1" ht="15" x14ac:dyDescent="0.25">
      <c r="A2287" s="1650"/>
      <c r="B2287" s="1651"/>
      <c r="C2287" s="2805" t="s">
        <v>8640</v>
      </c>
      <c r="D2287" s="2805"/>
      <c r="E2287" s="2805"/>
      <c r="F2287" s="2805"/>
      <c r="G2287" s="2805"/>
      <c r="H2287" s="2805"/>
      <c r="I2287" s="2805"/>
      <c r="J2287" s="2805"/>
      <c r="K2287" s="2805"/>
      <c r="L2287" s="2805"/>
      <c r="M2287" s="2805"/>
      <c r="N2287" s="2806"/>
      <c r="EW2287" s="2031"/>
      <c r="EX2287" s="1619"/>
      <c r="EY2287" s="1628"/>
      <c r="EZ2287" s="1628"/>
      <c r="FA2287" s="1628"/>
      <c r="FH2287" s="1628"/>
      <c r="FI2287" s="1864" t="s">
        <v>8640</v>
      </c>
      <c r="FJ2287" s="1864" t="s">
        <v>588</v>
      </c>
      <c r="FK2287" s="1864" t="s">
        <v>588</v>
      </c>
      <c r="FL2287" s="1864" t="s">
        <v>588</v>
      </c>
      <c r="FM2287" s="1864" t="s">
        <v>588</v>
      </c>
      <c r="FN2287" s="1864" t="s">
        <v>588</v>
      </c>
      <c r="FO2287" s="1864" t="s">
        <v>588</v>
      </c>
      <c r="FP2287" s="1864" t="s">
        <v>588</v>
      </c>
      <c r="FQ2287" s="1864" t="s">
        <v>588</v>
      </c>
      <c r="FR2287" s="1864" t="s">
        <v>588</v>
      </c>
      <c r="FS2287" s="1864" t="s">
        <v>588</v>
      </c>
      <c r="FT2287" s="1864" t="s">
        <v>588</v>
      </c>
      <c r="FU2287" s="1678"/>
      <c r="FW2287" s="1678"/>
    </row>
    <row r="2288" spans="1:179" s="1484" customFormat="1" ht="15" x14ac:dyDescent="0.25">
      <c r="A2288" s="1629"/>
      <c r="B2288" s="1862"/>
      <c r="C2288" s="2805" t="s">
        <v>8787</v>
      </c>
      <c r="D2288" s="2805"/>
      <c r="E2288" s="2805"/>
      <c r="F2288" s="2805"/>
      <c r="G2288" s="2805"/>
      <c r="H2288" s="2805"/>
      <c r="I2288" s="2805"/>
      <c r="J2288" s="2805"/>
      <c r="K2288" s="2805"/>
      <c r="L2288" s="2805"/>
      <c r="M2288" s="2805"/>
      <c r="N2288" s="2806"/>
      <c r="EW2288" s="2031"/>
      <c r="EX2288" s="1619"/>
      <c r="EY2288" s="1628"/>
      <c r="EZ2288" s="1628"/>
      <c r="FA2288" s="1628"/>
      <c r="FB2288" s="1864" t="s">
        <v>8787</v>
      </c>
      <c r="FH2288" s="1628"/>
      <c r="FU2288" s="1678"/>
      <c r="FW2288" s="1678"/>
    </row>
    <row r="2289" spans="1:179" s="1484" customFormat="1" ht="15" x14ac:dyDescent="0.25">
      <c r="A2289" s="1650"/>
      <c r="B2289" s="1651"/>
      <c r="C2289" s="2803" t="s">
        <v>872</v>
      </c>
      <c r="D2289" s="2803"/>
      <c r="E2289" s="2803"/>
      <c r="F2289" s="1621"/>
      <c r="G2289" s="1622"/>
      <c r="H2289" s="1622"/>
      <c r="I2289" s="1622"/>
      <c r="J2289" s="1625"/>
      <c r="K2289" s="1622"/>
      <c r="L2289" s="2040">
        <v>228.18</v>
      </c>
      <c r="M2289" s="2037"/>
      <c r="N2289" s="1649">
        <v>2085.5700000000002</v>
      </c>
      <c r="EW2289" s="2031"/>
      <c r="EX2289" s="1619"/>
      <c r="EY2289" s="1628"/>
      <c r="EZ2289" s="1628"/>
      <c r="FA2289" s="1628"/>
      <c r="FH2289" s="1628" t="s">
        <v>872</v>
      </c>
      <c r="FU2289" s="1678"/>
      <c r="FW2289" s="1678"/>
    </row>
    <row r="2290" spans="1:179" s="1484" customFormat="1" ht="22.5" x14ac:dyDescent="0.25">
      <c r="A2290" s="1620" t="s">
        <v>8339</v>
      </c>
      <c r="B2290" s="1863" t="s">
        <v>8340</v>
      </c>
      <c r="C2290" s="2803" t="s">
        <v>8341</v>
      </c>
      <c r="D2290" s="2803"/>
      <c r="E2290" s="2803"/>
      <c r="F2290" s="1621" t="s">
        <v>2555</v>
      </c>
      <c r="G2290" s="1622">
        <v>0.40799999999999997</v>
      </c>
      <c r="H2290" s="1623">
        <v>1</v>
      </c>
      <c r="I2290" s="2045">
        <v>0.40799999999999997</v>
      </c>
      <c r="J2290" s="1625"/>
      <c r="K2290" s="1622"/>
      <c r="L2290" s="1625"/>
      <c r="M2290" s="1622"/>
      <c r="N2290" s="1627"/>
      <c r="EW2290" s="2031"/>
      <c r="EX2290" s="1619"/>
      <c r="EY2290" s="1628" t="s">
        <v>8341</v>
      </c>
      <c r="EZ2290" s="1628" t="s">
        <v>588</v>
      </c>
      <c r="FA2290" s="1628" t="s">
        <v>588</v>
      </c>
      <c r="FH2290" s="1628"/>
      <c r="FU2290" s="1678"/>
      <c r="FW2290" s="1678"/>
    </row>
    <row r="2291" spans="1:179" s="1484" customFormat="1" ht="15" x14ac:dyDescent="0.25">
      <c r="A2291" s="1629"/>
      <c r="B2291" s="1862"/>
      <c r="C2291" s="2805" t="s">
        <v>8786</v>
      </c>
      <c r="D2291" s="2805"/>
      <c r="E2291" s="2805"/>
      <c r="F2291" s="2805"/>
      <c r="G2291" s="2805"/>
      <c r="H2291" s="2805"/>
      <c r="I2291" s="2805"/>
      <c r="J2291" s="2805"/>
      <c r="K2291" s="2805"/>
      <c r="L2291" s="2805"/>
      <c r="M2291" s="2805"/>
      <c r="N2291" s="2806"/>
      <c r="EW2291" s="2031"/>
      <c r="EX2291" s="1619"/>
      <c r="EY2291" s="1628"/>
      <c r="EZ2291" s="1628"/>
      <c r="FA2291" s="1628"/>
      <c r="FB2291" s="1864" t="s">
        <v>8786</v>
      </c>
      <c r="FH2291" s="1628"/>
      <c r="FU2291" s="1678"/>
      <c r="FW2291" s="1678"/>
    </row>
    <row r="2292" spans="1:179" s="1484" customFormat="1" ht="22.5" x14ac:dyDescent="0.25">
      <c r="A2292" s="1630"/>
      <c r="B2292" s="1631" t="s">
        <v>6062</v>
      </c>
      <c r="C2292" s="2809" t="s">
        <v>6063</v>
      </c>
      <c r="D2292" s="2809"/>
      <c r="E2292" s="2809"/>
      <c r="F2292" s="2809"/>
      <c r="G2292" s="2809"/>
      <c r="H2292" s="2809"/>
      <c r="I2292" s="2809"/>
      <c r="J2292" s="2809"/>
      <c r="K2292" s="2809"/>
      <c r="L2292" s="2809"/>
      <c r="M2292" s="2809"/>
      <c r="N2292" s="2810"/>
      <c r="EW2292" s="2031"/>
      <c r="EX2292" s="1619"/>
      <c r="EY2292" s="1628"/>
      <c r="EZ2292" s="1628"/>
      <c r="FA2292" s="1628"/>
      <c r="FC2292" s="1864" t="s">
        <v>6063</v>
      </c>
      <c r="FH2292" s="1628"/>
      <c r="FU2292" s="1678"/>
      <c r="FW2292" s="1678"/>
    </row>
    <row r="2293" spans="1:179" s="1484" customFormat="1" ht="22.5" x14ac:dyDescent="0.25">
      <c r="A2293" s="2033"/>
      <c r="B2293" s="1631" t="s">
        <v>1657</v>
      </c>
      <c r="C2293" s="2805" t="s">
        <v>8785</v>
      </c>
      <c r="D2293" s="2805"/>
      <c r="E2293" s="2805"/>
      <c r="F2293" s="1683" t="s">
        <v>807</v>
      </c>
      <c r="G2293" s="1953">
        <v>42.4</v>
      </c>
      <c r="H2293" s="1641"/>
      <c r="I2293" s="2035">
        <v>17.299199999999999</v>
      </c>
      <c r="J2293" s="1654">
        <v>8.17</v>
      </c>
      <c r="K2293" s="1655">
        <v>1.25</v>
      </c>
      <c r="L2293" s="1654">
        <v>176.67</v>
      </c>
      <c r="M2293" s="1641"/>
      <c r="N2293" s="1681"/>
      <c r="EW2293" s="2031"/>
      <c r="EX2293" s="1619"/>
      <c r="EY2293" s="1628"/>
      <c r="EZ2293" s="1628"/>
      <c r="FA2293" s="1628"/>
      <c r="FD2293" s="1864" t="s">
        <v>8785</v>
      </c>
      <c r="FH2293" s="1628"/>
      <c r="FU2293" s="1678"/>
      <c r="FW2293" s="1678"/>
    </row>
    <row r="2294" spans="1:179" s="1484" customFormat="1" ht="22.5" x14ac:dyDescent="0.25">
      <c r="A2294" s="2033"/>
      <c r="B2294" s="1631" t="s">
        <v>817</v>
      </c>
      <c r="C2294" s="2805" t="s">
        <v>818</v>
      </c>
      <c r="D2294" s="2805"/>
      <c r="E2294" s="2805"/>
      <c r="F2294" s="1683" t="s">
        <v>4994</v>
      </c>
      <c r="G2294" s="1655">
        <v>0.38</v>
      </c>
      <c r="H2294" s="1641"/>
      <c r="I2294" s="2042">
        <v>0.15504000000000001</v>
      </c>
      <c r="J2294" s="1654">
        <v>115.4</v>
      </c>
      <c r="K2294" s="1641"/>
      <c r="L2294" s="1654">
        <v>17.89</v>
      </c>
      <c r="M2294" s="1641"/>
      <c r="N2294" s="1681"/>
      <c r="EW2294" s="2031"/>
      <c r="EX2294" s="1619"/>
      <c r="EY2294" s="1628"/>
      <c r="EZ2294" s="1628"/>
      <c r="FA2294" s="1628"/>
      <c r="FD2294" s="1864" t="s">
        <v>818</v>
      </c>
      <c r="FH2294" s="1628"/>
      <c r="FU2294" s="1678"/>
      <c r="FW2294" s="1678"/>
    </row>
    <row r="2295" spans="1:179" s="1484" customFormat="1" ht="15" x14ac:dyDescent="0.25">
      <c r="A2295" s="2033"/>
      <c r="B2295" s="1631" t="s">
        <v>1741</v>
      </c>
      <c r="C2295" s="2805" t="s">
        <v>8697</v>
      </c>
      <c r="D2295" s="2805"/>
      <c r="E2295" s="2805"/>
      <c r="F2295" s="1683" t="s">
        <v>4994</v>
      </c>
      <c r="G2295" s="2046">
        <v>8.9999999999999993E-3</v>
      </c>
      <c r="H2295" s="1641"/>
      <c r="I2295" s="2043">
        <v>3.6719999999999999E-3</v>
      </c>
      <c r="J2295" s="1654">
        <v>89.99</v>
      </c>
      <c r="K2295" s="1641"/>
      <c r="L2295" s="1654">
        <v>0.33</v>
      </c>
      <c r="M2295" s="1641"/>
      <c r="N2295" s="1681"/>
      <c r="EW2295" s="2031"/>
      <c r="EX2295" s="1619"/>
      <c r="EY2295" s="1628"/>
      <c r="EZ2295" s="1628"/>
      <c r="FA2295" s="1628"/>
      <c r="FD2295" s="1864" t="s">
        <v>8697</v>
      </c>
      <c r="FH2295" s="1628"/>
      <c r="FU2295" s="1678"/>
      <c r="FW2295" s="1678"/>
    </row>
    <row r="2296" spans="1:179" s="1484" customFormat="1" ht="15" x14ac:dyDescent="0.25">
      <c r="A2296" s="2033"/>
      <c r="B2296" s="1631" t="s">
        <v>5020</v>
      </c>
      <c r="C2296" s="2805" t="s">
        <v>5021</v>
      </c>
      <c r="D2296" s="2805"/>
      <c r="E2296" s="2805"/>
      <c r="F2296" s="1683" t="s">
        <v>4994</v>
      </c>
      <c r="G2296" s="1953">
        <v>4.7</v>
      </c>
      <c r="H2296" s="1641"/>
      <c r="I2296" s="2035">
        <v>1.9176</v>
      </c>
      <c r="J2296" s="1654">
        <v>60</v>
      </c>
      <c r="K2296" s="1641"/>
      <c r="L2296" s="1654">
        <v>115.06</v>
      </c>
      <c r="M2296" s="1641"/>
      <c r="N2296" s="1681"/>
      <c r="EW2296" s="2031"/>
      <c r="EX2296" s="1619"/>
      <c r="EY2296" s="1628"/>
      <c r="EZ2296" s="1628"/>
      <c r="FA2296" s="1628"/>
      <c r="FD2296" s="1864" t="s">
        <v>5021</v>
      </c>
      <c r="FH2296" s="1628"/>
      <c r="FU2296" s="1678"/>
      <c r="FW2296" s="1678"/>
    </row>
    <row r="2297" spans="1:179" s="1484" customFormat="1" ht="15" x14ac:dyDescent="0.25">
      <c r="A2297" s="2033"/>
      <c r="B2297" s="1631" t="s">
        <v>821</v>
      </c>
      <c r="C2297" s="2805" t="s">
        <v>822</v>
      </c>
      <c r="D2297" s="2805"/>
      <c r="E2297" s="2805"/>
      <c r="F2297" s="1683" t="s">
        <v>4994</v>
      </c>
      <c r="G2297" s="1655">
        <v>0.51</v>
      </c>
      <c r="H2297" s="1641"/>
      <c r="I2297" s="2042">
        <v>0.20807999999999999</v>
      </c>
      <c r="J2297" s="1654">
        <v>65.709999999999994</v>
      </c>
      <c r="K2297" s="1641"/>
      <c r="L2297" s="1654">
        <v>13.67</v>
      </c>
      <c r="M2297" s="1641"/>
      <c r="N2297" s="1681"/>
      <c r="EW2297" s="2031"/>
      <c r="EX2297" s="1619"/>
      <c r="EY2297" s="1628"/>
      <c r="EZ2297" s="1628"/>
      <c r="FA2297" s="1628"/>
      <c r="FD2297" s="1864" t="s">
        <v>822</v>
      </c>
      <c r="FH2297" s="1628"/>
      <c r="FU2297" s="1678"/>
      <c r="FW2297" s="1678"/>
    </row>
    <row r="2298" spans="1:179" s="1484" customFormat="1" ht="15" x14ac:dyDescent="0.25">
      <c r="A2298" s="2033"/>
      <c r="B2298" s="1631" t="s">
        <v>8695</v>
      </c>
      <c r="C2298" s="2805" t="s">
        <v>2538</v>
      </c>
      <c r="D2298" s="2805"/>
      <c r="E2298" s="2805"/>
      <c r="F2298" s="1683" t="s">
        <v>832</v>
      </c>
      <c r="G2298" s="1655">
        <v>0.05</v>
      </c>
      <c r="H2298" s="1641"/>
      <c r="I2298" s="2035">
        <v>2.0400000000000001E-2</v>
      </c>
      <c r="J2298" s="1654">
        <v>59.99</v>
      </c>
      <c r="K2298" s="1641"/>
      <c r="L2298" s="1654">
        <v>1.22</v>
      </c>
      <c r="M2298" s="1641"/>
      <c r="N2298" s="1681"/>
      <c r="EW2298" s="2031"/>
      <c r="EX2298" s="1619"/>
      <c r="EY2298" s="1628"/>
      <c r="EZ2298" s="1628"/>
      <c r="FA2298" s="1628"/>
      <c r="FD2298" s="1864" t="s">
        <v>2538</v>
      </c>
      <c r="FH2298" s="1628"/>
      <c r="FU2298" s="1678"/>
      <c r="FW2298" s="1678"/>
    </row>
    <row r="2299" spans="1:179" s="1484" customFormat="1" ht="15" x14ac:dyDescent="0.25">
      <c r="A2299" s="2032"/>
      <c r="B2299" s="1631" t="s">
        <v>190</v>
      </c>
      <c r="C2299" s="2805" t="s">
        <v>2523</v>
      </c>
      <c r="D2299" s="2805"/>
      <c r="E2299" s="2805"/>
      <c r="F2299" s="1683"/>
      <c r="G2299" s="1641"/>
      <c r="H2299" s="1641"/>
      <c r="I2299" s="1641"/>
      <c r="J2299" s="1654">
        <v>346.41</v>
      </c>
      <c r="K2299" s="1655">
        <v>1.25</v>
      </c>
      <c r="L2299" s="1654">
        <v>176.67</v>
      </c>
      <c r="M2299" s="1655">
        <v>35.75</v>
      </c>
      <c r="N2299" s="1679">
        <v>6315.95</v>
      </c>
      <c r="EW2299" s="2031"/>
      <c r="EX2299" s="1619"/>
      <c r="EY2299" s="1628"/>
      <c r="EZ2299" s="1628"/>
      <c r="FA2299" s="1628"/>
      <c r="FE2299" s="1864" t="s">
        <v>2523</v>
      </c>
      <c r="FH2299" s="1628"/>
      <c r="FU2299" s="1678"/>
      <c r="FW2299" s="1678"/>
    </row>
    <row r="2300" spans="1:179" s="1484" customFormat="1" ht="15" x14ac:dyDescent="0.25">
      <c r="A2300" s="2032"/>
      <c r="B2300" s="1631" t="s">
        <v>639</v>
      </c>
      <c r="C2300" s="2805" t="s">
        <v>697</v>
      </c>
      <c r="D2300" s="2805"/>
      <c r="E2300" s="2805"/>
      <c r="F2300" s="1683"/>
      <c r="G2300" s="1641"/>
      <c r="H2300" s="1641"/>
      <c r="I2300" s="1641"/>
      <c r="J2300" s="1654">
        <v>360.17</v>
      </c>
      <c r="K2300" s="1641"/>
      <c r="L2300" s="1654">
        <v>146.94999999999999</v>
      </c>
      <c r="M2300" s="1655">
        <v>11.97</v>
      </c>
      <c r="N2300" s="1679">
        <v>1758.99</v>
      </c>
      <c r="EW2300" s="2031"/>
      <c r="EX2300" s="1619"/>
      <c r="EY2300" s="1628"/>
      <c r="EZ2300" s="1628"/>
      <c r="FA2300" s="1628"/>
      <c r="FE2300" s="1864" t="s">
        <v>697</v>
      </c>
      <c r="FH2300" s="1628"/>
      <c r="FU2300" s="1678"/>
      <c r="FW2300" s="1678"/>
    </row>
    <row r="2301" spans="1:179" s="1484" customFormat="1" ht="15" x14ac:dyDescent="0.25">
      <c r="A2301" s="2032"/>
      <c r="B2301" s="1631" t="s">
        <v>640</v>
      </c>
      <c r="C2301" s="2805" t="s">
        <v>2500</v>
      </c>
      <c r="D2301" s="2805"/>
      <c r="E2301" s="2805"/>
      <c r="F2301" s="1683"/>
      <c r="G2301" s="1641"/>
      <c r="H2301" s="1641"/>
      <c r="I2301" s="1641"/>
      <c r="J2301" s="1654">
        <v>11.14</v>
      </c>
      <c r="K2301" s="1641"/>
      <c r="L2301" s="1654">
        <v>4.55</v>
      </c>
      <c r="M2301" s="1655">
        <v>35.75</v>
      </c>
      <c r="N2301" s="2039">
        <v>162.66</v>
      </c>
      <c r="EW2301" s="2031"/>
      <c r="EX2301" s="1619"/>
      <c r="EY2301" s="1628"/>
      <c r="EZ2301" s="1628"/>
      <c r="FA2301" s="1628"/>
      <c r="FE2301" s="1864" t="s">
        <v>2500</v>
      </c>
      <c r="FH2301" s="1628"/>
      <c r="FU2301" s="1678"/>
      <c r="FW2301" s="1678"/>
    </row>
    <row r="2302" spans="1:179" s="1484" customFormat="1" ht="15" x14ac:dyDescent="0.25">
      <c r="A2302" s="2032"/>
      <c r="B2302" s="1631" t="s">
        <v>232</v>
      </c>
      <c r="C2302" s="2805" t="s">
        <v>829</v>
      </c>
      <c r="D2302" s="2805"/>
      <c r="E2302" s="2805"/>
      <c r="F2302" s="1683"/>
      <c r="G2302" s="1641"/>
      <c r="H2302" s="1641"/>
      <c r="I2302" s="1641"/>
      <c r="J2302" s="1654">
        <v>3</v>
      </c>
      <c r="K2302" s="1641"/>
      <c r="L2302" s="1654">
        <v>1.22</v>
      </c>
      <c r="M2302" s="1655">
        <v>9.14</v>
      </c>
      <c r="N2302" s="2039">
        <v>11.15</v>
      </c>
      <c r="EW2302" s="2031"/>
      <c r="EX2302" s="1619"/>
      <c r="EY2302" s="1628"/>
      <c r="EZ2302" s="1628"/>
      <c r="FA2302" s="1628"/>
      <c r="FE2302" s="1864" t="s">
        <v>829</v>
      </c>
      <c r="FH2302" s="1628"/>
      <c r="FU2302" s="1678"/>
      <c r="FW2302" s="1678"/>
    </row>
    <row r="2303" spans="1:179" s="1484" customFormat="1" ht="15" x14ac:dyDescent="0.25">
      <c r="A2303" s="2033"/>
      <c r="B2303" s="1631"/>
      <c r="C2303" s="2805" t="s">
        <v>2524</v>
      </c>
      <c r="D2303" s="2805"/>
      <c r="E2303" s="2805"/>
      <c r="F2303" s="1683" t="s">
        <v>807</v>
      </c>
      <c r="G2303" s="1953">
        <v>42.4</v>
      </c>
      <c r="H2303" s="1641"/>
      <c r="I2303" s="2035">
        <v>17.299199999999999</v>
      </c>
      <c r="J2303" s="1640"/>
      <c r="K2303" s="1641"/>
      <c r="L2303" s="1640"/>
      <c r="M2303" s="1641"/>
      <c r="N2303" s="1681"/>
      <c r="EW2303" s="2031"/>
      <c r="EX2303" s="1619"/>
      <c r="EY2303" s="1628"/>
      <c r="EZ2303" s="1628"/>
      <c r="FA2303" s="1628"/>
      <c r="FF2303" s="1864" t="s">
        <v>2524</v>
      </c>
      <c r="FH2303" s="1628"/>
      <c r="FU2303" s="1678"/>
      <c r="FW2303" s="1678"/>
    </row>
    <row r="2304" spans="1:179" s="1484" customFormat="1" ht="15" x14ac:dyDescent="0.25">
      <c r="A2304" s="2033"/>
      <c r="B2304" s="1631"/>
      <c r="C2304" s="2805" t="s">
        <v>2501</v>
      </c>
      <c r="D2304" s="2805"/>
      <c r="E2304" s="2805"/>
      <c r="F2304" s="1683" t="s">
        <v>807</v>
      </c>
      <c r="G2304" s="1953">
        <v>0.9</v>
      </c>
      <c r="H2304" s="1641"/>
      <c r="I2304" s="2035">
        <v>0.36720000000000003</v>
      </c>
      <c r="J2304" s="1640"/>
      <c r="K2304" s="1641"/>
      <c r="L2304" s="1640"/>
      <c r="M2304" s="1641"/>
      <c r="N2304" s="1681"/>
      <c r="EW2304" s="2031"/>
      <c r="EX2304" s="1619"/>
      <c r="EY2304" s="1628"/>
      <c r="EZ2304" s="1628"/>
      <c r="FA2304" s="1628"/>
      <c r="FF2304" s="1864" t="s">
        <v>2501</v>
      </c>
      <c r="FH2304" s="1628"/>
      <c r="FU2304" s="1678"/>
      <c r="FW2304" s="1678"/>
    </row>
    <row r="2305" spans="1:179" s="1484" customFormat="1" ht="15" x14ac:dyDescent="0.25">
      <c r="A2305" s="2032"/>
      <c r="B2305" s="1631"/>
      <c r="C2305" s="2917" t="s">
        <v>2502</v>
      </c>
      <c r="D2305" s="2917"/>
      <c r="E2305" s="2917"/>
      <c r="F2305" s="2036"/>
      <c r="G2305" s="2037"/>
      <c r="H2305" s="2037"/>
      <c r="I2305" s="2037"/>
      <c r="J2305" s="2044">
        <v>709.58</v>
      </c>
      <c r="K2305" s="2037"/>
      <c r="L2305" s="2044">
        <v>324.83999999999997</v>
      </c>
      <c r="M2305" s="2037"/>
      <c r="N2305" s="2068">
        <v>8086.09</v>
      </c>
      <c r="EW2305" s="2031"/>
      <c r="EX2305" s="1619"/>
      <c r="EY2305" s="1628"/>
      <c r="EZ2305" s="1628"/>
      <c r="FA2305" s="1628"/>
      <c r="FG2305" s="1864" t="s">
        <v>2502</v>
      </c>
      <c r="FH2305" s="1628"/>
      <c r="FU2305" s="1678"/>
      <c r="FW2305" s="1678"/>
    </row>
    <row r="2306" spans="1:179" s="1484" customFormat="1" ht="15" x14ac:dyDescent="0.25">
      <c r="A2306" s="2033" t="s">
        <v>8342</v>
      </c>
      <c r="B2306" s="1631"/>
      <c r="C2306" s="2805" t="s">
        <v>7964</v>
      </c>
      <c r="D2306" s="2805"/>
      <c r="E2306" s="2805"/>
      <c r="F2306" s="1683" t="s">
        <v>5928</v>
      </c>
      <c r="G2306" s="1641"/>
      <c r="H2306" s="1641"/>
      <c r="I2306" s="1641"/>
      <c r="J2306" s="1640"/>
      <c r="K2306" s="1641"/>
      <c r="L2306" s="1654">
        <v>1.1399999999999999</v>
      </c>
      <c r="M2306" s="1641"/>
      <c r="N2306" s="2039">
        <v>40.76</v>
      </c>
      <c r="EW2306" s="2031"/>
      <c r="EX2306" s="1619"/>
      <c r="EY2306" s="1628"/>
      <c r="EZ2306" s="1628"/>
      <c r="FA2306" s="1628"/>
      <c r="FF2306" s="1864" t="s">
        <v>7964</v>
      </c>
      <c r="FH2306" s="1628"/>
      <c r="FU2306" s="1678"/>
      <c r="FW2306" s="1678"/>
    </row>
    <row r="2307" spans="1:179" s="1484" customFormat="1" ht="15" x14ac:dyDescent="0.25">
      <c r="A2307" s="2033"/>
      <c r="B2307" s="1631"/>
      <c r="C2307" s="2805" t="s">
        <v>7965</v>
      </c>
      <c r="D2307" s="2805"/>
      <c r="E2307" s="2805"/>
      <c r="F2307" s="1683" t="s">
        <v>5928</v>
      </c>
      <c r="G2307" s="1641"/>
      <c r="H2307" s="1641"/>
      <c r="I2307" s="1641"/>
      <c r="J2307" s="1654">
        <v>11.14</v>
      </c>
      <c r="K2307" s="1655">
        <v>0.25</v>
      </c>
      <c r="L2307" s="1654">
        <v>1.1399999999999999</v>
      </c>
      <c r="M2307" s="1655">
        <v>35.75</v>
      </c>
      <c r="N2307" s="2039">
        <v>40.76</v>
      </c>
      <c r="EW2307" s="2031"/>
      <c r="EX2307" s="1619"/>
      <c r="EY2307" s="1628"/>
      <c r="EZ2307" s="1628"/>
      <c r="FA2307" s="1628"/>
      <c r="FF2307" s="1864" t="s">
        <v>7965</v>
      </c>
      <c r="FH2307" s="1628"/>
      <c r="FU2307" s="1678"/>
      <c r="FW2307" s="1678"/>
    </row>
    <row r="2308" spans="1:179" s="1484" customFormat="1" ht="15" x14ac:dyDescent="0.25">
      <c r="A2308" s="2033"/>
      <c r="B2308" s="1631"/>
      <c r="C2308" s="2805" t="s">
        <v>867</v>
      </c>
      <c r="D2308" s="2805"/>
      <c r="E2308" s="2805"/>
      <c r="F2308" s="1683"/>
      <c r="G2308" s="1641"/>
      <c r="H2308" s="1641"/>
      <c r="I2308" s="1641"/>
      <c r="J2308" s="1640"/>
      <c r="K2308" s="1641"/>
      <c r="L2308" s="1654">
        <v>182.36</v>
      </c>
      <c r="M2308" s="1641"/>
      <c r="N2308" s="1679">
        <v>6519.37</v>
      </c>
      <c r="EW2308" s="2031"/>
      <c r="EX2308" s="1619"/>
      <c r="EY2308" s="1628"/>
      <c r="EZ2308" s="1628"/>
      <c r="FA2308" s="1628"/>
      <c r="FF2308" s="1864" t="s">
        <v>867</v>
      </c>
      <c r="FH2308" s="1628"/>
      <c r="FU2308" s="1678"/>
      <c r="FW2308" s="1678"/>
    </row>
    <row r="2309" spans="1:179" s="1484" customFormat="1" ht="22.5" x14ac:dyDescent="0.25">
      <c r="A2309" s="2033"/>
      <c r="B2309" s="1631" t="s">
        <v>8343</v>
      </c>
      <c r="C2309" s="2805" t="s">
        <v>8344</v>
      </c>
      <c r="D2309" s="2805"/>
      <c r="E2309" s="2805"/>
      <c r="F2309" s="1683" t="s">
        <v>636</v>
      </c>
      <c r="G2309" s="2034">
        <v>113</v>
      </c>
      <c r="H2309" s="1641"/>
      <c r="I2309" s="2034">
        <v>113</v>
      </c>
      <c r="J2309" s="1640"/>
      <c r="K2309" s="1641"/>
      <c r="L2309" s="1654">
        <v>206.07</v>
      </c>
      <c r="M2309" s="1641"/>
      <c r="N2309" s="1679">
        <v>7366.89</v>
      </c>
      <c r="EW2309" s="2031"/>
      <c r="EX2309" s="1619"/>
      <c r="EY2309" s="1628"/>
      <c r="EZ2309" s="1628"/>
      <c r="FA2309" s="1628"/>
      <c r="FF2309" s="1864" t="s">
        <v>8344</v>
      </c>
      <c r="FH2309" s="1628"/>
      <c r="FU2309" s="1678"/>
      <c r="FW2309" s="1678"/>
    </row>
    <row r="2310" spans="1:179" s="1484" customFormat="1" ht="22.5" x14ac:dyDescent="0.25">
      <c r="A2310" s="2033"/>
      <c r="B2310" s="1631" t="s">
        <v>8345</v>
      </c>
      <c r="C2310" s="2805" t="s">
        <v>8346</v>
      </c>
      <c r="D2310" s="2805"/>
      <c r="E2310" s="2805"/>
      <c r="F2310" s="1683" t="s">
        <v>636</v>
      </c>
      <c r="G2310" s="2034">
        <v>77</v>
      </c>
      <c r="H2310" s="1641"/>
      <c r="I2310" s="2034">
        <v>77</v>
      </c>
      <c r="J2310" s="1640"/>
      <c r="K2310" s="1641"/>
      <c r="L2310" s="1654">
        <v>140.41999999999999</v>
      </c>
      <c r="M2310" s="1641"/>
      <c r="N2310" s="1679">
        <v>5019.91</v>
      </c>
      <c r="EW2310" s="2031"/>
      <c r="EX2310" s="1619"/>
      <c r="EY2310" s="1628"/>
      <c r="EZ2310" s="1628"/>
      <c r="FA2310" s="1628"/>
      <c r="FF2310" s="1864" t="s">
        <v>8346</v>
      </c>
      <c r="FH2310" s="1628"/>
      <c r="FU2310" s="1678"/>
      <c r="FW2310" s="1678"/>
    </row>
    <row r="2311" spans="1:179" s="1484" customFormat="1" ht="15" x14ac:dyDescent="0.25">
      <c r="A2311" s="1650"/>
      <c r="B2311" s="1651"/>
      <c r="C2311" s="2803" t="s">
        <v>872</v>
      </c>
      <c r="D2311" s="2803"/>
      <c r="E2311" s="2803"/>
      <c r="F2311" s="1621"/>
      <c r="G2311" s="1622"/>
      <c r="H2311" s="1622"/>
      <c r="I2311" s="1622"/>
      <c r="J2311" s="1625"/>
      <c r="K2311" s="1622"/>
      <c r="L2311" s="2040">
        <v>672.47</v>
      </c>
      <c r="M2311" s="2037"/>
      <c r="N2311" s="1649">
        <v>20513.650000000001</v>
      </c>
      <c r="EW2311" s="2031"/>
      <c r="EX2311" s="1619"/>
      <c r="EY2311" s="1628"/>
      <c r="EZ2311" s="1628"/>
      <c r="FA2311" s="1628"/>
      <c r="FH2311" s="1628" t="s">
        <v>872</v>
      </c>
      <c r="FU2311" s="1678"/>
      <c r="FW2311" s="1678"/>
    </row>
    <row r="2312" spans="1:179" s="1484" customFormat="1" ht="22.5" x14ac:dyDescent="0.25">
      <c r="A2312" s="1620" t="s">
        <v>8347</v>
      </c>
      <c r="B2312" s="1863" t="s">
        <v>8348</v>
      </c>
      <c r="C2312" s="2803" t="s">
        <v>4942</v>
      </c>
      <c r="D2312" s="2803"/>
      <c r="E2312" s="2803"/>
      <c r="F2312" s="1621" t="s">
        <v>130</v>
      </c>
      <c r="G2312" s="1622">
        <v>40.799999999999997</v>
      </c>
      <c r="H2312" s="1623">
        <v>1</v>
      </c>
      <c r="I2312" s="1624">
        <v>40.799999999999997</v>
      </c>
      <c r="J2312" s="2040">
        <v>93.62</v>
      </c>
      <c r="K2312" s="1622"/>
      <c r="L2312" s="1648">
        <v>3819.7</v>
      </c>
      <c r="M2312" s="1687">
        <v>9.14</v>
      </c>
      <c r="N2312" s="1649">
        <v>34912.06</v>
      </c>
      <c r="EW2312" s="2031"/>
      <c r="EX2312" s="1619"/>
      <c r="EY2312" s="1628" t="s">
        <v>4942</v>
      </c>
      <c r="EZ2312" s="1628" t="s">
        <v>588</v>
      </c>
      <c r="FA2312" s="1628" t="s">
        <v>588</v>
      </c>
      <c r="FH2312" s="1628"/>
      <c r="FU2312" s="1678"/>
      <c r="FW2312" s="1678"/>
    </row>
    <row r="2313" spans="1:179" s="1484" customFormat="1" ht="15" x14ac:dyDescent="0.25">
      <c r="A2313" s="1650"/>
      <c r="B2313" s="1651"/>
      <c r="C2313" s="2805" t="s">
        <v>8640</v>
      </c>
      <c r="D2313" s="2805"/>
      <c r="E2313" s="2805"/>
      <c r="F2313" s="2805"/>
      <c r="G2313" s="2805"/>
      <c r="H2313" s="2805"/>
      <c r="I2313" s="2805"/>
      <c r="J2313" s="2805"/>
      <c r="K2313" s="2805"/>
      <c r="L2313" s="2805"/>
      <c r="M2313" s="2805"/>
      <c r="N2313" s="2806"/>
      <c r="EW2313" s="2031"/>
      <c r="EX2313" s="1619"/>
      <c r="EY2313" s="1628"/>
      <c r="EZ2313" s="1628"/>
      <c r="FA2313" s="1628"/>
      <c r="FH2313" s="1628"/>
      <c r="FI2313" s="1864" t="s">
        <v>8640</v>
      </c>
      <c r="FJ2313" s="1864" t="s">
        <v>588</v>
      </c>
      <c r="FK2313" s="1864" t="s">
        <v>588</v>
      </c>
      <c r="FL2313" s="1864" t="s">
        <v>588</v>
      </c>
      <c r="FM2313" s="1864" t="s">
        <v>588</v>
      </c>
      <c r="FN2313" s="1864" t="s">
        <v>588</v>
      </c>
      <c r="FO2313" s="1864" t="s">
        <v>588</v>
      </c>
      <c r="FP2313" s="1864" t="s">
        <v>588</v>
      </c>
      <c r="FQ2313" s="1864" t="s">
        <v>588</v>
      </c>
      <c r="FR2313" s="1864" t="s">
        <v>588</v>
      </c>
      <c r="FS2313" s="1864" t="s">
        <v>588</v>
      </c>
      <c r="FT2313" s="1864" t="s">
        <v>588</v>
      </c>
      <c r="FU2313" s="1678"/>
      <c r="FW2313" s="1678"/>
    </row>
    <row r="2314" spans="1:179" s="1484" customFormat="1" ht="15" x14ac:dyDescent="0.25">
      <c r="A2314" s="1629"/>
      <c r="B2314" s="1862"/>
      <c r="C2314" s="2805" t="s">
        <v>8784</v>
      </c>
      <c r="D2314" s="2805"/>
      <c r="E2314" s="2805"/>
      <c r="F2314" s="2805"/>
      <c r="G2314" s="2805"/>
      <c r="H2314" s="2805"/>
      <c r="I2314" s="2805"/>
      <c r="J2314" s="2805"/>
      <c r="K2314" s="2805"/>
      <c r="L2314" s="2805"/>
      <c r="M2314" s="2805"/>
      <c r="N2314" s="2806"/>
      <c r="EW2314" s="2031"/>
      <c r="EX2314" s="1619"/>
      <c r="EY2314" s="1628"/>
      <c r="EZ2314" s="1628"/>
      <c r="FA2314" s="1628"/>
      <c r="FB2314" s="1864" t="s">
        <v>8784</v>
      </c>
      <c r="FH2314" s="1628"/>
      <c r="FU2314" s="1678"/>
      <c r="FW2314" s="1678"/>
    </row>
    <row r="2315" spans="1:179" s="1484" customFormat="1" ht="15" x14ac:dyDescent="0.25">
      <c r="A2315" s="1650"/>
      <c r="B2315" s="1651"/>
      <c r="C2315" s="2803" t="s">
        <v>872</v>
      </c>
      <c r="D2315" s="2803"/>
      <c r="E2315" s="2803"/>
      <c r="F2315" s="1621"/>
      <c r="G2315" s="1622"/>
      <c r="H2315" s="1622"/>
      <c r="I2315" s="1622"/>
      <c r="J2315" s="1625"/>
      <c r="K2315" s="1622"/>
      <c r="L2315" s="1648">
        <v>3819.7</v>
      </c>
      <c r="M2315" s="2037"/>
      <c r="N2315" s="1649">
        <v>34912.06</v>
      </c>
      <c r="EW2315" s="2031"/>
      <c r="EX2315" s="1619"/>
      <c r="EY2315" s="1628"/>
      <c r="EZ2315" s="1628"/>
      <c r="FA2315" s="1628"/>
      <c r="FH2315" s="1628" t="s">
        <v>872</v>
      </c>
      <c r="FU2315" s="1678"/>
      <c r="FW2315" s="1678"/>
    </row>
    <row r="2316" spans="1:179" s="1484" customFormat="1" ht="15" x14ac:dyDescent="0.25">
      <c r="A2316" s="2811" t="s">
        <v>8349</v>
      </c>
      <c r="B2316" s="2812"/>
      <c r="C2316" s="2812"/>
      <c r="D2316" s="2812"/>
      <c r="E2316" s="2812"/>
      <c r="F2316" s="2812"/>
      <c r="G2316" s="2812"/>
      <c r="H2316" s="2812"/>
      <c r="I2316" s="2812"/>
      <c r="J2316" s="2812"/>
      <c r="K2316" s="2812"/>
      <c r="L2316" s="2812"/>
      <c r="M2316" s="2812"/>
      <c r="N2316" s="2813"/>
      <c r="EW2316" s="2031"/>
      <c r="EX2316" s="1619" t="s">
        <v>8349</v>
      </c>
      <c r="EY2316" s="1628"/>
      <c r="EZ2316" s="1628"/>
      <c r="FA2316" s="1628"/>
      <c r="FH2316" s="1628"/>
      <c r="FU2316" s="1678"/>
      <c r="FW2316" s="1678"/>
    </row>
    <row r="2317" spans="1:179" s="1484" customFormat="1" ht="33.75" x14ac:dyDescent="0.25">
      <c r="A2317" s="1620" t="s">
        <v>8350</v>
      </c>
      <c r="B2317" s="1863" t="s">
        <v>8769</v>
      </c>
      <c r="C2317" s="2803" t="s">
        <v>8141</v>
      </c>
      <c r="D2317" s="2803"/>
      <c r="E2317" s="2803"/>
      <c r="F2317" s="1621" t="s">
        <v>2555</v>
      </c>
      <c r="G2317" s="1622">
        <v>4.8529999999999998</v>
      </c>
      <c r="H2317" s="1623">
        <v>1</v>
      </c>
      <c r="I2317" s="2045">
        <v>4.8529999999999998</v>
      </c>
      <c r="J2317" s="1625"/>
      <c r="K2317" s="1622"/>
      <c r="L2317" s="1625"/>
      <c r="M2317" s="1622"/>
      <c r="N2317" s="1627"/>
      <c r="EW2317" s="2031"/>
      <c r="EX2317" s="1619"/>
      <c r="EY2317" s="1628" t="s">
        <v>8141</v>
      </c>
      <c r="EZ2317" s="1628" t="s">
        <v>588</v>
      </c>
      <c r="FA2317" s="1628" t="s">
        <v>588</v>
      </c>
      <c r="FH2317" s="1628"/>
      <c r="FU2317" s="1678"/>
      <c r="FW2317" s="1678"/>
    </row>
    <row r="2318" spans="1:179" s="1484" customFormat="1" ht="15" x14ac:dyDescent="0.25">
      <c r="A2318" s="1629"/>
      <c r="B2318" s="1862"/>
      <c r="C2318" s="2805" t="s">
        <v>8781</v>
      </c>
      <c r="D2318" s="2805"/>
      <c r="E2318" s="2805"/>
      <c r="F2318" s="2805"/>
      <c r="G2318" s="2805"/>
      <c r="H2318" s="2805"/>
      <c r="I2318" s="2805"/>
      <c r="J2318" s="2805"/>
      <c r="K2318" s="2805"/>
      <c r="L2318" s="2805"/>
      <c r="M2318" s="2805"/>
      <c r="N2318" s="2806"/>
      <c r="EW2318" s="2031"/>
      <c r="EX2318" s="1619"/>
      <c r="EY2318" s="1628"/>
      <c r="EZ2318" s="1628"/>
      <c r="FA2318" s="1628"/>
      <c r="FB2318" s="1864" t="s">
        <v>8781</v>
      </c>
      <c r="FH2318" s="1628"/>
      <c r="FU2318" s="1678"/>
      <c r="FW2318" s="1678"/>
    </row>
    <row r="2319" spans="1:179" s="1484" customFormat="1" ht="22.5" x14ac:dyDescent="0.25">
      <c r="A2319" s="1630"/>
      <c r="B2319" s="1631" t="s">
        <v>6062</v>
      </c>
      <c r="C2319" s="2809" t="s">
        <v>6063</v>
      </c>
      <c r="D2319" s="2809"/>
      <c r="E2319" s="2809"/>
      <c r="F2319" s="2809"/>
      <c r="G2319" s="2809"/>
      <c r="H2319" s="2809"/>
      <c r="I2319" s="2809"/>
      <c r="J2319" s="2809"/>
      <c r="K2319" s="2809"/>
      <c r="L2319" s="2809"/>
      <c r="M2319" s="2809"/>
      <c r="N2319" s="2810"/>
      <c r="EW2319" s="2031"/>
      <c r="EX2319" s="1619"/>
      <c r="EY2319" s="1628"/>
      <c r="EZ2319" s="1628"/>
      <c r="FA2319" s="1628"/>
      <c r="FC2319" s="1864" t="s">
        <v>6063</v>
      </c>
      <c r="FH2319" s="1628"/>
      <c r="FU2319" s="1678"/>
      <c r="FW2319" s="1678"/>
    </row>
    <row r="2320" spans="1:179" s="1484" customFormat="1" ht="15" x14ac:dyDescent="0.25">
      <c r="A2320" s="1630"/>
      <c r="B2320" s="1631" t="s">
        <v>8142</v>
      </c>
      <c r="C2320" s="2809" t="s">
        <v>8245</v>
      </c>
      <c r="D2320" s="2809"/>
      <c r="E2320" s="2809"/>
      <c r="F2320" s="2809"/>
      <c r="G2320" s="2809"/>
      <c r="H2320" s="2809"/>
      <c r="I2320" s="2809"/>
      <c r="J2320" s="2809"/>
      <c r="K2320" s="2809"/>
      <c r="L2320" s="2809"/>
      <c r="M2320" s="2809"/>
      <c r="N2320" s="2810"/>
      <c r="EW2320" s="2031"/>
      <c r="EX2320" s="1619"/>
      <c r="EY2320" s="1628"/>
      <c r="EZ2320" s="1628"/>
      <c r="FA2320" s="1628"/>
      <c r="FC2320" s="1864" t="s">
        <v>8245</v>
      </c>
      <c r="FH2320" s="1628"/>
      <c r="FU2320" s="1678"/>
      <c r="FW2320" s="1678"/>
    </row>
    <row r="2321" spans="1:179" s="1484" customFormat="1" ht="22.5" x14ac:dyDescent="0.25">
      <c r="A2321" s="2033"/>
      <c r="B2321" s="1631" t="s">
        <v>8756</v>
      </c>
      <c r="C2321" s="2805" t="s">
        <v>8755</v>
      </c>
      <c r="D2321" s="2805"/>
      <c r="E2321" s="2805"/>
      <c r="F2321" s="1683" t="s">
        <v>807</v>
      </c>
      <c r="G2321" s="1655">
        <v>0.44</v>
      </c>
      <c r="H2321" s="2034">
        <v>16</v>
      </c>
      <c r="I2321" s="2042">
        <v>34.165120000000002</v>
      </c>
      <c r="J2321" s="1654">
        <v>7.94</v>
      </c>
      <c r="K2321" s="1655">
        <v>1.25</v>
      </c>
      <c r="L2321" s="1654">
        <v>339.09</v>
      </c>
      <c r="M2321" s="1641"/>
      <c r="N2321" s="1681"/>
      <c r="EW2321" s="2031"/>
      <c r="EX2321" s="1619"/>
      <c r="EY2321" s="1628"/>
      <c r="EZ2321" s="1628"/>
      <c r="FA2321" s="1628"/>
      <c r="FD2321" s="1864" t="s">
        <v>8755</v>
      </c>
      <c r="FH2321" s="1628"/>
      <c r="FU2321" s="1678"/>
      <c r="FW2321" s="1678"/>
    </row>
    <row r="2322" spans="1:179" s="1484" customFormat="1" ht="22.5" x14ac:dyDescent="0.25">
      <c r="A2322" s="2033"/>
      <c r="B2322" s="1631" t="s">
        <v>5010</v>
      </c>
      <c r="C2322" s="2805" t="s">
        <v>5011</v>
      </c>
      <c r="D2322" s="2805"/>
      <c r="E2322" s="2805"/>
      <c r="F2322" s="1683" t="s">
        <v>4994</v>
      </c>
      <c r="G2322" s="1655">
        <v>0.21</v>
      </c>
      <c r="H2322" s="2034">
        <v>16</v>
      </c>
      <c r="I2322" s="2042">
        <v>16.306080000000001</v>
      </c>
      <c r="J2322" s="1654">
        <v>31.26</v>
      </c>
      <c r="K2322" s="1641"/>
      <c r="L2322" s="1654">
        <v>509.73</v>
      </c>
      <c r="M2322" s="1641"/>
      <c r="N2322" s="1681"/>
      <c r="EW2322" s="2031"/>
      <c r="EX2322" s="1619"/>
      <c r="EY2322" s="1628"/>
      <c r="EZ2322" s="1628"/>
      <c r="FA2322" s="1628"/>
      <c r="FD2322" s="1864" t="s">
        <v>5011</v>
      </c>
      <c r="FH2322" s="1628"/>
      <c r="FU2322" s="1678"/>
      <c r="FW2322" s="1678"/>
    </row>
    <row r="2323" spans="1:179" s="1484" customFormat="1" ht="15" x14ac:dyDescent="0.25">
      <c r="A2323" s="2033"/>
      <c r="B2323" s="1631" t="s">
        <v>5012</v>
      </c>
      <c r="C2323" s="2805" t="s">
        <v>5013</v>
      </c>
      <c r="D2323" s="2805"/>
      <c r="E2323" s="2805"/>
      <c r="F2323" s="1683" t="s">
        <v>4994</v>
      </c>
      <c r="G2323" s="2034">
        <v>2</v>
      </c>
      <c r="H2323" s="2034">
        <v>16</v>
      </c>
      <c r="I2323" s="2046">
        <v>155.29599999999999</v>
      </c>
      <c r="J2323" s="1654">
        <v>0.5</v>
      </c>
      <c r="K2323" s="1641"/>
      <c r="L2323" s="1654">
        <v>77.650000000000006</v>
      </c>
      <c r="M2323" s="1641"/>
      <c r="N2323" s="1681"/>
      <c r="EW2323" s="2031"/>
      <c r="EX2323" s="1619"/>
      <c r="EY2323" s="1628"/>
      <c r="EZ2323" s="1628"/>
      <c r="FA2323" s="1628"/>
      <c r="FD2323" s="1864" t="s">
        <v>5013</v>
      </c>
      <c r="FH2323" s="1628"/>
      <c r="FU2323" s="1678"/>
      <c r="FW2323" s="1678"/>
    </row>
    <row r="2324" spans="1:179" s="1484" customFormat="1" ht="15" x14ac:dyDescent="0.25">
      <c r="A2324" s="2032"/>
      <c r="B2324" s="1631" t="s">
        <v>190</v>
      </c>
      <c r="C2324" s="2805" t="s">
        <v>2523</v>
      </c>
      <c r="D2324" s="2805"/>
      <c r="E2324" s="2805"/>
      <c r="F2324" s="1683"/>
      <c r="G2324" s="1641"/>
      <c r="H2324" s="1641"/>
      <c r="I2324" s="1641"/>
      <c r="J2324" s="1654">
        <v>3.49</v>
      </c>
      <c r="K2324" s="2034">
        <v>20</v>
      </c>
      <c r="L2324" s="1654">
        <v>338.74</v>
      </c>
      <c r="M2324" s="1655">
        <v>35.75</v>
      </c>
      <c r="N2324" s="1679">
        <v>12109.96</v>
      </c>
      <c r="EW2324" s="2031"/>
      <c r="EX2324" s="1619"/>
      <c r="EY2324" s="1628"/>
      <c r="EZ2324" s="1628"/>
      <c r="FA2324" s="1628"/>
      <c r="FE2324" s="1864" t="s">
        <v>2523</v>
      </c>
      <c r="FH2324" s="1628"/>
      <c r="FU2324" s="1678"/>
      <c r="FW2324" s="1678"/>
    </row>
    <row r="2325" spans="1:179" s="1484" customFormat="1" ht="15" x14ac:dyDescent="0.25">
      <c r="A2325" s="2032"/>
      <c r="B2325" s="1631" t="s">
        <v>639</v>
      </c>
      <c r="C2325" s="2805" t="s">
        <v>697</v>
      </c>
      <c r="D2325" s="2805"/>
      <c r="E2325" s="2805"/>
      <c r="F2325" s="1683"/>
      <c r="G2325" s="1641"/>
      <c r="H2325" s="1641"/>
      <c r="I2325" s="1641"/>
      <c r="J2325" s="1654">
        <v>7.56</v>
      </c>
      <c r="K2325" s="2034">
        <v>16</v>
      </c>
      <c r="L2325" s="1654">
        <v>587.02</v>
      </c>
      <c r="M2325" s="1655">
        <v>11.97</v>
      </c>
      <c r="N2325" s="1679">
        <v>7026.63</v>
      </c>
      <c r="EW2325" s="2031"/>
      <c r="EX2325" s="1619"/>
      <c r="EY2325" s="1628"/>
      <c r="EZ2325" s="1628"/>
      <c r="FA2325" s="1628"/>
      <c r="FE2325" s="1864" t="s">
        <v>697</v>
      </c>
      <c r="FH2325" s="1628"/>
      <c r="FU2325" s="1678"/>
      <c r="FW2325" s="1678"/>
    </row>
    <row r="2326" spans="1:179" s="1484" customFormat="1" ht="15" x14ac:dyDescent="0.25">
      <c r="A2326" s="2032"/>
      <c r="B2326" s="1631" t="s">
        <v>640</v>
      </c>
      <c r="C2326" s="2805" t="s">
        <v>2500</v>
      </c>
      <c r="D2326" s="2805"/>
      <c r="E2326" s="2805"/>
      <c r="F2326" s="1683"/>
      <c r="G2326" s="1641"/>
      <c r="H2326" s="1641"/>
      <c r="I2326" s="1641"/>
      <c r="J2326" s="1654">
        <v>2.84</v>
      </c>
      <c r="K2326" s="2034">
        <v>16</v>
      </c>
      <c r="L2326" s="1654">
        <v>220.52</v>
      </c>
      <c r="M2326" s="1655">
        <v>35.75</v>
      </c>
      <c r="N2326" s="1679">
        <v>7883.59</v>
      </c>
      <c r="EW2326" s="2031"/>
      <c r="EX2326" s="1619"/>
      <c r="EY2326" s="1628"/>
      <c r="EZ2326" s="1628"/>
      <c r="FA2326" s="1628"/>
      <c r="FE2326" s="1864" t="s">
        <v>2500</v>
      </c>
      <c r="FH2326" s="1628"/>
      <c r="FU2326" s="1678"/>
      <c r="FW2326" s="1678"/>
    </row>
    <row r="2327" spans="1:179" s="1484" customFormat="1" ht="15" x14ac:dyDescent="0.25">
      <c r="A2327" s="2033"/>
      <c r="B2327" s="1631"/>
      <c r="C2327" s="2805" t="s">
        <v>2524</v>
      </c>
      <c r="D2327" s="2805"/>
      <c r="E2327" s="2805"/>
      <c r="F2327" s="1683" t="s">
        <v>807</v>
      </c>
      <c r="G2327" s="1655">
        <v>0.44</v>
      </c>
      <c r="H2327" s="2034">
        <v>16</v>
      </c>
      <c r="I2327" s="2042">
        <v>34.165120000000002</v>
      </c>
      <c r="J2327" s="1640"/>
      <c r="K2327" s="1641"/>
      <c r="L2327" s="1640"/>
      <c r="M2327" s="1641"/>
      <c r="N2327" s="1681"/>
      <c r="EW2327" s="2031"/>
      <c r="EX2327" s="1619"/>
      <c r="EY2327" s="1628"/>
      <c r="EZ2327" s="1628"/>
      <c r="FA2327" s="1628"/>
      <c r="FF2327" s="1864" t="s">
        <v>2524</v>
      </c>
      <c r="FH2327" s="1628"/>
      <c r="FU2327" s="1678"/>
      <c r="FW2327" s="1678"/>
    </row>
    <row r="2328" spans="1:179" s="1484" customFormat="1" ht="15" x14ac:dyDescent="0.25">
      <c r="A2328" s="2033"/>
      <c r="B2328" s="1631"/>
      <c r="C2328" s="2805" t="s">
        <v>2501</v>
      </c>
      <c r="D2328" s="2805"/>
      <c r="E2328" s="2805"/>
      <c r="F2328" s="1683" t="s">
        <v>807</v>
      </c>
      <c r="G2328" s="1655">
        <v>0.21</v>
      </c>
      <c r="H2328" s="2034">
        <v>16</v>
      </c>
      <c r="I2328" s="2042">
        <v>16.306080000000001</v>
      </c>
      <c r="J2328" s="1640"/>
      <c r="K2328" s="1641"/>
      <c r="L2328" s="1640"/>
      <c r="M2328" s="1641"/>
      <c r="N2328" s="1681"/>
      <c r="EW2328" s="2031"/>
      <c r="EX2328" s="1619"/>
      <c r="EY2328" s="1628"/>
      <c r="EZ2328" s="1628"/>
      <c r="FA2328" s="1628"/>
      <c r="FF2328" s="1864" t="s">
        <v>2501</v>
      </c>
      <c r="FH2328" s="1628"/>
      <c r="FU2328" s="1678"/>
      <c r="FW2328" s="1678"/>
    </row>
    <row r="2329" spans="1:179" s="1484" customFormat="1" ht="15" x14ac:dyDescent="0.25">
      <c r="A2329" s="2032"/>
      <c r="B2329" s="1631"/>
      <c r="C2329" s="2917" t="s">
        <v>2502</v>
      </c>
      <c r="D2329" s="2917"/>
      <c r="E2329" s="2917"/>
      <c r="F2329" s="2036"/>
      <c r="G2329" s="2037"/>
      <c r="H2329" s="2037"/>
      <c r="I2329" s="2037"/>
      <c r="J2329" s="2044">
        <v>11.05</v>
      </c>
      <c r="K2329" s="2037"/>
      <c r="L2329" s="2044">
        <v>925.76</v>
      </c>
      <c r="M2329" s="2037"/>
      <c r="N2329" s="2068">
        <v>19136.59</v>
      </c>
      <c r="EW2329" s="2031"/>
      <c r="EX2329" s="1619"/>
      <c r="EY2329" s="1628"/>
      <c r="EZ2329" s="1628"/>
      <c r="FA2329" s="1628"/>
      <c r="FG2329" s="1864" t="s">
        <v>2502</v>
      </c>
      <c r="FH2329" s="1628"/>
      <c r="FU2329" s="1678"/>
      <c r="FW2329" s="1678"/>
    </row>
    <row r="2330" spans="1:179" s="1484" customFormat="1" ht="15" x14ac:dyDescent="0.25">
      <c r="A2330" s="2033" t="s">
        <v>8351</v>
      </c>
      <c r="B2330" s="1631"/>
      <c r="C2330" s="2805" t="s">
        <v>7964</v>
      </c>
      <c r="D2330" s="2805"/>
      <c r="E2330" s="2805"/>
      <c r="F2330" s="1683" t="s">
        <v>5928</v>
      </c>
      <c r="G2330" s="1641"/>
      <c r="H2330" s="1641"/>
      <c r="I2330" s="1641"/>
      <c r="J2330" s="1640"/>
      <c r="K2330" s="1641"/>
      <c r="L2330" s="1654">
        <v>55.13</v>
      </c>
      <c r="M2330" s="1641"/>
      <c r="N2330" s="1679">
        <v>1970.9</v>
      </c>
      <c r="EW2330" s="2031"/>
      <c r="EX2330" s="1619"/>
      <c r="EY2330" s="1628"/>
      <c r="EZ2330" s="1628"/>
      <c r="FA2330" s="1628"/>
      <c r="FF2330" s="1864" t="s">
        <v>7964</v>
      </c>
      <c r="FH2330" s="1628"/>
      <c r="FU2330" s="1678"/>
      <c r="FW2330" s="1678"/>
    </row>
    <row r="2331" spans="1:179" s="1484" customFormat="1" ht="15" x14ac:dyDescent="0.25">
      <c r="A2331" s="2033"/>
      <c r="B2331" s="1631"/>
      <c r="C2331" s="2805" t="s">
        <v>7965</v>
      </c>
      <c r="D2331" s="2805"/>
      <c r="E2331" s="2805"/>
      <c r="F2331" s="1683" t="s">
        <v>5928</v>
      </c>
      <c r="G2331" s="1641"/>
      <c r="H2331" s="1641"/>
      <c r="I2331" s="1641"/>
      <c r="J2331" s="1654">
        <v>2.84</v>
      </c>
      <c r="K2331" s="2034">
        <v>4</v>
      </c>
      <c r="L2331" s="1654">
        <v>55.13</v>
      </c>
      <c r="M2331" s="1655">
        <v>35.75</v>
      </c>
      <c r="N2331" s="1679">
        <v>1970.9</v>
      </c>
      <c r="EW2331" s="2031"/>
      <c r="EX2331" s="1619"/>
      <c r="EY2331" s="1628"/>
      <c r="EZ2331" s="1628"/>
      <c r="FA2331" s="1628"/>
      <c r="FF2331" s="1864" t="s">
        <v>7965</v>
      </c>
      <c r="FH2331" s="1628"/>
      <c r="FU2331" s="1678"/>
      <c r="FW2331" s="1678"/>
    </row>
    <row r="2332" spans="1:179" s="1484" customFormat="1" ht="15" x14ac:dyDescent="0.25">
      <c r="A2332" s="2033"/>
      <c r="B2332" s="1631"/>
      <c r="C2332" s="2805" t="s">
        <v>867</v>
      </c>
      <c r="D2332" s="2805"/>
      <c r="E2332" s="2805"/>
      <c r="F2332" s="1683"/>
      <c r="G2332" s="1641"/>
      <c r="H2332" s="1641"/>
      <c r="I2332" s="1641"/>
      <c r="J2332" s="1640"/>
      <c r="K2332" s="1641"/>
      <c r="L2332" s="1654">
        <v>614.39</v>
      </c>
      <c r="M2332" s="1641"/>
      <c r="N2332" s="1679">
        <v>21964.45</v>
      </c>
      <c r="EW2332" s="2031"/>
      <c r="EX2332" s="1619"/>
      <c r="EY2332" s="1628"/>
      <c r="EZ2332" s="1628"/>
      <c r="FA2332" s="1628"/>
      <c r="FF2332" s="1864" t="s">
        <v>867</v>
      </c>
      <c r="FH2332" s="1628"/>
      <c r="FU2332" s="1678"/>
      <c r="FW2332" s="1678"/>
    </row>
    <row r="2333" spans="1:179" s="1484" customFormat="1" ht="15" x14ac:dyDescent="0.25">
      <c r="A2333" s="2033"/>
      <c r="B2333" s="1631" t="s">
        <v>8054</v>
      </c>
      <c r="C2333" s="2805" t="s">
        <v>8055</v>
      </c>
      <c r="D2333" s="2805"/>
      <c r="E2333" s="2805"/>
      <c r="F2333" s="1683" t="s">
        <v>636</v>
      </c>
      <c r="G2333" s="2034">
        <v>112</v>
      </c>
      <c r="H2333" s="1641"/>
      <c r="I2333" s="2034">
        <v>112</v>
      </c>
      <c r="J2333" s="1640"/>
      <c r="K2333" s="1641"/>
      <c r="L2333" s="1654">
        <v>688.12</v>
      </c>
      <c r="M2333" s="1641"/>
      <c r="N2333" s="1679">
        <v>24600.18</v>
      </c>
      <c r="EW2333" s="2031"/>
      <c r="EX2333" s="1619"/>
      <c r="EY2333" s="1628"/>
      <c r="EZ2333" s="1628"/>
      <c r="FA2333" s="1628"/>
      <c r="FF2333" s="1864" t="s">
        <v>8055</v>
      </c>
      <c r="FH2333" s="1628"/>
      <c r="FU2333" s="1678"/>
      <c r="FW2333" s="1678"/>
    </row>
    <row r="2334" spans="1:179" s="1484" customFormat="1" ht="15" x14ac:dyDescent="0.25">
      <c r="A2334" s="2033"/>
      <c r="B2334" s="1631" t="s">
        <v>8056</v>
      </c>
      <c r="C2334" s="2805" t="s">
        <v>8057</v>
      </c>
      <c r="D2334" s="2805"/>
      <c r="E2334" s="2805"/>
      <c r="F2334" s="1683" t="s">
        <v>636</v>
      </c>
      <c r="G2334" s="2034">
        <v>65</v>
      </c>
      <c r="H2334" s="1641"/>
      <c r="I2334" s="2034">
        <v>65</v>
      </c>
      <c r="J2334" s="1640"/>
      <c r="K2334" s="1641"/>
      <c r="L2334" s="1654">
        <v>399.35</v>
      </c>
      <c r="M2334" s="1641"/>
      <c r="N2334" s="1679">
        <v>14276.89</v>
      </c>
      <c r="EW2334" s="2031"/>
      <c r="EX2334" s="1619"/>
      <c r="EY2334" s="1628"/>
      <c r="EZ2334" s="1628"/>
      <c r="FA2334" s="1628"/>
      <c r="FF2334" s="1864" t="s">
        <v>8057</v>
      </c>
      <c r="FH2334" s="1628"/>
      <c r="FU2334" s="1678"/>
      <c r="FW2334" s="1678"/>
    </row>
    <row r="2335" spans="1:179" s="1484" customFormat="1" ht="15" x14ac:dyDescent="0.25">
      <c r="A2335" s="1650"/>
      <c r="B2335" s="1651"/>
      <c r="C2335" s="2803" t="s">
        <v>872</v>
      </c>
      <c r="D2335" s="2803"/>
      <c r="E2335" s="2803"/>
      <c r="F2335" s="1621"/>
      <c r="G2335" s="1622"/>
      <c r="H2335" s="1622"/>
      <c r="I2335" s="1622"/>
      <c r="J2335" s="1625"/>
      <c r="K2335" s="1622"/>
      <c r="L2335" s="1648">
        <v>2068.36</v>
      </c>
      <c r="M2335" s="2037"/>
      <c r="N2335" s="1649">
        <v>59984.56</v>
      </c>
      <c r="EW2335" s="2031"/>
      <c r="EX2335" s="1619"/>
      <c r="EY2335" s="1628"/>
      <c r="EZ2335" s="1628"/>
      <c r="FA2335" s="1628"/>
      <c r="FH2335" s="1628" t="s">
        <v>872</v>
      </c>
      <c r="FU2335" s="1678"/>
      <c r="FW2335" s="1678"/>
    </row>
    <row r="2336" spans="1:179" s="1484" customFormat="1" ht="56.25" x14ac:dyDescent="0.25">
      <c r="A2336" s="1620" t="s">
        <v>8352</v>
      </c>
      <c r="B2336" s="1863" t="s">
        <v>8146</v>
      </c>
      <c r="C2336" s="2803" t="s">
        <v>8147</v>
      </c>
      <c r="D2336" s="2803"/>
      <c r="E2336" s="2803"/>
      <c r="F2336" s="1621" t="s">
        <v>835</v>
      </c>
      <c r="G2336" s="1622">
        <v>10890.132</v>
      </c>
      <c r="H2336" s="1623">
        <v>1</v>
      </c>
      <c r="I2336" s="2045">
        <v>10890.132</v>
      </c>
      <c r="J2336" s="2040">
        <v>23.7</v>
      </c>
      <c r="K2336" s="1622"/>
      <c r="L2336" s="1648">
        <v>258096.13</v>
      </c>
      <c r="M2336" s="1687">
        <v>9.14</v>
      </c>
      <c r="N2336" s="1649">
        <v>2358998.63</v>
      </c>
      <c r="EW2336" s="2031"/>
      <c r="EX2336" s="1619"/>
      <c r="EY2336" s="1628" t="s">
        <v>8147</v>
      </c>
      <c r="EZ2336" s="1628" t="s">
        <v>588</v>
      </c>
      <c r="FA2336" s="1628" t="s">
        <v>588</v>
      </c>
      <c r="FH2336" s="1628"/>
      <c r="FU2336" s="1678"/>
      <c r="FW2336" s="1678"/>
    </row>
    <row r="2337" spans="1:179" s="1484" customFormat="1" ht="15" x14ac:dyDescent="0.25">
      <c r="A2337" s="1650"/>
      <c r="B2337" s="1651"/>
      <c r="C2337" s="2805" t="s">
        <v>8722</v>
      </c>
      <c r="D2337" s="2805"/>
      <c r="E2337" s="2805"/>
      <c r="F2337" s="2805"/>
      <c r="G2337" s="2805"/>
      <c r="H2337" s="2805"/>
      <c r="I2337" s="2805"/>
      <c r="J2337" s="2805"/>
      <c r="K2337" s="2805"/>
      <c r="L2337" s="2805"/>
      <c r="M2337" s="2805"/>
      <c r="N2337" s="2806"/>
      <c r="EW2337" s="2031"/>
      <c r="EX2337" s="1619"/>
      <c r="EY2337" s="1628"/>
      <c r="EZ2337" s="1628"/>
      <c r="FA2337" s="1628"/>
      <c r="FH2337" s="1628"/>
      <c r="FI2337" s="1864" t="s">
        <v>8722</v>
      </c>
      <c r="FJ2337" s="1864" t="s">
        <v>588</v>
      </c>
      <c r="FK2337" s="1864" t="s">
        <v>588</v>
      </c>
      <c r="FL2337" s="1864" t="s">
        <v>588</v>
      </c>
      <c r="FM2337" s="1864" t="s">
        <v>588</v>
      </c>
      <c r="FN2337" s="1864" t="s">
        <v>588</v>
      </c>
      <c r="FO2337" s="1864" t="s">
        <v>588</v>
      </c>
      <c r="FP2337" s="1864" t="s">
        <v>588</v>
      </c>
      <c r="FQ2337" s="1864" t="s">
        <v>588</v>
      </c>
      <c r="FR2337" s="1864" t="s">
        <v>588</v>
      </c>
      <c r="FS2337" s="1864" t="s">
        <v>588</v>
      </c>
      <c r="FT2337" s="1864" t="s">
        <v>588</v>
      </c>
      <c r="FU2337" s="1678"/>
      <c r="FW2337" s="1678"/>
    </row>
    <row r="2338" spans="1:179" s="1484" customFormat="1" ht="15" x14ac:dyDescent="0.25">
      <c r="A2338" s="1629"/>
      <c r="B2338" s="1862"/>
      <c r="C2338" s="2805" t="s">
        <v>8783</v>
      </c>
      <c r="D2338" s="2805"/>
      <c r="E2338" s="2805"/>
      <c r="F2338" s="2805"/>
      <c r="G2338" s="2805"/>
      <c r="H2338" s="2805"/>
      <c r="I2338" s="2805"/>
      <c r="J2338" s="2805"/>
      <c r="K2338" s="2805"/>
      <c r="L2338" s="2805"/>
      <c r="M2338" s="2805"/>
      <c r="N2338" s="2806"/>
      <c r="EW2338" s="2031"/>
      <c r="EX2338" s="1619"/>
      <c r="EY2338" s="1628"/>
      <c r="EZ2338" s="1628"/>
      <c r="FA2338" s="1628"/>
      <c r="FB2338" s="1864" t="s">
        <v>8783</v>
      </c>
      <c r="FH2338" s="1628"/>
      <c r="FU2338" s="1678"/>
      <c r="FW2338" s="1678"/>
    </row>
    <row r="2339" spans="1:179" s="1484" customFormat="1" ht="15" x14ac:dyDescent="0.25">
      <c r="A2339" s="1650"/>
      <c r="B2339" s="1651"/>
      <c r="C2339" s="2803" t="s">
        <v>872</v>
      </c>
      <c r="D2339" s="2803"/>
      <c r="E2339" s="2803"/>
      <c r="F2339" s="1621"/>
      <c r="G2339" s="1622"/>
      <c r="H2339" s="1622"/>
      <c r="I2339" s="1622"/>
      <c r="J2339" s="1625"/>
      <c r="K2339" s="1622"/>
      <c r="L2339" s="1648">
        <v>258096.13</v>
      </c>
      <c r="M2339" s="2037"/>
      <c r="N2339" s="1649">
        <v>2358998.63</v>
      </c>
      <c r="EW2339" s="2031"/>
      <c r="EX2339" s="1619"/>
      <c r="EY2339" s="1628"/>
      <c r="EZ2339" s="1628"/>
      <c r="FA2339" s="1628"/>
      <c r="FH2339" s="1628" t="s">
        <v>872</v>
      </c>
      <c r="FU2339" s="1678"/>
      <c r="FW2339" s="1678"/>
    </row>
    <row r="2340" spans="1:179" s="1484" customFormat="1" ht="33.75" x14ac:dyDescent="0.25">
      <c r="A2340" s="1620" t="s">
        <v>8353</v>
      </c>
      <c r="B2340" s="1863" t="s">
        <v>8148</v>
      </c>
      <c r="C2340" s="2803" t="s">
        <v>8149</v>
      </c>
      <c r="D2340" s="2803"/>
      <c r="E2340" s="2803"/>
      <c r="F2340" s="1621" t="s">
        <v>2555</v>
      </c>
      <c r="G2340" s="1622">
        <v>4.8529999999999998</v>
      </c>
      <c r="H2340" s="1623">
        <v>1</v>
      </c>
      <c r="I2340" s="2045">
        <v>4.8529999999999998</v>
      </c>
      <c r="J2340" s="1625"/>
      <c r="K2340" s="1622"/>
      <c r="L2340" s="1625"/>
      <c r="M2340" s="1622"/>
      <c r="N2340" s="1627"/>
      <c r="EW2340" s="2031"/>
      <c r="EX2340" s="1619"/>
      <c r="EY2340" s="1628" t="s">
        <v>8149</v>
      </c>
      <c r="EZ2340" s="1628" t="s">
        <v>588</v>
      </c>
      <c r="FA2340" s="1628" t="s">
        <v>588</v>
      </c>
      <c r="FH2340" s="1628"/>
      <c r="FU2340" s="1678"/>
      <c r="FW2340" s="1678"/>
    </row>
    <row r="2341" spans="1:179" s="1484" customFormat="1" ht="15" x14ac:dyDescent="0.25">
      <c r="A2341" s="1629"/>
      <c r="B2341" s="1862"/>
      <c r="C2341" s="2805" t="s">
        <v>8781</v>
      </c>
      <c r="D2341" s="2805"/>
      <c r="E2341" s="2805"/>
      <c r="F2341" s="2805"/>
      <c r="G2341" s="2805"/>
      <c r="H2341" s="2805"/>
      <c r="I2341" s="2805"/>
      <c r="J2341" s="2805"/>
      <c r="K2341" s="2805"/>
      <c r="L2341" s="2805"/>
      <c r="M2341" s="2805"/>
      <c r="N2341" s="2806"/>
      <c r="EW2341" s="2031"/>
      <c r="EX2341" s="1619"/>
      <c r="EY2341" s="1628"/>
      <c r="EZ2341" s="1628"/>
      <c r="FA2341" s="1628"/>
      <c r="FB2341" s="1864" t="s">
        <v>8781</v>
      </c>
      <c r="FH2341" s="1628"/>
      <c r="FU2341" s="1678"/>
      <c r="FW2341" s="1678"/>
    </row>
    <row r="2342" spans="1:179" s="1484" customFormat="1" ht="22.5" x14ac:dyDescent="0.25">
      <c r="A2342" s="1630"/>
      <c r="B2342" s="1631" t="s">
        <v>6062</v>
      </c>
      <c r="C2342" s="2809" t="s">
        <v>6063</v>
      </c>
      <c r="D2342" s="2809"/>
      <c r="E2342" s="2809"/>
      <c r="F2342" s="2809"/>
      <c r="G2342" s="2809"/>
      <c r="H2342" s="2809"/>
      <c r="I2342" s="2809"/>
      <c r="J2342" s="2809"/>
      <c r="K2342" s="2809"/>
      <c r="L2342" s="2809"/>
      <c r="M2342" s="2809"/>
      <c r="N2342" s="2810"/>
      <c r="EW2342" s="2031"/>
      <c r="EX2342" s="1619"/>
      <c r="EY2342" s="1628"/>
      <c r="EZ2342" s="1628"/>
      <c r="FA2342" s="1628"/>
      <c r="FC2342" s="1864" t="s">
        <v>6063</v>
      </c>
      <c r="FH2342" s="1628"/>
      <c r="FU2342" s="1678"/>
      <c r="FW2342" s="1678"/>
    </row>
    <row r="2343" spans="1:179" s="1484" customFormat="1" ht="22.5" x14ac:dyDescent="0.25">
      <c r="A2343" s="2033"/>
      <c r="B2343" s="1631" t="s">
        <v>3260</v>
      </c>
      <c r="C2343" s="2805" t="s">
        <v>8636</v>
      </c>
      <c r="D2343" s="2805"/>
      <c r="E2343" s="2805"/>
      <c r="F2343" s="1683" t="s">
        <v>807</v>
      </c>
      <c r="G2343" s="1655">
        <v>3.69</v>
      </c>
      <c r="H2343" s="1641"/>
      <c r="I2343" s="2042">
        <v>17.90757</v>
      </c>
      <c r="J2343" s="1654">
        <v>9.18</v>
      </c>
      <c r="K2343" s="1655">
        <v>1.25</v>
      </c>
      <c r="L2343" s="1654">
        <v>205.49</v>
      </c>
      <c r="M2343" s="1641"/>
      <c r="N2343" s="1681"/>
      <c r="EW2343" s="2031"/>
      <c r="EX2343" s="1619"/>
      <c r="EY2343" s="1628"/>
      <c r="EZ2343" s="1628"/>
      <c r="FA2343" s="1628"/>
      <c r="FD2343" s="1864" t="s">
        <v>8636</v>
      </c>
      <c r="FH2343" s="1628"/>
      <c r="FU2343" s="1678"/>
      <c r="FW2343" s="1678"/>
    </row>
    <row r="2344" spans="1:179" s="1484" customFormat="1" ht="22.5" x14ac:dyDescent="0.25">
      <c r="A2344" s="2033"/>
      <c r="B2344" s="1631" t="s">
        <v>5008</v>
      </c>
      <c r="C2344" s="2805" t="s">
        <v>5009</v>
      </c>
      <c r="D2344" s="2805"/>
      <c r="E2344" s="2805"/>
      <c r="F2344" s="1683" t="s">
        <v>4994</v>
      </c>
      <c r="G2344" s="1655">
        <v>0.01</v>
      </c>
      <c r="H2344" s="1641"/>
      <c r="I2344" s="2042">
        <v>4.8529999999999997E-2</v>
      </c>
      <c r="J2344" s="1654">
        <v>27.66</v>
      </c>
      <c r="K2344" s="1641"/>
      <c r="L2344" s="1654">
        <v>1.34</v>
      </c>
      <c r="M2344" s="1641"/>
      <c r="N2344" s="1681"/>
      <c r="EW2344" s="2031"/>
      <c r="EX2344" s="1619"/>
      <c r="EY2344" s="1628"/>
      <c r="EZ2344" s="1628"/>
      <c r="FA2344" s="1628"/>
      <c r="FD2344" s="1864" t="s">
        <v>5009</v>
      </c>
      <c r="FH2344" s="1628"/>
      <c r="FU2344" s="1678"/>
      <c r="FW2344" s="1678"/>
    </row>
    <row r="2345" spans="1:179" s="1484" customFormat="1" ht="15" x14ac:dyDescent="0.25">
      <c r="A2345" s="2033"/>
      <c r="B2345" s="1631" t="s">
        <v>821</v>
      </c>
      <c r="C2345" s="2805" t="s">
        <v>822</v>
      </c>
      <c r="D2345" s="2805"/>
      <c r="E2345" s="2805"/>
      <c r="F2345" s="1683" t="s">
        <v>4994</v>
      </c>
      <c r="G2345" s="1655">
        <v>0.04</v>
      </c>
      <c r="H2345" s="1641"/>
      <c r="I2345" s="2042">
        <v>0.19411999999999999</v>
      </c>
      <c r="J2345" s="1654">
        <v>65.709999999999994</v>
      </c>
      <c r="K2345" s="1641"/>
      <c r="L2345" s="1654">
        <v>12.76</v>
      </c>
      <c r="M2345" s="1641"/>
      <c r="N2345" s="1681"/>
      <c r="EW2345" s="2031"/>
      <c r="EX2345" s="1619"/>
      <c r="EY2345" s="1628"/>
      <c r="EZ2345" s="1628"/>
      <c r="FA2345" s="1628"/>
      <c r="FD2345" s="1864" t="s">
        <v>822</v>
      </c>
      <c r="FH2345" s="1628"/>
      <c r="FU2345" s="1678"/>
      <c r="FW2345" s="1678"/>
    </row>
    <row r="2346" spans="1:179" s="1484" customFormat="1" ht="33.75" x14ac:dyDescent="0.25">
      <c r="A2346" s="2033"/>
      <c r="B2346" s="1631" t="s">
        <v>5029</v>
      </c>
      <c r="C2346" s="2805" t="s">
        <v>5030</v>
      </c>
      <c r="D2346" s="2805"/>
      <c r="E2346" s="2805"/>
      <c r="F2346" s="1683" t="s">
        <v>4994</v>
      </c>
      <c r="G2346" s="1655">
        <v>2.82</v>
      </c>
      <c r="H2346" s="1641"/>
      <c r="I2346" s="2042">
        <v>13.685460000000001</v>
      </c>
      <c r="J2346" s="1654">
        <v>6.82</v>
      </c>
      <c r="K2346" s="1641"/>
      <c r="L2346" s="1654">
        <v>93.33</v>
      </c>
      <c r="M2346" s="1641"/>
      <c r="N2346" s="1681"/>
      <c r="EW2346" s="2031"/>
      <c r="EX2346" s="1619"/>
      <c r="EY2346" s="1628"/>
      <c r="EZ2346" s="1628"/>
      <c r="FA2346" s="1628"/>
      <c r="FD2346" s="1864" t="s">
        <v>5030</v>
      </c>
      <c r="FH2346" s="1628"/>
      <c r="FU2346" s="1678"/>
      <c r="FW2346" s="1678"/>
    </row>
    <row r="2347" spans="1:179" s="1484" customFormat="1" ht="15" x14ac:dyDescent="0.25">
      <c r="A2347" s="2033"/>
      <c r="B2347" s="1631" t="s">
        <v>1755</v>
      </c>
      <c r="C2347" s="2805" t="s">
        <v>2634</v>
      </c>
      <c r="D2347" s="2805"/>
      <c r="E2347" s="2805"/>
      <c r="F2347" s="1683" t="s">
        <v>832</v>
      </c>
      <c r="G2347" s="1655">
        <v>0.01</v>
      </c>
      <c r="H2347" s="1641"/>
      <c r="I2347" s="2042">
        <v>4.8529999999999997E-2</v>
      </c>
      <c r="J2347" s="1654">
        <v>2.44</v>
      </c>
      <c r="K2347" s="1641"/>
      <c r="L2347" s="1654">
        <v>0.12</v>
      </c>
      <c r="M2347" s="1641"/>
      <c r="N2347" s="1681"/>
      <c r="EW2347" s="2031"/>
      <c r="EX2347" s="1619"/>
      <c r="EY2347" s="1628"/>
      <c r="EZ2347" s="1628"/>
      <c r="FA2347" s="1628"/>
      <c r="FD2347" s="1864" t="s">
        <v>2634</v>
      </c>
      <c r="FH2347" s="1628"/>
      <c r="FU2347" s="1678"/>
      <c r="FW2347" s="1678"/>
    </row>
    <row r="2348" spans="1:179" s="1484" customFormat="1" ht="15" x14ac:dyDescent="0.25">
      <c r="A2348" s="2033"/>
      <c r="B2348" s="1631" t="s">
        <v>4922</v>
      </c>
      <c r="C2348" s="2805" t="s">
        <v>8707</v>
      </c>
      <c r="D2348" s="2805"/>
      <c r="E2348" s="2805"/>
      <c r="F2348" s="1683" t="s">
        <v>835</v>
      </c>
      <c r="G2348" s="2034">
        <v>1</v>
      </c>
      <c r="H2348" s="1641"/>
      <c r="I2348" s="2046">
        <v>4.8529999999999998</v>
      </c>
      <c r="J2348" s="1654">
        <v>1.82</v>
      </c>
      <c r="K2348" s="1641"/>
      <c r="L2348" s="1654">
        <v>8.83</v>
      </c>
      <c r="M2348" s="1641"/>
      <c r="N2348" s="1681"/>
      <c r="EW2348" s="2031"/>
      <c r="EX2348" s="1619"/>
      <c r="EY2348" s="1628"/>
      <c r="EZ2348" s="1628"/>
      <c r="FA2348" s="1628"/>
      <c r="FD2348" s="1864" t="s">
        <v>8707</v>
      </c>
      <c r="FH2348" s="1628"/>
      <c r="FU2348" s="1678"/>
      <c r="FW2348" s="1678"/>
    </row>
    <row r="2349" spans="1:179" s="1484" customFormat="1" ht="15" x14ac:dyDescent="0.25">
      <c r="A2349" s="2032"/>
      <c r="B2349" s="1631" t="s">
        <v>190</v>
      </c>
      <c r="C2349" s="2805" t="s">
        <v>2523</v>
      </c>
      <c r="D2349" s="2805"/>
      <c r="E2349" s="2805"/>
      <c r="F2349" s="1683"/>
      <c r="G2349" s="1641"/>
      <c r="H2349" s="1641"/>
      <c r="I2349" s="1641"/>
      <c r="J2349" s="1654">
        <v>33.869999999999997</v>
      </c>
      <c r="K2349" s="1655">
        <v>1.25</v>
      </c>
      <c r="L2349" s="1654">
        <v>205.46</v>
      </c>
      <c r="M2349" s="1655">
        <v>35.75</v>
      </c>
      <c r="N2349" s="1679">
        <v>7345.2</v>
      </c>
      <c r="EW2349" s="2031"/>
      <c r="EX2349" s="1619"/>
      <c r="EY2349" s="1628"/>
      <c r="EZ2349" s="1628"/>
      <c r="FA2349" s="1628"/>
      <c r="FE2349" s="1864" t="s">
        <v>2523</v>
      </c>
      <c r="FH2349" s="1628"/>
      <c r="FU2349" s="1678"/>
      <c r="FW2349" s="1678"/>
    </row>
    <row r="2350" spans="1:179" s="1484" customFormat="1" ht="15" x14ac:dyDescent="0.25">
      <c r="A2350" s="2032"/>
      <c r="B2350" s="1631" t="s">
        <v>639</v>
      </c>
      <c r="C2350" s="2805" t="s">
        <v>697</v>
      </c>
      <c r="D2350" s="2805"/>
      <c r="E2350" s="2805"/>
      <c r="F2350" s="1683"/>
      <c r="G2350" s="1641"/>
      <c r="H2350" s="1641"/>
      <c r="I2350" s="1641"/>
      <c r="J2350" s="1654">
        <v>22.14</v>
      </c>
      <c r="K2350" s="1641"/>
      <c r="L2350" s="1654">
        <v>107.45</v>
      </c>
      <c r="M2350" s="1655">
        <v>11.97</v>
      </c>
      <c r="N2350" s="1679">
        <v>1286.18</v>
      </c>
      <c r="EW2350" s="2031"/>
      <c r="EX2350" s="1619"/>
      <c r="EY2350" s="1628"/>
      <c r="EZ2350" s="1628"/>
      <c r="FA2350" s="1628"/>
      <c r="FE2350" s="1864" t="s">
        <v>697</v>
      </c>
      <c r="FH2350" s="1628"/>
      <c r="FU2350" s="1678"/>
      <c r="FW2350" s="1678"/>
    </row>
    <row r="2351" spans="1:179" s="1484" customFormat="1" ht="15" x14ac:dyDescent="0.25">
      <c r="A2351" s="2032"/>
      <c r="B2351" s="1631" t="s">
        <v>640</v>
      </c>
      <c r="C2351" s="2805" t="s">
        <v>2500</v>
      </c>
      <c r="D2351" s="2805"/>
      <c r="E2351" s="2805"/>
      <c r="F2351" s="1683"/>
      <c r="G2351" s="1641"/>
      <c r="H2351" s="1641"/>
      <c r="I2351" s="1641"/>
      <c r="J2351" s="1654">
        <v>0.57999999999999996</v>
      </c>
      <c r="K2351" s="1641"/>
      <c r="L2351" s="1654">
        <v>2.81</v>
      </c>
      <c r="M2351" s="1655">
        <v>35.75</v>
      </c>
      <c r="N2351" s="2039">
        <v>100.46</v>
      </c>
      <c r="EW2351" s="2031"/>
      <c r="EX2351" s="1619"/>
      <c r="EY2351" s="1628"/>
      <c r="EZ2351" s="1628"/>
      <c r="FA2351" s="1628"/>
      <c r="FE2351" s="1864" t="s">
        <v>2500</v>
      </c>
      <c r="FH2351" s="1628"/>
      <c r="FU2351" s="1678"/>
      <c r="FW2351" s="1678"/>
    </row>
    <row r="2352" spans="1:179" s="1484" customFormat="1" ht="15" x14ac:dyDescent="0.25">
      <c r="A2352" s="2032"/>
      <c r="B2352" s="1631" t="s">
        <v>232</v>
      </c>
      <c r="C2352" s="2805" t="s">
        <v>829</v>
      </c>
      <c r="D2352" s="2805"/>
      <c r="E2352" s="2805"/>
      <c r="F2352" s="1683"/>
      <c r="G2352" s="1641"/>
      <c r="H2352" s="1641"/>
      <c r="I2352" s="1641"/>
      <c r="J2352" s="1654">
        <v>1.84</v>
      </c>
      <c r="K2352" s="1641"/>
      <c r="L2352" s="1654">
        <v>8.93</v>
      </c>
      <c r="M2352" s="1655">
        <v>9.14</v>
      </c>
      <c r="N2352" s="2039">
        <v>81.62</v>
      </c>
      <c r="EW2352" s="2031"/>
      <c r="EX2352" s="1619"/>
      <c r="EY2352" s="1628"/>
      <c r="EZ2352" s="1628"/>
      <c r="FA2352" s="1628"/>
      <c r="FE2352" s="1864" t="s">
        <v>829</v>
      </c>
      <c r="FH2352" s="1628"/>
      <c r="FU2352" s="1678"/>
      <c r="FW2352" s="1678"/>
    </row>
    <row r="2353" spans="1:179" s="1484" customFormat="1" ht="15" x14ac:dyDescent="0.25">
      <c r="A2353" s="2033"/>
      <c r="B2353" s="1631"/>
      <c r="C2353" s="2805" t="s">
        <v>2524</v>
      </c>
      <c r="D2353" s="2805"/>
      <c r="E2353" s="2805"/>
      <c r="F2353" s="1683" t="s">
        <v>807</v>
      </c>
      <c r="G2353" s="1655">
        <v>3.69</v>
      </c>
      <c r="H2353" s="1641"/>
      <c r="I2353" s="2042">
        <v>17.90757</v>
      </c>
      <c r="J2353" s="1640"/>
      <c r="K2353" s="1641"/>
      <c r="L2353" s="1640"/>
      <c r="M2353" s="1641"/>
      <c r="N2353" s="1681"/>
      <c r="EW2353" s="2031"/>
      <c r="EX2353" s="1619"/>
      <c r="EY2353" s="1628"/>
      <c r="EZ2353" s="1628"/>
      <c r="FA2353" s="1628"/>
      <c r="FF2353" s="1864" t="s">
        <v>2524</v>
      </c>
      <c r="FH2353" s="1628"/>
      <c r="FU2353" s="1678"/>
      <c r="FW2353" s="1678"/>
    </row>
    <row r="2354" spans="1:179" s="1484" customFormat="1" ht="15" x14ac:dyDescent="0.25">
      <c r="A2354" s="2033"/>
      <c r="B2354" s="1631"/>
      <c r="C2354" s="2805" t="s">
        <v>2501</v>
      </c>
      <c r="D2354" s="2805"/>
      <c r="E2354" s="2805"/>
      <c r="F2354" s="1683" t="s">
        <v>807</v>
      </c>
      <c r="G2354" s="1655">
        <v>0.05</v>
      </c>
      <c r="H2354" s="1641"/>
      <c r="I2354" s="2042">
        <v>0.24265</v>
      </c>
      <c r="J2354" s="1640"/>
      <c r="K2354" s="1641"/>
      <c r="L2354" s="1640"/>
      <c r="M2354" s="1641"/>
      <c r="N2354" s="1681"/>
      <c r="EW2354" s="2031"/>
      <c r="EX2354" s="1619"/>
      <c r="EY2354" s="1628"/>
      <c r="EZ2354" s="1628"/>
      <c r="FA2354" s="1628"/>
      <c r="FF2354" s="1864" t="s">
        <v>2501</v>
      </c>
      <c r="FH2354" s="1628"/>
      <c r="FU2354" s="1678"/>
      <c r="FW2354" s="1678"/>
    </row>
    <row r="2355" spans="1:179" s="1484" customFormat="1" ht="15" x14ac:dyDescent="0.25">
      <c r="A2355" s="2032"/>
      <c r="B2355" s="1631"/>
      <c r="C2355" s="2917" t="s">
        <v>2502</v>
      </c>
      <c r="D2355" s="2917"/>
      <c r="E2355" s="2917"/>
      <c r="F2355" s="2036"/>
      <c r="G2355" s="2037"/>
      <c r="H2355" s="2037"/>
      <c r="I2355" s="2037"/>
      <c r="J2355" s="2044">
        <v>57.85</v>
      </c>
      <c r="K2355" s="2037"/>
      <c r="L2355" s="2044">
        <v>321.83999999999997</v>
      </c>
      <c r="M2355" s="2037"/>
      <c r="N2355" s="2068">
        <v>8713</v>
      </c>
      <c r="EW2355" s="2031"/>
      <c r="EX2355" s="1619"/>
      <c r="EY2355" s="1628"/>
      <c r="EZ2355" s="1628"/>
      <c r="FA2355" s="1628"/>
      <c r="FG2355" s="1864" t="s">
        <v>2502</v>
      </c>
      <c r="FH2355" s="1628"/>
      <c r="FU2355" s="1678"/>
      <c r="FW2355" s="1678"/>
    </row>
    <row r="2356" spans="1:179" s="1484" customFormat="1" ht="15" x14ac:dyDescent="0.25">
      <c r="A2356" s="2033" t="s">
        <v>8354</v>
      </c>
      <c r="B2356" s="1631"/>
      <c r="C2356" s="2805" t="s">
        <v>7964</v>
      </c>
      <c r="D2356" s="2805"/>
      <c r="E2356" s="2805"/>
      <c r="F2356" s="1683" t="s">
        <v>5928</v>
      </c>
      <c r="G2356" s="1641"/>
      <c r="H2356" s="1641"/>
      <c r="I2356" s="1641"/>
      <c r="J2356" s="1640"/>
      <c r="K2356" s="1641"/>
      <c r="L2356" s="1654">
        <v>0.7</v>
      </c>
      <c r="M2356" s="1641"/>
      <c r="N2356" s="2039">
        <v>25.03</v>
      </c>
      <c r="EW2356" s="2031"/>
      <c r="EX2356" s="1619"/>
      <c r="EY2356" s="1628"/>
      <c r="EZ2356" s="1628"/>
      <c r="FA2356" s="1628"/>
      <c r="FF2356" s="1864" t="s">
        <v>7964</v>
      </c>
      <c r="FH2356" s="1628"/>
      <c r="FU2356" s="1678"/>
      <c r="FW2356" s="1678"/>
    </row>
    <row r="2357" spans="1:179" s="1484" customFormat="1" ht="15" x14ac:dyDescent="0.25">
      <c r="A2357" s="2033"/>
      <c r="B2357" s="1631"/>
      <c r="C2357" s="2805" t="s">
        <v>7965</v>
      </c>
      <c r="D2357" s="2805"/>
      <c r="E2357" s="2805"/>
      <c r="F2357" s="1683" t="s">
        <v>5928</v>
      </c>
      <c r="G2357" s="1641"/>
      <c r="H2357" s="1641"/>
      <c r="I2357" s="1641"/>
      <c r="J2357" s="1654">
        <v>0.57999999999999996</v>
      </c>
      <c r="K2357" s="1655">
        <v>0.25</v>
      </c>
      <c r="L2357" s="1654">
        <v>0.7</v>
      </c>
      <c r="M2357" s="1655">
        <v>35.75</v>
      </c>
      <c r="N2357" s="2039">
        <v>25.03</v>
      </c>
      <c r="EW2357" s="2031"/>
      <c r="EX2357" s="1619"/>
      <c r="EY2357" s="1628"/>
      <c r="EZ2357" s="1628"/>
      <c r="FA2357" s="1628"/>
      <c r="FF2357" s="1864" t="s">
        <v>7965</v>
      </c>
      <c r="FH2357" s="1628"/>
      <c r="FU2357" s="1678"/>
      <c r="FW2357" s="1678"/>
    </row>
    <row r="2358" spans="1:179" s="1484" customFormat="1" ht="15" x14ac:dyDescent="0.25">
      <c r="A2358" s="2033"/>
      <c r="B2358" s="1631"/>
      <c r="C2358" s="2805" t="s">
        <v>867</v>
      </c>
      <c r="D2358" s="2805"/>
      <c r="E2358" s="2805"/>
      <c r="F2358" s="1683"/>
      <c r="G2358" s="1641"/>
      <c r="H2358" s="1641"/>
      <c r="I2358" s="1641"/>
      <c r="J2358" s="1640"/>
      <c r="K2358" s="1641"/>
      <c r="L2358" s="1654">
        <v>208.97</v>
      </c>
      <c r="M2358" s="1641"/>
      <c r="N2358" s="1679">
        <v>7470.69</v>
      </c>
      <c r="EW2358" s="2031"/>
      <c r="EX2358" s="1619"/>
      <c r="EY2358" s="1628"/>
      <c r="EZ2358" s="1628"/>
      <c r="FA2358" s="1628"/>
      <c r="FF2358" s="1864" t="s">
        <v>867</v>
      </c>
      <c r="FH2358" s="1628"/>
      <c r="FU2358" s="1678"/>
      <c r="FW2358" s="1678"/>
    </row>
    <row r="2359" spans="1:179" s="1484" customFormat="1" ht="15" x14ac:dyDescent="0.25">
      <c r="A2359" s="2033"/>
      <c r="B2359" s="1631" t="s">
        <v>7966</v>
      </c>
      <c r="C2359" s="2805" t="s">
        <v>7967</v>
      </c>
      <c r="D2359" s="2805"/>
      <c r="E2359" s="2805"/>
      <c r="F2359" s="1683" t="s">
        <v>636</v>
      </c>
      <c r="G2359" s="2034">
        <v>100</v>
      </c>
      <c r="H2359" s="1641"/>
      <c r="I2359" s="2034">
        <v>100</v>
      </c>
      <c r="J2359" s="1640"/>
      <c r="K2359" s="1641"/>
      <c r="L2359" s="1654">
        <v>208.97</v>
      </c>
      <c r="M2359" s="1641"/>
      <c r="N2359" s="1679">
        <v>7470.69</v>
      </c>
      <c r="EW2359" s="2031"/>
      <c r="EX2359" s="1619"/>
      <c r="EY2359" s="1628"/>
      <c r="EZ2359" s="1628"/>
      <c r="FA2359" s="1628"/>
      <c r="FF2359" s="1864" t="s">
        <v>7967</v>
      </c>
      <c r="FH2359" s="1628"/>
      <c r="FU2359" s="1678"/>
      <c r="FW2359" s="1678"/>
    </row>
    <row r="2360" spans="1:179" s="1484" customFormat="1" ht="15" x14ac:dyDescent="0.25">
      <c r="A2360" s="2033"/>
      <c r="B2360" s="1631" t="s">
        <v>7968</v>
      </c>
      <c r="C2360" s="2805" t="s">
        <v>7969</v>
      </c>
      <c r="D2360" s="2805"/>
      <c r="E2360" s="2805"/>
      <c r="F2360" s="1683" t="s">
        <v>636</v>
      </c>
      <c r="G2360" s="2034">
        <v>49</v>
      </c>
      <c r="H2360" s="1641"/>
      <c r="I2360" s="2034">
        <v>49</v>
      </c>
      <c r="J2360" s="1640"/>
      <c r="K2360" s="1641"/>
      <c r="L2360" s="1654">
        <v>102.4</v>
      </c>
      <c r="M2360" s="1641"/>
      <c r="N2360" s="1679">
        <v>3660.64</v>
      </c>
      <c r="EW2360" s="2031"/>
      <c r="EX2360" s="1619"/>
      <c r="EY2360" s="1628"/>
      <c r="EZ2360" s="1628"/>
      <c r="FA2360" s="1628"/>
      <c r="FF2360" s="1864" t="s">
        <v>7969</v>
      </c>
      <c r="FH2360" s="1628"/>
      <c r="FU2360" s="1678"/>
      <c r="FW2360" s="1678"/>
    </row>
    <row r="2361" spans="1:179" s="1484" customFormat="1" ht="15" x14ac:dyDescent="0.25">
      <c r="A2361" s="1650"/>
      <c r="B2361" s="1651"/>
      <c r="C2361" s="2803" t="s">
        <v>872</v>
      </c>
      <c r="D2361" s="2803"/>
      <c r="E2361" s="2803"/>
      <c r="F2361" s="1621"/>
      <c r="G2361" s="1622"/>
      <c r="H2361" s="1622"/>
      <c r="I2361" s="1622"/>
      <c r="J2361" s="1625"/>
      <c r="K2361" s="1622"/>
      <c r="L2361" s="2040">
        <v>633.91</v>
      </c>
      <c r="M2361" s="2037"/>
      <c r="N2361" s="1649">
        <v>19869.36</v>
      </c>
      <c r="EW2361" s="2031"/>
      <c r="EX2361" s="1619"/>
      <c r="EY2361" s="1628"/>
      <c r="EZ2361" s="1628"/>
      <c r="FA2361" s="1628"/>
      <c r="FH2361" s="1628" t="s">
        <v>872</v>
      </c>
      <c r="FU2361" s="1678"/>
      <c r="FW2361" s="1678"/>
    </row>
    <row r="2362" spans="1:179" s="1484" customFormat="1" ht="33.75" x14ac:dyDescent="0.25">
      <c r="A2362" s="1620" t="s">
        <v>8355</v>
      </c>
      <c r="B2362" s="1863" t="s">
        <v>8062</v>
      </c>
      <c r="C2362" s="2803" t="s">
        <v>4978</v>
      </c>
      <c r="D2362" s="2803"/>
      <c r="E2362" s="2803"/>
      <c r="F2362" s="1621" t="s">
        <v>835</v>
      </c>
      <c r="G2362" s="1622">
        <v>66.971400000000003</v>
      </c>
      <c r="H2362" s="1623">
        <v>1</v>
      </c>
      <c r="I2362" s="2041">
        <v>66.971400000000003</v>
      </c>
      <c r="J2362" s="2040">
        <v>13.08</v>
      </c>
      <c r="K2362" s="1622"/>
      <c r="L2362" s="2040">
        <v>875.99</v>
      </c>
      <c r="M2362" s="1687">
        <v>9.14</v>
      </c>
      <c r="N2362" s="1649">
        <v>8006.55</v>
      </c>
      <c r="EW2362" s="2031"/>
      <c r="EX2362" s="1619"/>
      <c r="EY2362" s="1628" t="s">
        <v>4978</v>
      </c>
      <c r="EZ2362" s="1628" t="s">
        <v>588</v>
      </c>
      <c r="FA2362" s="1628" t="s">
        <v>588</v>
      </c>
      <c r="FH2362" s="1628"/>
      <c r="FU2362" s="1678"/>
      <c r="FW2362" s="1678"/>
    </row>
    <row r="2363" spans="1:179" s="1484" customFormat="1" ht="15" x14ac:dyDescent="0.25">
      <c r="A2363" s="1650"/>
      <c r="B2363" s="1651"/>
      <c r="C2363" s="2805" t="s">
        <v>8689</v>
      </c>
      <c r="D2363" s="2805"/>
      <c r="E2363" s="2805"/>
      <c r="F2363" s="2805"/>
      <c r="G2363" s="2805"/>
      <c r="H2363" s="2805"/>
      <c r="I2363" s="2805"/>
      <c r="J2363" s="2805"/>
      <c r="K2363" s="2805"/>
      <c r="L2363" s="2805"/>
      <c r="M2363" s="2805"/>
      <c r="N2363" s="2806"/>
      <c r="EW2363" s="2031"/>
      <c r="EX2363" s="1619"/>
      <c r="EY2363" s="1628"/>
      <c r="EZ2363" s="1628"/>
      <c r="FA2363" s="1628"/>
      <c r="FH2363" s="1628"/>
      <c r="FI2363" s="1864" t="s">
        <v>8689</v>
      </c>
      <c r="FJ2363" s="1864" t="s">
        <v>588</v>
      </c>
      <c r="FK2363" s="1864" t="s">
        <v>588</v>
      </c>
      <c r="FL2363" s="1864" t="s">
        <v>588</v>
      </c>
      <c r="FM2363" s="1864" t="s">
        <v>588</v>
      </c>
      <c r="FN2363" s="1864" t="s">
        <v>588</v>
      </c>
      <c r="FO2363" s="1864" t="s">
        <v>588</v>
      </c>
      <c r="FP2363" s="1864" t="s">
        <v>588</v>
      </c>
      <c r="FQ2363" s="1864" t="s">
        <v>588</v>
      </c>
      <c r="FR2363" s="1864" t="s">
        <v>588</v>
      </c>
      <c r="FS2363" s="1864" t="s">
        <v>588</v>
      </c>
      <c r="FT2363" s="1864" t="s">
        <v>588</v>
      </c>
      <c r="FU2363" s="1678"/>
      <c r="FW2363" s="1678"/>
    </row>
    <row r="2364" spans="1:179" s="1484" customFormat="1" ht="15" x14ac:dyDescent="0.25">
      <c r="A2364" s="1650"/>
      <c r="B2364" s="1651"/>
      <c r="C2364" s="2803" t="s">
        <v>872</v>
      </c>
      <c r="D2364" s="2803"/>
      <c r="E2364" s="2803"/>
      <c r="F2364" s="1621"/>
      <c r="G2364" s="1622"/>
      <c r="H2364" s="1622"/>
      <c r="I2364" s="1622"/>
      <c r="J2364" s="1625"/>
      <c r="K2364" s="1622"/>
      <c r="L2364" s="2040">
        <v>875.99</v>
      </c>
      <c r="M2364" s="2037"/>
      <c r="N2364" s="1649">
        <v>8006.55</v>
      </c>
      <c r="EW2364" s="2031"/>
      <c r="EX2364" s="1619"/>
      <c r="EY2364" s="1628"/>
      <c r="EZ2364" s="1628"/>
      <c r="FA2364" s="1628"/>
      <c r="FH2364" s="1628" t="s">
        <v>872</v>
      </c>
      <c r="FU2364" s="1678"/>
      <c r="FW2364" s="1678"/>
    </row>
    <row r="2365" spans="1:179" s="1484" customFormat="1" ht="33.75" x14ac:dyDescent="0.25">
      <c r="A2365" s="1620" t="s">
        <v>8356</v>
      </c>
      <c r="B2365" s="1863" t="s">
        <v>8782</v>
      </c>
      <c r="C2365" s="2803" t="s">
        <v>8138</v>
      </c>
      <c r="D2365" s="2803"/>
      <c r="E2365" s="2803"/>
      <c r="F2365" s="1621" t="s">
        <v>2555</v>
      </c>
      <c r="G2365" s="1622">
        <v>4.8529999999999998</v>
      </c>
      <c r="H2365" s="1623">
        <v>1</v>
      </c>
      <c r="I2365" s="2045">
        <v>4.8529999999999998</v>
      </c>
      <c r="J2365" s="1625"/>
      <c r="K2365" s="1622"/>
      <c r="L2365" s="1625"/>
      <c r="M2365" s="1622"/>
      <c r="N2365" s="1627"/>
      <c r="EW2365" s="2031"/>
      <c r="EX2365" s="1619"/>
      <c r="EY2365" s="1628" t="s">
        <v>8138</v>
      </c>
      <c r="EZ2365" s="1628" t="s">
        <v>588</v>
      </c>
      <c r="FA2365" s="1628" t="s">
        <v>588</v>
      </c>
      <c r="FH2365" s="1628"/>
      <c r="FU2365" s="1678"/>
      <c r="FW2365" s="1678"/>
    </row>
    <row r="2366" spans="1:179" s="1484" customFormat="1" ht="15" x14ac:dyDescent="0.25">
      <c r="A2366" s="1629"/>
      <c r="B2366" s="1862"/>
      <c r="C2366" s="2805" t="s">
        <v>8781</v>
      </c>
      <c r="D2366" s="2805"/>
      <c r="E2366" s="2805"/>
      <c r="F2366" s="2805"/>
      <c r="G2366" s="2805"/>
      <c r="H2366" s="2805"/>
      <c r="I2366" s="2805"/>
      <c r="J2366" s="2805"/>
      <c r="K2366" s="2805"/>
      <c r="L2366" s="2805"/>
      <c r="M2366" s="2805"/>
      <c r="N2366" s="2806"/>
      <c r="EW2366" s="2031"/>
      <c r="EX2366" s="1619"/>
      <c r="EY2366" s="1628"/>
      <c r="EZ2366" s="1628"/>
      <c r="FA2366" s="1628"/>
      <c r="FB2366" s="1864" t="s">
        <v>8781</v>
      </c>
      <c r="FH2366" s="1628"/>
      <c r="FU2366" s="1678"/>
      <c r="FW2366" s="1678"/>
    </row>
    <row r="2367" spans="1:179" s="1484" customFormat="1" ht="22.5" x14ac:dyDescent="0.25">
      <c r="A2367" s="1630"/>
      <c r="B2367" s="1631" t="s">
        <v>6062</v>
      </c>
      <c r="C2367" s="2809" t="s">
        <v>6063</v>
      </c>
      <c r="D2367" s="2809"/>
      <c r="E2367" s="2809"/>
      <c r="F2367" s="2809"/>
      <c r="G2367" s="2809"/>
      <c r="H2367" s="2809"/>
      <c r="I2367" s="2809"/>
      <c r="J2367" s="2809"/>
      <c r="K2367" s="2809"/>
      <c r="L2367" s="2809"/>
      <c r="M2367" s="2809"/>
      <c r="N2367" s="2810"/>
      <c r="EW2367" s="2031"/>
      <c r="EX2367" s="1619"/>
      <c r="EY2367" s="1628"/>
      <c r="EZ2367" s="1628"/>
      <c r="FA2367" s="1628"/>
      <c r="FC2367" s="1864" t="s">
        <v>6063</v>
      </c>
      <c r="FH2367" s="1628"/>
      <c r="FU2367" s="1678"/>
      <c r="FW2367" s="1678"/>
    </row>
    <row r="2368" spans="1:179" s="1484" customFormat="1" ht="22.5" x14ac:dyDescent="0.25">
      <c r="A2368" s="2033"/>
      <c r="B2368" s="1631" t="s">
        <v>1729</v>
      </c>
      <c r="C2368" s="2805" t="s">
        <v>8712</v>
      </c>
      <c r="D2368" s="2805"/>
      <c r="E2368" s="2805"/>
      <c r="F2368" s="1683" t="s">
        <v>807</v>
      </c>
      <c r="G2368" s="1655">
        <v>3.45</v>
      </c>
      <c r="H2368" s="1641"/>
      <c r="I2368" s="2042">
        <v>16.742850000000001</v>
      </c>
      <c r="J2368" s="1654">
        <v>8.5299999999999994</v>
      </c>
      <c r="K2368" s="1655">
        <v>1.25</v>
      </c>
      <c r="L2368" s="1654">
        <v>178.52</v>
      </c>
      <c r="M2368" s="1641"/>
      <c r="N2368" s="1681"/>
      <c r="EW2368" s="2031"/>
      <c r="EX2368" s="1619"/>
      <c r="EY2368" s="1628"/>
      <c r="EZ2368" s="1628"/>
      <c r="FA2368" s="1628"/>
      <c r="FD2368" s="1864" t="s">
        <v>8712</v>
      </c>
      <c r="FH2368" s="1628"/>
      <c r="FU2368" s="1678"/>
      <c r="FW2368" s="1678"/>
    </row>
    <row r="2369" spans="1:179" s="1484" customFormat="1" ht="15" x14ac:dyDescent="0.25">
      <c r="A2369" s="2033"/>
      <c r="B2369" s="1631" t="s">
        <v>821</v>
      </c>
      <c r="C2369" s="2805" t="s">
        <v>822</v>
      </c>
      <c r="D2369" s="2805"/>
      <c r="E2369" s="2805"/>
      <c r="F2369" s="1683" t="s">
        <v>4994</v>
      </c>
      <c r="G2369" s="1655">
        <v>0.02</v>
      </c>
      <c r="H2369" s="1641"/>
      <c r="I2369" s="2042">
        <v>9.7059999999999994E-2</v>
      </c>
      <c r="J2369" s="1654">
        <v>65.709999999999994</v>
      </c>
      <c r="K2369" s="1641"/>
      <c r="L2369" s="1654">
        <v>6.38</v>
      </c>
      <c r="M2369" s="1641"/>
      <c r="N2369" s="1681"/>
      <c r="EW2369" s="2031"/>
      <c r="EX2369" s="1619"/>
      <c r="EY2369" s="1628"/>
      <c r="EZ2369" s="1628"/>
      <c r="FA2369" s="1628"/>
      <c r="FD2369" s="1864" t="s">
        <v>822</v>
      </c>
      <c r="FH2369" s="1628"/>
      <c r="FU2369" s="1678"/>
      <c r="FW2369" s="1678"/>
    </row>
    <row r="2370" spans="1:179" s="1484" customFormat="1" ht="15" x14ac:dyDescent="0.25">
      <c r="A2370" s="2033"/>
      <c r="B2370" s="1631" t="s">
        <v>4894</v>
      </c>
      <c r="C2370" s="2805" t="s">
        <v>4895</v>
      </c>
      <c r="D2370" s="2805"/>
      <c r="E2370" s="2805"/>
      <c r="F2370" s="1683" t="s">
        <v>130</v>
      </c>
      <c r="G2370" s="1953">
        <v>122.4</v>
      </c>
      <c r="H2370" s="1641"/>
      <c r="I2370" s="2035">
        <v>594.00720000000001</v>
      </c>
      <c r="J2370" s="1654">
        <v>12.19</v>
      </c>
      <c r="K2370" s="1641"/>
      <c r="L2370" s="1657">
        <v>7240.95</v>
      </c>
      <c r="M2370" s="1641"/>
      <c r="N2370" s="1681"/>
      <c r="EW2370" s="2031"/>
      <c r="EX2370" s="1619"/>
      <c r="EY2370" s="1628"/>
      <c r="EZ2370" s="1628"/>
      <c r="FA2370" s="1628"/>
      <c r="FD2370" s="1864" t="s">
        <v>4895</v>
      </c>
      <c r="FH2370" s="1628"/>
      <c r="FU2370" s="1678"/>
      <c r="FW2370" s="1678"/>
    </row>
    <row r="2371" spans="1:179" s="1484" customFormat="1" ht="15" x14ac:dyDescent="0.25">
      <c r="A2371" s="2032"/>
      <c r="B2371" s="1631" t="s">
        <v>190</v>
      </c>
      <c r="C2371" s="2805" t="s">
        <v>2523</v>
      </c>
      <c r="D2371" s="2805"/>
      <c r="E2371" s="2805"/>
      <c r="F2371" s="1683"/>
      <c r="G2371" s="1641"/>
      <c r="H2371" s="1641"/>
      <c r="I2371" s="1641"/>
      <c r="J2371" s="1654">
        <v>29.43</v>
      </c>
      <c r="K2371" s="1655">
        <v>1.25</v>
      </c>
      <c r="L2371" s="1654">
        <v>178.53</v>
      </c>
      <c r="M2371" s="1655">
        <v>35.75</v>
      </c>
      <c r="N2371" s="1679">
        <v>6382.45</v>
      </c>
      <c r="EW2371" s="2031"/>
      <c r="EX2371" s="1619"/>
      <c r="EY2371" s="1628"/>
      <c r="EZ2371" s="1628"/>
      <c r="FA2371" s="1628"/>
      <c r="FE2371" s="1864" t="s">
        <v>2523</v>
      </c>
      <c r="FH2371" s="1628"/>
      <c r="FU2371" s="1678"/>
      <c r="FW2371" s="1678"/>
    </row>
    <row r="2372" spans="1:179" s="1484" customFormat="1" ht="15" x14ac:dyDescent="0.25">
      <c r="A2372" s="2032"/>
      <c r="B2372" s="1631" t="s">
        <v>639</v>
      </c>
      <c r="C2372" s="2805" t="s">
        <v>697</v>
      </c>
      <c r="D2372" s="2805"/>
      <c r="E2372" s="2805"/>
      <c r="F2372" s="1683"/>
      <c r="G2372" s="1641"/>
      <c r="H2372" s="1641"/>
      <c r="I2372" s="1641"/>
      <c r="J2372" s="1654">
        <v>1.31</v>
      </c>
      <c r="K2372" s="1641"/>
      <c r="L2372" s="1654">
        <v>6.36</v>
      </c>
      <c r="M2372" s="1655">
        <v>11.97</v>
      </c>
      <c r="N2372" s="2039">
        <v>76.13</v>
      </c>
      <c r="EW2372" s="2031"/>
      <c r="EX2372" s="1619"/>
      <c r="EY2372" s="1628"/>
      <c r="EZ2372" s="1628"/>
      <c r="FA2372" s="1628"/>
      <c r="FE2372" s="1864" t="s">
        <v>697</v>
      </c>
      <c r="FH2372" s="1628"/>
      <c r="FU2372" s="1678"/>
      <c r="FW2372" s="1678"/>
    </row>
    <row r="2373" spans="1:179" s="1484" customFormat="1" ht="15" x14ac:dyDescent="0.25">
      <c r="A2373" s="2032"/>
      <c r="B2373" s="1631" t="s">
        <v>640</v>
      </c>
      <c r="C2373" s="2805" t="s">
        <v>2500</v>
      </c>
      <c r="D2373" s="2805"/>
      <c r="E2373" s="2805"/>
      <c r="F2373" s="1683"/>
      <c r="G2373" s="1641"/>
      <c r="H2373" s="1641"/>
      <c r="I2373" s="1641"/>
      <c r="J2373" s="1654">
        <v>0.23</v>
      </c>
      <c r="K2373" s="1641"/>
      <c r="L2373" s="1654">
        <v>1.1200000000000001</v>
      </c>
      <c r="M2373" s="1655">
        <v>35.75</v>
      </c>
      <c r="N2373" s="2039">
        <v>40.04</v>
      </c>
      <c r="EW2373" s="2031"/>
      <c r="EX2373" s="1619"/>
      <c r="EY2373" s="1628"/>
      <c r="EZ2373" s="1628"/>
      <c r="FA2373" s="1628"/>
      <c r="FE2373" s="1864" t="s">
        <v>2500</v>
      </c>
      <c r="FH2373" s="1628"/>
      <c r="FU2373" s="1678"/>
      <c r="FW2373" s="1678"/>
    </row>
    <row r="2374" spans="1:179" s="1484" customFormat="1" ht="15" x14ac:dyDescent="0.25">
      <c r="A2374" s="2032"/>
      <c r="B2374" s="1631" t="s">
        <v>232</v>
      </c>
      <c r="C2374" s="2805" t="s">
        <v>829</v>
      </c>
      <c r="D2374" s="2805"/>
      <c r="E2374" s="2805"/>
      <c r="F2374" s="1683"/>
      <c r="G2374" s="1641"/>
      <c r="H2374" s="1641"/>
      <c r="I2374" s="1641"/>
      <c r="J2374" s="1657">
        <v>1492.06</v>
      </c>
      <c r="K2374" s="1641"/>
      <c r="L2374" s="1657">
        <v>7240.97</v>
      </c>
      <c r="M2374" s="1655">
        <v>9.14</v>
      </c>
      <c r="N2374" s="1679">
        <v>66182.47</v>
      </c>
      <c r="EW2374" s="2031"/>
      <c r="EX2374" s="1619"/>
      <c r="EY2374" s="1628"/>
      <c r="EZ2374" s="1628"/>
      <c r="FA2374" s="1628"/>
      <c r="FE2374" s="1864" t="s">
        <v>829</v>
      </c>
      <c r="FH2374" s="1628"/>
      <c r="FU2374" s="1678"/>
      <c r="FW2374" s="1678"/>
    </row>
    <row r="2375" spans="1:179" s="1484" customFormat="1" ht="15" x14ac:dyDescent="0.25">
      <c r="A2375" s="2033"/>
      <c r="B2375" s="1631"/>
      <c r="C2375" s="2805" t="s">
        <v>2524</v>
      </c>
      <c r="D2375" s="2805"/>
      <c r="E2375" s="2805"/>
      <c r="F2375" s="1683" t="s">
        <v>807</v>
      </c>
      <c r="G2375" s="1655">
        <v>3.45</v>
      </c>
      <c r="H2375" s="1641"/>
      <c r="I2375" s="2042">
        <v>16.742850000000001</v>
      </c>
      <c r="J2375" s="1640"/>
      <c r="K2375" s="1641"/>
      <c r="L2375" s="1640"/>
      <c r="M2375" s="1641"/>
      <c r="N2375" s="1681"/>
      <c r="EW2375" s="2031"/>
      <c r="EX2375" s="1619"/>
      <c r="EY2375" s="1628"/>
      <c r="EZ2375" s="1628"/>
      <c r="FA2375" s="1628"/>
      <c r="FF2375" s="1864" t="s">
        <v>2524</v>
      </c>
      <c r="FH2375" s="1628"/>
      <c r="FU2375" s="1678"/>
      <c r="FW2375" s="1678"/>
    </row>
    <row r="2376" spans="1:179" s="1484" customFormat="1" ht="15" x14ac:dyDescent="0.25">
      <c r="A2376" s="2033"/>
      <c r="B2376" s="1631"/>
      <c r="C2376" s="2805" t="s">
        <v>2501</v>
      </c>
      <c r="D2376" s="2805"/>
      <c r="E2376" s="2805"/>
      <c r="F2376" s="1683" t="s">
        <v>807</v>
      </c>
      <c r="G2376" s="1655">
        <v>0.02</v>
      </c>
      <c r="H2376" s="1641"/>
      <c r="I2376" s="2042">
        <v>9.7059999999999994E-2</v>
      </c>
      <c r="J2376" s="1640"/>
      <c r="K2376" s="1641"/>
      <c r="L2376" s="1640"/>
      <c r="M2376" s="1641"/>
      <c r="N2376" s="1681"/>
      <c r="EW2376" s="2031"/>
      <c r="EX2376" s="1619"/>
      <c r="EY2376" s="1628"/>
      <c r="EZ2376" s="1628"/>
      <c r="FA2376" s="1628"/>
      <c r="FF2376" s="1864" t="s">
        <v>2501</v>
      </c>
      <c r="FH2376" s="1628"/>
      <c r="FU2376" s="1678"/>
      <c r="FW2376" s="1678"/>
    </row>
    <row r="2377" spans="1:179" s="1484" customFormat="1" ht="15" x14ac:dyDescent="0.25">
      <c r="A2377" s="2032"/>
      <c r="B2377" s="1631"/>
      <c r="C2377" s="2917" t="s">
        <v>2502</v>
      </c>
      <c r="D2377" s="2917"/>
      <c r="E2377" s="2917"/>
      <c r="F2377" s="2036"/>
      <c r="G2377" s="2037"/>
      <c r="H2377" s="2037"/>
      <c r="I2377" s="2037"/>
      <c r="J2377" s="2038">
        <v>1522.8</v>
      </c>
      <c r="K2377" s="2037"/>
      <c r="L2377" s="2038">
        <v>7425.86</v>
      </c>
      <c r="M2377" s="2037"/>
      <c r="N2377" s="2068">
        <v>72641.05</v>
      </c>
      <c r="EW2377" s="2031"/>
      <c r="EX2377" s="1619"/>
      <c r="EY2377" s="1628"/>
      <c r="EZ2377" s="1628"/>
      <c r="FA2377" s="1628"/>
      <c r="FG2377" s="1864" t="s">
        <v>2502</v>
      </c>
      <c r="FH2377" s="1628"/>
      <c r="FU2377" s="1678"/>
      <c r="FW2377" s="1678"/>
    </row>
    <row r="2378" spans="1:179" s="1484" customFormat="1" ht="15" x14ac:dyDescent="0.25">
      <c r="A2378" s="2033" t="s">
        <v>8357</v>
      </c>
      <c r="B2378" s="1631"/>
      <c r="C2378" s="2805" t="s">
        <v>7964</v>
      </c>
      <c r="D2378" s="2805"/>
      <c r="E2378" s="2805"/>
      <c r="F2378" s="1683" t="s">
        <v>5928</v>
      </c>
      <c r="G2378" s="1641"/>
      <c r="H2378" s="1641"/>
      <c r="I2378" s="1641"/>
      <c r="J2378" s="1640"/>
      <c r="K2378" s="1641"/>
      <c r="L2378" s="1654">
        <v>0.28000000000000003</v>
      </c>
      <c r="M2378" s="1641"/>
      <c r="N2378" s="2039">
        <v>10.01</v>
      </c>
      <c r="EW2378" s="2031"/>
      <c r="EX2378" s="1619"/>
      <c r="EY2378" s="1628"/>
      <c r="EZ2378" s="1628"/>
      <c r="FA2378" s="1628"/>
      <c r="FF2378" s="1864" t="s">
        <v>7964</v>
      </c>
      <c r="FH2378" s="1628"/>
      <c r="FU2378" s="1678"/>
      <c r="FW2378" s="1678"/>
    </row>
    <row r="2379" spans="1:179" s="1484" customFormat="1" ht="15" x14ac:dyDescent="0.25">
      <c r="A2379" s="2033"/>
      <c r="B2379" s="1631"/>
      <c r="C2379" s="2805" t="s">
        <v>7965</v>
      </c>
      <c r="D2379" s="2805"/>
      <c r="E2379" s="2805"/>
      <c r="F2379" s="1683" t="s">
        <v>5928</v>
      </c>
      <c r="G2379" s="1641"/>
      <c r="H2379" s="1641"/>
      <c r="I2379" s="1641"/>
      <c r="J2379" s="1654">
        <v>0.23</v>
      </c>
      <c r="K2379" s="1655">
        <v>0.25</v>
      </c>
      <c r="L2379" s="1654">
        <v>0.28000000000000003</v>
      </c>
      <c r="M2379" s="1655">
        <v>35.75</v>
      </c>
      <c r="N2379" s="2039">
        <v>10.01</v>
      </c>
      <c r="EW2379" s="2031"/>
      <c r="EX2379" s="1619"/>
      <c r="EY2379" s="1628"/>
      <c r="EZ2379" s="1628"/>
      <c r="FA2379" s="1628"/>
      <c r="FF2379" s="1864" t="s">
        <v>7965</v>
      </c>
      <c r="FH2379" s="1628"/>
      <c r="FU2379" s="1678"/>
      <c r="FW2379" s="1678"/>
    </row>
    <row r="2380" spans="1:179" s="1484" customFormat="1" ht="15" x14ac:dyDescent="0.25">
      <c r="A2380" s="2033"/>
      <c r="B2380" s="1631"/>
      <c r="C2380" s="2805" t="s">
        <v>867</v>
      </c>
      <c r="D2380" s="2805"/>
      <c r="E2380" s="2805"/>
      <c r="F2380" s="1683"/>
      <c r="G2380" s="1641"/>
      <c r="H2380" s="1641"/>
      <c r="I2380" s="1641"/>
      <c r="J2380" s="1640"/>
      <c r="K2380" s="1641"/>
      <c r="L2380" s="1654">
        <v>179.93</v>
      </c>
      <c r="M2380" s="1641"/>
      <c r="N2380" s="1679">
        <v>6432.5</v>
      </c>
      <c r="EW2380" s="2031"/>
      <c r="EX2380" s="1619"/>
      <c r="EY2380" s="1628"/>
      <c r="EZ2380" s="1628"/>
      <c r="FA2380" s="1628"/>
      <c r="FF2380" s="1864" t="s">
        <v>867</v>
      </c>
      <c r="FH2380" s="1628"/>
      <c r="FU2380" s="1678"/>
      <c r="FW2380" s="1678"/>
    </row>
    <row r="2381" spans="1:179" s="1484" customFormat="1" ht="15" x14ac:dyDescent="0.25">
      <c r="A2381" s="2033"/>
      <c r="B2381" s="1631" t="s">
        <v>8054</v>
      </c>
      <c r="C2381" s="2805" t="s">
        <v>8055</v>
      </c>
      <c r="D2381" s="2805"/>
      <c r="E2381" s="2805"/>
      <c r="F2381" s="1683" t="s">
        <v>636</v>
      </c>
      <c r="G2381" s="2034">
        <v>112</v>
      </c>
      <c r="H2381" s="1641"/>
      <c r="I2381" s="2034">
        <v>112</v>
      </c>
      <c r="J2381" s="1640"/>
      <c r="K2381" s="1641"/>
      <c r="L2381" s="1654">
        <v>201.52</v>
      </c>
      <c r="M2381" s="1641"/>
      <c r="N2381" s="1679">
        <v>7204.4</v>
      </c>
      <c r="EW2381" s="2031"/>
      <c r="EX2381" s="1619"/>
      <c r="EY2381" s="1628"/>
      <c r="EZ2381" s="1628"/>
      <c r="FA2381" s="1628"/>
      <c r="FF2381" s="1864" t="s">
        <v>8055</v>
      </c>
      <c r="FH2381" s="1628"/>
      <c r="FU2381" s="1678"/>
      <c r="FW2381" s="1678"/>
    </row>
    <row r="2382" spans="1:179" s="1484" customFormat="1" ht="15" x14ac:dyDescent="0.25">
      <c r="A2382" s="2033"/>
      <c r="B2382" s="1631" t="s">
        <v>8056</v>
      </c>
      <c r="C2382" s="2805" t="s">
        <v>8057</v>
      </c>
      <c r="D2382" s="2805"/>
      <c r="E2382" s="2805"/>
      <c r="F2382" s="1683" t="s">
        <v>636</v>
      </c>
      <c r="G2382" s="2034">
        <v>65</v>
      </c>
      <c r="H2382" s="1641"/>
      <c r="I2382" s="2034">
        <v>65</v>
      </c>
      <c r="J2382" s="1640"/>
      <c r="K2382" s="1641"/>
      <c r="L2382" s="1654">
        <v>116.95</v>
      </c>
      <c r="M2382" s="1641"/>
      <c r="N2382" s="1679">
        <v>4181.13</v>
      </c>
      <c r="EW2382" s="2031"/>
      <c r="EX2382" s="1619"/>
      <c r="EY2382" s="1628"/>
      <c r="EZ2382" s="1628"/>
      <c r="FA2382" s="1628"/>
      <c r="FF2382" s="1864" t="s">
        <v>8057</v>
      </c>
      <c r="FH2382" s="1628"/>
      <c r="FU2382" s="1678"/>
      <c r="FW2382" s="1678"/>
    </row>
    <row r="2383" spans="1:179" s="1484" customFormat="1" ht="15" x14ac:dyDescent="0.25">
      <c r="A2383" s="1650"/>
      <c r="B2383" s="1651"/>
      <c r="C2383" s="2803" t="s">
        <v>872</v>
      </c>
      <c r="D2383" s="2803"/>
      <c r="E2383" s="2803"/>
      <c r="F2383" s="1621"/>
      <c r="G2383" s="1622"/>
      <c r="H2383" s="1622"/>
      <c r="I2383" s="1622"/>
      <c r="J2383" s="1625"/>
      <c r="K2383" s="1622"/>
      <c r="L2383" s="1648">
        <v>7744.61</v>
      </c>
      <c r="M2383" s="2037"/>
      <c r="N2383" s="1649">
        <v>84036.59</v>
      </c>
      <c r="EW2383" s="2031"/>
      <c r="EX2383" s="1619"/>
      <c r="EY2383" s="1628"/>
      <c r="EZ2383" s="1628"/>
      <c r="FA2383" s="1628"/>
      <c r="FH2383" s="1628" t="s">
        <v>872</v>
      </c>
      <c r="FU2383" s="1678"/>
      <c r="FW2383" s="1678"/>
    </row>
    <row r="2384" spans="1:179" s="1484" customFormat="1" ht="15" x14ac:dyDescent="0.25">
      <c r="A2384" s="1620" t="s">
        <v>8358</v>
      </c>
      <c r="B2384" s="1863" t="s">
        <v>8359</v>
      </c>
      <c r="C2384" s="2803" t="s">
        <v>8360</v>
      </c>
      <c r="D2384" s="2803"/>
      <c r="E2384" s="2803"/>
      <c r="F2384" s="1621" t="s">
        <v>2555</v>
      </c>
      <c r="G2384" s="1622">
        <v>4.8529999999999998</v>
      </c>
      <c r="H2384" s="1623">
        <v>1</v>
      </c>
      <c r="I2384" s="2045">
        <v>4.8529999999999998</v>
      </c>
      <c r="J2384" s="1625"/>
      <c r="K2384" s="1622"/>
      <c r="L2384" s="1625"/>
      <c r="M2384" s="1622"/>
      <c r="N2384" s="1627"/>
      <c r="EW2384" s="2031"/>
      <c r="EX2384" s="1619"/>
      <c r="EY2384" s="1628" t="s">
        <v>8360</v>
      </c>
      <c r="EZ2384" s="1628" t="s">
        <v>588</v>
      </c>
      <c r="FA2384" s="1628" t="s">
        <v>588</v>
      </c>
      <c r="FH2384" s="1628"/>
      <c r="FU2384" s="1678"/>
      <c r="FW2384" s="1678"/>
    </row>
    <row r="2385" spans="1:179" s="1484" customFormat="1" ht="15" x14ac:dyDescent="0.25">
      <c r="A2385" s="1629"/>
      <c r="B2385" s="1862"/>
      <c r="C2385" s="2805" t="s">
        <v>8781</v>
      </c>
      <c r="D2385" s="2805"/>
      <c r="E2385" s="2805"/>
      <c r="F2385" s="2805"/>
      <c r="G2385" s="2805"/>
      <c r="H2385" s="2805"/>
      <c r="I2385" s="2805"/>
      <c r="J2385" s="2805"/>
      <c r="K2385" s="2805"/>
      <c r="L2385" s="2805"/>
      <c r="M2385" s="2805"/>
      <c r="N2385" s="2806"/>
      <c r="EW2385" s="2031"/>
      <c r="EX2385" s="1619"/>
      <c r="EY2385" s="1628"/>
      <c r="EZ2385" s="1628"/>
      <c r="FA2385" s="1628"/>
      <c r="FB2385" s="1864" t="s">
        <v>8781</v>
      </c>
      <c r="FH2385" s="1628"/>
      <c r="FU2385" s="1678"/>
      <c r="FW2385" s="1678"/>
    </row>
    <row r="2386" spans="1:179" s="1484" customFormat="1" ht="22.5" x14ac:dyDescent="0.25">
      <c r="A2386" s="1630"/>
      <c r="B2386" s="1631" t="s">
        <v>6062</v>
      </c>
      <c r="C2386" s="2809" t="s">
        <v>6063</v>
      </c>
      <c r="D2386" s="2809"/>
      <c r="E2386" s="2809"/>
      <c r="F2386" s="2809"/>
      <c r="G2386" s="2809"/>
      <c r="H2386" s="2809"/>
      <c r="I2386" s="2809"/>
      <c r="J2386" s="2809"/>
      <c r="K2386" s="2809"/>
      <c r="L2386" s="2809"/>
      <c r="M2386" s="2809"/>
      <c r="N2386" s="2810"/>
      <c r="EW2386" s="2031"/>
      <c r="EX2386" s="1619"/>
      <c r="EY2386" s="1628"/>
      <c r="EZ2386" s="1628"/>
      <c r="FA2386" s="1628"/>
      <c r="FC2386" s="1864" t="s">
        <v>6063</v>
      </c>
      <c r="FH2386" s="1628"/>
      <c r="FU2386" s="1678"/>
      <c r="FW2386" s="1678"/>
    </row>
    <row r="2387" spans="1:179" s="1484" customFormat="1" ht="22.5" x14ac:dyDescent="0.25">
      <c r="A2387" s="2033"/>
      <c r="B2387" s="1631" t="s">
        <v>3889</v>
      </c>
      <c r="C2387" s="2805" t="s">
        <v>8780</v>
      </c>
      <c r="D2387" s="2805"/>
      <c r="E2387" s="2805"/>
      <c r="F2387" s="1683" t="s">
        <v>807</v>
      </c>
      <c r="G2387" s="1953">
        <v>38.200000000000003</v>
      </c>
      <c r="H2387" s="1641"/>
      <c r="I2387" s="2035">
        <v>185.38460000000001</v>
      </c>
      <c r="J2387" s="1654">
        <v>8.31</v>
      </c>
      <c r="K2387" s="1655">
        <v>1.25</v>
      </c>
      <c r="L2387" s="1657">
        <v>1925.68</v>
      </c>
      <c r="M2387" s="1641"/>
      <c r="N2387" s="1681"/>
      <c r="EW2387" s="2031"/>
      <c r="EX2387" s="1619"/>
      <c r="EY2387" s="1628"/>
      <c r="EZ2387" s="1628"/>
      <c r="FA2387" s="1628"/>
      <c r="FD2387" s="1864" t="s">
        <v>8780</v>
      </c>
      <c r="FH2387" s="1628"/>
      <c r="FU2387" s="1678"/>
      <c r="FW2387" s="1678"/>
    </row>
    <row r="2388" spans="1:179" s="1484" customFormat="1" ht="22.5" x14ac:dyDescent="0.25">
      <c r="A2388" s="2033"/>
      <c r="B2388" s="1631" t="s">
        <v>5010</v>
      </c>
      <c r="C2388" s="2805" t="s">
        <v>5011</v>
      </c>
      <c r="D2388" s="2805"/>
      <c r="E2388" s="2805"/>
      <c r="F2388" s="1683" t="s">
        <v>4994</v>
      </c>
      <c r="G2388" s="1655">
        <v>0.35</v>
      </c>
      <c r="H2388" s="1641"/>
      <c r="I2388" s="2042">
        <v>1.69855</v>
      </c>
      <c r="J2388" s="1654">
        <v>31.26</v>
      </c>
      <c r="K2388" s="1641"/>
      <c r="L2388" s="1654">
        <v>53.1</v>
      </c>
      <c r="M2388" s="1641"/>
      <c r="N2388" s="1681"/>
      <c r="EW2388" s="2031"/>
      <c r="EX2388" s="1619"/>
      <c r="EY2388" s="1628"/>
      <c r="EZ2388" s="1628"/>
      <c r="FA2388" s="1628"/>
      <c r="FD2388" s="1864" t="s">
        <v>5011</v>
      </c>
      <c r="FH2388" s="1628"/>
      <c r="FU2388" s="1678"/>
      <c r="FW2388" s="1678"/>
    </row>
    <row r="2389" spans="1:179" s="1484" customFormat="1" ht="15" x14ac:dyDescent="0.25">
      <c r="A2389" s="2033"/>
      <c r="B2389" s="1631" t="s">
        <v>821</v>
      </c>
      <c r="C2389" s="2805" t="s">
        <v>822</v>
      </c>
      <c r="D2389" s="2805"/>
      <c r="E2389" s="2805"/>
      <c r="F2389" s="1683" t="s">
        <v>4994</v>
      </c>
      <c r="G2389" s="1953">
        <v>0.5</v>
      </c>
      <c r="H2389" s="1641"/>
      <c r="I2389" s="2035">
        <v>2.4264999999999999</v>
      </c>
      <c r="J2389" s="1654">
        <v>65.709999999999994</v>
      </c>
      <c r="K2389" s="1641"/>
      <c r="L2389" s="1654">
        <v>159.44999999999999</v>
      </c>
      <c r="M2389" s="1641"/>
      <c r="N2389" s="1681"/>
      <c r="EW2389" s="2031"/>
      <c r="EX2389" s="1619"/>
      <c r="EY2389" s="1628"/>
      <c r="EZ2389" s="1628"/>
      <c r="FA2389" s="1628"/>
      <c r="FD2389" s="1864" t="s">
        <v>822</v>
      </c>
      <c r="FH2389" s="1628"/>
      <c r="FU2389" s="1678"/>
      <c r="FW2389" s="1678"/>
    </row>
    <row r="2390" spans="1:179" s="1484" customFormat="1" ht="15" x14ac:dyDescent="0.25">
      <c r="A2390" s="2033"/>
      <c r="B2390" s="1631" t="s">
        <v>4922</v>
      </c>
      <c r="C2390" s="2805" t="s">
        <v>8707</v>
      </c>
      <c r="D2390" s="2805"/>
      <c r="E2390" s="2805"/>
      <c r="F2390" s="1683" t="s">
        <v>835</v>
      </c>
      <c r="G2390" s="1953">
        <v>0.5</v>
      </c>
      <c r="H2390" s="1641"/>
      <c r="I2390" s="2035">
        <v>2.4264999999999999</v>
      </c>
      <c r="J2390" s="1654">
        <v>1.82</v>
      </c>
      <c r="K2390" s="1641"/>
      <c r="L2390" s="1654">
        <v>4.42</v>
      </c>
      <c r="M2390" s="1641"/>
      <c r="N2390" s="1681"/>
      <c r="EW2390" s="2031"/>
      <c r="EX2390" s="1619"/>
      <c r="EY2390" s="1628"/>
      <c r="EZ2390" s="1628"/>
      <c r="FA2390" s="1628"/>
      <c r="FD2390" s="1864" t="s">
        <v>8707</v>
      </c>
      <c r="FH2390" s="1628"/>
      <c r="FU2390" s="1678"/>
      <c r="FW2390" s="1678"/>
    </row>
    <row r="2391" spans="1:179" s="1484" customFormat="1" ht="15" x14ac:dyDescent="0.25">
      <c r="A2391" s="2032"/>
      <c r="B2391" s="1631" t="s">
        <v>190</v>
      </c>
      <c r="C2391" s="2805" t="s">
        <v>2523</v>
      </c>
      <c r="D2391" s="2805"/>
      <c r="E2391" s="2805"/>
      <c r="F2391" s="1683"/>
      <c r="G2391" s="1641"/>
      <c r="H2391" s="1641"/>
      <c r="I2391" s="1641"/>
      <c r="J2391" s="1654">
        <v>317.44</v>
      </c>
      <c r="K2391" s="1655">
        <v>1.25</v>
      </c>
      <c r="L2391" s="1657">
        <v>1925.67</v>
      </c>
      <c r="M2391" s="1655">
        <v>35.75</v>
      </c>
      <c r="N2391" s="1679">
        <v>68842.7</v>
      </c>
      <c r="EW2391" s="2031"/>
      <c r="EX2391" s="1619"/>
      <c r="EY2391" s="1628"/>
      <c r="EZ2391" s="1628"/>
      <c r="FA2391" s="1628"/>
      <c r="FE2391" s="1864" t="s">
        <v>2523</v>
      </c>
      <c r="FH2391" s="1628"/>
      <c r="FU2391" s="1678"/>
      <c r="FW2391" s="1678"/>
    </row>
    <row r="2392" spans="1:179" s="1484" customFormat="1" ht="15" x14ac:dyDescent="0.25">
      <c r="A2392" s="2032"/>
      <c r="B2392" s="1631" t="s">
        <v>639</v>
      </c>
      <c r="C2392" s="2805" t="s">
        <v>697</v>
      </c>
      <c r="D2392" s="2805"/>
      <c r="E2392" s="2805"/>
      <c r="F2392" s="1683"/>
      <c r="G2392" s="1641"/>
      <c r="H2392" s="1641"/>
      <c r="I2392" s="1641"/>
      <c r="J2392" s="1654">
        <v>43.8</v>
      </c>
      <c r="K2392" s="1641"/>
      <c r="L2392" s="1654">
        <v>212.56</v>
      </c>
      <c r="M2392" s="1655">
        <v>11.97</v>
      </c>
      <c r="N2392" s="1679">
        <v>2544.34</v>
      </c>
      <c r="EW2392" s="2031"/>
      <c r="EX2392" s="1619"/>
      <c r="EY2392" s="1628"/>
      <c r="EZ2392" s="1628"/>
      <c r="FA2392" s="1628"/>
      <c r="FE2392" s="1864" t="s">
        <v>697</v>
      </c>
      <c r="FH2392" s="1628"/>
      <c r="FU2392" s="1678"/>
      <c r="FW2392" s="1678"/>
    </row>
    <row r="2393" spans="1:179" s="1484" customFormat="1" ht="15" x14ac:dyDescent="0.25">
      <c r="A2393" s="2032"/>
      <c r="B2393" s="1631" t="s">
        <v>640</v>
      </c>
      <c r="C2393" s="2805" t="s">
        <v>2500</v>
      </c>
      <c r="D2393" s="2805"/>
      <c r="E2393" s="2805"/>
      <c r="F2393" s="1683"/>
      <c r="G2393" s="1641"/>
      <c r="H2393" s="1641"/>
      <c r="I2393" s="1641"/>
      <c r="J2393" s="1654">
        <v>10.53</v>
      </c>
      <c r="K2393" s="1641"/>
      <c r="L2393" s="1654">
        <v>51.1</v>
      </c>
      <c r="M2393" s="1655">
        <v>35.75</v>
      </c>
      <c r="N2393" s="1679">
        <v>1826.83</v>
      </c>
      <c r="EW2393" s="2031"/>
      <c r="EX2393" s="1619"/>
      <c r="EY2393" s="1628"/>
      <c r="EZ2393" s="1628"/>
      <c r="FA2393" s="1628"/>
      <c r="FE2393" s="1864" t="s">
        <v>2500</v>
      </c>
      <c r="FH2393" s="1628"/>
      <c r="FU2393" s="1678"/>
      <c r="FW2393" s="1678"/>
    </row>
    <row r="2394" spans="1:179" s="1484" customFormat="1" ht="15" x14ac:dyDescent="0.25">
      <c r="A2394" s="2032"/>
      <c r="B2394" s="1631" t="s">
        <v>232</v>
      </c>
      <c r="C2394" s="2805" t="s">
        <v>829</v>
      </c>
      <c r="D2394" s="2805"/>
      <c r="E2394" s="2805"/>
      <c r="F2394" s="1683"/>
      <c r="G2394" s="1641"/>
      <c r="H2394" s="1641"/>
      <c r="I2394" s="1641"/>
      <c r="J2394" s="1654">
        <v>0.91</v>
      </c>
      <c r="K2394" s="1641"/>
      <c r="L2394" s="1654">
        <v>4.42</v>
      </c>
      <c r="M2394" s="1655">
        <v>9.14</v>
      </c>
      <c r="N2394" s="2039">
        <v>40.4</v>
      </c>
      <c r="EW2394" s="2031"/>
      <c r="EX2394" s="1619"/>
      <c r="EY2394" s="1628"/>
      <c r="EZ2394" s="1628"/>
      <c r="FA2394" s="1628"/>
      <c r="FE2394" s="1864" t="s">
        <v>829</v>
      </c>
      <c r="FH2394" s="1628"/>
      <c r="FU2394" s="1678"/>
      <c r="FW2394" s="1678"/>
    </row>
    <row r="2395" spans="1:179" s="1484" customFormat="1" ht="15" x14ac:dyDescent="0.25">
      <c r="A2395" s="2033"/>
      <c r="B2395" s="1631"/>
      <c r="C2395" s="2805" t="s">
        <v>2524</v>
      </c>
      <c r="D2395" s="2805"/>
      <c r="E2395" s="2805"/>
      <c r="F2395" s="1683" t="s">
        <v>807</v>
      </c>
      <c r="G2395" s="1953">
        <v>38.200000000000003</v>
      </c>
      <c r="H2395" s="1641"/>
      <c r="I2395" s="2035">
        <v>185.38460000000001</v>
      </c>
      <c r="J2395" s="1640"/>
      <c r="K2395" s="1641"/>
      <c r="L2395" s="1640"/>
      <c r="M2395" s="1641"/>
      <c r="N2395" s="1681"/>
      <c r="EW2395" s="2031"/>
      <c r="EX2395" s="1619"/>
      <c r="EY2395" s="1628"/>
      <c r="EZ2395" s="1628"/>
      <c r="FA2395" s="1628"/>
      <c r="FF2395" s="1864" t="s">
        <v>2524</v>
      </c>
      <c r="FH2395" s="1628"/>
      <c r="FU2395" s="1678"/>
      <c r="FW2395" s="1678"/>
    </row>
    <row r="2396" spans="1:179" s="1484" customFormat="1" ht="15" x14ac:dyDescent="0.25">
      <c r="A2396" s="2033"/>
      <c r="B2396" s="1631"/>
      <c r="C2396" s="2805" t="s">
        <v>2501</v>
      </c>
      <c r="D2396" s="2805"/>
      <c r="E2396" s="2805"/>
      <c r="F2396" s="1683" t="s">
        <v>807</v>
      </c>
      <c r="G2396" s="1655">
        <v>0.85</v>
      </c>
      <c r="H2396" s="1641"/>
      <c r="I2396" s="2042">
        <v>4.1250499999999999</v>
      </c>
      <c r="J2396" s="1640"/>
      <c r="K2396" s="1641"/>
      <c r="L2396" s="1640"/>
      <c r="M2396" s="1641"/>
      <c r="N2396" s="1681"/>
      <c r="EW2396" s="2031"/>
      <c r="EX2396" s="1619"/>
      <c r="EY2396" s="1628"/>
      <c r="EZ2396" s="1628"/>
      <c r="FA2396" s="1628"/>
      <c r="FF2396" s="1864" t="s">
        <v>2501</v>
      </c>
      <c r="FH2396" s="1628"/>
      <c r="FU2396" s="1678"/>
      <c r="FW2396" s="1678"/>
    </row>
    <row r="2397" spans="1:179" s="1484" customFormat="1" ht="15" x14ac:dyDescent="0.25">
      <c r="A2397" s="2032"/>
      <c r="B2397" s="1631"/>
      <c r="C2397" s="2917" t="s">
        <v>2502</v>
      </c>
      <c r="D2397" s="2917"/>
      <c r="E2397" s="2917"/>
      <c r="F2397" s="2036"/>
      <c r="G2397" s="2037"/>
      <c r="H2397" s="2037"/>
      <c r="I2397" s="2037"/>
      <c r="J2397" s="2044">
        <v>362.15</v>
      </c>
      <c r="K2397" s="2037"/>
      <c r="L2397" s="2038">
        <v>2142.65</v>
      </c>
      <c r="M2397" s="2037"/>
      <c r="N2397" s="2068">
        <v>71427.44</v>
      </c>
      <c r="EW2397" s="2031"/>
      <c r="EX2397" s="1619"/>
      <c r="EY2397" s="1628"/>
      <c r="EZ2397" s="1628"/>
      <c r="FA2397" s="1628"/>
      <c r="FG2397" s="1864" t="s">
        <v>2502</v>
      </c>
      <c r="FH2397" s="1628"/>
      <c r="FU2397" s="1678"/>
      <c r="FW2397" s="1678"/>
    </row>
    <row r="2398" spans="1:179" s="1484" customFormat="1" ht="15" x14ac:dyDescent="0.25">
      <c r="A2398" s="2033" t="s">
        <v>8361</v>
      </c>
      <c r="B2398" s="1631"/>
      <c r="C2398" s="2805" t="s">
        <v>7964</v>
      </c>
      <c r="D2398" s="2805"/>
      <c r="E2398" s="2805"/>
      <c r="F2398" s="1683" t="s">
        <v>5928</v>
      </c>
      <c r="G2398" s="1641"/>
      <c r="H2398" s="1641"/>
      <c r="I2398" s="1641"/>
      <c r="J2398" s="1640"/>
      <c r="K2398" s="1641"/>
      <c r="L2398" s="1654">
        <v>12.78</v>
      </c>
      <c r="M2398" s="1641"/>
      <c r="N2398" s="2039">
        <v>456.89</v>
      </c>
      <c r="EW2398" s="2031"/>
      <c r="EX2398" s="1619"/>
      <c r="EY2398" s="1628"/>
      <c r="EZ2398" s="1628"/>
      <c r="FA2398" s="1628"/>
      <c r="FF2398" s="1864" t="s">
        <v>7964</v>
      </c>
      <c r="FH2398" s="1628"/>
      <c r="FU2398" s="1678"/>
      <c r="FW2398" s="1678"/>
    </row>
    <row r="2399" spans="1:179" s="1484" customFormat="1" ht="15" x14ac:dyDescent="0.25">
      <c r="A2399" s="2033"/>
      <c r="B2399" s="1631"/>
      <c r="C2399" s="2805" t="s">
        <v>7965</v>
      </c>
      <c r="D2399" s="2805"/>
      <c r="E2399" s="2805"/>
      <c r="F2399" s="1683" t="s">
        <v>5928</v>
      </c>
      <c r="G2399" s="1641"/>
      <c r="H2399" s="1641"/>
      <c r="I2399" s="1641"/>
      <c r="J2399" s="1654">
        <v>10.53</v>
      </c>
      <c r="K2399" s="1655">
        <v>0.25</v>
      </c>
      <c r="L2399" s="1654">
        <v>12.78</v>
      </c>
      <c r="M2399" s="1655">
        <v>35.75</v>
      </c>
      <c r="N2399" s="2039">
        <v>456.89</v>
      </c>
      <c r="EW2399" s="2031"/>
      <c r="EX2399" s="1619"/>
      <c r="EY2399" s="1628"/>
      <c r="EZ2399" s="1628"/>
      <c r="FA2399" s="1628"/>
      <c r="FF2399" s="1864" t="s">
        <v>7965</v>
      </c>
      <c r="FH2399" s="1628"/>
      <c r="FU2399" s="1678"/>
      <c r="FW2399" s="1678"/>
    </row>
    <row r="2400" spans="1:179" s="1484" customFormat="1" ht="15" x14ac:dyDescent="0.25">
      <c r="A2400" s="2033"/>
      <c r="B2400" s="1631"/>
      <c r="C2400" s="2805" t="s">
        <v>867</v>
      </c>
      <c r="D2400" s="2805"/>
      <c r="E2400" s="2805"/>
      <c r="F2400" s="1683"/>
      <c r="G2400" s="1641"/>
      <c r="H2400" s="1641"/>
      <c r="I2400" s="1641"/>
      <c r="J2400" s="1640"/>
      <c r="K2400" s="1641"/>
      <c r="L2400" s="1657">
        <v>1989.55</v>
      </c>
      <c r="M2400" s="1641"/>
      <c r="N2400" s="1679">
        <v>71126.42</v>
      </c>
      <c r="EW2400" s="2031"/>
      <c r="EX2400" s="1619"/>
      <c r="EY2400" s="1628"/>
      <c r="EZ2400" s="1628"/>
      <c r="FA2400" s="1628"/>
      <c r="FF2400" s="1864" t="s">
        <v>867</v>
      </c>
      <c r="FH2400" s="1628"/>
      <c r="FU2400" s="1678"/>
      <c r="FW2400" s="1678"/>
    </row>
    <row r="2401" spans="1:179" s="1484" customFormat="1" ht="15" x14ac:dyDescent="0.25">
      <c r="A2401" s="2033"/>
      <c r="B2401" s="1631" t="s">
        <v>8054</v>
      </c>
      <c r="C2401" s="2805" t="s">
        <v>8055</v>
      </c>
      <c r="D2401" s="2805"/>
      <c r="E2401" s="2805"/>
      <c r="F2401" s="1683" t="s">
        <v>636</v>
      </c>
      <c r="G2401" s="2034">
        <v>112</v>
      </c>
      <c r="H2401" s="1641"/>
      <c r="I2401" s="2034">
        <v>112</v>
      </c>
      <c r="J2401" s="1640"/>
      <c r="K2401" s="1641"/>
      <c r="L2401" s="1657">
        <v>2228.3000000000002</v>
      </c>
      <c r="M2401" s="1641"/>
      <c r="N2401" s="1679">
        <v>79661.59</v>
      </c>
      <c r="EW2401" s="2031"/>
      <c r="EX2401" s="1619"/>
      <c r="EY2401" s="1628"/>
      <c r="EZ2401" s="1628"/>
      <c r="FA2401" s="1628"/>
      <c r="FF2401" s="1864" t="s">
        <v>8055</v>
      </c>
      <c r="FH2401" s="1628"/>
      <c r="FU2401" s="1678"/>
      <c r="FW2401" s="1678"/>
    </row>
    <row r="2402" spans="1:179" s="1484" customFormat="1" ht="15" x14ac:dyDescent="0.25">
      <c r="A2402" s="2033"/>
      <c r="B2402" s="1631" t="s">
        <v>8056</v>
      </c>
      <c r="C2402" s="2805" t="s">
        <v>8057</v>
      </c>
      <c r="D2402" s="2805"/>
      <c r="E2402" s="2805"/>
      <c r="F2402" s="1683" t="s">
        <v>636</v>
      </c>
      <c r="G2402" s="2034">
        <v>65</v>
      </c>
      <c r="H2402" s="1641"/>
      <c r="I2402" s="2034">
        <v>65</v>
      </c>
      <c r="J2402" s="1640"/>
      <c r="K2402" s="1641"/>
      <c r="L2402" s="1657">
        <v>1293.21</v>
      </c>
      <c r="M2402" s="1641"/>
      <c r="N2402" s="1679">
        <v>46232.17</v>
      </c>
      <c r="EW2402" s="2031"/>
      <c r="EX2402" s="1619"/>
      <c r="EY2402" s="1628"/>
      <c r="EZ2402" s="1628"/>
      <c r="FA2402" s="1628"/>
      <c r="FF2402" s="1864" t="s">
        <v>8057</v>
      </c>
      <c r="FH2402" s="1628"/>
      <c r="FU2402" s="1678"/>
      <c r="FW2402" s="1678"/>
    </row>
    <row r="2403" spans="1:179" s="1484" customFormat="1" ht="15" x14ac:dyDescent="0.25">
      <c r="A2403" s="1650"/>
      <c r="B2403" s="1651"/>
      <c r="C2403" s="2803" t="s">
        <v>872</v>
      </c>
      <c r="D2403" s="2803"/>
      <c r="E2403" s="2803"/>
      <c r="F2403" s="1621"/>
      <c r="G2403" s="1622"/>
      <c r="H2403" s="1622"/>
      <c r="I2403" s="1622"/>
      <c r="J2403" s="1625"/>
      <c r="K2403" s="1622"/>
      <c r="L2403" s="1648">
        <v>5676.94</v>
      </c>
      <c r="M2403" s="2037"/>
      <c r="N2403" s="1649">
        <v>197778.09</v>
      </c>
      <c r="EW2403" s="2031"/>
      <c r="EX2403" s="1619"/>
      <c r="EY2403" s="1628"/>
      <c r="EZ2403" s="1628"/>
      <c r="FA2403" s="1628"/>
      <c r="FH2403" s="1628" t="s">
        <v>872</v>
      </c>
      <c r="FU2403" s="1678"/>
      <c r="FW2403" s="1678"/>
    </row>
    <row r="2404" spans="1:179" s="1484" customFormat="1" ht="22.5" x14ac:dyDescent="0.25">
      <c r="A2404" s="1620" t="s">
        <v>8362</v>
      </c>
      <c r="B2404" s="1863" t="s">
        <v>8363</v>
      </c>
      <c r="C2404" s="2803" t="s">
        <v>8364</v>
      </c>
      <c r="D2404" s="2803"/>
      <c r="E2404" s="2803"/>
      <c r="F2404" s="1621" t="s">
        <v>130</v>
      </c>
      <c r="G2404" s="1622">
        <v>495.00599999999997</v>
      </c>
      <c r="H2404" s="1623">
        <v>1</v>
      </c>
      <c r="I2404" s="2045">
        <v>495.00599999999997</v>
      </c>
      <c r="J2404" s="2040">
        <v>150.19999999999999</v>
      </c>
      <c r="K2404" s="1622"/>
      <c r="L2404" s="1648">
        <v>74349.899999999994</v>
      </c>
      <c r="M2404" s="1687">
        <v>9.14</v>
      </c>
      <c r="N2404" s="1649">
        <v>679558.09</v>
      </c>
      <c r="EW2404" s="2031"/>
      <c r="EX2404" s="1619"/>
      <c r="EY2404" s="1628" t="s">
        <v>8364</v>
      </c>
      <c r="EZ2404" s="1628" t="s">
        <v>588</v>
      </c>
      <c r="FA2404" s="1628" t="s">
        <v>588</v>
      </c>
      <c r="FH2404" s="1628"/>
      <c r="FU2404" s="1678"/>
      <c r="FW2404" s="1678"/>
    </row>
    <row r="2405" spans="1:179" s="1484" customFormat="1" ht="15" x14ac:dyDescent="0.25">
      <c r="A2405" s="1650"/>
      <c r="B2405" s="1651"/>
      <c r="C2405" s="2805" t="s">
        <v>8640</v>
      </c>
      <c r="D2405" s="2805"/>
      <c r="E2405" s="2805"/>
      <c r="F2405" s="2805"/>
      <c r="G2405" s="2805"/>
      <c r="H2405" s="2805"/>
      <c r="I2405" s="2805"/>
      <c r="J2405" s="2805"/>
      <c r="K2405" s="2805"/>
      <c r="L2405" s="2805"/>
      <c r="M2405" s="2805"/>
      <c r="N2405" s="2806"/>
      <c r="EW2405" s="2031"/>
      <c r="EX2405" s="1619"/>
      <c r="EY2405" s="1628"/>
      <c r="EZ2405" s="1628"/>
      <c r="FA2405" s="1628"/>
      <c r="FH2405" s="1628"/>
      <c r="FI2405" s="1864" t="s">
        <v>8640</v>
      </c>
      <c r="FJ2405" s="1864" t="s">
        <v>588</v>
      </c>
      <c r="FK2405" s="1864" t="s">
        <v>588</v>
      </c>
      <c r="FL2405" s="1864" t="s">
        <v>588</v>
      </c>
      <c r="FM2405" s="1864" t="s">
        <v>588</v>
      </c>
      <c r="FN2405" s="1864" t="s">
        <v>588</v>
      </c>
      <c r="FO2405" s="1864" t="s">
        <v>588</v>
      </c>
      <c r="FP2405" s="1864" t="s">
        <v>588</v>
      </c>
      <c r="FQ2405" s="1864" t="s">
        <v>588</v>
      </c>
      <c r="FR2405" s="1864" t="s">
        <v>588</v>
      </c>
      <c r="FS2405" s="1864" t="s">
        <v>588</v>
      </c>
      <c r="FT2405" s="1864" t="s">
        <v>588</v>
      </c>
      <c r="FU2405" s="1678"/>
      <c r="FW2405" s="1678"/>
    </row>
    <row r="2406" spans="1:179" s="1484" customFormat="1" ht="15" x14ac:dyDescent="0.25">
      <c r="A2406" s="1650"/>
      <c r="B2406" s="1651"/>
      <c r="C2406" s="2803" t="s">
        <v>872</v>
      </c>
      <c r="D2406" s="2803"/>
      <c r="E2406" s="2803"/>
      <c r="F2406" s="1621"/>
      <c r="G2406" s="1622"/>
      <c r="H2406" s="1622"/>
      <c r="I2406" s="1622"/>
      <c r="J2406" s="1625"/>
      <c r="K2406" s="1622"/>
      <c r="L2406" s="1648">
        <v>74349.899999999994</v>
      </c>
      <c r="M2406" s="2037"/>
      <c r="N2406" s="1649">
        <v>679558.09</v>
      </c>
      <c r="EW2406" s="2031"/>
      <c r="EX2406" s="1619"/>
      <c r="EY2406" s="1628"/>
      <c r="EZ2406" s="1628"/>
      <c r="FA2406" s="1628"/>
      <c r="FH2406" s="1628" t="s">
        <v>872</v>
      </c>
      <c r="FU2406" s="1678"/>
      <c r="FW2406" s="1678"/>
    </row>
    <row r="2407" spans="1:179" s="1484" customFormat="1" ht="15" x14ac:dyDescent="0.25">
      <c r="A2407" s="1620" t="s">
        <v>8365</v>
      </c>
      <c r="B2407" s="1863" t="s">
        <v>8366</v>
      </c>
      <c r="C2407" s="2803" t="s">
        <v>4971</v>
      </c>
      <c r="D2407" s="2803"/>
      <c r="E2407" s="2803"/>
      <c r="F2407" s="1621" t="s">
        <v>835</v>
      </c>
      <c r="G2407" s="1622">
        <v>242.65</v>
      </c>
      <c r="H2407" s="1623">
        <v>1</v>
      </c>
      <c r="I2407" s="1687">
        <v>242.65</v>
      </c>
      <c r="J2407" s="2040">
        <v>25.56</v>
      </c>
      <c r="K2407" s="1622"/>
      <c r="L2407" s="1648">
        <v>6202.13</v>
      </c>
      <c r="M2407" s="1687">
        <v>9.14</v>
      </c>
      <c r="N2407" s="1649">
        <v>56687.47</v>
      </c>
      <c r="EW2407" s="2031"/>
      <c r="EX2407" s="1619"/>
      <c r="EY2407" s="1628" t="s">
        <v>4971</v>
      </c>
      <c r="EZ2407" s="1628" t="s">
        <v>588</v>
      </c>
      <c r="FA2407" s="1628" t="s">
        <v>588</v>
      </c>
      <c r="FH2407" s="1628"/>
      <c r="FU2407" s="1678"/>
      <c r="FW2407" s="1678"/>
    </row>
    <row r="2408" spans="1:179" s="1484" customFormat="1" ht="15" x14ac:dyDescent="0.25">
      <c r="A2408" s="1650"/>
      <c r="B2408" s="1651"/>
      <c r="C2408" s="2805" t="s">
        <v>8640</v>
      </c>
      <c r="D2408" s="2805"/>
      <c r="E2408" s="2805"/>
      <c r="F2408" s="2805"/>
      <c r="G2408" s="2805"/>
      <c r="H2408" s="2805"/>
      <c r="I2408" s="2805"/>
      <c r="J2408" s="2805"/>
      <c r="K2408" s="2805"/>
      <c r="L2408" s="2805"/>
      <c r="M2408" s="2805"/>
      <c r="N2408" s="2806"/>
      <c r="EW2408" s="2031"/>
      <c r="EX2408" s="1619"/>
      <c r="EY2408" s="1628"/>
      <c r="EZ2408" s="1628"/>
      <c r="FA2408" s="1628"/>
      <c r="FH2408" s="1628"/>
      <c r="FI2408" s="1864" t="s">
        <v>8640</v>
      </c>
      <c r="FJ2408" s="1864" t="s">
        <v>588</v>
      </c>
      <c r="FK2408" s="1864" t="s">
        <v>588</v>
      </c>
      <c r="FL2408" s="1864" t="s">
        <v>588</v>
      </c>
      <c r="FM2408" s="1864" t="s">
        <v>588</v>
      </c>
      <c r="FN2408" s="1864" t="s">
        <v>588</v>
      </c>
      <c r="FO2408" s="1864" t="s">
        <v>588</v>
      </c>
      <c r="FP2408" s="1864" t="s">
        <v>588</v>
      </c>
      <c r="FQ2408" s="1864" t="s">
        <v>588</v>
      </c>
      <c r="FR2408" s="1864" t="s">
        <v>588</v>
      </c>
      <c r="FS2408" s="1864" t="s">
        <v>588</v>
      </c>
      <c r="FT2408" s="1864" t="s">
        <v>588</v>
      </c>
      <c r="FU2408" s="1678"/>
      <c r="FW2408" s="1678"/>
    </row>
    <row r="2409" spans="1:179" s="1484" customFormat="1" ht="15" x14ac:dyDescent="0.25">
      <c r="A2409" s="1650"/>
      <c r="B2409" s="1651"/>
      <c r="C2409" s="2803" t="s">
        <v>872</v>
      </c>
      <c r="D2409" s="2803"/>
      <c r="E2409" s="2803"/>
      <c r="F2409" s="1621"/>
      <c r="G2409" s="1622"/>
      <c r="H2409" s="1622"/>
      <c r="I2409" s="1622"/>
      <c r="J2409" s="1625"/>
      <c r="K2409" s="1622"/>
      <c r="L2409" s="1648">
        <v>6202.13</v>
      </c>
      <c r="M2409" s="2037"/>
      <c r="N2409" s="1649">
        <v>56687.47</v>
      </c>
      <c r="EW2409" s="2031"/>
      <c r="EX2409" s="1619"/>
      <c r="EY2409" s="1628"/>
      <c r="EZ2409" s="1628"/>
      <c r="FA2409" s="1628"/>
      <c r="FH2409" s="1628" t="s">
        <v>872</v>
      </c>
      <c r="FU2409" s="1678"/>
      <c r="FW2409" s="1678"/>
    </row>
    <row r="2410" spans="1:179" s="1484" customFormat="1" ht="15" x14ac:dyDescent="0.25">
      <c r="A2410" s="2811" t="s">
        <v>8367</v>
      </c>
      <c r="B2410" s="2812"/>
      <c r="C2410" s="2812"/>
      <c r="D2410" s="2812"/>
      <c r="E2410" s="2812"/>
      <c r="F2410" s="2812"/>
      <c r="G2410" s="2812"/>
      <c r="H2410" s="2812"/>
      <c r="I2410" s="2812"/>
      <c r="J2410" s="2812"/>
      <c r="K2410" s="2812"/>
      <c r="L2410" s="2812"/>
      <c r="M2410" s="2812"/>
      <c r="N2410" s="2813"/>
      <c r="EW2410" s="2031"/>
      <c r="EX2410" s="1619" t="s">
        <v>8367</v>
      </c>
      <c r="EY2410" s="1628"/>
      <c r="EZ2410" s="1628"/>
      <c r="FA2410" s="1628"/>
      <c r="FH2410" s="1628"/>
      <c r="FU2410" s="1678"/>
      <c r="FW2410" s="1678"/>
    </row>
    <row r="2411" spans="1:179" s="1484" customFormat="1" ht="33.75" x14ac:dyDescent="0.25">
      <c r="A2411" s="1620" t="s">
        <v>8368</v>
      </c>
      <c r="B2411" s="1863" t="s">
        <v>8157</v>
      </c>
      <c r="C2411" s="2803" t="s">
        <v>8158</v>
      </c>
      <c r="D2411" s="2803"/>
      <c r="E2411" s="2803"/>
      <c r="F2411" s="1621" t="s">
        <v>2555</v>
      </c>
      <c r="G2411" s="1622">
        <v>1.2E-2</v>
      </c>
      <c r="H2411" s="1623">
        <v>1</v>
      </c>
      <c r="I2411" s="2045">
        <v>1.2E-2</v>
      </c>
      <c r="J2411" s="1625"/>
      <c r="K2411" s="1622"/>
      <c r="L2411" s="1625"/>
      <c r="M2411" s="1622"/>
      <c r="N2411" s="1627"/>
      <c r="EW2411" s="2031"/>
      <c r="EX2411" s="1619"/>
      <c r="EY2411" s="1628" t="s">
        <v>8158</v>
      </c>
      <c r="EZ2411" s="1628" t="s">
        <v>588</v>
      </c>
      <c r="FA2411" s="1628" t="s">
        <v>588</v>
      </c>
      <c r="FH2411" s="1628"/>
      <c r="FU2411" s="1678"/>
      <c r="FW2411" s="1678"/>
    </row>
    <row r="2412" spans="1:179" s="1484" customFormat="1" ht="15" x14ac:dyDescent="0.25">
      <c r="A2412" s="1629"/>
      <c r="B2412" s="1862"/>
      <c r="C2412" s="2805" t="s">
        <v>8773</v>
      </c>
      <c r="D2412" s="2805"/>
      <c r="E2412" s="2805"/>
      <c r="F2412" s="2805"/>
      <c r="G2412" s="2805"/>
      <c r="H2412" s="2805"/>
      <c r="I2412" s="2805"/>
      <c r="J2412" s="2805"/>
      <c r="K2412" s="2805"/>
      <c r="L2412" s="2805"/>
      <c r="M2412" s="2805"/>
      <c r="N2412" s="2806"/>
      <c r="EW2412" s="2031"/>
      <c r="EX2412" s="1619"/>
      <c r="EY2412" s="1628"/>
      <c r="EZ2412" s="1628"/>
      <c r="FA2412" s="1628"/>
      <c r="FB2412" s="1864" t="s">
        <v>8773</v>
      </c>
      <c r="FH2412" s="1628"/>
      <c r="FU2412" s="1678"/>
      <c r="FW2412" s="1678"/>
    </row>
    <row r="2413" spans="1:179" s="1484" customFormat="1" ht="22.5" x14ac:dyDescent="0.25">
      <c r="A2413" s="1630"/>
      <c r="B2413" s="1631" t="s">
        <v>6062</v>
      </c>
      <c r="C2413" s="2809" t="s">
        <v>6063</v>
      </c>
      <c r="D2413" s="2809"/>
      <c r="E2413" s="2809"/>
      <c r="F2413" s="2809"/>
      <c r="G2413" s="2809"/>
      <c r="H2413" s="2809"/>
      <c r="I2413" s="2809"/>
      <c r="J2413" s="2809"/>
      <c r="K2413" s="2809"/>
      <c r="L2413" s="2809"/>
      <c r="M2413" s="2809"/>
      <c r="N2413" s="2810"/>
      <c r="EW2413" s="2031"/>
      <c r="EX2413" s="1619"/>
      <c r="EY2413" s="1628"/>
      <c r="EZ2413" s="1628"/>
      <c r="FA2413" s="1628"/>
      <c r="FC2413" s="1864" t="s">
        <v>6063</v>
      </c>
      <c r="FH2413" s="1628"/>
      <c r="FU2413" s="1678"/>
      <c r="FW2413" s="1678"/>
    </row>
    <row r="2414" spans="1:179" s="1484" customFormat="1" ht="22.5" x14ac:dyDescent="0.25">
      <c r="A2414" s="2033"/>
      <c r="B2414" s="1631" t="s">
        <v>8657</v>
      </c>
      <c r="C2414" s="2805" t="s">
        <v>8656</v>
      </c>
      <c r="D2414" s="2805"/>
      <c r="E2414" s="2805"/>
      <c r="F2414" s="1683" t="s">
        <v>807</v>
      </c>
      <c r="G2414" s="1953">
        <v>29.6</v>
      </c>
      <c r="H2414" s="1641"/>
      <c r="I2414" s="2035">
        <v>0.35520000000000002</v>
      </c>
      <c r="J2414" s="1654">
        <v>10.06</v>
      </c>
      <c r="K2414" s="1655">
        <v>1.25</v>
      </c>
      <c r="L2414" s="1654">
        <v>4.47</v>
      </c>
      <c r="M2414" s="1641"/>
      <c r="N2414" s="1681"/>
      <c r="EW2414" s="2031"/>
      <c r="EX2414" s="1619"/>
      <c r="EY2414" s="1628"/>
      <c r="EZ2414" s="1628"/>
      <c r="FA2414" s="1628"/>
      <c r="FD2414" s="1864" t="s">
        <v>8656</v>
      </c>
      <c r="FH2414" s="1628"/>
      <c r="FU2414" s="1678"/>
      <c r="FW2414" s="1678"/>
    </row>
    <row r="2415" spans="1:179" s="1484" customFormat="1" ht="22.5" x14ac:dyDescent="0.25">
      <c r="A2415" s="2033"/>
      <c r="B2415" s="1631" t="s">
        <v>5010</v>
      </c>
      <c r="C2415" s="2805" t="s">
        <v>5011</v>
      </c>
      <c r="D2415" s="2805"/>
      <c r="E2415" s="2805"/>
      <c r="F2415" s="1683" t="s">
        <v>4994</v>
      </c>
      <c r="G2415" s="1655">
        <v>0.23</v>
      </c>
      <c r="H2415" s="1641"/>
      <c r="I2415" s="2042">
        <v>2.7599999999999999E-3</v>
      </c>
      <c r="J2415" s="1654">
        <v>31.26</v>
      </c>
      <c r="K2415" s="1641"/>
      <c r="L2415" s="1654">
        <v>0.09</v>
      </c>
      <c r="M2415" s="1641"/>
      <c r="N2415" s="1681"/>
      <c r="EW2415" s="2031"/>
      <c r="EX2415" s="1619"/>
      <c r="EY2415" s="1628"/>
      <c r="EZ2415" s="1628"/>
      <c r="FA2415" s="1628"/>
      <c r="FD2415" s="1864" t="s">
        <v>5011</v>
      </c>
      <c r="FH2415" s="1628"/>
      <c r="FU2415" s="1678"/>
      <c r="FW2415" s="1678"/>
    </row>
    <row r="2416" spans="1:179" s="1484" customFormat="1" ht="15" x14ac:dyDescent="0.25">
      <c r="A2416" s="2033"/>
      <c r="B2416" s="1631" t="s">
        <v>821</v>
      </c>
      <c r="C2416" s="2805" t="s">
        <v>822</v>
      </c>
      <c r="D2416" s="2805"/>
      <c r="E2416" s="2805"/>
      <c r="F2416" s="1683" t="s">
        <v>4994</v>
      </c>
      <c r="G2416" s="1655">
        <v>0.33</v>
      </c>
      <c r="H2416" s="1641"/>
      <c r="I2416" s="2042">
        <v>3.96E-3</v>
      </c>
      <c r="J2416" s="1654">
        <v>65.709999999999994</v>
      </c>
      <c r="K2416" s="1641"/>
      <c r="L2416" s="1654">
        <v>0.26</v>
      </c>
      <c r="M2416" s="1641"/>
      <c r="N2416" s="1681"/>
      <c r="EW2416" s="2031"/>
      <c r="EX2416" s="1619"/>
      <c r="EY2416" s="1628"/>
      <c r="EZ2416" s="1628"/>
      <c r="FA2416" s="1628"/>
      <c r="FD2416" s="1864" t="s">
        <v>822</v>
      </c>
      <c r="FH2416" s="1628"/>
      <c r="FU2416" s="1678"/>
      <c r="FW2416" s="1678"/>
    </row>
    <row r="2417" spans="1:179" s="1484" customFormat="1" ht="15" x14ac:dyDescent="0.25">
      <c r="A2417" s="2033"/>
      <c r="B2417" s="1631" t="s">
        <v>5033</v>
      </c>
      <c r="C2417" s="2805" t="s">
        <v>5034</v>
      </c>
      <c r="D2417" s="2805"/>
      <c r="E2417" s="2805"/>
      <c r="F2417" s="1683" t="s">
        <v>4994</v>
      </c>
      <c r="G2417" s="2034">
        <v>7</v>
      </c>
      <c r="H2417" s="1641"/>
      <c r="I2417" s="2046">
        <v>8.4000000000000005E-2</v>
      </c>
      <c r="J2417" s="1654">
        <v>2.7</v>
      </c>
      <c r="K2417" s="1641"/>
      <c r="L2417" s="1654">
        <v>0.23</v>
      </c>
      <c r="M2417" s="1641"/>
      <c r="N2417" s="1681"/>
      <c r="EW2417" s="2031"/>
      <c r="EX2417" s="1619"/>
      <c r="EY2417" s="1628"/>
      <c r="EZ2417" s="1628"/>
      <c r="FA2417" s="1628"/>
      <c r="FD2417" s="1864" t="s">
        <v>5034</v>
      </c>
      <c r="FH2417" s="1628"/>
      <c r="FU2417" s="1678"/>
      <c r="FW2417" s="1678"/>
    </row>
    <row r="2418" spans="1:179" s="1484" customFormat="1" ht="22.5" x14ac:dyDescent="0.25">
      <c r="A2418" s="2033"/>
      <c r="B2418" s="1631" t="s">
        <v>4866</v>
      </c>
      <c r="C2418" s="2805" t="s">
        <v>8779</v>
      </c>
      <c r="D2418" s="2805"/>
      <c r="E2418" s="2805"/>
      <c r="F2418" s="1683" t="s">
        <v>801</v>
      </c>
      <c r="G2418" s="2046">
        <v>2.3E-2</v>
      </c>
      <c r="H2418" s="1641"/>
      <c r="I2418" s="2043">
        <v>2.7599999999999999E-4</v>
      </c>
      <c r="J2418" s="1657">
        <v>1412.5</v>
      </c>
      <c r="K2418" s="1641"/>
      <c r="L2418" s="1654">
        <v>0.39</v>
      </c>
      <c r="M2418" s="1641"/>
      <c r="N2418" s="1681"/>
      <c r="EW2418" s="2031"/>
      <c r="EX2418" s="1619"/>
      <c r="EY2418" s="1628"/>
      <c r="EZ2418" s="1628"/>
      <c r="FA2418" s="1628"/>
      <c r="FD2418" s="1864" t="s">
        <v>8779</v>
      </c>
      <c r="FH2418" s="1628"/>
      <c r="FU2418" s="1678"/>
      <c r="FW2418" s="1678"/>
    </row>
    <row r="2419" spans="1:179" s="1484" customFormat="1" ht="15" x14ac:dyDescent="0.25">
      <c r="A2419" s="2033"/>
      <c r="B2419" s="1631" t="s">
        <v>8778</v>
      </c>
      <c r="C2419" s="2805" t="s">
        <v>8777</v>
      </c>
      <c r="D2419" s="2805"/>
      <c r="E2419" s="2805"/>
      <c r="F2419" s="1683" t="s">
        <v>801</v>
      </c>
      <c r="G2419" s="2046">
        <v>0.246</v>
      </c>
      <c r="H2419" s="1641"/>
      <c r="I2419" s="2043">
        <v>2.9520000000000002E-3</v>
      </c>
      <c r="J2419" s="1657">
        <v>1995</v>
      </c>
      <c r="K2419" s="1641"/>
      <c r="L2419" s="1654">
        <v>5.89</v>
      </c>
      <c r="M2419" s="1641"/>
      <c r="N2419" s="1681"/>
      <c r="EW2419" s="2031"/>
      <c r="EX2419" s="1619"/>
      <c r="EY2419" s="1628"/>
      <c r="EZ2419" s="1628"/>
      <c r="FA2419" s="1628"/>
      <c r="FD2419" s="1864" t="s">
        <v>8777</v>
      </c>
      <c r="FH2419" s="1628"/>
      <c r="FU2419" s="1678"/>
      <c r="FW2419" s="1678"/>
    </row>
    <row r="2420" spans="1:179" s="1484" customFormat="1" ht="15" x14ac:dyDescent="0.25">
      <c r="A2420" s="2033"/>
      <c r="B2420" s="1631" t="s">
        <v>4873</v>
      </c>
      <c r="C2420" s="2805" t="s">
        <v>4874</v>
      </c>
      <c r="D2420" s="2805"/>
      <c r="E2420" s="2805"/>
      <c r="F2420" s="1683" t="s">
        <v>835</v>
      </c>
      <c r="G2420" s="2034">
        <v>54</v>
      </c>
      <c r="H2420" s="1641"/>
      <c r="I2420" s="2046">
        <v>0.64800000000000002</v>
      </c>
      <c r="J2420" s="1654">
        <v>6.15</v>
      </c>
      <c r="K2420" s="1641"/>
      <c r="L2420" s="1654">
        <v>3.99</v>
      </c>
      <c r="M2420" s="1641"/>
      <c r="N2420" s="1681"/>
      <c r="EW2420" s="2031"/>
      <c r="EX2420" s="1619"/>
      <c r="EY2420" s="1628"/>
      <c r="EZ2420" s="1628"/>
      <c r="FA2420" s="1628"/>
      <c r="FD2420" s="1864" t="s">
        <v>4874</v>
      </c>
      <c r="FH2420" s="1628"/>
      <c r="FU2420" s="1678"/>
      <c r="FW2420" s="1678"/>
    </row>
    <row r="2421" spans="1:179" s="1484" customFormat="1" ht="22.5" x14ac:dyDescent="0.25">
      <c r="A2421" s="2033"/>
      <c r="B2421" s="1631" t="s">
        <v>4881</v>
      </c>
      <c r="C2421" s="2805" t="s">
        <v>4882</v>
      </c>
      <c r="D2421" s="2805"/>
      <c r="E2421" s="2805"/>
      <c r="F2421" s="1683" t="s">
        <v>801</v>
      </c>
      <c r="G2421" s="2046">
        <v>4.0000000000000001E-3</v>
      </c>
      <c r="H2421" s="1641"/>
      <c r="I2421" s="2043">
        <v>4.8000000000000001E-5</v>
      </c>
      <c r="J2421" s="1657">
        <v>37870</v>
      </c>
      <c r="K2421" s="1641"/>
      <c r="L2421" s="1654">
        <v>1.82</v>
      </c>
      <c r="M2421" s="1641"/>
      <c r="N2421" s="1681"/>
      <c r="EW2421" s="2031"/>
      <c r="EX2421" s="1619"/>
      <c r="EY2421" s="1628"/>
      <c r="EZ2421" s="1628"/>
      <c r="FA2421" s="1628"/>
      <c r="FD2421" s="1864" t="s">
        <v>4882</v>
      </c>
      <c r="FH2421" s="1628"/>
      <c r="FU2421" s="1678"/>
      <c r="FW2421" s="1678"/>
    </row>
    <row r="2422" spans="1:179" s="1484" customFormat="1" ht="15" x14ac:dyDescent="0.25">
      <c r="A2422" s="2033"/>
      <c r="B2422" s="1631" t="s">
        <v>4922</v>
      </c>
      <c r="C2422" s="2805" t="s">
        <v>8707</v>
      </c>
      <c r="D2422" s="2805"/>
      <c r="E2422" s="2805"/>
      <c r="F2422" s="1683" t="s">
        <v>835</v>
      </c>
      <c r="G2422" s="1953">
        <v>0.5</v>
      </c>
      <c r="H2422" s="1641"/>
      <c r="I2422" s="2046">
        <v>6.0000000000000001E-3</v>
      </c>
      <c r="J2422" s="1654">
        <v>1.82</v>
      </c>
      <c r="K2422" s="1641"/>
      <c r="L2422" s="1654">
        <v>0.01</v>
      </c>
      <c r="M2422" s="1641"/>
      <c r="N2422" s="1681"/>
      <c r="EW2422" s="2031"/>
      <c r="EX2422" s="1619"/>
      <c r="EY2422" s="1628"/>
      <c r="EZ2422" s="1628"/>
      <c r="FA2422" s="1628"/>
      <c r="FD2422" s="1864" t="s">
        <v>8707</v>
      </c>
      <c r="FH2422" s="1628"/>
      <c r="FU2422" s="1678"/>
      <c r="FW2422" s="1678"/>
    </row>
    <row r="2423" spans="1:179" s="1484" customFormat="1" ht="15" x14ac:dyDescent="0.25">
      <c r="A2423" s="2032"/>
      <c r="B2423" s="1631" t="s">
        <v>190</v>
      </c>
      <c r="C2423" s="2805" t="s">
        <v>2523</v>
      </c>
      <c r="D2423" s="2805"/>
      <c r="E2423" s="2805"/>
      <c r="F2423" s="1683"/>
      <c r="G2423" s="1641"/>
      <c r="H2423" s="1641"/>
      <c r="I2423" s="1641"/>
      <c r="J2423" s="1654">
        <v>297.77999999999997</v>
      </c>
      <c r="K2423" s="1655">
        <v>1.25</v>
      </c>
      <c r="L2423" s="1654">
        <v>4.47</v>
      </c>
      <c r="M2423" s="1655">
        <v>35.75</v>
      </c>
      <c r="N2423" s="2039">
        <v>159.80000000000001</v>
      </c>
      <c r="EW2423" s="2031"/>
      <c r="EX2423" s="1619"/>
      <c r="EY2423" s="1628"/>
      <c r="EZ2423" s="1628"/>
      <c r="FA2423" s="1628"/>
      <c r="FE2423" s="1864" t="s">
        <v>2523</v>
      </c>
      <c r="FH2423" s="1628"/>
      <c r="FU2423" s="1678"/>
      <c r="FW2423" s="1678"/>
    </row>
    <row r="2424" spans="1:179" s="1484" customFormat="1" ht="15" x14ac:dyDescent="0.25">
      <c r="A2424" s="2032"/>
      <c r="B2424" s="1631" t="s">
        <v>639</v>
      </c>
      <c r="C2424" s="2805" t="s">
        <v>697</v>
      </c>
      <c r="D2424" s="2805"/>
      <c r="E2424" s="2805"/>
      <c r="F2424" s="1683"/>
      <c r="G2424" s="1641"/>
      <c r="H2424" s="1641"/>
      <c r="I2424" s="1641"/>
      <c r="J2424" s="1654">
        <v>47.77</v>
      </c>
      <c r="K2424" s="1641"/>
      <c r="L2424" s="1654">
        <v>0.56999999999999995</v>
      </c>
      <c r="M2424" s="1655">
        <v>11.97</v>
      </c>
      <c r="N2424" s="2039">
        <v>6.82</v>
      </c>
      <c r="EW2424" s="2031"/>
      <c r="EX2424" s="1619"/>
      <c r="EY2424" s="1628"/>
      <c r="EZ2424" s="1628"/>
      <c r="FA2424" s="1628"/>
      <c r="FE2424" s="1864" t="s">
        <v>697</v>
      </c>
      <c r="FH2424" s="1628"/>
      <c r="FU2424" s="1678"/>
      <c r="FW2424" s="1678"/>
    </row>
    <row r="2425" spans="1:179" s="1484" customFormat="1" ht="15" x14ac:dyDescent="0.25">
      <c r="A2425" s="2032"/>
      <c r="B2425" s="1631" t="s">
        <v>640</v>
      </c>
      <c r="C2425" s="2805" t="s">
        <v>2500</v>
      </c>
      <c r="D2425" s="2805"/>
      <c r="E2425" s="2805"/>
      <c r="F2425" s="1683"/>
      <c r="G2425" s="1641"/>
      <c r="H2425" s="1641"/>
      <c r="I2425" s="1641"/>
      <c r="J2425" s="1654">
        <v>6.94</v>
      </c>
      <c r="K2425" s="1641"/>
      <c r="L2425" s="1654">
        <v>0.08</v>
      </c>
      <c r="M2425" s="1655">
        <v>35.75</v>
      </c>
      <c r="N2425" s="2039">
        <v>2.86</v>
      </c>
      <c r="EW2425" s="2031"/>
      <c r="EX2425" s="1619"/>
      <c r="EY2425" s="1628"/>
      <c r="EZ2425" s="1628"/>
      <c r="FA2425" s="1628"/>
      <c r="FE2425" s="1864" t="s">
        <v>2500</v>
      </c>
      <c r="FH2425" s="1628"/>
      <c r="FU2425" s="1678"/>
      <c r="FW2425" s="1678"/>
    </row>
    <row r="2426" spans="1:179" s="1484" customFormat="1" ht="15" x14ac:dyDescent="0.25">
      <c r="A2426" s="2032"/>
      <c r="B2426" s="1631" t="s">
        <v>232</v>
      </c>
      <c r="C2426" s="2805" t="s">
        <v>829</v>
      </c>
      <c r="D2426" s="2805"/>
      <c r="E2426" s="2805"/>
      <c r="F2426" s="1683"/>
      <c r="G2426" s="1641"/>
      <c r="H2426" s="1641"/>
      <c r="I2426" s="1641"/>
      <c r="J2426" s="1657">
        <v>1007.75</v>
      </c>
      <c r="K2426" s="1641"/>
      <c r="L2426" s="1654">
        <v>12.09</v>
      </c>
      <c r="M2426" s="1655">
        <v>9.14</v>
      </c>
      <c r="N2426" s="2039">
        <v>110.5</v>
      </c>
      <c r="EW2426" s="2031"/>
      <c r="EX2426" s="1619"/>
      <c r="EY2426" s="1628"/>
      <c r="EZ2426" s="1628"/>
      <c r="FA2426" s="1628"/>
      <c r="FE2426" s="1864" t="s">
        <v>829</v>
      </c>
      <c r="FH2426" s="1628"/>
      <c r="FU2426" s="1678"/>
      <c r="FW2426" s="1678"/>
    </row>
    <row r="2427" spans="1:179" s="1484" customFormat="1" ht="15" x14ac:dyDescent="0.25">
      <c r="A2427" s="2033"/>
      <c r="B2427" s="1631"/>
      <c r="C2427" s="2805" t="s">
        <v>2524</v>
      </c>
      <c r="D2427" s="2805"/>
      <c r="E2427" s="2805"/>
      <c r="F2427" s="1683" t="s">
        <v>807</v>
      </c>
      <c r="G2427" s="1953">
        <v>29.6</v>
      </c>
      <c r="H2427" s="1641"/>
      <c r="I2427" s="2035">
        <v>0.35520000000000002</v>
      </c>
      <c r="J2427" s="1640"/>
      <c r="K2427" s="1641"/>
      <c r="L2427" s="1640"/>
      <c r="M2427" s="1641"/>
      <c r="N2427" s="1681"/>
      <c r="EW2427" s="2031"/>
      <c r="EX2427" s="1619"/>
      <c r="EY2427" s="1628"/>
      <c r="EZ2427" s="1628"/>
      <c r="FA2427" s="1628"/>
      <c r="FF2427" s="1864" t="s">
        <v>2524</v>
      </c>
      <c r="FH2427" s="1628"/>
      <c r="FU2427" s="1678"/>
      <c r="FW2427" s="1678"/>
    </row>
    <row r="2428" spans="1:179" s="1484" customFormat="1" ht="15" x14ac:dyDescent="0.25">
      <c r="A2428" s="2033"/>
      <c r="B2428" s="1631"/>
      <c r="C2428" s="2805" t="s">
        <v>2501</v>
      </c>
      <c r="D2428" s="2805"/>
      <c r="E2428" s="2805"/>
      <c r="F2428" s="1683" t="s">
        <v>807</v>
      </c>
      <c r="G2428" s="1655">
        <v>0.56000000000000005</v>
      </c>
      <c r="H2428" s="1641"/>
      <c r="I2428" s="2042">
        <v>6.7200000000000003E-3</v>
      </c>
      <c r="J2428" s="1640"/>
      <c r="K2428" s="1641"/>
      <c r="L2428" s="1640"/>
      <c r="M2428" s="1641"/>
      <c r="N2428" s="1681"/>
      <c r="EW2428" s="2031"/>
      <c r="EX2428" s="1619"/>
      <c r="EY2428" s="1628"/>
      <c r="EZ2428" s="1628"/>
      <c r="FA2428" s="1628"/>
      <c r="FF2428" s="1864" t="s">
        <v>2501</v>
      </c>
      <c r="FH2428" s="1628"/>
      <c r="FU2428" s="1678"/>
      <c r="FW2428" s="1678"/>
    </row>
    <row r="2429" spans="1:179" s="1484" customFormat="1" ht="15" x14ac:dyDescent="0.25">
      <c r="A2429" s="2032"/>
      <c r="B2429" s="1631"/>
      <c r="C2429" s="2917" t="s">
        <v>2502</v>
      </c>
      <c r="D2429" s="2917"/>
      <c r="E2429" s="2917"/>
      <c r="F2429" s="2036"/>
      <c r="G2429" s="2037"/>
      <c r="H2429" s="2037"/>
      <c r="I2429" s="2037"/>
      <c r="J2429" s="2038">
        <v>1353.3</v>
      </c>
      <c r="K2429" s="2037"/>
      <c r="L2429" s="2044">
        <v>17.13</v>
      </c>
      <c r="M2429" s="2037"/>
      <c r="N2429" s="2070">
        <v>277.12</v>
      </c>
      <c r="EW2429" s="2031"/>
      <c r="EX2429" s="1619"/>
      <c r="EY2429" s="1628"/>
      <c r="EZ2429" s="1628"/>
      <c r="FA2429" s="1628"/>
      <c r="FG2429" s="1864" t="s">
        <v>2502</v>
      </c>
      <c r="FH2429" s="1628"/>
      <c r="FU2429" s="1678"/>
      <c r="FW2429" s="1678"/>
    </row>
    <row r="2430" spans="1:179" s="1484" customFormat="1" ht="15" x14ac:dyDescent="0.25">
      <c r="A2430" s="2033" t="s">
        <v>8369</v>
      </c>
      <c r="B2430" s="1631"/>
      <c r="C2430" s="2805" t="s">
        <v>7964</v>
      </c>
      <c r="D2430" s="2805"/>
      <c r="E2430" s="2805"/>
      <c r="F2430" s="1683" t="s">
        <v>5928</v>
      </c>
      <c r="G2430" s="1641"/>
      <c r="H2430" s="1641"/>
      <c r="I2430" s="1641"/>
      <c r="J2430" s="1640"/>
      <c r="K2430" s="1641"/>
      <c r="L2430" s="1654">
        <v>0.02</v>
      </c>
      <c r="M2430" s="1641"/>
      <c r="N2430" s="2039">
        <v>0.72</v>
      </c>
      <c r="EW2430" s="2031"/>
      <c r="EX2430" s="1619"/>
      <c r="EY2430" s="1628"/>
      <c r="EZ2430" s="1628"/>
      <c r="FA2430" s="1628"/>
      <c r="FF2430" s="1864" t="s">
        <v>7964</v>
      </c>
      <c r="FH2430" s="1628"/>
      <c r="FU2430" s="1678"/>
      <c r="FW2430" s="1678"/>
    </row>
    <row r="2431" spans="1:179" s="1484" customFormat="1" ht="15" x14ac:dyDescent="0.25">
      <c r="A2431" s="2033"/>
      <c r="B2431" s="1631"/>
      <c r="C2431" s="2805" t="s">
        <v>7965</v>
      </c>
      <c r="D2431" s="2805"/>
      <c r="E2431" s="2805"/>
      <c r="F2431" s="1683" t="s">
        <v>5928</v>
      </c>
      <c r="G2431" s="1641"/>
      <c r="H2431" s="1641"/>
      <c r="I2431" s="1641"/>
      <c r="J2431" s="1654">
        <v>6.94</v>
      </c>
      <c r="K2431" s="1655">
        <v>0.25</v>
      </c>
      <c r="L2431" s="1654">
        <v>0.02</v>
      </c>
      <c r="M2431" s="1655">
        <v>35.75</v>
      </c>
      <c r="N2431" s="2039">
        <v>0.72</v>
      </c>
      <c r="EW2431" s="2031"/>
      <c r="EX2431" s="1619"/>
      <c r="EY2431" s="1628"/>
      <c r="EZ2431" s="1628"/>
      <c r="FA2431" s="1628"/>
      <c r="FF2431" s="1864" t="s">
        <v>7965</v>
      </c>
      <c r="FH2431" s="1628"/>
      <c r="FU2431" s="1678"/>
      <c r="FW2431" s="1678"/>
    </row>
    <row r="2432" spans="1:179" s="1484" customFormat="1" ht="15" x14ac:dyDescent="0.25">
      <c r="A2432" s="2033"/>
      <c r="B2432" s="1631"/>
      <c r="C2432" s="2805" t="s">
        <v>867</v>
      </c>
      <c r="D2432" s="2805"/>
      <c r="E2432" s="2805"/>
      <c r="F2432" s="1683"/>
      <c r="G2432" s="1641"/>
      <c r="H2432" s="1641"/>
      <c r="I2432" s="1641"/>
      <c r="J2432" s="1640"/>
      <c r="K2432" s="1641"/>
      <c r="L2432" s="1654">
        <v>4.57</v>
      </c>
      <c r="M2432" s="1641"/>
      <c r="N2432" s="2039">
        <v>163.38</v>
      </c>
      <c r="EW2432" s="2031"/>
      <c r="EX2432" s="1619"/>
      <c r="EY2432" s="1628"/>
      <c r="EZ2432" s="1628"/>
      <c r="FA2432" s="1628"/>
      <c r="FF2432" s="1864" t="s">
        <v>867</v>
      </c>
      <c r="FH2432" s="1628"/>
      <c r="FU2432" s="1678"/>
      <c r="FW2432" s="1678"/>
    </row>
    <row r="2433" spans="1:179" s="1484" customFormat="1" ht="15" x14ac:dyDescent="0.25">
      <c r="A2433" s="2033"/>
      <c r="B2433" s="1631" t="s">
        <v>8054</v>
      </c>
      <c r="C2433" s="2805" t="s">
        <v>8055</v>
      </c>
      <c r="D2433" s="2805"/>
      <c r="E2433" s="2805"/>
      <c r="F2433" s="1683" t="s">
        <v>636</v>
      </c>
      <c r="G2433" s="2034">
        <v>112</v>
      </c>
      <c r="H2433" s="1641"/>
      <c r="I2433" s="2034">
        <v>112</v>
      </c>
      <c r="J2433" s="1640"/>
      <c r="K2433" s="1641"/>
      <c r="L2433" s="1654">
        <v>5.12</v>
      </c>
      <c r="M2433" s="1641"/>
      <c r="N2433" s="2039">
        <v>182.99</v>
      </c>
      <c r="EW2433" s="2031"/>
      <c r="EX2433" s="1619"/>
      <c r="EY2433" s="1628"/>
      <c r="EZ2433" s="1628"/>
      <c r="FA2433" s="1628"/>
      <c r="FF2433" s="1864" t="s">
        <v>8055</v>
      </c>
      <c r="FH2433" s="1628"/>
      <c r="FU2433" s="1678"/>
      <c r="FW2433" s="1678"/>
    </row>
    <row r="2434" spans="1:179" s="1484" customFormat="1" ht="15" x14ac:dyDescent="0.25">
      <c r="A2434" s="2033"/>
      <c r="B2434" s="1631" t="s">
        <v>8056</v>
      </c>
      <c r="C2434" s="2805" t="s">
        <v>8057</v>
      </c>
      <c r="D2434" s="2805"/>
      <c r="E2434" s="2805"/>
      <c r="F2434" s="1683" t="s">
        <v>636</v>
      </c>
      <c r="G2434" s="2034">
        <v>65</v>
      </c>
      <c r="H2434" s="1641"/>
      <c r="I2434" s="2034">
        <v>65</v>
      </c>
      <c r="J2434" s="1640"/>
      <c r="K2434" s="1641"/>
      <c r="L2434" s="1654">
        <v>2.97</v>
      </c>
      <c r="M2434" s="1641"/>
      <c r="N2434" s="2039">
        <v>106.2</v>
      </c>
      <c r="EW2434" s="2031"/>
      <c r="EX2434" s="1619"/>
      <c r="EY2434" s="1628"/>
      <c r="EZ2434" s="1628"/>
      <c r="FA2434" s="1628"/>
      <c r="FF2434" s="1864" t="s">
        <v>8057</v>
      </c>
      <c r="FH2434" s="1628"/>
      <c r="FU2434" s="1678"/>
      <c r="FW2434" s="1678"/>
    </row>
    <row r="2435" spans="1:179" s="1484" customFormat="1" ht="15" x14ac:dyDescent="0.25">
      <c r="A2435" s="1650"/>
      <c r="B2435" s="1651"/>
      <c r="C2435" s="2803" t="s">
        <v>872</v>
      </c>
      <c r="D2435" s="2803"/>
      <c r="E2435" s="2803"/>
      <c r="F2435" s="1621"/>
      <c r="G2435" s="1622"/>
      <c r="H2435" s="1622"/>
      <c r="I2435" s="1622"/>
      <c r="J2435" s="1625"/>
      <c r="K2435" s="1622"/>
      <c r="L2435" s="2040">
        <v>25.24</v>
      </c>
      <c r="M2435" s="2037"/>
      <c r="N2435" s="2069">
        <v>567.03</v>
      </c>
      <c r="EW2435" s="2031"/>
      <c r="EX2435" s="1619"/>
      <c r="EY2435" s="1628"/>
      <c r="EZ2435" s="1628"/>
      <c r="FA2435" s="1628"/>
      <c r="FH2435" s="1628" t="s">
        <v>872</v>
      </c>
      <c r="FU2435" s="1678"/>
      <c r="FW2435" s="1678"/>
    </row>
    <row r="2436" spans="1:179" s="1484" customFormat="1" ht="15" x14ac:dyDescent="0.25">
      <c r="A2436" s="1620" t="s">
        <v>8370</v>
      </c>
      <c r="B2436" s="1863" t="s">
        <v>8256</v>
      </c>
      <c r="C2436" s="2803" t="s">
        <v>8257</v>
      </c>
      <c r="D2436" s="2803"/>
      <c r="E2436" s="2803"/>
      <c r="F2436" s="1621" t="s">
        <v>130</v>
      </c>
      <c r="G2436" s="1622">
        <v>1.34</v>
      </c>
      <c r="H2436" s="1623">
        <v>1</v>
      </c>
      <c r="I2436" s="1687">
        <v>1.34</v>
      </c>
      <c r="J2436" s="2040">
        <v>24.94</v>
      </c>
      <c r="K2436" s="1622"/>
      <c r="L2436" s="2040">
        <v>33.42</v>
      </c>
      <c r="M2436" s="1687">
        <v>9.14</v>
      </c>
      <c r="N2436" s="2069">
        <v>305.45999999999998</v>
      </c>
      <c r="EW2436" s="2031"/>
      <c r="EX2436" s="1619"/>
      <c r="EY2436" s="1628" t="s">
        <v>8257</v>
      </c>
      <c r="EZ2436" s="1628" t="s">
        <v>588</v>
      </c>
      <c r="FA2436" s="1628" t="s">
        <v>588</v>
      </c>
      <c r="FH2436" s="1628"/>
      <c r="FU2436" s="1678"/>
      <c r="FW2436" s="1678"/>
    </row>
    <row r="2437" spans="1:179" s="1484" customFormat="1" ht="15" x14ac:dyDescent="0.25">
      <c r="A2437" s="1650"/>
      <c r="B2437" s="1651"/>
      <c r="C2437" s="2805" t="s">
        <v>8640</v>
      </c>
      <c r="D2437" s="2805"/>
      <c r="E2437" s="2805"/>
      <c r="F2437" s="2805"/>
      <c r="G2437" s="2805"/>
      <c r="H2437" s="2805"/>
      <c r="I2437" s="2805"/>
      <c r="J2437" s="2805"/>
      <c r="K2437" s="2805"/>
      <c r="L2437" s="2805"/>
      <c r="M2437" s="2805"/>
      <c r="N2437" s="2806"/>
      <c r="EW2437" s="2031"/>
      <c r="EX2437" s="1619"/>
      <c r="EY2437" s="1628"/>
      <c r="EZ2437" s="1628"/>
      <c r="FA2437" s="1628"/>
      <c r="FH2437" s="1628"/>
      <c r="FI2437" s="1864" t="s">
        <v>8640</v>
      </c>
      <c r="FJ2437" s="1864" t="s">
        <v>588</v>
      </c>
      <c r="FK2437" s="1864" t="s">
        <v>588</v>
      </c>
      <c r="FL2437" s="1864" t="s">
        <v>588</v>
      </c>
      <c r="FM2437" s="1864" t="s">
        <v>588</v>
      </c>
      <c r="FN2437" s="1864" t="s">
        <v>588</v>
      </c>
      <c r="FO2437" s="1864" t="s">
        <v>588</v>
      </c>
      <c r="FP2437" s="1864" t="s">
        <v>588</v>
      </c>
      <c r="FQ2437" s="1864" t="s">
        <v>588</v>
      </c>
      <c r="FR2437" s="1864" t="s">
        <v>588</v>
      </c>
      <c r="FS2437" s="1864" t="s">
        <v>588</v>
      </c>
      <c r="FT2437" s="1864" t="s">
        <v>588</v>
      </c>
      <c r="FU2437" s="1678"/>
      <c r="FW2437" s="1678"/>
    </row>
    <row r="2438" spans="1:179" s="1484" customFormat="1" ht="15" x14ac:dyDescent="0.25">
      <c r="A2438" s="1629"/>
      <c r="B2438" s="1862"/>
      <c r="C2438" s="2805" t="s">
        <v>8776</v>
      </c>
      <c r="D2438" s="2805"/>
      <c r="E2438" s="2805"/>
      <c r="F2438" s="2805"/>
      <c r="G2438" s="2805"/>
      <c r="H2438" s="2805"/>
      <c r="I2438" s="2805"/>
      <c r="J2438" s="2805"/>
      <c r="K2438" s="2805"/>
      <c r="L2438" s="2805"/>
      <c r="M2438" s="2805"/>
      <c r="N2438" s="2806"/>
      <c r="EW2438" s="2031"/>
      <c r="EX2438" s="1619"/>
      <c r="EY2438" s="1628"/>
      <c r="EZ2438" s="1628"/>
      <c r="FA2438" s="1628"/>
      <c r="FB2438" s="1864" t="s">
        <v>8776</v>
      </c>
      <c r="FH2438" s="1628"/>
      <c r="FU2438" s="1678"/>
      <c r="FW2438" s="1678"/>
    </row>
    <row r="2439" spans="1:179" s="1484" customFormat="1" ht="15" x14ac:dyDescent="0.25">
      <c r="A2439" s="1650"/>
      <c r="B2439" s="1651"/>
      <c r="C2439" s="2803" t="s">
        <v>872</v>
      </c>
      <c r="D2439" s="2803"/>
      <c r="E2439" s="2803"/>
      <c r="F2439" s="1621"/>
      <c r="G2439" s="1622"/>
      <c r="H2439" s="1622"/>
      <c r="I2439" s="1622"/>
      <c r="J2439" s="1625"/>
      <c r="K2439" s="1622"/>
      <c r="L2439" s="2040">
        <v>33.42</v>
      </c>
      <c r="M2439" s="2037"/>
      <c r="N2439" s="2069">
        <v>305.45999999999998</v>
      </c>
      <c r="EW2439" s="2031"/>
      <c r="EX2439" s="1619"/>
      <c r="EY2439" s="1628"/>
      <c r="EZ2439" s="1628"/>
      <c r="FA2439" s="1628"/>
      <c r="FH2439" s="1628" t="s">
        <v>872</v>
      </c>
      <c r="FU2439" s="1678"/>
      <c r="FW2439" s="1678"/>
    </row>
    <row r="2440" spans="1:179" s="1484" customFormat="1" ht="22.5" x14ac:dyDescent="0.25">
      <c r="A2440" s="1620" t="s">
        <v>8371</v>
      </c>
      <c r="B2440" s="1863" t="s">
        <v>8139</v>
      </c>
      <c r="C2440" s="2803" t="s">
        <v>8140</v>
      </c>
      <c r="D2440" s="2803"/>
      <c r="E2440" s="2803"/>
      <c r="F2440" s="1621" t="s">
        <v>2555</v>
      </c>
      <c r="G2440" s="1622">
        <v>1.2E-2</v>
      </c>
      <c r="H2440" s="1623">
        <v>1</v>
      </c>
      <c r="I2440" s="2045">
        <v>1.2E-2</v>
      </c>
      <c r="J2440" s="1625"/>
      <c r="K2440" s="1622"/>
      <c r="L2440" s="1625"/>
      <c r="M2440" s="1622"/>
      <c r="N2440" s="1627"/>
      <c r="EW2440" s="2031"/>
      <c r="EX2440" s="1619"/>
      <c r="EY2440" s="1628" t="s">
        <v>8140</v>
      </c>
      <c r="EZ2440" s="1628" t="s">
        <v>588</v>
      </c>
      <c r="FA2440" s="1628" t="s">
        <v>588</v>
      </c>
      <c r="FH2440" s="1628"/>
      <c r="FU2440" s="1678"/>
      <c r="FW2440" s="1678"/>
    </row>
    <row r="2441" spans="1:179" s="1484" customFormat="1" ht="15" x14ac:dyDescent="0.25">
      <c r="A2441" s="1629"/>
      <c r="B2441" s="1862"/>
      <c r="C2441" s="2805" t="s">
        <v>8773</v>
      </c>
      <c r="D2441" s="2805"/>
      <c r="E2441" s="2805"/>
      <c r="F2441" s="2805"/>
      <c r="G2441" s="2805"/>
      <c r="H2441" s="2805"/>
      <c r="I2441" s="2805"/>
      <c r="J2441" s="2805"/>
      <c r="K2441" s="2805"/>
      <c r="L2441" s="2805"/>
      <c r="M2441" s="2805"/>
      <c r="N2441" s="2806"/>
      <c r="EW2441" s="2031"/>
      <c r="EX2441" s="1619"/>
      <c r="EY2441" s="1628"/>
      <c r="EZ2441" s="1628"/>
      <c r="FA2441" s="1628"/>
      <c r="FB2441" s="1864" t="s">
        <v>8773</v>
      </c>
      <c r="FH2441" s="1628"/>
      <c r="FU2441" s="1678"/>
      <c r="FW2441" s="1678"/>
    </row>
    <row r="2442" spans="1:179" s="1484" customFormat="1" ht="22.5" x14ac:dyDescent="0.25">
      <c r="A2442" s="1630"/>
      <c r="B2442" s="1631" t="s">
        <v>6062</v>
      </c>
      <c r="C2442" s="2809" t="s">
        <v>6063</v>
      </c>
      <c r="D2442" s="2809"/>
      <c r="E2442" s="2809"/>
      <c r="F2442" s="2809"/>
      <c r="G2442" s="2809"/>
      <c r="H2442" s="2809"/>
      <c r="I2442" s="2809"/>
      <c r="J2442" s="2809"/>
      <c r="K2442" s="2809"/>
      <c r="L2442" s="2809"/>
      <c r="M2442" s="2809"/>
      <c r="N2442" s="2810"/>
      <c r="EW2442" s="2031"/>
      <c r="EX2442" s="1619"/>
      <c r="EY2442" s="1628"/>
      <c r="EZ2442" s="1628"/>
      <c r="FA2442" s="1628"/>
      <c r="FC2442" s="1864" t="s">
        <v>6063</v>
      </c>
      <c r="FH2442" s="1628"/>
      <c r="FU2442" s="1678"/>
      <c r="FW2442" s="1678"/>
    </row>
    <row r="2443" spans="1:179" s="1484" customFormat="1" ht="22.5" x14ac:dyDescent="0.25">
      <c r="A2443" s="2033"/>
      <c r="B2443" s="1631" t="s">
        <v>8756</v>
      </c>
      <c r="C2443" s="2805" t="s">
        <v>8755</v>
      </c>
      <c r="D2443" s="2805"/>
      <c r="E2443" s="2805"/>
      <c r="F2443" s="1683" t="s">
        <v>807</v>
      </c>
      <c r="G2443" s="1953">
        <v>35.6</v>
      </c>
      <c r="H2443" s="1641"/>
      <c r="I2443" s="2035">
        <v>0.42720000000000002</v>
      </c>
      <c r="J2443" s="1654">
        <v>7.94</v>
      </c>
      <c r="K2443" s="1655">
        <v>1.25</v>
      </c>
      <c r="L2443" s="1654">
        <v>4.24</v>
      </c>
      <c r="M2443" s="1641"/>
      <c r="N2443" s="1681"/>
      <c r="EW2443" s="2031"/>
      <c r="EX2443" s="1619"/>
      <c r="EY2443" s="1628"/>
      <c r="EZ2443" s="1628"/>
      <c r="FA2443" s="1628"/>
      <c r="FD2443" s="1864" t="s">
        <v>8755</v>
      </c>
      <c r="FH2443" s="1628"/>
      <c r="FU2443" s="1678"/>
      <c r="FW2443" s="1678"/>
    </row>
    <row r="2444" spans="1:179" s="1484" customFormat="1" ht="22.5" x14ac:dyDescent="0.25">
      <c r="A2444" s="2033"/>
      <c r="B2444" s="1631" t="s">
        <v>5010</v>
      </c>
      <c r="C2444" s="2805" t="s">
        <v>5011</v>
      </c>
      <c r="D2444" s="2805"/>
      <c r="E2444" s="2805"/>
      <c r="F2444" s="1683" t="s">
        <v>4994</v>
      </c>
      <c r="G2444" s="1655">
        <v>1.27</v>
      </c>
      <c r="H2444" s="1641"/>
      <c r="I2444" s="2042">
        <v>1.524E-2</v>
      </c>
      <c r="J2444" s="1654">
        <v>31.26</v>
      </c>
      <c r="K2444" s="1641"/>
      <c r="L2444" s="1654">
        <v>0.48</v>
      </c>
      <c r="M2444" s="1641"/>
      <c r="N2444" s="1681"/>
      <c r="EW2444" s="2031"/>
      <c r="EX2444" s="1619"/>
      <c r="EY2444" s="1628"/>
      <c r="EZ2444" s="1628"/>
      <c r="FA2444" s="1628"/>
      <c r="FD2444" s="1864" t="s">
        <v>5011</v>
      </c>
      <c r="FH2444" s="1628"/>
      <c r="FU2444" s="1678"/>
      <c r="FW2444" s="1678"/>
    </row>
    <row r="2445" spans="1:179" s="1484" customFormat="1" ht="15" x14ac:dyDescent="0.25">
      <c r="A2445" s="2033"/>
      <c r="B2445" s="1631" t="s">
        <v>5012</v>
      </c>
      <c r="C2445" s="2805" t="s">
        <v>5013</v>
      </c>
      <c r="D2445" s="2805"/>
      <c r="E2445" s="2805"/>
      <c r="F2445" s="1683" t="s">
        <v>4994</v>
      </c>
      <c r="G2445" s="1655">
        <v>7.82</v>
      </c>
      <c r="H2445" s="1641"/>
      <c r="I2445" s="2042">
        <v>9.3840000000000007E-2</v>
      </c>
      <c r="J2445" s="1654">
        <v>0.5</v>
      </c>
      <c r="K2445" s="1641"/>
      <c r="L2445" s="1654">
        <v>0.05</v>
      </c>
      <c r="M2445" s="1641"/>
      <c r="N2445" s="1681"/>
      <c r="EW2445" s="2031"/>
      <c r="EX2445" s="1619"/>
      <c r="EY2445" s="1628"/>
      <c r="EZ2445" s="1628"/>
      <c r="FA2445" s="1628"/>
      <c r="FD2445" s="1864" t="s">
        <v>5013</v>
      </c>
      <c r="FH2445" s="1628"/>
      <c r="FU2445" s="1678"/>
      <c r="FW2445" s="1678"/>
    </row>
    <row r="2446" spans="1:179" s="1484" customFormat="1" ht="15" x14ac:dyDescent="0.25">
      <c r="A2446" s="2033"/>
      <c r="B2446" s="1631" t="s">
        <v>1755</v>
      </c>
      <c r="C2446" s="2805" t="s">
        <v>2634</v>
      </c>
      <c r="D2446" s="2805"/>
      <c r="E2446" s="2805"/>
      <c r="F2446" s="1683" t="s">
        <v>832</v>
      </c>
      <c r="G2446" s="1953">
        <v>3.5</v>
      </c>
      <c r="H2446" s="1641"/>
      <c r="I2446" s="2046">
        <v>4.2000000000000003E-2</v>
      </c>
      <c r="J2446" s="1654">
        <v>2.44</v>
      </c>
      <c r="K2446" s="1641"/>
      <c r="L2446" s="1654">
        <v>0.1</v>
      </c>
      <c r="M2446" s="1641"/>
      <c r="N2446" s="1681"/>
      <c r="EW2446" s="2031"/>
      <c r="EX2446" s="1619"/>
      <c r="EY2446" s="1628"/>
      <c r="EZ2446" s="1628"/>
      <c r="FA2446" s="1628"/>
      <c r="FD2446" s="1864" t="s">
        <v>2634</v>
      </c>
      <c r="FH2446" s="1628"/>
      <c r="FU2446" s="1678"/>
      <c r="FW2446" s="1678"/>
    </row>
    <row r="2447" spans="1:179" s="1484" customFormat="1" ht="15" x14ac:dyDescent="0.25">
      <c r="A2447" s="2032"/>
      <c r="B2447" s="1631" t="s">
        <v>190</v>
      </c>
      <c r="C2447" s="2805" t="s">
        <v>2523</v>
      </c>
      <c r="D2447" s="2805"/>
      <c r="E2447" s="2805"/>
      <c r="F2447" s="1683"/>
      <c r="G2447" s="1641"/>
      <c r="H2447" s="1641"/>
      <c r="I2447" s="1641"/>
      <c r="J2447" s="1654">
        <v>282.66000000000003</v>
      </c>
      <c r="K2447" s="1655">
        <v>1.25</v>
      </c>
      <c r="L2447" s="1654">
        <v>4.24</v>
      </c>
      <c r="M2447" s="1655">
        <v>35.75</v>
      </c>
      <c r="N2447" s="2039">
        <v>151.58000000000001</v>
      </c>
      <c r="EW2447" s="2031"/>
      <c r="EX2447" s="1619"/>
      <c r="EY2447" s="1628"/>
      <c r="EZ2447" s="1628"/>
      <c r="FA2447" s="1628"/>
      <c r="FE2447" s="1864" t="s">
        <v>2523</v>
      </c>
      <c r="FH2447" s="1628"/>
      <c r="FU2447" s="1678"/>
      <c r="FW2447" s="1678"/>
    </row>
    <row r="2448" spans="1:179" s="1484" customFormat="1" ht="15" x14ac:dyDescent="0.25">
      <c r="A2448" s="2032"/>
      <c r="B2448" s="1631" t="s">
        <v>639</v>
      </c>
      <c r="C2448" s="2805" t="s">
        <v>697</v>
      </c>
      <c r="D2448" s="2805"/>
      <c r="E2448" s="2805"/>
      <c r="F2448" s="1683"/>
      <c r="G2448" s="1641"/>
      <c r="H2448" s="1641"/>
      <c r="I2448" s="1641"/>
      <c r="J2448" s="1654">
        <v>43.61</v>
      </c>
      <c r="K2448" s="1641"/>
      <c r="L2448" s="1654">
        <v>0.52</v>
      </c>
      <c r="M2448" s="1655">
        <v>11.97</v>
      </c>
      <c r="N2448" s="2039">
        <v>6.22</v>
      </c>
      <c r="EW2448" s="2031"/>
      <c r="EX2448" s="1619"/>
      <c r="EY2448" s="1628"/>
      <c r="EZ2448" s="1628"/>
      <c r="FA2448" s="1628"/>
      <c r="FE2448" s="1864" t="s">
        <v>697</v>
      </c>
      <c r="FH2448" s="1628"/>
      <c r="FU2448" s="1678"/>
      <c r="FW2448" s="1678"/>
    </row>
    <row r="2449" spans="1:179" s="1484" customFormat="1" ht="15" x14ac:dyDescent="0.25">
      <c r="A2449" s="2032"/>
      <c r="B2449" s="1631" t="s">
        <v>640</v>
      </c>
      <c r="C2449" s="2805" t="s">
        <v>2500</v>
      </c>
      <c r="D2449" s="2805"/>
      <c r="E2449" s="2805"/>
      <c r="F2449" s="1683"/>
      <c r="G2449" s="1641"/>
      <c r="H2449" s="1641"/>
      <c r="I2449" s="1641"/>
      <c r="J2449" s="1654">
        <v>17.149999999999999</v>
      </c>
      <c r="K2449" s="1641"/>
      <c r="L2449" s="1654">
        <v>0.21</v>
      </c>
      <c r="M2449" s="1655">
        <v>35.75</v>
      </c>
      <c r="N2449" s="2039">
        <v>7.51</v>
      </c>
      <c r="EW2449" s="2031"/>
      <c r="EX2449" s="1619"/>
      <c r="EY2449" s="1628"/>
      <c r="EZ2449" s="1628"/>
      <c r="FA2449" s="1628"/>
      <c r="FE2449" s="1864" t="s">
        <v>2500</v>
      </c>
      <c r="FH2449" s="1628"/>
      <c r="FU2449" s="1678"/>
      <c r="FW2449" s="1678"/>
    </row>
    <row r="2450" spans="1:179" s="1484" customFormat="1" ht="15" x14ac:dyDescent="0.25">
      <c r="A2450" s="2032"/>
      <c r="B2450" s="1631" t="s">
        <v>232</v>
      </c>
      <c r="C2450" s="2805" t="s">
        <v>829</v>
      </c>
      <c r="D2450" s="2805"/>
      <c r="E2450" s="2805"/>
      <c r="F2450" s="1683"/>
      <c r="G2450" s="1641"/>
      <c r="H2450" s="1641"/>
      <c r="I2450" s="1641"/>
      <c r="J2450" s="1654">
        <v>8.5399999999999991</v>
      </c>
      <c r="K2450" s="1641"/>
      <c r="L2450" s="1654">
        <v>0.1</v>
      </c>
      <c r="M2450" s="1655">
        <v>9.14</v>
      </c>
      <c r="N2450" s="2039">
        <v>0.91</v>
      </c>
      <c r="EW2450" s="2031"/>
      <c r="EX2450" s="1619"/>
      <c r="EY2450" s="1628"/>
      <c r="EZ2450" s="1628"/>
      <c r="FA2450" s="1628"/>
      <c r="FE2450" s="1864" t="s">
        <v>829</v>
      </c>
      <c r="FH2450" s="1628"/>
      <c r="FU2450" s="1678"/>
      <c r="FW2450" s="1678"/>
    </row>
    <row r="2451" spans="1:179" s="1484" customFormat="1" ht="15" x14ac:dyDescent="0.25">
      <c r="A2451" s="2033"/>
      <c r="B2451" s="1631"/>
      <c r="C2451" s="2805" t="s">
        <v>2524</v>
      </c>
      <c r="D2451" s="2805"/>
      <c r="E2451" s="2805"/>
      <c r="F2451" s="1683" t="s">
        <v>807</v>
      </c>
      <c r="G2451" s="1953">
        <v>35.6</v>
      </c>
      <c r="H2451" s="1641"/>
      <c r="I2451" s="2035">
        <v>0.42720000000000002</v>
      </c>
      <c r="J2451" s="1640"/>
      <c r="K2451" s="1641"/>
      <c r="L2451" s="1640"/>
      <c r="M2451" s="1641"/>
      <c r="N2451" s="1681"/>
      <c r="EW2451" s="2031"/>
      <c r="EX2451" s="1619"/>
      <c r="EY2451" s="1628"/>
      <c r="EZ2451" s="1628"/>
      <c r="FA2451" s="1628"/>
      <c r="FF2451" s="1864" t="s">
        <v>2524</v>
      </c>
      <c r="FH2451" s="1628"/>
      <c r="FU2451" s="1678"/>
      <c r="FW2451" s="1678"/>
    </row>
    <row r="2452" spans="1:179" s="1484" customFormat="1" ht="15" x14ac:dyDescent="0.25">
      <c r="A2452" s="2033"/>
      <c r="B2452" s="1631"/>
      <c r="C2452" s="2805" t="s">
        <v>2501</v>
      </c>
      <c r="D2452" s="2805"/>
      <c r="E2452" s="2805"/>
      <c r="F2452" s="1683" t="s">
        <v>807</v>
      </c>
      <c r="G2452" s="1655">
        <v>1.27</v>
      </c>
      <c r="H2452" s="1641"/>
      <c r="I2452" s="2042">
        <v>1.524E-2</v>
      </c>
      <c r="J2452" s="1640"/>
      <c r="K2452" s="1641"/>
      <c r="L2452" s="1640"/>
      <c r="M2452" s="1641"/>
      <c r="N2452" s="1681"/>
      <c r="EW2452" s="2031"/>
      <c r="EX2452" s="1619"/>
      <c r="EY2452" s="1628"/>
      <c r="EZ2452" s="1628"/>
      <c r="FA2452" s="1628"/>
      <c r="FF2452" s="1864" t="s">
        <v>2501</v>
      </c>
      <c r="FH2452" s="1628"/>
      <c r="FU2452" s="1678"/>
      <c r="FW2452" s="1678"/>
    </row>
    <row r="2453" spans="1:179" s="1484" customFormat="1" ht="15" x14ac:dyDescent="0.25">
      <c r="A2453" s="2032"/>
      <c r="B2453" s="1631"/>
      <c r="C2453" s="2917" t="s">
        <v>2502</v>
      </c>
      <c r="D2453" s="2917"/>
      <c r="E2453" s="2917"/>
      <c r="F2453" s="2036"/>
      <c r="G2453" s="2037"/>
      <c r="H2453" s="2037"/>
      <c r="I2453" s="2037"/>
      <c r="J2453" s="2044">
        <v>334.81</v>
      </c>
      <c r="K2453" s="2037"/>
      <c r="L2453" s="2044">
        <v>4.8600000000000003</v>
      </c>
      <c r="M2453" s="2037"/>
      <c r="N2453" s="2070">
        <v>158.71</v>
      </c>
      <c r="EW2453" s="2031"/>
      <c r="EX2453" s="1619"/>
      <c r="EY2453" s="1628"/>
      <c r="EZ2453" s="1628"/>
      <c r="FA2453" s="1628"/>
      <c r="FG2453" s="1864" t="s">
        <v>2502</v>
      </c>
      <c r="FH2453" s="1628"/>
      <c r="FU2453" s="1678"/>
      <c r="FW2453" s="1678"/>
    </row>
    <row r="2454" spans="1:179" s="1484" customFormat="1" ht="15" x14ac:dyDescent="0.25">
      <c r="A2454" s="2033" t="s">
        <v>8372</v>
      </c>
      <c r="B2454" s="1631"/>
      <c r="C2454" s="2805" t="s">
        <v>7964</v>
      </c>
      <c r="D2454" s="2805"/>
      <c r="E2454" s="2805"/>
      <c r="F2454" s="1683" t="s">
        <v>5928</v>
      </c>
      <c r="G2454" s="1641"/>
      <c r="H2454" s="1641"/>
      <c r="I2454" s="1641"/>
      <c r="J2454" s="1640"/>
      <c r="K2454" s="1641"/>
      <c r="L2454" s="1654">
        <v>0.05</v>
      </c>
      <c r="M2454" s="1641"/>
      <c r="N2454" s="2039">
        <v>1.79</v>
      </c>
      <c r="EW2454" s="2031"/>
      <c r="EX2454" s="1619"/>
      <c r="EY2454" s="1628"/>
      <c r="EZ2454" s="1628"/>
      <c r="FA2454" s="1628"/>
      <c r="FF2454" s="1864" t="s">
        <v>7964</v>
      </c>
      <c r="FH2454" s="1628"/>
      <c r="FU2454" s="1678"/>
      <c r="FW2454" s="1678"/>
    </row>
    <row r="2455" spans="1:179" s="1484" customFormat="1" ht="15" x14ac:dyDescent="0.25">
      <c r="A2455" s="2033"/>
      <c r="B2455" s="1631"/>
      <c r="C2455" s="2805" t="s">
        <v>7965</v>
      </c>
      <c r="D2455" s="2805"/>
      <c r="E2455" s="2805"/>
      <c r="F2455" s="1683" t="s">
        <v>5928</v>
      </c>
      <c r="G2455" s="1641"/>
      <c r="H2455" s="1641"/>
      <c r="I2455" s="1641"/>
      <c r="J2455" s="1654">
        <v>17.149999999999999</v>
      </c>
      <c r="K2455" s="1655">
        <v>0.25</v>
      </c>
      <c r="L2455" s="1654">
        <v>0.05</v>
      </c>
      <c r="M2455" s="1655">
        <v>35.75</v>
      </c>
      <c r="N2455" s="2039">
        <v>1.79</v>
      </c>
      <c r="EW2455" s="2031"/>
      <c r="EX2455" s="1619"/>
      <c r="EY2455" s="1628"/>
      <c r="EZ2455" s="1628"/>
      <c r="FA2455" s="1628"/>
      <c r="FF2455" s="1864" t="s">
        <v>7965</v>
      </c>
      <c r="FH2455" s="1628"/>
      <c r="FU2455" s="1678"/>
      <c r="FW2455" s="1678"/>
    </row>
    <row r="2456" spans="1:179" s="1484" customFormat="1" ht="15" x14ac:dyDescent="0.25">
      <c r="A2456" s="2033"/>
      <c r="B2456" s="1631"/>
      <c r="C2456" s="2805" t="s">
        <v>867</v>
      </c>
      <c r="D2456" s="2805"/>
      <c r="E2456" s="2805"/>
      <c r="F2456" s="1683"/>
      <c r="G2456" s="1641"/>
      <c r="H2456" s="1641"/>
      <c r="I2456" s="1641"/>
      <c r="J2456" s="1640"/>
      <c r="K2456" s="1641"/>
      <c r="L2456" s="1654">
        <v>4.5</v>
      </c>
      <c r="M2456" s="1641"/>
      <c r="N2456" s="2039">
        <v>160.88</v>
      </c>
      <c r="EW2456" s="2031"/>
      <c r="EX2456" s="1619"/>
      <c r="EY2456" s="1628"/>
      <c r="EZ2456" s="1628"/>
      <c r="FA2456" s="1628"/>
      <c r="FF2456" s="1864" t="s">
        <v>867</v>
      </c>
      <c r="FH2456" s="1628"/>
      <c r="FU2456" s="1678"/>
      <c r="FW2456" s="1678"/>
    </row>
    <row r="2457" spans="1:179" s="1484" customFormat="1" ht="15" x14ac:dyDescent="0.25">
      <c r="A2457" s="2033"/>
      <c r="B2457" s="1631" t="s">
        <v>8054</v>
      </c>
      <c r="C2457" s="2805" t="s">
        <v>8055</v>
      </c>
      <c r="D2457" s="2805"/>
      <c r="E2457" s="2805"/>
      <c r="F2457" s="1683" t="s">
        <v>636</v>
      </c>
      <c r="G2457" s="2034">
        <v>112</v>
      </c>
      <c r="H2457" s="1641"/>
      <c r="I2457" s="2034">
        <v>112</v>
      </c>
      <c r="J2457" s="1640"/>
      <c r="K2457" s="1641"/>
      <c r="L2457" s="1654">
        <v>5.04</v>
      </c>
      <c r="M2457" s="1641"/>
      <c r="N2457" s="2039">
        <v>180.19</v>
      </c>
      <c r="EW2457" s="2031"/>
      <c r="EX2457" s="1619"/>
      <c r="EY2457" s="1628"/>
      <c r="EZ2457" s="1628"/>
      <c r="FA2457" s="1628"/>
      <c r="FF2457" s="1864" t="s">
        <v>8055</v>
      </c>
      <c r="FH2457" s="1628"/>
      <c r="FU2457" s="1678"/>
      <c r="FW2457" s="1678"/>
    </row>
    <row r="2458" spans="1:179" s="1484" customFormat="1" ht="15" x14ac:dyDescent="0.25">
      <c r="A2458" s="2033"/>
      <c r="B2458" s="1631" t="s">
        <v>8056</v>
      </c>
      <c r="C2458" s="2805" t="s">
        <v>8057</v>
      </c>
      <c r="D2458" s="2805"/>
      <c r="E2458" s="2805"/>
      <c r="F2458" s="1683" t="s">
        <v>636</v>
      </c>
      <c r="G2458" s="2034">
        <v>65</v>
      </c>
      <c r="H2458" s="1641"/>
      <c r="I2458" s="2034">
        <v>65</v>
      </c>
      <c r="J2458" s="1640"/>
      <c r="K2458" s="1641"/>
      <c r="L2458" s="1654">
        <v>2.93</v>
      </c>
      <c r="M2458" s="1641"/>
      <c r="N2458" s="2039">
        <v>104.57</v>
      </c>
      <c r="EW2458" s="2031"/>
      <c r="EX2458" s="1619"/>
      <c r="EY2458" s="1628"/>
      <c r="EZ2458" s="1628"/>
      <c r="FA2458" s="1628"/>
      <c r="FF2458" s="1864" t="s">
        <v>8057</v>
      </c>
      <c r="FH2458" s="1628"/>
      <c r="FU2458" s="1678"/>
      <c r="FW2458" s="1678"/>
    </row>
    <row r="2459" spans="1:179" s="1484" customFormat="1" ht="15" x14ac:dyDescent="0.25">
      <c r="A2459" s="1650"/>
      <c r="B2459" s="1651"/>
      <c r="C2459" s="2803" t="s">
        <v>872</v>
      </c>
      <c r="D2459" s="2803"/>
      <c r="E2459" s="2803"/>
      <c r="F2459" s="1621"/>
      <c r="G2459" s="1622"/>
      <c r="H2459" s="1622"/>
      <c r="I2459" s="1622"/>
      <c r="J2459" s="1625"/>
      <c r="K2459" s="1622"/>
      <c r="L2459" s="2040">
        <v>12.88</v>
      </c>
      <c r="M2459" s="2037"/>
      <c r="N2459" s="2069">
        <v>445.26</v>
      </c>
      <c r="EW2459" s="2031"/>
      <c r="EX2459" s="1619"/>
      <c r="EY2459" s="1628"/>
      <c r="EZ2459" s="1628"/>
      <c r="FA2459" s="1628"/>
      <c r="FH2459" s="1628" t="s">
        <v>872</v>
      </c>
      <c r="FU2459" s="1678"/>
      <c r="FW2459" s="1678"/>
    </row>
    <row r="2460" spans="1:179" s="1484" customFormat="1" ht="33.75" x14ac:dyDescent="0.25">
      <c r="A2460" s="1620" t="s">
        <v>8373</v>
      </c>
      <c r="B2460" s="1863" t="s">
        <v>8769</v>
      </c>
      <c r="C2460" s="2803" t="s">
        <v>8141</v>
      </c>
      <c r="D2460" s="2803"/>
      <c r="E2460" s="2803"/>
      <c r="F2460" s="1621" t="s">
        <v>2555</v>
      </c>
      <c r="G2460" s="1622">
        <v>0.64600000000000002</v>
      </c>
      <c r="H2460" s="1623">
        <v>1</v>
      </c>
      <c r="I2460" s="2045">
        <v>0.64600000000000002</v>
      </c>
      <c r="J2460" s="1625"/>
      <c r="K2460" s="1622"/>
      <c r="L2460" s="1625"/>
      <c r="M2460" s="1622"/>
      <c r="N2460" s="1627"/>
      <c r="EW2460" s="2031"/>
      <c r="EX2460" s="1619"/>
      <c r="EY2460" s="1628" t="s">
        <v>8141</v>
      </c>
      <c r="EZ2460" s="1628" t="s">
        <v>588</v>
      </c>
      <c r="FA2460" s="1628" t="s">
        <v>588</v>
      </c>
      <c r="FH2460" s="1628"/>
      <c r="FU2460" s="1678"/>
      <c r="FW2460" s="1678"/>
    </row>
    <row r="2461" spans="1:179" s="1484" customFormat="1" ht="15" x14ac:dyDescent="0.25">
      <c r="A2461" s="1629"/>
      <c r="B2461" s="1862"/>
      <c r="C2461" s="2805" t="s">
        <v>8774</v>
      </c>
      <c r="D2461" s="2805"/>
      <c r="E2461" s="2805"/>
      <c r="F2461" s="2805"/>
      <c r="G2461" s="2805"/>
      <c r="H2461" s="2805"/>
      <c r="I2461" s="2805"/>
      <c r="J2461" s="2805"/>
      <c r="K2461" s="2805"/>
      <c r="L2461" s="2805"/>
      <c r="M2461" s="2805"/>
      <c r="N2461" s="2806"/>
      <c r="EW2461" s="2031"/>
      <c r="EX2461" s="1619"/>
      <c r="EY2461" s="1628"/>
      <c r="EZ2461" s="1628"/>
      <c r="FA2461" s="1628"/>
      <c r="FB2461" s="1864" t="s">
        <v>8774</v>
      </c>
      <c r="FH2461" s="1628"/>
      <c r="FU2461" s="1678"/>
      <c r="FW2461" s="1678"/>
    </row>
    <row r="2462" spans="1:179" s="1484" customFormat="1" ht="22.5" x14ac:dyDescent="0.25">
      <c r="A2462" s="1630"/>
      <c r="B2462" s="1631" t="s">
        <v>6062</v>
      </c>
      <c r="C2462" s="2809" t="s">
        <v>6063</v>
      </c>
      <c r="D2462" s="2809"/>
      <c r="E2462" s="2809"/>
      <c r="F2462" s="2809"/>
      <c r="G2462" s="2809"/>
      <c r="H2462" s="2809"/>
      <c r="I2462" s="2809"/>
      <c r="J2462" s="2809"/>
      <c r="K2462" s="2809"/>
      <c r="L2462" s="2809"/>
      <c r="M2462" s="2809"/>
      <c r="N2462" s="2810"/>
      <c r="EW2462" s="2031"/>
      <c r="EX2462" s="1619"/>
      <c r="EY2462" s="1628"/>
      <c r="EZ2462" s="1628"/>
      <c r="FA2462" s="1628"/>
      <c r="FC2462" s="1864" t="s">
        <v>6063</v>
      </c>
      <c r="FH2462" s="1628"/>
      <c r="FU2462" s="1678"/>
      <c r="FW2462" s="1678"/>
    </row>
    <row r="2463" spans="1:179" s="1484" customFormat="1" ht="15" x14ac:dyDescent="0.25">
      <c r="A2463" s="1630"/>
      <c r="B2463" s="1631" t="s">
        <v>8142</v>
      </c>
      <c r="C2463" s="2809" t="s">
        <v>8245</v>
      </c>
      <c r="D2463" s="2809"/>
      <c r="E2463" s="2809"/>
      <c r="F2463" s="2809"/>
      <c r="G2463" s="2809"/>
      <c r="H2463" s="2809"/>
      <c r="I2463" s="2809"/>
      <c r="J2463" s="2809"/>
      <c r="K2463" s="2809"/>
      <c r="L2463" s="2809"/>
      <c r="M2463" s="2809"/>
      <c r="N2463" s="2810"/>
      <c r="EW2463" s="2031"/>
      <c r="EX2463" s="1619"/>
      <c r="EY2463" s="1628"/>
      <c r="EZ2463" s="1628"/>
      <c r="FA2463" s="1628"/>
      <c r="FC2463" s="1864" t="s">
        <v>8245</v>
      </c>
      <c r="FH2463" s="1628"/>
      <c r="FU2463" s="1678"/>
      <c r="FW2463" s="1678"/>
    </row>
    <row r="2464" spans="1:179" s="1484" customFormat="1" ht="22.5" x14ac:dyDescent="0.25">
      <c r="A2464" s="2033"/>
      <c r="B2464" s="1631" t="s">
        <v>8756</v>
      </c>
      <c r="C2464" s="2805" t="s">
        <v>8755</v>
      </c>
      <c r="D2464" s="2805"/>
      <c r="E2464" s="2805"/>
      <c r="F2464" s="1683" t="s">
        <v>807</v>
      </c>
      <c r="G2464" s="1655">
        <v>0.44</v>
      </c>
      <c r="H2464" s="2034">
        <v>16</v>
      </c>
      <c r="I2464" s="2042">
        <v>4.5478399999999999</v>
      </c>
      <c r="J2464" s="1654">
        <v>7.94</v>
      </c>
      <c r="K2464" s="1655">
        <v>1.25</v>
      </c>
      <c r="L2464" s="1654">
        <v>45.14</v>
      </c>
      <c r="M2464" s="1641"/>
      <c r="N2464" s="1681"/>
      <c r="EW2464" s="2031"/>
      <c r="EX2464" s="1619"/>
      <c r="EY2464" s="1628"/>
      <c r="EZ2464" s="1628"/>
      <c r="FA2464" s="1628"/>
      <c r="FD2464" s="1864" t="s">
        <v>8755</v>
      </c>
      <c r="FH2464" s="1628"/>
      <c r="FU2464" s="1678"/>
      <c r="FW2464" s="1678"/>
    </row>
    <row r="2465" spans="1:179" s="1484" customFormat="1" ht="22.5" x14ac:dyDescent="0.25">
      <c r="A2465" s="2033"/>
      <c r="B2465" s="1631" t="s">
        <v>5010</v>
      </c>
      <c r="C2465" s="2805" t="s">
        <v>5011</v>
      </c>
      <c r="D2465" s="2805"/>
      <c r="E2465" s="2805"/>
      <c r="F2465" s="1683" t="s">
        <v>4994</v>
      </c>
      <c r="G2465" s="1655">
        <v>0.21</v>
      </c>
      <c r="H2465" s="2034">
        <v>16</v>
      </c>
      <c r="I2465" s="2042">
        <v>2.17056</v>
      </c>
      <c r="J2465" s="1654">
        <v>31.26</v>
      </c>
      <c r="K2465" s="1641"/>
      <c r="L2465" s="1654">
        <v>67.849999999999994</v>
      </c>
      <c r="M2465" s="1641"/>
      <c r="N2465" s="1681"/>
      <c r="EW2465" s="2031"/>
      <c r="EX2465" s="1619"/>
      <c r="EY2465" s="1628"/>
      <c r="EZ2465" s="1628"/>
      <c r="FA2465" s="1628"/>
      <c r="FD2465" s="1864" t="s">
        <v>5011</v>
      </c>
      <c r="FH2465" s="1628"/>
      <c r="FU2465" s="1678"/>
      <c r="FW2465" s="1678"/>
    </row>
    <row r="2466" spans="1:179" s="1484" customFormat="1" ht="15" x14ac:dyDescent="0.25">
      <c r="A2466" s="2033"/>
      <c r="B2466" s="1631" t="s">
        <v>5012</v>
      </c>
      <c r="C2466" s="2805" t="s">
        <v>5013</v>
      </c>
      <c r="D2466" s="2805"/>
      <c r="E2466" s="2805"/>
      <c r="F2466" s="1683" t="s">
        <v>4994</v>
      </c>
      <c r="G2466" s="2034">
        <v>2</v>
      </c>
      <c r="H2466" s="2034">
        <v>16</v>
      </c>
      <c r="I2466" s="2046">
        <v>20.672000000000001</v>
      </c>
      <c r="J2466" s="1654">
        <v>0.5</v>
      </c>
      <c r="K2466" s="1641"/>
      <c r="L2466" s="1654">
        <v>10.34</v>
      </c>
      <c r="M2466" s="1641"/>
      <c r="N2466" s="1681"/>
      <c r="EW2466" s="2031"/>
      <c r="EX2466" s="1619"/>
      <c r="EY2466" s="1628"/>
      <c r="EZ2466" s="1628"/>
      <c r="FA2466" s="1628"/>
      <c r="FD2466" s="1864" t="s">
        <v>5013</v>
      </c>
      <c r="FH2466" s="1628"/>
      <c r="FU2466" s="1678"/>
      <c r="FW2466" s="1678"/>
    </row>
    <row r="2467" spans="1:179" s="1484" customFormat="1" ht="15" x14ac:dyDescent="0.25">
      <c r="A2467" s="2032"/>
      <c r="B2467" s="1631" t="s">
        <v>190</v>
      </c>
      <c r="C2467" s="2805" t="s">
        <v>2523</v>
      </c>
      <c r="D2467" s="2805"/>
      <c r="E2467" s="2805"/>
      <c r="F2467" s="1683"/>
      <c r="G2467" s="1641"/>
      <c r="H2467" s="1641"/>
      <c r="I2467" s="1641"/>
      <c r="J2467" s="1654">
        <v>3.49</v>
      </c>
      <c r="K2467" s="2034">
        <v>20</v>
      </c>
      <c r="L2467" s="1654">
        <v>45.09</v>
      </c>
      <c r="M2467" s="1655">
        <v>35.75</v>
      </c>
      <c r="N2467" s="1679">
        <v>1611.97</v>
      </c>
      <c r="EW2467" s="2031"/>
      <c r="EX2467" s="1619"/>
      <c r="EY2467" s="1628"/>
      <c r="EZ2467" s="1628"/>
      <c r="FA2467" s="1628"/>
      <c r="FE2467" s="1864" t="s">
        <v>2523</v>
      </c>
      <c r="FH2467" s="1628"/>
      <c r="FU2467" s="1678"/>
      <c r="FW2467" s="1678"/>
    </row>
    <row r="2468" spans="1:179" s="1484" customFormat="1" ht="15" x14ac:dyDescent="0.25">
      <c r="A2468" s="2032"/>
      <c r="B2468" s="1631" t="s">
        <v>639</v>
      </c>
      <c r="C2468" s="2805" t="s">
        <v>697</v>
      </c>
      <c r="D2468" s="2805"/>
      <c r="E2468" s="2805"/>
      <c r="F2468" s="1683"/>
      <c r="G2468" s="1641"/>
      <c r="H2468" s="1641"/>
      <c r="I2468" s="1641"/>
      <c r="J2468" s="1654">
        <v>7.56</v>
      </c>
      <c r="K2468" s="2034">
        <v>16</v>
      </c>
      <c r="L2468" s="1654">
        <v>78.14</v>
      </c>
      <c r="M2468" s="1655">
        <v>11.97</v>
      </c>
      <c r="N2468" s="2039">
        <v>935.34</v>
      </c>
      <c r="EW2468" s="2031"/>
      <c r="EX2468" s="1619"/>
      <c r="EY2468" s="1628"/>
      <c r="EZ2468" s="1628"/>
      <c r="FA2468" s="1628"/>
      <c r="FE2468" s="1864" t="s">
        <v>697</v>
      </c>
      <c r="FH2468" s="1628"/>
      <c r="FU2468" s="1678"/>
      <c r="FW2468" s="1678"/>
    </row>
    <row r="2469" spans="1:179" s="1484" customFormat="1" ht="15" x14ac:dyDescent="0.25">
      <c r="A2469" s="2032"/>
      <c r="B2469" s="1631" t="s">
        <v>640</v>
      </c>
      <c r="C2469" s="2805" t="s">
        <v>2500</v>
      </c>
      <c r="D2469" s="2805"/>
      <c r="E2469" s="2805"/>
      <c r="F2469" s="1683"/>
      <c r="G2469" s="1641"/>
      <c r="H2469" s="1641"/>
      <c r="I2469" s="1641"/>
      <c r="J2469" s="1654">
        <v>2.84</v>
      </c>
      <c r="K2469" s="2034">
        <v>16</v>
      </c>
      <c r="L2469" s="1654">
        <v>29.35</v>
      </c>
      <c r="M2469" s="1655">
        <v>35.75</v>
      </c>
      <c r="N2469" s="1679">
        <v>1049.26</v>
      </c>
      <c r="EW2469" s="2031"/>
      <c r="EX2469" s="1619"/>
      <c r="EY2469" s="1628"/>
      <c r="EZ2469" s="1628"/>
      <c r="FA2469" s="1628"/>
      <c r="FE2469" s="1864" t="s">
        <v>2500</v>
      </c>
      <c r="FH2469" s="1628"/>
      <c r="FU2469" s="1678"/>
      <c r="FW2469" s="1678"/>
    </row>
    <row r="2470" spans="1:179" s="1484" customFormat="1" ht="15" x14ac:dyDescent="0.25">
      <c r="A2470" s="2033"/>
      <c r="B2470" s="1631"/>
      <c r="C2470" s="2805" t="s">
        <v>2524</v>
      </c>
      <c r="D2470" s="2805"/>
      <c r="E2470" s="2805"/>
      <c r="F2470" s="1683" t="s">
        <v>807</v>
      </c>
      <c r="G2470" s="1655">
        <v>0.44</v>
      </c>
      <c r="H2470" s="2034">
        <v>16</v>
      </c>
      <c r="I2470" s="2042">
        <v>4.5478399999999999</v>
      </c>
      <c r="J2470" s="1640"/>
      <c r="K2470" s="1641"/>
      <c r="L2470" s="1640"/>
      <c r="M2470" s="1641"/>
      <c r="N2470" s="1681"/>
      <c r="EW2470" s="2031"/>
      <c r="EX2470" s="1619"/>
      <c r="EY2470" s="1628"/>
      <c r="EZ2470" s="1628"/>
      <c r="FA2470" s="1628"/>
      <c r="FF2470" s="1864" t="s">
        <v>2524</v>
      </c>
      <c r="FH2470" s="1628"/>
      <c r="FU2470" s="1678"/>
      <c r="FW2470" s="1678"/>
    </row>
    <row r="2471" spans="1:179" s="1484" customFormat="1" ht="15" x14ac:dyDescent="0.25">
      <c r="A2471" s="2033"/>
      <c r="B2471" s="1631"/>
      <c r="C2471" s="2805" t="s">
        <v>2501</v>
      </c>
      <c r="D2471" s="2805"/>
      <c r="E2471" s="2805"/>
      <c r="F2471" s="1683" t="s">
        <v>807</v>
      </c>
      <c r="G2471" s="1655">
        <v>0.21</v>
      </c>
      <c r="H2471" s="2034">
        <v>16</v>
      </c>
      <c r="I2471" s="2042">
        <v>2.17056</v>
      </c>
      <c r="J2471" s="1640"/>
      <c r="K2471" s="1641"/>
      <c r="L2471" s="1640"/>
      <c r="M2471" s="1641"/>
      <c r="N2471" s="1681"/>
      <c r="EW2471" s="2031"/>
      <c r="EX2471" s="1619"/>
      <c r="EY2471" s="1628"/>
      <c r="EZ2471" s="1628"/>
      <c r="FA2471" s="1628"/>
      <c r="FF2471" s="1864" t="s">
        <v>2501</v>
      </c>
      <c r="FH2471" s="1628"/>
      <c r="FU2471" s="1678"/>
      <c r="FW2471" s="1678"/>
    </row>
    <row r="2472" spans="1:179" s="1484" customFormat="1" ht="15" x14ac:dyDescent="0.25">
      <c r="A2472" s="2032"/>
      <c r="B2472" s="1631"/>
      <c r="C2472" s="2917" t="s">
        <v>2502</v>
      </c>
      <c r="D2472" s="2917"/>
      <c r="E2472" s="2917"/>
      <c r="F2472" s="2036"/>
      <c r="G2472" s="2037"/>
      <c r="H2472" s="2037"/>
      <c r="I2472" s="2037"/>
      <c r="J2472" s="2044">
        <v>11.05</v>
      </c>
      <c r="K2472" s="2037"/>
      <c r="L2472" s="2044">
        <v>123.23</v>
      </c>
      <c r="M2472" s="2037"/>
      <c r="N2472" s="2068">
        <v>2547.31</v>
      </c>
      <c r="EW2472" s="2031"/>
      <c r="EX2472" s="1619"/>
      <c r="EY2472" s="1628"/>
      <c r="EZ2472" s="1628"/>
      <c r="FA2472" s="1628"/>
      <c r="FG2472" s="1864" t="s">
        <v>2502</v>
      </c>
      <c r="FH2472" s="1628"/>
      <c r="FU2472" s="1678"/>
      <c r="FW2472" s="1678"/>
    </row>
    <row r="2473" spans="1:179" s="1484" customFormat="1" ht="15" x14ac:dyDescent="0.25">
      <c r="A2473" s="2033" t="s">
        <v>8374</v>
      </c>
      <c r="B2473" s="1631"/>
      <c r="C2473" s="2805" t="s">
        <v>7964</v>
      </c>
      <c r="D2473" s="2805"/>
      <c r="E2473" s="2805"/>
      <c r="F2473" s="1683" t="s">
        <v>5928</v>
      </c>
      <c r="G2473" s="1641"/>
      <c r="H2473" s="1641"/>
      <c r="I2473" s="1641"/>
      <c r="J2473" s="1640"/>
      <c r="K2473" s="1641"/>
      <c r="L2473" s="1654">
        <v>7.34</v>
      </c>
      <c r="M2473" s="1641"/>
      <c r="N2473" s="2039">
        <v>262.41000000000003</v>
      </c>
      <c r="EW2473" s="2031"/>
      <c r="EX2473" s="1619"/>
      <c r="EY2473" s="1628"/>
      <c r="EZ2473" s="1628"/>
      <c r="FA2473" s="1628"/>
      <c r="FF2473" s="1864" t="s">
        <v>7964</v>
      </c>
      <c r="FH2473" s="1628"/>
      <c r="FU2473" s="1678"/>
      <c r="FW2473" s="1678"/>
    </row>
    <row r="2474" spans="1:179" s="1484" customFormat="1" ht="15" x14ac:dyDescent="0.25">
      <c r="A2474" s="2033"/>
      <c r="B2474" s="1631"/>
      <c r="C2474" s="2805" t="s">
        <v>7965</v>
      </c>
      <c r="D2474" s="2805"/>
      <c r="E2474" s="2805"/>
      <c r="F2474" s="1683" t="s">
        <v>5928</v>
      </c>
      <c r="G2474" s="1641"/>
      <c r="H2474" s="1641"/>
      <c r="I2474" s="1641"/>
      <c r="J2474" s="1654">
        <v>2.84</v>
      </c>
      <c r="K2474" s="2034">
        <v>4</v>
      </c>
      <c r="L2474" s="1654">
        <v>7.34</v>
      </c>
      <c r="M2474" s="1655">
        <v>35.75</v>
      </c>
      <c r="N2474" s="2039">
        <v>262.41000000000003</v>
      </c>
      <c r="EW2474" s="2031"/>
      <c r="EX2474" s="1619"/>
      <c r="EY2474" s="1628"/>
      <c r="EZ2474" s="1628"/>
      <c r="FA2474" s="1628"/>
      <c r="FF2474" s="1864" t="s">
        <v>7965</v>
      </c>
      <c r="FH2474" s="1628"/>
      <c r="FU2474" s="1678"/>
      <c r="FW2474" s="1678"/>
    </row>
    <row r="2475" spans="1:179" s="1484" customFormat="1" ht="15" x14ac:dyDescent="0.25">
      <c r="A2475" s="2033"/>
      <c r="B2475" s="1631"/>
      <c r="C2475" s="2805" t="s">
        <v>867</v>
      </c>
      <c r="D2475" s="2805"/>
      <c r="E2475" s="2805"/>
      <c r="F2475" s="1683"/>
      <c r="G2475" s="1641"/>
      <c r="H2475" s="1641"/>
      <c r="I2475" s="1641"/>
      <c r="J2475" s="1640"/>
      <c r="K2475" s="1641"/>
      <c r="L2475" s="1654">
        <v>81.78</v>
      </c>
      <c r="M2475" s="1641"/>
      <c r="N2475" s="1679">
        <v>2923.64</v>
      </c>
      <c r="EW2475" s="2031"/>
      <c r="EX2475" s="1619"/>
      <c r="EY2475" s="1628"/>
      <c r="EZ2475" s="1628"/>
      <c r="FA2475" s="1628"/>
      <c r="FF2475" s="1864" t="s">
        <v>867</v>
      </c>
      <c r="FH2475" s="1628"/>
      <c r="FU2475" s="1678"/>
      <c r="FW2475" s="1678"/>
    </row>
    <row r="2476" spans="1:179" s="1484" customFormat="1" ht="15" x14ac:dyDescent="0.25">
      <c r="A2476" s="2033"/>
      <c r="B2476" s="1631" t="s">
        <v>8054</v>
      </c>
      <c r="C2476" s="2805" t="s">
        <v>8055</v>
      </c>
      <c r="D2476" s="2805"/>
      <c r="E2476" s="2805"/>
      <c r="F2476" s="1683" t="s">
        <v>636</v>
      </c>
      <c r="G2476" s="2034">
        <v>112</v>
      </c>
      <c r="H2476" s="1641"/>
      <c r="I2476" s="2034">
        <v>112</v>
      </c>
      <c r="J2476" s="1640"/>
      <c r="K2476" s="1641"/>
      <c r="L2476" s="1654">
        <v>91.59</v>
      </c>
      <c r="M2476" s="1641"/>
      <c r="N2476" s="1679">
        <v>3274.48</v>
      </c>
      <c r="EW2476" s="2031"/>
      <c r="EX2476" s="1619"/>
      <c r="EY2476" s="1628"/>
      <c r="EZ2476" s="1628"/>
      <c r="FA2476" s="1628"/>
      <c r="FF2476" s="1864" t="s">
        <v>8055</v>
      </c>
      <c r="FH2476" s="1628"/>
      <c r="FU2476" s="1678"/>
      <c r="FW2476" s="1678"/>
    </row>
    <row r="2477" spans="1:179" s="1484" customFormat="1" ht="15" x14ac:dyDescent="0.25">
      <c r="A2477" s="2033"/>
      <c r="B2477" s="1631" t="s">
        <v>8056</v>
      </c>
      <c r="C2477" s="2805" t="s">
        <v>8057</v>
      </c>
      <c r="D2477" s="2805"/>
      <c r="E2477" s="2805"/>
      <c r="F2477" s="1683" t="s">
        <v>636</v>
      </c>
      <c r="G2477" s="2034">
        <v>65</v>
      </c>
      <c r="H2477" s="1641"/>
      <c r="I2477" s="2034">
        <v>65</v>
      </c>
      <c r="J2477" s="1640"/>
      <c r="K2477" s="1641"/>
      <c r="L2477" s="1654">
        <v>53.16</v>
      </c>
      <c r="M2477" s="1641"/>
      <c r="N2477" s="1679">
        <v>1900.37</v>
      </c>
      <c r="EW2477" s="2031"/>
      <c r="EX2477" s="1619"/>
      <c r="EY2477" s="1628"/>
      <c r="EZ2477" s="1628"/>
      <c r="FA2477" s="1628"/>
      <c r="FF2477" s="1864" t="s">
        <v>8057</v>
      </c>
      <c r="FH2477" s="1628"/>
      <c r="FU2477" s="1678"/>
      <c r="FW2477" s="1678"/>
    </row>
    <row r="2478" spans="1:179" s="1484" customFormat="1" ht="15" x14ac:dyDescent="0.25">
      <c r="A2478" s="1650"/>
      <c r="B2478" s="1651"/>
      <c r="C2478" s="2803" t="s">
        <v>872</v>
      </c>
      <c r="D2478" s="2803"/>
      <c r="E2478" s="2803"/>
      <c r="F2478" s="1621"/>
      <c r="G2478" s="1622"/>
      <c r="H2478" s="1622"/>
      <c r="I2478" s="1622"/>
      <c r="J2478" s="1625"/>
      <c r="K2478" s="1622"/>
      <c r="L2478" s="2040">
        <v>275.32</v>
      </c>
      <c r="M2478" s="2037"/>
      <c r="N2478" s="1649">
        <v>7984.57</v>
      </c>
      <c r="EW2478" s="2031"/>
      <c r="EX2478" s="1619"/>
      <c r="EY2478" s="1628"/>
      <c r="EZ2478" s="1628"/>
      <c r="FA2478" s="1628"/>
      <c r="FH2478" s="1628" t="s">
        <v>872</v>
      </c>
      <c r="FU2478" s="1678"/>
      <c r="FW2478" s="1678"/>
    </row>
    <row r="2479" spans="1:179" s="1484" customFormat="1" ht="56.25" x14ac:dyDescent="0.25">
      <c r="A2479" s="1620" t="s">
        <v>8375</v>
      </c>
      <c r="B2479" s="1863" t="s">
        <v>8146</v>
      </c>
      <c r="C2479" s="2803" t="s">
        <v>8147</v>
      </c>
      <c r="D2479" s="2803"/>
      <c r="E2479" s="2803"/>
      <c r="F2479" s="1621" t="s">
        <v>835</v>
      </c>
      <c r="G2479" s="1622">
        <v>1449.624</v>
      </c>
      <c r="H2479" s="1623">
        <v>1</v>
      </c>
      <c r="I2479" s="2045">
        <v>1449.624</v>
      </c>
      <c r="J2479" s="2040">
        <v>23.7</v>
      </c>
      <c r="K2479" s="1622"/>
      <c r="L2479" s="1648">
        <v>34356.089999999997</v>
      </c>
      <c r="M2479" s="1687">
        <v>9.14</v>
      </c>
      <c r="N2479" s="1649">
        <v>314014.65999999997</v>
      </c>
      <c r="EW2479" s="2031"/>
      <c r="EX2479" s="1619"/>
      <c r="EY2479" s="1628" t="s">
        <v>8147</v>
      </c>
      <c r="EZ2479" s="1628" t="s">
        <v>588</v>
      </c>
      <c r="FA2479" s="1628" t="s">
        <v>588</v>
      </c>
      <c r="FH2479" s="1628"/>
      <c r="FU2479" s="1678"/>
      <c r="FW2479" s="1678"/>
    </row>
    <row r="2480" spans="1:179" s="1484" customFormat="1" ht="15" x14ac:dyDescent="0.25">
      <c r="A2480" s="1650"/>
      <c r="B2480" s="1651"/>
      <c r="C2480" s="2805" t="s">
        <v>8722</v>
      </c>
      <c r="D2480" s="2805"/>
      <c r="E2480" s="2805"/>
      <c r="F2480" s="2805"/>
      <c r="G2480" s="2805"/>
      <c r="H2480" s="2805"/>
      <c r="I2480" s="2805"/>
      <c r="J2480" s="2805"/>
      <c r="K2480" s="2805"/>
      <c r="L2480" s="2805"/>
      <c r="M2480" s="2805"/>
      <c r="N2480" s="2806"/>
      <c r="EW2480" s="2031"/>
      <c r="EX2480" s="1619"/>
      <c r="EY2480" s="1628"/>
      <c r="EZ2480" s="1628"/>
      <c r="FA2480" s="1628"/>
      <c r="FH2480" s="1628"/>
      <c r="FI2480" s="1864" t="s">
        <v>8722</v>
      </c>
      <c r="FJ2480" s="1864" t="s">
        <v>588</v>
      </c>
      <c r="FK2480" s="1864" t="s">
        <v>588</v>
      </c>
      <c r="FL2480" s="1864" t="s">
        <v>588</v>
      </c>
      <c r="FM2480" s="1864" t="s">
        <v>588</v>
      </c>
      <c r="FN2480" s="1864" t="s">
        <v>588</v>
      </c>
      <c r="FO2480" s="1864" t="s">
        <v>588</v>
      </c>
      <c r="FP2480" s="1864" t="s">
        <v>588</v>
      </c>
      <c r="FQ2480" s="1864" t="s">
        <v>588</v>
      </c>
      <c r="FR2480" s="1864" t="s">
        <v>588</v>
      </c>
      <c r="FS2480" s="1864" t="s">
        <v>588</v>
      </c>
      <c r="FT2480" s="1864" t="s">
        <v>588</v>
      </c>
      <c r="FU2480" s="1678"/>
      <c r="FW2480" s="1678"/>
    </row>
    <row r="2481" spans="1:179" s="1484" customFormat="1" ht="15" x14ac:dyDescent="0.25">
      <c r="A2481" s="1629"/>
      <c r="B2481" s="1862"/>
      <c r="C2481" s="2805" t="s">
        <v>8775</v>
      </c>
      <c r="D2481" s="2805"/>
      <c r="E2481" s="2805"/>
      <c r="F2481" s="2805"/>
      <c r="G2481" s="2805"/>
      <c r="H2481" s="2805"/>
      <c r="I2481" s="2805"/>
      <c r="J2481" s="2805"/>
      <c r="K2481" s="2805"/>
      <c r="L2481" s="2805"/>
      <c r="M2481" s="2805"/>
      <c r="N2481" s="2806"/>
      <c r="EW2481" s="2031"/>
      <c r="EX2481" s="1619"/>
      <c r="EY2481" s="1628"/>
      <c r="EZ2481" s="1628"/>
      <c r="FA2481" s="1628"/>
      <c r="FB2481" s="1864" t="s">
        <v>8775</v>
      </c>
      <c r="FH2481" s="1628"/>
      <c r="FU2481" s="1678"/>
      <c r="FW2481" s="1678"/>
    </row>
    <row r="2482" spans="1:179" s="1484" customFormat="1" ht="15" x14ac:dyDescent="0.25">
      <c r="A2482" s="1650"/>
      <c r="B2482" s="1651"/>
      <c r="C2482" s="2803" t="s">
        <v>872</v>
      </c>
      <c r="D2482" s="2803"/>
      <c r="E2482" s="2803"/>
      <c r="F2482" s="1621"/>
      <c r="G2482" s="1622"/>
      <c r="H2482" s="1622"/>
      <c r="I2482" s="1622"/>
      <c r="J2482" s="1625"/>
      <c r="K2482" s="1622"/>
      <c r="L2482" s="1648">
        <v>34356.089999999997</v>
      </c>
      <c r="M2482" s="2037"/>
      <c r="N2482" s="1649">
        <v>314014.65999999997</v>
      </c>
      <c r="EW2482" s="2031"/>
      <c r="EX2482" s="1619"/>
      <c r="EY2482" s="1628"/>
      <c r="EZ2482" s="1628"/>
      <c r="FA2482" s="1628"/>
      <c r="FH2482" s="1628" t="s">
        <v>872</v>
      </c>
      <c r="FU2482" s="1678"/>
      <c r="FW2482" s="1678"/>
    </row>
    <row r="2483" spans="1:179" s="1484" customFormat="1" ht="33.75" x14ac:dyDescent="0.25">
      <c r="A2483" s="1620" t="s">
        <v>8376</v>
      </c>
      <c r="B2483" s="1863" t="s">
        <v>8148</v>
      </c>
      <c r="C2483" s="2803" t="s">
        <v>8149</v>
      </c>
      <c r="D2483" s="2803"/>
      <c r="E2483" s="2803"/>
      <c r="F2483" s="1621" t="s">
        <v>2555</v>
      </c>
      <c r="G2483" s="1622">
        <v>0.64600000000000002</v>
      </c>
      <c r="H2483" s="1623">
        <v>1</v>
      </c>
      <c r="I2483" s="2045">
        <v>0.64600000000000002</v>
      </c>
      <c r="J2483" s="1625"/>
      <c r="K2483" s="1622"/>
      <c r="L2483" s="1625"/>
      <c r="M2483" s="1622"/>
      <c r="N2483" s="1627"/>
      <c r="EW2483" s="2031"/>
      <c r="EX2483" s="1619"/>
      <c r="EY2483" s="1628" t="s">
        <v>8149</v>
      </c>
      <c r="EZ2483" s="1628" t="s">
        <v>588</v>
      </c>
      <c r="FA2483" s="1628" t="s">
        <v>588</v>
      </c>
      <c r="FH2483" s="1628"/>
      <c r="FU2483" s="1678"/>
      <c r="FW2483" s="1678"/>
    </row>
    <row r="2484" spans="1:179" s="1484" customFormat="1" ht="15" x14ac:dyDescent="0.25">
      <c r="A2484" s="1629"/>
      <c r="B2484" s="1862"/>
      <c r="C2484" s="2805" t="s">
        <v>8774</v>
      </c>
      <c r="D2484" s="2805"/>
      <c r="E2484" s="2805"/>
      <c r="F2484" s="2805"/>
      <c r="G2484" s="2805"/>
      <c r="H2484" s="2805"/>
      <c r="I2484" s="2805"/>
      <c r="J2484" s="2805"/>
      <c r="K2484" s="2805"/>
      <c r="L2484" s="2805"/>
      <c r="M2484" s="2805"/>
      <c r="N2484" s="2806"/>
      <c r="EW2484" s="2031"/>
      <c r="EX2484" s="1619"/>
      <c r="EY2484" s="1628"/>
      <c r="EZ2484" s="1628"/>
      <c r="FA2484" s="1628"/>
      <c r="FB2484" s="1864" t="s">
        <v>8774</v>
      </c>
      <c r="FH2484" s="1628"/>
      <c r="FU2484" s="1678"/>
      <c r="FW2484" s="1678"/>
    </row>
    <row r="2485" spans="1:179" s="1484" customFormat="1" ht="22.5" x14ac:dyDescent="0.25">
      <c r="A2485" s="1630"/>
      <c r="B2485" s="1631" t="s">
        <v>6062</v>
      </c>
      <c r="C2485" s="2809" t="s">
        <v>6063</v>
      </c>
      <c r="D2485" s="2809"/>
      <c r="E2485" s="2809"/>
      <c r="F2485" s="2809"/>
      <c r="G2485" s="2809"/>
      <c r="H2485" s="2809"/>
      <c r="I2485" s="2809"/>
      <c r="J2485" s="2809"/>
      <c r="K2485" s="2809"/>
      <c r="L2485" s="2809"/>
      <c r="M2485" s="2809"/>
      <c r="N2485" s="2810"/>
      <c r="EW2485" s="2031"/>
      <c r="EX2485" s="1619"/>
      <c r="EY2485" s="1628"/>
      <c r="EZ2485" s="1628"/>
      <c r="FA2485" s="1628"/>
      <c r="FC2485" s="1864" t="s">
        <v>6063</v>
      </c>
      <c r="FH2485" s="1628"/>
      <c r="FU2485" s="1678"/>
      <c r="FW2485" s="1678"/>
    </row>
    <row r="2486" spans="1:179" s="1484" customFormat="1" ht="22.5" x14ac:dyDescent="0.25">
      <c r="A2486" s="2033"/>
      <c r="B2486" s="1631" t="s">
        <v>3260</v>
      </c>
      <c r="C2486" s="2805" t="s">
        <v>8636</v>
      </c>
      <c r="D2486" s="2805"/>
      <c r="E2486" s="2805"/>
      <c r="F2486" s="1683" t="s">
        <v>807</v>
      </c>
      <c r="G2486" s="1655">
        <v>3.69</v>
      </c>
      <c r="H2486" s="1641"/>
      <c r="I2486" s="2042">
        <v>2.38374</v>
      </c>
      <c r="J2486" s="1654">
        <v>9.18</v>
      </c>
      <c r="K2486" s="1655">
        <v>1.25</v>
      </c>
      <c r="L2486" s="1654">
        <v>27.35</v>
      </c>
      <c r="M2486" s="1641"/>
      <c r="N2486" s="1681"/>
      <c r="EW2486" s="2031"/>
      <c r="EX2486" s="1619"/>
      <c r="EY2486" s="1628"/>
      <c r="EZ2486" s="1628"/>
      <c r="FA2486" s="1628"/>
      <c r="FD2486" s="1864" t="s">
        <v>8636</v>
      </c>
      <c r="FH2486" s="1628"/>
      <c r="FU2486" s="1678"/>
      <c r="FW2486" s="1678"/>
    </row>
    <row r="2487" spans="1:179" s="1484" customFormat="1" ht="22.5" x14ac:dyDescent="0.25">
      <c r="A2487" s="2033"/>
      <c r="B2487" s="1631" t="s">
        <v>5008</v>
      </c>
      <c r="C2487" s="2805" t="s">
        <v>5009</v>
      </c>
      <c r="D2487" s="2805"/>
      <c r="E2487" s="2805"/>
      <c r="F2487" s="1683" t="s">
        <v>4994</v>
      </c>
      <c r="G2487" s="1655">
        <v>0.01</v>
      </c>
      <c r="H2487" s="1641"/>
      <c r="I2487" s="2042">
        <v>6.4599999999999996E-3</v>
      </c>
      <c r="J2487" s="1654">
        <v>27.66</v>
      </c>
      <c r="K2487" s="1641"/>
      <c r="L2487" s="1654">
        <v>0.18</v>
      </c>
      <c r="M2487" s="1641"/>
      <c r="N2487" s="1681"/>
      <c r="EW2487" s="2031"/>
      <c r="EX2487" s="1619"/>
      <c r="EY2487" s="1628"/>
      <c r="EZ2487" s="1628"/>
      <c r="FA2487" s="1628"/>
      <c r="FD2487" s="1864" t="s">
        <v>5009</v>
      </c>
      <c r="FH2487" s="1628"/>
      <c r="FU2487" s="1678"/>
      <c r="FW2487" s="1678"/>
    </row>
    <row r="2488" spans="1:179" s="1484" customFormat="1" ht="15" x14ac:dyDescent="0.25">
      <c r="A2488" s="2033"/>
      <c r="B2488" s="1631" t="s">
        <v>821</v>
      </c>
      <c r="C2488" s="2805" t="s">
        <v>822</v>
      </c>
      <c r="D2488" s="2805"/>
      <c r="E2488" s="2805"/>
      <c r="F2488" s="1683" t="s">
        <v>4994</v>
      </c>
      <c r="G2488" s="1655">
        <v>0.04</v>
      </c>
      <c r="H2488" s="1641"/>
      <c r="I2488" s="2042">
        <v>2.5839999999999998E-2</v>
      </c>
      <c r="J2488" s="1654">
        <v>65.709999999999994</v>
      </c>
      <c r="K2488" s="1641"/>
      <c r="L2488" s="1654">
        <v>1.7</v>
      </c>
      <c r="M2488" s="1641"/>
      <c r="N2488" s="1681"/>
      <c r="EW2488" s="2031"/>
      <c r="EX2488" s="1619"/>
      <c r="EY2488" s="1628"/>
      <c r="EZ2488" s="1628"/>
      <c r="FA2488" s="1628"/>
      <c r="FD2488" s="1864" t="s">
        <v>822</v>
      </c>
      <c r="FH2488" s="1628"/>
      <c r="FU2488" s="1678"/>
      <c r="FW2488" s="1678"/>
    </row>
    <row r="2489" spans="1:179" s="1484" customFormat="1" ht="33.75" x14ac:dyDescent="0.25">
      <c r="A2489" s="2033"/>
      <c r="B2489" s="1631" t="s">
        <v>5029</v>
      </c>
      <c r="C2489" s="2805" t="s">
        <v>5030</v>
      </c>
      <c r="D2489" s="2805"/>
      <c r="E2489" s="2805"/>
      <c r="F2489" s="1683" t="s">
        <v>4994</v>
      </c>
      <c r="G2489" s="1655">
        <v>2.82</v>
      </c>
      <c r="H2489" s="1641"/>
      <c r="I2489" s="2042">
        <v>1.82172</v>
      </c>
      <c r="J2489" s="1654">
        <v>6.82</v>
      </c>
      <c r="K2489" s="1641"/>
      <c r="L2489" s="1654">
        <v>12.42</v>
      </c>
      <c r="M2489" s="1641"/>
      <c r="N2489" s="1681"/>
      <c r="EW2489" s="2031"/>
      <c r="EX2489" s="1619"/>
      <c r="EY2489" s="1628"/>
      <c r="EZ2489" s="1628"/>
      <c r="FA2489" s="1628"/>
      <c r="FD2489" s="1864" t="s">
        <v>5030</v>
      </c>
      <c r="FH2489" s="1628"/>
      <c r="FU2489" s="1678"/>
      <c r="FW2489" s="1678"/>
    </row>
    <row r="2490" spans="1:179" s="1484" customFormat="1" ht="15" x14ac:dyDescent="0.25">
      <c r="A2490" s="2033"/>
      <c r="B2490" s="1631" t="s">
        <v>1755</v>
      </c>
      <c r="C2490" s="2805" t="s">
        <v>2634</v>
      </c>
      <c r="D2490" s="2805"/>
      <c r="E2490" s="2805"/>
      <c r="F2490" s="1683" t="s">
        <v>832</v>
      </c>
      <c r="G2490" s="1655">
        <v>0.01</v>
      </c>
      <c r="H2490" s="1641"/>
      <c r="I2490" s="2042">
        <v>6.4599999999999996E-3</v>
      </c>
      <c r="J2490" s="1654">
        <v>2.44</v>
      </c>
      <c r="K2490" s="1641"/>
      <c r="L2490" s="1654">
        <v>0.02</v>
      </c>
      <c r="M2490" s="1641"/>
      <c r="N2490" s="1681"/>
      <c r="EW2490" s="2031"/>
      <c r="EX2490" s="1619"/>
      <c r="EY2490" s="1628"/>
      <c r="EZ2490" s="1628"/>
      <c r="FA2490" s="1628"/>
      <c r="FD2490" s="1864" t="s">
        <v>2634</v>
      </c>
      <c r="FH2490" s="1628"/>
      <c r="FU2490" s="1678"/>
      <c r="FW2490" s="1678"/>
    </row>
    <row r="2491" spans="1:179" s="1484" customFormat="1" ht="15" x14ac:dyDescent="0.25">
      <c r="A2491" s="2033"/>
      <c r="B2491" s="1631" t="s">
        <v>4922</v>
      </c>
      <c r="C2491" s="2805" t="s">
        <v>8707</v>
      </c>
      <c r="D2491" s="2805"/>
      <c r="E2491" s="2805"/>
      <c r="F2491" s="1683" t="s">
        <v>835</v>
      </c>
      <c r="G2491" s="2034">
        <v>1</v>
      </c>
      <c r="H2491" s="1641"/>
      <c r="I2491" s="2046">
        <v>0.64600000000000002</v>
      </c>
      <c r="J2491" s="1654">
        <v>1.82</v>
      </c>
      <c r="K2491" s="1641"/>
      <c r="L2491" s="1654">
        <v>1.18</v>
      </c>
      <c r="M2491" s="1641"/>
      <c r="N2491" s="1681"/>
      <c r="EW2491" s="2031"/>
      <c r="EX2491" s="1619"/>
      <c r="EY2491" s="1628"/>
      <c r="EZ2491" s="1628"/>
      <c r="FA2491" s="1628"/>
      <c r="FD2491" s="1864" t="s">
        <v>8707</v>
      </c>
      <c r="FH2491" s="1628"/>
      <c r="FU2491" s="1678"/>
      <c r="FW2491" s="1678"/>
    </row>
    <row r="2492" spans="1:179" s="1484" customFormat="1" ht="15" x14ac:dyDescent="0.25">
      <c r="A2492" s="2032"/>
      <c r="B2492" s="1631" t="s">
        <v>190</v>
      </c>
      <c r="C2492" s="2805" t="s">
        <v>2523</v>
      </c>
      <c r="D2492" s="2805"/>
      <c r="E2492" s="2805"/>
      <c r="F2492" s="1683"/>
      <c r="G2492" s="1641"/>
      <c r="H2492" s="1641"/>
      <c r="I2492" s="1641"/>
      <c r="J2492" s="1654">
        <v>33.869999999999997</v>
      </c>
      <c r="K2492" s="1655">
        <v>1.25</v>
      </c>
      <c r="L2492" s="1654">
        <v>27.35</v>
      </c>
      <c r="M2492" s="1655">
        <v>35.75</v>
      </c>
      <c r="N2492" s="2039">
        <v>977.76</v>
      </c>
      <c r="EW2492" s="2031"/>
      <c r="EX2492" s="1619"/>
      <c r="EY2492" s="1628"/>
      <c r="EZ2492" s="1628"/>
      <c r="FA2492" s="1628"/>
      <c r="FE2492" s="1864" t="s">
        <v>2523</v>
      </c>
      <c r="FH2492" s="1628"/>
      <c r="FU2492" s="1678"/>
      <c r="FW2492" s="1678"/>
    </row>
    <row r="2493" spans="1:179" s="1484" customFormat="1" ht="15" x14ac:dyDescent="0.25">
      <c r="A2493" s="2032"/>
      <c r="B2493" s="1631" t="s">
        <v>639</v>
      </c>
      <c r="C2493" s="2805" t="s">
        <v>697</v>
      </c>
      <c r="D2493" s="2805"/>
      <c r="E2493" s="2805"/>
      <c r="F2493" s="1683"/>
      <c r="G2493" s="1641"/>
      <c r="H2493" s="1641"/>
      <c r="I2493" s="1641"/>
      <c r="J2493" s="1654">
        <v>22.14</v>
      </c>
      <c r="K2493" s="1641"/>
      <c r="L2493" s="1654">
        <v>14.3</v>
      </c>
      <c r="M2493" s="1655">
        <v>11.97</v>
      </c>
      <c r="N2493" s="2039">
        <v>171.17</v>
      </c>
      <c r="EW2493" s="2031"/>
      <c r="EX2493" s="1619"/>
      <c r="EY2493" s="1628"/>
      <c r="EZ2493" s="1628"/>
      <c r="FA2493" s="1628"/>
      <c r="FE2493" s="1864" t="s">
        <v>697</v>
      </c>
      <c r="FH2493" s="1628"/>
      <c r="FU2493" s="1678"/>
      <c r="FW2493" s="1678"/>
    </row>
    <row r="2494" spans="1:179" s="1484" customFormat="1" ht="15" x14ac:dyDescent="0.25">
      <c r="A2494" s="2032"/>
      <c r="B2494" s="1631" t="s">
        <v>640</v>
      </c>
      <c r="C2494" s="2805" t="s">
        <v>2500</v>
      </c>
      <c r="D2494" s="2805"/>
      <c r="E2494" s="2805"/>
      <c r="F2494" s="1683"/>
      <c r="G2494" s="1641"/>
      <c r="H2494" s="1641"/>
      <c r="I2494" s="1641"/>
      <c r="J2494" s="1654">
        <v>0.57999999999999996</v>
      </c>
      <c r="K2494" s="1641"/>
      <c r="L2494" s="1654">
        <v>0.37</v>
      </c>
      <c r="M2494" s="1655">
        <v>35.75</v>
      </c>
      <c r="N2494" s="2039">
        <v>13.23</v>
      </c>
      <c r="EW2494" s="2031"/>
      <c r="EX2494" s="1619"/>
      <c r="EY2494" s="1628"/>
      <c r="EZ2494" s="1628"/>
      <c r="FA2494" s="1628"/>
      <c r="FE2494" s="1864" t="s">
        <v>2500</v>
      </c>
      <c r="FH2494" s="1628"/>
      <c r="FU2494" s="1678"/>
      <c r="FW2494" s="1678"/>
    </row>
    <row r="2495" spans="1:179" s="1484" customFormat="1" ht="15" x14ac:dyDescent="0.25">
      <c r="A2495" s="2032"/>
      <c r="B2495" s="1631" t="s">
        <v>232</v>
      </c>
      <c r="C2495" s="2805" t="s">
        <v>829</v>
      </c>
      <c r="D2495" s="2805"/>
      <c r="E2495" s="2805"/>
      <c r="F2495" s="1683"/>
      <c r="G2495" s="1641"/>
      <c r="H2495" s="1641"/>
      <c r="I2495" s="1641"/>
      <c r="J2495" s="1654">
        <v>1.84</v>
      </c>
      <c r="K2495" s="1641"/>
      <c r="L2495" s="1654">
        <v>1.19</v>
      </c>
      <c r="M2495" s="1655">
        <v>9.14</v>
      </c>
      <c r="N2495" s="2039">
        <v>10.88</v>
      </c>
      <c r="EW2495" s="2031"/>
      <c r="EX2495" s="1619"/>
      <c r="EY2495" s="1628"/>
      <c r="EZ2495" s="1628"/>
      <c r="FA2495" s="1628"/>
      <c r="FE2495" s="1864" t="s">
        <v>829</v>
      </c>
      <c r="FH2495" s="1628"/>
      <c r="FU2495" s="1678"/>
      <c r="FW2495" s="1678"/>
    </row>
    <row r="2496" spans="1:179" s="1484" customFormat="1" ht="15" x14ac:dyDescent="0.25">
      <c r="A2496" s="2033"/>
      <c r="B2496" s="1631"/>
      <c r="C2496" s="2805" t="s">
        <v>2524</v>
      </c>
      <c r="D2496" s="2805"/>
      <c r="E2496" s="2805"/>
      <c r="F2496" s="1683" t="s">
        <v>807</v>
      </c>
      <c r="G2496" s="1655">
        <v>3.69</v>
      </c>
      <c r="H2496" s="1641"/>
      <c r="I2496" s="2042">
        <v>2.38374</v>
      </c>
      <c r="J2496" s="1640"/>
      <c r="K2496" s="1641"/>
      <c r="L2496" s="1640"/>
      <c r="M2496" s="1641"/>
      <c r="N2496" s="1681"/>
      <c r="EW2496" s="2031"/>
      <c r="EX2496" s="1619"/>
      <c r="EY2496" s="1628"/>
      <c r="EZ2496" s="1628"/>
      <c r="FA2496" s="1628"/>
      <c r="FF2496" s="1864" t="s">
        <v>2524</v>
      </c>
      <c r="FH2496" s="1628"/>
      <c r="FU2496" s="1678"/>
      <c r="FW2496" s="1678"/>
    </row>
    <row r="2497" spans="1:179" s="1484" customFormat="1" ht="15" x14ac:dyDescent="0.25">
      <c r="A2497" s="2033"/>
      <c r="B2497" s="1631"/>
      <c r="C2497" s="2805" t="s">
        <v>2501</v>
      </c>
      <c r="D2497" s="2805"/>
      <c r="E2497" s="2805"/>
      <c r="F2497" s="1683" t="s">
        <v>807</v>
      </c>
      <c r="G2497" s="1655">
        <v>0.05</v>
      </c>
      <c r="H2497" s="1641"/>
      <c r="I2497" s="2035">
        <v>3.2300000000000002E-2</v>
      </c>
      <c r="J2497" s="1640"/>
      <c r="K2497" s="1641"/>
      <c r="L2497" s="1640"/>
      <c r="M2497" s="1641"/>
      <c r="N2497" s="1681"/>
      <c r="EW2497" s="2031"/>
      <c r="EX2497" s="1619"/>
      <c r="EY2497" s="1628"/>
      <c r="EZ2497" s="1628"/>
      <c r="FA2497" s="1628"/>
      <c r="FF2497" s="1864" t="s">
        <v>2501</v>
      </c>
      <c r="FH2497" s="1628"/>
      <c r="FU2497" s="1678"/>
      <c r="FW2497" s="1678"/>
    </row>
    <row r="2498" spans="1:179" s="1484" customFormat="1" ht="15" x14ac:dyDescent="0.25">
      <c r="A2498" s="2032"/>
      <c r="B2498" s="1631"/>
      <c r="C2498" s="2917" t="s">
        <v>2502</v>
      </c>
      <c r="D2498" s="2917"/>
      <c r="E2498" s="2917"/>
      <c r="F2498" s="2036"/>
      <c r="G2498" s="2037"/>
      <c r="H2498" s="2037"/>
      <c r="I2498" s="2037"/>
      <c r="J2498" s="2044">
        <v>57.85</v>
      </c>
      <c r="K2498" s="2037"/>
      <c r="L2498" s="2044">
        <v>42.84</v>
      </c>
      <c r="M2498" s="2037"/>
      <c r="N2498" s="2068">
        <v>1159.81</v>
      </c>
      <c r="EW2498" s="2031"/>
      <c r="EX2498" s="1619"/>
      <c r="EY2498" s="1628"/>
      <c r="EZ2498" s="1628"/>
      <c r="FA2498" s="1628"/>
      <c r="FG2498" s="1864" t="s">
        <v>2502</v>
      </c>
      <c r="FH2498" s="1628"/>
      <c r="FU2498" s="1678"/>
      <c r="FW2498" s="1678"/>
    </row>
    <row r="2499" spans="1:179" s="1484" customFormat="1" ht="15" x14ac:dyDescent="0.25">
      <c r="A2499" s="2033" t="s">
        <v>8377</v>
      </c>
      <c r="B2499" s="1631"/>
      <c r="C2499" s="2805" t="s">
        <v>7964</v>
      </c>
      <c r="D2499" s="2805"/>
      <c r="E2499" s="2805"/>
      <c r="F2499" s="1683" t="s">
        <v>5928</v>
      </c>
      <c r="G2499" s="1641"/>
      <c r="H2499" s="1641"/>
      <c r="I2499" s="1641"/>
      <c r="J2499" s="1640"/>
      <c r="K2499" s="1641"/>
      <c r="L2499" s="1654">
        <v>0.09</v>
      </c>
      <c r="M2499" s="1641"/>
      <c r="N2499" s="2039">
        <v>3.22</v>
      </c>
      <c r="EW2499" s="2031"/>
      <c r="EX2499" s="1619"/>
      <c r="EY2499" s="1628"/>
      <c r="EZ2499" s="1628"/>
      <c r="FA2499" s="1628"/>
      <c r="FF2499" s="1864" t="s">
        <v>7964</v>
      </c>
      <c r="FH2499" s="1628"/>
      <c r="FU2499" s="1678"/>
      <c r="FW2499" s="1678"/>
    </row>
    <row r="2500" spans="1:179" s="1484" customFormat="1" ht="15" x14ac:dyDescent="0.25">
      <c r="A2500" s="2033"/>
      <c r="B2500" s="1631"/>
      <c r="C2500" s="2805" t="s">
        <v>7965</v>
      </c>
      <c r="D2500" s="2805"/>
      <c r="E2500" s="2805"/>
      <c r="F2500" s="1683" t="s">
        <v>5928</v>
      </c>
      <c r="G2500" s="1641"/>
      <c r="H2500" s="1641"/>
      <c r="I2500" s="1641"/>
      <c r="J2500" s="1654">
        <v>0.57999999999999996</v>
      </c>
      <c r="K2500" s="1655">
        <v>0.25</v>
      </c>
      <c r="L2500" s="1654">
        <v>0.09</v>
      </c>
      <c r="M2500" s="1655">
        <v>35.75</v>
      </c>
      <c r="N2500" s="2039">
        <v>3.22</v>
      </c>
      <c r="EW2500" s="2031"/>
      <c r="EX2500" s="1619"/>
      <c r="EY2500" s="1628"/>
      <c r="EZ2500" s="1628"/>
      <c r="FA2500" s="1628"/>
      <c r="FF2500" s="1864" t="s">
        <v>7965</v>
      </c>
      <c r="FH2500" s="1628"/>
      <c r="FU2500" s="1678"/>
      <c r="FW2500" s="1678"/>
    </row>
    <row r="2501" spans="1:179" s="1484" customFormat="1" ht="15" x14ac:dyDescent="0.25">
      <c r="A2501" s="2033"/>
      <c r="B2501" s="1631"/>
      <c r="C2501" s="2805" t="s">
        <v>867</v>
      </c>
      <c r="D2501" s="2805"/>
      <c r="E2501" s="2805"/>
      <c r="F2501" s="1683"/>
      <c r="G2501" s="1641"/>
      <c r="H2501" s="1641"/>
      <c r="I2501" s="1641"/>
      <c r="J2501" s="1640"/>
      <c r="K2501" s="1641"/>
      <c r="L2501" s="1654">
        <v>27.81</v>
      </c>
      <c r="M2501" s="1641"/>
      <c r="N2501" s="2039">
        <v>994.21</v>
      </c>
      <c r="EW2501" s="2031"/>
      <c r="EX2501" s="1619"/>
      <c r="EY2501" s="1628"/>
      <c r="EZ2501" s="1628"/>
      <c r="FA2501" s="1628"/>
      <c r="FF2501" s="1864" t="s">
        <v>867</v>
      </c>
      <c r="FH2501" s="1628"/>
      <c r="FU2501" s="1678"/>
      <c r="FW2501" s="1678"/>
    </row>
    <row r="2502" spans="1:179" s="1484" customFormat="1" ht="15" x14ac:dyDescent="0.25">
      <c r="A2502" s="2033"/>
      <c r="B2502" s="1631" t="s">
        <v>7966</v>
      </c>
      <c r="C2502" s="2805" t="s">
        <v>7967</v>
      </c>
      <c r="D2502" s="2805"/>
      <c r="E2502" s="2805"/>
      <c r="F2502" s="1683" t="s">
        <v>636</v>
      </c>
      <c r="G2502" s="2034">
        <v>100</v>
      </c>
      <c r="H2502" s="1641"/>
      <c r="I2502" s="2034">
        <v>100</v>
      </c>
      <c r="J2502" s="1640"/>
      <c r="K2502" s="1641"/>
      <c r="L2502" s="1654">
        <v>27.81</v>
      </c>
      <c r="M2502" s="1641"/>
      <c r="N2502" s="2039">
        <v>994.21</v>
      </c>
      <c r="EW2502" s="2031"/>
      <c r="EX2502" s="1619"/>
      <c r="EY2502" s="1628"/>
      <c r="EZ2502" s="1628"/>
      <c r="FA2502" s="1628"/>
      <c r="FF2502" s="1864" t="s">
        <v>7967</v>
      </c>
      <c r="FH2502" s="1628"/>
      <c r="FU2502" s="1678"/>
      <c r="FW2502" s="1678"/>
    </row>
    <row r="2503" spans="1:179" s="1484" customFormat="1" ht="15" x14ac:dyDescent="0.25">
      <c r="A2503" s="2033"/>
      <c r="B2503" s="1631" t="s">
        <v>7968</v>
      </c>
      <c r="C2503" s="2805" t="s">
        <v>7969</v>
      </c>
      <c r="D2503" s="2805"/>
      <c r="E2503" s="2805"/>
      <c r="F2503" s="1683" t="s">
        <v>636</v>
      </c>
      <c r="G2503" s="2034">
        <v>49</v>
      </c>
      <c r="H2503" s="1641"/>
      <c r="I2503" s="2034">
        <v>49</v>
      </c>
      <c r="J2503" s="1640"/>
      <c r="K2503" s="1641"/>
      <c r="L2503" s="1654">
        <v>13.63</v>
      </c>
      <c r="M2503" s="1641"/>
      <c r="N2503" s="2039">
        <v>487.16</v>
      </c>
      <c r="EW2503" s="2031"/>
      <c r="EX2503" s="1619"/>
      <c r="EY2503" s="1628"/>
      <c r="EZ2503" s="1628"/>
      <c r="FA2503" s="1628"/>
      <c r="FF2503" s="1864" t="s">
        <v>7969</v>
      </c>
      <c r="FH2503" s="1628"/>
      <c r="FU2503" s="1678"/>
      <c r="FW2503" s="1678"/>
    </row>
    <row r="2504" spans="1:179" s="1484" customFormat="1" ht="15" x14ac:dyDescent="0.25">
      <c r="A2504" s="1650"/>
      <c r="B2504" s="1651"/>
      <c r="C2504" s="2803" t="s">
        <v>872</v>
      </c>
      <c r="D2504" s="2803"/>
      <c r="E2504" s="2803"/>
      <c r="F2504" s="1621"/>
      <c r="G2504" s="1622"/>
      <c r="H2504" s="1622"/>
      <c r="I2504" s="1622"/>
      <c r="J2504" s="1625"/>
      <c r="K2504" s="1622"/>
      <c r="L2504" s="2040">
        <v>84.37</v>
      </c>
      <c r="M2504" s="2037"/>
      <c r="N2504" s="1649">
        <v>2644.4</v>
      </c>
      <c r="EW2504" s="2031"/>
      <c r="EX2504" s="1619"/>
      <c r="EY2504" s="1628"/>
      <c r="EZ2504" s="1628"/>
      <c r="FA2504" s="1628"/>
      <c r="FH2504" s="1628" t="s">
        <v>872</v>
      </c>
      <c r="FU2504" s="1678"/>
      <c r="FW2504" s="1678"/>
    </row>
    <row r="2505" spans="1:179" s="1484" customFormat="1" ht="33.75" x14ac:dyDescent="0.25">
      <c r="A2505" s="1620" t="s">
        <v>8378</v>
      </c>
      <c r="B2505" s="1863" t="s">
        <v>8062</v>
      </c>
      <c r="C2505" s="2803" t="s">
        <v>4978</v>
      </c>
      <c r="D2505" s="2803"/>
      <c r="E2505" s="2803"/>
      <c r="F2505" s="1621" t="s">
        <v>835</v>
      </c>
      <c r="G2505" s="1622">
        <v>8.9147999999999996</v>
      </c>
      <c r="H2505" s="1623">
        <v>1</v>
      </c>
      <c r="I2505" s="2041">
        <v>8.9147999999999996</v>
      </c>
      <c r="J2505" s="2040">
        <v>13.08</v>
      </c>
      <c r="K2505" s="1622"/>
      <c r="L2505" s="2040">
        <v>116.61</v>
      </c>
      <c r="M2505" s="1687">
        <v>9.14</v>
      </c>
      <c r="N2505" s="1649">
        <v>1065.82</v>
      </c>
      <c r="EW2505" s="2031"/>
      <c r="EX2505" s="1619"/>
      <c r="EY2505" s="1628" t="s">
        <v>4978</v>
      </c>
      <c r="EZ2505" s="1628" t="s">
        <v>588</v>
      </c>
      <c r="FA2505" s="1628" t="s">
        <v>588</v>
      </c>
      <c r="FH2505" s="1628"/>
      <c r="FU2505" s="1678"/>
      <c r="FW2505" s="1678"/>
    </row>
    <row r="2506" spans="1:179" s="1484" customFormat="1" ht="15" x14ac:dyDescent="0.25">
      <c r="A2506" s="1650"/>
      <c r="B2506" s="1651"/>
      <c r="C2506" s="2805" t="s">
        <v>8689</v>
      </c>
      <c r="D2506" s="2805"/>
      <c r="E2506" s="2805"/>
      <c r="F2506" s="2805"/>
      <c r="G2506" s="2805"/>
      <c r="H2506" s="2805"/>
      <c r="I2506" s="2805"/>
      <c r="J2506" s="2805"/>
      <c r="K2506" s="2805"/>
      <c r="L2506" s="2805"/>
      <c r="M2506" s="2805"/>
      <c r="N2506" s="2806"/>
      <c r="EW2506" s="2031"/>
      <c r="EX2506" s="1619"/>
      <c r="EY2506" s="1628"/>
      <c r="EZ2506" s="1628"/>
      <c r="FA2506" s="1628"/>
      <c r="FH2506" s="1628"/>
      <c r="FI2506" s="1864" t="s">
        <v>8689</v>
      </c>
      <c r="FJ2506" s="1864" t="s">
        <v>588</v>
      </c>
      <c r="FK2506" s="1864" t="s">
        <v>588</v>
      </c>
      <c r="FL2506" s="1864" t="s">
        <v>588</v>
      </c>
      <c r="FM2506" s="1864" t="s">
        <v>588</v>
      </c>
      <c r="FN2506" s="1864" t="s">
        <v>588</v>
      </c>
      <c r="FO2506" s="1864" t="s">
        <v>588</v>
      </c>
      <c r="FP2506" s="1864" t="s">
        <v>588</v>
      </c>
      <c r="FQ2506" s="1864" t="s">
        <v>588</v>
      </c>
      <c r="FR2506" s="1864" t="s">
        <v>588</v>
      </c>
      <c r="FS2506" s="1864" t="s">
        <v>588</v>
      </c>
      <c r="FT2506" s="1864" t="s">
        <v>588</v>
      </c>
      <c r="FU2506" s="1678"/>
      <c r="FW2506" s="1678"/>
    </row>
    <row r="2507" spans="1:179" s="1484" customFormat="1" ht="15" x14ac:dyDescent="0.25">
      <c r="A2507" s="1650"/>
      <c r="B2507" s="1651"/>
      <c r="C2507" s="2803" t="s">
        <v>872</v>
      </c>
      <c r="D2507" s="2803"/>
      <c r="E2507" s="2803"/>
      <c r="F2507" s="1621"/>
      <c r="G2507" s="1622"/>
      <c r="H2507" s="1622"/>
      <c r="I2507" s="1622"/>
      <c r="J2507" s="1625"/>
      <c r="K2507" s="1622"/>
      <c r="L2507" s="2040">
        <v>116.61</v>
      </c>
      <c r="M2507" s="2037"/>
      <c r="N2507" s="1649">
        <v>1065.82</v>
      </c>
      <c r="EW2507" s="2031"/>
      <c r="EX2507" s="1619"/>
      <c r="EY2507" s="1628"/>
      <c r="EZ2507" s="1628"/>
      <c r="FA2507" s="1628"/>
      <c r="FH2507" s="1628" t="s">
        <v>872</v>
      </c>
      <c r="FU2507" s="1678"/>
      <c r="FW2507" s="1678"/>
    </row>
    <row r="2508" spans="1:179" s="1484" customFormat="1" ht="22.5" x14ac:dyDescent="0.25">
      <c r="A2508" s="1620" t="s">
        <v>8379</v>
      </c>
      <c r="B2508" s="1863" t="s">
        <v>8052</v>
      </c>
      <c r="C2508" s="2803" t="s">
        <v>8053</v>
      </c>
      <c r="D2508" s="2803"/>
      <c r="E2508" s="2803"/>
      <c r="F2508" s="1621" t="s">
        <v>2555</v>
      </c>
      <c r="G2508" s="1622">
        <v>1.2E-2</v>
      </c>
      <c r="H2508" s="1623">
        <v>1</v>
      </c>
      <c r="I2508" s="2045">
        <v>1.2E-2</v>
      </c>
      <c r="J2508" s="1625"/>
      <c r="K2508" s="1622"/>
      <c r="L2508" s="1625"/>
      <c r="M2508" s="1622"/>
      <c r="N2508" s="1627"/>
      <c r="EW2508" s="2031"/>
      <c r="EX2508" s="1619"/>
      <c r="EY2508" s="1628" t="s">
        <v>8053</v>
      </c>
      <c r="EZ2508" s="1628" t="s">
        <v>588</v>
      </c>
      <c r="FA2508" s="1628" t="s">
        <v>588</v>
      </c>
      <c r="FH2508" s="1628"/>
      <c r="FU2508" s="1678"/>
      <c r="FW2508" s="1678"/>
    </row>
    <row r="2509" spans="1:179" s="1484" customFormat="1" ht="15" x14ac:dyDescent="0.25">
      <c r="A2509" s="1629"/>
      <c r="B2509" s="1862"/>
      <c r="C2509" s="2805" t="s">
        <v>8773</v>
      </c>
      <c r="D2509" s="2805"/>
      <c r="E2509" s="2805"/>
      <c r="F2509" s="2805"/>
      <c r="G2509" s="2805"/>
      <c r="H2509" s="2805"/>
      <c r="I2509" s="2805"/>
      <c r="J2509" s="2805"/>
      <c r="K2509" s="2805"/>
      <c r="L2509" s="2805"/>
      <c r="M2509" s="2805"/>
      <c r="N2509" s="2806"/>
      <c r="EW2509" s="2031"/>
      <c r="EX2509" s="1619"/>
      <c r="EY2509" s="1628"/>
      <c r="EZ2509" s="1628"/>
      <c r="FA2509" s="1628"/>
      <c r="FB2509" s="1864" t="s">
        <v>8773</v>
      </c>
      <c r="FH2509" s="1628"/>
      <c r="FU2509" s="1678"/>
      <c r="FW2509" s="1678"/>
    </row>
    <row r="2510" spans="1:179" s="1484" customFormat="1" ht="22.5" x14ac:dyDescent="0.25">
      <c r="A2510" s="1630"/>
      <c r="B2510" s="1631" t="s">
        <v>6062</v>
      </c>
      <c r="C2510" s="2809" t="s">
        <v>6063</v>
      </c>
      <c r="D2510" s="2809"/>
      <c r="E2510" s="2809"/>
      <c r="F2510" s="2809"/>
      <c r="G2510" s="2809"/>
      <c r="H2510" s="2809"/>
      <c r="I2510" s="2809"/>
      <c r="J2510" s="2809"/>
      <c r="K2510" s="2809"/>
      <c r="L2510" s="2809"/>
      <c r="M2510" s="2809"/>
      <c r="N2510" s="2810"/>
      <c r="EW2510" s="2031"/>
      <c r="EX2510" s="1619"/>
      <c r="EY2510" s="1628"/>
      <c r="EZ2510" s="1628"/>
      <c r="FA2510" s="1628"/>
      <c r="FC2510" s="1864" t="s">
        <v>6063</v>
      </c>
      <c r="FH2510" s="1628"/>
      <c r="FU2510" s="1678"/>
      <c r="FW2510" s="1678"/>
    </row>
    <row r="2511" spans="1:179" s="1484" customFormat="1" ht="22.5" x14ac:dyDescent="0.25">
      <c r="A2511" s="2033"/>
      <c r="B2511" s="1631" t="s">
        <v>3204</v>
      </c>
      <c r="C2511" s="2805" t="s">
        <v>8647</v>
      </c>
      <c r="D2511" s="2805"/>
      <c r="E2511" s="2805"/>
      <c r="F2511" s="1683" t="s">
        <v>807</v>
      </c>
      <c r="G2511" s="1655">
        <v>234.92</v>
      </c>
      <c r="H2511" s="1641"/>
      <c r="I2511" s="2042">
        <v>2.8190400000000002</v>
      </c>
      <c r="J2511" s="1654">
        <v>8.74</v>
      </c>
      <c r="K2511" s="1655">
        <v>1.25</v>
      </c>
      <c r="L2511" s="1654">
        <v>30.8</v>
      </c>
      <c r="M2511" s="1641"/>
      <c r="N2511" s="1681"/>
      <c r="EW2511" s="2031"/>
      <c r="EX2511" s="1619"/>
      <c r="EY2511" s="1628"/>
      <c r="EZ2511" s="1628"/>
      <c r="FA2511" s="1628"/>
      <c r="FD2511" s="1864" t="s">
        <v>8647</v>
      </c>
      <c r="FH2511" s="1628"/>
      <c r="FU2511" s="1678"/>
      <c r="FW2511" s="1678"/>
    </row>
    <row r="2512" spans="1:179" s="1484" customFormat="1" ht="15" x14ac:dyDescent="0.25">
      <c r="A2512" s="2033"/>
      <c r="B2512" s="1631" t="s">
        <v>5000</v>
      </c>
      <c r="C2512" s="2805" t="s">
        <v>5001</v>
      </c>
      <c r="D2512" s="2805"/>
      <c r="E2512" s="2805"/>
      <c r="F2512" s="1683" t="s">
        <v>4994</v>
      </c>
      <c r="G2512" s="1655">
        <v>0.02</v>
      </c>
      <c r="H2512" s="1641"/>
      <c r="I2512" s="2042">
        <v>2.4000000000000001E-4</v>
      </c>
      <c r="J2512" s="1654">
        <v>83.43</v>
      </c>
      <c r="K2512" s="1641"/>
      <c r="L2512" s="1654">
        <v>0.02</v>
      </c>
      <c r="M2512" s="1641"/>
      <c r="N2512" s="1681"/>
      <c r="EW2512" s="2031"/>
      <c r="EX2512" s="1619"/>
      <c r="EY2512" s="1628"/>
      <c r="EZ2512" s="1628"/>
      <c r="FA2512" s="1628"/>
      <c r="FD2512" s="1864" t="s">
        <v>5001</v>
      </c>
      <c r="FH2512" s="1628"/>
      <c r="FU2512" s="1678"/>
      <c r="FW2512" s="1678"/>
    </row>
    <row r="2513" spans="1:179" s="1484" customFormat="1" ht="22.5" x14ac:dyDescent="0.25">
      <c r="A2513" s="2033"/>
      <c r="B2513" s="1631" t="s">
        <v>817</v>
      </c>
      <c r="C2513" s="2805" t="s">
        <v>818</v>
      </c>
      <c r="D2513" s="2805"/>
      <c r="E2513" s="2805"/>
      <c r="F2513" s="1683" t="s">
        <v>4994</v>
      </c>
      <c r="G2513" s="1655">
        <v>0.01</v>
      </c>
      <c r="H2513" s="1641"/>
      <c r="I2513" s="2042">
        <v>1.2E-4</v>
      </c>
      <c r="J2513" s="1654">
        <v>115.4</v>
      </c>
      <c r="K2513" s="1641"/>
      <c r="L2513" s="1654">
        <v>0.01</v>
      </c>
      <c r="M2513" s="1641"/>
      <c r="N2513" s="1681"/>
      <c r="EW2513" s="2031"/>
      <c r="EX2513" s="1619"/>
      <c r="EY2513" s="1628"/>
      <c r="EZ2513" s="1628"/>
      <c r="FA2513" s="1628"/>
      <c r="FD2513" s="1864" t="s">
        <v>818</v>
      </c>
      <c r="FH2513" s="1628"/>
      <c r="FU2513" s="1678"/>
      <c r="FW2513" s="1678"/>
    </row>
    <row r="2514" spans="1:179" s="1484" customFormat="1" ht="22.5" x14ac:dyDescent="0.25">
      <c r="A2514" s="2033"/>
      <c r="B2514" s="1631" t="s">
        <v>5016</v>
      </c>
      <c r="C2514" s="2805" t="s">
        <v>5017</v>
      </c>
      <c r="D2514" s="2805"/>
      <c r="E2514" s="2805"/>
      <c r="F2514" s="1683" t="s">
        <v>4994</v>
      </c>
      <c r="G2514" s="1655">
        <v>1.69</v>
      </c>
      <c r="H2514" s="1641"/>
      <c r="I2514" s="2042">
        <v>2.0279999999999999E-2</v>
      </c>
      <c r="J2514" s="1654">
        <v>12.39</v>
      </c>
      <c r="K2514" s="1641"/>
      <c r="L2514" s="1654">
        <v>0.25</v>
      </c>
      <c r="M2514" s="1641"/>
      <c r="N2514" s="1681"/>
      <c r="EW2514" s="2031"/>
      <c r="EX2514" s="1619"/>
      <c r="EY2514" s="1628"/>
      <c r="EZ2514" s="1628"/>
      <c r="FA2514" s="1628"/>
      <c r="FD2514" s="1864" t="s">
        <v>5017</v>
      </c>
      <c r="FH2514" s="1628"/>
      <c r="FU2514" s="1678"/>
      <c r="FW2514" s="1678"/>
    </row>
    <row r="2515" spans="1:179" s="1484" customFormat="1" ht="15" x14ac:dyDescent="0.25">
      <c r="A2515" s="2033"/>
      <c r="B2515" s="1631" t="s">
        <v>821</v>
      </c>
      <c r="C2515" s="2805" t="s">
        <v>822</v>
      </c>
      <c r="D2515" s="2805"/>
      <c r="E2515" s="2805"/>
      <c r="F2515" s="1683" t="s">
        <v>4994</v>
      </c>
      <c r="G2515" s="1655">
        <v>0.01</v>
      </c>
      <c r="H2515" s="1641"/>
      <c r="I2515" s="2042">
        <v>1.2E-4</v>
      </c>
      <c r="J2515" s="1654">
        <v>65.709999999999994</v>
      </c>
      <c r="K2515" s="1641"/>
      <c r="L2515" s="1654">
        <v>0.01</v>
      </c>
      <c r="M2515" s="1641"/>
      <c r="N2515" s="1681"/>
      <c r="EW2515" s="2031"/>
      <c r="EX2515" s="1619"/>
      <c r="EY2515" s="1628"/>
      <c r="EZ2515" s="1628"/>
      <c r="FA2515" s="1628"/>
      <c r="FD2515" s="1864" t="s">
        <v>822</v>
      </c>
      <c r="FH2515" s="1628"/>
      <c r="FU2515" s="1678"/>
      <c r="FW2515" s="1678"/>
    </row>
    <row r="2516" spans="1:179" s="1484" customFormat="1" ht="15" x14ac:dyDescent="0.25">
      <c r="A2516" s="2033"/>
      <c r="B2516" s="1631" t="s">
        <v>1755</v>
      </c>
      <c r="C2516" s="2805" t="s">
        <v>2634</v>
      </c>
      <c r="D2516" s="2805"/>
      <c r="E2516" s="2805"/>
      <c r="F2516" s="1683" t="s">
        <v>832</v>
      </c>
      <c r="G2516" s="1655">
        <v>0.44</v>
      </c>
      <c r="H2516" s="1641"/>
      <c r="I2516" s="2042">
        <v>5.28E-3</v>
      </c>
      <c r="J2516" s="1654">
        <v>2.44</v>
      </c>
      <c r="K2516" s="1641"/>
      <c r="L2516" s="1654">
        <v>0.01</v>
      </c>
      <c r="M2516" s="1641"/>
      <c r="N2516" s="1681"/>
      <c r="EW2516" s="2031"/>
      <c r="EX2516" s="1619"/>
      <c r="EY2516" s="1628"/>
      <c r="EZ2516" s="1628"/>
      <c r="FA2516" s="1628"/>
      <c r="FD2516" s="1864" t="s">
        <v>2634</v>
      </c>
      <c r="FH2516" s="1628"/>
      <c r="FU2516" s="1678"/>
      <c r="FW2516" s="1678"/>
    </row>
    <row r="2517" spans="1:179" s="1484" customFormat="1" ht="33.75" x14ac:dyDescent="0.25">
      <c r="A2517" s="2033"/>
      <c r="B2517" s="1631" t="s">
        <v>4940</v>
      </c>
      <c r="C2517" s="2805" t="s">
        <v>4941</v>
      </c>
      <c r="D2517" s="2805"/>
      <c r="E2517" s="2805"/>
      <c r="F2517" s="1683" t="s">
        <v>801</v>
      </c>
      <c r="G2517" s="2046">
        <v>8.9999999999999993E-3</v>
      </c>
      <c r="H2517" s="1641"/>
      <c r="I2517" s="2043">
        <v>1.08E-4</v>
      </c>
      <c r="J2517" s="1657">
        <v>6513</v>
      </c>
      <c r="K2517" s="1641"/>
      <c r="L2517" s="1654">
        <v>0.7</v>
      </c>
      <c r="M2517" s="1641"/>
      <c r="N2517" s="1681"/>
      <c r="EW2517" s="2031"/>
      <c r="EX2517" s="1619"/>
      <c r="EY2517" s="1628"/>
      <c r="EZ2517" s="1628"/>
      <c r="FA2517" s="1628"/>
      <c r="FD2517" s="1864" t="s">
        <v>4941</v>
      </c>
      <c r="FH2517" s="1628"/>
      <c r="FU2517" s="1678"/>
      <c r="FW2517" s="1678"/>
    </row>
    <row r="2518" spans="1:179" s="1484" customFormat="1" ht="15" x14ac:dyDescent="0.25">
      <c r="A2518" s="2032"/>
      <c r="B2518" s="1631" t="s">
        <v>190</v>
      </c>
      <c r="C2518" s="2805" t="s">
        <v>2523</v>
      </c>
      <c r="D2518" s="2805"/>
      <c r="E2518" s="2805"/>
      <c r="F2518" s="1683"/>
      <c r="G2518" s="1641"/>
      <c r="H2518" s="1641"/>
      <c r="I2518" s="1641"/>
      <c r="J2518" s="1657">
        <v>2053.1999999999998</v>
      </c>
      <c r="K2518" s="1655">
        <v>1.25</v>
      </c>
      <c r="L2518" s="1654">
        <v>30.8</v>
      </c>
      <c r="M2518" s="1655">
        <v>35.75</v>
      </c>
      <c r="N2518" s="1679">
        <v>1101.0999999999999</v>
      </c>
      <c r="EW2518" s="2031"/>
      <c r="EX2518" s="1619"/>
      <c r="EY2518" s="1628"/>
      <c r="EZ2518" s="1628"/>
      <c r="FA2518" s="1628"/>
      <c r="FE2518" s="1864" t="s">
        <v>2523</v>
      </c>
      <c r="FH2518" s="1628"/>
      <c r="FU2518" s="1678"/>
      <c r="FW2518" s="1678"/>
    </row>
    <row r="2519" spans="1:179" s="1484" customFormat="1" ht="15" x14ac:dyDescent="0.25">
      <c r="A2519" s="2032"/>
      <c r="B2519" s="1631" t="s">
        <v>639</v>
      </c>
      <c r="C2519" s="2805" t="s">
        <v>697</v>
      </c>
      <c r="D2519" s="2805"/>
      <c r="E2519" s="2805"/>
      <c r="F2519" s="1683"/>
      <c r="G2519" s="1641"/>
      <c r="H2519" s="1641"/>
      <c r="I2519" s="1641"/>
      <c r="J2519" s="1654">
        <v>24.42</v>
      </c>
      <c r="K2519" s="1641"/>
      <c r="L2519" s="1654">
        <v>0.28999999999999998</v>
      </c>
      <c r="M2519" s="1655">
        <v>11.97</v>
      </c>
      <c r="N2519" s="2039">
        <v>3.47</v>
      </c>
      <c r="EW2519" s="2031"/>
      <c r="EX2519" s="1619"/>
      <c r="EY2519" s="1628"/>
      <c r="EZ2519" s="1628"/>
      <c r="FA2519" s="1628"/>
      <c r="FE2519" s="1864" t="s">
        <v>697</v>
      </c>
      <c r="FH2519" s="1628"/>
      <c r="FU2519" s="1678"/>
      <c r="FW2519" s="1678"/>
    </row>
    <row r="2520" spans="1:179" s="1484" customFormat="1" ht="15" x14ac:dyDescent="0.25">
      <c r="A2520" s="2032"/>
      <c r="B2520" s="1631" t="s">
        <v>640</v>
      </c>
      <c r="C2520" s="2805" t="s">
        <v>2500</v>
      </c>
      <c r="D2520" s="2805"/>
      <c r="E2520" s="2805"/>
      <c r="F2520" s="1683"/>
      <c r="G2520" s="1641"/>
      <c r="H2520" s="1641"/>
      <c r="I2520" s="1641"/>
      <c r="J2520" s="1654">
        <v>17.53</v>
      </c>
      <c r="K2520" s="1641"/>
      <c r="L2520" s="1654">
        <v>0.21</v>
      </c>
      <c r="M2520" s="1655">
        <v>35.75</v>
      </c>
      <c r="N2520" s="2039">
        <v>7.51</v>
      </c>
      <c r="EW2520" s="2031"/>
      <c r="EX2520" s="1619"/>
      <c r="EY2520" s="1628"/>
      <c r="EZ2520" s="1628"/>
      <c r="FA2520" s="1628"/>
      <c r="FE2520" s="1864" t="s">
        <v>2500</v>
      </c>
      <c r="FH2520" s="1628"/>
      <c r="FU2520" s="1678"/>
      <c r="FW2520" s="1678"/>
    </row>
    <row r="2521" spans="1:179" s="1484" customFormat="1" ht="15" x14ac:dyDescent="0.25">
      <c r="A2521" s="2032"/>
      <c r="B2521" s="1631" t="s">
        <v>232</v>
      </c>
      <c r="C2521" s="2805" t="s">
        <v>829</v>
      </c>
      <c r="D2521" s="2805"/>
      <c r="E2521" s="2805"/>
      <c r="F2521" s="1683"/>
      <c r="G2521" s="1641"/>
      <c r="H2521" s="1641"/>
      <c r="I2521" s="1641"/>
      <c r="J2521" s="1654">
        <v>59.69</v>
      </c>
      <c r="K2521" s="1641"/>
      <c r="L2521" s="1654">
        <v>0.72</v>
      </c>
      <c r="M2521" s="1655">
        <v>9.14</v>
      </c>
      <c r="N2521" s="2039">
        <v>6.58</v>
      </c>
      <c r="EW2521" s="2031"/>
      <c r="EX2521" s="1619"/>
      <c r="EY2521" s="1628"/>
      <c r="EZ2521" s="1628"/>
      <c r="FA2521" s="1628"/>
      <c r="FE2521" s="1864" t="s">
        <v>829</v>
      </c>
      <c r="FH2521" s="1628"/>
      <c r="FU2521" s="1678"/>
      <c r="FW2521" s="1678"/>
    </row>
    <row r="2522" spans="1:179" s="1484" customFormat="1" ht="15" x14ac:dyDescent="0.25">
      <c r="A2522" s="2033"/>
      <c r="B2522" s="1631"/>
      <c r="C2522" s="2805" t="s">
        <v>2524</v>
      </c>
      <c r="D2522" s="2805"/>
      <c r="E2522" s="2805"/>
      <c r="F2522" s="1683" t="s">
        <v>807</v>
      </c>
      <c r="G2522" s="1655">
        <v>234.92</v>
      </c>
      <c r="H2522" s="1641"/>
      <c r="I2522" s="2042">
        <v>2.8190400000000002</v>
      </c>
      <c r="J2522" s="1640"/>
      <c r="K2522" s="1641"/>
      <c r="L2522" s="1640"/>
      <c r="M2522" s="1641"/>
      <c r="N2522" s="1681"/>
      <c r="EW2522" s="2031"/>
      <c r="EX2522" s="1619"/>
      <c r="EY2522" s="1628"/>
      <c r="EZ2522" s="1628"/>
      <c r="FA2522" s="1628"/>
      <c r="FF2522" s="1864" t="s">
        <v>2524</v>
      </c>
      <c r="FH2522" s="1628"/>
      <c r="FU2522" s="1678"/>
      <c r="FW2522" s="1678"/>
    </row>
    <row r="2523" spans="1:179" s="1484" customFormat="1" ht="15" x14ac:dyDescent="0.25">
      <c r="A2523" s="2033"/>
      <c r="B2523" s="1631"/>
      <c r="C2523" s="2805" t="s">
        <v>2501</v>
      </c>
      <c r="D2523" s="2805"/>
      <c r="E2523" s="2805"/>
      <c r="F2523" s="1683" t="s">
        <v>807</v>
      </c>
      <c r="G2523" s="1655">
        <v>1.73</v>
      </c>
      <c r="H2523" s="1641"/>
      <c r="I2523" s="2042">
        <v>2.0760000000000001E-2</v>
      </c>
      <c r="J2523" s="1640"/>
      <c r="K2523" s="1641"/>
      <c r="L2523" s="1640"/>
      <c r="M2523" s="1641"/>
      <c r="N2523" s="1681"/>
      <c r="EW2523" s="2031"/>
      <c r="EX2523" s="1619"/>
      <c r="EY2523" s="1628"/>
      <c r="EZ2523" s="1628"/>
      <c r="FA2523" s="1628"/>
      <c r="FF2523" s="1864" t="s">
        <v>2501</v>
      </c>
      <c r="FH2523" s="1628"/>
      <c r="FU2523" s="1678"/>
      <c r="FW2523" s="1678"/>
    </row>
    <row r="2524" spans="1:179" s="1484" customFormat="1" ht="15" x14ac:dyDescent="0.25">
      <c r="A2524" s="2032"/>
      <c r="B2524" s="1631"/>
      <c r="C2524" s="2917" t="s">
        <v>2502</v>
      </c>
      <c r="D2524" s="2917"/>
      <c r="E2524" s="2917"/>
      <c r="F2524" s="2036"/>
      <c r="G2524" s="2037"/>
      <c r="H2524" s="2037"/>
      <c r="I2524" s="2037"/>
      <c r="J2524" s="2038">
        <v>2137.31</v>
      </c>
      <c r="K2524" s="2037"/>
      <c r="L2524" s="2044">
        <v>31.81</v>
      </c>
      <c r="M2524" s="2037"/>
      <c r="N2524" s="2068">
        <v>1111.1500000000001</v>
      </c>
      <c r="EW2524" s="2031"/>
      <c r="EX2524" s="1619"/>
      <c r="EY2524" s="1628"/>
      <c r="EZ2524" s="1628"/>
      <c r="FA2524" s="1628"/>
      <c r="FG2524" s="1864" t="s">
        <v>2502</v>
      </c>
      <c r="FH2524" s="1628"/>
      <c r="FU2524" s="1678"/>
      <c r="FW2524" s="1678"/>
    </row>
    <row r="2525" spans="1:179" s="1484" customFormat="1" ht="15" x14ac:dyDescent="0.25">
      <c r="A2525" s="2033" t="s">
        <v>8380</v>
      </c>
      <c r="B2525" s="1631"/>
      <c r="C2525" s="2805" t="s">
        <v>7964</v>
      </c>
      <c r="D2525" s="2805"/>
      <c r="E2525" s="2805"/>
      <c r="F2525" s="1683" t="s">
        <v>5928</v>
      </c>
      <c r="G2525" s="1641"/>
      <c r="H2525" s="1641"/>
      <c r="I2525" s="1641"/>
      <c r="J2525" s="1640"/>
      <c r="K2525" s="1641"/>
      <c r="L2525" s="1654">
        <v>0.05</v>
      </c>
      <c r="M2525" s="1641"/>
      <c r="N2525" s="2039">
        <v>1.79</v>
      </c>
      <c r="EW2525" s="2031"/>
      <c r="EX2525" s="1619"/>
      <c r="EY2525" s="1628"/>
      <c r="EZ2525" s="1628"/>
      <c r="FA2525" s="1628"/>
      <c r="FF2525" s="1864" t="s">
        <v>7964</v>
      </c>
      <c r="FH2525" s="1628"/>
      <c r="FU2525" s="1678"/>
      <c r="FW2525" s="1678"/>
    </row>
    <row r="2526" spans="1:179" s="1484" customFormat="1" ht="15" x14ac:dyDescent="0.25">
      <c r="A2526" s="2033"/>
      <c r="B2526" s="1631"/>
      <c r="C2526" s="2805" t="s">
        <v>7965</v>
      </c>
      <c r="D2526" s="2805"/>
      <c r="E2526" s="2805"/>
      <c r="F2526" s="1683" t="s">
        <v>5928</v>
      </c>
      <c r="G2526" s="1641"/>
      <c r="H2526" s="1641"/>
      <c r="I2526" s="1641"/>
      <c r="J2526" s="1654">
        <v>17.53</v>
      </c>
      <c r="K2526" s="1655">
        <v>0.25</v>
      </c>
      <c r="L2526" s="1654">
        <v>0.05</v>
      </c>
      <c r="M2526" s="1655">
        <v>35.75</v>
      </c>
      <c r="N2526" s="2039">
        <v>1.79</v>
      </c>
      <c r="EW2526" s="2031"/>
      <c r="EX2526" s="1619"/>
      <c r="EY2526" s="1628"/>
      <c r="EZ2526" s="1628"/>
      <c r="FA2526" s="1628"/>
      <c r="FF2526" s="1864" t="s">
        <v>7965</v>
      </c>
      <c r="FH2526" s="1628"/>
      <c r="FU2526" s="1678"/>
      <c r="FW2526" s="1678"/>
    </row>
    <row r="2527" spans="1:179" s="1484" customFormat="1" ht="15" x14ac:dyDescent="0.25">
      <c r="A2527" s="2033"/>
      <c r="B2527" s="1631"/>
      <c r="C2527" s="2805" t="s">
        <v>867</v>
      </c>
      <c r="D2527" s="2805"/>
      <c r="E2527" s="2805"/>
      <c r="F2527" s="1683"/>
      <c r="G2527" s="1641"/>
      <c r="H2527" s="1641"/>
      <c r="I2527" s="1641"/>
      <c r="J2527" s="1640"/>
      <c r="K2527" s="1641"/>
      <c r="L2527" s="1654">
        <v>31.06</v>
      </c>
      <c r="M2527" s="1641"/>
      <c r="N2527" s="1679">
        <v>1110.4000000000001</v>
      </c>
      <c r="EW2527" s="2031"/>
      <c r="EX2527" s="1619"/>
      <c r="EY2527" s="1628"/>
      <c r="EZ2527" s="1628"/>
      <c r="FA2527" s="1628"/>
      <c r="FF2527" s="1864" t="s">
        <v>867</v>
      </c>
      <c r="FH2527" s="1628"/>
      <c r="FU2527" s="1678"/>
      <c r="FW2527" s="1678"/>
    </row>
    <row r="2528" spans="1:179" s="1484" customFormat="1" ht="15" x14ac:dyDescent="0.25">
      <c r="A2528" s="2033"/>
      <c r="B2528" s="1631" t="s">
        <v>8054</v>
      </c>
      <c r="C2528" s="2805" t="s">
        <v>8055</v>
      </c>
      <c r="D2528" s="2805"/>
      <c r="E2528" s="2805"/>
      <c r="F2528" s="1683" t="s">
        <v>636</v>
      </c>
      <c r="G2528" s="2034">
        <v>112</v>
      </c>
      <c r="H2528" s="1641"/>
      <c r="I2528" s="2034">
        <v>112</v>
      </c>
      <c r="J2528" s="1640"/>
      <c r="K2528" s="1641"/>
      <c r="L2528" s="1654">
        <v>34.79</v>
      </c>
      <c r="M2528" s="1641"/>
      <c r="N2528" s="1679">
        <v>1243.6500000000001</v>
      </c>
      <c r="EW2528" s="2031"/>
      <c r="EX2528" s="1619"/>
      <c r="EY2528" s="1628"/>
      <c r="EZ2528" s="1628"/>
      <c r="FA2528" s="1628"/>
      <c r="FF2528" s="1864" t="s">
        <v>8055</v>
      </c>
      <c r="FH2528" s="1628"/>
      <c r="FU2528" s="1678"/>
      <c r="FW2528" s="1678"/>
    </row>
    <row r="2529" spans="1:179" s="1484" customFormat="1" ht="15" x14ac:dyDescent="0.25">
      <c r="A2529" s="2033"/>
      <c r="B2529" s="1631" t="s">
        <v>8056</v>
      </c>
      <c r="C2529" s="2805" t="s">
        <v>8057</v>
      </c>
      <c r="D2529" s="2805"/>
      <c r="E2529" s="2805"/>
      <c r="F2529" s="1683" t="s">
        <v>636</v>
      </c>
      <c r="G2529" s="2034">
        <v>65</v>
      </c>
      <c r="H2529" s="1641"/>
      <c r="I2529" s="2034">
        <v>65</v>
      </c>
      <c r="J2529" s="1640"/>
      <c r="K2529" s="1641"/>
      <c r="L2529" s="1654">
        <v>20.190000000000001</v>
      </c>
      <c r="M2529" s="1641"/>
      <c r="N2529" s="2039">
        <v>721.76</v>
      </c>
      <c r="EW2529" s="2031"/>
      <c r="EX2529" s="1619"/>
      <c r="EY2529" s="1628"/>
      <c r="EZ2529" s="1628"/>
      <c r="FA2529" s="1628"/>
      <c r="FF2529" s="1864" t="s">
        <v>8057</v>
      </c>
      <c r="FH2529" s="1628"/>
      <c r="FU2529" s="1678"/>
      <c r="FW2529" s="1678"/>
    </row>
    <row r="2530" spans="1:179" s="1484" customFormat="1" ht="15" x14ac:dyDescent="0.25">
      <c r="A2530" s="1650"/>
      <c r="B2530" s="1651"/>
      <c r="C2530" s="2803" t="s">
        <v>872</v>
      </c>
      <c r="D2530" s="2803"/>
      <c r="E2530" s="2803"/>
      <c r="F2530" s="1621"/>
      <c r="G2530" s="1622"/>
      <c r="H2530" s="1622"/>
      <c r="I2530" s="1622"/>
      <c r="J2530" s="1625"/>
      <c r="K2530" s="1622"/>
      <c r="L2530" s="2040">
        <v>86.84</v>
      </c>
      <c r="M2530" s="2037"/>
      <c r="N2530" s="1649">
        <v>3078.35</v>
      </c>
      <c r="EW2530" s="2031"/>
      <c r="EX2530" s="1619"/>
      <c r="EY2530" s="1628"/>
      <c r="EZ2530" s="1628"/>
      <c r="FA2530" s="1628"/>
      <c r="FH2530" s="1628" t="s">
        <v>872</v>
      </c>
      <c r="FU2530" s="1678"/>
      <c r="FW2530" s="1678"/>
    </row>
    <row r="2531" spans="1:179" s="1484" customFormat="1" ht="15" x14ac:dyDescent="0.25">
      <c r="A2531" s="1620" t="s">
        <v>8381</v>
      </c>
      <c r="B2531" s="1863" t="s">
        <v>8152</v>
      </c>
      <c r="C2531" s="2803" t="s">
        <v>8153</v>
      </c>
      <c r="D2531" s="2803"/>
      <c r="E2531" s="2803"/>
      <c r="F2531" s="1621" t="s">
        <v>832</v>
      </c>
      <c r="G2531" s="1622">
        <v>1.2E-4</v>
      </c>
      <c r="H2531" s="1623">
        <v>1</v>
      </c>
      <c r="I2531" s="2048">
        <v>1.2E-4</v>
      </c>
      <c r="J2531" s="1648">
        <v>2500</v>
      </c>
      <c r="K2531" s="1622"/>
      <c r="L2531" s="2040">
        <v>0.3</v>
      </c>
      <c r="M2531" s="1687">
        <v>9.14</v>
      </c>
      <c r="N2531" s="2069">
        <v>2.74</v>
      </c>
      <c r="EW2531" s="2031"/>
      <c r="EX2531" s="1619"/>
      <c r="EY2531" s="1628" t="s">
        <v>8153</v>
      </c>
      <c r="EZ2531" s="1628" t="s">
        <v>588</v>
      </c>
      <c r="FA2531" s="1628" t="s">
        <v>588</v>
      </c>
      <c r="FH2531" s="1628"/>
      <c r="FU2531" s="1678"/>
      <c r="FW2531" s="1678"/>
    </row>
    <row r="2532" spans="1:179" s="1484" customFormat="1" ht="15" x14ac:dyDescent="0.25">
      <c r="A2532" s="1650"/>
      <c r="B2532" s="1651"/>
      <c r="C2532" s="2805" t="s">
        <v>8722</v>
      </c>
      <c r="D2532" s="2805"/>
      <c r="E2532" s="2805"/>
      <c r="F2532" s="2805"/>
      <c r="G2532" s="2805"/>
      <c r="H2532" s="2805"/>
      <c r="I2532" s="2805"/>
      <c r="J2532" s="2805"/>
      <c r="K2532" s="2805"/>
      <c r="L2532" s="2805"/>
      <c r="M2532" s="2805"/>
      <c r="N2532" s="2806"/>
      <c r="EW2532" s="2031"/>
      <c r="EX2532" s="1619"/>
      <c r="EY2532" s="1628"/>
      <c r="EZ2532" s="1628"/>
      <c r="FA2532" s="1628"/>
      <c r="FH2532" s="1628"/>
      <c r="FI2532" s="1864" t="s">
        <v>8722</v>
      </c>
      <c r="FJ2532" s="1864" t="s">
        <v>588</v>
      </c>
      <c r="FK2532" s="1864" t="s">
        <v>588</v>
      </c>
      <c r="FL2532" s="1864" t="s">
        <v>588</v>
      </c>
      <c r="FM2532" s="1864" t="s">
        <v>588</v>
      </c>
      <c r="FN2532" s="1864" t="s">
        <v>588</v>
      </c>
      <c r="FO2532" s="1864" t="s">
        <v>588</v>
      </c>
      <c r="FP2532" s="1864" t="s">
        <v>588</v>
      </c>
      <c r="FQ2532" s="1864" t="s">
        <v>588</v>
      </c>
      <c r="FR2532" s="1864" t="s">
        <v>588</v>
      </c>
      <c r="FS2532" s="1864" t="s">
        <v>588</v>
      </c>
      <c r="FT2532" s="1864" t="s">
        <v>588</v>
      </c>
      <c r="FU2532" s="1678"/>
      <c r="FW2532" s="1678"/>
    </row>
    <row r="2533" spans="1:179" s="1484" customFormat="1" ht="15" x14ac:dyDescent="0.25">
      <c r="A2533" s="1629"/>
      <c r="B2533" s="1862"/>
      <c r="C2533" s="2805" t="s">
        <v>8772</v>
      </c>
      <c r="D2533" s="2805"/>
      <c r="E2533" s="2805"/>
      <c r="F2533" s="2805"/>
      <c r="G2533" s="2805"/>
      <c r="H2533" s="2805"/>
      <c r="I2533" s="2805"/>
      <c r="J2533" s="2805"/>
      <c r="K2533" s="2805"/>
      <c r="L2533" s="2805"/>
      <c r="M2533" s="2805"/>
      <c r="N2533" s="2806"/>
      <c r="EW2533" s="2031"/>
      <c r="EX2533" s="1619"/>
      <c r="EY2533" s="1628"/>
      <c r="EZ2533" s="1628"/>
      <c r="FA2533" s="1628"/>
      <c r="FB2533" s="1864" t="s">
        <v>8772</v>
      </c>
      <c r="FH2533" s="1628"/>
      <c r="FU2533" s="1678"/>
      <c r="FW2533" s="1678"/>
    </row>
    <row r="2534" spans="1:179" s="1484" customFormat="1" ht="15" x14ac:dyDescent="0.25">
      <c r="A2534" s="1650"/>
      <c r="B2534" s="1651"/>
      <c r="C2534" s="2803" t="s">
        <v>872</v>
      </c>
      <c r="D2534" s="2803"/>
      <c r="E2534" s="2803"/>
      <c r="F2534" s="1621"/>
      <c r="G2534" s="1622"/>
      <c r="H2534" s="1622"/>
      <c r="I2534" s="1622"/>
      <c r="J2534" s="1625"/>
      <c r="K2534" s="1622"/>
      <c r="L2534" s="2040">
        <v>0.3</v>
      </c>
      <c r="M2534" s="2037"/>
      <c r="N2534" s="2069">
        <v>2.74</v>
      </c>
      <c r="EW2534" s="2031"/>
      <c r="EX2534" s="1619"/>
      <c r="EY2534" s="1628"/>
      <c r="EZ2534" s="1628"/>
      <c r="FA2534" s="1628"/>
      <c r="FH2534" s="1628" t="s">
        <v>872</v>
      </c>
      <c r="FU2534" s="1678"/>
      <c r="FW2534" s="1678"/>
    </row>
    <row r="2535" spans="1:179" s="1484" customFormat="1" ht="22.5" x14ac:dyDescent="0.25">
      <c r="A2535" s="1620" t="s">
        <v>8382</v>
      </c>
      <c r="B2535" s="1863" t="s">
        <v>8154</v>
      </c>
      <c r="C2535" s="2803" t="s">
        <v>8155</v>
      </c>
      <c r="D2535" s="2803"/>
      <c r="E2535" s="2803"/>
      <c r="F2535" s="1621" t="s">
        <v>130</v>
      </c>
      <c r="G2535" s="1622">
        <v>1.224</v>
      </c>
      <c r="H2535" s="1623">
        <v>1</v>
      </c>
      <c r="I2535" s="2045">
        <v>1.224</v>
      </c>
      <c r="J2535" s="2040">
        <v>85</v>
      </c>
      <c r="K2535" s="1622"/>
      <c r="L2535" s="2040">
        <v>104.04</v>
      </c>
      <c r="M2535" s="1687">
        <v>9.14</v>
      </c>
      <c r="N2535" s="2069">
        <v>950.93</v>
      </c>
      <c r="EW2535" s="2031"/>
      <c r="EX2535" s="1619"/>
      <c r="EY2535" s="1628" t="s">
        <v>8155</v>
      </c>
      <c r="EZ2535" s="1628" t="s">
        <v>588</v>
      </c>
      <c r="FA2535" s="1628" t="s">
        <v>588</v>
      </c>
      <c r="FH2535" s="1628"/>
      <c r="FU2535" s="1678"/>
      <c r="FW2535" s="1678"/>
    </row>
    <row r="2536" spans="1:179" s="1484" customFormat="1" ht="15" x14ac:dyDescent="0.25">
      <c r="A2536" s="1650"/>
      <c r="B2536" s="1651"/>
      <c r="C2536" s="2805" t="s">
        <v>8640</v>
      </c>
      <c r="D2536" s="2805"/>
      <c r="E2536" s="2805"/>
      <c r="F2536" s="2805"/>
      <c r="G2536" s="2805"/>
      <c r="H2536" s="2805"/>
      <c r="I2536" s="2805"/>
      <c r="J2536" s="2805"/>
      <c r="K2536" s="2805"/>
      <c r="L2536" s="2805"/>
      <c r="M2536" s="2805"/>
      <c r="N2536" s="2806"/>
      <c r="EW2536" s="2031"/>
      <c r="EX2536" s="1619"/>
      <c r="EY2536" s="1628"/>
      <c r="EZ2536" s="1628"/>
      <c r="FA2536" s="1628"/>
      <c r="FH2536" s="1628"/>
      <c r="FI2536" s="1864" t="s">
        <v>8640</v>
      </c>
      <c r="FJ2536" s="1864" t="s">
        <v>588</v>
      </c>
      <c r="FK2536" s="1864" t="s">
        <v>588</v>
      </c>
      <c r="FL2536" s="1864" t="s">
        <v>588</v>
      </c>
      <c r="FM2536" s="1864" t="s">
        <v>588</v>
      </c>
      <c r="FN2536" s="1864" t="s">
        <v>588</v>
      </c>
      <c r="FO2536" s="1864" t="s">
        <v>588</v>
      </c>
      <c r="FP2536" s="1864" t="s">
        <v>588</v>
      </c>
      <c r="FQ2536" s="1864" t="s">
        <v>588</v>
      </c>
      <c r="FR2536" s="1864" t="s">
        <v>588</v>
      </c>
      <c r="FS2536" s="1864" t="s">
        <v>588</v>
      </c>
      <c r="FT2536" s="1864" t="s">
        <v>588</v>
      </c>
      <c r="FU2536" s="1678"/>
      <c r="FW2536" s="1678"/>
    </row>
    <row r="2537" spans="1:179" s="1484" customFormat="1" ht="15" x14ac:dyDescent="0.25">
      <c r="A2537" s="1629"/>
      <c r="B2537" s="1862"/>
      <c r="C2537" s="2805" t="s">
        <v>8771</v>
      </c>
      <c r="D2537" s="2805"/>
      <c r="E2537" s="2805"/>
      <c r="F2537" s="2805"/>
      <c r="G2537" s="2805"/>
      <c r="H2537" s="2805"/>
      <c r="I2537" s="2805"/>
      <c r="J2537" s="2805"/>
      <c r="K2537" s="2805"/>
      <c r="L2537" s="2805"/>
      <c r="M2537" s="2805"/>
      <c r="N2537" s="2806"/>
      <c r="EW2537" s="2031"/>
      <c r="EX2537" s="1619"/>
      <c r="EY2537" s="1628"/>
      <c r="EZ2537" s="1628"/>
      <c r="FA2537" s="1628"/>
      <c r="FB2537" s="1864" t="s">
        <v>8771</v>
      </c>
      <c r="FH2537" s="1628"/>
      <c r="FU2537" s="1678"/>
      <c r="FW2537" s="1678"/>
    </row>
    <row r="2538" spans="1:179" s="1484" customFormat="1" ht="15" x14ac:dyDescent="0.25">
      <c r="A2538" s="1650"/>
      <c r="B2538" s="1651"/>
      <c r="C2538" s="2803" t="s">
        <v>872</v>
      </c>
      <c r="D2538" s="2803"/>
      <c r="E2538" s="2803"/>
      <c r="F2538" s="1621"/>
      <c r="G2538" s="1622"/>
      <c r="H2538" s="1622"/>
      <c r="I2538" s="1622"/>
      <c r="J2538" s="1625"/>
      <c r="K2538" s="1622"/>
      <c r="L2538" s="2040">
        <v>104.04</v>
      </c>
      <c r="M2538" s="2037"/>
      <c r="N2538" s="2069">
        <v>950.93</v>
      </c>
      <c r="EW2538" s="2031"/>
      <c r="EX2538" s="1619"/>
      <c r="EY2538" s="1628"/>
      <c r="EZ2538" s="1628"/>
      <c r="FA2538" s="1628"/>
      <c r="FH2538" s="1628" t="s">
        <v>872</v>
      </c>
      <c r="FU2538" s="1678"/>
      <c r="FW2538" s="1678"/>
    </row>
    <row r="2539" spans="1:179" s="1484" customFormat="1" ht="15" x14ac:dyDescent="0.25">
      <c r="A2539" s="1620" t="s">
        <v>8383</v>
      </c>
      <c r="B2539" s="1863" t="s">
        <v>8060</v>
      </c>
      <c r="C2539" s="2803" t="s">
        <v>8061</v>
      </c>
      <c r="D2539" s="2803"/>
      <c r="E2539" s="2803"/>
      <c r="F2539" s="1621" t="s">
        <v>835</v>
      </c>
      <c r="G2539" s="1622">
        <v>91.8</v>
      </c>
      <c r="H2539" s="1623">
        <v>1</v>
      </c>
      <c r="I2539" s="1624">
        <v>91.8</v>
      </c>
      <c r="J2539" s="2040">
        <v>1.37</v>
      </c>
      <c r="K2539" s="1622"/>
      <c r="L2539" s="2040">
        <v>125.77</v>
      </c>
      <c r="M2539" s="1687">
        <v>9.14</v>
      </c>
      <c r="N2539" s="1649">
        <v>1149.54</v>
      </c>
      <c r="EW2539" s="2031"/>
      <c r="EX2539" s="1619"/>
      <c r="EY2539" s="1628" t="s">
        <v>8061</v>
      </c>
      <c r="EZ2539" s="1628" t="s">
        <v>588</v>
      </c>
      <c r="FA2539" s="1628" t="s">
        <v>588</v>
      </c>
      <c r="FH2539" s="1628"/>
      <c r="FU2539" s="1678"/>
      <c r="FW2539" s="1678"/>
    </row>
    <row r="2540" spans="1:179" s="1484" customFormat="1" ht="15" x14ac:dyDescent="0.25">
      <c r="A2540" s="1650"/>
      <c r="B2540" s="1651"/>
      <c r="C2540" s="2805" t="s">
        <v>8640</v>
      </c>
      <c r="D2540" s="2805"/>
      <c r="E2540" s="2805"/>
      <c r="F2540" s="2805"/>
      <c r="G2540" s="2805"/>
      <c r="H2540" s="2805"/>
      <c r="I2540" s="2805"/>
      <c r="J2540" s="2805"/>
      <c r="K2540" s="2805"/>
      <c r="L2540" s="2805"/>
      <c r="M2540" s="2805"/>
      <c r="N2540" s="2806"/>
      <c r="EW2540" s="2031"/>
      <c r="EX2540" s="1619"/>
      <c r="EY2540" s="1628"/>
      <c r="EZ2540" s="1628"/>
      <c r="FA2540" s="1628"/>
      <c r="FH2540" s="1628"/>
      <c r="FI2540" s="1864" t="s">
        <v>8640</v>
      </c>
      <c r="FJ2540" s="1864" t="s">
        <v>588</v>
      </c>
      <c r="FK2540" s="1864" t="s">
        <v>588</v>
      </c>
      <c r="FL2540" s="1864" t="s">
        <v>588</v>
      </c>
      <c r="FM2540" s="1864" t="s">
        <v>588</v>
      </c>
      <c r="FN2540" s="1864" t="s">
        <v>588</v>
      </c>
      <c r="FO2540" s="1864" t="s">
        <v>588</v>
      </c>
      <c r="FP2540" s="1864" t="s">
        <v>588</v>
      </c>
      <c r="FQ2540" s="1864" t="s">
        <v>588</v>
      </c>
      <c r="FR2540" s="1864" t="s">
        <v>588</v>
      </c>
      <c r="FS2540" s="1864" t="s">
        <v>588</v>
      </c>
      <c r="FT2540" s="1864" t="s">
        <v>588</v>
      </c>
      <c r="FU2540" s="1678"/>
      <c r="FW2540" s="1678"/>
    </row>
    <row r="2541" spans="1:179" s="1484" customFormat="1" ht="15" x14ac:dyDescent="0.25">
      <c r="A2541" s="1629"/>
      <c r="B2541" s="1862"/>
      <c r="C2541" s="2805" t="s">
        <v>8770</v>
      </c>
      <c r="D2541" s="2805"/>
      <c r="E2541" s="2805"/>
      <c r="F2541" s="2805"/>
      <c r="G2541" s="2805"/>
      <c r="H2541" s="2805"/>
      <c r="I2541" s="2805"/>
      <c r="J2541" s="2805"/>
      <c r="K2541" s="2805"/>
      <c r="L2541" s="2805"/>
      <c r="M2541" s="2805"/>
      <c r="N2541" s="2806"/>
      <c r="EW2541" s="2031"/>
      <c r="EX2541" s="1619"/>
      <c r="EY2541" s="1628"/>
      <c r="EZ2541" s="1628"/>
      <c r="FA2541" s="1628"/>
      <c r="FB2541" s="1864" t="s">
        <v>8770</v>
      </c>
      <c r="FH2541" s="1628"/>
      <c r="FU2541" s="1678"/>
      <c r="FW2541" s="1678"/>
    </row>
    <row r="2542" spans="1:179" s="1484" customFormat="1" ht="15" x14ac:dyDescent="0.25">
      <c r="A2542" s="1650"/>
      <c r="B2542" s="1651"/>
      <c r="C2542" s="2803" t="s">
        <v>872</v>
      </c>
      <c r="D2542" s="2803"/>
      <c r="E2542" s="2803"/>
      <c r="F2542" s="1621"/>
      <c r="G2542" s="1622"/>
      <c r="H2542" s="1622"/>
      <c r="I2542" s="1622"/>
      <c r="J2542" s="1625"/>
      <c r="K2542" s="1622"/>
      <c r="L2542" s="2040">
        <v>125.77</v>
      </c>
      <c r="M2542" s="2037"/>
      <c r="N2542" s="1649">
        <v>1149.54</v>
      </c>
      <c r="EW2542" s="2031"/>
      <c r="EX2542" s="1619"/>
      <c r="EY2542" s="1628"/>
      <c r="EZ2542" s="1628"/>
      <c r="FA2542" s="1628"/>
      <c r="FH2542" s="1628" t="s">
        <v>872</v>
      </c>
      <c r="FU2542" s="1678"/>
      <c r="FW2542" s="1678"/>
    </row>
    <row r="2543" spans="1:179" s="1484" customFormat="1" ht="15" x14ac:dyDescent="0.25">
      <c r="A2543" s="2811" t="s">
        <v>8384</v>
      </c>
      <c r="B2543" s="2812"/>
      <c r="C2543" s="2812"/>
      <c r="D2543" s="2812"/>
      <c r="E2543" s="2812"/>
      <c r="F2543" s="2812"/>
      <c r="G2543" s="2812"/>
      <c r="H2543" s="2812"/>
      <c r="I2543" s="2812"/>
      <c r="J2543" s="2812"/>
      <c r="K2543" s="2812"/>
      <c r="L2543" s="2812"/>
      <c r="M2543" s="2812"/>
      <c r="N2543" s="2813"/>
      <c r="EW2543" s="2031"/>
      <c r="EX2543" s="1619" t="s">
        <v>8384</v>
      </c>
      <c r="EY2543" s="1628"/>
      <c r="EZ2543" s="1628"/>
      <c r="FA2543" s="1628"/>
      <c r="FH2543" s="1628"/>
      <c r="FU2543" s="1678"/>
      <c r="FW2543" s="1678"/>
    </row>
    <row r="2544" spans="1:179" s="1484" customFormat="1" ht="33.75" x14ac:dyDescent="0.25">
      <c r="A2544" s="1620" t="s">
        <v>8385</v>
      </c>
      <c r="B2544" s="1863" t="s">
        <v>8769</v>
      </c>
      <c r="C2544" s="2803" t="s">
        <v>8141</v>
      </c>
      <c r="D2544" s="2803"/>
      <c r="E2544" s="2803"/>
      <c r="F2544" s="1621" t="s">
        <v>2555</v>
      </c>
      <c r="G2544" s="1622">
        <v>0.94199999999999995</v>
      </c>
      <c r="H2544" s="1623">
        <v>1</v>
      </c>
      <c r="I2544" s="2045">
        <v>0.94199999999999995</v>
      </c>
      <c r="J2544" s="1625"/>
      <c r="K2544" s="1622"/>
      <c r="L2544" s="1625"/>
      <c r="M2544" s="1622"/>
      <c r="N2544" s="1627"/>
      <c r="EW2544" s="2031"/>
      <c r="EX2544" s="1619"/>
      <c r="EY2544" s="1628" t="s">
        <v>8141</v>
      </c>
      <c r="EZ2544" s="1628" t="s">
        <v>588</v>
      </c>
      <c r="FA2544" s="1628" t="s">
        <v>588</v>
      </c>
      <c r="FH2544" s="1628"/>
      <c r="FU2544" s="1678"/>
      <c r="FW2544" s="1678"/>
    </row>
    <row r="2545" spans="1:179" s="1484" customFormat="1" ht="15" x14ac:dyDescent="0.25">
      <c r="A2545" s="1629"/>
      <c r="B2545" s="1862"/>
      <c r="C2545" s="2805" t="s">
        <v>8767</v>
      </c>
      <c r="D2545" s="2805"/>
      <c r="E2545" s="2805"/>
      <c r="F2545" s="2805"/>
      <c r="G2545" s="2805"/>
      <c r="H2545" s="2805"/>
      <c r="I2545" s="2805"/>
      <c r="J2545" s="2805"/>
      <c r="K2545" s="2805"/>
      <c r="L2545" s="2805"/>
      <c r="M2545" s="2805"/>
      <c r="N2545" s="2806"/>
      <c r="EW2545" s="2031"/>
      <c r="EX2545" s="1619"/>
      <c r="EY2545" s="1628"/>
      <c r="EZ2545" s="1628"/>
      <c r="FA2545" s="1628"/>
      <c r="FB2545" s="1864" t="s">
        <v>8767</v>
      </c>
      <c r="FH2545" s="1628"/>
      <c r="FU2545" s="1678"/>
      <c r="FW2545" s="1678"/>
    </row>
    <row r="2546" spans="1:179" s="1484" customFormat="1" ht="22.5" x14ac:dyDescent="0.25">
      <c r="A2546" s="1630"/>
      <c r="B2546" s="1631" t="s">
        <v>6062</v>
      </c>
      <c r="C2546" s="2809" t="s">
        <v>6063</v>
      </c>
      <c r="D2546" s="2809"/>
      <c r="E2546" s="2809"/>
      <c r="F2546" s="2809"/>
      <c r="G2546" s="2809"/>
      <c r="H2546" s="2809"/>
      <c r="I2546" s="2809"/>
      <c r="J2546" s="2809"/>
      <c r="K2546" s="2809"/>
      <c r="L2546" s="2809"/>
      <c r="M2546" s="2809"/>
      <c r="N2546" s="2810"/>
      <c r="EW2546" s="2031"/>
      <c r="EX2546" s="1619"/>
      <c r="EY2546" s="1628"/>
      <c r="EZ2546" s="1628"/>
      <c r="FA2546" s="1628"/>
      <c r="FC2546" s="1864" t="s">
        <v>6063</v>
      </c>
      <c r="FH2546" s="1628"/>
      <c r="FU2546" s="1678"/>
      <c r="FW2546" s="1678"/>
    </row>
    <row r="2547" spans="1:179" s="1484" customFormat="1" ht="15" x14ac:dyDescent="0.25">
      <c r="A2547" s="1630"/>
      <c r="B2547" s="1631" t="s">
        <v>8142</v>
      </c>
      <c r="C2547" s="2809" t="s">
        <v>8245</v>
      </c>
      <c r="D2547" s="2809"/>
      <c r="E2547" s="2809"/>
      <c r="F2547" s="2809"/>
      <c r="G2547" s="2809"/>
      <c r="H2547" s="2809"/>
      <c r="I2547" s="2809"/>
      <c r="J2547" s="2809"/>
      <c r="K2547" s="2809"/>
      <c r="L2547" s="2809"/>
      <c r="M2547" s="2809"/>
      <c r="N2547" s="2810"/>
      <c r="EW2547" s="2031"/>
      <c r="EX2547" s="1619"/>
      <c r="EY2547" s="1628"/>
      <c r="EZ2547" s="1628"/>
      <c r="FA2547" s="1628"/>
      <c r="FC2547" s="1864" t="s">
        <v>8245</v>
      </c>
      <c r="FH2547" s="1628"/>
      <c r="FU2547" s="1678"/>
      <c r="FW2547" s="1678"/>
    </row>
    <row r="2548" spans="1:179" s="1484" customFormat="1" ht="22.5" x14ac:dyDescent="0.25">
      <c r="A2548" s="2033"/>
      <c r="B2548" s="1631" t="s">
        <v>8756</v>
      </c>
      <c r="C2548" s="2805" t="s">
        <v>8755</v>
      </c>
      <c r="D2548" s="2805"/>
      <c r="E2548" s="2805"/>
      <c r="F2548" s="1683" t="s">
        <v>807</v>
      </c>
      <c r="G2548" s="1655">
        <v>0.44</v>
      </c>
      <c r="H2548" s="2034">
        <v>16</v>
      </c>
      <c r="I2548" s="2042">
        <v>6.6316800000000002</v>
      </c>
      <c r="J2548" s="1654">
        <v>7.94</v>
      </c>
      <c r="K2548" s="1655">
        <v>1.25</v>
      </c>
      <c r="L2548" s="1654">
        <v>65.819999999999993</v>
      </c>
      <c r="M2548" s="1641"/>
      <c r="N2548" s="1681"/>
      <c r="EW2548" s="2031"/>
      <c r="EX2548" s="1619"/>
      <c r="EY2548" s="1628"/>
      <c r="EZ2548" s="1628"/>
      <c r="FA2548" s="1628"/>
      <c r="FD2548" s="1864" t="s">
        <v>8755</v>
      </c>
      <c r="FH2548" s="1628"/>
      <c r="FU2548" s="1678"/>
      <c r="FW2548" s="1678"/>
    </row>
    <row r="2549" spans="1:179" s="1484" customFormat="1" ht="22.5" x14ac:dyDescent="0.25">
      <c r="A2549" s="2033"/>
      <c r="B2549" s="1631" t="s">
        <v>5010</v>
      </c>
      <c r="C2549" s="2805" t="s">
        <v>5011</v>
      </c>
      <c r="D2549" s="2805"/>
      <c r="E2549" s="2805"/>
      <c r="F2549" s="1683" t="s">
        <v>4994</v>
      </c>
      <c r="G2549" s="1655">
        <v>0.21</v>
      </c>
      <c r="H2549" s="2034">
        <v>16</v>
      </c>
      <c r="I2549" s="2042">
        <v>3.1651199999999999</v>
      </c>
      <c r="J2549" s="1654">
        <v>31.26</v>
      </c>
      <c r="K2549" s="1641"/>
      <c r="L2549" s="1654">
        <v>98.94</v>
      </c>
      <c r="M2549" s="1641"/>
      <c r="N2549" s="1681"/>
      <c r="EW2549" s="2031"/>
      <c r="EX2549" s="1619"/>
      <c r="EY2549" s="1628"/>
      <c r="EZ2549" s="1628"/>
      <c r="FA2549" s="1628"/>
      <c r="FD2549" s="1864" t="s">
        <v>5011</v>
      </c>
      <c r="FH2549" s="1628"/>
      <c r="FU2549" s="1678"/>
      <c r="FW2549" s="1678"/>
    </row>
    <row r="2550" spans="1:179" s="1484" customFormat="1" ht="15" x14ac:dyDescent="0.25">
      <c r="A2550" s="2033"/>
      <c r="B2550" s="1631" t="s">
        <v>5012</v>
      </c>
      <c r="C2550" s="2805" t="s">
        <v>5013</v>
      </c>
      <c r="D2550" s="2805"/>
      <c r="E2550" s="2805"/>
      <c r="F2550" s="1683" t="s">
        <v>4994</v>
      </c>
      <c r="G2550" s="2034">
        <v>2</v>
      </c>
      <c r="H2550" s="2034">
        <v>16</v>
      </c>
      <c r="I2550" s="2046">
        <v>30.143999999999998</v>
      </c>
      <c r="J2550" s="1654">
        <v>0.5</v>
      </c>
      <c r="K2550" s="1641"/>
      <c r="L2550" s="1654">
        <v>15.07</v>
      </c>
      <c r="M2550" s="1641"/>
      <c r="N2550" s="1681"/>
      <c r="EW2550" s="2031"/>
      <c r="EX2550" s="1619"/>
      <c r="EY2550" s="1628"/>
      <c r="EZ2550" s="1628"/>
      <c r="FA2550" s="1628"/>
      <c r="FD2550" s="1864" t="s">
        <v>5013</v>
      </c>
      <c r="FH2550" s="1628"/>
      <c r="FU2550" s="1678"/>
      <c r="FW2550" s="1678"/>
    </row>
    <row r="2551" spans="1:179" s="1484" customFormat="1" ht="15" x14ac:dyDescent="0.25">
      <c r="A2551" s="2032"/>
      <c r="B2551" s="1631" t="s">
        <v>190</v>
      </c>
      <c r="C2551" s="2805" t="s">
        <v>2523</v>
      </c>
      <c r="D2551" s="2805"/>
      <c r="E2551" s="2805"/>
      <c r="F2551" s="1683"/>
      <c r="G2551" s="1641"/>
      <c r="H2551" s="1641"/>
      <c r="I2551" s="1641"/>
      <c r="J2551" s="1654">
        <v>3.49</v>
      </c>
      <c r="K2551" s="2034">
        <v>20</v>
      </c>
      <c r="L2551" s="1654">
        <v>65.75</v>
      </c>
      <c r="M2551" s="1655">
        <v>35.75</v>
      </c>
      <c r="N2551" s="1679">
        <v>2350.56</v>
      </c>
      <c r="EW2551" s="2031"/>
      <c r="EX2551" s="1619"/>
      <c r="EY2551" s="1628"/>
      <c r="EZ2551" s="1628"/>
      <c r="FA2551" s="1628"/>
      <c r="FE2551" s="1864" t="s">
        <v>2523</v>
      </c>
      <c r="FH2551" s="1628"/>
      <c r="FU2551" s="1678"/>
      <c r="FW2551" s="1678"/>
    </row>
    <row r="2552" spans="1:179" s="1484" customFormat="1" ht="15" x14ac:dyDescent="0.25">
      <c r="A2552" s="2032"/>
      <c r="B2552" s="1631" t="s">
        <v>639</v>
      </c>
      <c r="C2552" s="2805" t="s">
        <v>697</v>
      </c>
      <c r="D2552" s="2805"/>
      <c r="E2552" s="2805"/>
      <c r="F2552" s="1683"/>
      <c r="G2552" s="1641"/>
      <c r="H2552" s="1641"/>
      <c r="I2552" s="1641"/>
      <c r="J2552" s="1654">
        <v>7.56</v>
      </c>
      <c r="K2552" s="2034">
        <v>16</v>
      </c>
      <c r="L2552" s="1654">
        <v>113.94</v>
      </c>
      <c r="M2552" s="1655">
        <v>11.97</v>
      </c>
      <c r="N2552" s="1679">
        <v>1363.86</v>
      </c>
      <c r="EW2552" s="2031"/>
      <c r="EX2552" s="1619"/>
      <c r="EY2552" s="1628"/>
      <c r="EZ2552" s="1628"/>
      <c r="FA2552" s="1628"/>
      <c r="FE2552" s="1864" t="s">
        <v>697</v>
      </c>
      <c r="FH2552" s="1628"/>
      <c r="FU2552" s="1678"/>
      <c r="FW2552" s="1678"/>
    </row>
    <row r="2553" spans="1:179" s="1484" customFormat="1" ht="15" x14ac:dyDescent="0.25">
      <c r="A2553" s="2032"/>
      <c r="B2553" s="1631" t="s">
        <v>640</v>
      </c>
      <c r="C2553" s="2805" t="s">
        <v>2500</v>
      </c>
      <c r="D2553" s="2805"/>
      <c r="E2553" s="2805"/>
      <c r="F2553" s="1683"/>
      <c r="G2553" s="1641"/>
      <c r="H2553" s="1641"/>
      <c r="I2553" s="1641"/>
      <c r="J2553" s="1654">
        <v>2.84</v>
      </c>
      <c r="K2553" s="2034">
        <v>16</v>
      </c>
      <c r="L2553" s="1654">
        <v>42.8</v>
      </c>
      <c r="M2553" s="1655">
        <v>35.75</v>
      </c>
      <c r="N2553" s="1679">
        <v>1530.1</v>
      </c>
      <c r="EW2553" s="2031"/>
      <c r="EX2553" s="1619"/>
      <c r="EY2553" s="1628"/>
      <c r="EZ2553" s="1628"/>
      <c r="FA2553" s="1628"/>
      <c r="FE2553" s="1864" t="s">
        <v>2500</v>
      </c>
      <c r="FH2553" s="1628"/>
      <c r="FU2553" s="1678"/>
      <c r="FW2553" s="1678"/>
    </row>
    <row r="2554" spans="1:179" s="1484" customFormat="1" ht="15" x14ac:dyDescent="0.25">
      <c r="A2554" s="2033"/>
      <c r="B2554" s="1631"/>
      <c r="C2554" s="2805" t="s">
        <v>2524</v>
      </c>
      <c r="D2554" s="2805"/>
      <c r="E2554" s="2805"/>
      <c r="F2554" s="1683" t="s">
        <v>807</v>
      </c>
      <c r="G2554" s="1655">
        <v>0.44</v>
      </c>
      <c r="H2554" s="2034">
        <v>16</v>
      </c>
      <c r="I2554" s="2042">
        <v>6.6316800000000002</v>
      </c>
      <c r="J2554" s="1640"/>
      <c r="K2554" s="1641"/>
      <c r="L2554" s="1640"/>
      <c r="M2554" s="1641"/>
      <c r="N2554" s="1681"/>
      <c r="EW2554" s="2031"/>
      <c r="EX2554" s="1619"/>
      <c r="EY2554" s="1628"/>
      <c r="EZ2554" s="1628"/>
      <c r="FA2554" s="1628"/>
      <c r="FF2554" s="1864" t="s">
        <v>2524</v>
      </c>
      <c r="FH2554" s="1628"/>
      <c r="FU2554" s="1678"/>
      <c r="FW2554" s="1678"/>
    </row>
    <row r="2555" spans="1:179" s="1484" customFormat="1" ht="15" x14ac:dyDescent="0.25">
      <c r="A2555" s="2033"/>
      <c r="B2555" s="1631"/>
      <c r="C2555" s="2805" t="s">
        <v>2501</v>
      </c>
      <c r="D2555" s="2805"/>
      <c r="E2555" s="2805"/>
      <c r="F2555" s="1683" t="s">
        <v>807</v>
      </c>
      <c r="G2555" s="1655">
        <v>0.21</v>
      </c>
      <c r="H2555" s="2034">
        <v>16</v>
      </c>
      <c r="I2555" s="2042">
        <v>3.1651199999999999</v>
      </c>
      <c r="J2555" s="1640"/>
      <c r="K2555" s="1641"/>
      <c r="L2555" s="1640"/>
      <c r="M2555" s="1641"/>
      <c r="N2555" s="1681"/>
      <c r="EW2555" s="2031"/>
      <c r="EX2555" s="1619"/>
      <c r="EY2555" s="1628"/>
      <c r="EZ2555" s="1628"/>
      <c r="FA2555" s="1628"/>
      <c r="FF2555" s="1864" t="s">
        <v>2501</v>
      </c>
      <c r="FH2555" s="1628"/>
      <c r="FU2555" s="1678"/>
      <c r="FW2555" s="1678"/>
    </row>
    <row r="2556" spans="1:179" s="1484" customFormat="1" ht="15" x14ac:dyDescent="0.25">
      <c r="A2556" s="2032"/>
      <c r="B2556" s="1631"/>
      <c r="C2556" s="2917" t="s">
        <v>2502</v>
      </c>
      <c r="D2556" s="2917"/>
      <c r="E2556" s="2917"/>
      <c r="F2556" s="2036"/>
      <c r="G2556" s="2037"/>
      <c r="H2556" s="2037"/>
      <c r="I2556" s="2037"/>
      <c r="J2556" s="2044">
        <v>11.05</v>
      </c>
      <c r="K2556" s="2037"/>
      <c r="L2556" s="2044">
        <v>179.69</v>
      </c>
      <c r="M2556" s="2037"/>
      <c r="N2556" s="2068">
        <v>3714.42</v>
      </c>
      <c r="EW2556" s="2031"/>
      <c r="EX2556" s="1619"/>
      <c r="EY2556" s="1628"/>
      <c r="EZ2556" s="1628"/>
      <c r="FA2556" s="1628"/>
      <c r="FG2556" s="1864" t="s">
        <v>2502</v>
      </c>
      <c r="FH2556" s="1628"/>
      <c r="FU2556" s="1678"/>
      <c r="FW2556" s="1678"/>
    </row>
    <row r="2557" spans="1:179" s="1484" customFormat="1" ht="15" x14ac:dyDescent="0.25">
      <c r="A2557" s="2033" t="s">
        <v>8386</v>
      </c>
      <c r="B2557" s="1631"/>
      <c r="C2557" s="2805" t="s">
        <v>7964</v>
      </c>
      <c r="D2557" s="2805"/>
      <c r="E2557" s="2805"/>
      <c r="F2557" s="1683" t="s">
        <v>5928</v>
      </c>
      <c r="G2557" s="1641"/>
      <c r="H2557" s="1641"/>
      <c r="I2557" s="1641"/>
      <c r="J2557" s="1640"/>
      <c r="K2557" s="1641"/>
      <c r="L2557" s="1654">
        <v>10.7</v>
      </c>
      <c r="M2557" s="1641"/>
      <c r="N2557" s="2039">
        <v>382.53</v>
      </c>
      <c r="EW2557" s="2031"/>
      <c r="EX2557" s="1619"/>
      <c r="EY2557" s="1628"/>
      <c r="EZ2557" s="1628"/>
      <c r="FA2557" s="1628"/>
      <c r="FF2557" s="1864" t="s">
        <v>7964</v>
      </c>
      <c r="FH2557" s="1628"/>
      <c r="FU2557" s="1678"/>
      <c r="FW2557" s="1678"/>
    </row>
    <row r="2558" spans="1:179" s="1484" customFormat="1" ht="15" x14ac:dyDescent="0.25">
      <c r="A2558" s="2033"/>
      <c r="B2558" s="1631"/>
      <c r="C2558" s="2805" t="s">
        <v>7965</v>
      </c>
      <c r="D2558" s="2805"/>
      <c r="E2558" s="2805"/>
      <c r="F2558" s="1683" t="s">
        <v>5928</v>
      </c>
      <c r="G2558" s="1641"/>
      <c r="H2558" s="1641"/>
      <c r="I2558" s="1641"/>
      <c r="J2558" s="1654">
        <v>2.84</v>
      </c>
      <c r="K2558" s="2034">
        <v>4</v>
      </c>
      <c r="L2558" s="1654">
        <v>10.7</v>
      </c>
      <c r="M2558" s="1655">
        <v>35.75</v>
      </c>
      <c r="N2558" s="2039">
        <v>382.53</v>
      </c>
      <c r="EW2558" s="2031"/>
      <c r="EX2558" s="1619"/>
      <c r="EY2558" s="1628"/>
      <c r="EZ2558" s="1628"/>
      <c r="FA2558" s="1628"/>
      <c r="FF2558" s="1864" t="s">
        <v>7965</v>
      </c>
      <c r="FH2558" s="1628"/>
      <c r="FU2558" s="1678"/>
      <c r="FW2558" s="1678"/>
    </row>
    <row r="2559" spans="1:179" s="1484" customFormat="1" ht="15" x14ac:dyDescent="0.25">
      <c r="A2559" s="2033"/>
      <c r="B2559" s="1631"/>
      <c r="C2559" s="2805" t="s">
        <v>867</v>
      </c>
      <c r="D2559" s="2805"/>
      <c r="E2559" s="2805"/>
      <c r="F2559" s="1683"/>
      <c r="G2559" s="1641"/>
      <c r="H2559" s="1641"/>
      <c r="I2559" s="1641"/>
      <c r="J2559" s="1640"/>
      <c r="K2559" s="1641"/>
      <c r="L2559" s="1654">
        <v>119.25</v>
      </c>
      <c r="M2559" s="1641"/>
      <c r="N2559" s="1679">
        <v>4263.1899999999996</v>
      </c>
      <c r="EW2559" s="2031"/>
      <c r="EX2559" s="1619"/>
      <c r="EY2559" s="1628"/>
      <c r="EZ2559" s="1628"/>
      <c r="FA2559" s="1628"/>
      <c r="FF2559" s="1864" t="s">
        <v>867</v>
      </c>
      <c r="FH2559" s="1628"/>
      <c r="FU2559" s="1678"/>
      <c r="FW2559" s="1678"/>
    </row>
    <row r="2560" spans="1:179" s="1484" customFormat="1" ht="15" x14ac:dyDescent="0.25">
      <c r="A2560" s="2033"/>
      <c r="B2560" s="1631" t="s">
        <v>8054</v>
      </c>
      <c r="C2560" s="2805" t="s">
        <v>8055</v>
      </c>
      <c r="D2560" s="2805"/>
      <c r="E2560" s="2805"/>
      <c r="F2560" s="1683" t="s">
        <v>636</v>
      </c>
      <c r="G2560" s="2034">
        <v>112</v>
      </c>
      <c r="H2560" s="1641"/>
      <c r="I2560" s="2034">
        <v>112</v>
      </c>
      <c r="J2560" s="1640"/>
      <c r="K2560" s="1641"/>
      <c r="L2560" s="1654">
        <v>133.56</v>
      </c>
      <c r="M2560" s="1641"/>
      <c r="N2560" s="1679">
        <v>4774.7700000000004</v>
      </c>
      <c r="EW2560" s="2031"/>
      <c r="EX2560" s="1619"/>
      <c r="EY2560" s="1628"/>
      <c r="EZ2560" s="1628"/>
      <c r="FA2560" s="1628"/>
      <c r="FF2560" s="1864" t="s">
        <v>8055</v>
      </c>
      <c r="FH2560" s="1628"/>
      <c r="FU2560" s="1678"/>
      <c r="FW2560" s="1678"/>
    </row>
    <row r="2561" spans="1:179" s="1484" customFormat="1" ht="15" x14ac:dyDescent="0.25">
      <c r="A2561" s="2033"/>
      <c r="B2561" s="1631" t="s">
        <v>8056</v>
      </c>
      <c r="C2561" s="2805" t="s">
        <v>8057</v>
      </c>
      <c r="D2561" s="2805"/>
      <c r="E2561" s="2805"/>
      <c r="F2561" s="1683" t="s">
        <v>636</v>
      </c>
      <c r="G2561" s="2034">
        <v>65</v>
      </c>
      <c r="H2561" s="1641"/>
      <c r="I2561" s="2034">
        <v>65</v>
      </c>
      <c r="J2561" s="1640"/>
      <c r="K2561" s="1641"/>
      <c r="L2561" s="1654">
        <v>77.510000000000005</v>
      </c>
      <c r="M2561" s="1641"/>
      <c r="N2561" s="1679">
        <v>2771.07</v>
      </c>
      <c r="EW2561" s="2031"/>
      <c r="EX2561" s="1619"/>
      <c r="EY2561" s="1628"/>
      <c r="EZ2561" s="1628"/>
      <c r="FA2561" s="1628"/>
      <c r="FF2561" s="1864" t="s">
        <v>8057</v>
      </c>
      <c r="FH2561" s="1628"/>
      <c r="FU2561" s="1678"/>
      <c r="FW2561" s="1678"/>
    </row>
    <row r="2562" spans="1:179" s="1484" customFormat="1" ht="15" x14ac:dyDescent="0.25">
      <c r="A2562" s="1650"/>
      <c r="B2562" s="1651"/>
      <c r="C2562" s="2803" t="s">
        <v>872</v>
      </c>
      <c r="D2562" s="2803"/>
      <c r="E2562" s="2803"/>
      <c r="F2562" s="1621"/>
      <c r="G2562" s="1622"/>
      <c r="H2562" s="1622"/>
      <c r="I2562" s="1622"/>
      <c r="J2562" s="1625"/>
      <c r="K2562" s="1622"/>
      <c r="L2562" s="2040">
        <v>401.46</v>
      </c>
      <c r="M2562" s="2037"/>
      <c r="N2562" s="1649">
        <v>11642.79</v>
      </c>
      <c r="EW2562" s="2031"/>
      <c r="EX2562" s="1619"/>
      <c r="EY2562" s="1628"/>
      <c r="EZ2562" s="1628"/>
      <c r="FA2562" s="1628"/>
      <c r="FH2562" s="1628" t="s">
        <v>872</v>
      </c>
      <c r="FU2562" s="1678"/>
      <c r="FW2562" s="1678"/>
    </row>
    <row r="2563" spans="1:179" s="1484" customFormat="1" ht="56.25" x14ac:dyDescent="0.25">
      <c r="A2563" s="1620" t="s">
        <v>8387</v>
      </c>
      <c r="B2563" s="1863" t="s">
        <v>8146</v>
      </c>
      <c r="C2563" s="2803" t="s">
        <v>8147</v>
      </c>
      <c r="D2563" s="2803"/>
      <c r="E2563" s="2803"/>
      <c r="F2563" s="1621" t="s">
        <v>835</v>
      </c>
      <c r="G2563" s="1622">
        <v>2113.848</v>
      </c>
      <c r="H2563" s="1623">
        <v>1</v>
      </c>
      <c r="I2563" s="2045">
        <v>2113.848</v>
      </c>
      <c r="J2563" s="2040">
        <v>23.7</v>
      </c>
      <c r="K2563" s="1622"/>
      <c r="L2563" s="1648">
        <v>50098.2</v>
      </c>
      <c r="M2563" s="1687">
        <v>9.14</v>
      </c>
      <c r="N2563" s="1649">
        <v>457897.55</v>
      </c>
      <c r="EW2563" s="2031"/>
      <c r="EX2563" s="1619"/>
      <c r="EY2563" s="1628" t="s">
        <v>8147</v>
      </c>
      <c r="EZ2563" s="1628" t="s">
        <v>588</v>
      </c>
      <c r="FA2563" s="1628" t="s">
        <v>588</v>
      </c>
      <c r="FH2563" s="1628"/>
      <c r="FU2563" s="1678"/>
      <c r="FW2563" s="1678"/>
    </row>
    <row r="2564" spans="1:179" s="1484" customFormat="1" ht="15" x14ac:dyDescent="0.25">
      <c r="A2564" s="1650"/>
      <c r="B2564" s="1651"/>
      <c r="C2564" s="2805" t="s">
        <v>8722</v>
      </c>
      <c r="D2564" s="2805"/>
      <c r="E2564" s="2805"/>
      <c r="F2564" s="2805"/>
      <c r="G2564" s="2805"/>
      <c r="H2564" s="2805"/>
      <c r="I2564" s="2805"/>
      <c r="J2564" s="2805"/>
      <c r="K2564" s="2805"/>
      <c r="L2564" s="2805"/>
      <c r="M2564" s="2805"/>
      <c r="N2564" s="2806"/>
      <c r="EW2564" s="2031"/>
      <c r="EX2564" s="1619"/>
      <c r="EY2564" s="1628"/>
      <c r="EZ2564" s="1628"/>
      <c r="FA2564" s="1628"/>
      <c r="FH2564" s="1628"/>
      <c r="FI2564" s="1864" t="s">
        <v>8722</v>
      </c>
      <c r="FJ2564" s="1864" t="s">
        <v>588</v>
      </c>
      <c r="FK2564" s="1864" t="s">
        <v>588</v>
      </c>
      <c r="FL2564" s="1864" t="s">
        <v>588</v>
      </c>
      <c r="FM2564" s="1864" t="s">
        <v>588</v>
      </c>
      <c r="FN2564" s="1864" t="s">
        <v>588</v>
      </c>
      <c r="FO2564" s="1864" t="s">
        <v>588</v>
      </c>
      <c r="FP2564" s="1864" t="s">
        <v>588</v>
      </c>
      <c r="FQ2564" s="1864" t="s">
        <v>588</v>
      </c>
      <c r="FR2564" s="1864" t="s">
        <v>588</v>
      </c>
      <c r="FS2564" s="1864" t="s">
        <v>588</v>
      </c>
      <c r="FT2564" s="1864" t="s">
        <v>588</v>
      </c>
      <c r="FU2564" s="1678"/>
      <c r="FW2564" s="1678"/>
    </row>
    <row r="2565" spans="1:179" s="1484" customFormat="1" ht="15" x14ac:dyDescent="0.25">
      <c r="A2565" s="1629"/>
      <c r="B2565" s="1862"/>
      <c r="C2565" s="2805" t="s">
        <v>8768</v>
      </c>
      <c r="D2565" s="2805"/>
      <c r="E2565" s="2805"/>
      <c r="F2565" s="2805"/>
      <c r="G2565" s="2805"/>
      <c r="H2565" s="2805"/>
      <c r="I2565" s="2805"/>
      <c r="J2565" s="2805"/>
      <c r="K2565" s="2805"/>
      <c r="L2565" s="2805"/>
      <c r="M2565" s="2805"/>
      <c r="N2565" s="2806"/>
      <c r="EW2565" s="2031"/>
      <c r="EX2565" s="1619"/>
      <c r="EY2565" s="1628"/>
      <c r="EZ2565" s="1628"/>
      <c r="FA2565" s="1628"/>
      <c r="FB2565" s="1864" t="s">
        <v>8768</v>
      </c>
      <c r="FH2565" s="1628"/>
      <c r="FU2565" s="1678"/>
      <c r="FW2565" s="1678"/>
    </row>
    <row r="2566" spans="1:179" s="1484" customFormat="1" ht="15" x14ac:dyDescent="0.25">
      <c r="A2566" s="1650"/>
      <c r="B2566" s="1651"/>
      <c r="C2566" s="2803" t="s">
        <v>872</v>
      </c>
      <c r="D2566" s="2803"/>
      <c r="E2566" s="2803"/>
      <c r="F2566" s="1621"/>
      <c r="G2566" s="1622"/>
      <c r="H2566" s="1622"/>
      <c r="I2566" s="1622"/>
      <c r="J2566" s="1625"/>
      <c r="K2566" s="1622"/>
      <c r="L2566" s="1648">
        <v>50098.2</v>
      </c>
      <c r="M2566" s="2037"/>
      <c r="N2566" s="1649">
        <v>457897.55</v>
      </c>
      <c r="EW2566" s="2031"/>
      <c r="EX2566" s="1619"/>
      <c r="EY2566" s="1628"/>
      <c r="EZ2566" s="1628"/>
      <c r="FA2566" s="1628"/>
      <c r="FH2566" s="1628" t="s">
        <v>872</v>
      </c>
      <c r="FU2566" s="1678"/>
      <c r="FW2566" s="1678"/>
    </row>
    <row r="2567" spans="1:179" s="1484" customFormat="1" ht="33.75" x14ac:dyDescent="0.25">
      <c r="A2567" s="1620" t="s">
        <v>8388</v>
      </c>
      <c r="B2567" s="1863" t="s">
        <v>8148</v>
      </c>
      <c r="C2567" s="2803" t="s">
        <v>8149</v>
      </c>
      <c r="D2567" s="2803"/>
      <c r="E2567" s="2803"/>
      <c r="F2567" s="1621" t="s">
        <v>2555</v>
      </c>
      <c r="G2567" s="1622">
        <v>0.94199999999999995</v>
      </c>
      <c r="H2567" s="1623">
        <v>1</v>
      </c>
      <c r="I2567" s="2045">
        <v>0.94199999999999995</v>
      </c>
      <c r="J2567" s="1625"/>
      <c r="K2567" s="1622"/>
      <c r="L2567" s="1625"/>
      <c r="M2567" s="1622"/>
      <c r="N2567" s="1627"/>
      <c r="EW2567" s="2031"/>
      <c r="EX2567" s="1619"/>
      <c r="EY2567" s="1628" t="s">
        <v>8149</v>
      </c>
      <c r="EZ2567" s="1628" t="s">
        <v>588</v>
      </c>
      <c r="FA2567" s="1628" t="s">
        <v>588</v>
      </c>
      <c r="FH2567" s="1628"/>
      <c r="FU2567" s="1678"/>
      <c r="FW2567" s="1678"/>
    </row>
    <row r="2568" spans="1:179" s="1484" customFormat="1" ht="15" x14ac:dyDescent="0.25">
      <c r="A2568" s="1629"/>
      <c r="B2568" s="1862"/>
      <c r="C2568" s="2805" t="s">
        <v>8767</v>
      </c>
      <c r="D2568" s="2805"/>
      <c r="E2568" s="2805"/>
      <c r="F2568" s="2805"/>
      <c r="G2568" s="2805"/>
      <c r="H2568" s="2805"/>
      <c r="I2568" s="2805"/>
      <c r="J2568" s="2805"/>
      <c r="K2568" s="2805"/>
      <c r="L2568" s="2805"/>
      <c r="M2568" s="2805"/>
      <c r="N2568" s="2806"/>
      <c r="EW2568" s="2031"/>
      <c r="EX2568" s="1619"/>
      <c r="EY2568" s="1628"/>
      <c r="EZ2568" s="1628"/>
      <c r="FA2568" s="1628"/>
      <c r="FB2568" s="1864" t="s">
        <v>8767</v>
      </c>
      <c r="FH2568" s="1628"/>
      <c r="FU2568" s="1678"/>
      <c r="FW2568" s="1678"/>
    </row>
    <row r="2569" spans="1:179" s="1484" customFormat="1" ht="22.5" x14ac:dyDescent="0.25">
      <c r="A2569" s="1630"/>
      <c r="B2569" s="1631" t="s">
        <v>6062</v>
      </c>
      <c r="C2569" s="2809" t="s">
        <v>6063</v>
      </c>
      <c r="D2569" s="2809"/>
      <c r="E2569" s="2809"/>
      <c r="F2569" s="2809"/>
      <c r="G2569" s="2809"/>
      <c r="H2569" s="2809"/>
      <c r="I2569" s="2809"/>
      <c r="J2569" s="2809"/>
      <c r="K2569" s="2809"/>
      <c r="L2569" s="2809"/>
      <c r="M2569" s="2809"/>
      <c r="N2569" s="2810"/>
      <c r="EW2569" s="2031"/>
      <c r="EX2569" s="1619"/>
      <c r="EY2569" s="1628"/>
      <c r="EZ2569" s="1628"/>
      <c r="FA2569" s="1628"/>
      <c r="FC2569" s="1864" t="s">
        <v>6063</v>
      </c>
      <c r="FH2569" s="1628"/>
      <c r="FU2569" s="1678"/>
      <c r="FW2569" s="1678"/>
    </row>
    <row r="2570" spans="1:179" s="1484" customFormat="1" ht="22.5" x14ac:dyDescent="0.25">
      <c r="A2570" s="2033"/>
      <c r="B2570" s="1631" t="s">
        <v>3260</v>
      </c>
      <c r="C2570" s="2805" t="s">
        <v>8636</v>
      </c>
      <c r="D2570" s="2805"/>
      <c r="E2570" s="2805"/>
      <c r="F2570" s="1683" t="s">
        <v>807</v>
      </c>
      <c r="G2570" s="1655">
        <v>3.69</v>
      </c>
      <c r="H2570" s="1641"/>
      <c r="I2570" s="2042">
        <v>3.4759799999999998</v>
      </c>
      <c r="J2570" s="1654">
        <v>9.18</v>
      </c>
      <c r="K2570" s="1655">
        <v>1.25</v>
      </c>
      <c r="L2570" s="1654">
        <v>39.89</v>
      </c>
      <c r="M2570" s="1641"/>
      <c r="N2570" s="1681"/>
      <c r="EW2570" s="2031"/>
      <c r="EX2570" s="1619"/>
      <c r="EY2570" s="1628"/>
      <c r="EZ2570" s="1628"/>
      <c r="FA2570" s="1628"/>
      <c r="FD2570" s="1864" t="s">
        <v>8636</v>
      </c>
      <c r="FH2570" s="1628"/>
      <c r="FU2570" s="1678"/>
      <c r="FW2570" s="1678"/>
    </row>
    <row r="2571" spans="1:179" s="1484" customFormat="1" ht="22.5" x14ac:dyDescent="0.25">
      <c r="A2571" s="2033"/>
      <c r="B2571" s="1631" t="s">
        <v>5008</v>
      </c>
      <c r="C2571" s="2805" t="s">
        <v>5009</v>
      </c>
      <c r="D2571" s="2805"/>
      <c r="E2571" s="2805"/>
      <c r="F2571" s="1683" t="s">
        <v>4994</v>
      </c>
      <c r="G2571" s="1655">
        <v>0.01</v>
      </c>
      <c r="H2571" s="1641"/>
      <c r="I2571" s="2042">
        <v>9.4199999999999996E-3</v>
      </c>
      <c r="J2571" s="1654">
        <v>27.66</v>
      </c>
      <c r="K2571" s="1641"/>
      <c r="L2571" s="1654">
        <v>0.26</v>
      </c>
      <c r="M2571" s="1641"/>
      <c r="N2571" s="1681"/>
      <c r="EW2571" s="2031"/>
      <c r="EX2571" s="1619"/>
      <c r="EY2571" s="1628"/>
      <c r="EZ2571" s="1628"/>
      <c r="FA2571" s="1628"/>
      <c r="FD2571" s="1864" t="s">
        <v>5009</v>
      </c>
      <c r="FH2571" s="1628"/>
      <c r="FU2571" s="1678"/>
      <c r="FW2571" s="1678"/>
    </row>
    <row r="2572" spans="1:179" s="1484" customFormat="1" ht="15" x14ac:dyDescent="0.25">
      <c r="A2572" s="2033"/>
      <c r="B2572" s="1631" t="s">
        <v>821</v>
      </c>
      <c r="C2572" s="2805" t="s">
        <v>822</v>
      </c>
      <c r="D2572" s="2805"/>
      <c r="E2572" s="2805"/>
      <c r="F2572" s="1683" t="s">
        <v>4994</v>
      </c>
      <c r="G2572" s="1655">
        <v>0.04</v>
      </c>
      <c r="H2572" s="1641"/>
      <c r="I2572" s="2042">
        <v>3.7679999999999998E-2</v>
      </c>
      <c r="J2572" s="1654">
        <v>65.709999999999994</v>
      </c>
      <c r="K2572" s="1641"/>
      <c r="L2572" s="1654">
        <v>2.48</v>
      </c>
      <c r="M2572" s="1641"/>
      <c r="N2572" s="1681"/>
      <c r="EW2572" s="2031"/>
      <c r="EX2572" s="1619"/>
      <c r="EY2572" s="1628"/>
      <c r="EZ2572" s="1628"/>
      <c r="FA2572" s="1628"/>
      <c r="FD2572" s="1864" t="s">
        <v>822</v>
      </c>
      <c r="FH2572" s="1628"/>
      <c r="FU2572" s="1678"/>
      <c r="FW2572" s="1678"/>
    </row>
    <row r="2573" spans="1:179" s="1484" customFormat="1" ht="33.75" x14ac:dyDescent="0.25">
      <c r="A2573" s="2033"/>
      <c r="B2573" s="1631" t="s">
        <v>5029</v>
      </c>
      <c r="C2573" s="2805" t="s">
        <v>5030</v>
      </c>
      <c r="D2573" s="2805"/>
      <c r="E2573" s="2805"/>
      <c r="F2573" s="1683" t="s">
        <v>4994</v>
      </c>
      <c r="G2573" s="1655">
        <v>2.82</v>
      </c>
      <c r="H2573" s="1641"/>
      <c r="I2573" s="2042">
        <v>2.6564399999999999</v>
      </c>
      <c r="J2573" s="1654">
        <v>6.82</v>
      </c>
      <c r="K2573" s="1641"/>
      <c r="L2573" s="1654">
        <v>18.12</v>
      </c>
      <c r="M2573" s="1641"/>
      <c r="N2573" s="1681"/>
      <c r="EW2573" s="2031"/>
      <c r="EX2573" s="1619"/>
      <c r="EY2573" s="1628"/>
      <c r="EZ2573" s="1628"/>
      <c r="FA2573" s="1628"/>
      <c r="FD2573" s="1864" t="s">
        <v>5030</v>
      </c>
      <c r="FH2573" s="1628"/>
      <c r="FU2573" s="1678"/>
      <c r="FW2573" s="1678"/>
    </row>
    <row r="2574" spans="1:179" s="1484" customFormat="1" ht="15" x14ac:dyDescent="0.25">
      <c r="A2574" s="2033"/>
      <c r="B2574" s="1631" t="s">
        <v>1755</v>
      </c>
      <c r="C2574" s="2805" t="s">
        <v>2634</v>
      </c>
      <c r="D2574" s="2805"/>
      <c r="E2574" s="2805"/>
      <c r="F2574" s="1683" t="s">
        <v>832</v>
      </c>
      <c r="G2574" s="1655">
        <v>0.01</v>
      </c>
      <c r="H2574" s="1641"/>
      <c r="I2574" s="2042">
        <v>9.4199999999999996E-3</v>
      </c>
      <c r="J2574" s="1654">
        <v>2.44</v>
      </c>
      <c r="K2574" s="1641"/>
      <c r="L2574" s="1654">
        <v>0.02</v>
      </c>
      <c r="M2574" s="1641"/>
      <c r="N2574" s="1681"/>
      <c r="EW2574" s="2031"/>
      <c r="EX2574" s="1619"/>
      <c r="EY2574" s="1628"/>
      <c r="EZ2574" s="1628"/>
      <c r="FA2574" s="1628"/>
      <c r="FD2574" s="1864" t="s">
        <v>2634</v>
      </c>
      <c r="FH2574" s="1628"/>
      <c r="FU2574" s="1678"/>
      <c r="FW2574" s="1678"/>
    </row>
    <row r="2575" spans="1:179" s="1484" customFormat="1" ht="15" x14ac:dyDescent="0.25">
      <c r="A2575" s="2033"/>
      <c r="B2575" s="1631" t="s">
        <v>4922</v>
      </c>
      <c r="C2575" s="2805" t="s">
        <v>8707</v>
      </c>
      <c r="D2575" s="2805"/>
      <c r="E2575" s="2805"/>
      <c r="F2575" s="1683" t="s">
        <v>835</v>
      </c>
      <c r="G2575" s="2034">
        <v>1</v>
      </c>
      <c r="H2575" s="1641"/>
      <c r="I2575" s="2046">
        <v>0.94199999999999995</v>
      </c>
      <c r="J2575" s="1654">
        <v>1.82</v>
      </c>
      <c r="K2575" s="1641"/>
      <c r="L2575" s="1654">
        <v>1.71</v>
      </c>
      <c r="M2575" s="1641"/>
      <c r="N2575" s="1681"/>
      <c r="EW2575" s="2031"/>
      <c r="EX2575" s="1619"/>
      <c r="EY2575" s="1628"/>
      <c r="EZ2575" s="1628"/>
      <c r="FA2575" s="1628"/>
      <c r="FD2575" s="1864" t="s">
        <v>8707</v>
      </c>
      <c r="FH2575" s="1628"/>
      <c r="FU2575" s="1678"/>
      <c r="FW2575" s="1678"/>
    </row>
    <row r="2576" spans="1:179" s="1484" customFormat="1" ht="15" x14ac:dyDescent="0.25">
      <c r="A2576" s="2032"/>
      <c r="B2576" s="1631" t="s">
        <v>190</v>
      </c>
      <c r="C2576" s="2805" t="s">
        <v>2523</v>
      </c>
      <c r="D2576" s="2805"/>
      <c r="E2576" s="2805"/>
      <c r="F2576" s="1683"/>
      <c r="G2576" s="1641"/>
      <c r="H2576" s="1641"/>
      <c r="I2576" s="1641"/>
      <c r="J2576" s="1654">
        <v>33.869999999999997</v>
      </c>
      <c r="K2576" s="1655">
        <v>1.25</v>
      </c>
      <c r="L2576" s="1654">
        <v>39.880000000000003</v>
      </c>
      <c r="M2576" s="1655">
        <v>35.75</v>
      </c>
      <c r="N2576" s="1679">
        <v>1425.71</v>
      </c>
      <c r="EW2576" s="2031"/>
      <c r="EX2576" s="1619"/>
      <c r="EY2576" s="1628"/>
      <c r="EZ2576" s="1628"/>
      <c r="FA2576" s="1628"/>
      <c r="FE2576" s="1864" t="s">
        <v>2523</v>
      </c>
      <c r="FH2576" s="1628"/>
      <c r="FU2576" s="1678"/>
      <c r="FW2576" s="1678"/>
    </row>
    <row r="2577" spans="1:179" s="1484" customFormat="1" ht="15" x14ac:dyDescent="0.25">
      <c r="A2577" s="2032"/>
      <c r="B2577" s="1631" t="s">
        <v>639</v>
      </c>
      <c r="C2577" s="2805" t="s">
        <v>697</v>
      </c>
      <c r="D2577" s="2805"/>
      <c r="E2577" s="2805"/>
      <c r="F2577" s="1683"/>
      <c r="G2577" s="1641"/>
      <c r="H2577" s="1641"/>
      <c r="I2577" s="1641"/>
      <c r="J2577" s="1654">
        <v>22.14</v>
      </c>
      <c r="K2577" s="1641"/>
      <c r="L2577" s="1654">
        <v>20.86</v>
      </c>
      <c r="M2577" s="1655">
        <v>11.97</v>
      </c>
      <c r="N2577" s="2039">
        <v>249.69</v>
      </c>
      <c r="EW2577" s="2031"/>
      <c r="EX2577" s="1619"/>
      <c r="EY2577" s="1628"/>
      <c r="EZ2577" s="1628"/>
      <c r="FA2577" s="1628"/>
      <c r="FE2577" s="1864" t="s">
        <v>697</v>
      </c>
      <c r="FH2577" s="1628"/>
      <c r="FU2577" s="1678"/>
      <c r="FW2577" s="1678"/>
    </row>
    <row r="2578" spans="1:179" s="1484" customFormat="1" ht="15" x14ac:dyDescent="0.25">
      <c r="A2578" s="2032"/>
      <c r="B2578" s="1631" t="s">
        <v>640</v>
      </c>
      <c r="C2578" s="2805" t="s">
        <v>2500</v>
      </c>
      <c r="D2578" s="2805"/>
      <c r="E2578" s="2805"/>
      <c r="F2578" s="1683"/>
      <c r="G2578" s="1641"/>
      <c r="H2578" s="1641"/>
      <c r="I2578" s="1641"/>
      <c r="J2578" s="1654">
        <v>0.57999999999999996</v>
      </c>
      <c r="K2578" s="1641"/>
      <c r="L2578" s="1654">
        <v>0.55000000000000004</v>
      </c>
      <c r="M2578" s="1655">
        <v>35.75</v>
      </c>
      <c r="N2578" s="2039">
        <v>19.66</v>
      </c>
      <c r="EW2578" s="2031"/>
      <c r="EX2578" s="1619"/>
      <c r="EY2578" s="1628"/>
      <c r="EZ2578" s="1628"/>
      <c r="FA2578" s="1628"/>
      <c r="FE2578" s="1864" t="s">
        <v>2500</v>
      </c>
      <c r="FH2578" s="1628"/>
      <c r="FU2578" s="1678"/>
      <c r="FW2578" s="1678"/>
    </row>
    <row r="2579" spans="1:179" s="1484" customFormat="1" ht="15" x14ac:dyDescent="0.25">
      <c r="A2579" s="2032"/>
      <c r="B2579" s="1631" t="s">
        <v>232</v>
      </c>
      <c r="C2579" s="2805" t="s">
        <v>829</v>
      </c>
      <c r="D2579" s="2805"/>
      <c r="E2579" s="2805"/>
      <c r="F2579" s="1683"/>
      <c r="G2579" s="1641"/>
      <c r="H2579" s="1641"/>
      <c r="I2579" s="1641"/>
      <c r="J2579" s="1654">
        <v>1.84</v>
      </c>
      <c r="K2579" s="1641"/>
      <c r="L2579" s="1654">
        <v>1.73</v>
      </c>
      <c r="M2579" s="1655">
        <v>9.14</v>
      </c>
      <c r="N2579" s="2039">
        <v>15.81</v>
      </c>
      <c r="EW2579" s="2031"/>
      <c r="EX2579" s="1619"/>
      <c r="EY2579" s="1628"/>
      <c r="EZ2579" s="1628"/>
      <c r="FA2579" s="1628"/>
      <c r="FE2579" s="1864" t="s">
        <v>829</v>
      </c>
      <c r="FH2579" s="1628"/>
      <c r="FU2579" s="1678"/>
      <c r="FW2579" s="1678"/>
    </row>
    <row r="2580" spans="1:179" s="1484" customFormat="1" ht="15" x14ac:dyDescent="0.25">
      <c r="A2580" s="2033"/>
      <c r="B2580" s="1631"/>
      <c r="C2580" s="2805" t="s">
        <v>2524</v>
      </c>
      <c r="D2580" s="2805"/>
      <c r="E2580" s="2805"/>
      <c r="F2580" s="1683" t="s">
        <v>807</v>
      </c>
      <c r="G2580" s="1655">
        <v>3.69</v>
      </c>
      <c r="H2580" s="1641"/>
      <c r="I2580" s="2042">
        <v>3.4759799999999998</v>
      </c>
      <c r="J2580" s="1640"/>
      <c r="K2580" s="1641"/>
      <c r="L2580" s="1640"/>
      <c r="M2580" s="1641"/>
      <c r="N2580" s="1681"/>
      <c r="EW2580" s="2031"/>
      <c r="EX2580" s="1619"/>
      <c r="EY2580" s="1628"/>
      <c r="EZ2580" s="1628"/>
      <c r="FA2580" s="1628"/>
      <c r="FF2580" s="1864" t="s">
        <v>2524</v>
      </c>
      <c r="FH2580" s="1628"/>
      <c r="FU2580" s="1678"/>
      <c r="FW2580" s="1678"/>
    </row>
    <row r="2581" spans="1:179" s="1484" customFormat="1" ht="15" x14ac:dyDescent="0.25">
      <c r="A2581" s="2033"/>
      <c r="B2581" s="1631"/>
      <c r="C2581" s="2805" t="s">
        <v>2501</v>
      </c>
      <c r="D2581" s="2805"/>
      <c r="E2581" s="2805"/>
      <c r="F2581" s="1683" t="s">
        <v>807</v>
      </c>
      <c r="G2581" s="1655">
        <v>0.05</v>
      </c>
      <c r="H2581" s="1641"/>
      <c r="I2581" s="2035">
        <v>4.7100000000000003E-2</v>
      </c>
      <c r="J2581" s="1640"/>
      <c r="K2581" s="1641"/>
      <c r="L2581" s="1640"/>
      <c r="M2581" s="1641"/>
      <c r="N2581" s="1681"/>
      <c r="EW2581" s="2031"/>
      <c r="EX2581" s="1619"/>
      <c r="EY2581" s="1628"/>
      <c r="EZ2581" s="1628"/>
      <c r="FA2581" s="1628"/>
      <c r="FF2581" s="1864" t="s">
        <v>2501</v>
      </c>
      <c r="FH2581" s="1628"/>
      <c r="FU2581" s="1678"/>
      <c r="FW2581" s="1678"/>
    </row>
    <row r="2582" spans="1:179" s="1484" customFormat="1" ht="15" x14ac:dyDescent="0.25">
      <c r="A2582" s="2032"/>
      <c r="B2582" s="1631"/>
      <c r="C2582" s="2917" t="s">
        <v>2502</v>
      </c>
      <c r="D2582" s="2917"/>
      <c r="E2582" s="2917"/>
      <c r="F2582" s="2036"/>
      <c r="G2582" s="2037"/>
      <c r="H2582" s="2037"/>
      <c r="I2582" s="2037"/>
      <c r="J2582" s="2044">
        <v>57.85</v>
      </c>
      <c r="K2582" s="2037"/>
      <c r="L2582" s="2044">
        <v>62.47</v>
      </c>
      <c r="M2582" s="2037"/>
      <c r="N2582" s="2068">
        <v>1691.21</v>
      </c>
      <c r="EW2582" s="2031"/>
      <c r="EX2582" s="1619"/>
      <c r="EY2582" s="1628"/>
      <c r="EZ2582" s="1628"/>
      <c r="FA2582" s="1628"/>
      <c r="FG2582" s="1864" t="s">
        <v>2502</v>
      </c>
      <c r="FH2582" s="1628"/>
      <c r="FU2582" s="1678"/>
      <c r="FW2582" s="1678"/>
    </row>
    <row r="2583" spans="1:179" s="1484" customFormat="1" ht="15" x14ac:dyDescent="0.25">
      <c r="A2583" s="2033" t="s">
        <v>8389</v>
      </c>
      <c r="B2583" s="1631"/>
      <c r="C2583" s="2805" t="s">
        <v>7964</v>
      </c>
      <c r="D2583" s="2805"/>
      <c r="E2583" s="2805"/>
      <c r="F2583" s="1683" t="s">
        <v>5928</v>
      </c>
      <c r="G2583" s="1641"/>
      <c r="H2583" s="1641"/>
      <c r="I2583" s="1641"/>
      <c r="J2583" s="1640"/>
      <c r="K2583" s="1641"/>
      <c r="L2583" s="1654">
        <v>0.14000000000000001</v>
      </c>
      <c r="M2583" s="1641"/>
      <c r="N2583" s="2039">
        <v>5.01</v>
      </c>
      <c r="EW2583" s="2031"/>
      <c r="EX2583" s="1619"/>
      <c r="EY2583" s="1628"/>
      <c r="EZ2583" s="1628"/>
      <c r="FA2583" s="1628"/>
      <c r="FF2583" s="1864" t="s">
        <v>7964</v>
      </c>
      <c r="FH2583" s="1628"/>
      <c r="FU2583" s="1678"/>
      <c r="FW2583" s="1678"/>
    </row>
    <row r="2584" spans="1:179" s="1484" customFormat="1" ht="15" x14ac:dyDescent="0.25">
      <c r="A2584" s="2033"/>
      <c r="B2584" s="1631"/>
      <c r="C2584" s="2805" t="s">
        <v>7965</v>
      </c>
      <c r="D2584" s="2805"/>
      <c r="E2584" s="2805"/>
      <c r="F2584" s="1683" t="s">
        <v>5928</v>
      </c>
      <c r="G2584" s="1641"/>
      <c r="H2584" s="1641"/>
      <c r="I2584" s="1641"/>
      <c r="J2584" s="1654">
        <v>0.57999999999999996</v>
      </c>
      <c r="K2584" s="1655">
        <v>0.25</v>
      </c>
      <c r="L2584" s="1654">
        <v>0.14000000000000001</v>
      </c>
      <c r="M2584" s="1655">
        <v>35.75</v>
      </c>
      <c r="N2584" s="2039">
        <v>5.01</v>
      </c>
      <c r="EW2584" s="2031"/>
      <c r="EX2584" s="1619"/>
      <c r="EY2584" s="1628"/>
      <c r="EZ2584" s="1628"/>
      <c r="FA2584" s="1628"/>
      <c r="FF2584" s="1864" t="s">
        <v>7965</v>
      </c>
      <c r="FH2584" s="1628"/>
      <c r="FU2584" s="1678"/>
      <c r="FW2584" s="1678"/>
    </row>
    <row r="2585" spans="1:179" s="1484" customFormat="1" ht="15" x14ac:dyDescent="0.25">
      <c r="A2585" s="2033"/>
      <c r="B2585" s="1631"/>
      <c r="C2585" s="2805" t="s">
        <v>867</v>
      </c>
      <c r="D2585" s="2805"/>
      <c r="E2585" s="2805"/>
      <c r="F2585" s="1683"/>
      <c r="G2585" s="1641"/>
      <c r="H2585" s="1641"/>
      <c r="I2585" s="1641"/>
      <c r="J2585" s="1640"/>
      <c r="K2585" s="1641"/>
      <c r="L2585" s="1654">
        <v>40.57</v>
      </c>
      <c r="M2585" s="1641"/>
      <c r="N2585" s="1679">
        <v>1450.38</v>
      </c>
      <c r="EW2585" s="2031"/>
      <c r="EX2585" s="1619"/>
      <c r="EY2585" s="1628"/>
      <c r="EZ2585" s="1628"/>
      <c r="FA2585" s="1628"/>
      <c r="FF2585" s="1864" t="s">
        <v>867</v>
      </c>
      <c r="FH2585" s="1628"/>
      <c r="FU2585" s="1678"/>
      <c r="FW2585" s="1678"/>
    </row>
    <row r="2586" spans="1:179" s="1484" customFormat="1" ht="15" x14ac:dyDescent="0.25">
      <c r="A2586" s="2033"/>
      <c r="B2586" s="1631" t="s">
        <v>7966</v>
      </c>
      <c r="C2586" s="2805" t="s">
        <v>7967</v>
      </c>
      <c r="D2586" s="2805"/>
      <c r="E2586" s="2805"/>
      <c r="F2586" s="1683" t="s">
        <v>636</v>
      </c>
      <c r="G2586" s="2034">
        <v>100</v>
      </c>
      <c r="H2586" s="1641"/>
      <c r="I2586" s="2034">
        <v>100</v>
      </c>
      <c r="J2586" s="1640"/>
      <c r="K2586" s="1641"/>
      <c r="L2586" s="1654">
        <v>40.57</v>
      </c>
      <c r="M2586" s="1641"/>
      <c r="N2586" s="1679">
        <v>1450.38</v>
      </c>
      <c r="EW2586" s="2031"/>
      <c r="EX2586" s="1619"/>
      <c r="EY2586" s="1628"/>
      <c r="EZ2586" s="1628"/>
      <c r="FA2586" s="1628"/>
      <c r="FF2586" s="1864" t="s">
        <v>7967</v>
      </c>
      <c r="FH2586" s="1628"/>
      <c r="FU2586" s="1678"/>
      <c r="FW2586" s="1678"/>
    </row>
    <row r="2587" spans="1:179" s="1484" customFormat="1" ht="15" x14ac:dyDescent="0.25">
      <c r="A2587" s="2033"/>
      <c r="B2587" s="1631" t="s">
        <v>7968</v>
      </c>
      <c r="C2587" s="2805" t="s">
        <v>7969</v>
      </c>
      <c r="D2587" s="2805"/>
      <c r="E2587" s="2805"/>
      <c r="F2587" s="1683" t="s">
        <v>636</v>
      </c>
      <c r="G2587" s="2034">
        <v>49</v>
      </c>
      <c r="H2587" s="1641"/>
      <c r="I2587" s="2034">
        <v>49</v>
      </c>
      <c r="J2587" s="1640"/>
      <c r="K2587" s="1641"/>
      <c r="L2587" s="1654">
        <v>19.88</v>
      </c>
      <c r="M2587" s="1641"/>
      <c r="N2587" s="2039">
        <v>710.69</v>
      </c>
      <c r="EW2587" s="2031"/>
      <c r="EX2587" s="1619"/>
      <c r="EY2587" s="1628"/>
      <c r="EZ2587" s="1628"/>
      <c r="FA2587" s="1628"/>
      <c r="FF2587" s="1864" t="s">
        <v>7969</v>
      </c>
      <c r="FH2587" s="1628"/>
      <c r="FU2587" s="1678"/>
      <c r="FW2587" s="1678"/>
    </row>
    <row r="2588" spans="1:179" s="1484" customFormat="1" ht="15" x14ac:dyDescent="0.25">
      <c r="A2588" s="1650"/>
      <c r="B2588" s="1651"/>
      <c r="C2588" s="2803" t="s">
        <v>872</v>
      </c>
      <c r="D2588" s="2803"/>
      <c r="E2588" s="2803"/>
      <c r="F2588" s="1621"/>
      <c r="G2588" s="1622"/>
      <c r="H2588" s="1622"/>
      <c r="I2588" s="1622"/>
      <c r="J2588" s="1625"/>
      <c r="K2588" s="1622"/>
      <c r="L2588" s="2040">
        <v>123.06</v>
      </c>
      <c r="M2588" s="2037"/>
      <c r="N2588" s="1649">
        <v>3857.29</v>
      </c>
      <c r="EW2588" s="2031"/>
      <c r="EX2588" s="1619"/>
      <c r="EY2588" s="1628"/>
      <c r="EZ2588" s="1628"/>
      <c r="FA2588" s="1628"/>
      <c r="FH2588" s="1628" t="s">
        <v>872</v>
      </c>
      <c r="FU2588" s="1678"/>
      <c r="FW2588" s="1678"/>
    </row>
    <row r="2589" spans="1:179" s="1484" customFormat="1" ht="33.75" x14ac:dyDescent="0.25">
      <c r="A2589" s="1620" t="s">
        <v>8390</v>
      </c>
      <c r="B2589" s="1863" t="s">
        <v>8062</v>
      </c>
      <c r="C2589" s="2803" t="s">
        <v>4978</v>
      </c>
      <c r="D2589" s="2803"/>
      <c r="E2589" s="2803"/>
      <c r="F2589" s="1621" t="s">
        <v>835</v>
      </c>
      <c r="G2589" s="1622">
        <v>12.999599999999999</v>
      </c>
      <c r="H2589" s="1623">
        <v>1</v>
      </c>
      <c r="I2589" s="2041">
        <v>12.999599999999999</v>
      </c>
      <c r="J2589" s="2040">
        <v>13.08</v>
      </c>
      <c r="K2589" s="1622"/>
      <c r="L2589" s="2040">
        <v>170.03</v>
      </c>
      <c r="M2589" s="1687">
        <v>9.14</v>
      </c>
      <c r="N2589" s="1649">
        <v>1554.07</v>
      </c>
      <c r="EW2589" s="2031"/>
      <c r="EX2589" s="1619"/>
      <c r="EY2589" s="1628" t="s">
        <v>4978</v>
      </c>
      <c r="EZ2589" s="1628" t="s">
        <v>588</v>
      </c>
      <c r="FA2589" s="1628" t="s">
        <v>588</v>
      </c>
      <c r="FH2589" s="1628"/>
      <c r="FU2589" s="1678"/>
      <c r="FW2589" s="1678"/>
    </row>
    <row r="2590" spans="1:179" s="1484" customFormat="1" ht="15" x14ac:dyDescent="0.25">
      <c r="A2590" s="1650"/>
      <c r="B2590" s="1651"/>
      <c r="C2590" s="2805" t="s">
        <v>8689</v>
      </c>
      <c r="D2590" s="2805"/>
      <c r="E2590" s="2805"/>
      <c r="F2590" s="2805"/>
      <c r="G2590" s="2805"/>
      <c r="H2590" s="2805"/>
      <c r="I2590" s="2805"/>
      <c r="J2590" s="2805"/>
      <c r="K2590" s="2805"/>
      <c r="L2590" s="2805"/>
      <c r="M2590" s="2805"/>
      <c r="N2590" s="2806"/>
      <c r="EW2590" s="2031"/>
      <c r="EX2590" s="1619"/>
      <c r="EY2590" s="1628"/>
      <c r="EZ2590" s="1628"/>
      <c r="FA2590" s="1628"/>
      <c r="FH2590" s="1628"/>
      <c r="FI2590" s="1864" t="s">
        <v>8689</v>
      </c>
      <c r="FJ2590" s="1864" t="s">
        <v>588</v>
      </c>
      <c r="FK2590" s="1864" t="s">
        <v>588</v>
      </c>
      <c r="FL2590" s="1864" t="s">
        <v>588</v>
      </c>
      <c r="FM2590" s="1864" t="s">
        <v>588</v>
      </c>
      <c r="FN2590" s="1864" t="s">
        <v>588</v>
      </c>
      <c r="FO2590" s="1864" t="s">
        <v>588</v>
      </c>
      <c r="FP2590" s="1864" t="s">
        <v>588</v>
      </c>
      <c r="FQ2590" s="1864" t="s">
        <v>588</v>
      </c>
      <c r="FR2590" s="1864" t="s">
        <v>588</v>
      </c>
      <c r="FS2590" s="1864" t="s">
        <v>588</v>
      </c>
      <c r="FT2590" s="1864" t="s">
        <v>588</v>
      </c>
      <c r="FU2590" s="1678"/>
      <c r="FW2590" s="1678"/>
    </row>
    <row r="2591" spans="1:179" s="1484" customFormat="1" ht="15" x14ac:dyDescent="0.25">
      <c r="A2591" s="1650"/>
      <c r="B2591" s="1651"/>
      <c r="C2591" s="2803" t="s">
        <v>872</v>
      </c>
      <c r="D2591" s="2803"/>
      <c r="E2591" s="2803"/>
      <c r="F2591" s="1621"/>
      <c r="G2591" s="1622"/>
      <c r="H2591" s="1622"/>
      <c r="I2591" s="1622"/>
      <c r="J2591" s="1625"/>
      <c r="K2591" s="1622"/>
      <c r="L2591" s="2040">
        <v>170.03</v>
      </c>
      <c r="M2591" s="2037"/>
      <c r="N2591" s="1649">
        <v>1554.07</v>
      </c>
      <c r="EW2591" s="2031"/>
      <c r="EX2591" s="1619"/>
      <c r="EY2591" s="1628"/>
      <c r="EZ2591" s="1628"/>
      <c r="FA2591" s="1628"/>
      <c r="FH2591" s="1628" t="s">
        <v>872</v>
      </c>
      <c r="FU2591" s="1678"/>
      <c r="FW2591" s="1678"/>
    </row>
    <row r="2592" spans="1:179" s="1484" customFormat="1" ht="15" x14ac:dyDescent="0.25">
      <c r="A2592" s="2811" t="s">
        <v>8391</v>
      </c>
      <c r="B2592" s="2812"/>
      <c r="C2592" s="2812"/>
      <c r="D2592" s="2812"/>
      <c r="E2592" s="2812"/>
      <c r="F2592" s="2812"/>
      <c r="G2592" s="2812"/>
      <c r="H2592" s="2812"/>
      <c r="I2592" s="2812"/>
      <c r="J2592" s="2812"/>
      <c r="K2592" s="2812"/>
      <c r="L2592" s="2812"/>
      <c r="M2592" s="2812"/>
      <c r="N2592" s="2813"/>
      <c r="EW2592" s="2031"/>
      <c r="EX2592" s="1619" t="s">
        <v>8391</v>
      </c>
      <c r="EY2592" s="1628"/>
      <c r="EZ2592" s="1628"/>
      <c r="FA2592" s="1628"/>
      <c r="FH2592" s="1628"/>
      <c r="FU2592" s="1678"/>
      <c r="FW2592" s="1678"/>
    </row>
    <row r="2593" spans="1:179" s="1484" customFormat="1" ht="15" x14ac:dyDescent="0.25">
      <c r="A2593" s="2811" t="s">
        <v>8392</v>
      </c>
      <c r="B2593" s="2812"/>
      <c r="C2593" s="2812"/>
      <c r="D2593" s="2812"/>
      <c r="E2593" s="2812"/>
      <c r="F2593" s="2812"/>
      <c r="G2593" s="2812"/>
      <c r="H2593" s="2812"/>
      <c r="I2593" s="2812"/>
      <c r="J2593" s="2812"/>
      <c r="K2593" s="2812"/>
      <c r="L2593" s="2812"/>
      <c r="M2593" s="2812"/>
      <c r="N2593" s="2813"/>
      <c r="EW2593" s="2031"/>
      <c r="EX2593" s="1619" t="s">
        <v>8392</v>
      </c>
      <c r="EY2593" s="1628"/>
      <c r="EZ2593" s="1628"/>
      <c r="FA2593" s="1628"/>
      <c r="FH2593" s="1628"/>
      <c r="FU2593" s="1678"/>
      <c r="FW2593" s="1678"/>
    </row>
    <row r="2594" spans="1:179" s="1484" customFormat="1" ht="56.25" x14ac:dyDescent="0.25">
      <c r="A2594" s="1620" t="s">
        <v>8375</v>
      </c>
      <c r="B2594" s="1863" t="s">
        <v>8146</v>
      </c>
      <c r="C2594" s="2803" t="s">
        <v>8147</v>
      </c>
      <c r="D2594" s="2803"/>
      <c r="E2594" s="2803"/>
      <c r="F2594" s="1621" t="s">
        <v>835</v>
      </c>
      <c r="G2594" s="1622">
        <v>3765.6115199999999</v>
      </c>
      <c r="H2594" s="1623">
        <v>1</v>
      </c>
      <c r="I2594" s="2048">
        <v>3765.6115199999999</v>
      </c>
      <c r="J2594" s="2040">
        <v>23.7</v>
      </c>
      <c r="K2594" s="1622"/>
      <c r="L2594" s="1648">
        <v>89244.99</v>
      </c>
      <c r="M2594" s="1687">
        <v>9.14</v>
      </c>
      <c r="N2594" s="1649">
        <v>815699.21</v>
      </c>
      <c r="EW2594" s="2031"/>
      <c r="EX2594" s="1619"/>
      <c r="EY2594" s="1628" t="s">
        <v>8147</v>
      </c>
      <c r="EZ2594" s="1628" t="s">
        <v>588</v>
      </c>
      <c r="FA2594" s="1628" t="s">
        <v>588</v>
      </c>
      <c r="FH2594" s="1628"/>
      <c r="FU2594" s="1678"/>
      <c r="FW2594" s="1678"/>
    </row>
    <row r="2595" spans="1:179" s="1484" customFormat="1" ht="15" x14ac:dyDescent="0.25">
      <c r="A2595" s="1650"/>
      <c r="B2595" s="1651"/>
      <c r="C2595" s="2805" t="s">
        <v>8722</v>
      </c>
      <c r="D2595" s="2805"/>
      <c r="E2595" s="2805"/>
      <c r="F2595" s="2805"/>
      <c r="G2595" s="2805"/>
      <c r="H2595" s="2805"/>
      <c r="I2595" s="2805"/>
      <c r="J2595" s="2805"/>
      <c r="K2595" s="2805"/>
      <c r="L2595" s="2805"/>
      <c r="M2595" s="2805"/>
      <c r="N2595" s="2806"/>
      <c r="EW2595" s="2031"/>
      <c r="EX2595" s="1619"/>
      <c r="EY2595" s="1628"/>
      <c r="EZ2595" s="1628"/>
      <c r="FA2595" s="1628"/>
      <c r="FH2595" s="1628"/>
      <c r="FI2595" s="1864" t="s">
        <v>8722</v>
      </c>
      <c r="FJ2595" s="1864" t="s">
        <v>588</v>
      </c>
      <c r="FK2595" s="1864" t="s">
        <v>588</v>
      </c>
      <c r="FL2595" s="1864" t="s">
        <v>588</v>
      </c>
      <c r="FM2595" s="1864" t="s">
        <v>588</v>
      </c>
      <c r="FN2595" s="1864" t="s">
        <v>588</v>
      </c>
      <c r="FO2595" s="1864" t="s">
        <v>588</v>
      </c>
      <c r="FP2595" s="1864" t="s">
        <v>588</v>
      </c>
      <c r="FQ2595" s="1864" t="s">
        <v>588</v>
      </c>
      <c r="FR2595" s="1864" t="s">
        <v>588</v>
      </c>
      <c r="FS2595" s="1864" t="s">
        <v>588</v>
      </c>
      <c r="FT2595" s="1864" t="s">
        <v>588</v>
      </c>
      <c r="FU2595" s="1678"/>
      <c r="FW2595" s="1678"/>
    </row>
    <row r="2596" spans="1:179" s="1484" customFormat="1" ht="15" x14ac:dyDescent="0.25">
      <c r="A2596" s="1629"/>
      <c r="B2596" s="1862"/>
      <c r="C2596" s="2805" t="s">
        <v>8766</v>
      </c>
      <c r="D2596" s="2805"/>
      <c r="E2596" s="2805"/>
      <c r="F2596" s="2805"/>
      <c r="G2596" s="2805"/>
      <c r="H2596" s="2805"/>
      <c r="I2596" s="2805"/>
      <c r="J2596" s="2805"/>
      <c r="K2596" s="2805"/>
      <c r="L2596" s="2805"/>
      <c r="M2596" s="2805"/>
      <c r="N2596" s="2806"/>
      <c r="EW2596" s="2031"/>
      <c r="EX2596" s="1619"/>
      <c r="EY2596" s="1628"/>
      <c r="EZ2596" s="1628"/>
      <c r="FA2596" s="1628"/>
      <c r="FB2596" s="1864" t="s">
        <v>8766</v>
      </c>
      <c r="FH2596" s="1628"/>
      <c r="FU2596" s="1678"/>
      <c r="FW2596" s="1678"/>
    </row>
    <row r="2597" spans="1:179" s="1484" customFormat="1" ht="15" x14ac:dyDescent="0.25">
      <c r="A2597" s="1650"/>
      <c r="B2597" s="1651"/>
      <c r="C2597" s="2803" t="s">
        <v>872</v>
      </c>
      <c r="D2597" s="2803"/>
      <c r="E2597" s="2803"/>
      <c r="F2597" s="1621"/>
      <c r="G2597" s="1622"/>
      <c r="H2597" s="1622"/>
      <c r="I2597" s="1622"/>
      <c r="J2597" s="1625"/>
      <c r="K2597" s="1622"/>
      <c r="L2597" s="1648">
        <v>89244.99</v>
      </c>
      <c r="M2597" s="2037"/>
      <c r="N2597" s="1649">
        <v>815699.21</v>
      </c>
      <c r="EW2597" s="2031"/>
      <c r="EX2597" s="1619"/>
      <c r="EY2597" s="1628"/>
      <c r="EZ2597" s="1628"/>
      <c r="FA2597" s="1628"/>
      <c r="FH2597" s="1628" t="s">
        <v>872</v>
      </c>
      <c r="FU2597" s="1678"/>
      <c r="FW2597" s="1678"/>
    </row>
    <row r="2598" spans="1:179" s="1484" customFormat="1" ht="15" x14ac:dyDescent="0.25">
      <c r="A2598" s="2811" t="s">
        <v>8393</v>
      </c>
      <c r="B2598" s="2812"/>
      <c r="C2598" s="2812"/>
      <c r="D2598" s="2812"/>
      <c r="E2598" s="2812"/>
      <c r="F2598" s="2812"/>
      <c r="G2598" s="2812"/>
      <c r="H2598" s="2812"/>
      <c r="I2598" s="2812"/>
      <c r="J2598" s="2812"/>
      <c r="K2598" s="2812"/>
      <c r="L2598" s="2812"/>
      <c r="M2598" s="2812"/>
      <c r="N2598" s="2813"/>
      <c r="EW2598" s="2031"/>
      <c r="EX2598" s="1619" t="s">
        <v>8393</v>
      </c>
      <c r="EY2598" s="1628"/>
      <c r="EZ2598" s="1628"/>
      <c r="FA2598" s="1628"/>
      <c r="FH2598" s="1628"/>
      <c r="FU2598" s="1678"/>
      <c r="FW2598" s="1678"/>
    </row>
    <row r="2599" spans="1:179" s="1484" customFormat="1" ht="56.25" x14ac:dyDescent="0.25">
      <c r="A2599" s="1620" t="s">
        <v>8387</v>
      </c>
      <c r="B2599" s="1863" t="s">
        <v>8146</v>
      </c>
      <c r="C2599" s="2803" t="s">
        <v>8147</v>
      </c>
      <c r="D2599" s="2803"/>
      <c r="E2599" s="2803"/>
      <c r="F2599" s="1621" t="s">
        <v>835</v>
      </c>
      <c r="G2599" s="1622">
        <v>2061.0691200000001</v>
      </c>
      <c r="H2599" s="1623">
        <v>1</v>
      </c>
      <c r="I2599" s="2048">
        <v>2061.0691200000001</v>
      </c>
      <c r="J2599" s="2040">
        <v>23.7</v>
      </c>
      <c r="K2599" s="1622"/>
      <c r="L2599" s="1648">
        <v>48847.34</v>
      </c>
      <c r="M2599" s="1687">
        <v>9.14</v>
      </c>
      <c r="N2599" s="1649">
        <v>446464.69</v>
      </c>
      <c r="EW2599" s="2031"/>
      <c r="EX2599" s="1619"/>
      <c r="EY2599" s="1628" t="s">
        <v>8147</v>
      </c>
      <c r="EZ2599" s="1628" t="s">
        <v>588</v>
      </c>
      <c r="FA2599" s="1628" t="s">
        <v>588</v>
      </c>
      <c r="FH2599" s="1628"/>
      <c r="FU2599" s="1678"/>
      <c r="FW2599" s="1678"/>
    </row>
    <row r="2600" spans="1:179" s="1484" customFormat="1" ht="15" x14ac:dyDescent="0.25">
      <c r="A2600" s="1650"/>
      <c r="B2600" s="1651"/>
      <c r="C2600" s="2805" t="s">
        <v>8722</v>
      </c>
      <c r="D2600" s="2805"/>
      <c r="E2600" s="2805"/>
      <c r="F2600" s="2805"/>
      <c r="G2600" s="2805"/>
      <c r="H2600" s="2805"/>
      <c r="I2600" s="2805"/>
      <c r="J2600" s="2805"/>
      <c r="K2600" s="2805"/>
      <c r="L2600" s="2805"/>
      <c r="M2600" s="2805"/>
      <c r="N2600" s="2806"/>
      <c r="EW2600" s="2031"/>
      <c r="EX2600" s="1619"/>
      <c r="EY2600" s="1628"/>
      <c r="EZ2600" s="1628"/>
      <c r="FA2600" s="1628"/>
      <c r="FH2600" s="1628"/>
      <c r="FI2600" s="1864" t="s">
        <v>8722</v>
      </c>
      <c r="FJ2600" s="1864" t="s">
        <v>588</v>
      </c>
      <c r="FK2600" s="1864" t="s">
        <v>588</v>
      </c>
      <c r="FL2600" s="1864" t="s">
        <v>588</v>
      </c>
      <c r="FM2600" s="1864" t="s">
        <v>588</v>
      </c>
      <c r="FN2600" s="1864" t="s">
        <v>588</v>
      </c>
      <c r="FO2600" s="1864" t="s">
        <v>588</v>
      </c>
      <c r="FP2600" s="1864" t="s">
        <v>588</v>
      </c>
      <c r="FQ2600" s="1864" t="s">
        <v>588</v>
      </c>
      <c r="FR2600" s="1864" t="s">
        <v>588</v>
      </c>
      <c r="FS2600" s="1864" t="s">
        <v>588</v>
      </c>
      <c r="FT2600" s="1864" t="s">
        <v>588</v>
      </c>
      <c r="FU2600" s="1678"/>
      <c r="FW2600" s="1678"/>
    </row>
    <row r="2601" spans="1:179" s="1484" customFormat="1" ht="15" x14ac:dyDescent="0.25">
      <c r="A2601" s="1629"/>
      <c r="B2601" s="1862"/>
      <c r="C2601" s="2805" t="s">
        <v>8765</v>
      </c>
      <c r="D2601" s="2805"/>
      <c r="E2601" s="2805"/>
      <c r="F2601" s="2805"/>
      <c r="G2601" s="2805"/>
      <c r="H2601" s="2805"/>
      <c r="I2601" s="2805"/>
      <c r="J2601" s="2805"/>
      <c r="K2601" s="2805"/>
      <c r="L2601" s="2805"/>
      <c r="M2601" s="2805"/>
      <c r="N2601" s="2806"/>
      <c r="EW2601" s="2031"/>
      <c r="EX2601" s="1619"/>
      <c r="EY2601" s="1628"/>
      <c r="EZ2601" s="1628"/>
      <c r="FA2601" s="1628"/>
      <c r="FB2601" s="1864" t="s">
        <v>8765</v>
      </c>
      <c r="FH2601" s="1628"/>
      <c r="FU2601" s="1678"/>
      <c r="FW2601" s="1678"/>
    </row>
    <row r="2602" spans="1:179" s="1484" customFormat="1" ht="15" x14ac:dyDescent="0.25">
      <c r="A2602" s="1650"/>
      <c r="B2602" s="1651"/>
      <c r="C2602" s="2803" t="s">
        <v>872</v>
      </c>
      <c r="D2602" s="2803"/>
      <c r="E2602" s="2803"/>
      <c r="F2602" s="1621"/>
      <c r="G2602" s="1622"/>
      <c r="H2602" s="1622"/>
      <c r="I2602" s="1622"/>
      <c r="J2602" s="1625"/>
      <c r="K2602" s="1622"/>
      <c r="L2602" s="1648">
        <v>48847.34</v>
      </c>
      <c r="M2602" s="2037"/>
      <c r="N2602" s="1649">
        <v>446464.69</v>
      </c>
      <c r="EW2602" s="2031"/>
      <c r="EX2602" s="1619"/>
      <c r="EY2602" s="1628"/>
      <c r="EZ2602" s="1628"/>
      <c r="FA2602" s="1628"/>
      <c r="FH2602" s="1628" t="s">
        <v>872</v>
      </c>
      <c r="FU2602" s="1678"/>
      <c r="FW2602" s="1678"/>
    </row>
    <row r="2603" spans="1:179" s="1484" customFormat="1" ht="33.75" x14ac:dyDescent="0.25">
      <c r="A2603" s="1620" t="s">
        <v>8394</v>
      </c>
      <c r="B2603" s="1863" t="s">
        <v>8148</v>
      </c>
      <c r="C2603" s="2803" t="s">
        <v>8149</v>
      </c>
      <c r="D2603" s="2803"/>
      <c r="E2603" s="2803"/>
      <c r="F2603" s="1621" t="s">
        <v>2555</v>
      </c>
      <c r="G2603" s="1622">
        <v>0.98799999999999999</v>
      </c>
      <c r="H2603" s="1623">
        <v>1</v>
      </c>
      <c r="I2603" s="2045">
        <v>0.98799999999999999</v>
      </c>
      <c r="J2603" s="1625"/>
      <c r="K2603" s="1622"/>
      <c r="L2603" s="1625"/>
      <c r="M2603" s="1622"/>
      <c r="N2603" s="1627"/>
      <c r="EW2603" s="2031"/>
      <c r="EX2603" s="1619"/>
      <c r="EY2603" s="1628" t="s">
        <v>8149</v>
      </c>
      <c r="EZ2603" s="1628" t="s">
        <v>588</v>
      </c>
      <c r="FA2603" s="1628" t="s">
        <v>588</v>
      </c>
      <c r="FH2603" s="1628"/>
      <c r="FU2603" s="1678"/>
      <c r="FW2603" s="1678"/>
    </row>
    <row r="2604" spans="1:179" s="1484" customFormat="1" ht="15" x14ac:dyDescent="0.25">
      <c r="A2604" s="1629"/>
      <c r="B2604" s="1862"/>
      <c r="C2604" s="2805" t="s">
        <v>8764</v>
      </c>
      <c r="D2604" s="2805"/>
      <c r="E2604" s="2805"/>
      <c r="F2604" s="2805"/>
      <c r="G2604" s="2805"/>
      <c r="H2604" s="2805"/>
      <c r="I2604" s="2805"/>
      <c r="J2604" s="2805"/>
      <c r="K2604" s="2805"/>
      <c r="L2604" s="2805"/>
      <c r="M2604" s="2805"/>
      <c r="N2604" s="2806"/>
      <c r="EW2604" s="2031"/>
      <c r="EX2604" s="1619"/>
      <c r="EY2604" s="1628"/>
      <c r="EZ2604" s="1628"/>
      <c r="FA2604" s="1628"/>
      <c r="FB2604" s="1864" t="s">
        <v>8764</v>
      </c>
      <c r="FH2604" s="1628"/>
      <c r="FU2604" s="1678"/>
      <c r="FW2604" s="1678"/>
    </row>
    <row r="2605" spans="1:179" s="1484" customFormat="1" ht="22.5" x14ac:dyDescent="0.25">
      <c r="A2605" s="1630"/>
      <c r="B2605" s="1631" t="s">
        <v>6062</v>
      </c>
      <c r="C2605" s="2809" t="s">
        <v>6063</v>
      </c>
      <c r="D2605" s="2809"/>
      <c r="E2605" s="2809"/>
      <c r="F2605" s="2809"/>
      <c r="G2605" s="2809"/>
      <c r="H2605" s="2809"/>
      <c r="I2605" s="2809"/>
      <c r="J2605" s="2809"/>
      <c r="K2605" s="2809"/>
      <c r="L2605" s="2809"/>
      <c r="M2605" s="2809"/>
      <c r="N2605" s="2810"/>
      <c r="EW2605" s="2031"/>
      <c r="EX2605" s="1619"/>
      <c r="EY2605" s="1628"/>
      <c r="EZ2605" s="1628"/>
      <c r="FA2605" s="1628"/>
      <c r="FC2605" s="1864" t="s">
        <v>6063</v>
      </c>
      <c r="FH2605" s="1628"/>
      <c r="FU2605" s="1678"/>
      <c r="FW2605" s="1678"/>
    </row>
    <row r="2606" spans="1:179" s="1484" customFormat="1" ht="22.5" x14ac:dyDescent="0.25">
      <c r="A2606" s="2033"/>
      <c r="B2606" s="1631" t="s">
        <v>3260</v>
      </c>
      <c r="C2606" s="2805" t="s">
        <v>8636</v>
      </c>
      <c r="D2606" s="2805"/>
      <c r="E2606" s="2805"/>
      <c r="F2606" s="1683" t="s">
        <v>807</v>
      </c>
      <c r="G2606" s="1655">
        <v>3.69</v>
      </c>
      <c r="H2606" s="1641"/>
      <c r="I2606" s="2042">
        <v>3.6457199999999998</v>
      </c>
      <c r="J2606" s="1654">
        <v>9.18</v>
      </c>
      <c r="K2606" s="1655">
        <v>1.25</v>
      </c>
      <c r="L2606" s="1654">
        <v>41.83</v>
      </c>
      <c r="M2606" s="1641"/>
      <c r="N2606" s="1681"/>
      <c r="EW2606" s="2031"/>
      <c r="EX2606" s="1619"/>
      <c r="EY2606" s="1628"/>
      <c r="EZ2606" s="1628"/>
      <c r="FA2606" s="1628"/>
      <c r="FD2606" s="1864" t="s">
        <v>8636</v>
      </c>
      <c r="FH2606" s="1628"/>
      <c r="FU2606" s="1678"/>
      <c r="FW2606" s="1678"/>
    </row>
    <row r="2607" spans="1:179" s="1484" customFormat="1" ht="22.5" x14ac:dyDescent="0.25">
      <c r="A2607" s="2033"/>
      <c r="B2607" s="1631" t="s">
        <v>5008</v>
      </c>
      <c r="C2607" s="2805" t="s">
        <v>5009</v>
      </c>
      <c r="D2607" s="2805"/>
      <c r="E2607" s="2805"/>
      <c r="F2607" s="1683" t="s">
        <v>4994</v>
      </c>
      <c r="G2607" s="1655">
        <v>0.01</v>
      </c>
      <c r="H2607" s="1641"/>
      <c r="I2607" s="2042">
        <v>9.8799999999999999E-3</v>
      </c>
      <c r="J2607" s="1654">
        <v>27.66</v>
      </c>
      <c r="K2607" s="1641"/>
      <c r="L2607" s="1654">
        <v>0.27</v>
      </c>
      <c r="M2607" s="1641"/>
      <c r="N2607" s="1681"/>
      <c r="EW2607" s="2031"/>
      <c r="EX2607" s="1619"/>
      <c r="EY2607" s="1628"/>
      <c r="EZ2607" s="1628"/>
      <c r="FA2607" s="1628"/>
      <c r="FD2607" s="1864" t="s">
        <v>5009</v>
      </c>
      <c r="FH2607" s="1628"/>
      <c r="FU2607" s="1678"/>
      <c r="FW2607" s="1678"/>
    </row>
    <row r="2608" spans="1:179" s="1484" customFormat="1" ht="15" x14ac:dyDescent="0.25">
      <c r="A2608" s="2033"/>
      <c r="B2608" s="1631" t="s">
        <v>821</v>
      </c>
      <c r="C2608" s="2805" t="s">
        <v>822</v>
      </c>
      <c r="D2608" s="2805"/>
      <c r="E2608" s="2805"/>
      <c r="F2608" s="1683" t="s">
        <v>4994</v>
      </c>
      <c r="G2608" s="1655">
        <v>0.04</v>
      </c>
      <c r="H2608" s="1641"/>
      <c r="I2608" s="2042">
        <v>3.952E-2</v>
      </c>
      <c r="J2608" s="1654">
        <v>65.709999999999994</v>
      </c>
      <c r="K2608" s="1641"/>
      <c r="L2608" s="1654">
        <v>2.6</v>
      </c>
      <c r="M2608" s="1641"/>
      <c r="N2608" s="1681"/>
      <c r="EW2608" s="2031"/>
      <c r="EX2608" s="1619"/>
      <c r="EY2608" s="1628"/>
      <c r="EZ2608" s="1628"/>
      <c r="FA2608" s="1628"/>
      <c r="FD2608" s="1864" t="s">
        <v>822</v>
      </c>
      <c r="FH2608" s="1628"/>
      <c r="FU2608" s="1678"/>
      <c r="FW2608" s="1678"/>
    </row>
    <row r="2609" spans="1:179" s="1484" customFormat="1" ht="33.75" x14ac:dyDescent="0.25">
      <c r="A2609" s="2033"/>
      <c r="B2609" s="1631" t="s">
        <v>5029</v>
      </c>
      <c r="C2609" s="2805" t="s">
        <v>5030</v>
      </c>
      <c r="D2609" s="2805"/>
      <c r="E2609" s="2805"/>
      <c r="F2609" s="1683" t="s">
        <v>4994</v>
      </c>
      <c r="G2609" s="1655">
        <v>2.82</v>
      </c>
      <c r="H2609" s="1641"/>
      <c r="I2609" s="2042">
        <v>2.7861600000000002</v>
      </c>
      <c r="J2609" s="1654">
        <v>6.82</v>
      </c>
      <c r="K2609" s="1641"/>
      <c r="L2609" s="1654">
        <v>19</v>
      </c>
      <c r="M2609" s="1641"/>
      <c r="N2609" s="1681"/>
      <c r="EW2609" s="2031"/>
      <c r="EX2609" s="1619"/>
      <c r="EY2609" s="1628"/>
      <c r="EZ2609" s="1628"/>
      <c r="FA2609" s="1628"/>
      <c r="FD2609" s="1864" t="s">
        <v>5030</v>
      </c>
      <c r="FH2609" s="1628"/>
      <c r="FU2609" s="1678"/>
      <c r="FW2609" s="1678"/>
    </row>
    <row r="2610" spans="1:179" s="1484" customFormat="1" ht="15" x14ac:dyDescent="0.25">
      <c r="A2610" s="2033"/>
      <c r="B2610" s="1631" t="s">
        <v>1755</v>
      </c>
      <c r="C2610" s="2805" t="s">
        <v>2634</v>
      </c>
      <c r="D2610" s="2805"/>
      <c r="E2610" s="2805"/>
      <c r="F2610" s="1683" t="s">
        <v>832</v>
      </c>
      <c r="G2610" s="1655">
        <v>0.01</v>
      </c>
      <c r="H2610" s="1641"/>
      <c r="I2610" s="2042">
        <v>9.8799999999999999E-3</v>
      </c>
      <c r="J2610" s="1654">
        <v>2.44</v>
      </c>
      <c r="K2610" s="1641"/>
      <c r="L2610" s="1654">
        <v>0.02</v>
      </c>
      <c r="M2610" s="1641"/>
      <c r="N2610" s="1681"/>
      <c r="EW2610" s="2031"/>
      <c r="EX2610" s="1619"/>
      <c r="EY2610" s="1628"/>
      <c r="EZ2610" s="1628"/>
      <c r="FA2610" s="1628"/>
      <c r="FD2610" s="1864" t="s">
        <v>2634</v>
      </c>
      <c r="FH2610" s="1628"/>
      <c r="FU2610" s="1678"/>
      <c r="FW2610" s="1678"/>
    </row>
    <row r="2611" spans="1:179" s="1484" customFormat="1" ht="15" x14ac:dyDescent="0.25">
      <c r="A2611" s="2033"/>
      <c r="B2611" s="1631" t="s">
        <v>4922</v>
      </c>
      <c r="C2611" s="2805" t="s">
        <v>8707</v>
      </c>
      <c r="D2611" s="2805"/>
      <c r="E2611" s="2805"/>
      <c r="F2611" s="1683" t="s">
        <v>835</v>
      </c>
      <c r="G2611" s="2034">
        <v>1</v>
      </c>
      <c r="H2611" s="1641"/>
      <c r="I2611" s="2046">
        <v>0.98799999999999999</v>
      </c>
      <c r="J2611" s="1654">
        <v>1.82</v>
      </c>
      <c r="K2611" s="1641"/>
      <c r="L2611" s="1654">
        <v>1.8</v>
      </c>
      <c r="M2611" s="1641"/>
      <c r="N2611" s="1681"/>
      <c r="EW2611" s="2031"/>
      <c r="EX2611" s="1619"/>
      <c r="EY2611" s="1628"/>
      <c r="EZ2611" s="1628"/>
      <c r="FA2611" s="1628"/>
      <c r="FD2611" s="1864" t="s">
        <v>8707</v>
      </c>
      <c r="FH2611" s="1628"/>
      <c r="FU2611" s="1678"/>
      <c r="FW2611" s="1678"/>
    </row>
    <row r="2612" spans="1:179" s="1484" customFormat="1" ht="15" x14ac:dyDescent="0.25">
      <c r="A2612" s="2032"/>
      <c r="B2612" s="1631" t="s">
        <v>190</v>
      </c>
      <c r="C2612" s="2805" t="s">
        <v>2523</v>
      </c>
      <c r="D2612" s="2805"/>
      <c r="E2612" s="2805"/>
      <c r="F2612" s="1683"/>
      <c r="G2612" s="1641"/>
      <c r="H2612" s="1641"/>
      <c r="I2612" s="1641"/>
      <c r="J2612" s="1654">
        <v>33.869999999999997</v>
      </c>
      <c r="K2612" s="1655">
        <v>1.25</v>
      </c>
      <c r="L2612" s="1654">
        <v>41.83</v>
      </c>
      <c r="M2612" s="1655">
        <v>35.75</v>
      </c>
      <c r="N2612" s="1679">
        <v>1495.42</v>
      </c>
      <c r="EW2612" s="2031"/>
      <c r="EX2612" s="1619"/>
      <c r="EY2612" s="1628"/>
      <c r="EZ2612" s="1628"/>
      <c r="FA2612" s="1628"/>
      <c r="FE2612" s="1864" t="s">
        <v>2523</v>
      </c>
      <c r="FH2612" s="1628"/>
      <c r="FU2612" s="1678"/>
      <c r="FW2612" s="1678"/>
    </row>
    <row r="2613" spans="1:179" s="1484" customFormat="1" ht="15" x14ac:dyDescent="0.25">
      <c r="A2613" s="2032"/>
      <c r="B2613" s="1631" t="s">
        <v>639</v>
      </c>
      <c r="C2613" s="2805" t="s">
        <v>697</v>
      </c>
      <c r="D2613" s="2805"/>
      <c r="E2613" s="2805"/>
      <c r="F2613" s="1683"/>
      <c r="G2613" s="1641"/>
      <c r="H2613" s="1641"/>
      <c r="I2613" s="1641"/>
      <c r="J2613" s="1654">
        <v>22.14</v>
      </c>
      <c r="K2613" s="1641"/>
      <c r="L2613" s="1654">
        <v>21.87</v>
      </c>
      <c r="M2613" s="1655">
        <v>11.97</v>
      </c>
      <c r="N2613" s="2039">
        <v>261.77999999999997</v>
      </c>
      <c r="EW2613" s="2031"/>
      <c r="EX2613" s="1619"/>
      <c r="EY2613" s="1628"/>
      <c r="EZ2613" s="1628"/>
      <c r="FA2613" s="1628"/>
      <c r="FE2613" s="1864" t="s">
        <v>697</v>
      </c>
      <c r="FH2613" s="1628"/>
      <c r="FU2613" s="1678"/>
      <c r="FW2613" s="1678"/>
    </row>
    <row r="2614" spans="1:179" s="1484" customFormat="1" ht="15" x14ac:dyDescent="0.25">
      <c r="A2614" s="2032"/>
      <c r="B2614" s="1631" t="s">
        <v>640</v>
      </c>
      <c r="C2614" s="2805" t="s">
        <v>2500</v>
      </c>
      <c r="D2614" s="2805"/>
      <c r="E2614" s="2805"/>
      <c r="F2614" s="1683"/>
      <c r="G2614" s="1641"/>
      <c r="H2614" s="1641"/>
      <c r="I2614" s="1641"/>
      <c r="J2614" s="1654">
        <v>0.57999999999999996</v>
      </c>
      <c r="K2614" s="1641"/>
      <c r="L2614" s="1654">
        <v>0.56999999999999995</v>
      </c>
      <c r="M2614" s="1655">
        <v>35.75</v>
      </c>
      <c r="N2614" s="2039">
        <v>20.38</v>
      </c>
      <c r="EW2614" s="2031"/>
      <c r="EX2614" s="1619"/>
      <c r="EY2614" s="1628"/>
      <c r="EZ2614" s="1628"/>
      <c r="FA2614" s="1628"/>
      <c r="FE2614" s="1864" t="s">
        <v>2500</v>
      </c>
      <c r="FH2614" s="1628"/>
      <c r="FU2614" s="1678"/>
      <c r="FW2614" s="1678"/>
    </row>
    <row r="2615" spans="1:179" s="1484" customFormat="1" ht="15" x14ac:dyDescent="0.25">
      <c r="A2615" s="2032"/>
      <c r="B2615" s="1631" t="s">
        <v>232</v>
      </c>
      <c r="C2615" s="2805" t="s">
        <v>829</v>
      </c>
      <c r="D2615" s="2805"/>
      <c r="E2615" s="2805"/>
      <c r="F2615" s="1683"/>
      <c r="G2615" s="1641"/>
      <c r="H2615" s="1641"/>
      <c r="I2615" s="1641"/>
      <c r="J2615" s="1654">
        <v>1.84</v>
      </c>
      <c r="K2615" s="1641"/>
      <c r="L2615" s="1654">
        <v>1.82</v>
      </c>
      <c r="M2615" s="1655">
        <v>9.14</v>
      </c>
      <c r="N2615" s="2039">
        <v>16.63</v>
      </c>
      <c r="EW2615" s="2031"/>
      <c r="EX2615" s="1619"/>
      <c r="EY2615" s="1628"/>
      <c r="EZ2615" s="1628"/>
      <c r="FA2615" s="1628"/>
      <c r="FE2615" s="1864" t="s">
        <v>829</v>
      </c>
      <c r="FH2615" s="1628"/>
      <c r="FU2615" s="1678"/>
      <c r="FW2615" s="1678"/>
    </row>
    <row r="2616" spans="1:179" s="1484" customFormat="1" ht="15" x14ac:dyDescent="0.25">
      <c r="A2616" s="2033"/>
      <c r="B2616" s="1631"/>
      <c r="C2616" s="2805" t="s">
        <v>2524</v>
      </c>
      <c r="D2616" s="2805"/>
      <c r="E2616" s="2805"/>
      <c r="F2616" s="1683" t="s">
        <v>807</v>
      </c>
      <c r="G2616" s="1655">
        <v>3.69</v>
      </c>
      <c r="H2616" s="1641"/>
      <c r="I2616" s="2042">
        <v>3.6457199999999998</v>
      </c>
      <c r="J2616" s="1640"/>
      <c r="K2616" s="1641"/>
      <c r="L2616" s="1640"/>
      <c r="M2616" s="1641"/>
      <c r="N2616" s="1681"/>
      <c r="EW2616" s="2031"/>
      <c r="EX2616" s="1619"/>
      <c r="EY2616" s="1628"/>
      <c r="EZ2616" s="1628"/>
      <c r="FA2616" s="1628"/>
      <c r="FF2616" s="1864" t="s">
        <v>2524</v>
      </c>
      <c r="FH2616" s="1628"/>
      <c r="FU2616" s="1678"/>
      <c r="FW2616" s="1678"/>
    </row>
    <row r="2617" spans="1:179" s="1484" customFormat="1" ht="15" x14ac:dyDescent="0.25">
      <c r="A2617" s="2033"/>
      <c r="B2617" s="1631"/>
      <c r="C2617" s="2805" t="s">
        <v>2501</v>
      </c>
      <c r="D2617" s="2805"/>
      <c r="E2617" s="2805"/>
      <c r="F2617" s="1683" t="s">
        <v>807</v>
      </c>
      <c r="G2617" s="1655">
        <v>0.05</v>
      </c>
      <c r="H2617" s="1641"/>
      <c r="I2617" s="2035">
        <v>4.9399999999999999E-2</v>
      </c>
      <c r="J2617" s="1640"/>
      <c r="K2617" s="1641"/>
      <c r="L2617" s="1640"/>
      <c r="M2617" s="1641"/>
      <c r="N2617" s="1681"/>
      <c r="EW2617" s="2031"/>
      <c r="EX2617" s="1619"/>
      <c r="EY2617" s="1628"/>
      <c r="EZ2617" s="1628"/>
      <c r="FA2617" s="1628"/>
      <c r="FF2617" s="1864" t="s">
        <v>2501</v>
      </c>
      <c r="FH2617" s="1628"/>
      <c r="FU2617" s="1678"/>
      <c r="FW2617" s="1678"/>
    </row>
    <row r="2618" spans="1:179" s="1484" customFormat="1" ht="15" x14ac:dyDescent="0.25">
      <c r="A2618" s="2032"/>
      <c r="B2618" s="1631"/>
      <c r="C2618" s="2917" t="s">
        <v>2502</v>
      </c>
      <c r="D2618" s="2917"/>
      <c r="E2618" s="2917"/>
      <c r="F2618" s="2036"/>
      <c r="G2618" s="2037"/>
      <c r="H2618" s="2037"/>
      <c r="I2618" s="2037"/>
      <c r="J2618" s="2044">
        <v>57.85</v>
      </c>
      <c r="K2618" s="2037"/>
      <c r="L2618" s="2044">
        <v>65.52</v>
      </c>
      <c r="M2618" s="2037"/>
      <c r="N2618" s="2068">
        <v>1773.83</v>
      </c>
      <c r="EW2618" s="2031"/>
      <c r="EX2618" s="1619"/>
      <c r="EY2618" s="1628"/>
      <c r="EZ2618" s="1628"/>
      <c r="FA2618" s="1628"/>
      <c r="FG2618" s="1864" t="s">
        <v>2502</v>
      </c>
      <c r="FH2618" s="1628"/>
      <c r="FU2618" s="1678"/>
      <c r="FW2618" s="1678"/>
    </row>
    <row r="2619" spans="1:179" s="1484" customFormat="1" ht="15" x14ac:dyDescent="0.25">
      <c r="A2619" s="2033" t="s">
        <v>8395</v>
      </c>
      <c r="B2619" s="1631"/>
      <c r="C2619" s="2805" t="s">
        <v>7964</v>
      </c>
      <c r="D2619" s="2805"/>
      <c r="E2619" s="2805"/>
      <c r="F2619" s="1683" t="s">
        <v>5928</v>
      </c>
      <c r="G2619" s="1641"/>
      <c r="H2619" s="1641"/>
      <c r="I2619" s="1641"/>
      <c r="J2619" s="1640"/>
      <c r="K2619" s="1641"/>
      <c r="L2619" s="1654">
        <v>0.14000000000000001</v>
      </c>
      <c r="M2619" s="1641"/>
      <c r="N2619" s="2039">
        <v>5.01</v>
      </c>
      <c r="EW2619" s="2031"/>
      <c r="EX2619" s="1619"/>
      <c r="EY2619" s="1628"/>
      <c r="EZ2619" s="1628"/>
      <c r="FA2619" s="1628"/>
      <c r="FF2619" s="1864" t="s">
        <v>7964</v>
      </c>
      <c r="FH2619" s="1628"/>
      <c r="FU2619" s="1678"/>
      <c r="FW2619" s="1678"/>
    </row>
    <row r="2620" spans="1:179" s="1484" customFormat="1" ht="15" x14ac:dyDescent="0.25">
      <c r="A2620" s="2033"/>
      <c r="B2620" s="1631"/>
      <c r="C2620" s="2805" t="s">
        <v>7965</v>
      </c>
      <c r="D2620" s="2805"/>
      <c r="E2620" s="2805"/>
      <c r="F2620" s="1683" t="s">
        <v>5928</v>
      </c>
      <c r="G2620" s="1641"/>
      <c r="H2620" s="1641"/>
      <c r="I2620" s="1641"/>
      <c r="J2620" s="1654">
        <v>0.57999999999999996</v>
      </c>
      <c r="K2620" s="1655">
        <v>0.25</v>
      </c>
      <c r="L2620" s="1654">
        <v>0.14000000000000001</v>
      </c>
      <c r="M2620" s="1655">
        <v>35.75</v>
      </c>
      <c r="N2620" s="2039">
        <v>5.01</v>
      </c>
      <c r="EW2620" s="2031"/>
      <c r="EX2620" s="1619"/>
      <c r="EY2620" s="1628"/>
      <c r="EZ2620" s="1628"/>
      <c r="FA2620" s="1628"/>
      <c r="FF2620" s="1864" t="s">
        <v>7965</v>
      </c>
      <c r="FH2620" s="1628"/>
      <c r="FU2620" s="1678"/>
      <c r="FW2620" s="1678"/>
    </row>
    <row r="2621" spans="1:179" s="1484" customFormat="1" ht="15" x14ac:dyDescent="0.25">
      <c r="A2621" s="2033"/>
      <c r="B2621" s="1631"/>
      <c r="C2621" s="2805" t="s">
        <v>867</v>
      </c>
      <c r="D2621" s="2805"/>
      <c r="E2621" s="2805"/>
      <c r="F2621" s="1683"/>
      <c r="G2621" s="1641"/>
      <c r="H2621" s="1641"/>
      <c r="I2621" s="1641"/>
      <c r="J2621" s="1640"/>
      <c r="K2621" s="1641"/>
      <c r="L2621" s="1654">
        <v>42.54</v>
      </c>
      <c r="M2621" s="1641"/>
      <c r="N2621" s="1679">
        <v>1520.81</v>
      </c>
      <c r="EW2621" s="2031"/>
      <c r="EX2621" s="1619"/>
      <c r="EY2621" s="1628"/>
      <c r="EZ2621" s="1628"/>
      <c r="FA2621" s="1628"/>
      <c r="FF2621" s="1864" t="s">
        <v>867</v>
      </c>
      <c r="FH2621" s="1628"/>
      <c r="FU2621" s="1678"/>
      <c r="FW2621" s="1678"/>
    </row>
    <row r="2622" spans="1:179" s="1484" customFormat="1" ht="15" x14ac:dyDescent="0.25">
      <c r="A2622" s="2033"/>
      <c r="B2622" s="1631" t="s">
        <v>7966</v>
      </c>
      <c r="C2622" s="2805" t="s">
        <v>7967</v>
      </c>
      <c r="D2622" s="2805"/>
      <c r="E2622" s="2805"/>
      <c r="F2622" s="1683" t="s">
        <v>636</v>
      </c>
      <c r="G2622" s="2034">
        <v>100</v>
      </c>
      <c r="H2622" s="1641"/>
      <c r="I2622" s="2034">
        <v>100</v>
      </c>
      <c r="J2622" s="1640"/>
      <c r="K2622" s="1641"/>
      <c r="L2622" s="1654">
        <v>42.54</v>
      </c>
      <c r="M2622" s="1641"/>
      <c r="N2622" s="1679">
        <v>1520.81</v>
      </c>
      <c r="EW2622" s="2031"/>
      <c r="EX2622" s="1619"/>
      <c r="EY2622" s="1628"/>
      <c r="EZ2622" s="1628"/>
      <c r="FA2622" s="1628"/>
      <c r="FF2622" s="1864" t="s">
        <v>7967</v>
      </c>
      <c r="FH2622" s="1628"/>
      <c r="FU2622" s="1678"/>
      <c r="FW2622" s="1678"/>
    </row>
    <row r="2623" spans="1:179" s="1484" customFormat="1" ht="15" x14ac:dyDescent="0.25">
      <c r="A2623" s="2033"/>
      <c r="B2623" s="1631" t="s">
        <v>7968</v>
      </c>
      <c r="C2623" s="2805" t="s">
        <v>7969</v>
      </c>
      <c r="D2623" s="2805"/>
      <c r="E2623" s="2805"/>
      <c r="F2623" s="1683" t="s">
        <v>636</v>
      </c>
      <c r="G2623" s="2034">
        <v>49</v>
      </c>
      <c r="H2623" s="1641"/>
      <c r="I2623" s="2034">
        <v>49</v>
      </c>
      <c r="J2623" s="1640"/>
      <c r="K2623" s="1641"/>
      <c r="L2623" s="1654">
        <v>20.84</v>
      </c>
      <c r="M2623" s="1641"/>
      <c r="N2623" s="2039">
        <v>745.2</v>
      </c>
      <c r="EW2623" s="2031"/>
      <c r="EX2623" s="1619"/>
      <c r="EY2623" s="1628"/>
      <c r="EZ2623" s="1628"/>
      <c r="FA2623" s="1628"/>
      <c r="FF2623" s="1864" t="s">
        <v>7969</v>
      </c>
      <c r="FH2623" s="1628"/>
      <c r="FU2623" s="1678"/>
      <c r="FW2623" s="1678"/>
    </row>
    <row r="2624" spans="1:179" s="1484" customFormat="1" ht="15" x14ac:dyDescent="0.25">
      <c r="A2624" s="1650"/>
      <c r="B2624" s="1651"/>
      <c r="C2624" s="2803" t="s">
        <v>872</v>
      </c>
      <c r="D2624" s="2803"/>
      <c r="E2624" s="2803"/>
      <c r="F2624" s="1621"/>
      <c r="G2624" s="1622"/>
      <c r="H2624" s="1622"/>
      <c r="I2624" s="1622"/>
      <c r="J2624" s="1625"/>
      <c r="K2624" s="1622"/>
      <c r="L2624" s="2040">
        <v>129.04</v>
      </c>
      <c r="M2624" s="2037"/>
      <c r="N2624" s="1649">
        <v>4044.85</v>
      </c>
      <c r="EW2624" s="2031"/>
      <c r="EX2624" s="1619"/>
      <c r="EY2624" s="1628"/>
      <c r="EZ2624" s="1628"/>
      <c r="FA2624" s="1628"/>
      <c r="FH2624" s="1628" t="s">
        <v>872</v>
      </c>
      <c r="FU2624" s="1678"/>
      <c r="FW2624" s="1678"/>
    </row>
    <row r="2625" spans="1:179" s="1484" customFormat="1" ht="33.75" x14ac:dyDescent="0.25">
      <c r="A2625" s="1620" t="s">
        <v>8396</v>
      </c>
      <c r="B2625" s="1863" t="s">
        <v>8062</v>
      </c>
      <c r="C2625" s="2803" t="s">
        <v>4978</v>
      </c>
      <c r="D2625" s="2803"/>
      <c r="E2625" s="2803"/>
      <c r="F2625" s="1621" t="s">
        <v>835</v>
      </c>
      <c r="G2625" s="1622">
        <v>13.634399999999999</v>
      </c>
      <c r="H2625" s="1623">
        <v>1</v>
      </c>
      <c r="I2625" s="2041">
        <v>13.634399999999999</v>
      </c>
      <c r="J2625" s="2040">
        <v>13.08</v>
      </c>
      <c r="K2625" s="1622"/>
      <c r="L2625" s="2040">
        <v>178.34</v>
      </c>
      <c r="M2625" s="1687">
        <v>9.14</v>
      </c>
      <c r="N2625" s="1649">
        <v>1630.03</v>
      </c>
      <c r="EW2625" s="2031"/>
      <c r="EX2625" s="1619"/>
      <c r="EY2625" s="1628" t="s">
        <v>4978</v>
      </c>
      <c r="EZ2625" s="1628" t="s">
        <v>588</v>
      </c>
      <c r="FA2625" s="1628" t="s">
        <v>588</v>
      </c>
      <c r="FH2625" s="1628"/>
      <c r="FU2625" s="1678"/>
      <c r="FW2625" s="1678"/>
    </row>
    <row r="2626" spans="1:179" s="1484" customFormat="1" ht="15" x14ac:dyDescent="0.25">
      <c r="A2626" s="1650"/>
      <c r="B2626" s="1651"/>
      <c r="C2626" s="2805" t="s">
        <v>8689</v>
      </c>
      <c r="D2626" s="2805"/>
      <c r="E2626" s="2805"/>
      <c r="F2626" s="2805"/>
      <c r="G2626" s="2805"/>
      <c r="H2626" s="2805"/>
      <c r="I2626" s="2805"/>
      <c r="J2626" s="2805"/>
      <c r="K2626" s="2805"/>
      <c r="L2626" s="2805"/>
      <c r="M2626" s="2805"/>
      <c r="N2626" s="2806"/>
      <c r="EW2626" s="2031"/>
      <c r="EX2626" s="1619"/>
      <c r="EY2626" s="1628"/>
      <c r="EZ2626" s="1628"/>
      <c r="FA2626" s="1628"/>
      <c r="FH2626" s="1628"/>
      <c r="FI2626" s="1864" t="s">
        <v>8689</v>
      </c>
      <c r="FJ2626" s="1864" t="s">
        <v>588</v>
      </c>
      <c r="FK2626" s="1864" t="s">
        <v>588</v>
      </c>
      <c r="FL2626" s="1864" t="s">
        <v>588</v>
      </c>
      <c r="FM2626" s="1864" t="s">
        <v>588</v>
      </c>
      <c r="FN2626" s="1864" t="s">
        <v>588</v>
      </c>
      <c r="FO2626" s="1864" t="s">
        <v>588</v>
      </c>
      <c r="FP2626" s="1864" t="s">
        <v>588</v>
      </c>
      <c r="FQ2626" s="1864" t="s">
        <v>588</v>
      </c>
      <c r="FR2626" s="1864" t="s">
        <v>588</v>
      </c>
      <c r="FS2626" s="1864" t="s">
        <v>588</v>
      </c>
      <c r="FT2626" s="1864" t="s">
        <v>588</v>
      </c>
      <c r="FU2626" s="1678"/>
      <c r="FW2626" s="1678"/>
    </row>
    <row r="2627" spans="1:179" s="1484" customFormat="1" ht="15" x14ac:dyDescent="0.25">
      <c r="A2627" s="1650"/>
      <c r="B2627" s="1651"/>
      <c r="C2627" s="2803" t="s">
        <v>872</v>
      </c>
      <c r="D2627" s="2803"/>
      <c r="E2627" s="2803"/>
      <c r="F2627" s="1621"/>
      <c r="G2627" s="1622"/>
      <c r="H2627" s="1622"/>
      <c r="I2627" s="1622"/>
      <c r="J2627" s="1625"/>
      <c r="K2627" s="1622"/>
      <c r="L2627" s="2040">
        <v>178.34</v>
      </c>
      <c r="M2627" s="2037"/>
      <c r="N2627" s="1649">
        <v>1630.03</v>
      </c>
      <c r="EW2627" s="2031"/>
      <c r="EX2627" s="1619"/>
      <c r="EY2627" s="1628"/>
      <c r="EZ2627" s="1628"/>
      <c r="FA2627" s="1628"/>
      <c r="FH2627" s="1628" t="s">
        <v>872</v>
      </c>
      <c r="FU2627" s="1678"/>
      <c r="FW2627" s="1678"/>
    </row>
    <row r="2628" spans="1:179" s="1484" customFormat="1" ht="15" x14ac:dyDescent="0.25">
      <c r="A2628" s="2811" t="s">
        <v>8397</v>
      </c>
      <c r="B2628" s="2812"/>
      <c r="C2628" s="2812"/>
      <c r="D2628" s="2812"/>
      <c r="E2628" s="2812"/>
      <c r="F2628" s="2812"/>
      <c r="G2628" s="2812"/>
      <c r="H2628" s="2812"/>
      <c r="I2628" s="2812"/>
      <c r="J2628" s="2812"/>
      <c r="K2628" s="2812"/>
      <c r="L2628" s="2812"/>
      <c r="M2628" s="2812"/>
      <c r="N2628" s="2813"/>
      <c r="EW2628" s="2031"/>
      <c r="EX2628" s="1619" t="s">
        <v>8397</v>
      </c>
      <c r="EY2628" s="1628"/>
      <c r="EZ2628" s="1628"/>
      <c r="FA2628" s="1628"/>
      <c r="FH2628" s="1628"/>
      <c r="FU2628" s="1678"/>
      <c r="FW2628" s="1678"/>
    </row>
    <row r="2629" spans="1:179" s="1484" customFormat="1" ht="22.5" x14ac:dyDescent="0.25">
      <c r="A2629" s="1620" t="s">
        <v>8398</v>
      </c>
      <c r="B2629" s="1863" t="s">
        <v>8137</v>
      </c>
      <c r="C2629" s="2803" t="s">
        <v>8138</v>
      </c>
      <c r="D2629" s="2803"/>
      <c r="E2629" s="2803"/>
      <c r="F2629" s="1621" t="s">
        <v>2555</v>
      </c>
      <c r="G2629" s="1622">
        <v>0.26700000000000002</v>
      </c>
      <c r="H2629" s="1623">
        <v>1</v>
      </c>
      <c r="I2629" s="2045">
        <v>0.26700000000000002</v>
      </c>
      <c r="J2629" s="1625"/>
      <c r="K2629" s="1622"/>
      <c r="L2629" s="1625"/>
      <c r="M2629" s="1622"/>
      <c r="N2629" s="1627"/>
      <c r="EW2629" s="2031"/>
      <c r="EX2629" s="1619"/>
      <c r="EY2629" s="1628" t="s">
        <v>8138</v>
      </c>
      <c r="EZ2629" s="1628" t="s">
        <v>588</v>
      </c>
      <c r="FA2629" s="1628" t="s">
        <v>588</v>
      </c>
      <c r="FH2629" s="1628"/>
      <c r="FU2629" s="1678"/>
      <c r="FW2629" s="1678"/>
    </row>
    <row r="2630" spans="1:179" s="1484" customFormat="1" ht="15" x14ac:dyDescent="0.25">
      <c r="A2630" s="1629"/>
      <c r="B2630" s="1862"/>
      <c r="C2630" s="2805" t="s">
        <v>8753</v>
      </c>
      <c r="D2630" s="2805"/>
      <c r="E2630" s="2805"/>
      <c r="F2630" s="2805"/>
      <c r="G2630" s="2805"/>
      <c r="H2630" s="2805"/>
      <c r="I2630" s="2805"/>
      <c r="J2630" s="2805"/>
      <c r="K2630" s="2805"/>
      <c r="L2630" s="2805"/>
      <c r="M2630" s="2805"/>
      <c r="N2630" s="2806"/>
      <c r="EW2630" s="2031"/>
      <c r="EX2630" s="1619"/>
      <c r="EY2630" s="1628"/>
      <c r="EZ2630" s="1628"/>
      <c r="FA2630" s="1628"/>
      <c r="FB2630" s="1864" t="s">
        <v>8753</v>
      </c>
      <c r="FH2630" s="1628"/>
      <c r="FU2630" s="1678"/>
      <c r="FW2630" s="1678"/>
    </row>
    <row r="2631" spans="1:179" s="1484" customFormat="1" ht="22.5" x14ac:dyDescent="0.25">
      <c r="A2631" s="1630"/>
      <c r="B2631" s="1631" t="s">
        <v>6062</v>
      </c>
      <c r="C2631" s="2809" t="s">
        <v>6063</v>
      </c>
      <c r="D2631" s="2809"/>
      <c r="E2631" s="2809"/>
      <c r="F2631" s="2809"/>
      <c r="G2631" s="2809"/>
      <c r="H2631" s="2809"/>
      <c r="I2631" s="2809"/>
      <c r="J2631" s="2809"/>
      <c r="K2631" s="2809"/>
      <c r="L2631" s="2809"/>
      <c r="M2631" s="2809"/>
      <c r="N2631" s="2810"/>
      <c r="EW2631" s="2031"/>
      <c r="EX2631" s="1619"/>
      <c r="EY2631" s="1628"/>
      <c r="EZ2631" s="1628"/>
      <c r="FA2631" s="1628"/>
      <c r="FC2631" s="1864" t="s">
        <v>6063</v>
      </c>
      <c r="FH2631" s="1628"/>
      <c r="FU2631" s="1678"/>
      <c r="FW2631" s="1678"/>
    </row>
    <row r="2632" spans="1:179" s="1484" customFormat="1" ht="22.5" x14ac:dyDescent="0.25">
      <c r="A2632" s="2033"/>
      <c r="B2632" s="1631" t="s">
        <v>1729</v>
      </c>
      <c r="C2632" s="2805" t="s">
        <v>8712</v>
      </c>
      <c r="D2632" s="2805"/>
      <c r="E2632" s="2805"/>
      <c r="F2632" s="1683" t="s">
        <v>807</v>
      </c>
      <c r="G2632" s="1655">
        <v>3.45</v>
      </c>
      <c r="H2632" s="1641"/>
      <c r="I2632" s="2042">
        <v>0.92115000000000002</v>
      </c>
      <c r="J2632" s="1654">
        <v>8.5299999999999994</v>
      </c>
      <c r="K2632" s="1655">
        <v>1.25</v>
      </c>
      <c r="L2632" s="1654">
        <v>9.82</v>
      </c>
      <c r="M2632" s="1641"/>
      <c r="N2632" s="1681"/>
      <c r="EW2632" s="2031"/>
      <c r="EX2632" s="1619"/>
      <c r="EY2632" s="1628"/>
      <c r="EZ2632" s="1628"/>
      <c r="FA2632" s="1628"/>
      <c r="FD2632" s="1864" t="s">
        <v>8712</v>
      </c>
      <c r="FH2632" s="1628"/>
      <c r="FU2632" s="1678"/>
      <c r="FW2632" s="1678"/>
    </row>
    <row r="2633" spans="1:179" s="1484" customFormat="1" ht="15" x14ac:dyDescent="0.25">
      <c r="A2633" s="2033"/>
      <c r="B2633" s="1631" t="s">
        <v>821</v>
      </c>
      <c r="C2633" s="2805" t="s">
        <v>822</v>
      </c>
      <c r="D2633" s="2805"/>
      <c r="E2633" s="2805"/>
      <c r="F2633" s="1683" t="s">
        <v>4994</v>
      </c>
      <c r="G2633" s="1655">
        <v>0.02</v>
      </c>
      <c r="H2633" s="1641"/>
      <c r="I2633" s="2042">
        <v>5.3400000000000001E-3</v>
      </c>
      <c r="J2633" s="1654">
        <v>65.709999999999994</v>
      </c>
      <c r="K2633" s="1641"/>
      <c r="L2633" s="1654">
        <v>0.35</v>
      </c>
      <c r="M2633" s="1641"/>
      <c r="N2633" s="1681"/>
      <c r="EW2633" s="2031"/>
      <c r="EX2633" s="1619"/>
      <c r="EY2633" s="1628"/>
      <c r="EZ2633" s="1628"/>
      <c r="FA2633" s="1628"/>
      <c r="FD2633" s="1864" t="s">
        <v>822</v>
      </c>
      <c r="FH2633" s="1628"/>
      <c r="FU2633" s="1678"/>
      <c r="FW2633" s="1678"/>
    </row>
    <row r="2634" spans="1:179" s="1484" customFormat="1" ht="15" x14ac:dyDescent="0.25">
      <c r="A2634" s="2033"/>
      <c r="B2634" s="1631" t="s">
        <v>4894</v>
      </c>
      <c r="C2634" s="2805" t="s">
        <v>4895</v>
      </c>
      <c r="D2634" s="2805"/>
      <c r="E2634" s="2805"/>
      <c r="F2634" s="1683" t="s">
        <v>130</v>
      </c>
      <c r="G2634" s="1953">
        <v>122.4</v>
      </c>
      <c r="H2634" s="1641"/>
      <c r="I2634" s="2035">
        <v>32.680799999999998</v>
      </c>
      <c r="J2634" s="1654">
        <v>12.19</v>
      </c>
      <c r="K2634" s="1641"/>
      <c r="L2634" s="1654">
        <v>398.38</v>
      </c>
      <c r="M2634" s="1641"/>
      <c r="N2634" s="1681"/>
      <c r="EW2634" s="2031"/>
      <c r="EX2634" s="1619"/>
      <c r="EY2634" s="1628"/>
      <c r="EZ2634" s="1628"/>
      <c r="FA2634" s="1628"/>
      <c r="FD2634" s="1864" t="s">
        <v>4895</v>
      </c>
      <c r="FH2634" s="1628"/>
      <c r="FU2634" s="1678"/>
      <c r="FW2634" s="1678"/>
    </row>
    <row r="2635" spans="1:179" s="1484" customFormat="1" ht="15" x14ac:dyDescent="0.25">
      <c r="A2635" s="2032"/>
      <c r="B2635" s="1631" t="s">
        <v>190</v>
      </c>
      <c r="C2635" s="2805" t="s">
        <v>2523</v>
      </c>
      <c r="D2635" s="2805"/>
      <c r="E2635" s="2805"/>
      <c r="F2635" s="1683"/>
      <c r="G2635" s="1641"/>
      <c r="H2635" s="1641"/>
      <c r="I2635" s="1641"/>
      <c r="J2635" s="1654">
        <v>29.43</v>
      </c>
      <c r="K2635" s="1655">
        <v>1.25</v>
      </c>
      <c r="L2635" s="1654">
        <v>9.82</v>
      </c>
      <c r="M2635" s="1655">
        <v>35.75</v>
      </c>
      <c r="N2635" s="2039">
        <v>351.07</v>
      </c>
      <c r="EW2635" s="2031"/>
      <c r="EX2635" s="1619"/>
      <c r="EY2635" s="1628"/>
      <c r="EZ2635" s="1628"/>
      <c r="FA2635" s="1628"/>
      <c r="FE2635" s="1864" t="s">
        <v>2523</v>
      </c>
      <c r="FH2635" s="1628"/>
      <c r="FU2635" s="1678"/>
      <c r="FW2635" s="1678"/>
    </row>
    <row r="2636" spans="1:179" s="1484" customFormat="1" ht="15" x14ac:dyDescent="0.25">
      <c r="A2636" s="2032"/>
      <c r="B2636" s="1631" t="s">
        <v>639</v>
      </c>
      <c r="C2636" s="2805" t="s">
        <v>697</v>
      </c>
      <c r="D2636" s="2805"/>
      <c r="E2636" s="2805"/>
      <c r="F2636" s="1683"/>
      <c r="G2636" s="1641"/>
      <c r="H2636" s="1641"/>
      <c r="I2636" s="1641"/>
      <c r="J2636" s="1654">
        <v>1.31</v>
      </c>
      <c r="K2636" s="1641"/>
      <c r="L2636" s="1654">
        <v>0.35</v>
      </c>
      <c r="M2636" s="1655">
        <v>11.97</v>
      </c>
      <c r="N2636" s="2039">
        <v>4.1900000000000004</v>
      </c>
      <c r="EW2636" s="2031"/>
      <c r="EX2636" s="1619"/>
      <c r="EY2636" s="1628"/>
      <c r="EZ2636" s="1628"/>
      <c r="FA2636" s="1628"/>
      <c r="FE2636" s="1864" t="s">
        <v>697</v>
      </c>
      <c r="FH2636" s="1628"/>
      <c r="FU2636" s="1678"/>
      <c r="FW2636" s="1678"/>
    </row>
    <row r="2637" spans="1:179" s="1484" customFormat="1" ht="15" x14ac:dyDescent="0.25">
      <c r="A2637" s="2032"/>
      <c r="B2637" s="1631" t="s">
        <v>640</v>
      </c>
      <c r="C2637" s="2805" t="s">
        <v>2500</v>
      </c>
      <c r="D2637" s="2805"/>
      <c r="E2637" s="2805"/>
      <c r="F2637" s="1683"/>
      <c r="G2637" s="1641"/>
      <c r="H2637" s="1641"/>
      <c r="I2637" s="1641"/>
      <c r="J2637" s="1654">
        <v>0.23</v>
      </c>
      <c r="K2637" s="1641"/>
      <c r="L2637" s="1654">
        <v>0.06</v>
      </c>
      <c r="M2637" s="1655">
        <v>35.75</v>
      </c>
      <c r="N2637" s="2039">
        <v>2.15</v>
      </c>
      <c r="EW2637" s="2031"/>
      <c r="EX2637" s="1619"/>
      <c r="EY2637" s="1628"/>
      <c r="EZ2637" s="1628"/>
      <c r="FA2637" s="1628"/>
      <c r="FE2637" s="1864" t="s">
        <v>2500</v>
      </c>
      <c r="FH2637" s="1628"/>
      <c r="FU2637" s="1678"/>
      <c r="FW2637" s="1678"/>
    </row>
    <row r="2638" spans="1:179" s="1484" customFormat="1" ht="15" x14ac:dyDescent="0.25">
      <c r="A2638" s="2032"/>
      <c r="B2638" s="1631" t="s">
        <v>232</v>
      </c>
      <c r="C2638" s="2805" t="s">
        <v>829</v>
      </c>
      <c r="D2638" s="2805"/>
      <c r="E2638" s="2805"/>
      <c r="F2638" s="1683"/>
      <c r="G2638" s="1641"/>
      <c r="H2638" s="1641"/>
      <c r="I2638" s="1641"/>
      <c r="J2638" s="1657">
        <v>1492.06</v>
      </c>
      <c r="K2638" s="1641"/>
      <c r="L2638" s="1654">
        <v>398.38</v>
      </c>
      <c r="M2638" s="1655">
        <v>9.14</v>
      </c>
      <c r="N2638" s="1679">
        <v>3641.19</v>
      </c>
      <c r="EW2638" s="2031"/>
      <c r="EX2638" s="1619"/>
      <c r="EY2638" s="1628"/>
      <c r="EZ2638" s="1628"/>
      <c r="FA2638" s="1628"/>
      <c r="FE2638" s="1864" t="s">
        <v>829</v>
      </c>
      <c r="FH2638" s="1628"/>
      <c r="FU2638" s="1678"/>
      <c r="FW2638" s="1678"/>
    </row>
    <row r="2639" spans="1:179" s="1484" customFormat="1" ht="15" x14ac:dyDescent="0.25">
      <c r="A2639" s="2033"/>
      <c r="B2639" s="1631"/>
      <c r="C2639" s="2805" t="s">
        <v>2524</v>
      </c>
      <c r="D2639" s="2805"/>
      <c r="E2639" s="2805"/>
      <c r="F2639" s="1683" t="s">
        <v>807</v>
      </c>
      <c r="G2639" s="1655">
        <v>3.45</v>
      </c>
      <c r="H2639" s="1641"/>
      <c r="I2639" s="2042">
        <v>0.92115000000000002</v>
      </c>
      <c r="J2639" s="1640"/>
      <c r="K2639" s="1641"/>
      <c r="L2639" s="1640"/>
      <c r="M2639" s="1641"/>
      <c r="N2639" s="1681"/>
      <c r="EW2639" s="2031"/>
      <c r="EX2639" s="1619"/>
      <c r="EY2639" s="1628"/>
      <c r="EZ2639" s="1628"/>
      <c r="FA2639" s="1628"/>
      <c r="FF2639" s="1864" t="s">
        <v>2524</v>
      </c>
      <c r="FH2639" s="1628"/>
      <c r="FU2639" s="1678"/>
      <c r="FW2639" s="1678"/>
    </row>
    <row r="2640" spans="1:179" s="1484" customFormat="1" ht="15" x14ac:dyDescent="0.25">
      <c r="A2640" s="2033"/>
      <c r="B2640" s="1631"/>
      <c r="C2640" s="2805" t="s">
        <v>2501</v>
      </c>
      <c r="D2640" s="2805"/>
      <c r="E2640" s="2805"/>
      <c r="F2640" s="1683" t="s">
        <v>807</v>
      </c>
      <c r="G2640" s="1655">
        <v>0.02</v>
      </c>
      <c r="H2640" s="1641"/>
      <c r="I2640" s="2042">
        <v>5.3400000000000001E-3</v>
      </c>
      <c r="J2640" s="1640"/>
      <c r="K2640" s="1641"/>
      <c r="L2640" s="1640"/>
      <c r="M2640" s="1641"/>
      <c r="N2640" s="1681"/>
      <c r="EW2640" s="2031"/>
      <c r="EX2640" s="1619"/>
      <c r="EY2640" s="1628"/>
      <c r="EZ2640" s="1628"/>
      <c r="FA2640" s="1628"/>
      <c r="FF2640" s="1864" t="s">
        <v>2501</v>
      </c>
      <c r="FH2640" s="1628"/>
      <c r="FU2640" s="1678"/>
      <c r="FW2640" s="1678"/>
    </row>
    <row r="2641" spans="1:179" s="1484" customFormat="1" ht="15" x14ac:dyDescent="0.25">
      <c r="A2641" s="2032"/>
      <c r="B2641" s="1631"/>
      <c r="C2641" s="2917" t="s">
        <v>2502</v>
      </c>
      <c r="D2641" s="2917"/>
      <c r="E2641" s="2917"/>
      <c r="F2641" s="2036"/>
      <c r="G2641" s="2037"/>
      <c r="H2641" s="2037"/>
      <c r="I2641" s="2037"/>
      <c r="J2641" s="2038">
        <v>1522.8</v>
      </c>
      <c r="K2641" s="2037"/>
      <c r="L2641" s="2044">
        <v>408.55</v>
      </c>
      <c r="M2641" s="2037"/>
      <c r="N2641" s="2068">
        <v>3996.45</v>
      </c>
      <c r="EW2641" s="2031"/>
      <c r="EX2641" s="1619"/>
      <c r="EY2641" s="1628"/>
      <c r="EZ2641" s="1628"/>
      <c r="FA2641" s="1628"/>
      <c r="FG2641" s="1864" t="s">
        <v>2502</v>
      </c>
      <c r="FH2641" s="1628"/>
      <c r="FU2641" s="1678"/>
      <c r="FW2641" s="1678"/>
    </row>
    <row r="2642" spans="1:179" s="1484" customFormat="1" ht="15" x14ac:dyDescent="0.25">
      <c r="A2642" s="2033" t="s">
        <v>8399</v>
      </c>
      <c r="B2642" s="1631"/>
      <c r="C2642" s="2805" t="s">
        <v>7964</v>
      </c>
      <c r="D2642" s="2805"/>
      <c r="E2642" s="2805"/>
      <c r="F2642" s="1683" t="s">
        <v>5928</v>
      </c>
      <c r="G2642" s="1641"/>
      <c r="H2642" s="1641"/>
      <c r="I2642" s="1641"/>
      <c r="J2642" s="1640"/>
      <c r="K2642" s="1641"/>
      <c r="L2642" s="1654">
        <v>0.02</v>
      </c>
      <c r="M2642" s="1641"/>
      <c r="N2642" s="2039">
        <v>0.72</v>
      </c>
      <c r="EW2642" s="2031"/>
      <c r="EX2642" s="1619"/>
      <c r="EY2642" s="1628"/>
      <c r="EZ2642" s="1628"/>
      <c r="FA2642" s="1628"/>
      <c r="FF2642" s="1864" t="s">
        <v>7964</v>
      </c>
      <c r="FH2642" s="1628"/>
      <c r="FU2642" s="1678"/>
      <c r="FW2642" s="1678"/>
    </row>
    <row r="2643" spans="1:179" s="1484" customFormat="1" ht="15" x14ac:dyDescent="0.25">
      <c r="A2643" s="2033"/>
      <c r="B2643" s="1631"/>
      <c r="C2643" s="2805" t="s">
        <v>7965</v>
      </c>
      <c r="D2643" s="2805"/>
      <c r="E2643" s="2805"/>
      <c r="F2643" s="1683" t="s">
        <v>5928</v>
      </c>
      <c r="G2643" s="1641"/>
      <c r="H2643" s="1641"/>
      <c r="I2643" s="1641"/>
      <c r="J2643" s="1654">
        <v>0.23</v>
      </c>
      <c r="K2643" s="1655">
        <v>0.25</v>
      </c>
      <c r="L2643" s="1654">
        <v>0.02</v>
      </c>
      <c r="M2643" s="1655">
        <v>35.75</v>
      </c>
      <c r="N2643" s="2039">
        <v>0.72</v>
      </c>
      <c r="EW2643" s="2031"/>
      <c r="EX2643" s="1619"/>
      <c r="EY2643" s="1628"/>
      <c r="EZ2643" s="1628"/>
      <c r="FA2643" s="1628"/>
      <c r="FF2643" s="1864" t="s">
        <v>7965</v>
      </c>
      <c r="FH2643" s="1628"/>
      <c r="FU2643" s="1678"/>
      <c r="FW2643" s="1678"/>
    </row>
    <row r="2644" spans="1:179" s="1484" customFormat="1" ht="15" x14ac:dyDescent="0.25">
      <c r="A2644" s="2033"/>
      <c r="B2644" s="1631"/>
      <c r="C2644" s="2805" t="s">
        <v>867</v>
      </c>
      <c r="D2644" s="2805"/>
      <c r="E2644" s="2805"/>
      <c r="F2644" s="1683"/>
      <c r="G2644" s="1641"/>
      <c r="H2644" s="1641"/>
      <c r="I2644" s="1641"/>
      <c r="J2644" s="1640"/>
      <c r="K2644" s="1641"/>
      <c r="L2644" s="1654">
        <v>9.9</v>
      </c>
      <c r="M2644" s="1641"/>
      <c r="N2644" s="2039">
        <v>353.94</v>
      </c>
      <c r="EW2644" s="2031"/>
      <c r="EX2644" s="1619"/>
      <c r="EY2644" s="1628"/>
      <c r="EZ2644" s="1628"/>
      <c r="FA2644" s="1628"/>
      <c r="FF2644" s="1864" t="s">
        <v>867</v>
      </c>
      <c r="FH2644" s="1628"/>
      <c r="FU2644" s="1678"/>
      <c r="FW2644" s="1678"/>
    </row>
    <row r="2645" spans="1:179" s="1484" customFormat="1" ht="15" x14ac:dyDescent="0.25">
      <c r="A2645" s="2033"/>
      <c r="B2645" s="1631" t="s">
        <v>8054</v>
      </c>
      <c r="C2645" s="2805" t="s">
        <v>8055</v>
      </c>
      <c r="D2645" s="2805"/>
      <c r="E2645" s="2805"/>
      <c r="F2645" s="1683" t="s">
        <v>636</v>
      </c>
      <c r="G2645" s="2034">
        <v>112</v>
      </c>
      <c r="H2645" s="1641"/>
      <c r="I2645" s="2034">
        <v>112</v>
      </c>
      <c r="J2645" s="1640"/>
      <c r="K2645" s="1641"/>
      <c r="L2645" s="1654">
        <v>11.09</v>
      </c>
      <c r="M2645" s="1641"/>
      <c r="N2645" s="2039">
        <v>396.41</v>
      </c>
      <c r="EW2645" s="2031"/>
      <c r="EX2645" s="1619"/>
      <c r="EY2645" s="1628"/>
      <c r="EZ2645" s="1628"/>
      <c r="FA2645" s="1628"/>
      <c r="FF2645" s="1864" t="s">
        <v>8055</v>
      </c>
      <c r="FH2645" s="1628"/>
      <c r="FU2645" s="1678"/>
      <c r="FW2645" s="1678"/>
    </row>
    <row r="2646" spans="1:179" s="1484" customFormat="1" ht="15" x14ac:dyDescent="0.25">
      <c r="A2646" s="2033"/>
      <c r="B2646" s="1631" t="s">
        <v>8056</v>
      </c>
      <c r="C2646" s="2805" t="s">
        <v>8057</v>
      </c>
      <c r="D2646" s="2805"/>
      <c r="E2646" s="2805"/>
      <c r="F2646" s="1683" t="s">
        <v>636</v>
      </c>
      <c r="G2646" s="2034">
        <v>65</v>
      </c>
      <c r="H2646" s="1641"/>
      <c r="I2646" s="2034">
        <v>65</v>
      </c>
      <c r="J2646" s="1640"/>
      <c r="K2646" s="1641"/>
      <c r="L2646" s="1654">
        <v>6.44</v>
      </c>
      <c r="M2646" s="1641"/>
      <c r="N2646" s="2039">
        <v>230.06</v>
      </c>
      <c r="EW2646" s="2031"/>
      <c r="EX2646" s="1619"/>
      <c r="EY2646" s="1628"/>
      <c r="EZ2646" s="1628"/>
      <c r="FA2646" s="1628"/>
      <c r="FF2646" s="1864" t="s">
        <v>8057</v>
      </c>
      <c r="FH2646" s="1628"/>
      <c r="FU2646" s="1678"/>
      <c r="FW2646" s="1678"/>
    </row>
    <row r="2647" spans="1:179" s="1484" customFormat="1" ht="15" x14ac:dyDescent="0.25">
      <c r="A2647" s="1650"/>
      <c r="B2647" s="1651"/>
      <c r="C2647" s="2803" t="s">
        <v>872</v>
      </c>
      <c r="D2647" s="2803"/>
      <c r="E2647" s="2803"/>
      <c r="F2647" s="1621"/>
      <c r="G2647" s="1622"/>
      <c r="H2647" s="1622"/>
      <c r="I2647" s="1622"/>
      <c r="J2647" s="1625"/>
      <c r="K2647" s="1622"/>
      <c r="L2647" s="2040">
        <v>426.1</v>
      </c>
      <c r="M2647" s="2037"/>
      <c r="N2647" s="1649">
        <v>4623.6400000000003</v>
      </c>
      <c r="EW2647" s="2031"/>
      <c r="EX2647" s="1619"/>
      <c r="EY2647" s="1628"/>
      <c r="EZ2647" s="1628"/>
      <c r="FA2647" s="1628"/>
      <c r="FH2647" s="1628" t="s">
        <v>872</v>
      </c>
      <c r="FU2647" s="1678"/>
      <c r="FW2647" s="1678"/>
    </row>
    <row r="2648" spans="1:179" s="1484" customFormat="1" ht="33.75" x14ac:dyDescent="0.25">
      <c r="A2648" s="1620" t="s">
        <v>8400</v>
      </c>
      <c r="B2648" s="1863" t="s">
        <v>8133</v>
      </c>
      <c r="C2648" s="2803" t="s">
        <v>8134</v>
      </c>
      <c r="D2648" s="2803"/>
      <c r="E2648" s="2803"/>
      <c r="F2648" s="1621" t="s">
        <v>2555</v>
      </c>
      <c r="G2648" s="1622">
        <v>0.26700000000000002</v>
      </c>
      <c r="H2648" s="1623">
        <v>1</v>
      </c>
      <c r="I2648" s="2045">
        <v>0.26700000000000002</v>
      </c>
      <c r="J2648" s="1625"/>
      <c r="K2648" s="1622"/>
      <c r="L2648" s="1625"/>
      <c r="M2648" s="1622"/>
      <c r="N2648" s="1627"/>
      <c r="EW2648" s="2031"/>
      <c r="EX2648" s="1619"/>
      <c r="EY2648" s="1628" t="s">
        <v>8134</v>
      </c>
      <c r="EZ2648" s="1628" t="s">
        <v>588</v>
      </c>
      <c r="FA2648" s="1628" t="s">
        <v>588</v>
      </c>
      <c r="FH2648" s="1628"/>
      <c r="FU2648" s="1678"/>
      <c r="FW2648" s="1678"/>
    </row>
    <row r="2649" spans="1:179" s="1484" customFormat="1" ht="15" x14ac:dyDescent="0.25">
      <c r="A2649" s="1629"/>
      <c r="B2649" s="1862"/>
      <c r="C2649" s="2805" t="s">
        <v>8753</v>
      </c>
      <c r="D2649" s="2805"/>
      <c r="E2649" s="2805"/>
      <c r="F2649" s="2805"/>
      <c r="G2649" s="2805"/>
      <c r="H2649" s="2805"/>
      <c r="I2649" s="2805"/>
      <c r="J2649" s="2805"/>
      <c r="K2649" s="2805"/>
      <c r="L2649" s="2805"/>
      <c r="M2649" s="2805"/>
      <c r="N2649" s="2806"/>
      <c r="EW2649" s="2031"/>
      <c r="EX2649" s="1619"/>
      <c r="EY2649" s="1628"/>
      <c r="EZ2649" s="1628"/>
      <c r="FA2649" s="1628"/>
      <c r="FB2649" s="1864" t="s">
        <v>8753</v>
      </c>
      <c r="FH2649" s="1628"/>
      <c r="FU2649" s="1678"/>
      <c r="FW2649" s="1678"/>
    </row>
    <row r="2650" spans="1:179" s="1484" customFormat="1" ht="22.5" x14ac:dyDescent="0.25">
      <c r="A2650" s="1630"/>
      <c r="B2650" s="1631" t="s">
        <v>6062</v>
      </c>
      <c r="C2650" s="2809" t="s">
        <v>6063</v>
      </c>
      <c r="D2650" s="2809"/>
      <c r="E2650" s="2809"/>
      <c r="F2650" s="2809"/>
      <c r="G2650" s="2809"/>
      <c r="H2650" s="2809"/>
      <c r="I2650" s="2809"/>
      <c r="J2650" s="2809"/>
      <c r="K2650" s="2809"/>
      <c r="L2650" s="2809"/>
      <c r="M2650" s="2809"/>
      <c r="N2650" s="2810"/>
      <c r="EW2650" s="2031"/>
      <c r="EX2650" s="1619"/>
      <c r="EY2650" s="1628"/>
      <c r="EZ2650" s="1628"/>
      <c r="FA2650" s="1628"/>
      <c r="FC2650" s="1864" t="s">
        <v>6063</v>
      </c>
      <c r="FH2650" s="1628"/>
      <c r="FU2650" s="1678"/>
      <c r="FW2650" s="1678"/>
    </row>
    <row r="2651" spans="1:179" s="1484" customFormat="1" ht="15" x14ac:dyDescent="0.25">
      <c r="A2651" s="1630"/>
      <c r="B2651" s="1631" t="s">
        <v>8142</v>
      </c>
      <c r="C2651" s="2809" t="s">
        <v>8401</v>
      </c>
      <c r="D2651" s="2809"/>
      <c r="E2651" s="2809"/>
      <c r="F2651" s="2809"/>
      <c r="G2651" s="2809"/>
      <c r="H2651" s="2809"/>
      <c r="I2651" s="2809"/>
      <c r="J2651" s="2809"/>
      <c r="K2651" s="2809"/>
      <c r="L2651" s="2809"/>
      <c r="M2651" s="2809"/>
      <c r="N2651" s="2810"/>
      <c r="EW2651" s="2031"/>
      <c r="EX2651" s="1619"/>
      <c r="EY2651" s="1628"/>
      <c r="EZ2651" s="1628"/>
      <c r="FA2651" s="1628"/>
      <c r="FC2651" s="1864" t="s">
        <v>8401</v>
      </c>
      <c r="FH2651" s="1628"/>
      <c r="FU2651" s="1678"/>
      <c r="FW2651" s="1678"/>
    </row>
    <row r="2652" spans="1:179" s="1484" customFormat="1" ht="22.5" x14ac:dyDescent="0.25">
      <c r="A2652" s="2033"/>
      <c r="B2652" s="1631" t="s">
        <v>8732</v>
      </c>
      <c r="C2652" s="2805" t="s">
        <v>8731</v>
      </c>
      <c r="D2652" s="2805"/>
      <c r="E2652" s="2805"/>
      <c r="F2652" s="1683" t="s">
        <v>807</v>
      </c>
      <c r="G2652" s="1953">
        <v>25.8</v>
      </c>
      <c r="H2652" s="2034">
        <v>2</v>
      </c>
      <c r="I2652" s="2035">
        <v>13.777200000000001</v>
      </c>
      <c r="J2652" s="1654">
        <v>8.9700000000000006</v>
      </c>
      <c r="K2652" s="1655">
        <v>1.25</v>
      </c>
      <c r="L2652" s="1654">
        <v>154.47999999999999</v>
      </c>
      <c r="M2652" s="1641"/>
      <c r="N2652" s="1681"/>
      <c r="EW2652" s="2031"/>
      <c r="EX2652" s="1619"/>
      <c r="EY2652" s="1628"/>
      <c r="EZ2652" s="1628"/>
      <c r="FA2652" s="1628"/>
      <c r="FD2652" s="1864" t="s">
        <v>8731</v>
      </c>
      <c r="FH2652" s="1628"/>
      <c r="FU2652" s="1678"/>
      <c r="FW2652" s="1678"/>
    </row>
    <row r="2653" spans="1:179" s="1484" customFormat="1" ht="22.5" x14ac:dyDescent="0.25">
      <c r="A2653" s="2033"/>
      <c r="B2653" s="1631" t="s">
        <v>5010</v>
      </c>
      <c r="C2653" s="2805" t="s">
        <v>5011</v>
      </c>
      <c r="D2653" s="2805"/>
      <c r="E2653" s="2805"/>
      <c r="F2653" s="1683" t="s">
        <v>4994</v>
      </c>
      <c r="G2653" s="1655">
        <v>0.18</v>
      </c>
      <c r="H2653" s="2034">
        <v>2</v>
      </c>
      <c r="I2653" s="2042">
        <v>9.6119999999999997E-2</v>
      </c>
      <c r="J2653" s="1654">
        <v>31.26</v>
      </c>
      <c r="K2653" s="1641"/>
      <c r="L2653" s="1654">
        <v>3</v>
      </c>
      <c r="M2653" s="1641"/>
      <c r="N2653" s="1681"/>
      <c r="EW2653" s="2031"/>
      <c r="EX2653" s="1619"/>
      <c r="EY2653" s="1628"/>
      <c r="EZ2653" s="1628"/>
      <c r="FA2653" s="1628"/>
      <c r="FD2653" s="1864" t="s">
        <v>5011</v>
      </c>
      <c r="FH2653" s="1628"/>
      <c r="FU2653" s="1678"/>
      <c r="FW2653" s="1678"/>
    </row>
    <row r="2654" spans="1:179" s="1484" customFormat="1" ht="15" x14ac:dyDescent="0.25">
      <c r="A2654" s="2033"/>
      <c r="B2654" s="1631" t="s">
        <v>821</v>
      </c>
      <c r="C2654" s="2805" t="s">
        <v>822</v>
      </c>
      <c r="D2654" s="2805"/>
      <c r="E2654" s="2805"/>
      <c r="F2654" s="1683" t="s">
        <v>4994</v>
      </c>
      <c r="G2654" s="1953">
        <v>0.9</v>
      </c>
      <c r="H2654" s="2034">
        <v>2</v>
      </c>
      <c r="I2654" s="2035">
        <v>0.48060000000000003</v>
      </c>
      <c r="J2654" s="1654">
        <v>65.709999999999994</v>
      </c>
      <c r="K2654" s="1641"/>
      <c r="L2654" s="1654">
        <v>31.58</v>
      </c>
      <c r="M2654" s="1641"/>
      <c r="N2654" s="1681"/>
      <c r="EW2654" s="2031"/>
      <c r="EX2654" s="1619"/>
      <c r="EY2654" s="1628"/>
      <c r="EZ2654" s="1628"/>
      <c r="FA2654" s="1628"/>
      <c r="FD2654" s="1864" t="s">
        <v>822</v>
      </c>
      <c r="FH2654" s="1628"/>
      <c r="FU2654" s="1678"/>
      <c r="FW2654" s="1678"/>
    </row>
    <row r="2655" spans="1:179" s="1484" customFormat="1" ht="15" x14ac:dyDescent="0.25">
      <c r="A2655" s="2032"/>
      <c r="B2655" s="1631" t="s">
        <v>190</v>
      </c>
      <c r="C2655" s="2805" t="s">
        <v>2523</v>
      </c>
      <c r="D2655" s="2805"/>
      <c r="E2655" s="2805"/>
      <c r="F2655" s="1683"/>
      <c r="G2655" s="1641"/>
      <c r="H2655" s="1641"/>
      <c r="I2655" s="1641"/>
      <c r="J2655" s="1654">
        <v>231.43</v>
      </c>
      <c r="K2655" s="1953">
        <v>2.5</v>
      </c>
      <c r="L2655" s="1654">
        <v>154.47999999999999</v>
      </c>
      <c r="M2655" s="1655">
        <v>35.75</v>
      </c>
      <c r="N2655" s="1679">
        <v>5522.66</v>
      </c>
      <c r="EW2655" s="2031"/>
      <c r="EX2655" s="1619"/>
      <c r="EY2655" s="1628"/>
      <c r="EZ2655" s="1628"/>
      <c r="FA2655" s="1628"/>
      <c r="FE2655" s="1864" t="s">
        <v>2523</v>
      </c>
      <c r="FH2655" s="1628"/>
      <c r="FU2655" s="1678"/>
      <c r="FW2655" s="1678"/>
    </row>
    <row r="2656" spans="1:179" s="1484" customFormat="1" ht="15" x14ac:dyDescent="0.25">
      <c r="A2656" s="2032"/>
      <c r="B2656" s="1631" t="s">
        <v>639</v>
      </c>
      <c r="C2656" s="2805" t="s">
        <v>697</v>
      </c>
      <c r="D2656" s="2805"/>
      <c r="E2656" s="2805"/>
      <c r="F2656" s="1683"/>
      <c r="G2656" s="1641"/>
      <c r="H2656" s="1641"/>
      <c r="I2656" s="1641"/>
      <c r="J2656" s="1654">
        <v>64.77</v>
      </c>
      <c r="K2656" s="2034">
        <v>2</v>
      </c>
      <c r="L2656" s="1654">
        <v>34.590000000000003</v>
      </c>
      <c r="M2656" s="1655">
        <v>11.97</v>
      </c>
      <c r="N2656" s="2039">
        <v>414.04</v>
      </c>
      <c r="EW2656" s="2031"/>
      <c r="EX2656" s="1619"/>
      <c r="EY2656" s="1628"/>
      <c r="EZ2656" s="1628"/>
      <c r="FA2656" s="1628"/>
      <c r="FE2656" s="1864" t="s">
        <v>697</v>
      </c>
      <c r="FH2656" s="1628"/>
      <c r="FU2656" s="1678"/>
      <c r="FW2656" s="1678"/>
    </row>
    <row r="2657" spans="1:179" s="1484" customFormat="1" ht="15" x14ac:dyDescent="0.25">
      <c r="A2657" s="2032"/>
      <c r="B2657" s="1631" t="s">
        <v>640</v>
      </c>
      <c r="C2657" s="2805" t="s">
        <v>2500</v>
      </c>
      <c r="D2657" s="2805"/>
      <c r="E2657" s="2805"/>
      <c r="F2657" s="1683"/>
      <c r="G2657" s="1641"/>
      <c r="H2657" s="1641"/>
      <c r="I2657" s="1641"/>
      <c r="J2657" s="1654">
        <v>12.87</v>
      </c>
      <c r="K2657" s="2034">
        <v>2</v>
      </c>
      <c r="L2657" s="1654">
        <v>6.87</v>
      </c>
      <c r="M2657" s="1655">
        <v>35.75</v>
      </c>
      <c r="N2657" s="2039">
        <v>245.6</v>
      </c>
      <c r="EW2657" s="2031"/>
      <c r="EX2657" s="1619"/>
      <c r="EY2657" s="1628"/>
      <c r="EZ2657" s="1628"/>
      <c r="FA2657" s="1628"/>
      <c r="FE2657" s="1864" t="s">
        <v>2500</v>
      </c>
      <c r="FH2657" s="1628"/>
      <c r="FU2657" s="1678"/>
      <c r="FW2657" s="1678"/>
    </row>
    <row r="2658" spans="1:179" s="1484" customFormat="1" ht="15" x14ac:dyDescent="0.25">
      <c r="A2658" s="2033"/>
      <c r="B2658" s="1631"/>
      <c r="C2658" s="2805" t="s">
        <v>2524</v>
      </c>
      <c r="D2658" s="2805"/>
      <c r="E2658" s="2805"/>
      <c r="F2658" s="1683" t="s">
        <v>807</v>
      </c>
      <c r="G2658" s="1953">
        <v>25.8</v>
      </c>
      <c r="H2658" s="2034">
        <v>2</v>
      </c>
      <c r="I2658" s="2035">
        <v>13.777200000000001</v>
      </c>
      <c r="J2658" s="1640"/>
      <c r="K2658" s="1641"/>
      <c r="L2658" s="1640"/>
      <c r="M2658" s="1641"/>
      <c r="N2658" s="1681"/>
      <c r="EW2658" s="2031"/>
      <c r="EX2658" s="1619"/>
      <c r="EY2658" s="1628"/>
      <c r="EZ2658" s="1628"/>
      <c r="FA2658" s="1628"/>
      <c r="FF2658" s="1864" t="s">
        <v>2524</v>
      </c>
      <c r="FH2658" s="1628"/>
      <c r="FU2658" s="1678"/>
      <c r="FW2658" s="1678"/>
    </row>
    <row r="2659" spans="1:179" s="1484" customFormat="1" ht="15" x14ac:dyDescent="0.25">
      <c r="A2659" s="2033"/>
      <c r="B2659" s="1631"/>
      <c r="C2659" s="2805" t="s">
        <v>2501</v>
      </c>
      <c r="D2659" s="2805"/>
      <c r="E2659" s="2805"/>
      <c r="F2659" s="1683" t="s">
        <v>807</v>
      </c>
      <c r="G2659" s="1655">
        <v>1.08</v>
      </c>
      <c r="H2659" s="2034">
        <v>2</v>
      </c>
      <c r="I2659" s="2042">
        <v>0.57672000000000001</v>
      </c>
      <c r="J2659" s="1640"/>
      <c r="K2659" s="1641"/>
      <c r="L2659" s="1640"/>
      <c r="M2659" s="1641"/>
      <c r="N2659" s="1681"/>
      <c r="EW2659" s="2031"/>
      <c r="EX2659" s="1619"/>
      <c r="EY2659" s="1628"/>
      <c r="EZ2659" s="1628"/>
      <c r="FA2659" s="1628"/>
      <c r="FF2659" s="1864" t="s">
        <v>2501</v>
      </c>
      <c r="FH2659" s="1628"/>
      <c r="FU2659" s="1678"/>
      <c r="FW2659" s="1678"/>
    </row>
    <row r="2660" spans="1:179" s="1484" customFormat="1" ht="15" x14ac:dyDescent="0.25">
      <c r="A2660" s="2032"/>
      <c r="B2660" s="1631"/>
      <c r="C2660" s="2917" t="s">
        <v>2502</v>
      </c>
      <c r="D2660" s="2917"/>
      <c r="E2660" s="2917"/>
      <c r="F2660" s="2036"/>
      <c r="G2660" s="2037"/>
      <c r="H2660" s="2037"/>
      <c r="I2660" s="2037"/>
      <c r="J2660" s="2044">
        <v>296.2</v>
      </c>
      <c r="K2660" s="2037"/>
      <c r="L2660" s="2044">
        <v>189.07</v>
      </c>
      <c r="M2660" s="2037"/>
      <c r="N2660" s="2068">
        <v>5936.7</v>
      </c>
      <c r="EW2660" s="2031"/>
      <c r="EX2660" s="1619"/>
      <c r="EY2660" s="1628"/>
      <c r="EZ2660" s="1628"/>
      <c r="FA2660" s="1628"/>
      <c r="FG2660" s="1864" t="s">
        <v>2502</v>
      </c>
      <c r="FH2660" s="1628"/>
      <c r="FU2660" s="1678"/>
      <c r="FW2660" s="1678"/>
    </row>
    <row r="2661" spans="1:179" s="1484" customFormat="1" ht="15" x14ac:dyDescent="0.25">
      <c r="A2661" s="2033" t="s">
        <v>8402</v>
      </c>
      <c r="B2661" s="1631"/>
      <c r="C2661" s="2805" t="s">
        <v>7964</v>
      </c>
      <c r="D2661" s="2805"/>
      <c r="E2661" s="2805"/>
      <c r="F2661" s="1683" t="s">
        <v>5928</v>
      </c>
      <c r="G2661" s="1641"/>
      <c r="H2661" s="1641"/>
      <c r="I2661" s="1641"/>
      <c r="J2661" s="1640"/>
      <c r="K2661" s="1641"/>
      <c r="L2661" s="1654">
        <v>1.72</v>
      </c>
      <c r="M2661" s="1641"/>
      <c r="N2661" s="2039">
        <v>61.49</v>
      </c>
      <c r="EW2661" s="2031"/>
      <c r="EX2661" s="1619"/>
      <c r="EY2661" s="1628"/>
      <c r="EZ2661" s="1628"/>
      <c r="FA2661" s="1628"/>
      <c r="FF2661" s="1864" t="s">
        <v>7964</v>
      </c>
      <c r="FH2661" s="1628"/>
      <c r="FU2661" s="1678"/>
      <c r="FW2661" s="1678"/>
    </row>
    <row r="2662" spans="1:179" s="1484" customFormat="1" ht="15" x14ac:dyDescent="0.25">
      <c r="A2662" s="2033"/>
      <c r="B2662" s="1631"/>
      <c r="C2662" s="2805" t="s">
        <v>7965</v>
      </c>
      <c r="D2662" s="2805"/>
      <c r="E2662" s="2805"/>
      <c r="F2662" s="1683" t="s">
        <v>5928</v>
      </c>
      <c r="G2662" s="1641"/>
      <c r="H2662" s="1641"/>
      <c r="I2662" s="1641"/>
      <c r="J2662" s="1654">
        <v>12.87</v>
      </c>
      <c r="K2662" s="1953">
        <v>0.5</v>
      </c>
      <c r="L2662" s="1654">
        <v>1.72</v>
      </c>
      <c r="M2662" s="1655">
        <v>35.75</v>
      </c>
      <c r="N2662" s="2039">
        <v>61.49</v>
      </c>
      <c r="EW2662" s="2031"/>
      <c r="EX2662" s="1619"/>
      <c r="EY2662" s="1628"/>
      <c r="EZ2662" s="1628"/>
      <c r="FA2662" s="1628"/>
      <c r="FF2662" s="1864" t="s">
        <v>7965</v>
      </c>
      <c r="FH2662" s="1628"/>
      <c r="FU2662" s="1678"/>
      <c r="FW2662" s="1678"/>
    </row>
    <row r="2663" spans="1:179" s="1484" customFormat="1" ht="15" x14ac:dyDescent="0.25">
      <c r="A2663" s="2033"/>
      <c r="B2663" s="1631"/>
      <c r="C2663" s="2805" t="s">
        <v>867</v>
      </c>
      <c r="D2663" s="2805"/>
      <c r="E2663" s="2805"/>
      <c r="F2663" s="1683"/>
      <c r="G2663" s="1641"/>
      <c r="H2663" s="1641"/>
      <c r="I2663" s="1641"/>
      <c r="J2663" s="1640"/>
      <c r="K2663" s="1641"/>
      <c r="L2663" s="1654">
        <v>163.07</v>
      </c>
      <c r="M2663" s="1641"/>
      <c r="N2663" s="1679">
        <v>5829.75</v>
      </c>
      <c r="EW2663" s="2031"/>
      <c r="EX2663" s="1619"/>
      <c r="EY2663" s="1628"/>
      <c r="EZ2663" s="1628"/>
      <c r="FA2663" s="1628"/>
      <c r="FF2663" s="1864" t="s">
        <v>867</v>
      </c>
      <c r="FH2663" s="1628"/>
      <c r="FU2663" s="1678"/>
      <c r="FW2663" s="1678"/>
    </row>
    <row r="2664" spans="1:179" s="1484" customFormat="1" ht="15" x14ac:dyDescent="0.25">
      <c r="A2664" s="2033"/>
      <c r="B2664" s="1631" t="s">
        <v>8054</v>
      </c>
      <c r="C2664" s="2805" t="s">
        <v>8055</v>
      </c>
      <c r="D2664" s="2805"/>
      <c r="E2664" s="2805"/>
      <c r="F2664" s="1683" t="s">
        <v>636</v>
      </c>
      <c r="G2664" s="2034">
        <v>112</v>
      </c>
      <c r="H2664" s="1641"/>
      <c r="I2664" s="2034">
        <v>112</v>
      </c>
      <c r="J2664" s="1640"/>
      <c r="K2664" s="1641"/>
      <c r="L2664" s="1654">
        <v>182.64</v>
      </c>
      <c r="M2664" s="1641"/>
      <c r="N2664" s="1679">
        <v>6529.32</v>
      </c>
      <c r="EW2664" s="2031"/>
      <c r="EX2664" s="1619"/>
      <c r="EY2664" s="1628"/>
      <c r="EZ2664" s="1628"/>
      <c r="FA2664" s="1628"/>
      <c r="FF2664" s="1864" t="s">
        <v>8055</v>
      </c>
      <c r="FH2664" s="1628"/>
      <c r="FU2664" s="1678"/>
      <c r="FW2664" s="1678"/>
    </row>
    <row r="2665" spans="1:179" s="1484" customFormat="1" ht="15" x14ac:dyDescent="0.25">
      <c r="A2665" s="2033"/>
      <c r="B2665" s="1631" t="s">
        <v>8056</v>
      </c>
      <c r="C2665" s="2805" t="s">
        <v>8057</v>
      </c>
      <c r="D2665" s="2805"/>
      <c r="E2665" s="2805"/>
      <c r="F2665" s="1683" t="s">
        <v>636</v>
      </c>
      <c r="G2665" s="2034">
        <v>65</v>
      </c>
      <c r="H2665" s="1641"/>
      <c r="I2665" s="2034">
        <v>65</v>
      </c>
      <c r="J2665" s="1640"/>
      <c r="K2665" s="1641"/>
      <c r="L2665" s="1654">
        <v>106</v>
      </c>
      <c r="M2665" s="1641"/>
      <c r="N2665" s="1679">
        <v>3789.34</v>
      </c>
      <c r="EW2665" s="2031"/>
      <c r="EX2665" s="1619"/>
      <c r="EY2665" s="1628"/>
      <c r="EZ2665" s="1628"/>
      <c r="FA2665" s="1628"/>
      <c r="FF2665" s="1864" t="s">
        <v>8057</v>
      </c>
      <c r="FH2665" s="1628"/>
      <c r="FU2665" s="1678"/>
      <c r="FW2665" s="1678"/>
    </row>
    <row r="2666" spans="1:179" s="1484" customFormat="1" ht="15" x14ac:dyDescent="0.25">
      <c r="A2666" s="1650"/>
      <c r="B2666" s="1651"/>
      <c r="C2666" s="2803" t="s">
        <v>872</v>
      </c>
      <c r="D2666" s="2803"/>
      <c r="E2666" s="2803"/>
      <c r="F2666" s="1621"/>
      <c r="G2666" s="1622"/>
      <c r="H2666" s="1622"/>
      <c r="I2666" s="1622"/>
      <c r="J2666" s="1625"/>
      <c r="K2666" s="1622"/>
      <c r="L2666" s="2040">
        <v>479.43</v>
      </c>
      <c r="M2666" s="2037"/>
      <c r="N2666" s="1649">
        <v>16316.85</v>
      </c>
      <c r="EW2666" s="2031"/>
      <c r="EX2666" s="1619"/>
      <c r="EY2666" s="1628"/>
      <c r="EZ2666" s="1628"/>
      <c r="FA2666" s="1628"/>
      <c r="FH2666" s="1628" t="s">
        <v>872</v>
      </c>
      <c r="FU2666" s="1678"/>
      <c r="FW2666" s="1678"/>
    </row>
    <row r="2667" spans="1:179" s="1484" customFormat="1" ht="67.5" x14ac:dyDescent="0.25">
      <c r="A2667" s="1620" t="s">
        <v>8403</v>
      </c>
      <c r="B2667" s="1863" t="s">
        <v>8763</v>
      </c>
      <c r="C2667" s="2803" t="s">
        <v>8404</v>
      </c>
      <c r="D2667" s="2803"/>
      <c r="E2667" s="2803"/>
      <c r="F2667" s="1621" t="s">
        <v>832</v>
      </c>
      <c r="G2667" s="1622">
        <v>1.63</v>
      </c>
      <c r="H2667" s="1623">
        <v>1</v>
      </c>
      <c r="I2667" s="1687">
        <v>1.63</v>
      </c>
      <c r="J2667" s="1648">
        <v>1270.9000000000001</v>
      </c>
      <c r="K2667" s="1622"/>
      <c r="L2667" s="1648">
        <v>2071.5700000000002</v>
      </c>
      <c r="M2667" s="1687">
        <v>9.14</v>
      </c>
      <c r="N2667" s="1649">
        <v>18934.150000000001</v>
      </c>
      <c r="EW2667" s="2031"/>
      <c r="EX2667" s="1619"/>
      <c r="EY2667" s="1628" t="s">
        <v>8404</v>
      </c>
      <c r="EZ2667" s="1628" t="s">
        <v>588</v>
      </c>
      <c r="FA2667" s="1628" t="s">
        <v>588</v>
      </c>
      <c r="FH2667" s="1628"/>
      <c r="FU2667" s="1678"/>
      <c r="FW2667" s="1678"/>
    </row>
    <row r="2668" spans="1:179" s="1484" customFormat="1" ht="15" x14ac:dyDescent="0.25">
      <c r="A2668" s="1650"/>
      <c r="B2668" s="1651"/>
      <c r="C2668" s="2805" t="s">
        <v>8640</v>
      </c>
      <c r="D2668" s="2805"/>
      <c r="E2668" s="2805"/>
      <c r="F2668" s="2805"/>
      <c r="G2668" s="2805"/>
      <c r="H2668" s="2805"/>
      <c r="I2668" s="2805"/>
      <c r="J2668" s="2805"/>
      <c r="K2668" s="2805"/>
      <c r="L2668" s="2805"/>
      <c r="M2668" s="2805"/>
      <c r="N2668" s="2806"/>
      <c r="EW2668" s="2031"/>
      <c r="EX2668" s="1619"/>
      <c r="EY2668" s="1628"/>
      <c r="EZ2668" s="1628"/>
      <c r="FA2668" s="1628"/>
      <c r="FH2668" s="1628"/>
      <c r="FI2668" s="1864" t="s">
        <v>8640</v>
      </c>
      <c r="FJ2668" s="1864" t="s">
        <v>588</v>
      </c>
      <c r="FK2668" s="1864" t="s">
        <v>588</v>
      </c>
      <c r="FL2668" s="1864" t="s">
        <v>588</v>
      </c>
      <c r="FM2668" s="1864" t="s">
        <v>588</v>
      </c>
      <c r="FN2668" s="1864" t="s">
        <v>588</v>
      </c>
      <c r="FO2668" s="1864" t="s">
        <v>588</v>
      </c>
      <c r="FP2668" s="1864" t="s">
        <v>588</v>
      </c>
      <c r="FQ2668" s="1864" t="s">
        <v>588</v>
      </c>
      <c r="FR2668" s="1864" t="s">
        <v>588</v>
      </c>
      <c r="FS2668" s="1864" t="s">
        <v>588</v>
      </c>
      <c r="FT2668" s="1864" t="s">
        <v>588</v>
      </c>
      <c r="FU2668" s="1678"/>
      <c r="FW2668" s="1678"/>
    </row>
    <row r="2669" spans="1:179" s="1484" customFormat="1" ht="15" x14ac:dyDescent="0.25">
      <c r="A2669" s="1629"/>
      <c r="B2669" s="1862"/>
      <c r="C2669" s="2805" t="s">
        <v>8762</v>
      </c>
      <c r="D2669" s="2805"/>
      <c r="E2669" s="2805"/>
      <c r="F2669" s="2805"/>
      <c r="G2669" s="2805"/>
      <c r="H2669" s="2805"/>
      <c r="I2669" s="2805"/>
      <c r="J2669" s="2805"/>
      <c r="K2669" s="2805"/>
      <c r="L2669" s="2805"/>
      <c r="M2669" s="2805"/>
      <c r="N2669" s="2806"/>
      <c r="EW2669" s="2031"/>
      <c r="EX2669" s="1619"/>
      <c r="EY2669" s="1628"/>
      <c r="EZ2669" s="1628"/>
      <c r="FA2669" s="1628"/>
      <c r="FB2669" s="1864" t="s">
        <v>8762</v>
      </c>
      <c r="FH2669" s="1628"/>
      <c r="FU2669" s="1678"/>
      <c r="FW2669" s="1678"/>
    </row>
    <row r="2670" spans="1:179" s="1484" customFormat="1" ht="15" x14ac:dyDescent="0.25">
      <c r="A2670" s="1650"/>
      <c r="B2670" s="1651"/>
      <c r="C2670" s="2803" t="s">
        <v>872</v>
      </c>
      <c r="D2670" s="2803"/>
      <c r="E2670" s="2803"/>
      <c r="F2670" s="1621"/>
      <c r="G2670" s="1622"/>
      <c r="H2670" s="1622"/>
      <c r="I2670" s="1622"/>
      <c r="J2670" s="1625"/>
      <c r="K2670" s="1622"/>
      <c r="L2670" s="1648">
        <v>2071.5700000000002</v>
      </c>
      <c r="M2670" s="2037"/>
      <c r="N2670" s="1649">
        <v>18934.150000000001</v>
      </c>
      <c r="EW2670" s="2031"/>
      <c r="EX2670" s="1619"/>
      <c r="EY2670" s="1628"/>
      <c r="EZ2670" s="1628"/>
      <c r="FA2670" s="1628"/>
      <c r="FH2670" s="1628" t="s">
        <v>872</v>
      </c>
      <c r="FU2670" s="1678"/>
      <c r="FW2670" s="1678"/>
    </row>
    <row r="2671" spans="1:179" s="1484" customFormat="1" ht="56.25" x14ac:dyDescent="0.25">
      <c r="A2671" s="1620" t="s">
        <v>8405</v>
      </c>
      <c r="B2671" s="1863" t="s">
        <v>8761</v>
      </c>
      <c r="C2671" s="2803" t="s">
        <v>8404</v>
      </c>
      <c r="D2671" s="2803"/>
      <c r="E2671" s="2803"/>
      <c r="F2671" s="1621" t="s">
        <v>832</v>
      </c>
      <c r="G2671" s="1622">
        <v>3.27</v>
      </c>
      <c r="H2671" s="1623">
        <v>1</v>
      </c>
      <c r="I2671" s="1687">
        <v>3.27</v>
      </c>
      <c r="J2671" s="1648">
        <v>1270.9000000000001</v>
      </c>
      <c r="K2671" s="1622"/>
      <c r="L2671" s="1648">
        <v>4155.84</v>
      </c>
      <c r="M2671" s="1687">
        <v>9.14</v>
      </c>
      <c r="N2671" s="1649">
        <v>37984.379999999997</v>
      </c>
      <c r="EW2671" s="2031"/>
      <c r="EX2671" s="1619"/>
      <c r="EY2671" s="1628" t="s">
        <v>8404</v>
      </c>
      <c r="EZ2671" s="1628" t="s">
        <v>588</v>
      </c>
      <c r="FA2671" s="1628" t="s">
        <v>588</v>
      </c>
      <c r="FH2671" s="1628"/>
      <c r="FU2671" s="1678"/>
      <c r="FW2671" s="1678"/>
    </row>
    <row r="2672" spans="1:179" s="1484" customFormat="1" ht="15" x14ac:dyDescent="0.25">
      <c r="A2672" s="1650"/>
      <c r="B2672" s="1651"/>
      <c r="C2672" s="2805" t="s">
        <v>8640</v>
      </c>
      <c r="D2672" s="2805"/>
      <c r="E2672" s="2805"/>
      <c r="F2672" s="2805"/>
      <c r="G2672" s="2805"/>
      <c r="H2672" s="2805"/>
      <c r="I2672" s="2805"/>
      <c r="J2672" s="2805"/>
      <c r="K2672" s="2805"/>
      <c r="L2672" s="2805"/>
      <c r="M2672" s="2805"/>
      <c r="N2672" s="2806"/>
      <c r="EW2672" s="2031"/>
      <c r="EX2672" s="1619"/>
      <c r="EY2672" s="1628"/>
      <c r="EZ2672" s="1628"/>
      <c r="FA2672" s="1628"/>
      <c r="FH2672" s="1628"/>
      <c r="FI2672" s="1864" t="s">
        <v>8640</v>
      </c>
      <c r="FJ2672" s="1864" t="s">
        <v>588</v>
      </c>
      <c r="FK2672" s="1864" t="s">
        <v>588</v>
      </c>
      <c r="FL2672" s="1864" t="s">
        <v>588</v>
      </c>
      <c r="FM2672" s="1864" t="s">
        <v>588</v>
      </c>
      <c r="FN2672" s="1864" t="s">
        <v>588</v>
      </c>
      <c r="FO2672" s="1864" t="s">
        <v>588</v>
      </c>
      <c r="FP2672" s="1864" t="s">
        <v>588</v>
      </c>
      <c r="FQ2672" s="1864" t="s">
        <v>588</v>
      </c>
      <c r="FR2672" s="1864" t="s">
        <v>588</v>
      </c>
      <c r="FS2672" s="1864" t="s">
        <v>588</v>
      </c>
      <c r="FT2672" s="1864" t="s">
        <v>588</v>
      </c>
      <c r="FU2672" s="1678"/>
      <c r="FW2672" s="1678"/>
    </row>
    <row r="2673" spans="1:179" s="1484" customFormat="1" ht="15" x14ac:dyDescent="0.25">
      <c r="A2673" s="1629"/>
      <c r="B2673" s="1862"/>
      <c r="C2673" s="2805" t="s">
        <v>8760</v>
      </c>
      <c r="D2673" s="2805"/>
      <c r="E2673" s="2805"/>
      <c r="F2673" s="2805"/>
      <c r="G2673" s="2805"/>
      <c r="H2673" s="2805"/>
      <c r="I2673" s="2805"/>
      <c r="J2673" s="2805"/>
      <c r="K2673" s="2805"/>
      <c r="L2673" s="2805"/>
      <c r="M2673" s="2805"/>
      <c r="N2673" s="2806"/>
      <c r="EW2673" s="2031"/>
      <c r="EX2673" s="1619"/>
      <c r="EY2673" s="1628"/>
      <c r="EZ2673" s="1628"/>
      <c r="FA2673" s="1628"/>
      <c r="FB2673" s="1864" t="s">
        <v>8760</v>
      </c>
      <c r="FH2673" s="1628"/>
      <c r="FU2673" s="1678"/>
      <c r="FW2673" s="1678"/>
    </row>
    <row r="2674" spans="1:179" s="1484" customFormat="1" ht="15" x14ac:dyDescent="0.25">
      <c r="A2674" s="1650"/>
      <c r="B2674" s="1651"/>
      <c r="C2674" s="2803" t="s">
        <v>872</v>
      </c>
      <c r="D2674" s="2803"/>
      <c r="E2674" s="2803"/>
      <c r="F2674" s="1621"/>
      <c r="G2674" s="1622"/>
      <c r="H2674" s="1622"/>
      <c r="I2674" s="1622"/>
      <c r="J2674" s="1625"/>
      <c r="K2674" s="1622"/>
      <c r="L2674" s="1648">
        <v>4155.84</v>
      </c>
      <c r="M2674" s="2037"/>
      <c r="N2674" s="1649">
        <v>37984.379999999997</v>
      </c>
      <c r="EW2674" s="2031"/>
      <c r="EX2674" s="1619"/>
      <c r="EY2674" s="1628"/>
      <c r="EZ2674" s="1628"/>
      <c r="FA2674" s="1628"/>
      <c r="FH2674" s="1628" t="s">
        <v>872</v>
      </c>
      <c r="FU2674" s="1678"/>
      <c r="FW2674" s="1678"/>
    </row>
    <row r="2675" spans="1:179" s="1484" customFormat="1" ht="33.75" x14ac:dyDescent="0.25">
      <c r="A2675" s="1620" t="s">
        <v>8406</v>
      </c>
      <c r="B2675" s="1863" t="s">
        <v>8407</v>
      </c>
      <c r="C2675" s="2803" t="s">
        <v>8408</v>
      </c>
      <c r="D2675" s="2803"/>
      <c r="E2675" s="2803"/>
      <c r="F2675" s="1621" t="s">
        <v>2555</v>
      </c>
      <c r="G2675" s="1622">
        <v>0.26700000000000002</v>
      </c>
      <c r="H2675" s="1623">
        <v>1</v>
      </c>
      <c r="I2675" s="2045">
        <v>0.26700000000000002</v>
      </c>
      <c r="J2675" s="1625"/>
      <c r="K2675" s="1622"/>
      <c r="L2675" s="1625"/>
      <c r="M2675" s="1622"/>
      <c r="N2675" s="1627"/>
      <c r="EW2675" s="2031"/>
      <c r="EX2675" s="1619"/>
      <c r="EY2675" s="1628" t="s">
        <v>8408</v>
      </c>
      <c r="EZ2675" s="1628" t="s">
        <v>588</v>
      </c>
      <c r="FA2675" s="1628" t="s">
        <v>588</v>
      </c>
      <c r="FH2675" s="1628"/>
      <c r="FU2675" s="1678"/>
      <c r="FW2675" s="1678"/>
    </row>
    <row r="2676" spans="1:179" s="1484" customFormat="1" ht="15" x14ac:dyDescent="0.25">
      <c r="A2676" s="1629"/>
      <c r="B2676" s="1862"/>
      <c r="C2676" s="2805" t="s">
        <v>8753</v>
      </c>
      <c r="D2676" s="2805"/>
      <c r="E2676" s="2805"/>
      <c r="F2676" s="2805"/>
      <c r="G2676" s="2805"/>
      <c r="H2676" s="2805"/>
      <c r="I2676" s="2805"/>
      <c r="J2676" s="2805"/>
      <c r="K2676" s="2805"/>
      <c r="L2676" s="2805"/>
      <c r="M2676" s="2805"/>
      <c r="N2676" s="2806"/>
      <c r="EW2676" s="2031"/>
      <c r="EX2676" s="1619"/>
      <c r="EY2676" s="1628"/>
      <c r="EZ2676" s="1628"/>
      <c r="FA2676" s="1628"/>
      <c r="FB2676" s="1864" t="s">
        <v>8753</v>
      </c>
      <c r="FH2676" s="1628"/>
      <c r="FU2676" s="1678"/>
      <c r="FW2676" s="1678"/>
    </row>
    <row r="2677" spans="1:179" s="1484" customFormat="1" ht="22.5" x14ac:dyDescent="0.25">
      <c r="A2677" s="1630"/>
      <c r="B2677" s="1631" t="s">
        <v>6062</v>
      </c>
      <c r="C2677" s="2809" t="s">
        <v>6063</v>
      </c>
      <c r="D2677" s="2809"/>
      <c r="E2677" s="2809"/>
      <c r="F2677" s="2809"/>
      <c r="G2677" s="2809"/>
      <c r="H2677" s="2809"/>
      <c r="I2677" s="2809"/>
      <c r="J2677" s="2809"/>
      <c r="K2677" s="2809"/>
      <c r="L2677" s="2809"/>
      <c r="M2677" s="2809"/>
      <c r="N2677" s="2810"/>
      <c r="EW2677" s="2031"/>
      <c r="EX2677" s="1619"/>
      <c r="EY2677" s="1628"/>
      <c r="EZ2677" s="1628"/>
      <c r="FA2677" s="1628"/>
      <c r="FC2677" s="1864" t="s">
        <v>6063</v>
      </c>
      <c r="FH2677" s="1628"/>
      <c r="FU2677" s="1678"/>
      <c r="FW2677" s="1678"/>
    </row>
    <row r="2678" spans="1:179" s="1484" customFormat="1" ht="22.5" x14ac:dyDescent="0.25">
      <c r="A2678" s="2033"/>
      <c r="B2678" s="1631" t="s">
        <v>3204</v>
      </c>
      <c r="C2678" s="2805" t="s">
        <v>8647</v>
      </c>
      <c r="D2678" s="2805"/>
      <c r="E2678" s="2805"/>
      <c r="F2678" s="1683" t="s">
        <v>807</v>
      </c>
      <c r="G2678" s="1655">
        <v>14.36</v>
      </c>
      <c r="H2678" s="1641"/>
      <c r="I2678" s="2042">
        <v>3.83412</v>
      </c>
      <c r="J2678" s="1654">
        <v>8.74</v>
      </c>
      <c r="K2678" s="1655">
        <v>1.25</v>
      </c>
      <c r="L2678" s="1654">
        <v>41.89</v>
      </c>
      <c r="M2678" s="1641"/>
      <c r="N2678" s="1681"/>
      <c r="EW2678" s="2031"/>
      <c r="EX2678" s="1619"/>
      <c r="EY2678" s="1628"/>
      <c r="EZ2678" s="1628"/>
      <c r="FA2678" s="1628"/>
      <c r="FD2678" s="1864" t="s">
        <v>8647</v>
      </c>
      <c r="FH2678" s="1628"/>
      <c r="FU2678" s="1678"/>
      <c r="FW2678" s="1678"/>
    </row>
    <row r="2679" spans="1:179" s="1484" customFormat="1" ht="15" x14ac:dyDescent="0.25">
      <c r="A2679" s="2033"/>
      <c r="B2679" s="1631" t="s">
        <v>821</v>
      </c>
      <c r="C2679" s="2805" t="s">
        <v>822</v>
      </c>
      <c r="D2679" s="2805"/>
      <c r="E2679" s="2805"/>
      <c r="F2679" s="1683" t="s">
        <v>4994</v>
      </c>
      <c r="G2679" s="1655">
        <v>0.25</v>
      </c>
      <c r="H2679" s="1641"/>
      <c r="I2679" s="2042">
        <v>6.6750000000000004E-2</v>
      </c>
      <c r="J2679" s="1654">
        <v>65.709999999999994</v>
      </c>
      <c r="K2679" s="1641"/>
      <c r="L2679" s="1654">
        <v>4.3899999999999997</v>
      </c>
      <c r="M2679" s="1641"/>
      <c r="N2679" s="1681"/>
      <c r="EW2679" s="2031"/>
      <c r="EX2679" s="1619"/>
      <c r="EY2679" s="1628"/>
      <c r="EZ2679" s="1628"/>
      <c r="FA2679" s="1628"/>
      <c r="FD2679" s="1864" t="s">
        <v>822</v>
      </c>
      <c r="FH2679" s="1628"/>
      <c r="FU2679" s="1678"/>
      <c r="FW2679" s="1678"/>
    </row>
    <row r="2680" spans="1:179" s="1484" customFormat="1" ht="15" x14ac:dyDescent="0.25">
      <c r="A2680" s="2033"/>
      <c r="B2680" s="1631" t="s">
        <v>4891</v>
      </c>
      <c r="C2680" s="2805" t="s">
        <v>8759</v>
      </c>
      <c r="D2680" s="2805"/>
      <c r="E2680" s="2805"/>
      <c r="F2680" s="1683" t="s">
        <v>835</v>
      </c>
      <c r="G2680" s="2046">
        <v>7.423</v>
      </c>
      <c r="H2680" s="1641"/>
      <c r="I2680" s="2043">
        <v>1.981941</v>
      </c>
      <c r="J2680" s="1654">
        <v>112</v>
      </c>
      <c r="K2680" s="1641"/>
      <c r="L2680" s="1654">
        <v>221.98</v>
      </c>
      <c r="M2680" s="1641"/>
      <c r="N2680" s="1681"/>
      <c r="EW2680" s="2031"/>
      <c r="EX2680" s="1619"/>
      <c r="EY2680" s="1628"/>
      <c r="EZ2680" s="1628"/>
      <c r="FA2680" s="1628"/>
      <c r="FD2680" s="1864" t="s">
        <v>8759</v>
      </c>
      <c r="FH2680" s="1628"/>
      <c r="FU2680" s="1678"/>
      <c r="FW2680" s="1678"/>
    </row>
    <row r="2681" spans="1:179" s="1484" customFormat="1" ht="15" x14ac:dyDescent="0.25">
      <c r="A2681" s="2032"/>
      <c r="B2681" s="1631" t="s">
        <v>190</v>
      </c>
      <c r="C2681" s="2805" t="s">
        <v>2523</v>
      </c>
      <c r="D2681" s="2805"/>
      <c r="E2681" s="2805"/>
      <c r="F2681" s="1683"/>
      <c r="G2681" s="1641"/>
      <c r="H2681" s="1641"/>
      <c r="I2681" s="1641"/>
      <c r="J2681" s="1654">
        <v>125.51</v>
      </c>
      <c r="K2681" s="1655">
        <v>1.25</v>
      </c>
      <c r="L2681" s="1654">
        <v>41.89</v>
      </c>
      <c r="M2681" s="1655">
        <v>35.75</v>
      </c>
      <c r="N2681" s="1679">
        <v>1497.57</v>
      </c>
      <c r="EW2681" s="2031"/>
      <c r="EX2681" s="1619"/>
      <c r="EY2681" s="1628"/>
      <c r="EZ2681" s="1628"/>
      <c r="FA2681" s="1628"/>
      <c r="FE2681" s="1864" t="s">
        <v>2523</v>
      </c>
      <c r="FH2681" s="1628"/>
      <c r="FU2681" s="1678"/>
      <c r="FW2681" s="1678"/>
    </row>
    <row r="2682" spans="1:179" s="1484" customFormat="1" ht="15" x14ac:dyDescent="0.25">
      <c r="A2682" s="2032"/>
      <c r="B2682" s="1631" t="s">
        <v>639</v>
      </c>
      <c r="C2682" s="2805" t="s">
        <v>697</v>
      </c>
      <c r="D2682" s="2805"/>
      <c r="E2682" s="2805"/>
      <c r="F2682" s="1683"/>
      <c r="G2682" s="1641"/>
      <c r="H2682" s="1641"/>
      <c r="I2682" s="1641"/>
      <c r="J2682" s="1654">
        <v>16.43</v>
      </c>
      <c r="K2682" s="1641"/>
      <c r="L2682" s="1654">
        <v>4.3899999999999997</v>
      </c>
      <c r="M2682" s="1655">
        <v>11.97</v>
      </c>
      <c r="N2682" s="2039">
        <v>52.55</v>
      </c>
      <c r="EW2682" s="2031"/>
      <c r="EX2682" s="1619"/>
      <c r="EY2682" s="1628"/>
      <c r="EZ2682" s="1628"/>
      <c r="FA2682" s="1628"/>
      <c r="FE2682" s="1864" t="s">
        <v>697</v>
      </c>
      <c r="FH2682" s="1628"/>
      <c r="FU2682" s="1678"/>
      <c r="FW2682" s="1678"/>
    </row>
    <row r="2683" spans="1:179" s="1484" customFormat="1" ht="15" x14ac:dyDescent="0.25">
      <c r="A2683" s="2032"/>
      <c r="B2683" s="1631" t="s">
        <v>640</v>
      </c>
      <c r="C2683" s="2805" t="s">
        <v>2500</v>
      </c>
      <c r="D2683" s="2805"/>
      <c r="E2683" s="2805"/>
      <c r="F2683" s="1683"/>
      <c r="G2683" s="1641"/>
      <c r="H2683" s="1641"/>
      <c r="I2683" s="1641"/>
      <c r="J2683" s="1654">
        <v>2.9</v>
      </c>
      <c r="K2683" s="1641"/>
      <c r="L2683" s="1654">
        <v>0.77</v>
      </c>
      <c r="M2683" s="1655">
        <v>35.75</v>
      </c>
      <c r="N2683" s="2039">
        <v>27.53</v>
      </c>
      <c r="EW2683" s="2031"/>
      <c r="EX2683" s="1619"/>
      <c r="EY2683" s="1628"/>
      <c r="EZ2683" s="1628"/>
      <c r="FA2683" s="1628"/>
      <c r="FE2683" s="1864" t="s">
        <v>2500</v>
      </c>
      <c r="FH2683" s="1628"/>
      <c r="FU2683" s="1678"/>
      <c r="FW2683" s="1678"/>
    </row>
    <row r="2684" spans="1:179" s="1484" customFormat="1" ht="15" x14ac:dyDescent="0.25">
      <c r="A2684" s="2032"/>
      <c r="B2684" s="1631" t="s">
        <v>232</v>
      </c>
      <c r="C2684" s="2805" t="s">
        <v>829</v>
      </c>
      <c r="D2684" s="2805"/>
      <c r="E2684" s="2805"/>
      <c r="F2684" s="1683"/>
      <c r="G2684" s="1641"/>
      <c r="H2684" s="1641"/>
      <c r="I2684" s="1641"/>
      <c r="J2684" s="1654">
        <v>831.38</v>
      </c>
      <c r="K2684" s="1641"/>
      <c r="L2684" s="1654">
        <v>221.98</v>
      </c>
      <c r="M2684" s="1655">
        <v>9.14</v>
      </c>
      <c r="N2684" s="1679">
        <v>2028.9</v>
      </c>
      <c r="EW2684" s="2031"/>
      <c r="EX2684" s="1619"/>
      <c r="EY2684" s="1628"/>
      <c r="EZ2684" s="1628"/>
      <c r="FA2684" s="1628"/>
      <c r="FE2684" s="1864" t="s">
        <v>829</v>
      </c>
      <c r="FH2684" s="1628"/>
      <c r="FU2684" s="1678"/>
      <c r="FW2684" s="1678"/>
    </row>
    <row r="2685" spans="1:179" s="1484" customFormat="1" ht="15" x14ac:dyDescent="0.25">
      <c r="A2685" s="2033"/>
      <c r="B2685" s="1631"/>
      <c r="C2685" s="2805" t="s">
        <v>2524</v>
      </c>
      <c r="D2685" s="2805"/>
      <c r="E2685" s="2805"/>
      <c r="F2685" s="1683" t="s">
        <v>807</v>
      </c>
      <c r="G2685" s="1655">
        <v>14.36</v>
      </c>
      <c r="H2685" s="1641"/>
      <c r="I2685" s="2042">
        <v>3.83412</v>
      </c>
      <c r="J2685" s="1640"/>
      <c r="K2685" s="1641"/>
      <c r="L2685" s="1640"/>
      <c r="M2685" s="1641"/>
      <c r="N2685" s="1681"/>
      <c r="EW2685" s="2031"/>
      <c r="EX2685" s="1619"/>
      <c r="EY2685" s="1628"/>
      <c r="EZ2685" s="1628"/>
      <c r="FA2685" s="1628"/>
      <c r="FF2685" s="1864" t="s">
        <v>2524</v>
      </c>
      <c r="FH2685" s="1628"/>
      <c r="FU2685" s="1678"/>
      <c r="FW2685" s="1678"/>
    </row>
    <row r="2686" spans="1:179" s="1484" customFormat="1" ht="15" x14ac:dyDescent="0.25">
      <c r="A2686" s="2033"/>
      <c r="B2686" s="1631"/>
      <c r="C2686" s="2805" t="s">
        <v>2501</v>
      </c>
      <c r="D2686" s="2805"/>
      <c r="E2686" s="2805"/>
      <c r="F2686" s="1683" t="s">
        <v>807</v>
      </c>
      <c r="G2686" s="1655">
        <v>0.25</v>
      </c>
      <c r="H2686" s="1641"/>
      <c r="I2686" s="2042">
        <v>6.6750000000000004E-2</v>
      </c>
      <c r="J2686" s="1640"/>
      <c r="K2686" s="1641"/>
      <c r="L2686" s="1640"/>
      <c r="M2686" s="1641"/>
      <c r="N2686" s="1681"/>
      <c r="EW2686" s="2031"/>
      <c r="EX2686" s="1619"/>
      <c r="EY2686" s="1628"/>
      <c r="EZ2686" s="1628"/>
      <c r="FA2686" s="1628"/>
      <c r="FF2686" s="1864" t="s">
        <v>2501</v>
      </c>
      <c r="FH2686" s="1628"/>
      <c r="FU2686" s="1678"/>
      <c r="FW2686" s="1678"/>
    </row>
    <row r="2687" spans="1:179" s="1484" customFormat="1" ht="15" x14ac:dyDescent="0.25">
      <c r="A2687" s="2032"/>
      <c r="B2687" s="1631"/>
      <c r="C2687" s="2917" t="s">
        <v>2502</v>
      </c>
      <c r="D2687" s="2917"/>
      <c r="E2687" s="2917"/>
      <c r="F2687" s="2036"/>
      <c r="G2687" s="2037"/>
      <c r="H2687" s="2037"/>
      <c r="I2687" s="2037"/>
      <c r="J2687" s="2044">
        <v>973.32</v>
      </c>
      <c r="K2687" s="2037"/>
      <c r="L2687" s="2044">
        <v>268.26</v>
      </c>
      <c r="M2687" s="2037"/>
      <c r="N2687" s="2068">
        <v>3579.02</v>
      </c>
      <c r="EW2687" s="2031"/>
      <c r="EX2687" s="1619"/>
      <c r="EY2687" s="1628"/>
      <c r="EZ2687" s="1628"/>
      <c r="FA2687" s="1628"/>
      <c r="FG2687" s="1864" t="s">
        <v>2502</v>
      </c>
      <c r="FH2687" s="1628"/>
      <c r="FU2687" s="1678"/>
      <c r="FW2687" s="1678"/>
    </row>
    <row r="2688" spans="1:179" s="1484" customFormat="1" ht="15" x14ac:dyDescent="0.25">
      <c r="A2688" s="2033" t="s">
        <v>8409</v>
      </c>
      <c r="B2688" s="1631"/>
      <c r="C2688" s="2805" t="s">
        <v>7964</v>
      </c>
      <c r="D2688" s="2805"/>
      <c r="E2688" s="2805"/>
      <c r="F2688" s="1683" t="s">
        <v>5928</v>
      </c>
      <c r="G2688" s="1641"/>
      <c r="H2688" s="1641"/>
      <c r="I2688" s="1641"/>
      <c r="J2688" s="1640"/>
      <c r="K2688" s="1641"/>
      <c r="L2688" s="1654">
        <v>0.19</v>
      </c>
      <c r="M2688" s="1641"/>
      <c r="N2688" s="2039">
        <v>6.79</v>
      </c>
      <c r="EW2688" s="2031"/>
      <c r="EX2688" s="1619"/>
      <c r="EY2688" s="1628"/>
      <c r="EZ2688" s="1628"/>
      <c r="FA2688" s="1628"/>
      <c r="FF2688" s="1864" t="s">
        <v>7964</v>
      </c>
      <c r="FH2688" s="1628"/>
      <c r="FU2688" s="1678"/>
      <c r="FW2688" s="1678"/>
    </row>
    <row r="2689" spans="1:179" s="1484" customFormat="1" ht="15" x14ac:dyDescent="0.25">
      <c r="A2689" s="2033"/>
      <c r="B2689" s="1631"/>
      <c r="C2689" s="2805" t="s">
        <v>7965</v>
      </c>
      <c r="D2689" s="2805"/>
      <c r="E2689" s="2805"/>
      <c r="F2689" s="1683" t="s">
        <v>5928</v>
      </c>
      <c r="G2689" s="1641"/>
      <c r="H2689" s="1641"/>
      <c r="I2689" s="1641"/>
      <c r="J2689" s="1654">
        <v>2.9</v>
      </c>
      <c r="K2689" s="1655">
        <v>0.25</v>
      </c>
      <c r="L2689" s="1654">
        <v>0.19</v>
      </c>
      <c r="M2689" s="1655">
        <v>35.75</v>
      </c>
      <c r="N2689" s="2039">
        <v>6.79</v>
      </c>
      <c r="EW2689" s="2031"/>
      <c r="EX2689" s="1619"/>
      <c r="EY2689" s="1628"/>
      <c r="EZ2689" s="1628"/>
      <c r="FA2689" s="1628"/>
      <c r="FF2689" s="1864" t="s">
        <v>7965</v>
      </c>
      <c r="FH2689" s="1628"/>
      <c r="FU2689" s="1678"/>
      <c r="FW2689" s="1678"/>
    </row>
    <row r="2690" spans="1:179" s="1484" customFormat="1" ht="15" x14ac:dyDescent="0.25">
      <c r="A2690" s="2033"/>
      <c r="B2690" s="1631"/>
      <c r="C2690" s="2805" t="s">
        <v>867</v>
      </c>
      <c r="D2690" s="2805"/>
      <c r="E2690" s="2805"/>
      <c r="F2690" s="1683"/>
      <c r="G2690" s="1641"/>
      <c r="H2690" s="1641"/>
      <c r="I2690" s="1641"/>
      <c r="J2690" s="1640"/>
      <c r="K2690" s="1641"/>
      <c r="L2690" s="1654">
        <v>42.85</v>
      </c>
      <c r="M2690" s="1641"/>
      <c r="N2690" s="1679">
        <v>1531.89</v>
      </c>
      <c r="EW2690" s="2031"/>
      <c r="EX2690" s="1619"/>
      <c r="EY2690" s="1628"/>
      <c r="EZ2690" s="1628"/>
      <c r="FA2690" s="1628"/>
      <c r="FF2690" s="1864" t="s">
        <v>867</v>
      </c>
      <c r="FH2690" s="1628"/>
      <c r="FU2690" s="1678"/>
      <c r="FW2690" s="1678"/>
    </row>
    <row r="2691" spans="1:179" s="1484" customFormat="1" ht="15" x14ac:dyDescent="0.25">
      <c r="A2691" s="2033"/>
      <c r="B2691" s="1631" t="s">
        <v>7983</v>
      </c>
      <c r="C2691" s="2805" t="s">
        <v>7984</v>
      </c>
      <c r="D2691" s="2805"/>
      <c r="E2691" s="2805"/>
      <c r="F2691" s="1683" t="s">
        <v>636</v>
      </c>
      <c r="G2691" s="2034">
        <v>97</v>
      </c>
      <c r="H2691" s="1641"/>
      <c r="I2691" s="2034">
        <v>97</v>
      </c>
      <c r="J2691" s="1640"/>
      <c r="K2691" s="1641"/>
      <c r="L2691" s="1654">
        <v>41.56</v>
      </c>
      <c r="M2691" s="1641"/>
      <c r="N2691" s="1679">
        <v>1485.93</v>
      </c>
      <c r="EW2691" s="2031"/>
      <c r="EX2691" s="1619"/>
      <c r="EY2691" s="1628"/>
      <c r="EZ2691" s="1628"/>
      <c r="FA2691" s="1628"/>
      <c r="FF2691" s="1864" t="s">
        <v>7984</v>
      </c>
      <c r="FH2691" s="1628"/>
      <c r="FU2691" s="1678"/>
      <c r="FW2691" s="1678"/>
    </row>
    <row r="2692" spans="1:179" s="1484" customFormat="1" ht="15" x14ac:dyDescent="0.25">
      <c r="A2692" s="2033"/>
      <c r="B2692" s="1631" t="s">
        <v>7985</v>
      </c>
      <c r="C2692" s="2805" t="s">
        <v>7986</v>
      </c>
      <c r="D2692" s="2805"/>
      <c r="E2692" s="2805"/>
      <c r="F2692" s="1683" t="s">
        <v>636</v>
      </c>
      <c r="G2692" s="2034">
        <v>55</v>
      </c>
      <c r="H2692" s="1641"/>
      <c r="I2692" s="2034">
        <v>55</v>
      </c>
      <c r="J2692" s="1640"/>
      <c r="K2692" s="1641"/>
      <c r="L2692" s="1654">
        <v>23.57</v>
      </c>
      <c r="M2692" s="1641"/>
      <c r="N2692" s="2039">
        <v>842.54</v>
      </c>
      <c r="EW2692" s="2031"/>
      <c r="EX2692" s="1619"/>
      <c r="EY2692" s="1628"/>
      <c r="EZ2692" s="1628"/>
      <c r="FA2692" s="1628"/>
      <c r="FF2692" s="1864" t="s">
        <v>7986</v>
      </c>
      <c r="FH2692" s="1628"/>
      <c r="FU2692" s="1678"/>
      <c r="FW2692" s="1678"/>
    </row>
    <row r="2693" spans="1:179" s="1484" customFormat="1" ht="15" x14ac:dyDescent="0.25">
      <c r="A2693" s="1650"/>
      <c r="B2693" s="1651"/>
      <c r="C2693" s="2803" t="s">
        <v>872</v>
      </c>
      <c r="D2693" s="2803"/>
      <c r="E2693" s="2803"/>
      <c r="F2693" s="1621"/>
      <c r="G2693" s="1622"/>
      <c r="H2693" s="1622"/>
      <c r="I2693" s="1622"/>
      <c r="J2693" s="1625"/>
      <c r="K2693" s="1622"/>
      <c r="L2693" s="2040">
        <v>333.58</v>
      </c>
      <c r="M2693" s="2037"/>
      <c r="N2693" s="1649">
        <v>5914.28</v>
      </c>
      <c r="EW2693" s="2031"/>
      <c r="EX2693" s="1619"/>
      <c r="EY2693" s="1628"/>
      <c r="EZ2693" s="1628"/>
      <c r="FA2693" s="1628"/>
      <c r="FH2693" s="1628" t="s">
        <v>872</v>
      </c>
      <c r="FU2693" s="1678"/>
      <c r="FW2693" s="1678"/>
    </row>
    <row r="2694" spans="1:179" s="1484" customFormat="1" ht="22.5" x14ac:dyDescent="0.25">
      <c r="A2694" s="1620" t="s">
        <v>8410</v>
      </c>
      <c r="B2694" s="1863" t="s">
        <v>7999</v>
      </c>
      <c r="C2694" s="2803" t="s">
        <v>8000</v>
      </c>
      <c r="D2694" s="2803"/>
      <c r="E2694" s="2803"/>
      <c r="F2694" s="1621" t="s">
        <v>4886</v>
      </c>
      <c r="G2694" s="1622">
        <v>3.0705</v>
      </c>
      <c r="H2694" s="1623">
        <v>1</v>
      </c>
      <c r="I2694" s="2041">
        <v>3.0705</v>
      </c>
      <c r="J2694" s="2040">
        <v>253</v>
      </c>
      <c r="K2694" s="1622"/>
      <c r="L2694" s="2040">
        <v>776.84</v>
      </c>
      <c r="M2694" s="1687">
        <v>9.14</v>
      </c>
      <c r="N2694" s="1649">
        <v>7100.32</v>
      </c>
      <c r="EW2694" s="2031"/>
      <c r="EX2694" s="1619"/>
      <c r="EY2694" s="1628" t="s">
        <v>8000</v>
      </c>
      <c r="EZ2694" s="1628" t="s">
        <v>588</v>
      </c>
      <c r="FA2694" s="1628" t="s">
        <v>588</v>
      </c>
      <c r="FH2694" s="1628"/>
      <c r="FU2694" s="1678"/>
      <c r="FW2694" s="1678"/>
    </row>
    <row r="2695" spans="1:179" s="1484" customFormat="1" ht="15" x14ac:dyDescent="0.25">
      <c r="A2695" s="1650"/>
      <c r="B2695" s="1651"/>
      <c r="C2695" s="2805" t="s">
        <v>8640</v>
      </c>
      <c r="D2695" s="2805"/>
      <c r="E2695" s="2805"/>
      <c r="F2695" s="2805"/>
      <c r="G2695" s="2805"/>
      <c r="H2695" s="2805"/>
      <c r="I2695" s="2805"/>
      <c r="J2695" s="2805"/>
      <c r="K2695" s="2805"/>
      <c r="L2695" s="2805"/>
      <c r="M2695" s="2805"/>
      <c r="N2695" s="2806"/>
      <c r="EW2695" s="2031"/>
      <c r="EX2695" s="1619"/>
      <c r="EY2695" s="1628"/>
      <c r="EZ2695" s="1628"/>
      <c r="FA2695" s="1628"/>
      <c r="FH2695" s="1628"/>
      <c r="FI2695" s="1864" t="s">
        <v>8640</v>
      </c>
      <c r="FJ2695" s="1864" t="s">
        <v>588</v>
      </c>
      <c r="FK2695" s="1864" t="s">
        <v>588</v>
      </c>
      <c r="FL2695" s="1864" t="s">
        <v>588</v>
      </c>
      <c r="FM2695" s="1864" t="s">
        <v>588</v>
      </c>
      <c r="FN2695" s="1864" t="s">
        <v>588</v>
      </c>
      <c r="FO2695" s="1864" t="s">
        <v>588</v>
      </c>
      <c r="FP2695" s="1864" t="s">
        <v>588</v>
      </c>
      <c r="FQ2695" s="1864" t="s">
        <v>588</v>
      </c>
      <c r="FR2695" s="1864" t="s">
        <v>588</v>
      </c>
      <c r="FS2695" s="1864" t="s">
        <v>588</v>
      </c>
      <c r="FT2695" s="1864" t="s">
        <v>588</v>
      </c>
      <c r="FU2695" s="1678"/>
      <c r="FW2695" s="1678"/>
    </row>
    <row r="2696" spans="1:179" s="1484" customFormat="1" ht="15" x14ac:dyDescent="0.25">
      <c r="A2696" s="1629"/>
      <c r="B2696" s="1862"/>
      <c r="C2696" s="2805" t="s">
        <v>8758</v>
      </c>
      <c r="D2696" s="2805"/>
      <c r="E2696" s="2805"/>
      <c r="F2696" s="2805"/>
      <c r="G2696" s="2805"/>
      <c r="H2696" s="2805"/>
      <c r="I2696" s="2805"/>
      <c r="J2696" s="2805"/>
      <c r="K2696" s="2805"/>
      <c r="L2696" s="2805"/>
      <c r="M2696" s="2805"/>
      <c r="N2696" s="2806"/>
      <c r="EW2696" s="2031"/>
      <c r="EX2696" s="1619"/>
      <c r="EY2696" s="1628"/>
      <c r="EZ2696" s="1628"/>
      <c r="FA2696" s="1628"/>
      <c r="FB2696" s="1864" t="s">
        <v>8758</v>
      </c>
      <c r="FH2696" s="1628"/>
      <c r="FU2696" s="1678"/>
      <c r="FW2696" s="1678"/>
    </row>
    <row r="2697" spans="1:179" s="1484" customFormat="1" ht="15" x14ac:dyDescent="0.25">
      <c r="A2697" s="1650"/>
      <c r="B2697" s="1651"/>
      <c r="C2697" s="2803" t="s">
        <v>872</v>
      </c>
      <c r="D2697" s="2803"/>
      <c r="E2697" s="2803"/>
      <c r="F2697" s="1621"/>
      <c r="G2697" s="1622"/>
      <c r="H2697" s="1622"/>
      <c r="I2697" s="1622"/>
      <c r="J2697" s="1625"/>
      <c r="K2697" s="1622"/>
      <c r="L2697" s="2040">
        <v>776.84</v>
      </c>
      <c r="M2697" s="2037"/>
      <c r="N2697" s="1649">
        <v>7100.32</v>
      </c>
      <c r="EW2697" s="2031"/>
      <c r="EX2697" s="1619"/>
      <c r="EY2697" s="1628"/>
      <c r="EZ2697" s="1628"/>
      <c r="FA2697" s="1628"/>
      <c r="FH2697" s="1628" t="s">
        <v>872</v>
      </c>
      <c r="FU2697" s="1678"/>
      <c r="FW2697" s="1678"/>
    </row>
    <row r="2698" spans="1:179" s="1484" customFormat="1" ht="22.5" x14ac:dyDescent="0.25">
      <c r="A2698" s="1620" t="s">
        <v>8411</v>
      </c>
      <c r="B2698" s="1863" t="s">
        <v>8139</v>
      </c>
      <c r="C2698" s="2803" t="s">
        <v>8140</v>
      </c>
      <c r="D2698" s="2803"/>
      <c r="E2698" s="2803"/>
      <c r="F2698" s="1621" t="s">
        <v>2555</v>
      </c>
      <c r="G2698" s="1622">
        <v>0.26700000000000002</v>
      </c>
      <c r="H2698" s="1623">
        <v>1</v>
      </c>
      <c r="I2698" s="2045">
        <v>0.26700000000000002</v>
      </c>
      <c r="J2698" s="1625"/>
      <c r="K2698" s="1622"/>
      <c r="L2698" s="1625"/>
      <c r="M2698" s="1622"/>
      <c r="N2698" s="1627"/>
      <c r="EW2698" s="2031"/>
      <c r="EX2698" s="1619"/>
      <c r="EY2698" s="1628" t="s">
        <v>8140</v>
      </c>
      <c r="EZ2698" s="1628" t="s">
        <v>588</v>
      </c>
      <c r="FA2698" s="1628" t="s">
        <v>588</v>
      </c>
      <c r="FH2698" s="1628"/>
      <c r="FU2698" s="1678"/>
      <c r="FW2698" s="1678"/>
    </row>
    <row r="2699" spans="1:179" s="1484" customFormat="1" ht="15" x14ac:dyDescent="0.25">
      <c r="A2699" s="1629"/>
      <c r="B2699" s="1862"/>
      <c r="C2699" s="2805" t="s">
        <v>8753</v>
      </c>
      <c r="D2699" s="2805"/>
      <c r="E2699" s="2805"/>
      <c r="F2699" s="2805"/>
      <c r="G2699" s="2805"/>
      <c r="H2699" s="2805"/>
      <c r="I2699" s="2805"/>
      <c r="J2699" s="2805"/>
      <c r="K2699" s="2805"/>
      <c r="L2699" s="2805"/>
      <c r="M2699" s="2805"/>
      <c r="N2699" s="2806"/>
      <c r="EW2699" s="2031"/>
      <c r="EX2699" s="1619"/>
      <c r="EY2699" s="1628"/>
      <c r="EZ2699" s="1628"/>
      <c r="FA2699" s="1628"/>
      <c r="FB2699" s="1864" t="s">
        <v>8753</v>
      </c>
      <c r="FH2699" s="1628"/>
      <c r="FU2699" s="1678"/>
      <c r="FW2699" s="1678"/>
    </row>
    <row r="2700" spans="1:179" s="1484" customFormat="1" ht="22.5" x14ac:dyDescent="0.25">
      <c r="A2700" s="1630"/>
      <c r="B2700" s="1631" t="s">
        <v>6062</v>
      </c>
      <c r="C2700" s="2809" t="s">
        <v>6063</v>
      </c>
      <c r="D2700" s="2809"/>
      <c r="E2700" s="2809"/>
      <c r="F2700" s="2809"/>
      <c r="G2700" s="2809"/>
      <c r="H2700" s="2809"/>
      <c r="I2700" s="2809"/>
      <c r="J2700" s="2809"/>
      <c r="K2700" s="2809"/>
      <c r="L2700" s="2809"/>
      <c r="M2700" s="2809"/>
      <c r="N2700" s="2810"/>
      <c r="EW2700" s="2031"/>
      <c r="EX2700" s="1619"/>
      <c r="EY2700" s="1628"/>
      <c r="EZ2700" s="1628"/>
      <c r="FA2700" s="1628"/>
      <c r="FC2700" s="1864" t="s">
        <v>6063</v>
      </c>
      <c r="FH2700" s="1628"/>
      <c r="FU2700" s="1678"/>
      <c r="FW2700" s="1678"/>
    </row>
    <row r="2701" spans="1:179" s="1484" customFormat="1" ht="22.5" x14ac:dyDescent="0.25">
      <c r="A2701" s="2033"/>
      <c r="B2701" s="1631" t="s">
        <v>8756</v>
      </c>
      <c r="C2701" s="2805" t="s">
        <v>8755</v>
      </c>
      <c r="D2701" s="2805"/>
      <c r="E2701" s="2805"/>
      <c r="F2701" s="1683" t="s">
        <v>807</v>
      </c>
      <c r="G2701" s="1953">
        <v>35.6</v>
      </c>
      <c r="H2701" s="1641"/>
      <c r="I2701" s="2035">
        <v>9.5052000000000003</v>
      </c>
      <c r="J2701" s="1654">
        <v>7.94</v>
      </c>
      <c r="K2701" s="1655">
        <v>1.25</v>
      </c>
      <c r="L2701" s="1654">
        <v>94.34</v>
      </c>
      <c r="M2701" s="1641"/>
      <c r="N2701" s="1681"/>
      <c r="EW2701" s="2031"/>
      <c r="EX2701" s="1619"/>
      <c r="EY2701" s="1628"/>
      <c r="EZ2701" s="1628"/>
      <c r="FA2701" s="1628"/>
      <c r="FD2701" s="1864" t="s">
        <v>8755</v>
      </c>
      <c r="FH2701" s="1628"/>
      <c r="FU2701" s="1678"/>
      <c r="FW2701" s="1678"/>
    </row>
    <row r="2702" spans="1:179" s="1484" customFormat="1" ht="22.5" x14ac:dyDescent="0.25">
      <c r="A2702" s="2033"/>
      <c r="B2702" s="1631" t="s">
        <v>5010</v>
      </c>
      <c r="C2702" s="2805" t="s">
        <v>5011</v>
      </c>
      <c r="D2702" s="2805"/>
      <c r="E2702" s="2805"/>
      <c r="F2702" s="1683" t="s">
        <v>4994</v>
      </c>
      <c r="G2702" s="1655">
        <v>1.27</v>
      </c>
      <c r="H2702" s="1641"/>
      <c r="I2702" s="2042">
        <v>0.33909</v>
      </c>
      <c r="J2702" s="1654">
        <v>31.26</v>
      </c>
      <c r="K2702" s="1641"/>
      <c r="L2702" s="1654">
        <v>10.6</v>
      </c>
      <c r="M2702" s="1641"/>
      <c r="N2702" s="1681"/>
      <c r="EW2702" s="2031"/>
      <c r="EX2702" s="1619"/>
      <c r="EY2702" s="1628"/>
      <c r="EZ2702" s="1628"/>
      <c r="FA2702" s="1628"/>
      <c r="FD2702" s="1864" t="s">
        <v>5011</v>
      </c>
      <c r="FH2702" s="1628"/>
      <c r="FU2702" s="1678"/>
      <c r="FW2702" s="1678"/>
    </row>
    <row r="2703" spans="1:179" s="1484" customFormat="1" ht="15" x14ac:dyDescent="0.25">
      <c r="A2703" s="2033"/>
      <c r="B2703" s="1631" t="s">
        <v>5012</v>
      </c>
      <c r="C2703" s="2805" t="s">
        <v>5013</v>
      </c>
      <c r="D2703" s="2805"/>
      <c r="E2703" s="2805"/>
      <c r="F2703" s="1683" t="s">
        <v>4994</v>
      </c>
      <c r="G2703" s="1655">
        <v>7.82</v>
      </c>
      <c r="H2703" s="1641"/>
      <c r="I2703" s="2042">
        <v>2.0879400000000001</v>
      </c>
      <c r="J2703" s="1654">
        <v>0.5</v>
      </c>
      <c r="K2703" s="1641"/>
      <c r="L2703" s="1654">
        <v>1.04</v>
      </c>
      <c r="M2703" s="1641"/>
      <c r="N2703" s="1681"/>
      <c r="EW2703" s="2031"/>
      <c r="EX2703" s="1619"/>
      <c r="EY2703" s="1628"/>
      <c r="EZ2703" s="1628"/>
      <c r="FA2703" s="1628"/>
      <c r="FD2703" s="1864" t="s">
        <v>5013</v>
      </c>
      <c r="FH2703" s="1628"/>
      <c r="FU2703" s="1678"/>
      <c r="FW2703" s="1678"/>
    </row>
    <row r="2704" spans="1:179" s="1484" customFormat="1" ht="15" x14ac:dyDescent="0.25">
      <c r="A2704" s="2033"/>
      <c r="B2704" s="1631" t="s">
        <v>1755</v>
      </c>
      <c r="C2704" s="2805" t="s">
        <v>2634</v>
      </c>
      <c r="D2704" s="2805"/>
      <c r="E2704" s="2805"/>
      <c r="F2704" s="1683" t="s">
        <v>832</v>
      </c>
      <c r="G2704" s="1953">
        <v>3.5</v>
      </c>
      <c r="H2704" s="1641"/>
      <c r="I2704" s="2035">
        <v>0.9345</v>
      </c>
      <c r="J2704" s="1654">
        <v>2.44</v>
      </c>
      <c r="K2704" s="1641"/>
      <c r="L2704" s="1654">
        <v>2.2799999999999998</v>
      </c>
      <c r="M2704" s="1641"/>
      <c r="N2704" s="1681"/>
      <c r="EW2704" s="2031"/>
      <c r="EX2704" s="1619"/>
      <c r="EY2704" s="1628"/>
      <c r="EZ2704" s="1628"/>
      <c r="FA2704" s="1628"/>
      <c r="FD2704" s="1864" t="s">
        <v>2634</v>
      </c>
      <c r="FH2704" s="1628"/>
      <c r="FU2704" s="1678"/>
      <c r="FW2704" s="1678"/>
    </row>
    <row r="2705" spans="1:179" s="1484" customFormat="1" ht="15" x14ac:dyDescent="0.25">
      <c r="A2705" s="2032"/>
      <c r="B2705" s="1631" t="s">
        <v>190</v>
      </c>
      <c r="C2705" s="2805" t="s">
        <v>2523</v>
      </c>
      <c r="D2705" s="2805"/>
      <c r="E2705" s="2805"/>
      <c r="F2705" s="1683"/>
      <c r="G2705" s="1641"/>
      <c r="H2705" s="1641"/>
      <c r="I2705" s="1641"/>
      <c r="J2705" s="1654">
        <v>282.66000000000003</v>
      </c>
      <c r="K2705" s="1655">
        <v>1.25</v>
      </c>
      <c r="L2705" s="1654">
        <v>94.34</v>
      </c>
      <c r="M2705" s="1655">
        <v>35.75</v>
      </c>
      <c r="N2705" s="1679">
        <v>3372.66</v>
      </c>
      <c r="EW2705" s="2031"/>
      <c r="EX2705" s="1619"/>
      <c r="EY2705" s="1628"/>
      <c r="EZ2705" s="1628"/>
      <c r="FA2705" s="1628"/>
      <c r="FE2705" s="1864" t="s">
        <v>2523</v>
      </c>
      <c r="FH2705" s="1628"/>
      <c r="FU2705" s="1678"/>
      <c r="FW2705" s="1678"/>
    </row>
    <row r="2706" spans="1:179" s="1484" customFormat="1" ht="15" x14ac:dyDescent="0.25">
      <c r="A2706" s="2032"/>
      <c r="B2706" s="1631" t="s">
        <v>639</v>
      </c>
      <c r="C2706" s="2805" t="s">
        <v>697</v>
      </c>
      <c r="D2706" s="2805"/>
      <c r="E2706" s="2805"/>
      <c r="F2706" s="1683"/>
      <c r="G2706" s="1641"/>
      <c r="H2706" s="1641"/>
      <c r="I2706" s="1641"/>
      <c r="J2706" s="1654">
        <v>43.61</v>
      </c>
      <c r="K2706" s="1641"/>
      <c r="L2706" s="1654">
        <v>11.64</v>
      </c>
      <c r="M2706" s="1655">
        <v>11.97</v>
      </c>
      <c r="N2706" s="2039">
        <v>139.33000000000001</v>
      </c>
      <c r="EW2706" s="2031"/>
      <c r="EX2706" s="1619"/>
      <c r="EY2706" s="1628"/>
      <c r="EZ2706" s="1628"/>
      <c r="FA2706" s="1628"/>
      <c r="FE2706" s="1864" t="s">
        <v>697</v>
      </c>
      <c r="FH2706" s="1628"/>
      <c r="FU2706" s="1678"/>
      <c r="FW2706" s="1678"/>
    </row>
    <row r="2707" spans="1:179" s="1484" customFormat="1" ht="15" x14ac:dyDescent="0.25">
      <c r="A2707" s="2032"/>
      <c r="B2707" s="1631" t="s">
        <v>640</v>
      </c>
      <c r="C2707" s="2805" t="s">
        <v>2500</v>
      </c>
      <c r="D2707" s="2805"/>
      <c r="E2707" s="2805"/>
      <c r="F2707" s="1683"/>
      <c r="G2707" s="1641"/>
      <c r="H2707" s="1641"/>
      <c r="I2707" s="1641"/>
      <c r="J2707" s="1654">
        <v>17.149999999999999</v>
      </c>
      <c r="K2707" s="1641"/>
      <c r="L2707" s="1654">
        <v>4.58</v>
      </c>
      <c r="M2707" s="1655">
        <v>35.75</v>
      </c>
      <c r="N2707" s="2039">
        <v>163.74</v>
      </c>
      <c r="EW2707" s="2031"/>
      <c r="EX2707" s="1619"/>
      <c r="EY2707" s="1628"/>
      <c r="EZ2707" s="1628"/>
      <c r="FA2707" s="1628"/>
      <c r="FE2707" s="1864" t="s">
        <v>2500</v>
      </c>
      <c r="FH2707" s="1628"/>
      <c r="FU2707" s="1678"/>
      <c r="FW2707" s="1678"/>
    </row>
    <row r="2708" spans="1:179" s="1484" customFormat="1" ht="15" x14ac:dyDescent="0.25">
      <c r="A2708" s="2032"/>
      <c r="B2708" s="1631" t="s">
        <v>232</v>
      </c>
      <c r="C2708" s="2805" t="s">
        <v>829</v>
      </c>
      <c r="D2708" s="2805"/>
      <c r="E2708" s="2805"/>
      <c r="F2708" s="1683"/>
      <c r="G2708" s="1641"/>
      <c r="H2708" s="1641"/>
      <c r="I2708" s="1641"/>
      <c r="J2708" s="1654">
        <v>8.5399999999999991</v>
      </c>
      <c r="K2708" s="1641"/>
      <c r="L2708" s="1654">
        <v>2.2799999999999998</v>
      </c>
      <c r="M2708" s="1655">
        <v>9.14</v>
      </c>
      <c r="N2708" s="2039">
        <v>20.84</v>
      </c>
      <c r="EW2708" s="2031"/>
      <c r="EX2708" s="1619"/>
      <c r="EY2708" s="1628"/>
      <c r="EZ2708" s="1628"/>
      <c r="FA2708" s="1628"/>
      <c r="FE2708" s="1864" t="s">
        <v>829</v>
      </c>
      <c r="FH2708" s="1628"/>
      <c r="FU2708" s="1678"/>
      <c r="FW2708" s="1678"/>
    </row>
    <row r="2709" spans="1:179" s="1484" customFormat="1" ht="15" x14ac:dyDescent="0.25">
      <c r="A2709" s="2033"/>
      <c r="B2709" s="1631"/>
      <c r="C2709" s="2805" t="s">
        <v>2524</v>
      </c>
      <c r="D2709" s="2805"/>
      <c r="E2709" s="2805"/>
      <c r="F2709" s="1683" t="s">
        <v>807</v>
      </c>
      <c r="G2709" s="1953">
        <v>35.6</v>
      </c>
      <c r="H2709" s="1641"/>
      <c r="I2709" s="2035">
        <v>9.5052000000000003</v>
      </c>
      <c r="J2709" s="1640"/>
      <c r="K2709" s="1641"/>
      <c r="L2709" s="1640"/>
      <c r="M2709" s="1641"/>
      <c r="N2709" s="1681"/>
      <c r="EW2709" s="2031"/>
      <c r="EX2709" s="1619"/>
      <c r="EY2709" s="1628"/>
      <c r="EZ2709" s="1628"/>
      <c r="FA2709" s="1628"/>
      <c r="FF2709" s="1864" t="s">
        <v>2524</v>
      </c>
      <c r="FH2709" s="1628"/>
      <c r="FU2709" s="1678"/>
      <c r="FW2709" s="1678"/>
    </row>
    <row r="2710" spans="1:179" s="1484" customFormat="1" ht="15" x14ac:dyDescent="0.25">
      <c r="A2710" s="2033"/>
      <c r="B2710" s="1631"/>
      <c r="C2710" s="2805" t="s">
        <v>2501</v>
      </c>
      <c r="D2710" s="2805"/>
      <c r="E2710" s="2805"/>
      <c r="F2710" s="1683" t="s">
        <v>807</v>
      </c>
      <c r="G2710" s="1655">
        <v>1.27</v>
      </c>
      <c r="H2710" s="1641"/>
      <c r="I2710" s="2042">
        <v>0.33909</v>
      </c>
      <c r="J2710" s="1640"/>
      <c r="K2710" s="1641"/>
      <c r="L2710" s="1640"/>
      <c r="M2710" s="1641"/>
      <c r="N2710" s="1681"/>
      <c r="EW2710" s="2031"/>
      <c r="EX2710" s="1619"/>
      <c r="EY2710" s="1628"/>
      <c r="EZ2710" s="1628"/>
      <c r="FA2710" s="1628"/>
      <c r="FF2710" s="1864" t="s">
        <v>2501</v>
      </c>
      <c r="FH2710" s="1628"/>
      <c r="FU2710" s="1678"/>
      <c r="FW2710" s="1678"/>
    </row>
    <row r="2711" spans="1:179" s="1484" customFormat="1" ht="15" x14ac:dyDescent="0.25">
      <c r="A2711" s="2032"/>
      <c r="B2711" s="1631"/>
      <c r="C2711" s="2917" t="s">
        <v>2502</v>
      </c>
      <c r="D2711" s="2917"/>
      <c r="E2711" s="2917"/>
      <c r="F2711" s="2036"/>
      <c r="G2711" s="2037"/>
      <c r="H2711" s="2037"/>
      <c r="I2711" s="2037"/>
      <c r="J2711" s="2044">
        <v>334.81</v>
      </c>
      <c r="K2711" s="2037"/>
      <c r="L2711" s="2044">
        <v>108.26</v>
      </c>
      <c r="M2711" s="2037"/>
      <c r="N2711" s="2068">
        <v>3532.83</v>
      </c>
      <c r="EW2711" s="2031"/>
      <c r="EX2711" s="1619"/>
      <c r="EY2711" s="1628"/>
      <c r="EZ2711" s="1628"/>
      <c r="FA2711" s="1628"/>
      <c r="FG2711" s="1864" t="s">
        <v>2502</v>
      </c>
      <c r="FH2711" s="1628"/>
      <c r="FU2711" s="1678"/>
      <c r="FW2711" s="1678"/>
    </row>
    <row r="2712" spans="1:179" s="1484" customFormat="1" ht="15" x14ac:dyDescent="0.25">
      <c r="A2712" s="2033" t="s">
        <v>8412</v>
      </c>
      <c r="B2712" s="1631"/>
      <c r="C2712" s="2805" t="s">
        <v>7964</v>
      </c>
      <c r="D2712" s="2805"/>
      <c r="E2712" s="2805"/>
      <c r="F2712" s="1683" t="s">
        <v>5928</v>
      </c>
      <c r="G2712" s="1641"/>
      <c r="H2712" s="1641"/>
      <c r="I2712" s="1641"/>
      <c r="J2712" s="1640"/>
      <c r="K2712" s="1641"/>
      <c r="L2712" s="1654">
        <v>1.1399999999999999</v>
      </c>
      <c r="M2712" s="1641"/>
      <c r="N2712" s="2039">
        <v>40.76</v>
      </c>
      <c r="EW2712" s="2031"/>
      <c r="EX2712" s="1619"/>
      <c r="EY2712" s="1628"/>
      <c r="EZ2712" s="1628"/>
      <c r="FA2712" s="1628"/>
      <c r="FF2712" s="1864" t="s">
        <v>7964</v>
      </c>
      <c r="FH2712" s="1628"/>
      <c r="FU2712" s="1678"/>
      <c r="FW2712" s="1678"/>
    </row>
    <row r="2713" spans="1:179" s="1484" customFormat="1" ht="15" x14ac:dyDescent="0.25">
      <c r="A2713" s="2033"/>
      <c r="B2713" s="1631"/>
      <c r="C2713" s="2805" t="s">
        <v>7965</v>
      </c>
      <c r="D2713" s="2805"/>
      <c r="E2713" s="2805"/>
      <c r="F2713" s="1683" t="s">
        <v>5928</v>
      </c>
      <c r="G2713" s="1641"/>
      <c r="H2713" s="1641"/>
      <c r="I2713" s="1641"/>
      <c r="J2713" s="1654">
        <v>17.149999999999999</v>
      </c>
      <c r="K2713" s="1655">
        <v>0.25</v>
      </c>
      <c r="L2713" s="1654">
        <v>1.1399999999999999</v>
      </c>
      <c r="M2713" s="1655">
        <v>35.75</v>
      </c>
      <c r="N2713" s="2039">
        <v>40.76</v>
      </c>
      <c r="EW2713" s="2031"/>
      <c r="EX2713" s="1619"/>
      <c r="EY2713" s="1628"/>
      <c r="EZ2713" s="1628"/>
      <c r="FA2713" s="1628"/>
      <c r="FF2713" s="1864" t="s">
        <v>7965</v>
      </c>
      <c r="FH2713" s="1628"/>
      <c r="FU2713" s="1678"/>
      <c r="FW2713" s="1678"/>
    </row>
    <row r="2714" spans="1:179" s="1484" customFormat="1" ht="15" x14ac:dyDescent="0.25">
      <c r="A2714" s="2033"/>
      <c r="B2714" s="1631"/>
      <c r="C2714" s="2805" t="s">
        <v>867</v>
      </c>
      <c r="D2714" s="2805"/>
      <c r="E2714" s="2805"/>
      <c r="F2714" s="1683"/>
      <c r="G2714" s="1641"/>
      <c r="H2714" s="1641"/>
      <c r="I2714" s="1641"/>
      <c r="J2714" s="1640"/>
      <c r="K2714" s="1641"/>
      <c r="L2714" s="1654">
        <v>100.06</v>
      </c>
      <c r="M2714" s="1641"/>
      <c r="N2714" s="1679">
        <v>3577.16</v>
      </c>
      <c r="EW2714" s="2031"/>
      <c r="EX2714" s="1619"/>
      <c r="EY2714" s="1628"/>
      <c r="EZ2714" s="1628"/>
      <c r="FA2714" s="1628"/>
      <c r="FF2714" s="1864" t="s">
        <v>867</v>
      </c>
      <c r="FH2714" s="1628"/>
      <c r="FU2714" s="1678"/>
      <c r="FW2714" s="1678"/>
    </row>
    <row r="2715" spans="1:179" s="1484" customFormat="1" ht="15" x14ac:dyDescent="0.25">
      <c r="A2715" s="2033"/>
      <c r="B2715" s="1631" t="s">
        <v>8054</v>
      </c>
      <c r="C2715" s="2805" t="s">
        <v>8055</v>
      </c>
      <c r="D2715" s="2805"/>
      <c r="E2715" s="2805"/>
      <c r="F2715" s="1683" t="s">
        <v>636</v>
      </c>
      <c r="G2715" s="2034">
        <v>112</v>
      </c>
      <c r="H2715" s="1641"/>
      <c r="I2715" s="2034">
        <v>112</v>
      </c>
      <c r="J2715" s="1640"/>
      <c r="K2715" s="1641"/>
      <c r="L2715" s="1654">
        <v>112.07</v>
      </c>
      <c r="M2715" s="1641"/>
      <c r="N2715" s="1679">
        <v>4006.42</v>
      </c>
      <c r="EW2715" s="2031"/>
      <c r="EX2715" s="1619"/>
      <c r="EY2715" s="1628"/>
      <c r="EZ2715" s="1628"/>
      <c r="FA2715" s="1628"/>
      <c r="FF2715" s="1864" t="s">
        <v>8055</v>
      </c>
      <c r="FH2715" s="1628"/>
      <c r="FU2715" s="1678"/>
      <c r="FW2715" s="1678"/>
    </row>
    <row r="2716" spans="1:179" s="1484" customFormat="1" ht="15" x14ac:dyDescent="0.25">
      <c r="A2716" s="2033"/>
      <c r="B2716" s="1631" t="s">
        <v>8056</v>
      </c>
      <c r="C2716" s="2805" t="s">
        <v>8057</v>
      </c>
      <c r="D2716" s="2805"/>
      <c r="E2716" s="2805"/>
      <c r="F2716" s="1683" t="s">
        <v>636</v>
      </c>
      <c r="G2716" s="2034">
        <v>65</v>
      </c>
      <c r="H2716" s="1641"/>
      <c r="I2716" s="2034">
        <v>65</v>
      </c>
      <c r="J2716" s="1640"/>
      <c r="K2716" s="1641"/>
      <c r="L2716" s="1654">
        <v>65.040000000000006</v>
      </c>
      <c r="M2716" s="1641"/>
      <c r="N2716" s="1679">
        <v>2325.15</v>
      </c>
      <c r="EW2716" s="2031"/>
      <c r="EX2716" s="1619"/>
      <c r="EY2716" s="1628"/>
      <c r="EZ2716" s="1628"/>
      <c r="FA2716" s="1628"/>
      <c r="FF2716" s="1864" t="s">
        <v>8057</v>
      </c>
      <c r="FH2716" s="1628"/>
      <c r="FU2716" s="1678"/>
      <c r="FW2716" s="1678"/>
    </row>
    <row r="2717" spans="1:179" s="1484" customFormat="1" ht="15" x14ac:dyDescent="0.25">
      <c r="A2717" s="1650"/>
      <c r="B2717" s="1651"/>
      <c r="C2717" s="2803" t="s">
        <v>872</v>
      </c>
      <c r="D2717" s="2803"/>
      <c r="E2717" s="2803"/>
      <c r="F2717" s="1621"/>
      <c r="G2717" s="1622"/>
      <c r="H2717" s="1622"/>
      <c r="I2717" s="1622"/>
      <c r="J2717" s="1625"/>
      <c r="K2717" s="1622"/>
      <c r="L2717" s="2040">
        <v>286.51</v>
      </c>
      <c r="M2717" s="2037"/>
      <c r="N2717" s="1649">
        <v>9905.16</v>
      </c>
      <c r="EW2717" s="2031"/>
      <c r="EX2717" s="1619"/>
      <c r="EY2717" s="1628"/>
      <c r="EZ2717" s="1628"/>
      <c r="FA2717" s="1628"/>
      <c r="FH2717" s="1628" t="s">
        <v>872</v>
      </c>
      <c r="FU2717" s="1678"/>
      <c r="FW2717" s="1678"/>
    </row>
    <row r="2718" spans="1:179" s="1484" customFormat="1" ht="33.75" x14ac:dyDescent="0.25">
      <c r="A2718" s="1620" t="s">
        <v>8413</v>
      </c>
      <c r="B2718" s="1863" t="s">
        <v>8757</v>
      </c>
      <c r="C2718" s="2803" t="s">
        <v>8141</v>
      </c>
      <c r="D2718" s="2803"/>
      <c r="E2718" s="2803"/>
      <c r="F2718" s="1621" t="s">
        <v>2555</v>
      </c>
      <c r="G2718" s="1622">
        <v>0.26700000000000002</v>
      </c>
      <c r="H2718" s="1623">
        <v>1</v>
      </c>
      <c r="I2718" s="2045">
        <v>0.26700000000000002</v>
      </c>
      <c r="J2718" s="1625"/>
      <c r="K2718" s="1622"/>
      <c r="L2718" s="1625"/>
      <c r="M2718" s="1622"/>
      <c r="N2718" s="1627"/>
      <c r="EW2718" s="2031"/>
      <c r="EX2718" s="1619"/>
      <c r="EY2718" s="1628" t="s">
        <v>8141</v>
      </c>
      <c r="EZ2718" s="1628" t="s">
        <v>588</v>
      </c>
      <c r="FA2718" s="1628" t="s">
        <v>588</v>
      </c>
      <c r="FH2718" s="1628"/>
      <c r="FU2718" s="1678"/>
      <c r="FW2718" s="1678"/>
    </row>
    <row r="2719" spans="1:179" s="1484" customFormat="1" ht="15" x14ac:dyDescent="0.25">
      <c r="A2719" s="1629"/>
      <c r="B2719" s="1862"/>
      <c r="C2719" s="2805" t="s">
        <v>8753</v>
      </c>
      <c r="D2719" s="2805"/>
      <c r="E2719" s="2805"/>
      <c r="F2719" s="2805"/>
      <c r="G2719" s="2805"/>
      <c r="H2719" s="2805"/>
      <c r="I2719" s="2805"/>
      <c r="J2719" s="2805"/>
      <c r="K2719" s="2805"/>
      <c r="L2719" s="2805"/>
      <c r="M2719" s="2805"/>
      <c r="N2719" s="2806"/>
      <c r="EW2719" s="2031"/>
      <c r="EX2719" s="1619"/>
      <c r="EY2719" s="1628"/>
      <c r="EZ2719" s="1628"/>
      <c r="FA2719" s="1628"/>
      <c r="FB2719" s="1864" t="s">
        <v>8753</v>
      </c>
      <c r="FH2719" s="1628"/>
      <c r="FU2719" s="1678"/>
      <c r="FW2719" s="1678"/>
    </row>
    <row r="2720" spans="1:179" s="1484" customFormat="1" ht="22.5" x14ac:dyDescent="0.25">
      <c r="A2720" s="1630"/>
      <c r="B2720" s="1631" t="s">
        <v>6062</v>
      </c>
      <c r="C2720" s="2809" t="s">
        <v>6063</v>
      </c>
      <c r="D2720" s="2809"/>
      <c r="E2720" s="2809"/>
      <c r="F2720" s="2809"/>
      <c r="G2720" s="2809"/>
      <c r="H2720" s="2809"/>
      <c r="I2720" s="2809"/>
      <c r="J2720" s="2809"/>
      <c r="K2720" s="2809"/>
      <c r="L2720" s="2809"/>
      <c r="M2720" s="2809"/>
      <c r="N2720" s="2810"/>
      <c r="EW2720" s="2031"/>
      <c r="EX2720" s="1619"/>
      <c r="EY2720" s="1628"/>
      <c r="EZ2720" s="1628"/>
      <c r="FA2720" s="1628"/>
      <c r="FC2720" s="1864" t="s">
        <v>6063</v>
      </c>
      <c r="FH2720" s="1628"/>
      <c r="FU2720" s="1678"/>
      <c r="FW2720" s="1678"/>
    </row>
    <row r="2721" spans="1:179" s="1484" customFormat="1" ht="15" x14ac:dyDescent="0.25">
      <c r="A2721" s="1630"/>
      <c r="B2721" s="1631" t="s">
        <v>8142</v>
      </c>
      <c r="C2721" s="2809" t="s">
        <v>8143</v>
      </c>
      <c r="D2721" s="2809"/>
      <c r="E2721" s="2809"/>
      <c r="F2721" s="2809"/>
      <c r="G2721" s="2809"/>
      <c r="H2721" s="2809"/>
      <c r="I2721" s="2809"/>
      <c r="J2721" s="2809"/>
      <c r="K2721" s="2809"/>
      <c r="L2721" s="2809"/>
      <c r="M2721" s="2809"/>
      <c r="N2721" s="2810"/>
      <c r="EW2721" s="2031"/>
      <c r="EX2721" s="1619"/>
      <c r="EY2721" s="1628"/>
      <c r="EZ2721" s="1628"/>
      <c r="FA2721" s="1628"/>
      <c r="FC2721" s="1864" t="s">
        <v>8143</v>
      </c>
      <c r="FH2721" s="1628"/>
      <c r="FU2721" s="1678"/>
      <c r="FW2721" s="1678"/>
    </row>
    <row r="2722" spans="1:179" s="1484" customFormat="1" ht="22.5" x14ac:dyDescent="0.25">
      <c r="A2722" s="2033"/>
      <c r="B2722" s="1631" t="s">
        <v>8756</v>
      </c>
      <c r="C2722" s="2805" t="s">
        <v>8755</v>
      </c>
      <c r="D2722" s="2805"/>
      <c r="E2722" s="2805"/>
      <c r="F2722" s="1683" t="s">
        <v>807</v>
      </c>
      <c r="G2722" s="1655">
        <v>0.44</v>
      </c>
      <c r="H2722" s="2034">
        <v>4</v>
      </c>
      <c r="I2722" s="2042">
        <v>0.46992</v>
      </c>
      <c r="J2722" s="1654">
        <v>7.94</v>
      </c>
      <c r="K2722" s="1655">
        <v>1.25</v>
      </c>
      <c r="L2722" s="1654">
        <v>4.66</v>
      </c>
      <c r="M2722" s="1641"/>
      <c r="N2722" s="1681"/>
      <c r="EW2722" s="2031"/>
      <c r="EX2722" s="1619"/>
      <c r="EY2722" s="1628"/>
      <c r="EZ2722" s="1628"/>
      <c r="FA2722" s="1628"/>
      <c r="FD2722" s="1864" t="s">
        <v>8755</v>
      </c>
      <c r="FH2722" s="1628"/>
      <c r="FU2722" s="1678"/>
      <c r="FW2722" s="1678"/>
    </row>
    <row r="2723" spans="1:179" s="1484" customFormat="1" ht="22.5" x14ac:dyDescent="0.25">
      <c r="A2723" s="2033"/>
      <c r="B2723" s="1631" t="s">
        <v>5010</v>
      </c>
      <c r="C2723" s="2805" t="s">
        <v>5011</v>
      </c>
      <c r="D2723" s="2805"/>
      <c r="E2723" s="2805"/>
      <c r="F2723" s="1683" t="s">
        <v>4994</v>
      </c>
      <c r="G2723" s="1655">
        <v>0.21</v>
      </c>
      <c r="H2723" s="2034">
        <v>4</v>
      </c>
      <c r="I2723" s="2042">
        <v>0.22428000000000001</v>
      </c>
      <c r="J2723" s="1654">
        <v>31.26</v>
      </c>
      <c r="K2723" s="1641"/>
      <c r="L2723" s="1654">
        <v>7.01</v>
      </c>
      <c r="M2723" s="1641"/>
      <c r="N2723" s="1681"/>
      <c r="EW2723" s="2031"/>
      <c r="EX2723" s="1619"/>
      <c r="EY2723" s="1628"/>
      <c r="EZ2723" s="1628"/>
      <c r="FA2723" s="1628"/>
      <c r="FD2723" s="1864" t="s">
        <v>5011</v>
      </c>
      <c r="FH2723" s="1628"/>
      <c r="FU2723" s="1678"/>
      <c r="FW2723" s="1678"/>
    </row>
    <row r="2724" spans="1:179" s="1484" customFormat="1" ht="15" x14ac:dyDescent="0.25">
      <c r="A2724" s="2033"/>
      <c r="B2724" s="1631" t="s">
        <v>5012</v>
      </c>
      <c r="C2724" s="2805" t="s">
        <v>5013</v>
      </c>
      <c r="D2724" s="2805"/>
      <c r="E2724" s="2805"/>
      <c r="F2724" s="1683" t="s">
        <v>4994</v>
      </c>
      <c r="G2724" s="2034">
        <v>2</v>
      </c>
      <c r="H2724" s="2034">
        <v>4</v>
      </c>
      <c r="I2724" s="2046">
        <v>2.1360000000000001</v>
      </c>
      <c r="J2724" s="1654">
        <v>0.5</v>
      </c>
      <c r="K2724" s="1641"/>
      <c r="L2724" s="1654">
        <v>1.07</v>
      </c>
      <c r="M2724" s="1641"/>
      <c r="N2724" s="1681"/>
      <c r="EW2724" s="2031"/>
      <c r="EX2724" s="1619"/>
      <c r="EY2724" s="1628"/>
      <c r="EZ2724" s="1628"/>
      <c r="FA2724" s="1628"/>
      <c r="FD2724" s="1864" t="s">
        <v>5013</v>
      </c>
      <c r="FH2724" s="1628"/>
      <c r="FU2724" s="1678"/>
      <c r="FW2724" s="1678"/>
    </row>
    <row r="2725" spans="1:179" s="1484" customFormat="1" ht="15" x14ac:dyDescent="0.25">
      <c r="A2725" s="2032"/>
      <c r="B2725" s="1631" t="s">
        <v>190</v>
      </c>
      <c r="C2725" s="2805" t="s">
        <v>2523</v>
      </c>
      <c r="D2725" s="2805"/>
      <c r="E2725" s="2805"/>
      <c r="F2725" s="1683"/>
      <c r="G2725" s="1641"/>
      <c r="H2725" s="1641"/>
      <c r="I2725" s="1641"/>
      <c r="J2725" s="1654">
        <v>3.49</v>
      </c>
      <c r="K2725" s="2034">
        <v>5</v>
      </c>
      <c r="L2725" s="1654">
        <v>4.66</v>
      </c>
      <c r="M2725" s="1655">
        <v>35.75</v>
      </c>
      <c r="N2725" s="2039">
        <v>166.6</v>
      </c>
      <c r="EW2725" s="2031"/>
      <c r="EX2725" s="1619"/>
      <c r="EY2725" s="1628"/>
      <c r="EZ2725" s="1628"/>
      <c r="FA2725" s="1628"/>
      <c r="FE2725" s="1864" t="s">
        <v>2523</v>
      </c>
      <c r="FH2725" s="1628"/>
      <c r="FU2725" s="1678"/>
      <c r="FW2725" s="1678"/>
    </row>
    <row r="2726" spans="1:179" s="1484" customFormat="1" ht="15" x14ac:dyDescent="0.25">
      <c r="A2726" s="2032"/>
      <c r="B2726" s="1631" t="s">
        <v>639</v>
      </c>
      <c r="C2726" s="2805" t="s">
        <v>697</v>
      </c>
      <c r="D2726" s="2805"/>
      <c r="E2726" s="2805"/>
      <c r="F2726" s="1683"/>
      <c r="G2726" s="1641"/>
      <c r="H2726" s="1641"/>
      <c r="I2726" s="1641"/>
      <c r="J2726" s="1654">
        <v>7.56</v>
      </c>
      <c r="K2726" s="2034">
        <v>4</v>
      </c>
      <c r="L2726" s="1654">
        <v>8.07</v>
      </c>
      <c r="M2726" s="1655">
        <v>11.97</v>
      </c>
      <c r="N2726" s="2039">
        <v>96.6</v>
      </c>
      <c r="EW2726" s="2031"/>
      <c r="EX2726" s="1619"/>
      <c r="EY2726" s="1628"/>
      <c r="EZ2726" s="1628"/>
      <c r="FA2726" s="1628"/>
      <c r="FE2726" s="1864" t="s">
        <v>697</v>
      </c>
      <c r="FH2726" s="1628"/>
      <c r="FU2726" s="1678"/>
      <c r="FW2726" s="1678"/>
    </row>
    <row r="2727" spans="1:179" s="1484" customFormat="1" ht="15" x14ac:dyDescent="0.25">
      <c r="A2727" s="2032"/>
      <c r="B2727" s="1631" t="s">
        <v>640</v>
      </c>
      <c r="C2727" s="2805" t="s">
        <v>2500</v>
      </c>
      <c r="D2727" s="2805"/>
      <c r="E2727" s="2805"/>
      <c r="F2727" s="1683"/>
      <c r="G2727" s="1641"/>
      <c r="H2727" s="1641"/>
      <c r="I2727" s="1641"/>
      <c r="J2727" s="1654">
        <v>2.84</v>
      </c>
      <c r="K2727" s="2034">
        <v>4</v>
      </c>
      <c r="L2727" s="1654">
        <v>3.03</v>
      </c>
      <c r="M2727" s="1655">
        <v>35.75</v>
      </c>
      <c r="N2727" s="2039">
        <v>108.32</v>
      </c>
      <c r="EW2727" s="2031"/>
      <c r="EX2727" s="1619"/>
      <c r="EY2727" s="1628"/>
      <c r="EZ2727" s="1628"/>
      <c r="FA2727" s="1628"/>
      <c r="FE2727" s="1864" t="s">
        <v>2500</v>
      </c>
      <c r="FH2727" s="1628"/>
      <c r="FU2727" s="1678"/>
      <c r="FW2727" s="1678"/>
    </row>
    <row r="2728" spans="1:179" s="1484" customFormat="1" ht="15" x14ac:dyDescent="0.25">
      <c r="A2728" s="2033"/>
      <c r="B2728" s="1631"/>
      <c r="C2728" s="2805" t="s">
        <v>2524</v>
      </c>
      <c r="D2728" s="2805"/>
      <c r="E2728" s="2805"/>
      <c r="F2728" s="1683" t="s">
        <v>807</v>
      </c>
      <c r="G2728" s="1655">
        <v>0.44</v>
      </c>
      <c r="H2728" s="2034">
        <v>4</v>
      </c>
      <c r="I2728" s="2042">
        <v>0.46992</v>
      </c>
      <c r="J2728" s="1640"/>
      <c r="K2728" s="1641"/>
      <c r="L2728" s="1640"/>
      <c r="M2728" s="1641"/>
      <c r="N2728" s="1681"/>
      <c r="EW2728" s="2031"/>
      <c r="EX2728" s="1619"/>
      <c r="EY2728" s="1628"/>
      <c r="EZ2728" s="1628"/>
      <c r="FA2728" s="1628"/>
      <c r="FF2728" s="1864" t="s">
        <v>2524</v>
      </c>
      <c r="FH2728" s="1628"/>
      <c r="FU2728" s="1678"/>
      <c r="FW2728" s="1678"/>
    </row>
    <row r="2729" spans="1:179" s="1484" customFormat="1" ht="15" x14ac:dyDescent="0.25">
      <c r="A2729" s="2033"/>
      <c r="B2729" s="1631"/>
      <c r="C2729" s="2805" t="s">
        <v>2501</v>
      </c>
      <c r="D2729" s="2805"/>
      <c r="E2729" s="2805"/>
      <c r="F2729" s="1683" t="s">
        <v>807</v>
      </c>
      <c r="G2729" s="1655">
        <v>0.21</v>
      </c>
      <c r="H2729" s="2034">
        <v>4</v>
      </c>
      <c r="I2729" s="2042">
        <v>0.22428000000000001</v>
      </c>
      <c r="J2729" s="1640"/>
      <c r="K2729" s="1641"/>
      <c r="L2729" s="1640"/>
      <c r="M2729" s="1641"/>
      <c r="N2729" s="1681"/>
      <c r="EW2729" s="2031"/>
      <c r="EX2729" s="1619"/>
      <c r="EY2729" s="1628"/>
      <c r="EZ2729" s="1628"/>
      <c r="FA2729" s="1628"/>
      <c r="FF2729" s="1864" t="s">
        <v>2501</v>
      </c>
      <c r="FH2729" s="1628"/>
      <c r="FU2729" s="1678"/>
      <c r="FW2729" s="1678"/>
    </row>
    <row r="2730" spans="1:179" s="1484" customFormat="1" ht="15" x14ac:dyDescent="0.25">
      <c r="A2730" s="2032"/>
      <c r="B2730" s="1631"/>
      <c r="C2730" s="2917" t="s">
        <v>2502</v>
      </c>
      <c r="D2730" s="2917"/>
      <c r="E2730" s="2917"/>
      <c r="F2730" s="2036"/>
      <c r="G2730" s="2037"/>
      <c r="H2730" s="2037"/>
      <c r="I2730" s="2037"/>
      <c r="J2730" s="2044">
        <v>11.05</v>
      </c>
      <c r="K2730" s="2037"/>
      <c r="L2730" s="2044">
        <v>12.73</v>
      </c>
      <c r="M2730" s="2037"/>
      <c r="N2730" s="2070">
        <v>263.2</v>
      </c>
      <c r="EW2730" s="2031"/>
      <c r="EX2730" s="1619"/>
      <c r="EY2730" s="1628"/>
      <c r="EZ2730" s="1628"/>
      <c r="FA2730" s="1628"/>
      <c r="FG2730" s="1864" t="s">
        <v>2502</v>
      </c>
      <c r="FH2730" s="1628"/>
      <c r="FU2730" s="1678"/>
      <c r="FW2730" s="1678"/>
    </row>
    <row r="2731" spans="1:179" s="1484" customFormat="1" ht="15" x14ac:dyDescent="0.25">
      <c r="A2731" s="2033" t="s">
        <v>8414</v>
      </c>
      <c r="B2731" s="1631"/>
      <c r="C2731" s="2805" t="s">
        <v>7964</v>
      </c>
      <c r="D2731" s="2805"/>
      <c r="E2731" s="2805"/>
      <c r="F2731" s="1683" t="s">
        <v>5928</v>
      </c>
      <c r="G2731" s="1641"/>
      <c r="H2731" s="1641"/>
      <c r="I2731" s="1641"/>
      <c r="J2731" s="1640"/>
      <c r="K2731" s="1641"/>
      <c r="L2731" s="1654">
        <v>0.76</v>
      </c>
      <c r="M2731" s="1641"/>
      <c r="N2731" s="2039">
        <v>27.17</v>
      </c>
      <c r="EW2731" s="2031"/>
      <c r="EX2731" s="1619"/>
      <c r="EY2731" s="1628"/>
      <c r="EZ2731" s="1628"/>
      <c r="FA2731" s="1628"/>
      <c r="FF2731" s="1864" t="s">
        <v>7964</v>
      </c>
      <c r="FH2731" s="1628"/>
      <c r="FU2731" s="1678"/>
      <c r="FW2731" s="1678"/>
    </row>
    <row r="2732" spans="1:179" s="1484" customFormat="1" ht="15" x14ac:dyDescent="0.25">
      <c r="A2732" s="2033"/>
      <c r="B2732" s="1631"/>
      <c r="C2732" s="2805" t="s">
        <v>7965</v>
      </c>
      <c r="D2732" s="2805"/>
      <c r="E2732" s="2805"/>
      <c r="F2732" s="1683" t="s">
        <v>5928</v>
      </c>
      <c r="G2732" s="1641"/>
      <c r="H2732" s="1641"/>
      <c r="I2732" s="1641"/>
      <c r="J2732" s="1654">
        <v>2.84</v>
      </c>
      <c r="K2732" s="2034">
        <v>1</v>
      </c>
      <c r="L2732" s="1654">
        <v>0.76</v>
      </c>
      <c r="M2732" s="1655">
        <v>35.75</v>
      </c>
      <c r="N2732" s="2039">
        <v>27.17</v>
      </c>
      <c r="EW2732" s="2031"/>
      <c r="EX2732" s="1619"/>
      <c r="EY2732" s="1628"/>
      <c r="EZ2732" s="1628"/>
      <c r="FA2732" s="1628"/>
      <c r="FF2732" s="1864" t="s">
        <v>7965</v>
      </c>
      <c r="FH2732" s="1628"/>
      <c r="FU2732" s="1678"/>
      <c r="FW2732" s="1678"/>
    </row>
    <row r="2733" spans="1:179" s="1484" customFormat="1" ht="15" x14ac:dyDescent="0.25">
      <c r="A2733" s="2033"/>
      <c r="B2733" s="1631"/>
      <c r="C2733" s="2805" t="s">
        <v>867</v>
      </c>
      <c r="D2733" s="2805"/>
      <c r="E2733" s="2805"/>
      <c r="F2733" s="1683"/>
      <c r="G2733" s="1641"/>
      <c r="H2733" s="1641"/>
      <c r="I2733" s="1641"/>
      <c r="J2733" s="1640"/>
      <c r="K2733" s="1641"/>
      <c r="L2733" s="1654">
        <v>8.4499999999999993</v>
      </c>
      <c r="M2733" s="1641"/>
      <c r="N2733" s="2039">
        <v>302.08999999999997</v>
      </c>
      <c r="EW2733" s="2031"/>
      <c r="EX2733" s="1619"/>
      <c r="EY2733" s="1628"/>
      <c r="EZ2733" s="1628"/>
      <c r="FA2733" s="1628"/>
      <c r="FF2733" s="1864" t="s">
        <v>867</v>
      </c>
      <c r="FH2733" s="1628"/>
      <c r="FU2733" s="1678"/>
      <c r="FW2733" s="1678"/>
    </row>
    <row r="2734" spans="1:179" s="1484" customFormat="1" ht="15" x14ac:dyDescent="0.25">
      <c r="A2734" s="2033"/>
      <c r="B2734" s="1631" t="s">
        <v>8054</v>
      </c>
      <c r="C2734" s="2805" t="s">
        <v>8055</v>
      </c>
      <c r="D2734" s="2805"/>
      <c r="E2734" s="2805"/>
      <c r="F2734" s="1683" t="s">
        <v>636</v>
      </c>
      <c r="G2734" s="2034">
        <v>112</v>
      </c>
      <c r="H2734" s="1641"/>
      <c r="I2734" s="2034">
        <v>112</v>
      </c>
      <c r="J2734" s="1640"/>
      <c r="K2734" s="1641"/>
      <c r="L2734" s="1654">
        <v>9.4600000000000009</v>
      </c>
      <c r="M2734" s="1641"/>
      <c r="N2734" s="2039">
        <v>338.34</v>
      </c>
      <c r="EW2734" s="2031"/>
      <c r="EX2734" s="1619"/>
      <c r="EY2734" s="1628"/>
      <c r="EZ2734" s="1628"/>
      <c r="FA2734" s="1628"/>
      <c r="FF2734" s="1864" t="s">
        <v>8055</v>
      </c>
      <c r="FH2734" s="1628"/>
      <c r="FU2734" s="1678"/>
      <c r="FW2734" s="1678"/>
    </row>
    <row r="2735" spans="1:179" s="1484" customFormat="1" ht="15" x14ac:dyDescent="0.25">
      <c r="A2735" s="2033"/>
      <c r="B2735" s="1631" t="s">
        <v>8056</v>
      </c>
      <c r="C2735" s="2805" t="s">
        <v>8057</v>
      </c>
      <c r="D2735" s="2805"/>
      <c r="E2735" s="2805"/>
      <c r="F2735" s="1683" t="s">
        <v>636</v>
      </c>
      <c r="G2735" s="2034">
        <v>65</v>
      </c>
      <c r="H2735" s="1641"/>
      <c r="I2735" s="2034">
        <v>65</v>
      </c>
      <c r="J2735" s="1640"/>
      <c r="K2735" s="1641"/>
      <c r="L2735" s="1654">
        <v>5.49</v>
      </c>
      <c r="M2735" s="1641"/>
      <c r="N2735" s="2039">
        <v>196.36</v>
      </c>
      <c r="EW2735" s="2031"/>
      <c r="EX2735" s="1619"/>
      <c r="EY2735" s="1628"/>
      <c r="EZ2735" s="1628"/>
      <c r="FA2735" s="1628"/>
      <c r="FF2735" s="1864" t="s">
        <v>8057</v>
      </c>
      <c r="FH2735" s="1628"/>
      <c r="FU2735" s="1678"/>
      <c r="FW2735" s="1678"/>
    </row>
    <row r="2736" spans="1:179" s="1484" customFormat="1" ht="15" x14ac:dyDescent="0.25">
      <c r="A2736" s="1650"/>
      <c r="B2736" s="1651"/>
      <c r="C2736" s="2803" t="s">
        <v>872</v>
      </c>
      <c r="D2736" s="2803"/>
      <c r="E2736" s="2803"/>
      <c r="F2736" s="1621"/>
      <c r="G2736" s="1622"/>
      <c r="H2736" s="1622"/>
      <c r="I2736" s="1622"/>
      <c r="J2736" s="1625"/>
      <c r="K2736" s="1622"/>
      <c r="L2736" s="2040">
        <v>28.44</v>
      </c>
      <c r="M2736" s="2037"/>
      <c r="N2736" s="2069">
        <v>825.07</v>
      </c>
      <c r="EW2736" s="2031"/>
      <c r="EX2736" s="1619"/>
      <c r="EY2736" s="1628"/>
      <c r="EZ2736" s="1628"/>
      <c r="FA2736" s="1628"/>
      <c r="FH2736" s="1628" t="s">
        <v>872</v>
      </c>
      <c r="FU2736" s="1678"/>
      <c r="FW2736" s="1678"/>
    </row>
    <row r="2737" spans="1:179" s="1484" customFormat="1" ht="56.25" x14ac:dyDescent="0.25">
      <c r="A2737" s="1620" t="s">
        <v>8415</v>
      </c>
      <c r="B2737" s="1863" t="s">
        <v>8146</v>
      </c>
      <c r="C2737" s="2803" t="s">
        <v>8147</v>
      </c>
      <c r="D2737" s="2803"/>
      <c r="E2737" s="2803"/>
      <c r="F2737" s="1621" t="s">
        <v>835</v>
      </c>
      <c r="G2737" s="1622">
        <v>215.06496000000001</v>
      </c>
      <c r="H2737" s="1623">
        <v>1</v>
      </c>
      <c r="I2737" s="2048">
        <v>215.06496000000001</v>
      </c>
      <c r="J2737" s="2040">
        <v>23.7</v>
      </c>
      <c r="K2737" s="1622"/>
      <c r="L2737" s="1648">
        <v>5097.04</v>
      </c>
      <c r="M2737" s="1687">
        <v>9.14</v>
      </c>
      <c r="N2737" s="1649">
        <v>46586.95</v>
      </c>
      <c r="EW2737" s="2031"/>
      <c r="EX2737" s="1619"/>
      <c r="EY2737" s="1628" t="s">
        <v>8147</v>
      </c>
      <c r="EZ2737" s="1628" t="s">
        <v>588</v>
      </c>
      <c r="FA2737" s="1628" t="s">
        <v>588</v>
      </c>
      <c r="FH2737" s="1628"/>
      <c r="FU2737" s="1678"/>
      <c r="FW2737" s="1678"/>
    </row>
    <row r="2738" spans="1:179" s="1484" customFormat="1" ht="15" x14ac:dyDescent="0.25">
      <c r="A2738" s="1650"/>
      <c r="B2738" s="1651"/>
      <c r="C2738" s="2805" t="s">
        <v>8722</v>
      </c>
      <c r="D2738" s="2805"/>
      <c r="E2738" s="2805"/>
      <c r="F2738" s="2805"/>
      <c r="G2738" s="2805"/>
      <c r="H2738" s="2805"/>
      <c r="I2738" s="2805"/>
      <c r="J2738" s="2805"/>
      <c r="K2738" s="2805"/>
      <c r="L2738" s="2805"/>
      <c r="M2738" s="2805"/>
      <c r="N2738" s="2806"/>
      <c r="EW2738" s="2031"/>
      <c r="EX2738" s="1619"/>
      <c r="EY2738" s="1628"/>
      <c r="EZ2738" s="1628"/>
      <c r="FA2738" s="1628"/>
      <c r="FH2738" s="1628"/>
      <c r="FI2738" s="1864" t="s">
        <v>8722</v>
      </c>
      <c r="FJ2738" s="1864" t="s">
        <v>588</v>
      </c>
      <c r="FK2738" s="1864" t="s">
        <v>588</v>
      </c>
      <c r="FL2738" s="1864" t="s">
        <v>588</v>
      </c>
      <c r="FM2738" s="1864" t="s">
        <v>588</v>
      </c>
      <c r="FN2738" s="1864" t="s">
        <v>588</v>
      </c>
      <c r="FO2738" s="1864" t="s">
        <v>588</v>
      </c>
      <c r="FP2738" s="1864" t="s">
        <v>588</v>
      </c>
      <c r="FQ2738" s="1864" t="s">
        <v>588</v>
      </c>
      <c r="FR2738" s="1864" t="s">
        <v>588</v>
      </c>
      <c r="FS2738" s="1864" t="s">
        <v>588</v>
      </c>
      <c r="FT2738" s="1864" t="s">
        <v>588</v>
      </c>
      <c r="FU2738" s="1678"/>
      <c r="FW2738" s="1678"/>
    </row>
    <row r="2739" spans="1:179" s="1484" customFormat="1" ht="15" x14ac:dyDescent="0.25">
      <c r="A2739" s="1629"/>
      <c r="B2739" s="1862"/>
      <c r="C2739" s="2805" t="s">
        <v>8754</v>
      </c>
      <c r="D2739" s="2805"/>
      <c r="E2739" s="2805"/>
      <c r="F2739" s="2805"/>
      <c r="G2739" s="2805"/>
      <c r="H2739" s="2805"/>
      <c r="I2739" s="2805"/>
      <c r="J2739" s="2805"/>
      <c r="K2739" s="2805"/>
      <c r="L2739" s="2805"/>
      <c r="M2739" s="2805"/>
      <c r="N2739" s="2806"/>
      <c r="EW2739" s="2031"/>
      <c r="EX2739" s="1619"/>
      <c r="EY2739" s="1628"/>
      <c r="EZ2739" s="1628"/>
      <c r="FA2739" s="1628"/>
      <c r="FB2739" s="1864" t="s">
        <v>8754</v>
      </c>
      <c r="FH2739" s="1628"/>
      <c r="FU2739" s="1678"/>
      <c r="FW2739" s="1678"/>
    </row>
    <row r="2740" spans="1:179" s="1484" customFormat="1" ht="15" x14ac:dyDescent="0.25">
      <c r="A2740" s="1650"/>
      <c r="B2740" s="1651"/>
      <c r="C2740" s="2803" t="s">
        <v>872</v>
      </c>
      <c r="D2740" s="2803"/>
      <c r="E2740" s="2803"/>
      <c r="F2740" s="1621"/>
      <c r="G2740" s="1622"/>
      <c r="H2740" s="1622"/>
      <c r="I2740" s="1622"/>
      <c r="J2740" s="1625"/>
      <c r="K2740" s="1622"/>
      <c r="L2740" s="1648">
        <v>5097.04</v>
      </c>
      <c r="M2740" s="2037"/>
      <c r="N2740" s="1649">
        <v>46586.95</v>
      </c>
      <c r="EW2740" s="2031"/>
      <c r="EX2740" s="1619"/>
      <c r="EY2740" s="1628"/>
      <c r="EZ2740" s="1628"/>
      <c r="FA2740" s="1628"/>
      <c r="FH2740" s="1628" t="s">
        <v>872</v>
      </c>
      <c r="FU2740" s="1678"/>
      <c r="FW2740" s="1678"/>
    </row>
    <row r="2741" spans="1:179" s="1484" customFormat="1" ht="56.25" x14ac:dyDescent="0.25">
      <c r="A2741" s="1620" t="s">
        <v>8416</v>
      </c>
      <c r="B2741" s="1863" t="s">
        <v>8172</v>
      </c>
      <c r="C2741" s="2803" t="s">
        <v>8173</v>
      </c>
      <c r="D2741" s="2803"/>
      <c r="E2741" s="2803"/>
      <c r="F2741" s="1621" t="s">
        <v>2555</v>
      </c>
      <c r="G2741" s="1622">
        <v>0.26700000000000002</v>
      </c>
      <c r="H2741" s="1623">
        <v>1</v>
      </c>
      <c r="I2741" s="2045">
        <v>0.26700000000000002</v>
      </c>
      <c r="J2741" s="1625"/>
      <c r="K2741" s="1622"/>
      <c r="L2741" s="1625"/>
      <c r="M2741" s="1622"/>
      <c r="N2741" s="1627"/>
      <c r="EW2741" s="2031"/>
      <c r="EX2741" s="1619"/>
      <c r="EY2741" s="1628" t="s">
        <v>8173</v>
      </c>
      <c r="EZ2741" s="1628" t="s">
        <v>588</v>
      </c>
      <c r="FA2741" s="1628" t="s">
        <v>588</v>
      </c>
      <c r="FH2741" s="1628"/>
      <c r="FU2741" s="1678"/>
      <c r="FW2741" s="1678"/>
    </row>
    <row r="2742" spans="1:179" s="1484" customFormat="1" ht="15" x14ac:dyDescent="0.25">
      <c r="A2742" s="1629"/>
      <c r="B2742" s="1862"/>
      <c r="C2742" s="2805" t="s">
        <v>8753</v>
      </c>
      <c r="D2742" s="2805"/>
      <c r="E2742" s="2805"/>
      <c r="F2742" s="2805"/>
      <c r="G2742" s="2805"/>
      <c r="H2742" s="2805"/>
      <c r="I2742" s="2805"/>
      <c r="J2742" s="2805"/>
      <c r="K2742" s="2805"/>
      <c r="L2742" s="2805"/>
      <c r="M2742" s="2805"/>
      <c r="N2742" s="2806"/>
      <c r="EW2742" s="2031"/>
      <c r="EX2742" s="1619"/>
      <c r="EY2742" s="1628"/>
      <c r="EZ2742" s="1628"/>
      <c r="FA2742" s="1628"/>
      <c r="FB2742" s="1864" t="s">
        <v>8753</v>
      </c>
      <c r="FH2742" s="1628"/>
      <c r="FU2742" s="1678"/>
      <c r="FW2742" s="1678"/>
    </row>
    <row r="2743" spans="1:179" s="1484" customFormat="1" ht="22.5" x14ac:dyDescent="0.25">
      <c r="A2743" s="1630"/>
      <c r="B2743" s="1631" t="s">
        <v>6062</v>
      </c>
      <c r="C2743" s="2809" t="s">
        <v>6063</v>
      </c>
      <c r="D2743" s="2809"/>
      <c r="E2743" s="2809"/>
      <c r="F2743" s="2809"/>
      <c r="G2743" s="2809"/>
      <c r="H2743" s="2809"/>
      <c r="I2743" s="2809"/>
      <c r="J2743" s="2809"/>
      <c r="K2743" s="2809"/>
      <c r="L2743" s="2809"/>
      <c r="M2743" s="2809"/>
      <c r="N2743" s="2810"/>
      <c r="EW2743" s="2031"/>
      <c r="EX2743" s="1619"/>
      <c r="EY2743" s="1628"/>
      <c r="EZ2743" s="1628"/>
      <c r="FA2743" s="1628"/>
      <c r="FC2743" s="1864" t="s">
        <v>6063</v>
      </c>
      <c r="FH2743" s="1628"/>
      <c r="FU2743" s="1678"/>
      <c r="FW2743" s="1678"/>
    </row>
    <row r="2744" spans="1:179" s="1484" customFormat="1" ht="22.5" x14ac:dyDescent="0.25">
      <c r="A2744" s="2033"/>
      <c r="B2744" s="1631" t="s">
        <v>3204</v>
      </c>
      <c r="C2744" s="2805" t="s">
        <v>8647</v>
      </c>
      <c r="D2744" s="2805"/>
      <c r="E2744" s="2805"/>
      <c r="F2744" s="1683" t="s">
        <v>807</v>
      </c>
      <c r="G2744" s="1655">
        <v>119.78</v>
      </c>
      <c r="H2744" s="1641"/>
      <c r="I2744" s="2042">
        <v>31.981259999999999</v>
      </c>
      <c r="J2744" s="1654">
        <v>8.74</v>
      </c>
      <c r="K2744" s="1655">
        <v>1.25</v>
      </c>
      <c r="L2744" s="1654">
        <v>349.4</v>
      </c>
      <c r="M2744" s="1641"/>
      <c r="N2744" s="1681"/>
      <c r="EW2744" s="2031"/>
      <c r="EX2744" s="1619"/>
      <c r="EY2744" s="1628"/>
      <c r="EZ2744" s="1628"/>
      <c r="FA2744" s="1628"/>
      <c r="FD2744" s="1864" t="s">
        <v>8647</v>
      </c>
      <c r="FH2744" s="1628"/>
      <c r="FU2744" s="1678"/>
      <c r="FW2744" s="1678"/>
    </row>
    <row r="2745" spans="1:179" s="1484" customFormat="1" ht="15" x14ac:dyDescent="0.25">
      <c r="A2745" s="2033"/>
      <c r="B2745" s="1631" t="s">
        <v>1741</v>
      </c>
      <c r="C2745" s="2805" t="s">
        <v>8697</v>
      </c>
      <c r="D2745" s="2805"/>
      <c r="E2745" s="2805"/>
      <c r="F2745" s="1683" t="s">
        <v>4994</v>
      </c>
      <c r="G2745" s="1655">
        <v>0.36</v>
      </c>
      <c r="H2745" s="1641"/>
      <c r="I2745" s="2042">
        <v>9.6119999999999997E-2</v>
      </c>
      <c r="J2745" s="1654">
        <v>89.99</v>
      </c>
      <c r="K2745" s="1641"/>
      <c r="L2745" s="1654">
        <v>8.65</v>
      </c>
      <c r="M2745" s="1641"/>
      <c r="N2745" s="1681"/>
      <c r="EW2745" s="2031"/>
      <c r="EX2745" s="1619"/>
      <c r="EY2745" s="1628"/>
      <c r="EZ2745" s="1628"/>
      <c r="FA2745" s="1628"/>
      <c r="FD2745" s="1864" t="s">
        <v>8697</v>
      </c>
      <c r="FH2745" s="1628"/>
      <c r="FU2745" s="1678"/>
      <c r="FW2745" s="1678"/>
    </row>
    <row r="2746" spans="1:179" s="1484" customFormat="1" ht="22.5" x14ac:dyDescent="0.25">
      <c r="A2746" s="2033"/>
      <c r="B2746" s="1631" t="s">
        <v>5010</v>
      </c>
      <c r="C2746" s="2805" t="s">
        <v>5011</v>
      </c>
      <c r="D2746" s="2805"/>
      <c r="E2746" s="2805"/>
      <c r="F2746" s="1683" t="s">
        <v>4994</v>
      </c>
      <c r="G2746" s="1953">
        <v>2.2999999999999998</v>
      </c>
      <c r="H2746" s="1641"/>
      <c r="I2746" s="2035">
        <v>0.61409999999999998</v>
      </c>
      <c r="J2746" s="1654">
        <v>31.26</v>
      </c>
      <c r="K2746" s="1641"/>
      <c r="L2746" s="1654">
        <v>19.2</v>
      </c>
      <c r="M2746" s="1641"/>
      <c r="N2746" s="1681"/>
      <c r="EW2746" s="2031"/>
      <c r="EX2746" s="1619"/>
      <c r="EY2746" s="1628"/>
      <c r="EZ2746" s="1628"/>
      <c r="FA2746" s="1628"/>
      <c r="FD2746" s="1864" t="s">
        <v>5011</v>
      </c>
      <c r="FH2746" s="1628"/>
      <c r="FU2746" s="1678"/>
      <c r="FW2746" s="1678"/>
    </row>
    <row r="2747" spans="1:179" s="1484" customFormat="1" ht="22.5" x14ac:dyDescent="0.25">
      <c r="A2747" s="2033"/>
      <c r="B2747" s="1631" t="s">
        <v>5016</v>
      </c>
      <c r="C2747" s="2805" t="s">
        <v>5017</v>
      </c>
      <c r="D2747" s="2805"/>
      <c r="E2747" s="2805"/>
      <c r="F2747" s="1683" t="s">
        <v>4994</v>
      </c>
      <c r="G2747" s="1655">
        <v>1.56</v>
      </c>
      <c r="H2747" s="1641"/>
      <c r="I2747" s="2042">
        <v>0.41652</v>
      </c>
      <c r="J2747" s="1654">
        <v>12.39</v>
      </c>
      <c r="K2747" s="1641"/>
      <c r="L2747" s="1654">
        <v>5.16</v>
      </c>
      <c r="M2747" s="1641"/>
      <c r="N2747" s="1681"/>
      <c r="EW2747" s="2031"/>
      <c r="EX2747" s="1619"/>
      <c r="EY2747" s="1628"/>
      <c r="EZ2747" s="1628"/>
      <c r="FA2747" s="1628"/>
      <c r="FD2747" s="1864" t="s">
        <v>5017</v>
      </c>
      <c r="FH2747" s="1628"/>
      <c r="FU2747" s="1678"/>
      <c r="FW2747" s="1678"/>
    </row>
    <row r="2748" spans="1:179" s="1484" customFormat="1" ht="15" x14ac:dyDescent="0.25">
      <c r="A2748" s="2033"/>
      <c r="B2748" s="1631" t="s">
        <v>821</v>
      </c>
      <c r="C2748" s="2805" t="s">
        <v>822</v>
      </c>
      <c r="D2748" s="2805"/>
      <c r="E2748" s="2805"/>
      <c r="F2748" s="1683" t="s">
        <v>4994</v>
      </c>
      <c r="G2748" s="1655">
        <v>0.28000000000000003</v>
      </c>
      <c r="H2748" s="1641"/>
      <c r="I2748" s="2042">
        <v>7.4759999999999993E-2</v>
      </c>
      <c r="J2748" s="1654">
        <v>65.709999999999994</v>
      </c>
      <c r="K2748" s="1641"/>
      <c r="L2748" s="1654">
        <v>4.91</v>
      </c>
      <c r="M2748" s="1641"/>
      <c r="N2748" s="1681"/>
      <c r="EW2748" s="2031"/>
      <c r="EX2748" s="1619"/>
      <c r="EY2748" s="1628"/>
      <c r="EZ2748" s="1628"/>
      <c r="FA2748" s="1628"/>
      <c r="FD2748" s="1864" t="s">
        <v>822</v>
      </c>
      <c r="FH2748" s="1628"/>
      <c r="FU2748" s="1678"/>
      <c r="FW2748" s="1678"/>
    </row>
    <row r="2749" spans="1:179" s="1484" customFormat="1" ht="15" x14ac:dyDescent="0.25">
      <c r="A2749" s="2033"/>
      <c r="B2749" s="1631" t="s">
        <v>1755</v>
      </c>
      <c r="C2749" s="2805" t="s">
        <v>2634</v>
      </c>
      <c r="D2749" s="2805"/>
      <c r="E2749" s="2805"/>
      <c r="F2749" s="1683" t="s">
        <v>832</v>
      </c>
      <c r="G2749" s="1953">
        <v>0.1</v>
      </c>
      <c r="H2749" s="1641"/>
      <c r="I2749" s="2035">
        <v>2.6700000000000002E-2</v>
      </c>
      <c r="J2749" s="1654">
        <v>2.44</v>
      </c>
      <c r="K2749" s="1641"/>
      <c r="L2749" s="1654">
        <v>7.0000000000000007E-2</v>
      </c>
      <c r="M2749" s="1641"/>
      <c r="N2749" s="1681"/>
      <c r="EW2749" s="2031"/>
      <c r="EX2749" s="1619"/>
      <c r="EY2749" s="1628"/>
      <c r="EZ2749" s="1628"/>
      <c r="FA2749" s="1628"/>
      <c r="FD2749" s="1864" t="s">
        <v>2634</v>
      </c>
      <c r="FH2749" s="1628"/>
      <c r="FU2749" s="1678"/>
      <c r="FW2749" s="1678"/>
    </row>
    <row r="2750" spans="1:179" s="1484" customFormat="1" ht="15" x14ac:dyDescent="0.25">
      <c r="A2750" s="2033"/>
      <c r="B2750" s="1631" t="s">
        <v>4922</v>
      </c>
      <c r="C2750" s="2805" t="s">
        <v>8707</v>
      </c>
      <c r="D2750" s="2805"/>
      <c r="E2750" s="2805"/>
      <c r="F2750" s="1683" t="s">
        <v>835</v>
      </c>
      <c r="G2750" s="1953">
        <v>0.5</v>
      </c>
      <c r="H2750" s="1641"/>
      <c r="I2750" s="2035">
        <v>0.13350000000000001</v>
      </c>
      <c r="J2750" s="1654">
        <v>1.82</v>
      </c>
      <c r="K2750" s="1641"/>
      <c r="L2750" s="1654">
        <v>0.24</v>
      </c>
      <c r="M2750" s="1641"/>
      <c r="N2750" s="1681"/>
      <c r="EW2750" s="2031"/>
      <c r="EX2750" s="1619"/>
      <c r="EY2750" s="1628"/>
      <c r="EZ2750" s="1628"/>
      <c r="FA2750" s="1628"/>
      <c r="FD2750" s="1864" t="s">
        <v>8707</v>
      </c>
      <c r="FH2750" s="1628"/>
      <c r="FU2750" s="1678"/>
      <c r="FW2750" s="1678"/>
    </row>
    <row r="2751" spans="1:179" s="1484" customFormat="1" ht="33.75" x14ac:dyDescent="0.25">
      <c r="A2751" s="2033"/>
      <c r="B2751" s="1631" t="s">
        <v>4940</v>
      </c>
      <c r="C2751" s="2805" t="s">
        <v>4941</v>
      </c>
      <c r="D2751" s="2805"/>
      <c r="E2751" s="2805"/>
      <c r="F2751" s="1683" t="s">
        <v>801</v>
      </c>
      <c r="G2751" s="1655">
        <v>0.05</v>
      </c>
      <c r="H2751" s="1641"/>
      <c r="I2751" s="2042">
        <v>1.3350000000000001E-2</v>
      </c>
      <c r="J2751" s="1657">
        <v>6513</v>
      </c>
      <c r="K2751" s="1641"/>
      <c r="L2751" s="1654">
        <v>86.95</v>
      </c>
      <c r="M2751" s="1641"/>
      <c r="N2751" s="1681"/>
      <c r="EW2751" s="2031"/>
      <c r="EX2751" s="1619"/>
      <c r="EY2751" s="1628"/>
      <c r="EZ2751" s="1628"/>
      <c r="FA2751" s="1628"/>
      <c r="FD2751" s="1864" t="s">
        <v>4941</v>
      </c>
      <c r="FH2751" s="1628"/>
      <c r="FU2751" s="1678"/>
      <c r="FW2751" s="1678"/>
    </row>
    <row r="2752" spans="1:179" s="1484" customFormat="1" ht="33.75" x14ac:dyDescent="0.25">
      <c r="A2752" s="2033"/>
      <c r="B2752" s="1631" t="s">
        <v>8752</v>
      </c>
      <c r="C2752" s="2805" t="s">
        <v>8751</v>
      </c>
      <c r="D2752" s="2805"/>
      <c r="E2752" s="2805"/>
      <c r="F2752" s="1683" t="s">
        <v>130</v>
      </c>
      <c r="G2752" s="2034">
        <v>102</v>
      </c>
      <c r="H2752" s="1641"/>
      <c r="I2752" s="2046">
        <v>27.234000000000002</v>
      </c>
      <c r="J2752" s="1654">
        <v>67.8</v>
      </c>
      <c r="K2752" s="1641"/>
      <c r="L2752" s="1657">
        <v>1846.47</v>
      </c>
      <c r="M2752" s="1641"/>
      <c r="N2752" s="1681"/>
      <c r="EW2752" s="2031"/>
      <c r="EX2752" s="1619"/>
      <c r="EY2752" s="1628"/>
      <c r="EZ2752" s="1628"/>
      <c r="FA2752" s="1628"/>
      <c r="FD2752" s="1864" t="s">
        <v>8751</v>
      </c>
      <c r="FH2752" s="1628"/>
      <c r="FU2752" s="1678"/>
      <c r="FW2752" s="1678"/>
    </row>
    <row r="2753" spans="1:179" s="1484" customFormat="1" ht="15" x14ac:dyDescent="0.25">
      <c r="A2753" s="2033"/>
      <c r="B2753" s="1631" t="s">
        <v>4972</v>
      </c>
      <c r="C2753" s="2805" t="s">
        <v>8061</v>
      </c>
      <c r="D2753" s="2805"/>
      <c r="E2753" s="2805"/>
      <c r="F2753" s="1683" t="s">
        <v>835</v>
      </c>
      <c r="G2753" s="2034">
        <v>450</v>
      </c>
      <c r="H2753" s="1641"/>
      <c r="I2753" s="1655">
        <v>120.15</v>
      </c>
      <c r="J2753" s="1654">
        <v>1.37</v>
      </c>
      <c r="K2753" s="1641"/>
      <c r="L2753" s="1654">
        <v>164.61</v>
      </c>
      <c r="M2753" s="1641"/>
      <c r="N2753" s="1681"/>
      <c r="EW2753" s="2031"/>
      <c r="EX2753" s="1619"/>
      <c r="EY2753" s="1628"/>
      <c r="EZ2753" s="1628"/>
      <c r="FA2753" s="1628"/>
      <c r="FD2753" s="1864" t="s">
        <v>8061</v>
      </c>
      <c r="FH2753" s="1628"/>
      <c r="FU2753" s="1678"/>
      <c r="FW2753" s="1678"/>
    </row>
    <row r="2754" spans="1:179" s="1484" customFormat="1" ht="15" x14ac:dyDescent="0.25">
      <c r="A2754" s="2032"/>
      <c r="B2754" s="1631" t="s">
        <v>190</v>
      </c>
      <c r="C2754" s="2805" t="s">
        <v>2523</v>
      </c>
      <c r="D2754" s="2805"/>
      <c r="E2754" s="2805"/>
      <c r="F2754" s="1683"/>
      <c r="G2754" s="1641"/>
      <c r="H2754" s="1641"/>
      <c r="I2754" s="1641"/>
      <c r="J2754" s="1657">
        <v>1046.8800000000001</v>
      </c>
      <c r="K2754" s="1655">
        <v>1.25</v>
      </c>
      <c r="L2754" s="1654">
        <v>349.4</v>
      </c>
      <c r="M2754" s="1655">
        <v>35.75</v>
      </c>
      <c r="N2754" s="1679">
        <v>12491.05</v>
      </c>
      <c r="EW2754" s="2031"/>
      <c r="EX2754" s="1619"/>
      <c r="EY2754" s="1628"/>
      <c r="EZ2754" s="1628"/>
      <c r="FA2754" s="1628"/>
      <c r="FE2754" s="1864" t="s">
        <v>2523</v>
      </c>
      <c r="FH2754" s="1628"/>
      <c r="FU2754" s="1678"/>
      <c r="FW2754" s="1678"/>
    </row>
    <row r="2755" spans="1:179" s="1484" customFormat="1" ht="15" x14ac:dyDescent="0.25">
      <c r="A2755" s="2032"/>
      <c r="B2755" s="1631" t="s">
        <v>639</v>
      </c>
      <c r="C2755" s="2805" t="s">
        <v>697</v>
      </c>
      <c r="D2755" s="2805"/>
      <c r="E2755" s="2805"/>
      <c r="F2755" s="1683"/>
      <c r="G2755" s="1641"/>
      <c r="H2755" s="1641"/>
      <c r="I2755" s="1641"/>
      <c r="J2755" s="1654">
        <v>142.03</v>
      </c>
      <c r="K2755" s="1641"/>
      <c r="L2755" s="1654">
        <v>37.92</v>
      </c>
      <c r="M2755" s="1655">
        <v>11.97</v>
      </c>
      <c r="N2755" s="2039">
        <v>453.9</v>
      </c>
      <c r="EW2755" s="2031"/>
      <c r="EX2755" s="1619"/>
      <c r="EY2755" s="1628"/>
      <c r="EZ2755" s="1628"/>
      <c r="FA2755" s="1628"/>
      <c r="FE2755" s="1864" t="s">
        <v>697</v>
      </c>
      <c r="FH2755" s="1628"/>
      <c r="FU2755" s="1678"/>
      <c r="FW2755" s="1678"/>
    </row>
    <row r="2756" spans="1:179" s="1484" customFormat="1" ht="15" x14ac:dyDescent="0.25">
      <c r="A2756" s="2032"/>
      <c r="B2756" s="1631" t="s">
        <v>640</v>
      </c>
      <c r="C2756" s="2805" t="s">
        <v>2500</v>
      </c>
      <c r="D2756" s="2805"/>
      <c r="E2756" s="2805"/>
      <c r="F2756" s="1683"/>
      <c r="G2756" s="1641"/>
      <c r="H2756" s="1641"/>
      <c r="I2756" s="1641"/>
      <c r="J2756" s="1654">
        <v>53.61</v>
      </c>
      <c r="K2756" s="1641"/>
      <c r="L2756" s="1654">
        <v>14.31</v>
      </c>
      <c r="M2756" s="1655">
        <v>35.75</v>
      </c>
      <c r="N2756" s="2039">
        <v>511.58</v>
      </c>
      <c r="EW2756" s="2031"/>
      <c r="EX2756" s="1619"/>
      <c r="EY2756" s="1628"/>
      <c r="EZ2756" s="1628"/>
      <c r="FA2756" s="1628"/>
      <c r="FE2756" s="1864" t="s">
        <v>2500</v>
      </c>
      <c r="FH2756" s="1628"/>
      <c r="FU2756" s="1678"/>
      <c r="FW2756" s="1678"/>
    </row>
    <row r="2757" spans="1:179" s="1484" customFormat="1" ht="15" x14ac:dyDescent="0.25">
      <c r="A2757" s="2032"/>
      <c r="B2757" s="1631" t="s">
        <v>232</v>
      </c>
      <c r="C2757" s="2805" t="s">
        <v>829</v>
      </c>
      <c r="D2757" s="2805"/>
      <c r="E2757" s="2805"/>
      <c r="F2757" s="1683"/>
      <c r="G2757" s="1641"/>
      <c r="H2757" s="1641"/>
      <c r="I2757" s="1641"/>
      <c r="J2757" s="1657">
        <v>7858.9</v>
      </c>
      <c r="K2757" s="1641"/>
      <c r="L2757" s="1657">
        <v>2098.33</v>
      </c>
      <c r="M2757" s="1655">
        <v>9.14</v>
      </c>
      <c r="N2757" s="1679">
        <v>19178.740000000002</v>
      </c>
      <c r="EW2757" s="2031"/>
      <c r="EX2757" s="1619"/>
      <c r="EY2757" s="1628"/>
      <c r="EZ2757" s="1628"/>
      <c r="FA2757" s="1628"/>
      <c r="FE2757" s="1864" t="s">
        <v>829</v>
      </c>
      <c r="FH2757" s="1628"/>
      <c r="FU2757" s="1678"/>
      <c r="FW2757" s="1678"/>
    </row>
    <row r="2758" spans="1:179" s="1484" customFormat="1" ht="15" x14ac:dyDescent="0.25">
      <c r="A2758" s="2033"/>
      <c r="B2758" s="1631"/>
      <c r="C2758" s="2805" t="s">
        <v>2524</v>
      </c>
      <c r="D2758" s="2805"/>
      <c r="E2758" s="2805"/>
      <c r="F2758" s="1683" t="s">
        <v>807</v>
      </c>
      <c r="G2758" s="1655">
        <v>119.78</v>
      </c>
      <c r="H2758" s="1641"/>
      <c r="I2758" s="2042">
        <v>31.981259999999999</v>
      </c>
      <c r="J2758" s="1640"/>
      <c r="K2758" s="1641"/>
      <c r="L2758" s="1640"/>
      <c r="M2758" s="1641"/>
      <c r="N2758" s="1681"/>
      <c r="EW2758" s="2031"/>
      <c r="EX2758" s="1619"/>
      <c r="EY2758" s="1628"/>
      <c r="EZ2758" s="1628"/>
      <c r="FA2758" s="1628"/>
      <c r="FF2758" s="1864" t="s">
        <v>2524</v>
      </c>
      <c r="FH2758" s="1628"/>
      <c r="FU2758" s="1678"/>
      <c r="FW2758" s="1678"/>
    </row>
    <row r="2759" spans="1:179" s="1484" customFormat="1" ht="15" x14ac:dyDescent="0.25">
      <c r="A2759" s="2033"/>
      <c r="B2759" s="1631"/>
      <c r="C2759" s="2805" t="s">
        <v>2501</v>
      </c>
      <c r="D2759" s="2805"/>
      <c r="E2759" s="2805"/>
      <c r="F2759" s="1683" t="s">
        <v>807</v>
      </c>
      <c r="G2759" s="1953">
        <v>4.5</v>
      </c>
      <c r="H2759" s="1641"/>
      <c r="I2759" s="2035">
        <v>1.2015</v>
      </c>
      <c r="J2759" s="1640"/>
      <c r="K2759" s="1641"/>
      <c r="L2759" s="1640"/>
      <c r="M2759" s="1641"/>
      <c r="N2759" s="1681"/>
      <c r="EW2759" s="2031"/>
      <c r="EX2759" s="1619"/>
      <c r="EY2759" s="1628"/>
      <c r="EZ2759" s="1628"/>
      <c r="FA2759" s="1628"/>
      <c r="FF2759" s="1864" t="s">
        <v>2501</v>
      </c>
      <c r="FH2759" s="1628"/>
      <c r="FU2759" s="1678"/>
      <c r="FW2759" s="1678"/>
    </row>
    <row r="2760" spans="1:179" s="1484" customFormat="1" ht="15" x14ac:dyDescent="0.25">
      <c r="A2760" s="2032"/>
      <c r="B2760" s="1631"/>
      <c r="C2760" s="2917" t="s">
        <v>2502</v>
      </c>
      <c r="D2760" s="2917"/>
      <c r="E2760" s="2917"/>
      <c r="F2760" s="2036"/>
      <c r="G2760" s="2037"/>
      <c r="H2760" s="2037"/>
      <c r="I2760" s="2037"/>
      <c r="J2760" s="2038">
        <v>9047.81</v>
      </c>
      <c r="K2760" s="2037"/>
      <c r="L2760" s="2038">
        <v>2485.65</v>
      </c>
      <c r="M2760" s="2037"/>
      <c r="N2760" s="2068">
        <v>32123.69</v>
      </c>
      <c r="EW2760" s="2031"/>
      <c r="EX2760" s="1619"/>
      <c r="EY2760" s="1628"/>
      <c r="EZ2760" s="1628"/>
      <c r="FA2760" s="1628"/>
      <c r="FG2760" s="1864" t="s">
        <v>2502</v>
      </c>
      <c r="FH2760" s="1628"/>
      <c r="FU2760" s="1678"/>
      <c r="FW2760" s="1678"/>
    </row>
    <row r="2761" spans="1:179" s="1484" customFormat="1" ht="15" x14ac:dyDescent="0.25">
      <c r="A2761" s="2033" t="s">
        <v>8417</v>
      </c>
      <c r="B2761" s="1631"/>
      <c r="C2761" s="2805" t="s">
        <v>7964</v>
      </c>
      <c r="D2761" s="2805"/>
      <c r="E2761" s="2805"/>
      <c r="F2761" s="1683" t="s">
        <v>5928</v>
      </c>
      <c r="G2761" s="1641"/>
      <c r="H2761" s="1641"/>
      <c r="I2761" s="1641"/>
      <c r="J2761" s="1640"/>
      <c r="K2761" s="1641"/>
      <c r="L2761" s="1654">
        <v>3.58</v>
      </c>
      <c r="M2761" s="1641"/>
      <c r="N2761" s="2039">
        <v>127.99</v>
      </c>
      <c r="EW2761" s="2031"/>
      <c r="EX2761" s="1619"/>
      <c r="EY2761" s="1628"/>
      <c r="EZ2761" s="1628"/>
      <c r="FA2761" s="1628"/>
      <c r="FF2761" s="1864" t="s">
        <v>7964</v>
      </c>
      <c r="FH2761" s="1628"/>
      <c r="FU2761" s="1678"/>
      <c r="FW2761" s="1678"/>
    </row>
    <row r="2762" spans="1:179" s="1484" customFormat="1" ht="15" x14ac:dyDescent="0.25">
      <c r="A2762" s="2033"/>
      <c r="B2762" s="1631"/>
      <c r="C2762" s="2805" t="s">
        <v>7965</v>
      </c>
      <c r="D2762" s="2805"/>
      <c r="E2762" s="2805"/>
      <c r="F2762" s="1683" t="s">
        <v>5928</v>
      </c>
      <c r="G2762" s="1641"/>
      <c r="H2762" s="1641"/>
      <c r="I2762" s="1641"/>
      <c r="J2762" s="1654">
        <v>53.61</v>
      </c>
      <c r="K2762" s="1655">
        <v>0.25</v>
      </c>
      <c r="L2762" s="1654">
        <v>3.58</v>
      </c>
      <c r="M2762" s="1655">
        <v>35.75</v>
      </c>
      <c r="N2762" s="2039">
        <v>127.99</v>
      </c>
      <c r="EW2762" s="2031"/>
      <c r="EX2762" s="1619"/>
      <c r="EY2762" s="1628"/>
      <c r="EZ2762" s="1628"/>
      <c r="FA2762" s="1628"/>
      <c r="FF2762" s="1864" t="s">
        <v>7965</v>
      </c>
      <c r="FH2762" s="1628"/>
      <c r="FU2762" s="1678"/>
      <c r="FW2762" s="1678"/>
    </row>
    <row r="2763" spans="1:179" s="1484" customFormat="1" ht="15" x14ac:dyDescent="0.25">
      <c r="A2763" s="2033"/>
      <c r="B2763" s="1631"/>
      <c r="C2763" s="2805" t="s">
        <v>867</v>
      </c>
      <c r="D2763" s="2805"/>
      <c r="E2763" s="2805"/>
      <c r="F2763" s="1683"/>
      <c r="G2763" s="1641"/>
      <c r="H2763" s="1641"/>
      <c r="I2763" s="1641"/>
      <c r="J2763" s="1640"/>
      <c r="K2763" s="1641"/>
      <c r="L2763" s="1654">
        <v>367.29</v>
      </c>
      <c r="M2763" s="1641"/>
      <c r="N2763" s="1679">
        <v>13130.62</v>
      </c>
      <c r="EW2763" s="2031"/>
      <c r="EX2763" s="1619"/>
      <c r="EY2763" s="1628"/>
      <c r="EZ2763" s="1628"/>
      <c r="FA2763" s="1628"/>
      <c r="FF2763" s="1864" t="s">
        <v>867</v>
      </c>
      <c r="FH2763" s="1628"/>
      <c r="FU2763" s="1678"/>
      <c r="FW2763" s="1678"/>
    </row>
    <row r="2764" spans="1:179" s="1484" customFormat="1" ht="15" x14ac:dyDescent="0.25">
      <c r="A2764" s="2033"/>
      <c r="B2764" s="1631" t="s">
        <v>8054</v>
      </c>
      <c r="C2764" s="2805" t="s">
        <v>8055</v>
      </c>
      <c r="D2764" s="2805"/>
      <c r="E2764" s="2805"/>
      <c r="F2764" s="1683" t="s">
        <v>636</v>
      </c>
      <c r="G2764" s="2034">
        <v>112</v>
      </c>
      <c r="H2764" s="1641"/>
      <c r="I2764" s="2034">
        <v>112</v>
      </c>
      <c r="J2764" s="1640"/>
      <c r="K2764" s="1641"/>
      <c r="L2764" s="1654">
        <v>411.36</v>
      </c>
      <c r="M2764" s="1641"/>
      <c r="N2764" s="1679">
        <v>14706.29</v>
      </c>
      <c r="EW2764" s="2031"/>
      <c r="EX2764" s="1619"/>
      <c r="EY2764" s="1628"/>
      <c r="EZ2764" s="1628"/>
      <c r="FA2764" s="1628"/>
      <c r="FF2764" s="1864" t="s">
        <v>8055</v>
      </c>
      <c r="FH2764" s="1628"/>
      <c r="FU2764" s="1678"/>
      <c r="FW2764" s="1678"/>
    </row>
    <row r="2765" spans="1:179" s="1484" customFormat="1" ht="15" x14ac:dyDescent="0.25">
      <c r="A2765" s="2033"/>
      <c r="B2765" s="1631" t="s">
        <v>8056</v>
      </c>
      <c r="C2765" s="2805" t="s">
        <v>8057</v>
      </c>
      <c r="D2765" s="2805"/>
      <c r="E2765" s="2805"/>
      <c r="F2765" s="1683" t="s">
        <v>636</v>
      </c>
      <c r="G2765" s="2034">
        <v>65</v>
      </c>
      <c r="H2765" s="1641"/>
      <c r="I2765" s="2034">
        <v>65</v>
      </c>
      <c r="J2765" s="1640"/>
      <c r="K2765" s="1641"/>
      <c r="L2765" s="1654">
        <v>238.74</v>
      </c>
      <c r="M2765" s="1641"/>
      <c r="N2765" s="1679">
        <v>8534.9</v>
      </c>
      <c r="EW2765" s="2031"/>
      <c r="EX2765" s="1619"/>
      <c r="EY2765" s="1628"/>
      <c r="EZ2765" s="1628"/>
      <c r="FA2765" s="1628"/>
      <c r="FF2765" s="1864" t="s">
        <v>8057</v>
      </c>
      <c r="FH2765" s="1628"/>
      <c r="FU2765" s="1678"/>
      <c r="FW2765" s="1678"/>
    </row>
    <row r="2766" spans="1:179" s="1484" customFormat="1" ht="15" x14ac:dyDescent="0.25">
      <c r="A2766" s="1650"/>
      <c r="B2766" s="1651"/>
      <c r="C2766" s="2803" t="s">
        <v>872</v>
      </c>
      <c r="D2766" s="2803"/>
      <c r="E2766" s="2803"/>
      <c r="F2766" s="1621"/>
      <c r="G2766" s="1622"/>
      <c r="H2766" s="1622"/>
      <c r="I2766" s="1622"/>
      <c r="J2766" s="1625"/>
      <c r="K2766" s="1622"/>
      <c r="L2766" s="1648">
        <v>3139.33</v>
      </c>
      <c r="M2766" s="2037"/>
      <c r="N2766" s="1649">
        <v>55492.87</v>
      </c>
      <c r="EW2766" s="2031"/>
      <c r="EX2766" s="1619"/>
      <c r="EY2766" s="1628"/>
      <c r="EZ2766" s="1628"/>
      <c r="FA2766" s="1628"/>
      <c r="FH2766" s="1628" t="s">
        <v>872</v>
      </c>
      <c r="FU2766" s="1678"/>
      <c r="FW2766" s="1678"/>
    </row>
    <row r="2767" spans="1:179" s="1484" customFormat="1" ht="15" x14ac:dyDescent="0.25">
      <c r="A2767" s="2811" t="s">
        <v>8418</v>
      </c>
      <c r="B2767" s="2812"/>
      <c r="C2767" s="2812"/>
      <c r="D2767" s="2812"/>
      <c r="E2767" s="2812"/>
      <c r="F2767" s="2812"/>
      <c r="G2767" s="2812"/>
      <c r="H2767" s="2812"/>
      <c r="I2767" s="2812"/>
      <c r="J2767" s="2812"/>
      <c r="K2767" s="2812"/>
      <c r="L2767" s="2812"/>
      <c r="M2767" s="2812"/>
      <c r="N2767" s="2813"/>
      <c r="EW2767" s="2031"/>
      <c r="EX2767" s="1619" t="s">
        <v>8418</v>
      </c>
      <c r="EY2767" s="1628"/>
      <c r="EZ2767" s="1628"/>
      <c r="FA2767" s="1628"/>
      <c r="FH2767" s="1628"/>
      <c r="FU2767" s="1678"/>
      <c r="FW2767" s="1678"/>
    </row>
    <row r="2768" spans="1:179" s="1484" customFormat="1" ht="15" x14ac:dyDescent="0.25">
      <c r="A2768" s="2811" t="s">
        <v>8419</v>
      </c>
      <c r="B2768" s="2812"/>
      <c r="C2768" s="2812"/>
      <c r="D2768" s="2812"/>
      <c r="E2768" s="2812"/>
      <c r="F2768" s="2812"/>
      <c r="G2768" s="2812"/>
      <c r="H2768" s="2812"/>
      <c r="I2768" s="2812"/>
      <c r="J2768" s="2812"/>
      <c r="K2768" s="2812"/>
      <c r="L2768" s="2812"/>
      <c r="M2768" s="2812"/>
      <c r="N2768" s="2813"/>
      <c r="EW2768" s="2031"/>
      <c r="EX2768" s="1619" t="s">
        <v>8419</v>
      </c>
      <c r="EY2768" s="1628"/>
      <c r="EZ2768" s="1628"/>
      <c r="FA2768" s="1628"/>
      <c r="FH2768" s="1628"/>
      <c r="FU2768" s="1678"/>
      <c r="FW2768" s="1678"/>
    </row>
    <row r="2769" spans="1:179" s="1484" customFormat="1" ht="22.5" x14ac:dyDescent="0.25">
      <c r="A2769" s="1620" t="s">
        <v>8420</v>
      </c>
      <c r="B2769" s="1863" t="s">
        <v>8421</v>
      </c>
      <c r="C2769" s="2803" t="s">
        <v>8422</v>
      </c>
      <c r="D2769" s="2803"/>
      <c r="E2769" s="2803"/>
      <c r="F2769" s="1621" t="s">
        <v>2588</v>
      </c>
      <c r="G2769" s="1622">
        <v>0.08</v>
      </c>
      <c r="H2769" s="1623">
        <v>1</v>
      </c>
      <c r="I2769" s="1687">
        <v>0.08</v>
      </c>
      <c r="J2769" s="1625"/>
      <c r="K2769" s="1622"/>
      <c r="L2769" s="1625"/>
      <c r="M2769" s="1622"/>
      <c r="N2769" s="1627"/>
      <c r="EW2769" s="2031"/>
      <c r="EX2769" s="1619"/>
      <c r="EY2769" s="1628" t="s">
        <v>8422</v>
      </c>
      <c r="EZ2769" s="1628" t="s">
        <v>588</v>
      </c>
      <c r="FA2769" s="1628" t="s">
        <v>588</v>
      </c>
      <c r="FH2769" s="1628"/>
      <c r="FU2769" s="1678"/>
      <c r="FW2769" s="1678"/>
    </row>
    <row r="2770" spans="1:179" s="1484" customFormat="1" ht="15" x14ac:dyDescent="0.25">
      <c r="A2770" s="1629"/>
      <c r="B2770" s="1862"/>
      <c r="C2770" s="2805" t="s">
        <v>8750</v>
      </c>
      <c r="D2770" s="2805"/>
      <c r="E2770" s="2805"/>
      <c r="F2770" s="2805"/>
      <c r="G2770" s="2805"/>
      <c r="H2770" s="2805"/>
      <c r="I2770" s="2805"/>
      <c r="J2770" s="2805"/>
      <c r="K2770" s="2805"/>
      <c r="L2770" s="2805"/>
      <c r="M2770" s="2805"/>
      <c r="N2770" s="2806"/>
      <c r="EW2770" s="2031"/>
      <c r="EX2770" s="1619"/>
      <c r="EY2770" s="1628"/>
      <c r="EZ2770" s="1628"/>
      <c r="FA2770" s="1628"/>
      <c r="FB2770" s="1864" t="s">
        <v>8750</v>
      </c>
      <c r="FH2770" s="1628"/>
      <c r="FU2770" s="1678"/>
      <c r="FW2770" s="1678"/>
    </row>
    <row r="2771" spans="1:179" s="1484" customFormat="1" ht="22.5" x14ac:dyDescent="0.25">
      <c r="A2771" s="1630"/>
      <c r="B2771" s="1631" t="s">
        <v>6062</v>
      </c>
      <c r="C2771" s="2809" t="s">
        <v>6063</v>
      </c>
      <c r="D2771" s="2809"/>
      <c r="E2771" s="2809"/>
      <c r="F2771" s="2809"/>
      <c r="G2771" s="2809"/>
      <c r="H2771" s="2809"/>
      <c r="I2771" s="2809"/>
      <c r="J2771" s="2809"/>
      <c r="K2771" s="2809"/>
      <c r="L2771" s="2809"/>
      <c r="M2771" s="2809"/>
      <c r="N2771" s="2810"/>
      <c r="EW2771" s="2031"/>
      <c r="EX2771" s="1619"/>
      <c r="EY2771" s="1628"/>
      <c r="EZ2771" s="1628"/>
      <c r="FA2771" s="1628"/>
      <c r="FC2771" s="1864" t="s">
        <v>6063</v>
      </c>
      <c r="FH2771" s="1628"/>
      <c r="FU2771" s="1678"/>
      <c r="FW2771" s="1678"/>
    </row>
    <row r="2772" spans="1:179" s="1484" customFormat="1" ht="22.5" x14ac:dyDescent="0.25">
      <c r="A2772" s="2033"/>
      <c r="B2772" s="1631" t="s">
        <v>8687</v>
      </c>
      <c r="C2772" s="2805" t="s">
        <v>8686</v>
      </c>
      <c r="D2772" s="2805"/>
      <c r="E2772" s="2805"/>
      <c r="F2772" s="1683" t="s">
        <v>807</v>
      </c>
      <c r="G2772" s="1655">
        <v>23.82</v>
      </c>
      <c r="H2772" s="1641"/>
      <c r="I2772" s="2035">
        <v>1.9056</v>
      </c>
      <c r="J2772" s="1654">
        <v>9.51</v>
      </c>
      <c r="K2772" s="1655">
        <v>1.25</v>
      </c>
      <c r="L2772" s="1654">
        <v>22.65</v>
      </c>
      <c r="M2772" s="1641"/>
      <c r="N2772" s="1681"/>
      <c r="EW2772" s="2031"/>
      <c r="EX2772" s="1619"/>
      <c r="EY2772" s="1628"/>
      <c r="EZ2772" s="1628"/>
      <c r="FA2772" s="1628"/>
      <c r="FD2772" s="1864" t="s">
        <v>8686</v>
      </c>
      <c r="FH2772" s="1628"/>
      <c r="FU2772" s="1678"/>
      <c r="FW2772" s="1678"/>
    </row>
    <row r="2773" spans="1:179" s="1484" customFormat="1" ht="22.5" x14ac:dyDescent="0.25">
      <c r="A2773" s="2033"/>
      <c r="B2773" s="1631" t="s">
        <v>5010</v>
      </c>
      <c r="C2773" s="2805" t="s">
        <v>5011</v>
      </c>
      <c r="D2773" s="2805"/>
      <c r="E2773" s="2805"/>
      <c r="F2773" s="1683" t="s">
        <v>4994</v>
      </c>
      <c r="G2773" s="1655">
        <v>0.05</v>
      </c>
      <c r="H2773" s="1641"/>
      <c r="I2773" s="2046">
        <v>4.0000000000000001E-3</v>
      </c>
      <c r="J2773" s="1654">
        <v>31.26</v>
      </c>
      <c r="K2773" s="1641"/>
      <c r="L2773" s="1654">
        <v>0.13</v>
      </c>
      <c r="M2773" s="1641"/>
      <c r="N2773" s="1681"/>
      <c r="EW2773" s="2031"/>
      <c r="EX2773" s="1619"/>
      <c r="EY2773" s="1628"/>
      <c r="EZ2773" s="1628"/>
      <c r="FA2773" s="1628"/>
      <c r="FD2773" s="1864" t="s">
        <v>5011</v>
      </c>
      <c r="FH2773" s="1628"/>
      <c r="FU2773" s="1678"/>
      <c r="FW2773" s="1678"/>
    </row>
    <row r="2774" spans="1:179" s="1484" customFormat="1" ht="15" x14ac:dyDescent="0.25">
      <c r="A2774" s="2033"/>
      <c r="B2774" s="1631" t="s">
        <v>821</v>
      </c>
      <c r="C2774" s="2805" t="s">
        <v>822</v>
      </c>
      <c r="D2774" s="2805"/>
      <c r="E2774" s="2805"/>
      <c r="F2774" s="1683" t="s">
        <v>4994</v>
      </c>
      <c r="G2774" s="1655">
        <v>0.06</v>
      </c>
      <c r="H2774" s="1641"/>
      <c r="I2774" s="2035">
        <v>4.7999999999999996E-3</v>
      </c>
      <c r="J2774" s="1654">
        <v>65.709999999999994</v>
      </c>
      <c r="K2774" s="1641"/>
      <c r="L2774" s="1654">
        <v>0.32</v>
      </c>
      <c r="M2774" s="1641"/>
      <c r="N2774" s="1681"/>
      <c r="EW2774" s="2031"/>
      <c r="EX2774" s="1619"/>
      <c r="EY2774" s="1628"/>
      <c r="EZ2774" s="1628"/>
      <c r="FA2774" s="1628"/>
      <c r="FD2774" s="1864" t="s">
        <v>822</v>
      </c>
      <c r="FH2774" s="1628"/>
      <c r="FU2774" s="1678"/>
      <c r="FW2774" s="1678"/>
    </row>
    <row r="2775" spans="1:179" s="1484" customFormat="1" ht="15" x14ac:dyDescent="0.25">
      <c r="A2775" s="2033"/>
      <c r="B2775" s="1631" t="s">
        <v>4936</v>
      </c>
      <c r="C2775" s="2805" t="s">
        <v>4937</v>
      </c>
      <c r="D2775" s="2805"/>
      <c r="E2775" s="2805"/>
      <c r="F2775" s="1683" t="s">
        <v>832</v>
      </c>
      <c r="G2775" s="1655">
        <v>0.16</v>
      </c>
      <c r="H2775" s="1641"/>
      <c r="I2775" s="2035">
        <v>1.2800000000000001E-2</v>
      </c>
      <c r="J2775" s="1654">
        <v>600</v>
      </c>
      <c r="K2775" s="1641"/>
      <c r="L2775" s="1654">
        <v>7.68</v>
      </c>
      <c r="M2775" s="1641"/>
      <c r="N2775" s="1681"/>
      <c r="EW2775" s="2031"/>
      <c r="EX2775" s="1619"/>
      <c r="EY2775" s="1628"/>
      <c r="EZ2775" s="1628"/>
      <c r="FA2775" s="1628"/>
      <c r="FD2775" s="1864" t="s">
        <v>4937</v>
      </c>
      <c r="FH2775" s="1628"/>
      <c r="FU2775" s="1678"/>
      <c r="FW2775" s="1678"/>
    </row>
    <row r="2776" spans="1:179" s="1484" customFormat="1" ht="15" x14ac:dyDescent="0.25">
      <c r="A2776" s="2032"/>
      <c r="B2776" s="1631" t="s">
        <v>190</v>
      </c>
      <c r="C2776" s="2805" t="s">
        <v>2523</v>
      </c>
      <c r="D2776" s="2805"/>
      <c r="E2776" s="2805"/>
      <c r="F2776" s="1683"/>
      <c r="G2776" s="1641"/>
      <c r="H2776" s="1641"/>
      <c r="I2776" s="1641"/>
      <c r="J2776" s="1654">
        <v>226.53</v>
      </c>
      <c r="K2776" s="1655">
        <v>1.25</v>
      </c>
      <c r="L2776" s="1654">
        <v>22.65</v>
      </c>
      <c r="M2776" s="1655">
        <v>35.75</v>
      </c>
      <c r="N2776" s="2039">
        <v>809.74</v>
      </c>
      <c r="EW2776" s="2031"/>
      <c r="EX2776" s="1619"/>
      <c r="EY2776" s="1628"/>
      <c r="EZ2776" s="1628"/>
      <c r="FA2776" s="1628"/>
      <c r="FE2776" s="1864" t="s">
        <v>2523</v>
      </c>
      <c r="FH2776" s="1628"/>
      <c r="FU2776" s="1678"/>
      <c r="FW2776" s="1678"/>
    </row>
    <row r="2777" spans="1:179" s="1484" customFormat="1" ht="15" x14ac:dyDescent="0.25">
      <c r="A2777" s="2032"/>
      <c r="B2777" s="1631" t="s">
        <v>639</v>
      </c>
      <c r="C2777" s="2805" t="s">
        <v>697</v>
      </c>
      <c r="D2777" s="2805"/>
      <c r="E2777" s="2805"/>
      <c r="F2777" s="1683"/>
      <c r="G2777" s="1641"/>
      <c r="H2777" s="1641"/>
      <c r="I2777" s="1641"/>
      <c r="J2777" s="1654">
        <v>5.5</v>
      </c>
      <c r="K2777" s="1641"/>
      <c r="L2777" s="1654">
        <v>0.44</v>
      </c>
      <c r="M2777" s="1655">
        <v>11.97</v>
      </c>
      <c r="N2777" s="2039">
        <v>5.27</v>
      </c>
      <c r="EW2777" s="2031"/>
      <c r="EX2777" s="1619"/>
      <c r="EY2777" s="1628"/>
      <c r="EZ2777" s="1628"/>
      <c r="FA2777" s="1628"/>
      <c r="FE2777" s="1864" t="s">
        <v>697</v>
      </c>
      <c r="FH2777" s="1628"/>
      <c r="FU2777" s="1678"/>
      <c r="FW2777" s="1678"/>
    </row>
    <row r="2778" spans="1:179" s="1484" customFormat="1" ht="15" x14ac:dyDescent="0.25">
      <c r="A2778" s="2032"/>
      <c r="B2778" s="1631" t="s">
        <v>640</v>
      </c>
      <c r="C2778" s="2805" t="s">
        <v>2500</v>
      </c>
      <c r="D2778" s="2805"/>
      <c r="E2778" s="2805"/>
      <c r="F2778" s="1683"/>
      <c r="G2778" s="1641"/>
      <c r="H2778" s="1641"/>
      <c r="I2778" s="1641"/>
      <c r="J2778" s="1654">
        <v>1.38</v>
      </c>
      <c r="K2778" s="1641"/>
      <c r="L2778" s="1654">
        <v>0.11</v>
      </c>
      <c r="M2778" s="1655">
        <v>35.75</v>
      </c>
      <c r="N2778" s="2039">
        <v>3.93</v>
      </c>
      <c r="EW2778" s="2031"/>
      <c r="EX2778" s="1619"/>
      <c r="EY2778" s="1628"/>
      <c r="EZ2778" s="1628"/>
      <c r="FA2778" s="1628"/>
      <c r="FE2778" s="1864" t="s">
        <v>2500</v>
      </c>
      <c r="FH2778" s="1628"/>
      <c r="FU2778" s="1678"/>
      <c r="FW2778" s="1678"/>
    </row>
    <row r="2779" spans="1:179" s="1484" customFormat="1" ht="15" x14ac:dyDescent="0.25">
      <c r="A2779" s="2032"/>
      <c r="B2779" s="1631" t="s">
        <v>232</v>
      </c>
      <c r="C2779" s="2805" t="s">
        <v>829</v>
      </c>
      <c r="D2779" s="2805"/>
      <c r="E2779" s="2805"/>
      <c r="F2779" s="1683"/>
      <c r="G2779" s="1641"/>
      <c r="H2779" s="1641"/>
      <c r="I2779" s="1641"/>
      <c r="J2779" s="1654">
        <v>96</v>
      </c>
      <c r="K2779" s="1641"/>
      <c r="L2779" s="1654">
        <v>7.68</v>
      </c>
      <c r="M2779" s="1655">
        <v>9.14</v>
      </c>
      <c r="N2779" s="2039">
        <v>70.2</v>
      </c>
      <c r="EW2779" s="2031"/>
      <c r="EX2779" s="1619"/>
      <c r="EY2779" s="1628"/>
      <c r="EZ2779" s="1628"/>
      <c r="FA2779" s="1628"/>
      <c r="FE2779" s="1864" t="s">
        <v>829</v>
      </c>
      <c r="FH2779" s="1628"/>
      <c r="FU2779" s="1678"/>
      <c r="FW2779" s="1678"/>
    </row>
    <row r="2780" spans="1:179" s="1484" customFormat="1" ht="15" x14ac:dyDescent="0.25">
      <c r="A2780" s="2033"/>
      <c r="B2780" s="1631"/>
      <c r="C2780" s="2805" t="s">
        <v>2524</v>
      </c>
      <c r="D2780" s="2805"/>
      <c r="E2780" s="2805"/>
      <c r="F2780" s="1683" t="s">
        <v>807</v>
      </c>
      <c r="G2780" s="1655">
        <v>23.82</v>
      </c>
      <c r="H2780" s="1641"/>
      <c r="I2780" s="2035">
        <v>1.9056</v>
      </c>
      <c r="J2780" s="1640"/>
      <c r="K2780" s="1641"/>
      <c r="L2780" s="1640"/>
      <c r="M2780" s="1641"/>
      <c r="N2780" s="1681"/>
      <c r="EW2780" s="2031"/>
      <c r="EX2780" s="1619"/>
      <c r="EY2780" s="1628"/>
      <c r="EZ2780" s="1628"/>
      <c r="FA2780" s="1628"/>
      <c r="FF2780" s="1864" t="s">
        <v>2524</v>
      </c>
      <c r="FH2780" s="1628"/>
      <c r="FU2780" s="1678"/>
      <c r="FW2780" s="1678"/>
    </row>
    <row r="2781" spans="1:179" s="1484" customFormat="1" ht="15" x14ac:dyDescent="0.25">
      <c r="A2781" s="2033"/>
      <c r="B2781" s="1631"/>
      <c r="C2781" s="2805" t="s">
        <v>2501</v>
      </c>
      <c r="D2781" s="2805"/>
      <c r="E2781" s="2805"/>
      <c r="F2781" s="1683" t="s">
        <v>807</v>
      </c>
      <c r="G2781" s="1655">
        <v>0.11</v>
      </c>
      <c r="H2781" s="1641"/>
      <c r="I2781" s="2035">
        <v>8.8000000000000005E-3</v>
      </c>
      <c r="J2781" s="1640"/>
      <c r="K2781" s="1641"/>
      <c r="L2781" s="1640"/>
      <c r="M2781" s="1641"/>
      <c r="N2781" s="1681"/>
      <c r="EW2781" s="2031"/>
      <c r="EX2781" s="1619"/>
      <c r="EY2781" s="1628"/>
      <c r="EZ2781" s="1628"/>
      <c r="FA2781" s="1628"/>
      <c r="FF2781" s="1864" t="s">
        <v>2501</v>
      </c>
      <c r="FH2781" s="1628"/>
      <c r="FU2781" s="1678"/>
      <c r="FW2781" s="1678"/>
    </row>
    <row r="2782" spans="1:179" s="1484" customFormat="1" ht="15" x14ac:dyDescent="0.25">
      <c r="A2782" s="2032"/>
      <c r="B2782" s="1631"/>
      <c r="C2782" s="2917" t="s">
        <v>2502</v>
      </c>
      <c r="D2782" s="2917"/>
      <c r="E2782" s="2917"/>
      <c r="F2782" s="2036"/>
      <c r="G2782" s="2037"/>
      <c r="H2782" s="2037"/>
      <c r="I2782" s="2037"/>
      <c r="J2782" s="2044">
        <v>328.03</v>
      </c>
      <c r="K2782" s="2037"/>
      <c r="L2782" s="2044">
        <v>30.77</v>
      </c>
      <c r="M2782" s="2037"/>
      <c r="N2782" s="2070">
        <v>885.21</v>
      </c>
      <c r="EW2782" s="2031"/>
      <c r="EX2782" s="1619"/>
      <c r="EY2782" s="1628"/>
      <c r="EZ2782" s="1628"/>
      <c r="FA2782" s="1628"/>
      <c r="FG2782" s="1864" t="s">
        <v>2502</v>
      </c>
      <c r="FH2782" s="1628"/>
      <c r="FU2782" s="1678"/>
      <c r="FW2782" s="1678"/>
    </row>
    <row r="2783" spans="1:179" s="1484" customFormat="1" ht="15" x14ac:dyDescent="0.25">
      <c r="A2783" s="2033" t="s">
        <v>8423</v>
      </c>
      <c r="B2783" s="1631"/>
      <c r="C2783" s="2805" t="s">
        <v>7964</v>
      </c>
      <c r="D2783" s="2805"/>
      <c r="E2783" s="2805"/>
      <c r="F2783" s="1683" t="s">
        <v>5928</v>
      </c>
      <c r="G2783" s="1641"/>
      <c r="H2783" s="1641"/>
      <c r="I2783" s="1641"/>
      <c r="J2783" s="1640"/>
      <c r="K2783" s="1641"/>
      <c r="L2783" s="1654">
        <v>0.03</v>
      </c>
      <c r="M2783" s="1641"/>
      <c r="N2783" s="2039">
        <v>1.07</v>
      </c>
      <c r="EW2783" s="2031"/>
      <c r="EX2783" s="1619"/>
      <c r="EY2783" s="1628"/>
      <c r="EZ2783" s="1628"/>
      <c r="FA2783" s="1628"/>
      <c r="FF2783" s="1864" t="s">
        <v>7964</v>
      </c>
      <c r="FH2783" s="1628"/>
      <c r="FU2783" s="1678"/>
      <c r="FW2783" s="1678"/>
    </row>
    <row r="2784" spans="1:179" s="1484" customFormat="1" ht="15" x14ac:dyDescent="0.25">
      <c r="A2784" s="2033"/>
      <c r="B2784" s="1631"/>
      <c r="C2784" s="2805" t="s">
        <v>7965</v>
      </c>
      <c r="D2784" s="2805"/>
      <c r="E2784" s="2805"/>
      <c r="F2784" s="1683" t="s">
        <v>5928</v>
      </c>
      <c r="G2784" s="1641"/>
      <c r="H2784" s="1641"/>
      <c r="I2784" s="1641"/>
      <c r="J2784" s="1654">
        <v>1.38</v>
      </c>
      <c r="K2784" s="1655">
        <v>0.25</v>
      </c>
      <c r="L2784" s="1654">
        <v>0.03</v>
      </c>
      <c r="M2784" s="1655">
        <v>35.75</v>
      </c>
      <c r="N2784" s="2039">
        <v>1.07</v>
      </c>
      <c r="EW2784" s="2031"/>
      <c r="EX2784" s="1619"/>
      <c r="EY2784" s="1628"/>
      <c r="EZ2784" s="1628"/>
      <c r="FA2784" s="1628"/>
      <c r="FF2784" s="1864" t="s">
        <v>7965</v>
      </c>
      <c r="FH2784" s="1628"/>
      <c r="FU2784" s="1678"/>
      <c r="FW2784" s="1678"/>
    </row>
    <row r="2785" spans="1:179" s="1484" customFormat="1" ht="15" x14ac:dyDescent="0.25">
      <c r="A2785" s="2033"/>
      <c r="B2785" s="1631"/>
      <c r="C2785" s="2805" t="s">
        <v>867</v>
      </c>
      <c r="D2785" s="2805"/>
      <c r="E2785" s="2805"/>
      <c r="F2785" s="1683"/>
      <c r="G2785" s="1641"/>
      <c r="H2785" s="1641"/>
      <c r="I2785" s="1641"/>
      <c r="J2785" s="1640"/>
      <c r="K2785" s="1641"/>
      <c r="L2785" s="1654">
        <v>22.79</v>
      </c>
      <c r="M2785" s="1641"/>
      <c r="N2785" s="2039">
        <v>814.74</v>
      </c>
      <c r="EW2785" s="2031"/>
      <c r="EX2785" s="1619"/>
      <c r="EY2785" s="1628"/>
      <c r="EZ2785" s="1628"/>
      <c r="FA2785" s="1628"/>
      <c r="FF2785" s="1864" t="s">
        <v>867</v>
      </c>
      <c r="FH2785" s="1628"/>
      <c r="FU2785" s="1678"/>
      <c r="FW2785" s="1678"/>
    </row>
    <row r="2786" spans="1:179" s="1484" customFormat="1" ht="15" x14ac:dyDescent="0.25">
      <c r="A2786" s="2033"/>
      <c r="B2786" s="1631" t="s">
        <v>8054</v>
      </c>
      <c r="C2786" s="2805" t="s">
        <v>8055</v>
      </c>
      <c r="D2786" s="2805"/>
      <c r="E2786" s="2805"/>
      <c r="F2786" s="1683" t="s">
        <v>636</v>
      </c>
      <c r="G2786" s="2034">
        <v>112</v>
      </c>
      <c r="H2786" s="1641"/>
      <c r="I2786" s="2034">
        <v>112</v>
      </c>
      <c r="J2786" s="1640"/>
      <c r="K2786" s="1641"/>
      <c r="L2786" s="1654">
        <v>25.52</v>
      </c>
      <c r="M2786" s="1641"/>
      <c r="N2786" s="2039">
        <v>912.51</v>
      </c>
      <c r="EW2786" s="2031"/>
      <c r="EX2786" s="1619"/>
      <c r="EY2786" s="1628"/>
      <c r="EZ2786" s="1628"/>
      <c r="FA2786" s="1628"/>
      <c r="FF2786" s="1864" t="s">
        <v>8055</v>
      </c>
      <c r="FH2786" s="1628"/>
      <c r="FU2786" s="1678"/>
      <c r="FW2786" s="1678"/>
    </row>
    <row r="2787" spans="1:179" s="1484" customFormat="1" ht="15" x14ac:dyDescent="0.25">
      <c r="A2787" s="2033"/>
      <c r="B2787" s="1631" t="s">
        <v>8056</v>
      </c>
      <c r="C2787" s="2805" t="s">
        <v>8057</v>
      </c>
      <c r="D2787" s="2805"/>
      <c r="E2787" s="2805"/>
      <c r="F2787" s="1683" t="s">
        <v>636</v>
      </c>
      <c r="G2787" s="2034">
        <v>65</v>
      </c>
      <c r="H2787" s="1641"/>
      <c r="I2787" s="2034">
        <v>65</v>
      </c>
      <c r="J2787" s="1640"/>
      <c r="K2787" s="1641"/>
      <c r="L2787" s="1654">
        <v>14.81</v>
      </c>
      <c r="M2787" s="1641"/>
      <c r="N2787" s="2039">
        <v>529.58000000000004</v>
      </c>
      <c r="EW2787" s="2031"/>
      <c r="EX2787" s="1619"/>
      <c r="EY2787" s="1628"/>
      <c r="EZ2787" s="1628"/>
      <c r="FA2787" s="1628"/>
      <c r="FF2787" s="1864" t="s">
        <v>8057</v>
      </c>
      <c r="FH2787" s="1628"/>
      <c r="FU2787" s="1678"/>
      <c r="FW2787" s="1678"/>
    </row>
    <row r="2788" spans="1:179" s="1484" customFormat="1" ht="15" x14ac:dyDescent="0.25">
      <c r="A2788" s="1650"/>
      <c r="B2788" s="1651"/>
      <c r="C2788" s="2803" t="s">
        <v>872</v>
      </c>
      <c r="D2788" s="2803"/>
      <c r="E2788" s="2803"/>
      <c r="F2788" s="1621"/>
      <c r="G2788" s="1622"/>
      <c r="H2788" s="1622"/>
      <c r="I2788" s="1622"/>
      <c r="J2788" s="1625"/>
      <c r="K2788" s="1622"/>
      <c r="L2788" s="2040">
        <v>71.13</v>
      </c>
      <c r="M2788" s="2037"/>
      <c r="N2788" s="1649">
        <v>2328.37</v>
      </c>
      <c r="EW2788" s="2031"/>
      <c r="EX2788" s="1619"/>
      <c r="EY2788" s="1628"/>
      <c r="EZ2788" s="1628"/>
      <c r="FA2788" s="1628"/>
      <c r="FH2788" s="1628" t="s">
        <v>872</v>
      </c>
      <c r="FU2788" s="1678"/>
      <c r="FW2788" s="1678"/>
    </row>
    <row r="2789" spans="1:179" s="1484" customFormat="1" ht="45" x14ac:dyDescent="0.25">
      <c r="A2789" s="1620" t="s">
        <v>8424</v>
      </c>
      <c r="B2789" s="1863" t="s">
        <v>8425</v>
      </c>
      <c r="C2789" s="2803" t="s">
        <v>8426</v>
      </c>
      <c r="D2789" s="2803"/>
      <c r="E2789" s="2803"/>
      <c r="F2789" s="1621" t="s">
        <v>130</v>
      </c>
      <c r="G2789" s="1622">
        <v>0.80800000000000005</v>
      </c>
      <c r="H2789" s="1623">
        <v>1</v>
      </c>
      <c r="I2789" s="2045">
        <v>0.80800000000000005</v>
      </c>
      <c r="J2789" s="2040">
        <v>87.73</v>
      </c>
      <c r="K2789" s="1622"/>
      <c r="L2789" s="2040">
        <v>70.89</v>
      </c>
      <c r="M2789" s="1687">
        <v>9.14</v>
      </c>
      <c r="N2789" s="2069">
        <v>647.92999999999995</v>
      </c>
      <c r="EW2789" s="2031"/>
      <c r="EX2789" s="1619"/>
      <c r="EY2789" s="1628" t="s">
        <v>8426</v>
      </c>
      <c r="EZ2789" s="1628" t="s">
        <v>588</v>
      </c>
      <c r="FA2789" s="1628" t="s">
        <v>588</v>
      </c>
      <c r="FH2789" s="1628"/>
      <c r="FU2789" s="1678"/>
      <c r="FW2789" s="1678"/>
    </row>
    <row r="2790" spans="1:179" s="1484" customFormat="1" ht="15" x14ac:dyDescent="0.25">
      <c r="A2790" s="1650"/>
      <c r="B2790" s="1651"/>
      <c r="C2790" s="2805" t="s">
        <v>8640</v>
      </c>
      <c r="D2790" s="2805"/>
      <c r="E2790" s="2805"/>
      <c r="F2790" s="2805"/>
      <c r="G2790" s="2805"/>
      <c r="H2790" s="2805"/>
      <c r="I2790" s="2805"/>
      <c r="J2790" s="2805"/>
      <c r="K2790" s="2805"/>
      <c r="L2790" s="2805"/>
      <c r="M2790" s="2805"/>
      <c r="N2790" s="2806"/>
      <c r="EW2790" s="2031"/>
      <c r="EX2790" s="1619"/>
      <c r="EY2790" s="1628"/>
      <c r="EZ2790" s="1628"/>
      <c r="FA2790" s="1628"/>
      <c r="FH2790" s="1628"/>
      <c r="FI2790" s="1864" t="s">
        <v>8640</v>
      </c>
      <c r="FJ2790" s="1864" t="s">
        <v>588</v>
      </c>
      <c r="FK2790" s="1864" t="s">
        <v>588</v>
      </c>
      <c r="FL2790" s="1864" t="s">
        <v>588</v>
      </c>
      <c r="FM2790" s="1864" t="s">
        <v>588</v>
      </c>
      <c r="FN2790" s="1864" t="s">
        <v>588</v>
      </c>
      <c r="FO2790" s="1864" t="s">
        <v>588</v>
      </c>
      <c r="FP2790" s="1864" t="s">
        <v>588</v>
      </c>
      <c r="FQ2790" s="1864" t="s">
        <v>588</v>
      </c>
      <c r="FR2790" s="1864" t="s">
        <v>588</v>
      </c>
      <c r="FS2790" s="1864" t="s">
        <v>588</v>
      </c>
      <c r="FT2790" s="1864" t="s">
        <v>588</v>
      </c>
      <c r="FU2790" s="1678"/>
      <c r="FW2790" s="1678"/>
    </row>
    <row r="2791" spans="1:179" s="1484" customFormat="1" ht="15" x14ac:dyDescent="0.25">
      <c r="A2791" s="1629"/>
      <c r="B2791" s="1862"/>
      <c r="C2791" s="2805" t="s">
        <v>8749</v>
      </c>
      <c r="D2791" s="2805"/>
      <c r="E2791" s="2805"/>
      <c r="F2791" s="2805"/>
      <c r="G2791" s="2805"/>
      <c r="H2791" s="2805"/>
      <c r="I2791" s="2805"/>
      <c r="J2791" s="2805"/>
      <c r="K2791" s="2805"/>
      <c r="L2791" s="2805"/>
      <c r="M2791" s="2805"/>
      <c r="N2791" s="2806"/>
      <c r="EW2791" s="2031"/>
      <c r="EX2791" s="1619"/>
      <c r="EY2791" s="1628"/>
      <c r="EZ2791" s="1628"/>
      <c r="FA2791" s="1628"/>
      <c r="FB2791" s="1864" t="s">
        <v>8749</v>
      </c>
      <c r="FH2791" s="1628"/>
      <c r="FU2791" s="1678"/>
      <c r="FW2791" s="1678"/>
    </row>
    <row r="2792" spans="1:179" s="1484" customFormat="1" ht="15" x14ac:dyDescent="0.25">
      <c r="A2792" s="1650"/>
      <c r="B2792" s="1651"/>
      <c r="C2792" s="2803" t="s">
        <v>872</v>
      </c>
      <c r="D2792" s="2803"/>
      <c r="E2792" s="2803"/>
      <c r="F2792" s="1621"/>
      <c r="G2792" s="1622"/>
      <c r="H2792" s="1622"/>
      <c r="I2792" s="1622"/>
      <c r="J2792" s="1625"/>
      <c r="K2792" s="1622"/>
      <c r="L2792" s="2040">
        <v>70.89</v>
      </c>
      <c r="M2792" s="2037"/>
      <c r="N2792" s="2069">
        <v>647.92999999999995</v>
      </c>
      <c r="EW2792" s="2031"/>
      <c r="EX2792" s="1619"/>
      <c r="EY2792" s="1628"/>
      <c r="EZ2792" s="1628"/>
      <c r="FA2792" s="1628"/>
      <c r="FH2792" s="1628" t="s">
        <v>872</v>
      </c>
      <c r="FU2792" s="1678"/>
      <c r="FW2792" s="1678"/>
    </row>
    <row r="2793" spans="1:179" s="1484" customFormat="1" ht="1.5" customHeight="1" x14ac:dyDescent="0.25">
      <c r="A2793" s="2050"/>
      <c r="B2793" s="2051"/>
      <c r="C2793" s="1668"/>
      <c r="D2793" s="1668"/>
      <c r="E2793" s="1668"/>
      <c r="F2793" s="1668"/>
      <c r="G2793" s="1669"/>
      <c r="H2793" s="1669"/>
      <c r="I2793" s="1669"/>
      <c r="J2793" s="1669"/>
      <c r="K2793" s="1670"/>
      <c r="L2793" s="1669"/>
      <c r="M2793" s="1670"/>
      <c r="N2793" s="2052"/>
      <c r="EW2793" s="2031"/>
      <c r="EX2793" s="1619"/>
      <c r="EY2793" s="1628"/>
      <c r="EZ2793" s="1628"/>
      <c r="FA2793" s="1628"/>
      <c r="FH2793" s="1628"/>
      <c r="FU2793" s="1678"/>
      <c r="FW2793" s="1678"/>
    </row>
    <row r="2794" spans="1:179" s="1484" customFormat="1" ht="15" x14ac:dyDescent="0.25">
      <c r="A2794" s="1650"/>
      <c r="B2794" s="1676"/>
      <c r="C2794" s="2802" t="s">
        <v>8427</v>
      </c>
      <c r="D2794" s="2802"/>
      <c r="E2794" s="2802"/>
      <c r="F2794" s="2802"/>
      <c r="G2794" s="2802"/>
      <c r="H2794" s="2802"/>
      <c r="I2794" s="2802"/>
      <c r="J2794" s="2802"/>
      <c r="K2794" s="2802"/>
      <c r="L2794" s="2053"/>
      <c r="M2794" s="2054"/>
      <c r="N2794" s="2055"/>
      <c r="EW2794" s="2031"/>
      <c r="EX2794" s="1619"/>
      <c r="EY2794" s="1628"/>
      <c r="EZ2794" s="1628"/>
      <c r="FA2794" s="1628"/>
      <c r="FH2794" s="1628"/>
      <c r="FU2794" s="1678" t="s">
        <v>8427</v>
      </c>
      <c r="FW2794" s="1678"/>
    </row>
    <row r="2795" spans="1:179" s="1484" customFormat="1" ht="15" x14ac:dyDescent="0.25">
      <c r="A2795" s="1647"/>
      <c r="B2795" s="1631"/>
      <c r="C2795" s="2801" t="s">
        <v>922</v>
      </c>
      <c r="D2795" s="2801"/>
      <c r="E2795" s="2801"/>
      <c r="F2795" s="2801"/>
      <c r="G2795" s="2801"/>
      <c r="H2795" s="2801"/>
      <c r="I2795" s="2801"/>
      <c r="J2795" s="2801"/>
      <c r="K2795" s="2801"/>
      <c r="L2795" s="2056">
        <v>4605678.3</v>
      </c>
      <c r="M2795" s="2057"/>
      <c r="N2795" s="2058">
        <v>43698743.710000001</v>
      </c>
      <c r="EW2795" s="2031"/>
      <c r="EX2795" s="1619"/>
      <c r="EY2795" s="1628"/>
      <c r="EZ2795" s="1628"/>
      <c r="FA2795" s="1628"/>
      <c r="FH2795" s="1628"/>
      <c r="FU2795" s="1678"/>
      <c r="FV2795" s="1680" t="s">
        <v>922</v>
      </c>
      <c r="FW2795" s="1678"/>
    </row>
    <row r="2796" spans="1:179" s="1484" customFormat="1" ht="15" x14ac:dyDescent="0.25">
      <c r="A2796" s="1647"/>
      <c r="B2796" s="1631"/>
      <c r="C2796" s="2801" t="s">
        <v>891</v>
      </c>
      <c r="D2796" s="2801"/>
      <c r="E2796" s="2801"/>
      <c r="F2796" s="2801"/>
      <c r="G2796" s="2801"/>
      <c r="H2796" s="2801"/>
      <c r="I2796" s="2801"/>
      <c r="J2796" s="2801"/>
      <c r="K2796" s="2801"/>
      <c r="L2796" s="1708"/>
      <c r="M2796" s="2057"/>
      <c r="N2796" s="2059"/>
      <c r="EW2796" s="2031"/>
      <c r="EX2796" s="1619"/>
      <c r="EY2796" s="1628"/>
      <c r="EZ2796" s="1628"/>
      <c r="FA2796" s="1628"/>
      <c r="FH2796" s="1628"/>
      <c r="FU2796" s="1678"/>
      <c r="FV2796" s="1680" t="s">
        <v>891</v>
      </c>
      <c r="FW2796" s="1678"/>
    </row>
    <row r="2797" spans="1:179" s="1484" customFormat="1" ht="15" x14ac:dyDescent="0.25">
      <c r="A2797" s="1647"/>
      <c r="B2797" s="1631"/>
      <c r="C2797" s="2801" t="s">
        <v>892</v>
      </c>
      <c r="D2797" s="2801"/>
      <c r="E2797" s="2801"/>
      <c r="F2797" s="2801"/>
      <c r="G2797" s="2801"/>
      <c r="H2797" s="2801"/>
      <c r="I2797" s="2801"/>
      <c r="J2797" s="2801"/>
      <c r="K2797" s="2801"/>
      <c r="L2797" s="2056">
        <v>58973.72</v>
      </c>
      <c r="M2797" s="2057"/>
      <c r="N2797" s="2058">
        <v>2108310.58</v>
      </c>
      <c r="EW2797" s="2031"/>
      <c r="EX2797" s="1619"/>
      <c r="EY2797" s="1628"/>
      <c r="EZ2797" s="1628"/>
      <c r="FA2797" s="1628"/>
      <c r="FH2797" s="1628"/>
      <c r="FU2797" s="1678"/>
      <c r="FV2797" s="1680" t="s">
        <v>892</v>
      </c>
      <c r="FW2797" s="1678"/>
    </row>
    <row r="2798" spans="1:179" s="1484" customFormat="1" ht="15" x14ac:dyDescent="0.25">
      <c r="A2798" s="1647"/>
      <c r="B2798" s="1631"/>
      <c r="C2798" s="2801" t="s">
        <v>893</v>
      </c>
      <c r="D2798" s="2801"/>
      <c r="E2798" s="2801"/>
      <c r="F2798" s="2801"/>
      <c r="G2798" s="2801"/>
      <c r="H2798" s="2801"/>
      <c r="I2798" s="2801"/>
      <c r="J2798" s="2801"/>
      <c r="K2798" s="2801"/>
      <c r="L2798" s="2056">
        <v>8348.2800000000007</v>
      </c>
      <c r="M2798" s="2057"/>
      <c r="N2798" s="2058">
        <v>109856.46</v>
      </c>
      <c r="EW2798" s="2031"/>
      <c r="EX2798" s="1619"/>
      <c r="EY2798" s="1628"/>
      <c r="EZ2798" s="1628"/>
      <c r="FA2798" s="1628"/>
      <c r="FH2798" s="1628"/>
      <c r="FU2798" s="1678"/>
      <c r="FV2798" s="1680" t="s">
        <v>893</v>
      </c>
      <c r="FW2798" s="1678"/>
    </row>
    <row r="2799" spans="1:179" s="1484" customFormat="1" ht="15" x14ac:dyDescent="0.25">
      <c r="A2799" s="1647"/>
      <c r="B2799" s="1631"/>
      <c r="C2799" s="2801" t="s">
        <v>2578</v>
      </c>
      <c r="D2799" s="2801"/>
      <c r="E2799" s="2801"/>
      <c r="F2799" s="2801"/>
      <c r="G2799" s="2801"/>
      <c r="H2799" s="2801"/>
      <c r="I2799" s="2801"/>
      <c r="J2799" s="2801"/>
      <c r="K2799" s="2801"/>
      <c r="L2799" s="2056">
        <v>2087.23</v>
      </c>
      <c r="M2799" s="2057"/>
      <c r="N2799" s="2058">
        <v>74618.69</v>
      </c>
      <c r="EW2799" s="2031"/>
      <c r="EX2799" s="1619"/>
      <c r="EY2799" s="1628"/>
      <c r="EZ2799" s="1628"/>
      <c r="FA2799" s="1628"/>
      <c r="FH2799" s="1628"/>
      <c r="FU2799" s="1678"/>
      <c r="FV2799" s="1680" t="s">
        <v>2578</v>
      </c>
      <c r="FW2799" s="1678"/>
    </row>
    <row r="2800" spans="1:179" s="1484" customFormat="1" ht="15" x14ac:dyDescent="0.25">
      <c r="A2800" s="1647"/>
      <c r="B2800" s="1631"/>
      <c r="C2800" s="2801" t="s">
        <v>895</v>
      </c>
      <c r="D2800" s="2801"/>
      <c r="E2800" s="2801"/>
      <c r="F2800" s="2801"/>
      <c r="G2800" s="2801"/>
      <c r="H2800" s="2801"/>
      <c r="I2800" s="2801"/>
      <c r="J2800" s="2801"/>
      <c r="K2800" s="2801"/>
      <c r="L2800" s="2056">
        <v>4538356.3</v>
      </c>
      <c r="M2800" s="2057"/>
      <c r="N2800" s="2058">
        <v>41480576.670000002</v>
      </c>
      <c r="EW2800" s="2031"/>
      <c r="EX2800" s="1619"/>
      <c r="EY2800" s="1628"/>
      <c r="EZ2800" s="1628"/>
      <c r="FA2800" s="1628"/>
      <c r="FH2800" s="1628"/>
      <c r="FU2800" s="1678"/>
      <c r="FV2800" s="1680" t="s">
        <v>895</v>
      </c>
      <c r="FW2800" s="1678"/>
    </row>
    <row r="2801" spans="1:179" s="1484" customFormat="1" ht="15" x14ac:dyDescent="0.25">
      <c r="A2801" s="1647"/>
      <c r="B2801" s="1631"/>
      <c r="C2801" s="2801" t="s">
        <v>897</v>
      </c>
      <c r="D2801" s="2801"/>
      <c r="E2801" s="2801"/>
      <c r="F2801" s="2801"/>
      <c r="G2801" s="2801"/>
      <c r="H2801" s="2801"/>
      <c r="I2801" s="2801"/>
      <c r="J2801" s="2801"/>
      <c r="K2801" s="2801"/>
      <c r="L2801" s="2056">
        <v>4713366.13</v>
      </c>
      <c r="M2801" s="2057"/>
      <c r="N2801" s="2058">
        <v>47548582.689999998</v>
      </c>
      <c r="EW2801" s="2031"/>
      <c r="EX2801" s="1619"/>
      <c r="EY2801" s="1628"/>
      <c r="EZ2801" s="1628"/>
      <c r="FA2801" s="1628"/>
      <c r="FH2801" s="1628"/>
      <c r="FU2801" s="1678"/>
      <c r="FV2801" s="1680" t="s">
        <v>897</v>
      </c>
      <c r="FW2801" s="1678"/>
    </row>
    <row r="2802" spans="1:179" s="1484" customFormat="1" ht="15" x14ac:dyDescent="0.25">
      <c r="A2802" s="1647"/>
      <c r="B2802" s="1631"/>
      <c r="C2802" s="2801" t="s">
        <v>891</v>
      </c>
      <c r="D2802" s="2801"/>
      <c r="E2802" s="2801"/>
      <c r="F2802" s="2801"/>
      <c r="G2802" s="2801"/>
      <c r="H2802" s="2801"/>
      <c r="I2802" s="2801"/>
      <c r="J2802" s="2801"/>
      <c r="K2802" s="2801"/>
      <c r="L2802" s="1708"/>
      <c r="M2802" s="2057"/>
      <c r="N2802" s="2059"/>
      <c r="EW2802" s="2031"/>
      <c r="EX2802" s="1619"/>
      <c r="EY2802" s="1628"/>
      <c r="EZ2802" s="1628"/>
      <c r="FA2802" s="1628"/>
      <c r="FH2802" s="1628"/>
      <c r="FU2802" s="1678"/>
      <c r="FV2802" s="1680" t="s">
        <v>891</v>
      </c>
      <c r="FW2802" s="1678"/>
    </row>
    <row r="2803" spans="1:179" s="1484" customFormat="1" ht="15" x14ac:dyDescent="0.25">
      <c r="A2803" s="1647"/>
      <c r="B2803" s="1631"/>
      <c r="C2803" s="2801" t="s">
        <v>6121</v>
      </c>
      <c r="D2803" s="2801"/>
      <c r="E2803" s="2801"/>
      <c r="F2803" s="2801"/>
      <c r="G2803" s="2801"/>
      <c r="H2803" s="2801"/>
      <c r="I2803" s="2801"/>
      <c r="J2803" s="2801"/>
      <c r="K2803" s="2801"/>
      <c r="L2803" s="2056">
        <v>58973.72</v>
      </c>
      <c r="M2803" s="2057"/>
      <c r="N2803" s="2058">
        <v>2108310.58</v>
      </c>
      <c r="EW2803" s="2031"/>
      <c r="EX2803" s="1619"/>
      <c r="EY2803" s="1628"/>
      <c r="EZ2803" s="1628"/>
      <c r="FA2803" s="1628"/>
      <c r="FH2803" s="1628"/>
      <c r="FU2803" s="1678"/>
      <c r="FV2803" s="1680" t="s">
        <v>6121</v>
      </c>
      <c r="FW2803" s="1678"/>
    </row>
    <row r="2804" spans="1:179" s="1484" customFormat="1" ht="15" x14ac:dyDescent="0.25">
      <c r="A2804" s="1647"/>
      <c r="B2804" s="1631"/>
      <c r="C2804" s="2801" t="s">
        <v>6122</v>
      </c>
      <c r="D2804" s="2801"/>
      <c r="E2804" s="2801"/>
      <c r="F2804" s="2801"/>
      <c r="G2804" s="2801"/>
      <c r="H2804" s="2801"/>
      <c r="I2804" s="2801"/>
      <c r="J2804" s="2801"/>
      <c r="K2804" s="2801"/>
      <c r="L2804" s="2056">
        <v>8348.2800000000007</v>
      </c>
      <c r="M2804" s="2057"/>
      <c r="N2804" s="2058">
        <v>109856.46</v>
      </c>
      <c r="EW2804" s="2031"/>
      <c r="EX2804" s="1619"/>
      <c r="EY2804" s="1628"/>
      <c r="EZ2804" s="1628"/>
      <c r="FA2804" s="1628"/>
      <c r="FH2804" s="1628"/>
      <c r="FU2804" s="1678"/>
      <c r="FV2804" s="1680" t="s">
        <v>6122</v>
      </c>
      <c r="FW2804" s="1678"/>
    </row>
    <row r="2805" spans="1:179" s="1484" customFormat="1" ht="15" x14ac:dyDescent="0.25">
      <c r="A2805" s="1647"/>
      <c r="B2805" s="1631"/>
      <c r="C2805" s="2801" t="s">
        <v>8121</v>
      </c>
      <c r="D2805" s="2801"/>
      <c r="E2805" s="2801"/>
      <c r="F2805" s="2801"/>
      <c r="G2805" s="2801"/>
      <c r="H2805" s="2801"/>
      <c r="I2805" s="2801"/>
      <c r="J2805" s="2801"/>
      <c r="K2805" s="2801"/>
      <c r="L2805" s="1708"/>
      <c r="M2805" s="2057"/>
      <c r="N2805" s="2059"/>
      <c r="EW2805" s="2031"/>
      <c r="EX2805" s="1619"/>
      <c r="EY2805" s="1628"/>
      <c r="EZ2805" s="1628"/>
      <c r="FA2805" s="1628"/>
      <c r="FH2805" s="1628"/>
      <c r="FU2805" s="1678"/>
      <c r="FV2805" s="1680" t="s">
        <v>8121</v>
      </c>
      <c r="FW2805" s="1678"/>
    </row>
    <row r="2806" spans="1:179" s="1484" customFormat="1" ht="15" x14ac:dyDescent="0.25">
      <c r="A2806" s="1647"/>
      <c r="B2806" s="1631"/>
      <c r="C2806" s="2801" t="s">
        <v>8122</v>
      </c>
      <c r="D2806" s="2801"/>
      <c r="E2806" s="2801"/>
      <c r="F2806" s="2801"/>
      <c r="G2806" s="2801"/>
      <c r="H2806" s="2801"/>
      <c r="I2806" s="2801"/>
      <c r="J2806" s="2801"/>
      <c r="K2806" s="2801"/>
      <c r="L2806" s="2056">
        <v>7930.81</v>
      </c>
      <c r="M2806" s="2057"/>
      <c r="N2806" s="2058">
        <v>94931.76</v>
      </c>
      <c r="EW2806" s="2031"/>
      <c r="EX2806" s="1619"/>
      <c r="EY2806" s="1628"/>
      <c r="EZ2806" s="1628"/>
      <c r="FA2806" s="1628"/>
      <c r="FH2806" s="1628"/>
      <c r="FU2806" s="1678"/>
      <c r="FV2806" s="1680" t="s">
        <v>8122</v>
      </c>
      <c r="FW2806" s="1678"/>
    </row>
    <row r="2807" spans="1:179" s="1484" customFormat="1" ht="15" x14ac:dyDescent="0.25">
      <c r="A2807" s="1647"/>
      <c r="B2807" s="1631"/>
      <c r="C2807" s="2801" t="s">
        <v>8123</v>
      </c>
      <c r="D2807" s="2801"/>
      <c r="E2807" s="2801"/>
      <c r="F2807" s="2801"/>
      <c r="G2807" s="2801"/>
      <c r="H2807" s="2801"/>
      <c r="I2807" s="2801"/>
      <c r="J2807" s="2801"/>
      <c r="K2807" s="2801"/>
      <c r="L2807" s="2056">
        <v>1669.76</v>
      </c>
      <c r="M2807" s="2057"/>
      <c r="N2807" s="2058">
        <v>59693.99</v>
      </c>
      <c r="EW2807" s="2031"/>
      <c r="EX2807" s="1619"/>
      <c r="EY2807" s="1628"/>
      <c r="EZ2807" s="1628"/>
      <c r="FA2807" s="1628"/>
      <c r="FH2807" s="1628"/>
      <c r="FU2807" s="1678"/>
      <c r="FV2807" s="1680" t="s">
        <v>8123</v>
      </c>
      <c r="FW2807" s="1678"/>
    </row>
    <row r="2808" spans="1:179" s="1484" customFormat="1" ht="15" x14ac:dyDescent="0.25">
      <c r="A2808" s="1647"/>
      <c r="B2808" s="1631"/>
      <c r="C2808" s="2801" t="s">
        <v>8124</v>
      </c>
      <c r="D2808" s="2801"/>
      <c r="E2808" s="2801"/>
      <c r="F2808" s="2801"/>
      <c r="G2808" s="2801"/>
      <c r="H2808" s="2801"/>
      <c r="I2808" s="2801"/>
      <c r="J2808" s="2801"/>
      <c r="K2808" s="2801"/>
      <c r="L2808" s="2060">
        <v>417.47</v>
      </c>
      <c r="M2808" s="2057"/>
      <c r="N2808" s="2058">
        <v>14924.7</v>
      </c>
      <c r="EW2808" s="2031"/>
      <c r="EX2808" s="1619"/>
      <c r="EY2808" s="1628"/>
      <c r="EZ2808" s="1628"/>
      <c r="FA2808" s="1628"/>
      <c r="FH2808" s="1628"/>
      <c r="FU2808" s="1678"/>
      <c r="FV2808" s="1680" t="s">
        <v>8124</v>
      </c>
      <c r="FW2808" s="1678"/>
    </row>
    <row r="2809" spans="1:179" s="1484" customFormat="1" ht="15" x14ac:dyDescent="0.25">
      <c r="A2809" s="1647"/>
      <c r="B2809" s="1631"/>
      <c r="C2809" s="2801" t="s">
        <v>6124</v>
      </c>
      <c r="D2809" s="2801"/>
      <c r="E2809" s="2801"/>
      <c r="F2809" s="2801"/>
      <c r="G2809" s="2801"/>
      <c r="H2809" s="2801"/>
      <c r="I2809" s="2801"/>
      <c r="J2809" s="2801"/>
      <c r="K2809" s="2801"/>
      <c r="L2809" s="2056">
        <v>4538356.3</v>
      </c>
      <c r="M2809" s="2057"/>
      <c r="N2809" s="2058">
        <v>41480576.670000002</v>
      </c>
      <c r="EW2809" s="2031"/>
      <c r="EX2809" s="1619"/>
      <c r="EY2809" s="1628"/>
      <c r="EZ2809" s="1628"/>
      <c r="FA2809" s="1628"/>
      <c r="FH2809" s="1628"/>
      <c r="FU2809" s="1678"/>
      <c r="FV2809" s="1680" t="s">
        <v>6124</v>
      </c>
      <c r="FW2809" s="1678"/>
    </row>
    <row r="2810" spans="1:179" s="1484" customFormat="1" ht="15" x14ac:dyDescent="0.25">
      <c r="A2810" s="1647"/>
      <c r="B2810" s="1631"/>
      <c r="C2810" s="2801" t="s">
        <v>6125</v>
      </c>
      <c r="D2810" s="2801"/>
      <c r="E2810" s="2801"/>
      <c r="F2810" s="2801"/>
      <c r="G2810" s="2801"/>
      <c r="H2810" s="2801"/>
      <c r="I2810" s="2801"/>
      <c r="J2810" s="2801"/>
      <c r="K2810" s="2801"/>
      <c r="L2810" s="2056">
        <v>68206.83</v>
      </c>
      <c r="M2810" s="2057"/>
      <c r="N2810" s="2058">
        <v>2438393.7999999998</v>
      </c>
      <c r="EW2810" s="2031"/>
      <c r="EX2810" s="1619"/>
      <c r="EY2810" s="1628"/>
      <c r="EZ2810" s="1628"/>
      <c r="FA2810" s="1628"/>
      <c r="FH2810" s="1628"/>
      <c r="FU2810" s="1678"/>
      <c r="FV2810" s="1680" t="s">
        <v>6125</v>
      </c>
      <c r="FW2810" s="1678"/>
    </row>
    <row r="2811" spans="1:179" s="1484" customFormat="1" ht="15" x14ac:dyDescent="0.25">
      <c r="A2811" s="1647"/>
      <c r="B2811" s="1631"/>
      <c r="C2811" s="2801" t="s">
        <v>6126</v>
      </c>
      <c r="D2811" s="2801"/>
      <c r="E2811" s="2801"/>
      <c r="F2811" s="2801"/>
      <c r="G2811" s="2801"/>
      <c r="H2811" s="2801"/>
      <c r="I2811" s="2801"/>
      <c r="J2811" s="2801"/>
      <c r="K2811" s="2801"/>
      <c r="L2811" s="2056">
        <v>39481</v>
      </c>
      <c r="M2811" s="2057"/>
      <c r="N2811" s="2058">
        <v>1411445.18</v>
      </c>
      <c r="EW2811" s="2031"/>
      <c r="EX2811" s="1619"/>
      <c r="EY2811" s="1628"/>
      <c r="EZ2811" s="1628"/>
      <c r="FA2811" s="1628"/>
      <c r="FH2811" s="1628"/>
      <c r="FU2811" s="1678"/>
      <c r="FV2811" s="1680" t="s">
        <v>6126</v>
      </c>
      <c r="FW2811" s="1678"/>
    </row>
    <row r="2812" spans="1:179" s="1484" customFormat="1" ht="15" x14ac:dyDescent="0.25">
      <c r="A2812" s="1647"/>
      <c r="B2812" s="1631"/>
      <c r="C2812" s="2801" t="s">
        <v>923</v>
      </c>
      <c r="D2812" s="2801"/>
      <c r="E2812" s="2801"/>
      <c r="F2812" s="2801"/>
      <c r="G2812" s="2801"/>
      <c r="H2812" s="2801"/>
      <c r="I2812" s="2801"/>
      <c r="J2812" s="2801"/>
      <c r="K2812" s="2801"/>
      <c r="L2812" s="2056">
        <v>61060.95</v>
      </c>
      <c r="M2812" s="2057"/>
      <c r="N2812" s="2058">
        <v>2182929.27</v>
      </c>
      <c r="EW2812" s="2031"/>
      <c r="EX2812" s="1619"/>
      <c r="EY2812" s="1628"/>
      <c r="EZ2812" s="1628"/>
      <c r="FA2812" s="1628"/>
      <c r="FH2812" s="1628"/>
      <c r="FU2812" s="1678"/>
      <c r="FV2812" s="1680" t="s">
        <v>923</v>
      </c>
      <c r="FW2812" s="1678"/>
    </row>
    <row r="2813" spans="1:179" s="1484" customFormat="1" ht="15" x14ac:dyDescent="0.25">
      <c r="A2813" s="1647"/>
      <c r="B2813" s="1631"/>
      <c r="C2813" s="2801" t="s">
        <v>924</v>
      </c>
      <c r="D2813" s="2801"/>
      <c r="E2813" s="2801"/>
      <c r="F2813" s="2801"/>
      <c r="G2813" s="2801"/>
      <c r="H2813" s="2801"/>
      <c r="I2813" s="2801"/>
      <c r="J2813" s="2801"/>
      <c r="K2813" s="2801"/>
      <c r="L2813" s="2056">
        <v>68206.83</v>
      </c>
      <c r="M2813" s="2057"/>
      <c r="N2813" s="2058">
        <v>2438393.7999999998</v>
      </c>
      <c r="EW2813" s="2031"/>
      <c r="EX2813" s="1619"/>
      <c r="EY2813" s="1628"/>
      <c r="EZ2813" s="1628"/>
      <c r="FA2813" s="1628"/>
      <c r="FH2813" s="1628"/>
      <c r="FU2813" s="1678"/>
      <c r="FV2813" s="1680" t="s">
        <v>924</v>
      </c>
      <c r="FW2813" s="1678"/>
    </row>
    <row r="2814" spans="1:179" s="1484" customFormat="1" ht="15" x14ac:dyDescent="0.25">
      <c r="A2814" s="1647"/>
      <c r="B2814" s="1631"/>
      <c r="C2814" s="2801" t="s">
        <v>925</v>
      </c>
      <c r="D2814" s="2801"/>
      <c r="E2814" s="2801"/>
      <c r="F2814" s="2801"/>
      <c r="G2814" s="2801"/>
      <c r="H2814" s="2801"/>
      <c r="I2814" s="2801"/>
      <c r="J2814" s="2801"/>
      <c r="K2814" s="2801"/>
      <c r="L2814" s="2056">
        <v>39481</v>
      </c>
      <c r="M2814" s="2057"/>
      <c r="N2814" s="2058">
        <v>1411445.18</v>
      </c>
      <c r="EW2814" s="2031"/>
      <c r="EX2814" s="1619"/>
      <c r="EY2814" s="1628"/>
      <c r="EZ2814" s="1628"/>
      <c r="FA2814" s="1628"/>
      <c r="FH2814" s="1628"/>
      <c r="FU2814" s="1678"/>
      <c r="FV2814" s="1680" t="s">
        <v>925</v>
      </c>
      <c r="FW2814" s="1678"/>
    </row>
    <row r="2815" spans="1:179" s="1484" customFormat="1" ht="15" x14ac:dyDescent="0.25">
      <c r="A2815" s="1647"/>
      <c r="B2815" s="1676"/>
      <c r="C2815" s="2802" t="s">
        <v>8428</v>
      </c>
      <c r="D2815" s="2802"/>
      <c r="E2815" s="2802"/>
      <c r="F2815" s="2802"/>
      <c r="G2815" s="2802"/>
      <c r="H2815" s="2802"/>
      <c r="I2815" s="2802"/>
      <c r="J2815" s="2802"/>
      <c r="K2815" s="2802"/>
      <c r="L2815" s="1705">
        <v>4713366.13</v>
      </c>
      <c r="M2815" s="2054"/>
      <c r="N2815" s="2066">
        <v>47548582.689999998</v>
      </c>
      <c r="EW2815" s="2031"/>
      <c r="EX2815" s="1619"/>
      <c r="EY2815" s="1628"/>
      <c r="EZ2815" s="1628"/>
      <c r="FA2815" s="1628"/>
      <c r="FH2815" s="1628"/>
      <c r="FU2815" s="1678"/>
      <c r="FW2815" s="1678" t="s">
        <v>8428</v>
      </c>
    </row>
    <row r="2816" spans="1:179" s="1484" customFormat="1" ht="15" x14ac:dyDescent="0.25">
      <c r="A2816" s="1647"/>
      <c r="B2816" s="1631"/>
      <c r="C2816" s="2801" t="s">
        <v>6094</v>
      </c>
      <c r="D2816" s="2801"/>
      <c r="E2816" s="2801"/>
      <c r="F2816" s="2801"/>
      <c r="G2816" s="2801"/>
      <c r="H2816" s="2801"/>
      <c r="I2816" s="2801"/>
      <c r="J2816" s="2801"/>
      <c r="K2816" s="2801"/>
      <c r="L2816" s="1708"/>
      <c r="M2816" s="2057"/>
      <c r="N2816" s="2059"/>
      <c r="EW2816" s="2031"/>
      <c r="EX2816" s="1619"/>
      <c r="EY2816" s="1628"/>
      <c r="EZ2816" s="1628"/>
      <c r="FA2816" s="1628"/>
      <c r="FH2816" s="1628"/>
      <c r="FU2816" s="1678"/>
      <c r="FV2816" s="1680" t="s">
        <v>6094</v>
      </c>
      <c r="FW2816" s="1678"/>
    </row>
    <row r="2817" spans="1:180" s="1484" customFormat="1" ht="15" x14ac:dyDescent="0.25">
      <c r="A2817" s="1647"/>
      <c r="B2817" s="1631"/>
      <c r="C2817" s="2801" t="s">
        <v>8127</v>
      </c>
      <c r="D2817" s="2801"/>
      <c r="E2817" s="2801"/>
      <c r="F2817" s="2801"/>
      <c r="G2817" s="2801"/>
      <c r="H2817" s="2801"/>
      <c r="I2817" s="2801"/>
      <c r="J2817" s="2801"/>
      <c r="K2817" s="2801"/>
      <c r="L2817" s="2056">
        <v>17270.75</v>
      </c>
      <c r="M2817" s="2057"/>
      <c r="N2817" s="2058">
        <v>157854.69</v>
      </c>
      <c r="EW2817" s="2031"/>
      <c r="EX2817" s="1619"/>
      <c r="EY2817" s="1628"/>
      <c r="EZ2817" s="1628"/>
      <c r="FA2817" s="1628"/>
      <c r="FH2817" s="1628"/>
      <c r="FU2817" s="1678"/>
      <c r="FV2817" s="1680" t="s">
        <v>8127</v>
      </c>
      <c r="FW2817" s="1678"/>
    </row>
    <row r="2818" spans="1:180" s="1484" customFormat="1" ht="15" x14ac:dyDescent="0.25">
      <c r="A2818" s="1647"/>
      <c r="B2818" s="1631"/>
      <c r="C2818" s="2801" t="s">
        <v>6095</v>
      </c>
      <c r="D2818" s="2801"/>
      <c r="E2818" s="2801"/>
      <c r="F2818" s="2801"/>
      <c r="G2818" s="2801"/>
      <c r="H2818" s="2801"/>
      <c r="I2818" s="1683" t="s">
        <v>8429</v>
      </c>
      <c r="J2818" s="1860"/>
      <c r="K2818" s="1860"/>
      <c r="L2818" s="1708"/>
      <c r="M2818" s="2057"/>
      <c r="N2818" s="2059"/>
      <c r="EW2818" s="2031"/>
      <c r="EX2818" s="1619"/>
      <c r="EY2818" s="1628"/>
      <c r="EZ2818" s="1628"/>
      <c r="FA2818" s="1628"/>
      <c r="FH2818" s="1628"/>
      <c r="FU2818" s="1678"/>
      <c r="FW2818" s="1678"/>
      <c r="FX2818" s="1680" t="s">
        <v>6095</v>
      </c>
    </row>
    <row r="2819" spans="1:180" s="1484" customFormat="1" ht="15" x14ac:dyDescent="0.25">
      <c r="A2819" s="1647"/>
      <c r="B2819" s="1631"/>
      <c r="C2819" s="2801" t="s">
        <v>6096</v>
      </c>
      <c r="D2819" s="2801"/>
      <c r="E2819" s="2801"/>
      <c r="F2819" s="2801"/>
      <c r="G2819" s="2801"/>
      <c r="H2819" s="2801"/>
      <c r="I2819" s="1683" t="s">
        <v>8430</v>
      </c>
      <c r="J2819" s="1860"/>
      <c r="K2819" s="1860"/>
      <c r="L2819" s="1708"/>
      <c r="M2819" s="2057"/>
      <c r="N2819" s="2059"/>
      <c r="EW2819" s="2031"/>
      <c r="EX2819" s="1619"/>
      <c r="EY2819" s="1628"/>
      <c r="EZ2819" s="1628"/>
      <c r="FA2819" s="1628"/>
      <c r="FH2819" s="1628"/>
      <c r="FU2819" s="1678"/>
      <c r="FW2819" s="1678"/>
      <c r="FX2819" s="1680" t="s">
        <v>6096</v>
      </c>
    </row>
    <row r="2820" spans="1:180" s="1484" customFormat="1" ht="15" x14ac:dyDescent="0.25">
      <c r="A2820" s="2918" t="s">
        <v>8431</v>
      </c>
      <c r="B2820" s="2919"/>
      <c r="C2820" s="2919"/>
      <c r="D2820" s="2919"/>
      <c r="E2820" s="2919"/>
      <c r="F2820" s="2919"/>
      <c r="G2820" s="2919"/>
      <c r="H2820" s="2919"/>
      <c r="I2820" s="2919"/>
      <c r="J2820" s="2919"/>
      <c r="K2820" s="2919"/>
      <c r="L2820" s="2919"/>
      <c r="M2820" s="2919"/>
      <c r="N2820" s="2920"/>
      <c r="EW2820" s="2031" t="s">
        <v>8431</v>
      </c>
      <c r="EX2820" s="1619"/>
      <c r="EY2820" s="1628"/>
      <c r="EZ2820" s="1628"/>
      <c r="FA2820" s="1628"/>
      <c r="FH2820" s="1628"/>
      <c r="FU2820" s="1678"/>
      <c r="FW2820" s="1678"/>
    </row>
    <row r="2821" spans="1:180" s="1484" customFormat="1" ht="33.75" x14ac:dyDescent="0.25">
      <c r="A2821" s="1620" t="s">
        <v>8432</v>
      </c>
      <c r="B2821" s="1863" t="s">
        <v>8748</v>
      </c>
      <c r="C2821" s="2803" t="s">
        <v>8433</v>
      </c>
      <c r="D2821" s="2803"/>
      <c r="E2821" s="2803"/>
      <c r="F2821" s="1621" t="s">
        <v>2555</v>
      </c>
      <c r="G2821" s="1622">
        <v>0.23499999999999999</v>
      </c>
      <c r="H2821" s="1623">
        <v>1</v>
      </c>
      <c r="I2821" s="2045">
        <v>0.23499999999999999</v>
      </c>
      <c r="J2821" s="1625"/>
      <c r="K2821" s="1622"/>
      <c r="L2821" s="1625"/>
      <c r="M2821" s="1622"/>
      <c r="N2821" s="1627"/>
      <c r="EW2821" s="2031"/>
      <c r="EX2821" s="1619"/>
      <c r="EY2821" s="1628" t="s">
        <v>8433</v>
      </c>
      <c r="EZ2821" s="1628" t="s">
        <v>588</v>
      </c>
      <c r="FA2821" s="1628" t="s">
        <v>588</v>
      </c>
      <c r="FH2821" s="1628"/>
      <c r="FU2821" s="1678"/>
      <c r="FW2821" s="1678"/>
    </row>
    <row r="2822" spans="1:180" s="1484" customFormat="1" ht="15" x14ac:dyDescent="0.25">
      <c r="A2822" s="1629"/>
      <c r="B2822" s="1862"/>
      <c r="C2822" s="2805" t="s">
        <v>8747</v>
      </c>
      <c r="D2822" s="2805"/>
      <c r="E2822" s="2805"/>
      <c r="F2822" s="2805"/>
      <c r="G2822" s="2805"/>
      <c r="H2822" s="2805"/>
      <c r="I2822" s="2805"/>
      <c r="J2822" s="2805"/>
      <c r="K2822" s="2805"/>
      <c r="L2822" s="2805"/>
      <c r="M2822" s="2805"/>
      <c r="N2822" s="2806"/>
      <c r="EW2822" s="2031"/>
      <c r="EX2822" s="1619"/>
      <c r="EY2822" s="1628"/>
      <c r="EZ2822" s="1628"/>
      <c r="FA2822" s="1628"/>
      <c r="FB2822" s="1864" t="s">
        <v>8747</v>
      </c>
      <c r="FH2822" s="1628"/>
      <c r="FU2822" s="1678"/>
      <c r="FW2822" s="1678"/>
    </row>
    <row r="2823" spans="1:180" s="1484" customFormat="1" ht="22.5" x14ac:dyDescent="0.25">
      <c r="A2823" s="1630"/>
      <c r="B2823" s="1631" t="s">
        <v>6062</v>
      </c>
      <c r="C2823" s="2809" t="s">
        <v>6063</v>
      </c>
      <c r="D2823" s="2809"/>
      <c r="E2823" s="2809"/>
      <c r="F2823" s="2809"/>
      <c r="G2823" s="2809"/>
      <c r="H2823" s="2809"/>
      <c r="I2823" s="2809"/>
      <c r="J2823" s="2809"/>
      <c r="K2823" s="2809"/>
      <c r="L2823" s="2809"/>
      <c r="M2823" s="2809"/>
      <c r="N2823" s="2810"/>
      <c r="EW2823" s="2031"/>
      <c r="EX2823" s="1619"/>
      <c r="EY2823" s="1628"/>
      <c r="EZ2823" s="1628"/>
      <c r="FA2823" s="1628"/>
      <c r="FC2823" s="1864" t="s">
        <v>6063</v>
      </c>
      <c r="FH2823" s="1628"/>
      <c r="FU2823" s="1678"/>
      <c r="FW2823" s="1678"/>
    </row>
    <row r="2824" spans="1:180" s="1484" customFormat="1" ht="22.5" x14ac:dyDescent="0.25">
      <c r="A2824" s="2033"/>
      <c r="B2824" s="1631" t="s">
        <v>8704</v>
      </c>
      <c r="C2824" s="2805" t="s">
        <v>8703</v>
      </c>
      <c r="D2824" s="2805"/>
      <c r="E2824" s="2805"/>
      <c r="F2824" s="1683" t="s">
        <v>807</v>
      </c>
      <c r="G2824" s="1655">
        <v>102.46</v>
      </c>
      <c r="H2824" s="1641"/>
      <c r="I2824" s="2035">
        <v>24.078099999999999</v>
      </c>
      <c r="J2824" s="1654">
        <v>9.4</v>
      </c>
      <c r="K2824" s="1655">
        <v>1.25</v>
      </c>
      <c r="L2824" s="1654">
        <v>282.92</v>
      </c>
      <c r="M2824" s="1641"/>
      <c r="N2824" s="1681"/>
      <c r="EW2824" s="2031"/>
      <c r="EX2824" s="1619"/>
      <c r="EY2824" s="1628"/>
      <c r="EZ2824" s="1628"/>
      <c r="FA2824" s="1628"/>
      <c r="FD2824" s="1864" t="s">
        <v>8703</v>
      </c>
      <c r="FH2824" s="1628"/>
      <c r="FU2824" s="1678"/>
      <c r="FW2824" s="1678"/>
    </row>
    <row r="2825" spans="1:180" s="1484" customFormat="1" ht="22.5" x14ac:dyDescent="0.25">
      <c r="A2825" s="2033"/>
      <c r="B2825" s="1631" t="s">
        <v>5010</v>
      </c>
      <c r="C2825" s="2805" t="s">
        <v>5011</v>
      </c>
      <c r="D2825" s="2805"/>
      <c r="E2825" s="2805"/>
      <c r="F2825" s="1683" t="s">
        <v>4994</v>
      </c>
      <c r="G2825" s="1655">
        <v>0.76</v>
      </c>
      <c r="H2825" s="1641"/>
      <c r="I2825" s="2035">
        <v>0.17860000000000001</v>
      </c>
      <c r="J2825" s="1654">
        <v>31.26</v>
      </c>
      <c r="K2825" s="1641"/>
      <c r="L2825" s="1654">
        <v>5.58</v>
      </c>
      <c r="M2825" s="1641"/>
      <c r="N2825" s="1681"/>
      <c r="EW2825" s="2031"/>
      <c r="EX2825" s="1619"/>
      <c r="EY2825" s="1628"/>
      <c r="EZ2825" s="1628"/>
      <c r="FA2825" s="1628"/>
      <c r="FD2825" s="1864" t="s">
        <v>5011</v>
      </c>
      <c r="FH2825" s="1628"/>
      <c r="FU2825" s="1678"/>
      <c r="FW2825" s="1678"/>
    </row>
    <row r="2826" spans="1:180" s="1484" customFormat="1" ht="15" x14ac:dyDescent="0.25">
      <c r="A2826" s="2033"/>
      <c r="B2826" s="1631" t="s">
        <v>821</v>
      </c>
      <c r="C2826" s="2805" t="s">
        <v>822</v>
      </c>
      <c r="D2826" s="2805"/>
      <c r="E2826" s="2805"/>
      <c r="F2826" s="1683" t="s">
        <v>4994</v>
      </c>
      <c r="G2826" s="1655">
        <v>4.58</v>
      </c>
      <c r="H2826" s="1641"/>
      <c r="I2826" s="2035">
        <v>1.0763</v>
      </c>
      <c r="J2826" s="1654">
        <v>65.709999999999994</v>
      </c>
      <c r="K2826" s="1641"/>
      <c r="L2826" s="1654">
        <v>70.72</v>
      </c>
      <c r="M2826" s="1641"/>
      <c r="N2826" s="1681"/>
      <c r="EW2826" s="2031"/>
      <c r="EX2826" s="1619"/>
      <c r="EY2826" s="1628"/>
      <c r="EZ2826" s="1628"/>
      <c r="FA2826" s="1628"/>
      <c r="FD2826" s="1864" t="s">
        <v>822</v>
      </c>
      <c r="FH2826" s="1628"/>
      <c r="FU2826" s="1678"/>
      <c r="FW2826" s="1678"/>
    </row>
    <row r="2827" spans="1:180" s="1484" customFormat="1" ht="15" x14ac:dyDescent="0.25">
      <c r="A2827" s="2033"/>
      <c r="B2827" s="1631" t="s">
        <v>4887</v>
      </c>
      <c r="C2827" s="2805" t="s">
        <v>8746</v>
      </c>
      <c r="D2827" s="2805"/>
      <c r="E2827" s="2805"/>
      <c r="F2827" s="1683" t="s">
        <v>130</v>
      </c>
      <c r="G2827" s="2034">
        <v>103</v>
      </c>
      <c r="H2827" s="1641"/>
      <c r="I2827" s="2046">
        <v>24.204999999999998</v>
      </c>
      <c r="J2827" s="1654">
        <v>51.8</v>
      </c>
      <c r="K2827" s="1641"/>
      <c r="L2827" s="1657">
        <v>1253.82</v>
      </c>
      <c r="M2827" s="1641"/>
      <c r="N2827" s="1681"/>
      <c r="EW2827" s="2031"/>
      <c r="EX2827" s="1619"/>
      <c r="EY2827" s="1628"/>
      <c r="EZ2827" s="1628"/>
      <c r="FA2827" s="1628"/>
      <c r="FD2827" s="1864" t="s">
        <v>8746</v>
      </c>
      <c r="FH2827" s="1628"/>
      <c r="FU2827" s="1678"/>
      <c r="FW2827" s="1678"/>
    </row>
    <row r="2828" spans="1:180" s="1484" customFormat="1" ht="15" x14ac:dyDescent="0.25">
      <c r="A2828" s="2032"/>
      <c r="B2828" s="1631" t="s">
        <v>190</v>
      </c>
      <c r="C2828" s="2805" t="s">
        <v>2523</v>
      </c>
      <c r="D2828" s="2805"/>
      <c r="E2828" s="2805"/>
      <c r="F2828" s="1683"/>
      <c r="G2828" s="1641"/>
      <c r="H2828" s="1641"/>
      <c r="I2828" s="1641"/>
      <c r="J2828" s="1654">
        <v>963.12</v>
      </c>
      <c r="K2828" s="1655">
        <v>1.25</v>
      </c>
      <c r="L2828" s="1654">
        <v>282.92</v>
      </c>
      <c r="M2828" s="1655">
        <v>35.75</v>
      </c>
      <c r="N2828" s="1679">
        <v>10114.39</v>
      </c>
      <c r="EW2828" s="2031"/>
      <c r="EX2828" s="1619"/>
      <c r="EY2828" s="1628"/>
      <c r="EZ2828" s="1628"/>
      <c r="FA2828" s="1628"/>
      <c r="FE2828" s="1864" t="s">
        <v>2523</v>
      </c>
      <c r="FH2828" s="1628"/>
      <c r="FU2828" s="1678"/>
      <c r="FW2828" s="1678"/>
    </row>
    <row r="2829" spans="1:180" s="1484" customFormat="1" ht="15" x14ac:dyDescent="0.25">
      <c r="A2829" s="2032"/>
      <c r="B2829" s="1631" t="s">
        <v>639</v>
      </c>
      <c r="C2829" s="2805" t="s">
        <v>697</v>
      </c>
      <c r="D2829" s="2805"/>
      <c r="E2829" s="2805"/>
      <c r="F2829" s="1683"/>
      <c r="G2829" s="1641"/>
      <c r="H2829" s="1641"/>
      <c r="I2829" s="1641"/>
      <c r="J2829" s="1654">
        <v>324.70999999999998</v>
      </c>
      <c r="K2829" s="1641"/>
      <c r="L2829" s="1654">
        <v>76.31</v>
      </c>
      <c r="M2829" s="1655">
        <v>11.97</v>
      </c>
      <c r="N2829" s="2039">
        <v>913.43</v>
      </c>
      <c r="EW2829" s="2031"/>
      <c r="EX2829" s="1619"/>
      <c r="EY2829" s="1628"/>
      <c r="EZ2829" s="1628"/>
      <c r="FA2829" s="1628"/>
      <c r="FE2829" s="1864" t="s">
        <v>697</v>
      </c>
      <c r="FH2829" s="1628"/>
      <c r="FU2829" s="1678"/>
      <c r="FW2829" s="1678"/>
    </row>
    <row r="2830" spans="1:180" s="1484" customFormat="1" ht="15" x14ac:dyDescent="0.25">
      <c r="A2830" s="2032"/>
      <c r="B2830" s="1631" t="s">
        <v>640</v>
      </c>
      <c r="C2830" s="2805" t="s">
        <v>2500</v>
      </c>
      <c r="D2830" s="2805"/>
      <c r="E2830" s="2805"/>
      <c r="F2830" s="1683"/>
      <c r="G2830" s="1641"/>
      <c r="H2830" s="1641"/>
      <c r="I2830" s="1641"/>
      <c r="J2830" s="1654">
        <v>63.39</v>
      </c>
      <c r="K2830" s="1641"/>
      <c r="L2830" s="1654">
        <v>14.9</v>
      </c>
      <c r="M2830" s="1655">
        <v>35.75</v>
      </c>
      <c r="N2830" s="2039">
        <v>532.67999999999995</v>
      </c>
      <c r="EW2830" s="2031"/>
      <c r="EX2830" s="1619"/>
      <c r="EY2830" s="1628"/>
      <c r="EZ2830" s="1628"/>
      <c r="FA2830" s="1628"/>
      <c r="FE2830" s="1864" t="s">
        <v>2500</v>
      </c>
      <c r="FH2830" s="1628"/>
      <c r="FU2830" s="1678"/>
      <c r="FW2830" s="1678"/>
    </row>
    <row r="2831" spans="1:180" s="1484" customFormat="1" ht="15" x14ac:dyDescent="0.25">
      <c r="A2831" s="2032"/>
      <c r="B2831" s="1631" t="s">
        <v>232</v>
      </c>
      <c r="C2831" s="2805" t="s">
        <v>829</v>
      </c>
      <c r="D2831" s="2805"/>
      <c r="E2831" s="2805"/>
      <c r="F2831" s="1683"/>
      <c r="G2831" s="1641"/>
      <c r="H2831" s="1641"/>
      <c r="I2831" s="1641"/>
      <c r="J2831" s="1657">
        <v>5335.4</v>
      </c>
      <c r="K2831" s="1641"/>
      <c r="L2831" s="1657">
        <v>1253.82</v>
      </c>
      <c r="M2831" s="1655">
        <v>9.14</v>
      </c>
      <c r="N2831" s="1679">
        <v>11459.91</v>
      </c>
      <c r="EW2831" s="2031"/>
      <c r="EX2831" s="1619"/>
      <c r="EY2831" s="1628"/>
      <c r="EZ2831" s="1628"/>
      <c r="FA2831" s="1628"/>
      <c r="FE2831" s="1864" t="s">
        <v>829</v>
      </c>
      <c r="FH2831" s="1628"/>
      <c r="FU2831" s="1678"/>
      <c r="FW2831" s="1678"/>
    </row>
    <row r="2832" spans="1:180" s="1484" customFormat="1" ht="15" x14ac:dyDescent="0.25">
      <c r="A2832" s="2033"/>
      <c r="B2832" s="1631"/>
      <c r="C2832" s="2805" t="s">
        <v>2524</v>
      </c>
      <c r="D2832" s="2805"/>
      <c r="E2832" s="2805"/>
      <c r="F2832" s="1683" t="s">
        <v>807</v>
      </c>
      <c r="G2832" s="1655">
        <v>102.46</v>
      </c>
      <c r="H2832" s="1641"/>
      <c r="I2832" s="2035">
        <v>24.078099999999999</v>
      </c>
      <c r="J2832" s="1640"/>
      <c r="K2832" s="1641"/>
      <c r="L2832" s="1640"/>
      <c r="M2832" s="1641"/>
      <c r="N2832" s="1681"/>
      <c r="EW2832" s="2031"/>
      <c r="EX2832" s="1619"/>
      <c r="EY2832" s="1628"/>
      <c r="EZ2832" s="1628"/>
      <c r="FA2832" s="1628"/>
      <c r="FF2832" s="1864" t="s">
        <v>2524</v>
      </c>
      <c r="FH2832" s="1628"/>
      <c r="FU2832" s="1678"/>
      <c r="FW2832" s="1678"/>
    </row>
    <row r="2833" spans="1:179" s="1484" customFormat="1" ht="15" x14ac:dyDescent="0.25">
      <c r="A2833" s="2033"/>
      <c r="B2833" s="1631"/>
      <c r="C2833" s="2805" t="s">
        <v>2501</v>
      </c>
      <c r="D2833" s="2805"/>
      <c r="E2833" s="2805"/>
      <c r="F2833" s="1683" t="s">
        <v>807</v>
      </c>
      <c r="G2833" s="1655">
        <v>5.34</v>
      </c>
      <c r="H2833" s="1641"/>
      <c r="I2833" s="2035">
        <v>1.2548999999999999</v>
      </c>
      <c r="J2833" s="1640"/>
      <c r="K2833" s="1641"/>
      <c r="L2833" s="1640"/>
      <c r="M2833" s="1641"/>
      <c r="N2833" s="1681"/>
      <c r="EW2833" s="2031"/>
      <c r="EX2833" s="1619"/>
      <c r="EY2833" s="1628"/>
      <c r="EZ2833" s="1628"/>
      <c r="FA2833" s="1628"/>
      <c r="FF2833" s="1864" t="s">
        <v>2501</v>
      </c>
      <c r="FH2833" s="1628"/>
      <c r="FU2833" s="1678"/>
      <c r="FW2833" s="1678"/>
    </row>
    <row r="2834" spans="1:179" s="1484" customFormat="1" ht="15" x14ac:dyDescent="0.25">
      <c r="A2834" s="2032"/>
      <c r="B2834" s="1631"/>
      <c r="C2834" s="2917" t="s">
        <v>2502</v>
      </c>
      <c r="D2834" s="2917"/>
      <c r="E2834" s="2917"/>
      <c r="F2834" s="2036"/>
      <c r="G2834" s="2037"/>
      <c r="H2834" s="2037"/>
      <c r="I2834" s="2037"/>
      <c r="J2834" s="2038">
        <v>6623.23</v>
      </c>
      <c r="K2834" s="2037"/>
      <c r="L2834" s="2038">
        <v>1613.05</v>
      </c>
      <c r="M2834" s="2037"/>
      <c r="N2834" s="2068">
        <v>22487.73</v>
      </c>
      <c r="EW2834" s="2031"/>
      <c r="EX2834" s="1619"/>
      <c r="EY2834" s="1628"/>
      <c r="EZ2834" s="1628"/>
      <c r="FA2834" s="1628"/>
      <c r="FG2834" s="1864" t="s">
        <v>2502</v>
      </c>
      <c r="FH2834" s="1628"/>
      <c r="FU2834" s="1678"/>
      <c r="FW2834" s="1678"/>
    </row>
    <row r="2835" spans="1:179" s="1484" customFormat="1" ht="15" x14ac:dyDescent="0.25">
      <c r="A2835" s="2033" t="s">
        <v>8434</v>
      </c>
      <c r="B2835" s="1631"/>
      <c r="C2835" s="2805" t="s">
        <v>7964</v>
      </c>
      <c r="D2835" s="2805"/>
      <c r="E2835" s="2805"/>
      <c r="F2835" s="1683" t="s">
        <v>5928</v>
      </c>
      <c r="G2835" s="1641"/>
      <c r="H2835" s="1641"/>
      <c r="I2835" s="1641"/>
      <c r="J2835" s="1640"/>
      <c r="K2835" s="1641"/>
      <c r="L2835" s="1654">
        <v>3.72</v>
      </c>
      <c r="M2835" s="1641"/>
      <c r="N2835" s="2039">
        <v>132.99</v>
      </c>
      <c r="EW2835" s="2031"/>
      <c r="EX2835" s="1619"/>
      <c r="EY2835" s="1628"/>
      <c r="EZ2835" s="1628"/>
      <c r="FA2835" s="1628"/>
      <c r="FF2835" s="1864" t="s">
        <v>7964</v>
      </c>
      <c r="FH2835" s="1628"/>
      <c r="FU2835" s="1678"/>
      <c r="FW2835" s="1678"/>
    </row>
    <row r="2836" spans="1:179" s="1484" customFormat="1" ht="15" x14ac:dyDescent="0.25">
      <c r="A2836" s="2033"/>
      <c r="B2836" s="1631"/>
      <c r="C2836" s="2805" t="s">
        <v>7965</v>
      </c>
      <c r="D2836" s="2805"/>
      <c r="E2836" s="2805"/>
      <c r="F2836" s="1683" t="s">
        <v>5928</v>
      </c>
      <c r="G2836" s="1641"/>
      <c r="H2836" s="1641"/>
      <c r="I2836" s="1641"/>
      <c r="J2836" s="1654">
        <v>63.39</v>
      </c>
      <c r="K2836" s="1655">
        <v>0.25</v>
      </c>
      <c r="L2836" s="1654">
        <v>3.72</v>
      </c>
      <c r="M2836" s="1655">
        <v>35.75</v>
      </c>
      <c r="N2836" s="2039">
        <v>132.99</v>
      </c>
      <c r="EW2836" s="2031"/>
      <c r="EX2836" s="1619"/>
      <c r="EY2836" s="1628"/>
      <c r="EZ2836" s="1628"/>
      <c r="FA2836" s="1628"/>
      <c r="FF2836" s="1864" t="s">
        <v>7965</v>
      </c>
      <c r="FH2836" s="1628"/>
      <c r="FU2836" s="1678"/>
      <c r="FW2836" s="1678"/>
    </row>
    <row r="2837" spans="1:179" s="1484" customFormat="1" ht="15" x14ac:dyDescent="0.25">
      <c r="A2837" s="2033"/>
      <c r="B2837" s="1631"/>
      <c r="C2837" s="2805" t="s">
        <v>867</v>
      </c>
      <c r="D2837" s="2805"/>
      <c r="E2837" s="2805"/>
      <c r="F2837" s="1683"/>
      <c r="G2837" s="1641"/>
      <c r="H2837" s="1641"/>
      <c r="I2837" s="1641"/>
      <c r="J2837" s="1640"/>
      <c r="K2837" s="1641"/>
      <c r="L2837" s="1654">
        <v>301.54000000000002</v>
      </c>
      <c r="M2837" s="1641"/>
      <c r="N2837" s="1679">
        <v>10780.06</v>
      </c>
      <c r="EW2837" s="2031"/>
      <c r="EX2837" s="1619"/>
      <c r="EY2837" s="1628"/>
      <c r="EZ2837" s="1628"/>
      <c r="FA2837" s="1628"/>
      <c r="FF2837" s="1864" t="s">
        <v>867</v>
      </c>
      <c r="FH2837" s="1628"/>
      <c r="FU2837" s="1678"/>
      <c r="FW2837" s="1678"/>
    </row>
    <row r="2838" spans="1:179" s="1484" customFormat="1" ht="15" x14ac:dyDescent="0.25">
      <c r="A2838" s="2033"/>
      <c r="B2838" s="1631" t="s">
        <v>7966</v>
      </c>
      <c r="C2838" s="2805" t="s">
        <v>7967</v>
      </c>
      <c r="D2838" s="2805"/>
      <c r="E2838" s="2805"/>
      <c r="F2838" s="1683" t="s">
        <v>636</v>
      </c>
      <c r="G2838" s="2034">
        <v>100</v>
      </c>
      <c r="H2838" s="1641"/>
      <c r="I2838" s="2034">
        <v>100</v>
      </c>
      <c r="J2838" s="1640"/>
      <c r="K2838" s="1641"/>
      <c r="L2838" s="1654">
        <v>301.54000000000002</v>
      </c>
      <c r="M2838" s="1641"/>
      <c r="N2838" s="1679">
        <v>10780.06</v>
      </c>
      <c r="EW2838" s="2031"/>
      <c r="EX2838" s="1619"/>
      <c r="EY2838" s="1628"/>
      <c r="EZ2838" s="1628"/>
      <c r="FA2838" s="1628"/>
      <c r="FF2838" s="1864" t="s">
        <v>7967</v>
      </c>
      <c r="FH2838" s="1628"/>
      <c r="FU2838" s="1678"/>
      <c r="FW2838" s="1678"/>
    </row>
    <row r="2839" spans="1:179" s="1484" customFormat="1" ht="15" x14ac:dyDescent="0.25">
      <c r="A2839" s="2033"/>
      <c r="B2839" s="1631" t="s">
        <v>7968</v>
      </c>
      <c r="C2839" s="2805" t="s">
        <v>7969</v>
      </c>
      <c r="D2839" s="2805"/>
      <c r="E2839" s="2805"/>
      <c r="F2839" s="1683" t="s">
        <v>636</v>
      </c>
      <c r="G2839" s="2034">
        <v>49</v>
      </c>
      <c r="H2839" s="1641"/>
      <c r="I2839" s="2034">
        <v>49</v>
      </c>
      <c r="J2839" s="1640"/>
      <c r="K2839" s="1641"/>
      <c r="L2839" s="1654">
        <v>147.75</v>
      </c>
      <c r="M2839" s="1641"/>
      <c r="N2839" s="1679">
        <v>5282.23</v>
      </c>
      <c r="EW2839" s="2031"/>
      <c r="EX2839" s="1619"/>
      <c r="EY2839" s="1628"/>
      <c r="EZ2839" s="1628"/>
      <c r="FA2839" s="1628"/>
      <c r="FF2839" s="1864" t="s">
        <v>7969</v>
      </c>
      <c r="FH2839" s="1628"/>
      <c r="FU2839" s="1678"/>
      <c r="FW2839" s="1678"/>
    </row>
    <row r="2840" spans="1:179" s="1484" customFormat="1" ht="15" x14ac:dyDescent="0.25">
      <c r="A2840" s="1650"/>
      <c r="B2840" s="1651"/>
      <c r="C2840" s="2803" t="s">
        <v>872</v>
      </c>
      <c r="D2840" s="2803"/>
      <c r="E2840" s="2803"/>
      <c r="F2840" s="1621"/>
      <c r="G2840" s="1622"/>
      <c r="H2840" s="1622"/>
      <c r="I2840" s="1622"/>
      <c r="J2840" s="1625"/>
      <c r="K2840" s="1622"/>
      <c r="L2840" s="1648">
        <v>2066.06</v>
      </c>
      <c r="M2840" s="2037"/>
      <c r="N2840" s="1649">
        <v>38683.01</v>
      </c>
      <c r="EW2840" s="2031"/>
      <c r="EX2840" s="1619"/>
      <c r="EY2840" s="1628"/>
      <c r="EZ2840" s="1628"/>
      <c r="FA2840" s="1628"/>
      <c r="FH2840" s="1628" t="s">
        <v>872</v>
      </c>
      <c r="FU2840" s="1678"/>
      <c r="FW2840" s="1678"/>
    </row>
    <row r="2841" spans="1:179" s="1484" customFormat="1" ht="15" x14ac:dyDescent="0.25">
      <c r="A2841" s="2811"/>
      <c r="B2841" s="2812"/>
      <c r="C2841" s="2812"/>
      <c r="D2841" s="2812"/>
      <c r="E2841" s="2812"/>
      <c r="F2841" s="2812"/>
      <c r="G2841" s="2812"/>
      <c r="H2841" s="2812"/>
      <c r="I2841" s="2812"/>
      <c r="J2841" s="2812"/>
      <c r="K2841" s="2812"/>
      <c r="L2841" s="2812"/>
      <c r="M2841" s="2812"/>
      <c r="N2841" s="2813"/>
      <c r="EW2841" s="2031"/>
      <c r="EX2841" s="1619" t="s">
        <v>588</v>
      </c>
      <c r="EY2841" s="1628"/>
      <c r="EZ2841" s="1628"/>
      <c r="FA2841" s="1628"/>
      <c r="FH2841" s="1628"/>
      <c r="FU2841" s="1678"/>
      <c r="FW2841" s="1678"/>
    </row>
    <row r="2842" spans="1:179" s="1484" customFormat="1" ht="33.75" x14ac:dyDescent="0.25">
      <c r="A2842" s="1620" t="s">
        <v>8435</v>
      </c>
      <c r="B2842" s="1863" t="s">
        <v>8745</v>
      </c>
      <c r="C2842" s="2803" t="s">
        <v>8436</v>
      </c>
      <c r="D2842" s="2803"/>
      <c r="E2842" s="2803"/>
      <c r="F2842" s="1621" t="s">
        <v>2555</v>
      </c>
      <c r="G2842" s="1622">
        <v>4.5999999999999999E-2</v>
      </c>
      <c r="H2842" s="1623">
        <v>1</v>
      </c>
      <c r="I2842" s="2045">
        <v>4.5999999999999999E-2</v>
      </c>
      <c r="J2842" s="1625"/>
      <c r="K2842" s="1622"/>
      <c r="L2842" s="1625"/>
      <c r="M2842" s="1622"/>
      <c r="N2842" s="1627"/>
      <c r="EW2842" s="2031"/>
      <c r="EX2842" s="1619"/>
      <c r="EY2842" s="1628" t="s">
        <v>8436</v>
      </c>
      <c r="EZ2842" s="1628" t="s">
        <v>588</v>
      </c>
      <c r="FA2842" s="1628" t="s">
        <v>588</v>
      </c>
      <c r="FH2842" s="1628"/>
      <c r="FU2842" s="1678"/>
      <c r="FW2842" s="1678"/>
    </row>
    <row r="2843" spans="1:179" s="1484" customFormat="1" ht="15" x14ac:dyDescent="0.25">
      <c r="A2843" s="1629"/>
      <c r="B2843" s="1862"/>
      <c r="C2843" s="2805" t="s">
        <v>8744</v>
      </c>
      <c r="D2843" s="2805"/>
      <c r="E2843" s="2805"/>
      <c r="F2843" s="2805"/>
      <c r="G2843" s="2805"/>
      <c r="H2843" s="2805"/>
      <c r="I2843" s="2805"/>
      <c r="J2843" s="2805"/>
      <c r="K2843" s="2805"/>
      <c r="L2843" s="2805"/>
      <c r="M2843" s="2805"/>
      <c r="N2843" s="2806"/>
      <c r="EW2843" s="2031"/>
      <c r="EX2843" s="1619"/>
      <c r="EY2843" s="1628"/>
      <c r="EZ2843" s="1628"/>
      <c r="FA2843" s="1628"/>
      <c r="FB2843" s="1864" t="s">
        <v>8744</v>
      </c>
      <c r="FH2843" s="1628"/>
      <c r="FU2843" s="1678"/>
      <c r="FW2843" s="1678"/>
    </row>
    <row r="2844" spans="1:179" s="1484" customFormat="1" ht="22.5" x14ac:dyDescent="0.25">
      <c r="A2844" s="1630"/>
      <c r="B2844" s="1631" t="s">
        <v>6062</v>
      </c>
      <c r="C2844" s="2809" t="s">
        <v>6063</v>
      </c>
      <c r="D2844" s="2809"/>
      <c r="E2844" s="2809"/>
      <c r="F2844" s="2809"/>
      <c r="G2844" s="2809"/>
      <c r="H2844" s="2809"/>
      <c r="I2844" s="2809"/>
      <c r="J2844" s="2809"/>
      <c r="K2844" s="2809"/>
      <c r="L2844" s="2809"/>
      <c r="M2844" s="2809"/>
      <c r="N2844" s="2810"/>
      <c r="EW2844" s="2031"/>
      <c r="EX2844" s="1619"/>
      <c r="EY2844" s="1628"/>
      <c r="EZ2844" s="1628"/>
      <c r="FA2844" s="1628"/>
      <c r="FC2844" s="1864" t="s">
        <v>6063</v>
      </c>
      <c r="FH2844" s="1628"/>
      <c r="FU2844" s="1678"/>
      <c r="FW2844" s="1678"/>
    </row>
    <row r="2845" spans="1:179" s="1484" customFormat="1" ht="22.5" x14ac:dyDescent="0.25">
      <c r="A2845" s="2033"/>
      <c r="B2845" s="1631" t="s">
        <v>8743</v>
      </c>
      <c r="C2845" s="2805" t="s">
        <v>8742</v>
      </c>
      <c r="D2845" s="2805"/>
      <c r="E2845" s="2805"/>
      <c r="F2845" s="1683" t="s">
        <v>807</v>
      </c>
      <c r="G2845" s="1953">
        <v>32.799999999999997</v>
      </c>
      <c r="H2845" s="1641"/>
      <c r="I2845" s="2035">
        <v>1.5087999999999999</v>
      </c>
      <c r="J2845" s="1654">
        <v>8.86</v>
      </c>
      <c r="K2845" s="1655">
        <v>1.25</v>
      </c>
      <c r="L2845" s="1654">
        <v>16.71</v>
      </c>
      <c r="M2845" s="1641"/>
      <c r="N2845" s="1681"/>
      <c r="EW2845" s="2031"/>
      <c r="EX2845" s="1619"/>
      <c r="EY2845" s="1628"/>
      <c r="EZ2845" s="1628"/>
      <c r="FA2845" s="1628"/>
      <c r="FD2845" s="1864" t="s">
        <v>8742</v>
      </c>
      <c r="FH2845" s="1628"/>
      <c r="FU2845" s="1678"/>
      <c r="FW2845" s="1678"/>
    </row>
    <row r="2846" spans="1:179" s="1484" customFormat="1" ht="22.5" x14ac:dyDescent="0.25">
      <c r="A2846" s="2033"/>
      <c r="B2846" s="1631" t="s">
        <v>5010</v>
      </c>
      <c r="C2846" s="2805" t="s">
        <v>5011</v>
      </c>
      <c r="D2846" s="2805"/>
      <c r="E2846" s="2805"/>
      <c r="F2846" s="1683" t="s">
        <v>4994</v>
      </c>
      <c r="G2846" s="1655">
        <v>0.02</v>
      </c>
      <c r="H2846" s="1641"/>
      <c r="I2846" s="2042">
        <v>9.2000000000000003E-4</v>
      </c>
      <c r="J2846" s="1654">
        <v>31.26</v>
      </c>
      <c r="K2846" s="1641"/>
      <c r="L2846" s="1654">
        <v>0.03</v>
      </c>
      <c r="M2846" s="1641"/>
      <c r="N2846" s="1681"/>
      <c r="EW2846" s="2031"/>
      <c r="EX2846" s="1619"/>
      <c r="EY2846" s="1628"/>
      <c r="EZ2846" s="1628"/>
      <c r="FA2846" s="1628"/>
      <c r="FD2846" s="1864" t="s">
        <v>5011</v>
      </c>
      <c r="FH2846" s="1628"/>
      <c r="FU2846" s="1678"/>
      <c r="FW2846" s="1678"/>
    </row>
    <row r="2847" spans="1:179" s="1484" customFormat="1" ht="15" x14ac:dyDescent="0.25">
      <c r="A2847" s="2032"/>
      <c r="B2847" s="1631" t="s">
        <v>190</v>
      </c>
      <c r="C2847" s="2805" t="s">
        <v>2523</v>
      </c>
      <c r="D2847" s="2805"/>
      <c r="E2847" s="2805"/>
      <c r="F2847" s="1683"/>
      <c r="G2847" s="1641"/>
      <c r="H2847" s="1641"/>
      <c r="I2847" s="1641"/>
      <c r="J2847" s="1654">
        <v>290.61</v>
      </c>
      <c r="K2847" s="1655">
        <v>1.25</v>
      </c>
      <c r="L2847" s="1654">
        <v>16.71</v>
      </c>
      <c r="M2847" s="1655">
        <v>35.75</v>
      </c>
      <c r="N2847" s="2039">
        <v>597.38</v>
      </c>
      <c r="EW2847" s="2031"/>
      <c r="EX2847" s="1619"/>
      <c r="EY2847" s="1628"/>
      <c r="EZ2847" s="1628"/>
      <c r="FA2847" s="1628"/>
      <c r="FE2847" s="1864" t="s">
        <v>2523</v>
      </c>
      <c r="FH2847" s="1628"/>
      <c r="FU2847" s="1678"/>
      <c r="FW2847" s="1678"/>
    </row>
    <row r="2848" spans="1:179" s="1484" customFormat="1" ht="15" x14ac:dyDescent="0.25">
      <c r="A2848" s="2032"/>
      <c r="B2848" s="1631" t="s">
        <v>639</v>
      </c>
      <c r="C2848" s="2805" t="s">
        <v>697</v>
      </c>
      <c r="D2848" s="2805"/>
      <c r="E2848" s="2805"/>
      <c r="F2848" s="1683"/>
      <c r="G2848" s="1641"/>
      <c r="H2848" s="1641"/>
      <c r="I2848" s="1641"/>
      <c r="J2848" s="1654">
        <v>0.63</v>
      </c>
      <c r="K2848" s="1641"/>
      <c r="L2848" s="1654">
        <v>0.03</v>
      </c>
      <c r="M2848" s="1655">
        <v>11.97</v>
      </c>
      <c r="N2848" s="2039">
        <v>0.36</v>
      </c>
      <c r="EW2848" s="2031"/>
      <c r="EX2848" s="1619"/>
      <c r="EY2848" s="1628"/>
      <c r="EZ2848" s="1628"/>
      <c r="FA2848" s="1628"/>
      <c r="FE2848" s="1864" t="s">
        <v>697</v>
      </c>
      <c r="FH2848" s="1628"/>
      <c r="FU2848" s="1678"/>
      <c r="FW2848" s="1678"/>
    </row>
    <row r="2849" spans="1:179" s="1484" customFormat="1" ht="15" x14ac:dyDescent="0.25">
      <c r="A2849" s="2032"/>
      <c r="B2849" s="1631" t="s">
        <v>640</v>
      </c>
      <c r="C2849" s="2805" t="s">
        <v>2500</v>
      </c>
      <c r="D2849" s="2805"/>
      <c r="E2849" s="2805"/>
      <c r="F2849" s="1683"/>
      <c r="G2849" s="1641"/>
      <c r="H2849" s="1641"/>
      <c r="I2849" s="1641"/>
      <c r="J2849" s="1654">
        <v>0.27</v>
      </c>
      <c r="K2849" s="1641"/>
      <c r="L2849" s="1654">
        <v>0.01</v>
      </c>
      <c r="M2849" s="1655">
        <v>35.75</v>
      </c>
      <c r="N2849" s="2039">
        <v>0.36</v>
      </c>
      <c r="EW2849" s="2031"/>
      <c r="EX2849" s="1619"/>
      <c r="EY2849" s="1628"/>
      <c r="EZ2849" s="1628"/>
      <c r="FA2849" s="1628"/>
      <c r="FE2849" s="1864" t="s">
        <v>2500</v>
      </c>
      <c r="FH2849" s="1628"/>
      <c r="FU2849" s="1678"/>
      <c r="FW2849" s="1678"/>
    </row>
    <row r="2850" spans="1:179" s="1484" customFormat="1" ht="15" x14ac:dyDescent="0.25">
      <c r="A2850" s="2033"/>
      <c r="B2850" s="1631"/>
      <c r="C2850" s="2805" t="s">
        <v>2524</v>
      </c>
      <c r="D2850" s="2805"/>
      <c r="E2850" s="2805"/>
      <c r="F2850" s="1683" t="s">
        <v>807</v>
      </c>
      <c r="G2850" s="1953">
        <v>32.799999999999997</v>
      </c>
      <c r="H2850" s="1641"/>
      <c r="I2850" s="2035">
        <v>1.5087999999999999</v>
      </c>
      <c r="J2850" s="1640"/>
      <c r="K2850" s="1641"/>
      <c r="L2850" s="1640"/>
      <c r="M2850" s="1641"/>
      <c r="N2850" s="1681"/>
      <c r="EW2850" s="2031"/>
      <c r="EX2850" s="1619"/>
      <c r="EY2850" s="1628"/>
      <c r="EZ2850" s="1628"/>
      <c r="FA2850" s="1628"/>
      <c r="FF2850" s="1864" t="s">
        <v>2524</v>
      </c>
      <c r="FH2850" s="1628"/>
      <c r="FU2850" s="1678"/>
      <c r="FW2850" s="1678"/>
    </row>
    <row r="2851" spans="1:179" s="1484" customFormat="1" ht="15" x14ac:dyDescent="0.25">
      <c r="A2851" s="2033"/>
      <c r="B2851" s="1631"/>
      <c r="C2851" s="2805" t="s">
        <v>2501</v>
      </c>
      <c r="D2851" s="2805"/>
      <c r="E2851" s="2805"/>
      <c r="F2851" s="1683" t="s">
        <v>807</v>
      </c>
      <c r="G2851" s="1655">
        <v>0.02</v>
      </c>
      <c r="H2851" s="1641"/>
      <c r="I2851" s="2042">
        <v>9.2000000000000003E-4</v>
      </c>
      <c r="J2851" s="1640"/>
      <c r="K2851" s="1641"/>
      <c r="L2851" s="1640"/>
      <c r="M2851" s="1641"/>
      <c r="N2851" s="1681"/>
      <c r="EW2851" s="2031"/>
      <c r="EX2851" s="1619"/>
      <c r="EY2851" s="1628"/>
      <c r="EZ2851" s="1628"/>
      <c r="FA2851" s="1628"/>
      <c r="FF2851" s="1864" t="s">
        <v>2501</v>
      </c>
      <c r="FH2851" s="1628"/>
      <c r="FU2851" s="1678"/>
      <c r="FW2851" s="1678"/>
    </row>
    <row r="2852" spans="1:179" s="1484" customFormat="1" ht="15" x14ac:dyDescent="0.25">
      <c r="A2852" s="2032"/>
      <c r="B2852" s="1631"/>
      <c r="C2852" s="2917" t="s">
        <v>2502</v>
      </c>
      <c r="D2852" s="2917"/>
      <c r="E2852" s="2917"/>
      <c r="F2852" s="2036"/>
      <c r="G2852" s="2037"/>
      <c r="H2852" s="2037"/>
      <c r="I2852" s="2037"/>
      <c r="J2852" s="2044">
        <v>291.24</v>
      </c>
      <c r="K2852" s="2037"/>
      <c r="L2852" s="2044">
        <v>16.739999999999998</v>
      </c>
      <c r="M2852" s="2037"/>
      <c r="N2852" s="2070">
        <v>597.74</v>
      </c>
      <c r="EW2852" s="2031"/>
      <c r="EX2852" s="1619"/>
      <c r="EY2852" s="1628"/>
      <c r="EZ2852" s="1628"/>
      <c r="FA2852" s="1628"/>
      <c r="FG2852" s="1864" t="s">
        <v>2502</v>
      </c>
      <c r="FH2852" s="1628"/>
      <c r="FU2852" s="1678"/>
      <c r="FW2852" s="1678"/>
    </row>
    <row r="2853" spans="1:179" s="1484" customFormat="1" ht="15" x14ac:dyDescent="0.25">
      <c r="A2853" s="2033"/>
      <c r="B2853" s="1631"/>
      <c r="C2853" s="2805" t="s">
        <v>867</v>
      </c>
      <c r="D2853" s="2805"/>
      <c r="E2853" s="2805"/>
      <c r="F2853" s="1683"/>
      <c r="G2853" s="1641"/>
      <c r="H2853" s="1641"/>
      <c r="I2853" s="1641"/>
      <c r="J2853" s="1640"/>
      <c r="K2853" s="1641"/>
      <c r="L2853" s="1654">
        <v>16.72</v>
      </c>
      <c r="M2853" s="1641"/>
      <c r="N2853" s="2039">
        <v>597.74</v>
      </c>
      <c r="EW2853" s="2031"/>
      <c r="EX2853" s="1619"/>
      <c r="EY2853" s="1628"/>
      <c r="EZ2853" s="1628"/>
      <c r="FA2853" s="1628"/>
      <c r="FF2853" s="1864" t="s">
        <v>867</v>
      </c>
      <c r="FH2853" s="1628"/>
      <c r="FU2853" s="1678"/>
      <c r="FW2853" s="1678"/>
    </row>
    <row r="2854" spans="1:179" s="1484" customFormat="1" ht="15" x14ac:dyDescent="0.25">
      <c r="A2854" s="2033"/>
      <c r="B2854" s="1631" t="s">
        <v>7966</v>
      </c>
      <c r="C2854" s="2805" t="s">
        <v>7967</v>
      </c>
      <c r="D2854" s="2805"/>
      <c r="E2854" s="2805"/>
      <c r="F2854" s="1683" t="s">
        <v>636</v>
      </c>
      <c r="G2854" s="2034">
        <v>100</v>
      </c>
      <c r="H2854" s="1641"/>
      <c r="I2854" s="2034">
        <v>100</v>
      </c>
      <c r="J2854" s="1640"/>
      <c r="K2854" s="1641"/>
      <c r="L2854" s="1654">
        <v>16.72</v>
      </c>
      <c r="M2854" s="1641"/>
      <c r="N2854" s="2039">
        <v>597.74</v>
      </c>
      <c r="EW2854" s="2031"/>
      <c r="EX2854" s="1619"/>
      <c r="EY2854" s="1628"/>
      <c r="EZ2854" s="1628"/>
      <c r="FA2854" s="1628"/>
      <c r="FF2854" s="1864" t="s">
        <v>7967</v>
      </c>
      <c r="FH2854" s="1628"/>
      <c r="FU2854" s="1678"/>
      <c r="FW2854" s="1678"/>
    </row>
    <row r="2855" spans="1:179" s="1484" customFormat="1" ht="15" x14ac:dyDescent="0.25">
      <c r="A2855" s="2033"/>
      <c r="B2855" s="1631" t="s">
        <v>7968</v>
      </c>
      <c r="C2855" s="2805" t="s">
        <v>7969</v>
      </c>
      <c r="D2855" s="2805"/>
      <c r="E2855" s="2805"/>
      <c r="F2855" s="1683" t="s">
        <v>636</v>
      </c>
      <c r="G2855" s="2034">
        <v>49</v>
      </c>
      <c r="H2855" s="1641"/>
      <c r="I2855" s="2034">
        <v>49</v>
      </c>
      <c r="J2855" s="1640"/>
      <c r="K2855" s="1641"/>
      <c r="L2855" s="1654">
        <v>8.19</v>
      </c>
      <c r="M2855" s="1641"/>
      <c r="N2855" s="2039">
        <v>292.89</v>
      </c>
      <c r="EW2855" s="2031"/>
      <c r="EX2855" s="1619"/>
      <c r="EY2855" s="1628"/>
      <c r="EZ2855" s="1628"/>
      <c r="FA2855" s="1628"/>
      <c r="FF2855" s="1864" t="s">
        <v>7969</v>
      </c>
      <c r="FH2855" s="1628"/>
      <c r="FU2855" s="1678"/>
      <c r="FW2855" s="1678"/>
    </row>
    <row r="2856" spans="1:179" s="1484" customFormat="1" ht="15" x14ac:dyDescent="0.25">
      <c r="A2856" s="1650"/>
      <c r="B2856" s="1651"/>
      <c r="C2856" s="2803" t="s">
        <v>872</v>
      </c>
      <c r="D2856" s="2803"/>
      <c r="E2856" s="2803"/>
      <c r="F2856" s="1621"/>
      <c r="G2856" s="1622"/>
      <c r="H2856" s="1622"/>
      <c r="I2856" s="1622"/>
      <c r="J2856" s="1625"/>
      <c r="K2856" s="1622"/>
      <c r="L2856" s="2040">
        <v>41.65</v>
      </c>
      <c r="M2856" s="2037"/>
      <c r="N2856" s="1649">
        <v>1488.37</v>
      </c>
      <c r="EW2856" s="2031"/>
      <c r="EX2856" s="1619"/>
      <c r="EY2856" s="1628"/>
      <c r="EZ2856" s="1628"/>
      <c r="FA2856" s="1628"/>
      <c r="FH2856" s="1628" t="s">
        <v>872</v>
      </c>
      <c r="FU2856" s="1678"/>
      <c r="FW2856" s="1678"/>
    </row>
    <row r="2857" spans="1:179" s="1484" customFormat="1" ht="33.75" x14ac:dyDescent="0.25">
      <c r="A2857" s="1620" t="s">
        <v>8437</v>
      </c>
      <c r="B2857" s="1863" t="s">
        <v>8741</v>
      </c>
      <c r="C2857" s="2803" t="s">
        <v>8438</v>
      </c>
      <c r="D2857" s="2803"/>
      <c r="E2857" s="2803"/>
      <c r="F2857" s="1621" t="s">
        <v>2555</v>
      </c>
      <c r="G2857" s="1622">
        <v>0.05</v>
      </c>
      <c r="H2857" s="1623">
        <v>1</v>
      </c>
      <c r="I2857" s="1687">
        <v>0.05</v>
      </c>
      <c r="J2857" s="1648">
        <v>20659</v>
      </c>
      <c r="K2857" s="1622"/>
      <c r="L2857" s="1648">
        <v>1032.95</v>
      </c>
      <c r="M2857" s="1687">
        <v>9.14</v>
      </c>
      <c r="N2857" s="1649">
        <v>9441.16</v>
      </c>
      <c r="EW2857" s="2031"/>
      <c r="EX2857" s="1619"/>
      <c r="EY2857" s="1628" t="s">
        <v>8438</v>
      </c>
      <c r="EZ2857" s="1628" t="s">
        <v>588</v>
      </c>
      <c r="FA2857" s="1628" t="s">
        <v>588</v>
      </c>
      <c r="FH2857" s="1628"/>
      <c r="FU2857" s="1678"/>
      <c r="FW2857" s="1678"/>
    </row>
    <row r="2858" spans="1:179" s="1484" customFormat="1" ht="15" x14ac:dyDescent="0.25">
      <c r="A2858" s="1650"/>
      <c r="B2858" s="1651"/>
      <c r="C2858" s="2805" t="s">
        <v>8640</v>
      </c>
      <c r="D2858" s="2805"/>
      <c r="E2858" s="2805"/>
      <c r="F2858" s="2805"/>
      <c r="G2858" s="2805"/>
      <c r="H2858" s="2805"/>
      <c r="I2858" s="2805"/>
      <c r="J2858" s="2805"/>
      <c r="K2858" s="2805"/>
      <c r="L2858" s="2805"/>
      <c r="M2858" s="2805"/>
      <c r="N2858" s="2806"/>
      <c r="EW2858" s="2031"/>
      <c r="EX2858" s="1619"/>
      <c r="EY2858" s="1628"/>
      <c r="EZ2858" s="1628"/>
      <c r="FA2858" s="1628"/>
      <c r="FH2858" s="1628"/>
      <c r="FI2858" s="1864" t="s">
        <v>8640</v>
      </c>
      <c r="FJ2858" s="1864" t="s">
        <v>588</v>
      </c>
      <c r="FK2858" s="1864" t="s">
        <v>588</v>
      </c>
      <c r="FL2858" s="1864" t="s">
        <v>588</v>
      </c>
      <c r="FM2858" s="1864" t="s">
        <v>588</v>
      </c>
      <c r="FN2858" s="1864" t="s">
        <v>588</v>
      </c>
      <c r="FO2858" s="1864" t="s">
        <v>588</v>
      </c>
      <c r="FP2858" s="1864" t="s">
        <v>588</v>
      </c>
      <c r="FQ2858" s="1864" t="s">
        <v>588</v>
      </c>
      <c r="FR2858" s="1864" t="s">
        <v>588</v>
      </c>
      <c r="FS2858" s="1864" t="s">
        <v>588</v>
      </c>
      <c r="FT2858" s="1864" t="s">
        <v>588</v>
      </c>
      <c r="FU2858" s="1678"/>
      <c r="FW2858" s="1678"/>
    </row>
    <row r="2859" spans="1:179" s="1484" customFormat="1" ht="15" x14ac:dyDescent="0.25">
      <c r="A2859" s="1629"/>
      <c r="B2859" s="1862"/>
      <c r="C2859" s="2805" t="s">
        <v>8740</v>
      </c>
      <c r="D2859" s="2805"/>
      <c r="E2859" s="2805"/>
      <c r="F2859" s="2805"/>
      <c r="G2859" s="2805"/>
      <c r="H2859" s="2805"/>
      <c r="I2859" s="2805"/>
      <c r="J2859" s="2805"/>
      <c r="K2859" s="2805"/>
      <c r="L2859" s="2805"/>
      <c r="M2859" s="2805"/>
      <c r="N2859" s="2806"/>
      <c r="EW2859" s="2031"/>
      <c r="EX2859" s="1619"/>
      <c r="EY2859" s="1628"/>
      <c r="EZ2859" s="1628"/>
      <c r="FA2859" s="1628"/>
      <c r="FB2859" s="1864" t="s">
        <v>8740</v>
      </c>
      <c r="FH2859" s="1628"/>
      <c r="FU2859" s="1678"/>
      <c r="FW2859" s="1678"/>
    </row>
    <row r="2860" spans="1:179" s="1484" customFormat="1" ht="15" x14ac:dyDescent="0.25">
      <c r="A2860" s="1650"/>
      <c r="B2860" s="1651"/>
      <c r="C2860" s="2803" t="s">
        <v>872</v>
      </c>
      <c r="D2860" s="2803"/>
      <c r="E2860" s="2803"/>
      <c r="F2860" s="1621"/>
      <c r="G2860" s="1622"/>
      <c r="H2860" s="1622"/>
      <c r="I2860" s="1622"/>
      <c r="J2860" s="1625"/>
      <c r="K2860" s="1622"/>
      <c r="L2860" s="1648">
        <v>1032.95</v>
      </c>
      <c r="M2860" s="2037"/>
      <c r="N2860" s="1649">
        <v>9441.16</v>
      </c>
      <c r="EW2860" s="2031"/>
      <c r="EX2860" s="1619"/>
      <c r="EY2860" s="1628"/>
      <c r="EZ2860" s="1628"/>
      <c r="FA2860" s="1628"/>
      <c r="FH2860" s="1628" t="s">
        <v>872</v>
      </c>
      <c r="FU2860" s="1678"/>
      <c r="FW2860" s="1678"/>
    </row>
    <row r="2861" spans="1:179" s="1484" customFormat="1" ht="33.75" x14ac:dyDescent="0.25">
      <c r="A2861" s="1620" t="s">
        <v>8439</v>
      </c>
      <c r="B2861" s="1863" t="s">
        <v>8440</v>
      </c>
      <c r="C2861" s="2803" t="s">
        <v>8441</v>
      </c>
      <c r="D2861" s="2803"/>
      <c r="E2861" s="2803"/>
      <c r="F2861" s="1621" t="s">
        <v>2555</v>
      </c>
      <c r="G2861" s="1622">
        <v>22.677</v>
      </c>
      <c r="H2861" s="1623">
        <v>1</v>
      </c>
      <c r="I2861" s="2045">
        <v>22.677</v>
      </c>
      <c r="J2861" s="1625"/>
      <c r="K2861" s="1622"/>
      <c r="L2861" s="1625"/>
      <c r="M2861" s="1622"/>
      <c r="N2861" s="1627"/>
      <c r="EW2861" s="2031"/>
      <c r="EX2861" s="1619"/>
      <c r="EY2861" s="1628" t="s">
        <v>8441</v>
      </c>
      <c r="EZ2861" s="1628" t="s">
        <v>588</v>
      </c>
      <c r="FA2861" s="1628" t="s">
        <v>588</v>
      </c>
      <c r="FH2861" s="1628"/>
      <c r="FU2861" s="1678"/>
      <c r="FW2861" s="1678"/>
    </row>
    <row r="2862" spans="1:179" s="1484" customFormat="1" ht="15" x14ac:dyDescent="0.25">
      <c r="A2862" s="1629"/>
      <c r="B2862" s="1862"/>
      <c r="C2862" s="2805" t="s">
        <v>8739</v>
      </c>
      <c r="D2862" s="2805"/>
      <c r="E2862" s="2805"/>
      <c r="F2862" s="2805"/>
      <c r="G2862" s="2805"/>
      <c r="H2862" s="2805"/>
      <c r="I2862" s="2805"/>
      <c r="J2862" s="2805"/>
      <c r="K2862" s="2805"/>
      <c r="L2862" s="2805"/>
      <c r="M2862" s="2805"/>
      <c r="N2862" s="2806"/>
      <c r="EW2862" s="2031"/>
      <c r="EX2862" s="1619"/>
      <c r="EY2862" s="1628"/>
      <c r="EZ2862" s="1628"/>
      <c r="FA2862" s="1628"/>
      <c r="FB2862" s="1864" t="s">
        <v>8739</v>
      </c>
      <c r="FH2862" s="1628"/>
      <c r="FU2862" s="1678"/>
      <c r="FW2862" s="1678"/>
    </row>
    <row r="2863" spans="1:179" s="1484" customFormat="1" ht="22.5" x14ac:dyDescent="0.25">
      <c r="A2863" s="1630"/>
      <c r="B2863" s="1631" t="s">
        <v>6062</v>
      </c>
      <c r="C2863" s="2809" t="s">
        <v>6063</v>
      </c>
      <c r="D2863" s="2809"/>
      <c r="E2863" s="2809"/>
      <c r="F2863" s="2809"/>
      <c r="G2863" s="2809"/>
      <c r="H2863" s="2809"/>
      <c r="I2863" s="2809"/>
      <c r="J2863" s="2809"/>
      <c r="K2863" s="2809"/>
      <c r="L2863" s="2809"/>
      <c r="M2863" s="2809"/>
      <c r="N2863" s="2810"/>
      <c r="EW2863" s="2031"/>
      <c r="EX2863" s="1619"/>
      <c r="EY2863" s="1628"/>
      <c r="EZ2863" s="1628"/>
      <c r="FA2863" s="1628"/>
      <c r="FC2863" s="1864" t="s">
        <v>6063</v>
      </c>
      <c r="FH2863" s="1628"/>
      <c r="FU2863" s="1678"/>
      <c r="FW2863" s="1678"/>
    </row>
    <row r="2864" spans="1:179" s="1484" customFormat="1" ht="22.5" x14ac:dyDescent="0.25">
      <c r="A2864" s="2033"/>
      <c r="B2864" s="1631" t="s">
        <v>3204</v>
      </c>
      <c r="C2864" s="2805" t="s">
        <v>8647</v>
      </c>
      <c r="D2864" s="2805"/>
      <c r="E2864" s="2805"/>
      <c r="F2864" s="1683" t="s">
        <v>807</v>
      </c>
      <c r="G2864" s="2034">
        <v>63</v>
      </c>
      <c r="H2864" s="1641"/>
      <c r="I2864" s="2046">
        <v>1428.6510000000001</v>
      </c>
      <c r="J2864" s="1654">
        <v>8.74</v>
      </c>
      <c r="K2864" s="1655">
        <v>1.25</v>
      </c>
      <c r="L2864" s="1657">
        <v>15608.01</v>
      </c>
      <c r="M2864" s="1641"/>
      <c r="N2864" s="1681"/>
      <c r="EW2864" s="2031"/>
      <c r="EX2864" s="1619"/>
      <c r="EY2864" s="1628"/>
      <c r="EZ2864" s="1628"/>
      <c r="FA2864" s="1628"/>
      <c r="FD2864" s="1864" t="s">
        <v>8647</v>
      </c>
      <c r="FH2864" s="1628"/>
      <c r="FU2864" s="1678"/>
      <c r="FW2864" s="1678"/>
    </row>
    <row r="2865" spans="1:179" s="1484" customFormat="1" ht="22.5" x14ac:dyDescent="0.25">
      <c r="A2865" s="2033"/>
      <c r="B2865" s="1631" t="s">
        <v>5008</v>
      </c>
      <c r="C2865" s="2805" t="s">
        <v>5009</v>
      </c>
      <c r="D2865" s="2805"/>
      <c r="E2865" s="2805"/>
      <c r="F2865" s="1683" t="s">
        <v>4994</v>
      </c>
      <c r="G2865" s="1655">
        <v>0.02</v>
      </c>
      <c r="H2865" s="1641"/>
      <c r="I2865" s="2042">
        <v>0.45354</v>
      </c>
      <c r="J2865" s="1654">
        <v>27.66</v>
      </c>
      <c r="K2865" s="1641"/>
      <c r="L2865" s="1654">
        <v>12.54</v>
      </c>
      <c r="M2865" s="1641"/>
      <c r="N2865" s="1681"/>
      <c r="EW2865" s="2031"/>
      <c r="EX2865" s="1619"/>
      <c r="EY2865" s="1628"/>
      <c r="EZ2865" s="1628"/>
      <c r="FA2865" s="1628"/>
      <c r="FD2865" s="1864" t="s">
        <v>5009</v>
      </c>
      <c r="FH2865" s="1628"/>
      <c r="FU2865" s="1678"/>
      <c r="FW2865" s="1678"/>
    </row>
    <row r="2866" spans="1:179" s="1484" customFormat="1" ht="15" x14ac:dyDescent="0.25">
      <c r="A2866" s="2033"/>
      <c r="B2866" s="1631" t="s">
        <v>821</v>
      </c>
      <c r="C2866" s="2805" t="s">
        <v>822</v>
      </c>
      <c r="D2866" s="2805"/>
      <c r="E2866" s="2805"/>
      <c r="F2866" s="1683" t="s">
        <v>4994</v>
      </c>
      <c r="G2866" s="1655">
        <v>0.16</v>
      </c>
      <c r="H2866" s="1641"/>
      <c r="I2866" s="2042">
        <v>3.62832</v>
      </c>
      <c r="J2866" s="1654">
        <v>65.709999999999994</v>
      </c>
      <c r="K2866" s="1641"/>
      <c r="L2866" s="1654">
        <v>238.42</v>
      </c>
      <c r="M2866" s="1641"/>
      <c r="N2866" s="1681"/>
      <c r="EW2866" s="2031"/>
      <c r="EX2866" s="1619"/>
      <c r="EY2866" s="1628"/>
      <c r="EZ2866" s="1628"/>
      <c r="FA2866" s="1628"/>
      <c r="FD2866" s="1864" t="s">
        <v>822</v>
      </c>
      <c r="FH2866" s="1628"/>
      <c r="FU2866" s="1678"/>
      <c r="FW2866" s="1678"/>
    </row>
    <row r="2867" spans="1:179" s="1484" customFormat="1" ht="22.5" x14ac:dyDescent="0.25">
      <c r="A2867" s="2033"/>
      <c r="B2867" s="1631" t="s">
        <v>4916</v>
      </c>
      <c r="C2867" s="2805" t="s">
        <v>4917</v>
      </c>
      <c r="D2867" s="2805"/>
      <c r="E2867" s="2805"/>
      <c r="F2867" s="1683" t="s">
        <v>130</v>
      </c>
      <c r="G2867" s="1655">
        <v>0.84</v>
      </c>
      <c r="H2867" s="1641"/>
      <c r="I2867" s="2042">
        <v>19.048680000000001</v>
      </c>
      <c r="J2867" s="1654">
        <v>72.319999999999993</v>
      </c>
      <c r="K2867" s="1641"/>
      <c r="L2867" s="1657">
        <v>1377.6</v>
      </c>
      <c r="M2867" s="1641"/>
      <c r="N2867" s="1681"/>
      <c r="EW2867" s="2031"/>
      <c r="EX2867" s="1619"/>
      <c r="EY2867" s="1628"/>
      <c r="EZ2867" s="1628"/>
      <c r="FA2867" s="1628"/>
      <c r="FD2867" s="1864" t="s">
        <v>4917</v>
      </c>
      <c r="FH2867" s="1628"/>
      <c r="FU2867" s="1678"/>
      <c r="FW2867" s="1678"/>
    </row>
    <row r="2868" spans="1:179" s="1484" customFormat="1" ht="15" x14ac:dyDescent="0.25">
      <c r="A2868" s="2033"/>
      <c r="B2868" s="1631" t="s">
        <v>4922</v>
      </c>
      <c r="C2868" s="2805" t="s">
        <v>8707</v>
      </c>
      <c r="D2868" s="2805"/>
      <c r="E2868" s="2805"/>
      <c r="F2868" s="1683" t="s">
        <v>835</v>
      </c>
      <c r="G2868" s="1655">
        <v>0.31</v>
      </c>
      <c r="H2868" s="1641"/>
      <c r="I2868" s="2042">
        <v>7.0298699999999998</v>
      </c>
      <c r="J2868" s="1654">
        <v>1.82</v>
      </c>
      <c r="K2868" s="1641"/>
      <c r="L2868" s="1654">
        <v>12.79</v>
      </c>
      <c r="M2868" s="1641"/>
      <c r="N2868" s="1681"/>
      <c r="EW2868" s="2031"/>
      <c r="EX2868" s="1619"/>
      <c r="EY2868" s="1628"/>
      <c r="EZ2868" s="1628"/>
      <c r="FA2868" s="1628"/>
      <c r="FD2868" s="1864" t="s">
        <v>8707</v>
      </c>
      <c r="FH2868" s="1628"/>
      <c r="FU2868" s="1678"/>
      <c r="FW2868" s="1678"/>
    </row>
    <row r="2869" spans="1:179" s="1484" customFormat="1" ht="15" x14ac:dyDescent="0.25">
      <c r="A2869" s="2033"/>
      <c r="B2869" s="1631" t="s">
        <v>4991</v>
      </c>
      <c r="C2869" s="2805" t="s">
        <v>4992</v>
      </c>
      <c r="D2869" s="2805"/>
      <c r="E2869" s="2805"/>
      <c r="F2869" s="1683" t="s">
        <v>801</v>
      </c>
      <c r="G2869" s="2046">
        <v>5.5E-2</v>
      </c>
      <c r="H2869" s="1641"/>
      <c r="I2869" s="2043">
        <v>1.2472350000000001</v>
      </c>
      <c r="J2869" s="1657">
        <v>11397.1</v>
      </c>
      <c r="K2869" s="1641"/>
      <c r="L2869" s="1657">
        <v>14214.86</v>
      </c>
      <c r="M2869" s="1641"/>
      <c r="N2869" s="1681"/>
      <c r="EW2869" s="2031"/>
      <c r="EX2869" s="1619"/>
      <c r="EY2869" s="1628"/>
      <c r="EZ2869" s="1628"/>
      <c r="FA2869" s="1628"/>
      <c r="FD2869" s="1864" t="s">
        <v>4992</v>
      </c>
      <c r="FH2869" s="1628"/>
      <c r="FU2869" s="1678"/>
      <c r="FW2869" s="1678"/>
    </row>
    <row r="2870" spans="1:179" s="1484" customFormat="1" ht="15" x14ac:dyDescent="0.25">
      <c r="A2870" s="2032"/>
      <c r="B2870" s="1631" t="s">
        <v>190</v>
      </c>
      <c r="C2870" s="2805" t="s">
        <v>2523</v>
      </c>
      <c r="D2870" s="2805"/>
      <c r="E2870" s="2805"/>
      <c r="F2870" s="1683"/>
      <c r="G2870" s="1641"/>
      <c r="H2870" s="1641"/>
      <c r="I2870" s="1641"/>
      <c r="J2870" s="1654">
        <v>550.62</v>
      </c>
      <c r="K2870" s="1655">
        <v>1.25</v>
      </c>
      <c r="L2870" s="1657">
        <v>15608.01</v>
      </c>
      <c r="M2870" s="1655">
        <v>35.75</v>
      </c>
      <c r="N2870" s="1679">
        <v>557986.36</v>
      </c>
      <c r="EW2870" s="2031"/>
      <c r="EX2870" s="1619"/>
      <c r="EY2870" s="1628"/>
      <c r="EZ2870" s="1628"/>
      <c r="FA2870" s="1628"/>
      <c r="FE2870" s="1864" t="s">
        <v>2523</v>
      </c>
      <c r="FH2870" s="1628"/>
      <c r="FU2870" s="1678"/>
      <c r="FW2870" s="1678"/>
    </row>
    <row r="2871" spans="1:179" s="1484" customFormat="1" ht="15" x14ac:dyDescent="0.25">
      <c r="A2871" s="2032"/>
      <c r="B2871" s="1631" t="s">
        <v>639</v>
      </c>
      <c r="C2871" s="2805" t="s">
        <v>697</v>
      </c>
      <c r="D2871" s="2805"/>
      <c r="E2871" s="2805"/>
      <c r="F2871" s="1683"/>
      <c r="G2871" s="1641"/>
      <c r="H2871" s="1641"/>
      <c r="I2871" s="1641"/>
      <c r="J2871" s="1654">
        <v>11.06</v>
      </c>
      <c r="K2871" s="1641"/>
      <c r="L2871" s="1654">
        <v>250.81</v>
      </c>
      <c r="M2871" s="1655">
        <v>11.97</v>
      </c>
      <c r="N2871" s="1679">
        <v>3002.2</v>
      </c>
      <c r="EW2871" s="2031"/>
      <c r="EX2871" s="1619"/>
      <c r="EY2871" s="1628"/>
      <c r="EZ2871" s="1628"/>
      <c r="FA2871" s="1628"/>
      <c r="FE2871" s="1864" t="s">
        <v>697</v>
      </c>
      <c r="FH2871" s="1628"/>
      <c r="FU2871" s="1678"/>
      <c r="FW2871" s="1678"/>
    </row>
    <row r="2872" spans="1:179" s="1484" customFormat="1" ht="15" x14ac:dyDescent="0.25">
      <c r="A2872" s="2032"/>
      <c r="B2872" s="1631" t="s">
        <v>640</v>
      </c>
      <c r="C2872" s="2805" t="s">
        <v>2500</v>
      </c>
      <c r="D2872" s="2805"/>
      <c r="E2872" s="2805"/>
      <c r="F2872" s="1683"/>
      <c r="G2872" s="1641"/>
      <c r="H2872" s="1641"/>
      <c r="I2872" s="1641"/>
      <c r="J2872" s="1654">
        <v>2.09</v>
      </c>
      <c r="K2872" s="1641"/>
      <c r="L2872" s="1654">
        <v>47.39</v>
      </c>
      <c r="M2872" s="1655">
        <v>35.75</v>
      </c>
      <c r="N2872" s="1679">
        <v>1694.19</v>
      </c>
      <c r="EW2872" s="2031"/>
      <c r="EX2872" s="1619"/>
      <c r="EY2872" s="1628"/>
      <c r="EZ2872" s="1628"/>
      <c r="FA2872" s="1628"/>
      <c r="FE2872" s="1864" t="s">
        <v>2500</v>
      </c>
      <c r="FH2872" s="1628"/>
      <c r="FU2872" s="1678"/>
      <c r="FW2872" s="1678"/>
    </row>
    <row r="2873" spans="1:179" s="1484" customFormat="1" ht="15" x14ac:dyDescent="0.25">
      <c r="A2873" s="2032"/>
      <c r="B2873" s="1631" t="s">
        <v>232</v>
      </c>
      <c r="C2873" s="2805" t="s">
        <v>829</v>
      </c>
      <c r="D2873" s="2805"/>
      <c r="E2873" s="2805"/>
      <c r="F2873" s="1683"/>
      <c r="G2873" s="1641"/>
      <c r="H2873" s="1641"/>
      <c r="I2873" s="1641"/>
      <c r="J2873" s="1654">
        <v>688.15</v>
      </c>
      <c r="K2873" s="1641"/>
      <c r="L2873" s="1657">
        <v>15605.18</v>
      </c>
      <c r="M2873" s="1655">
        <v>9.14</v>
      </c>
      <c r="N2873" s="1679">
        <v>142631.35</v>
      </c>
      <c r="EW2873" s="2031"/>
      <c r="EX2873" s="1619"/>
      <c r="EY2873" s="1628"/>
      <c r="EZ2873" s="1628"/>
      <c r="FA2873" s="1628"/>
      <c r="FE2873" s="1864" t="s">
        <v>829</v>
      </c>
      <c r="FH2873" s="1628"/>
      <c r="FU2873" s="1678"/>
      <c r="FW2873" s="1678"/>
    </row>
    <row r="2874" spans="1:179" s="1484" customFormat="1" ht="15" x14ac:dyDescent="0.25">
      <c r="A2874" s="2033"/>
      <c r="B2874" s="1631"/>
      <c r="C2874" s="2805" t="s">
        <v>2524</v>
      </c>
      <c r="D2874" s="2805"/>
      <c r="E2874" s="2805"/>
      <c r="F2874" s="1683" t="s">
        <v>807</v>
      </c>
      <c r="G2874" s="2034">
        <v>63</v>
      </c>
      <c r="H2874" s="1641"/>
      <c r="I2874" s="2046">
        <v>1428.6510000000001</v>
      </c>
      <c r="J2874" s="1640"/>
      <c r="K2874" s="1641"/>
      <c r="L2874" s="1640"/>
      <c r="M2874" s="1641"/>
      <c r="N2874" s="1681"/>
      <c r="EW2874" s="2031"/>
      <c r="EX2874" s="1619"/>
      <c r="EY2874" s="1628"/>
      <c r="EZ2874" s="1628"/>
      <c r="FA2874" s="1628"/>
      <c r="FF2874" s="1864" t="s">
        <v>2524</v>
      </c>
      <c r="FH2874" s="1628"/>
      <c r="FU2874" s="1678"/>
      <c r="FW2874" s="1678"/>
    </row>
    <row r="2875" spans="1:179" s="1484" customFormat="1" ht="15" x14ac:dyDescent="0.25">
      <c r="A2875" s="2033"/>
      <c r="B2875" s="1631"/>
      <c r="C2875" s="2805" t="s">
        <v>2501</v>
      </c>
      <c r="D2875" s="2805"/>
      <c r="E2875" s="2805"/>
      <c r="F2875" s="1683" t="s">
        <v>807</v>
      </c>
      <c r="G2875" s="1655">
        <v>0.18</v>
      </c>
      <c r="H2875" s="1641"/>
      <c r="I2875" s="2042">
        <v>4.0818599999999998</v>
      </c>
      <c r="J2875" s="1640"/>
      <c r="K2875" s="1641"/>
      <c r="L2875" s="1640"/>
      <c r="M2875" s="1641"/>
      <c r="N2875" s="1681"/>
      <c r="EW2875" s="2031"/>
      <c r="EX2875" s="1619"/>
      <c r="EY2875" s="1628"/>
      <c r="EZ2875" s="1628"/>
      <c r="FA2875" s="1628"/>
      <c r="FF2875" s="1864" t="s">
        <v>2501</v>
      </c>
      <c r="FH2875" s="1628"/>
      <c r="FU2875" s="1678"/>
      <c r="FW2875" s="1678"/>
    </row>
    <row r="2876" spans="1:179" s="1484" customFormat="1" ht="15" x14ac:dyDescent="0.25">
      <c r="A2876" s="2032"/>
      <c r="B2876" s="1631"/>
      <c r="C2876" s="2917" t="s">
        <v>2502</v>
      </c>
      <c r="D2876" s="2917"/>
      <c r="E2876" s="2917"/>
      <c r="F2876" s="2036"/>
      <c r="G2876" s="2037"/>
      <c r="H2876" s="2037"/>
      <c r="I2876" s="2037"/>
      <c r="J2876" s="2038">
        <v>1249.83</v>
      </c>
      <c r="K2876" s="2037"/>
      <c r="L2876" s="2038">
        <v>31464</v>
      </c>
      <c r="M2876" s="2037"/>
      <c r="N2876" s="2068">
        <v>703619.91</v>
      </c>
      <c r="EW2876" s="2031"/>
      <c r="EX2876" s="1619"/>
      <c r="EY2876" s="1628"/>
      <c r="EZ2876" s="1628"/>
      <c r="FA2876" s="1628"/>
      <c r="FG2876" s="1864" t="s">
        <v>2502</v>
      </c>
      <c r="FH2876" s="1628"/>
      <c r="FU2876" s="1678"/>
      <c r="FW2876" s="1678"/>
    </row>
    <row r="2877" spans="1:179" s="1484" customFormat="1" ht="15" x14ac:dyDescent="0.25">
      <c r="A2877" s="2033" t="s">
        <v>8442</v>
      </c>
      <c r="B2877" s="1631"/>
      <c r="C2877" s="2805" t="s">
        <v>7964</v>
      </c>
      <c r="D2877" s="2805"/>
      <c r="E2877" s="2805"/>
      <c r="F2877" s="1683" t="s">
        <v>5928</v>
      </c>
      <c r="G2877" s="1641"/>
      <c r="H2877" s="1641"/>
      <c r="I2877" s="1641"/>
      <c r="J2877" s="1640"/>
      <c r="K2877" s="1641"/>
      <c r="L2877" s="1654">
        <v>11.85</v>
      </c>
      <c r="M2877" s="1641"/>
      <c r="N2877" s="2039">
        <v>423.64</v>
      </c>
      <c r="EW2877" s="2031"/>
      <c r="EX2877" s="1619"/>
      <c r="EY2877" s="1628"/>
      <c r="EZ2877" s="1628"/>
      <c r="FA2877" s="1628"/>
      <c r="FF2877" s="1864" t="s">
        <v>7964</v>
      </c>
      <c r="FH2877" s="1628"/>
      <c r="FU2877" s="1678"/>
      <c r="FW2877" s="1678"/>
    </row>
    <row r="2878" spans="1:179" s="1484" customFormat="1" ht="15" x14ac:dyDescent="0.25">
      <c r="A2878" s="2033"/>
      <c r="B2878" s="1631"/>
      <c r="C2878" s="2805" t="s">
        <v>7965</v>
      </c>
      <c r="D2878" s="2805"/>
      <c r="E2878" s="2805"/>
      <c r="F2878" s="1683" t="s">
        <v>5928</v>
      </c>
      <c r="G2878" s="1641"/>
      <c r="H2878" s="1641"/>
      <c r="I2878" s="1641"/>
      <c r="J2878" s="1654">
        <v>2.09</v>
      </c>
      <c r="K2878" s="1655">
        <v>0.25</v>
      </c>
      <c r="L2878" s="1654">
        <v>11.85</v>
      </c>
      <c r="M2878" s="1655">
        <v>35.75</v>
      </c>
      <c r="N2878" s="2039">
        <v>423.64</v>
      </c>
      <c r="EW2878" s="2031"/>
      <c r="EX2878" s="1619"/>
      <c r="EY2878" s="1628"/>
      <c r="EZ2878" s="1628"/>
      <c r="FA2878" s="1628"/>
      <c r="FF2878" s="1864" t="s">
        <v>7965</v>
      </c>
      <c r="FH2878" s="1628"/>
      <c r="FU2878" s="1678"/>
      <c r="FW2878" s="1678"/>
    </row>
    <row r="2879" spans="1:179" s="1484" customFormat="1" ht="15" x14ac:dyDescent="0.25">
      <c r="A2879" s="2033"/>
      <c r="B2879" s="1631"/>
      <c r="C2879" s="2805" t="s">
        <v>867</v>
      </c>
      <c r="D2879" s="2805"/>
      <c r="E2879" s="2805"/>
      <c r="F2879" s="1683"/>
      <c r="G2879" s="1641"/>
      <c r="H2879" s="1641"/>
      <c r="I2879" s="1641"/>
      <c r="J2879" s="1640"/>
      <c r="K2879" s="1641"/>
      <c r="L2879" s="1657">
        <v>15667.25</v>
      </c>
      <c r="M2879" s="1641"/>
      <c r="N2879" s="1679">
        <v>560104.18999999994</v>
      </c>
      <c r="EW2879" s="2031"/>
      <c r="EX2879" s="1619"/>
      <c r="EY2879" s="1628"/>
      <c r="EZ2879" s="1628"/>
      <c r="FA2879" s="1628"/>
      <c r="FF2879" s="1864" t="s">
        <v>867</v>
      </c>
      <c r="FH2879" s="1628"/>
      <c r="FU2879" s="1678"/>
      <c r="FW2879" s="1678"/>
    </row>
    <row r="2880" spans="1:179" s="1484" customFormat="1" ht="15" x14ac:dyDescent="0.25">
      <c r="A2880" s="2033"/>
      <c r="B2880" s="1631" t="s">
        <v>7966</v>
      </c>
      <c r="C2880" s="2805" t="s">
        <v>7967</v>
      </c>
      <c r="D2880" s="2805"/>
      <c r="E2880" s="2805"/>
      <c r="F2880" s="1683" t="s">
        <v>636</v>
      </c>
      <c r="G2880" s="2034">
        <v>100</v>
      </c>
      <c r="H2880" s="1641"/>
      <c r="I2880" s="2034">
        <v>100</v>
      </c>
      <c r="J2880" s="1640"/>
      <c r="K2880" s="1641"/>
      <c r="L2880" s="1657">
        <v>15667.25</v>
      </c>
      <c r="M2880" s="1641"/>
      <c r="N2880" s="1679">
        <v>560104.18999999994</v>
      </c>
      <c r="EW2880" s="2031"/>
      <c r="EX2880" s="1619"/>
      <c r="EY2880" s="1628"/>
      <c r="EZ2880" s="1628"/>
      <c r="FA2880" s="1628"/>
      <c r="FF2880" s="1864" t="s">
        <v>7967</v>
      </c>
      <c r="FH2880" s="1628"/>
      <c r="FU2880" s="1678"/>
      <c r="FW2880" s="1678"/>
    </row>
    <row r="2881" spans="1:179" s="1484" customFormat="1" ht="15" x14ac:dyDescent="0.25">
      <c r="A2881" s="2033"/>
      <c r="B2881" s="1631" t="s">
        <v>7968</v>
      </c>
      <c r="C2881" s="2805" t="s">
        <v>7969</v>
      </c>
      <c r="D2881" s="2805"/>
      <c r="E2881" s="2805"/>
      <c r="F2881" s="1683" t="s">
        <v>636</v>
      </c>
      <c r="G2881" s="2034">
        <v>49</v>
      </c>
      <c r="H2881" s="1641"/>
      <c r="I2881" s="2034">
        <v>49</v>
      </c>
      <c r="J2881" s="1640"/>
      <c r="K2881" s="1641"/>
      <c r="L2881" s="1657">
        <v>7676.95</v>
      </c>
      <c r="M2881" s="1641"/>
      <c r="N2881" s="1679">
        <v>274451.05</v>
      </c>
      <c r="EW2881" s="2031"/>
      <c r="EX2881" s="1619"/>
      <c r="EY2881" s="1628"/>
      <c r="EZ2881" s="1628"/>
      <c r="FA2881" s="1628"/>
      <c r="FF2881" s="1864" t="s">
        <v>7969</v>
      </c>
      <c r="FH2881" s="1628"/>
      <c r="FU2881" s="1678"/>
      <c r="FW2881" s="1678"/>
    </row>
    <row r="2882" spans="1:179" s="1484" customFormat="1" ht="15" x14ac:dyDescent="0.25">
      <c r="A2882" s="1650"/>
      <c r="B2882" s="1651"/>
      <c r="C2882" s="2803" t="s">
        <v>872</v>
      </c>
      <c r="D2882" s="2803"/>
      <c r="E2882" s="2803"/>
      <c r="F2882" s="1621"/>
      <c r="G2882" s="1622"/>
      <c r="H2882" s="1622"/>
      <c r="I2882" s="1622"/>
      <c r="J2882" s="1625"/>
      <c r="K2882" s="1622"/>
      <c r="L2882" s="1648">
        <v>54820.05</v>
      </c>
      <c r="M2882" s="2037"/>
      <c r="N2882" s="1649">
        <v>1538598.79</v>
      </c>
      <c r="EW2882" s="2031"/>
      <c r="EX2882" s="1619"/>
      <c r="EY2882" s="1628"/>
      <c r="EZ2882" s="1628"/>
      <c r="FA2882" s="1628"/>
      <c r="FH2882" s="1628" t="s">
        <v>872</v>
      </c>
      <c r="FU2882" s="1678"/>
      <c r="FW2882" s="1678"/>
    </row>
    <row r="2883" spans="1:179" s="1484" customFormat="1" ht="15" x14ac:dyDescent="0.25">
      <c r="A2883" s="1620" t="s">
        <v>8443</v>
      </c>
      <c r="B2883" s="1863" t="s">
        <v>8444</v>
      </c>
      <c r="C2883" s="2803" t="s">
        <v>8445</v>
      </c>
      <c r="D2883" s="2803"/>
      <c r="E2883" s="2803"/>
      <c r="F2883" s="1621" t="s">
        <v>4868</v>
      </c>
      <c r="G2883" s="1622">
        <v>226.77</v>
      </c>
      <c r="H2883" s="1623">
        <v>1</v>
      </c>
      <c r="I2883" s="1687">
        <v>226.77</v>
      </c>
      <c r="J2883" s="2040">
        <v>9.14</v>
      </c>
      <c r="K2883" s="1622"/>
      <c r="L2883" s="1648">
        <v>2072.6799999999998</v>
      </c>
      <c r="M2883" s="1687">
        <v>9.14</v>
      </c>
      <c r="N2883" s="1649">
        <v>18944.3</v>
      </c>
      <c r="EW2883" s="2031"/>
      <c r="EX2883" s="1619"/>
      <c r="EY2883" s="1628" t="s">
        <v>8445</v>
      </c>
      <c r="EZ2883" s="1628" t="s">
        <v>588</v>
      </c>
      <c r="FA2883" s="1628" t="s">
        <v>588</v>
      </c>
      <c r="FH2883" s="1628"/>
      <c r="FU2883" s="1678"/>
      <c r="FW2883" s="1678"/>
    </row>
    <row r="2884" spans="1:179" s="1484" customFormat="1" ht="15" x14ac:dyDescent="0.25">
      <c r="A2884" s="1650"/>
      <c r="B2884" s="1651"/>
      <c r="C2884" s="2805" t="s">
        <v>8640</v>
      </c>
      <c r="D2884" s="2805"/>
      <c r="E2884" s="2805"/>
      <c r="F2884" s="2805"/>
      <c r="G2884" s="2805"/>
      <c r="H2884" s="2805"/>
      <c r="I2884" s="2805"/>
      <c r="J2884" s="2805"/>
      <c r="K2884" s="2805"/>
      <c r="L2884" s="2805"/>
      <c r="M2884" s="2805"/>
      <c r="N2884" s="2806"/>
      <c r="EW2884" s="2031"/>
      <c r="EX2884" s="1619"/>
      <c r="EY2884" s="1628"/>
      <c r="EZ2884" s="1628"/>
      <c r="FA2884" s="1628"/>
      <c r="FH2884" s="1628"/>
      <c r="FI2884" s="1864" t="s">
        <v>8640</v>
      </c>
      <c r="FJ2884" s="1864" t="s">
        <v>588</v>
      </c>
      <c r="FK2884" s="1864" t="s">
        <v>588</v>
      </c>
      <c r="FL2884" s="1864" t="s">
        <v>588</v>
      </c>
      <c r="FM2884" s="1864" t="s">
        <v>588</v>
      </c>
      <c r="FN2884" s="1864" t="s">
        <v>588</v>
      </c>
      <c r="FO2884" s="1864" t="s">
        <v>588</v>
      </c>
      <c r="FP2884" s="1864" t="s">
        <v>588</v>
      </c>
      <c r="FQ2884" s="1864" t="s">
        <v>588</v>
      </c>
      <c r="FR2884" s="1864" t="s">
        <v>588</v>
      </c>
      <c r="FS2884" s="1864" t="s">
        <v>588</v>
      </c>
      <c r="FT2884" s="1864" t="s">
        <v>588</v>
      </c>
      <c r="FU2884" s="1678"/>
      <c r="FW2884" s="1678"/>
    </row>
    <row r="2885" spans="1:179" s="1484" customFormat="1" ht="15" x14ac:dyDescent="0.25">
      <c r="A2885" s="1629"/>
      <c r="B2885" s="1862"/>
      <c r="C2885" s="2805" t="s">
        <v>8738</v>
      </c>
      <c r="D2885" s="2805"/>
      <c r="E2885" s="2805"/>
      <c r="F2885" s="2805"/>
      <c r="G2885" s="2805"/>
      <c r="H2885" s="2805"/>
      <c r="I2885" s="2805"/>
      <c r="J2885" s="2805"/>
      <c r="K2885" s="2805"/>
      <c r="L2885" s="2805"/>
      <c r="M2885" s="2805"/>
      <c r="N2885" s="2806"/>
      <c r="EW2885" s="2031"/>
      <c r="EX2885" s="1619"/>
      <c r="EY2885" s="1628"/>
      <c r="EZ2885" s="1628"/>
      <c r="FA2885" s="1628"/>
      <c r="FB2885" s="1864" t="s">
        <v>8738</v>
      </c>
      <c r="FH2885" s="1628"/>
      <c r="FU2885" s="1678"/>
      <c r="FW2885" s="1678"/>
    </row>
    <row r="2886" spans="1:179" s="1484" customFormat="1" ht="15" x14ac:dyDescent="0.25">
      <c r="A2886" s="1650"/>
      <c r="B2886" s="1651"/>
      <c r="C2886" s="2803" t="s">
        <v>872</v>
      </c>
      <c r="D2886" s="2803"/>
      <c r="E2886" s="2803"/>
      <c r="F2886" s="1621"/>
      <c r="G2886" s="1622"/>
      <c r="H2886" s="1622"/>
      <c r="I2886" s="1622"/>
      <c r="J2886" s="1625"/>
      <c r="K2886" s="1622"/>
      <c r="L2886" s="1648">
        <v>2072.6799999999998</v>
      </c>
      <c r="M2886" s="2037"/>
      <c r="N2886" s="1649">
        <v>18944.3</v>
      </c>
      <c r="EW2886" s="2031"/>
      <c r="EX2886" s="1619"/>
      <c r="EY2886" s="1628"/>
      <c r="EZ2886" s="1628"/>
      <c r="FA2886" s="1628"/>
      <c r="FH2886" s="1628" t="s">
        <v>872</v>
      </c>
      <c r="FU2886" s="1678"/>
      <c r="FW2886" s="1678"/>
    </row>
    <row r="2887" spans="1:179" s="1484" customFormat="1" ht="22.5" x14ac:dyDescent="0.25">
      <c r="A2887" s="1620" t="s">
        <v>8446</v>
      </c>
      <c r="B2887" s="1863" t="s">
        <v>8447</v>
      </c>
      <c r="C2887" s="2803" t="s">
        <v>8448</v>
      </c>
      <c r="D2887" s="2803"/>
      <c r="E2887" s="2803"/>
      <c r="F2887" s="1621" t="s">
        <v>835</v>
      </c>
      <c r="G2887" s="1622">
        <v>748.34100000000001</v>
      </c>
      <c r="H2887" s="1623">
        <v>1</v>
      </c>
      <c r="I2887" s="2045">
        <v>748.34100000000001</v>
      </c>
      <c r="J2887" s="2040">
        <v>83.23</v>
      </c>
      <c r="K2887" s="1622"/>
      <c r="L2887" s="1648">
        <v>62284.42</v>
      </c>
      <c r="M2887" s="1687">
        <v>9.14</v>
      </c>
      <c r="N2887" s="1649">
        <v>569279.6</v>
      </c>
      <c r="EW2887" s="2031"/>
      <c r="EX2887" s="1619"/>
      <c r="EY2887" s="1628" t="s">
        <v>8448</v>
      </c>
      <c r="EZ2887" s="1628" t="s">
        <v>588</v>
      </c>
      <c r="FA2887" s="1628" t="s">
        <v>588</v>
      </c>
      <c r="FH2887" s="1628"/>
      <c r="FU2887" s="1678"/>
      <c r="FW2887" s="1678"/>
    </row>
    <row r="2888" spans="1:179" s="1484" customFormat="1" ht="15" x14ac:dyDescent="0.25">
      <c r="A2888" s="1650"/>
      <c r="B2888" s="1651"/>
      <c r="C2888" s="2805" t="s">
        <v>8640</v>
      </c>
      <c r="D2888" s="2805"/>
      <c r="E2888" s="2805"/>
      <c r="F2888" s="2805"/>
      <c r="G2888" s="2805"/>
      <c r="H2888" s="2805"/>
      <c r="I2888" s="2805"/>
      <c r="J2888" s="2805"/>
      <c r="K2888" s="2805"/>
      <c r="L2888" s="2805"/>
      <c r="M2888" s="2805"/>
      <c r="N2888" s="2806"/>
      <c r="EW2888" s="2031"/>
      <c r="EX2888" s="1619"/>
      <c r="EY2888" s="1628"/>
      <c r="EZ2888" s="1628"/>
      <c r="FA2888" s="1628"/>
      <c r="FH2888" s="1628"/>
      <c r="FI2888" s="1864" t="s">
        <v>8640</v>
      </c>
      <c r="FJ2888" s="1864" t="s">
        <v>588</v>
      </c>
      <c r="FK2888" s="1864" t="s">
        <v>588</v>
      </c>
      <c r="FL2888" s="1864" t="s">
        <v>588</v>
      </c>
      <c r="FM2888" s="1864" t="s">
        <v>588</v>
      </c>
      <c r="FN2888" s="1864" t="s">
        <v>588</v>
      </c>
      <c r="FO2888" s="1864" t="s">
        <v>588</v>
      </c>
      <c r="FP2888" s="1864" t="s">
        <v>588</v>
      </c>
      <c r="FQ2888" s="1864" t="s">
        <v>588</v>
      </c>
      <c r="FR2888" s="1864" t="s">
        <v>588</v>
      </c>
      <c r="FS2888" s="1864" t="s">
        <v>588</v>
      </c>
      <c r="FT2888" s="1864" t="s">
        <v>588</v>
      </c>
      <c r="FU2888" s="1678"/>
      <c r="FW2888" s="1678"/>
    </row>
    <row r="2889" spans="1:179" s="1484" customFormat="1" ht="15" x14ac:dyDescent="0.25">
      <c r="A2889" s="1629"/>
      <c r="B2889" s="1862"/>
      <c r="C2889" s="2805" t="s">
        <v>8737</v>
      </c>
      <c r="D2889" s="2805"/>
      <c r="E2889" s="2805"/>
      <c r="F2889" s="2805"/>
      <c r="G2889" s="2805"/>
      <c r="H2889" s="2805"/>
      <c r="I2889" s="2805"/>
      <c r="J2889" s="2805"/>
      <c r="K2889" s="2805"/>
      <c r="L2889" s="2805"/>
      <c r="M2889" s="2805"/>
      <c r="N2889" s="2806"/>
      <c r="EW2889" s="2031"/>
      <c r="EX2889" s="1619"/>
      <c r="EY2889" s="1628"/>
      <c r="EZ2889" s="1628"/>
      <c r="FA2889" s="1628"/>
      <c r="FB2889" s="1864" t="s">
        <v>8737</v>
      </c>
      <c r="FH2889" s="1628"/>
      <c r="FU2889" s="1678"/>
      <c r="FW2889" s="1678"/>
    </row>
    <row r="2890" spans="1:179" s="1484" customFormat="1" ht="15" x14ac:dyDescent="0.25">
      <c r="A2890" s="1650"/>
      <c r="B2890" s="1651"/>
      <c r="C2890" s="2803" t="s">
        <v>872</v>
      </c>
      <c r="D2890" s="2803"/>
      <c r="E2890" s="2803"/>
      <c r="F2890" s="1621"/>
      <c r="G2890" s="1622"/>
      <c r="H2890" s="1622"/>
      <c r="I2890" s="1622"/>
      <c r="J2890" s="1625"/>
      <c r="K2890" s="1622"/>
      <c r="L2890" s="1648">
        <v>62284.42</v>
      </c>
      <c r="M2890" s="2037"/>
      <c r="N2890" s="1649">
        <v>569279.6</v>
      </c>
      <c r="EW2890" s="2031"/>
      <c r="EX2890" s="1619"/>
      <c r="EY2890" s="1628"/>
      <c r="EZ2890" s="1628"/>
      <c r="FA2890" s="1628"/>
      <c r="FH2890" s="1628" t="s">
        <v>872</v>
      </c>
      <c r="FU2890" s="1678"/>
      <c r="FW2890" s="1678"/>
    </row>
    <row r="2891" spans="1:179" s="1484" customFormat="1" ht="33.75" x14ac:dyDescent="0.25">
      <c r="A2891" s="1620" t="s">
        <v>8449</v>
      </c>
      <c r="B2891" s="1863" t="s">
        <v>8440</v>
      </c>
      <c r="C2891" s="2803" t="s">
        <v>8441</v>
      </c>
      <c r="D2891" s="2803"/>
      <c r="E2891" s="2803"/>
      <c r="F2891" s="1621" t="s">
        <v>2555</v>
      </c>
      <c r="G2891" s="1622">
        <v>0.624</v>
      </c>
      <c r="H2891" s="1623">
        <v>1</v>
      </c>
      <c r="I2891" s="2045">
        <v>0.624</v>
      </c>
      <c r="J2891" s="1625"/>
      <c r="K2891" s="1622"/>
      <c r="L2891" s="1625"/>
      <c r="M2891" s="1622"/>
      <c r="N2891" s="1627"/>
      <c r="EW2891" s="2031"/>
      <c r="EX2891" s="1619"/>
      <c r="EY2891" s="1628" t="s">
        <v>8441</v>
      </c>
      <c r="EZ2891" s="1628" t="s">
        <v>588</v>
      </c>
      <c r="FA2891" s="1628" t="s">
        <v>588</v>
      </c>
      <c r="FH2891" s="1628"/>
      <c r="FU2891" s="1678"/>
      <c r="FW2891" s="1678"/>
    </row>
    <row r="2892" spans="1:179" s="1484" customFormat="1" ht="15" x14ac:dyDescent="0.25">
      <c r="A2892" s="1629"/>
      <c r="B2892" s="1862"/>
      <c r="C2892" s="2805" t="s">
        <v>8736</v>
      </c>
      <c r="D2892" s="2805"/>
      <c r="E2892" s="2805"/>
      <c r="F2892" s="2805"/>
      <c r="G2892" s="2805"/>
      <c r="H2892" s="2805"/>
      <c r="I2892" s="2805"/>
      <c r="J2892" s="2805"/>
      <c r="K2892" s="2805"/>
      <c r="L2892" s="2805"/>
      <c r="M2892" s="2805"/>
      <c r="N2892" s="2806"/>
      <c r="EW2892" s="2031"/>
      <c r="EX2892" s="1619"/>
      <c r="EY2892" s="1628"/>
      <c r="EZ2892" s="1628"/>
      <c r="FA2892" s="1628"/>
      <c r="FB2892" s="1864" t="s">
        <v>8736</v>
      </c>
      <c r="FH2892" s="1628"/>
      <c r="FU2892" s="1678"/>
      <c r="FW2892" s="1678"/>
    </row>
    <row r="2893" spans="1:179" s="1484" customFormat="1" ht="22.5" x14ac:dyDescent="0.25">
      <c r="A2893" s="1630"/>
      <c r="B2893" s="1631" t="s">
        <v>6062</v>
      </c>
      <c r="C2893" s="2809" t="s">
        <v>6063</v>
      </c>
      <c r="D2893" s="2809"/>
      <c r="E2893" s="2809"/>
      <c r="F2893" s="2809"/>
      <c r="G2893" s="2809"/>
      <c r="H2893" s="2809"/>
      <c r="I2893" s="2809"/>
      <c r="J2893" s="2809"/>
      <c r="K2893" s="2809"/>
      <c r="L2893" s="2809"/>
      <c r="M2893" s="2809"/>
      <c r="N2893" s="2810"/>
      <c r="EW2893" s="2031"/>
      <c r="EX2893" s="1619"/>
      <c r="EY2893" s="1628"/>
      <c r="EZ2893" s="1628"/>
      <c r="FA2893" s="1628"/>
      <c r="FC2893" s="1864" t="s">
        <v>6063</v>
      </c>
      <c r="FH2893" s="1628"/>
      <c r="FU2893" s="1678"/>
      <c r="FW2893" s="1678"/>
    </row>
    <row r="2894" spans="1:179" s="1484" customFormat="1" ht="22.5" x14ac:dyDescent="0.25">
      <c r="A2894" s="2033"/>
      <c r="B2894" s="1631" t="s">
        <v>3204</v>
      </c>
      <c r="C2894" s="2805" t="s">
        <v>8647</v>
      </c>
      <c r="D2894" s="2805"/>
      <c r="E2894" s="2805"/>
      <c r="F2894" s="1683" t="s">
        <v>807</v>
      </c>
      <c r="G2894" s="2034">
        <v>63</v>
      </c>
      <c r="H2894" s="1641"/>
      <c r="I2894" s="2046">
        <v>39.311999999999998</v>
      </c>
      <c r="J2894" s="1654">
        <v>8.74</v>
      </c>
      <c r="K2894" s="1655">
        <v>1.25</v>
      </c>
      <c r="L2894" s="1654">
        <v>429.48</v>
      </c>
      <c r="M2894" s="1641"/>
      <c r="N2894" s="1681"/>
      <c r="EW2894" s="2031"/>
      <c r="EX2894" s="1619"/>
      <c r="EY2894" s="1628"/>
      <c r="EZ2894" s="1628"/>
      <c r="FA2894" s="1628"/>
      <c r="FD2894" s="1864" t="s">
        <v>8647</v>
      </c>
      <c r="FH2894" s="1628"/>
      <c r="FU2894" s="1678"/>
      <c r="FW2894" s="1678"/>
    </row>
    <row r="2895" spans="1:179" s="1484" customFormat="1" ht="22.5" x14ac:dyDescent="0.25">
      <c r="A2895" s="2033"/>
      <c r="B2895" s="1631" t="s">
        <v>5008</v>
      </c>
      <c r="C2895" s="2805" t="s">
        <v>5009</v>
      </c>
      <c r="D2895" s="2805"/>
      <c r="E2895" s="2805"/>
      <c r="F2895" s="1683" t="s">
        <v>4994</v>
      </c>
      <c r="G2895" s="1655">
        <v>0.02</v>
      </c>
      <c r="H2895" s="1641"/>
      <c r="I2895" s="2042">
        <v>1.248E-2</v>
      </c>
      <c r="J2895" s="1654">
        <v>27.66</v>
      </c>
      <c r="K2895" s="1641"/>
      <c r="L2895" s="1654">
        <v>0.35</v>
      </c>
      <c r="M2895" s="1641"/>
      <c r="N2895" s="1681"/>
      <c r="EW2895" s="2031"/>
      <c r="EX2895" s="1619"/>
      <c r="EY2895" s="1628"/>
      <c r="EZ2895" s="1628"/>
      <c r="FA2895" s="1628"/>
      <c r="FD2895" s="1864" t="s">
        <v>5009</v>
      </c>
      <c r="FH2895" s="1628"/>
      <c r="FU2895" s="1678"/>
      <c r="FW2895" s="1678"/>
    </row>
    <row r="2896" spans="1:179" s="1484" customFormat="1" ht="15" x14ac:dyDescent="0.25">
      <c r="A2896" s="2033"/>
      <c r="B2896" s="1631" t="s">
        <v>821</v>
      </c>
      <c r="C2896" s="2805" t="s">
        <v>822</v>
      </c>
      <c r="D2896" s="2805"/>
      <c r="E2896" s="2805"/>
      <c r="F2896" s="1683" t="s">
        <v>4994</v>
      </c>
      <c r="G2896" s="1655">
        <v>0.16</v>
      </c>
      <c r="H2896" s="1641"/>
      <c r="I2896" s="2042">
        <v>9.9839999999999998E-2</v>
      </c>
      <c r="J2896" s="1654">
        <v>65.709999999999994</v>
      </c>
      <c r="K2896" s="1641"/>
      <c r="L2896" s="1654">
        <v>6.56</v>
      </c>
      <c r="M2896" s="1641"/>
      <c r="N2896" s="1681"/>
      <c r="EW2896" s="2031"/>
      <c r="EX2896" s="1619"/>
      <c r="EY2896" s="1628"/>
      <c r="EZ2896" s="1628"/>
      <c r="FA2896" s="1628"/>
      <c r="FD2896" s="1864" t="s">
        <v>822</v>
      </c>
      <c r="FH2896" s="1628"/>
      <c r="FU2896" s="1678"/>
      <c r="FW2896" s="1678"/>
    </row>
    <row r="2897" spans="1:179" s="1484" customFormat="1" ht="22.5" x14ac:dyDescent="0.25">
      <c r="A2897" s="2033"/>
      <c r="B2897" s="1631" t="s">
        <v>4916</v>
      </c>
      <c r="C2897" s="2805" t="s">
        <v>4917</v>
      </c>
      <c r="D2897" s="2805"/>
      <c r="E2897" s="2805"/>
      <c r="F2897" s="1683" t="s">
        <v>130</v>
      </c>
      <c r="G2897" s="1655">
        <v>0.84</v>
      </c>
      <c r="H2897" s="1641"/>
      <c r="I2897" s="2042">
        <v>0.52415999999999996</v>
      </c>
      <c r="J2897" s="1654">
        <v>72.319999999999993</v>
      </c>
      <c r="K2897" s="1641"/>
      <c r="L2897" s="1654">
        <v>37.909999999999997</v>
      </c>
      <c r="M2897" s="1641"/>
      <c r="N2897" s="1681"/>
      <c r="EW2897" s="2031"/>
      <c r="EX2897" s="1619"/>
      <c r="EY2897" s="1628"/>
      <c r="EZ2897" s="1628"/>
      <c r="FA2897" s="1628"/>
      <c r="FD2897" s="1864" t="s">
        <v>4917</v>
      </c>
      <c r="FH2897" s="1628"/>
      <c r="FU2897" s="1678"/>
      <c r="FW2897" s="1678"/>
    </row>
    <row r="2898" spans="1:179" s="1484" customFormat="1" ht="15" x14ac:dyDescent="0.25">
      <c r="A2898" s="2033"/>
      <c r="B2898" s="1631" t="s">
        <v>4922</v>
      </c>
      <c r="C2898" s="2805" t="s">
        <v>8707</v>
      </c>
      <c r="D2898" s="2805"/>
      <c r="E2898" s="2805"/>
      <c r="F2898" s="1683" t="s">
        <v>835</v>
      </c>
      <c r="G2898" s="1655">
        <v>0.31</v>
      </c>
      <c r="H2898" s="1641"/>
      <c r="I2898" s="2042">
        <v>0.19344</v>
      </c>
      <c r="J2898" s="1654">
        <v>1.82</v>
      </c>
      <c r="K2898" s="1641"/>
      <c r="L2898" s="1654">
        <v>0.35</v>
      </c>
      <c r="M2898" s="1641"/>
      <c r="N2898" s="1681"/>
      <c r="EW2898" s="2031"/>
      <c r="EX2898" s="1619"/>
      <c r="EY2898" s="1628"/>
      <c r="EZ2898" s="1628"/>
      <c r="FA2898" s="1628"/>
      <c r="FD2898" s="1864" t="s">
        <v>8707</v>
      </c>
      <c r="FH2898" s="1628"/>
      <c r="FU2898" s="1678"/>
      <c r="FW2898" s="1678"/>
    </row>
    <row r="2899" spans="1:179" s="1484" customFormat="1" ht="15" x14ac:dyDescent="0.25">
      <c r="A2899" s="2033"/>
      <c r="B2899" s="1631" t="s">
        <v>4991</v>
      </c>
      <c r="C2899" s="2805" t="s">
        <v>4992</v>
      </c>
      <c r="D2899" s="2805"/>
      <c r="E2899" s="2805"/>
      <c r="F2899" s="1683" t="s">
        <v>801</v>
      </c>
      <c r="G2899" s="2046">
        <v>5.5E-2</v>
      </c>
      <c r="H2899" s="1641"/>
      <c r="I2899" s="2042">
        <v>3.4320000000000003E-2</v>
      </c>
      <c r="J2899" s="1657">
        <v>11397.1</v>
      </c>
      <c r="K2899" s="1641"/>
      <c r="L2899" s="1654">
        <v>391.15</v>
      </c>
      <c r="M2899" s="1641"/>
      <c r="N2899" s="1681"/>
      <c r="EW2899" s="2031"/>
      <c r="EX2899" s="1619"/>
      <c r="EY2899" s="1628"/>
      <c r="EZ2899" s="1628"/>
      <c r="FA2899" s="1628"/>
      <c r="FD2899" s="1864" t="s">
        <v>4992</v>
      </c>
      <c r="FH2899" s="1628"/>
      <c r="FU2899" s="1678"/>
      <c r="FW2899" s="1678"/>
    </row>
    <row r="2900" spans="1:179" s="1484" customFormat="1" ht="15" x14ac:dyDescent="0.25">
      <c r="A2900" s="2032"/>
      <c r="B2900" s="1631" t="s">
        <v>190</v>
      </c>
      <c r="C2900" s="2805" t="s">
        <v>2523</v>
      </c>
      <c r="D2900" s="2805"/>
      <c r="E2900" s="2805"/>
      <c r="F2900" s="1683"/>
      <c r="G2900" s="1641"/>
      <c r="H2900" s="1641"/>
      <c r="I2900" s="1641"/>
      <c r="J2900" s="1654">
        <v>550.62</v>
      </c>
      <c r="K2900" s="1655">
        <v>1.25</v>
      </c>
      <c r="L2900" s="1654">
        <v>429.48</v>
      </c>
      <c r="M2900" s="1655">
        <v>35.75</v>
      </c>
      <c r="N2900" s="1679">
        <v>15353.91</v>
      </c>
      <c r="EW2900" s="2031"/>
      <c r="EX2900" s="1619"/>
      <c r="EY2900" s="1628"/>
      <c r="EZ2900" s="1628"/>
      <c r="FA2900" s="1628"/>
      <c r="FE2900" s="1864" t="s">
        <v>2523</v>
      </c>
      <c r="FH2900" s="1628"/>
      <c r="FU2900" s="1678"/>
      <c r="FW2900" s="1678"/>
    </row>
    <row r="2901" spans="1:179" s="1484" customFormat="1" ht="15" x14ac:dyDescent="0.25">
      <c r="A2901" s="2032"/>
      <c r="B2901" s="1631" t="s">
        <v>639</v>
      </c>
      <c r="C2901" s="2805" t="s">
        <v>697</v>
      </c>
      <c r="D2901" s="2805"/>
      <c r="E2901" s="2805"/>
      <c r="F2901" s="1683"/>
      <c r="G2901" s="1641"/>
      <c r="H2901" s="1641"/>
      <c r="I2901" s="1641"/>
      <c r="J2901" s="1654">
        <v>11.06</v>
      </c>
      <c r="K2901" s="1641"/>
      <c r="L2901" s="1654">
        <v>6.9</v>
      </c>
      <c r="M2901" s="1655">
        <v>11.97</v>
      </c>
      <c r="N2901" s="2039">
        <v>82.59</v>
      </c>
      <c r="EW2901" s="2031"/>
      <c r="EX2901" s="1619"/>
      <c r="EY2901" s="1628"/>
      <c r="EZ2901" s="1628"/>
      <c r="FA2901" s="1628"/>
      <c r="FE2901" s="1864" t="s">
        <v>697</v>
      </c>
      <c r="FH2901" s="1628"/>
      <c r="FU2901" s="1678"/>
      <c r="FW2901" s="1678"/>
    </row>
    <row r="2902" spans="1:179" s="1484" customFormat="1" ht="15" x14ac:dyDescent="0.25">
      <c r="A2902" s="2032"/>
      <c r="B2902" s="1631" t="s">
        <v>640</v>
      </c>
      <c r="C2902" s="2805" t="s">
        <v>2500</v>
      </c>
      <c r="D2902" s="2805"/>
      <c r="E2902" s="2805"/>
      <c r="F2902" s="1683"/>
      <c r="G2902" s="1641"/>
      <c r="H2902" s="1641"/>
      <c r="I2902" s="1641"/>
      <c r="J2902" s="1654">
        <v>2.09</v>
      </c>
      <c r="K2902" s="1641"/>
      <c r="L2902" s="1654">
        <v>1.3</v>
      </c>
      <c r="M2902" s="1655">
        <v>35.75</v>
      </c>
      <c r="N2902" s="2039">
        <v>46.48</v>
      </c>
      <c r="EW2902" s="2031"/>
      <c r="EX2902" s="1619"/>
      <c r="EY2902" s="1628"/>
      <c r="EZ2902" s="1628"/>
      <c r="FA2902" s="1628"/>
      <c r="FE2902" s="1864" t="s">
        <v>2500</v>
      </c>
      <c r="FH2902" s="1628"/>
      <c r="FU2902" s="1678"/>
      <c r="FW2902" s="1678"/>
    </row>
    <row r="2903" spans="1:179" s="1484" customFormat="1" ht="15" x14ac:dyDescent="0.25">
      <c r="A2903" s="2032"/>
      <c r="B2903" s="1631" t="s">
        <v>232</v>
      </c>
      <c r="C2903" s="2805" t="s">
        <v>829</v>
      </c>
      <c r="D2903" s="2805"/>
      <c r="E2903" s="2805"/>
      <c r="F2903" s="1683"/>
      <c r="G2903" s="1641"/>
      <c r="H2903" s="1641"/>
      <c r="I2903" s="1641"/>
      <c r="J2903" s="1654">
        <v>688.15</v>
      </c>
      <c r="K2903" s="1641"/>
      <c r="L2903" s="1654">
        <v>429.41</v>
      </c>
      <c r="M2903" s="1655">
        <v>9.14</v>
      </c>
      <c r="N2903" s="1679">
        <v>3924.81</v>
      </c>
      <c r="EW2903" s="2031"/>
      <c r="EX2903" s="1619"/>
      <c r="EY2903" s="1628"/>
      <c r="EZ2903" s="1628"/>
      <c r="FA2903" s="1628"/>
      <c r="FE2903" s="1864" t="s">
        <v>829</v>
      </c>
      <c r="FH2903" s="1628"/>
      <c r="FU2903" s="1678"/>
      <c r="FW2903" s="1678"/>
    </row>
    <row r="2904" spans="1:179" s="1484" customFormat="1" ht="15" x14ac:dyDescent="0.25">
      <c r="A2904" s="2033"/>
      <c r="B2904" s="1631"/>
      <c r="C2904" s="2805" t="s">
        <v>2524</v>
      </c>
      <c r="D2904" s="2805"/>
      <c r="E2904" s="2805"/>
      <c r="F2904" s="1683" t="s">
        <v>807</v>
      </c>
      <c r="G2904" s="2034">
        <v>63</v>
      </c>
      <c r="H2904" s="1641"/>
      <c r="I2904" s="2046">
        <v>39.311999999999998</v>
      </c>
      <c r="J2904" s="1640"/>
      <c r="K2904" s="1641"/>
      <c r="L2904" s="1640"/>
      <c r="M2904" s="1641"/>
      <c r="N2904" s="1681"/>
      <c r="EW2904" s="2031"/>
      <c r="EX2904" s="1619"/>
      <c r="EY2904" s="1628"/>
      <c r="EZ2904" s="1628"/>
      <c r="FA2904" s="1628"/>
      <c r="FF2904" s="1864" t="s">
        <v>2524</v>
      </c>
      <c r="FH2904" s="1628"/>
      <c r="FU2904" s="1678"/>
      <c r="FW2904" s="1678"/>
    </row>
    <row r="2905" spans="1:179" s="1484" customFormat="1" ht="15" x14ac:dyDescent="0.25">
      <c r="A2905" s="2033"/>
      <c r="B2905" s="1631"/>
      <c r="C2905" s="2805" t="s">
        <v>2501</v>
      </c>
      <c r="D2905" s="2805"/>
      <c r="E2905" s="2805"/>
      <c r="F2905" s="1683" t="s">
        <v>807</v>
      </c>
      <c r="G2905" s="1655">
        <v>0.18</v>
      </c>
      <c r="H2905" s="1641"/>
      <c r="I2905" s="2042">
        <v>0.11232</v>
      </c>
      <c r="J2905" s="1640"/>
      <c r="K2905" s="1641"/>
      <c r="L2905" s="1640"/>
      <c r="M2905" s="1641"/>
      <c r="N2905" s="1681"/>
      <c r="EW2905" s="2031"/>
      <c r="EX2905" s="1619"/>
      <c r="EY2905" s="1628"/>
      <c r="EZ2905" s="1628"/>
      <c r="FA2905" s="1628"/>
      <c r="FF2905" s="1864" t="s">
        <v>2501</v>
      </c>
      <c r="FH2905" s="1628"/>
      <c r="FU2905" s="1678"/>
      <c r="FW2905" s="1678"/>
    </row>
    <row r="2906" spans="1:179" s="1484" customFormat="1" ht="15" x14ac:dyDescent="0.25">
      <c r="A2906" s="2032"/>
      <c r="B2906" s="1631"/>
      <c r="C2906" s="2917" t="s">
        <v>2502</v>
      </c>
      <c r="D2906" s="2917"/>
      <c r="E2906" s="2917"/>
      <c r="F2906" s="2036"/>
      <c r="G2906" s="2037"/>
      <c r="H2906" s="2037"/>
      <c r="I2906" s="2037"/>
      <c r="J2906" s="2038">
        <v>1249.83</v>
      </c>
      <c r="K2906" s="2037"/>
      <c r="L2906" s="2044">
        <v>865.79</v>
      </c>
      <c r="M2906" s="2037"/>
      <c r="N2906" s="2068">
        <v>19361.310000000001</v>
      </c>
      <c r="EW2906" s="2031"/>
      <c r="EX2906" s="1619"/>
      <c r="EY2906" s="1628"/>
      <c r="EZ2906" s="1628"/>
      <c r="FA2906" s="1628"/>
      <c r="FG2906" s="1864" t="s">
        <v>2502</v>
      </c>
      <c r="FH2906" s="1628"/>
      <c r="FU2906" s="1678"/>
      <c r="FW2906" s="1678"/>
    </row>
    <row r="2907" spans="1:179" s="1484" customFormat="1" ht="15" x14ac:dyDescent="0.25">
      <c r="A2907" s="2033" t="s">
        <v>8450</v>
      </c>
      <c r="B2907" s="1631"/>
      <c r="C2907" s="2805" t="s">
        <v>7964</v>
      </c>
      <c r="D2907" s="2805"/>
      <c r="E2907" s="2805"/>
      <c r="F2907" s="1683" t="s">
        <v>5928</v>
      </c>
      <c r="G2907" s="1641"/>
      <c r="H2907" s="1641"/>
      <c r="I2907" s="1641"/>
      <c r="J2907" s="1640"/>
      <c r="K2907" s="1641"/>
      <c r="L2907" s="1654">
        <v>0.33</v>
      </c>
      <c r="M2907" s="1641"/>
      <c r="N2907" s="2039">
        <v>11.8</v>
      </c>
      <c r="EW2907" s="2031"/>
      <c r="EX2907" s="1619"/>
      <c r="EY2907" s="1628"/>
      <c r="EZ2907" s="1628"/>
      <c r="FA2907" s="1628"/>
      <c r="FF2907" s="1864" t="s">
        <v>7964</v>
      </c>
      <c r="FH2907" s="1628"/>
      <c r="FU2907" s="1678"/>
      <c r="FW2907" s="1678"/>
    </row>
    <row r="2908" spans="1:179" s="1484" customFormat="1" ht="15" x14ac:dyDescent="0.25">
      <c r="A2908" s="2033"/>
      <c r="B2908" s="1631"/>
      <c r="C2908" s="2805" t="s">
        <v>7965</v>
      </c>
      <c r="D2908" s="2805"/>
      <c r="E2908" s="2805"/>
      <c r="F2908" s="1683" t="s">
        <v>5928</v>
      </c>
      <c r="G2908" s="1641"/>
      <c r="H2908" s="1641"/>
      <c r="I2908" s="1641"/>
      <c r="J2908" s="1654">
        <v>2.09</v>
      </c>
      <c r="K2908" s="1655">
        <v>0.25</v>
      </c>
      <c r="L2908" s="1654">
        <v>0.33</v>
      </c>
      <c r="M2908" s="1655">
        <v>35.75</v>
      </c>
      <c r="N2908" s="2039">
        <v>11.8</v>
      </c>
      <c r="EW2908" s="2031"/>
      <c r="EX2908" s="1619"/>
      <c r="EY2908" s="1628"/>
      <c r="EZ2908" s="1628"/>
      <c r="FA2908" s="1628"/>
      <c r="FF2908" s="1864" t="s">
        <v>7965</v>
      </c>
      <c r="FH2908" s="1628"/>
      <c r="FU2908" s="1678"/>
      <c r="FW2908" s="1678"/>
    </row>
    <row r="2909" spans="1:179" s="1484" customFormat="1" ht="15" x14ac:dyDescent="0.25">
      <c r="A2909" s="2033"/>
      <c r="B2909" s="1631"/>
      <c r="C2909" s="2805" t="s">
        <v>867</v>
      </c>
      <c r="D2909" s="2805"/>
      <c r="E2909" s="2805"/>
      <c r="F2909" s="1683"/>
      <c r="G2909" s="1641"/>
      <c r="H2909" s="1641"/>
      <c r="I2909" s="1641"/>
      <c r="J2909" s="1640"/>
      <c r="K2909" s="1641"/>
      <c r="L2909" s="1654">
        <v>431.11</v>
      </c>
      <c r="M2909" s="1641"/>
      <c r="N2909" s="1679">
        <v>15412.19</v>
      </c>
      <c r="EW2909" s="2031"/>
      <c r="EX2909" s="1619"/>
      <c r="EY2909" s="1628"/>
      <c r="EZ2909" s="1628"/>
      <c r="FA2909" s="1628"/>
      <c r="FF2909" s="1864" t="s">
        <v>867</v>
      </c>
      <c r="FH2909" s="1628"/>
      <c r="FU2909" s="1678"/>
      <c r="FW2909" s="1678"/>
    </row>
    <row r="2910" spans="1:179" s="1484" customFormat="1" ht="15" x14ac:dyDescent="0.25">
      <c r="A2910" s="2033"/>
      <c r="B2910" s="1631" t="s">
        <v>7966</v>
      </c>
      <c r="C2910" s="2805" t="s">
        <v>7967</v>
      </c>
      <c r="D2910" s="2805"/>
      <c r="E2910" s="2805"/>
      <c r="F2910" s="1683" t="s">
        <v>636</v>
      </c>
      <c r="G2910" s="2034">
        <v>100</v>
      </c>
      <c r="H2910" s="1641"/>
      <c r="I2910" s="2034">
        <v>100</v>
      </c>
      <c r="J2910" s="1640"/>
      <c r="K2910" s="1641"/>
      <c r="L2910" s="1654">
        <v>431.11</v>
      </c>
      <c r="M2910" s="1641"/>
      <c r="N2910" s="1679">
        <v>15412.19</v>
      </c>
      <c r="EW2910" s="2031"/>
      <c r="EX2910" s="1619"/>
      <c r="EY2910" s="1628"/>
      <c r="EZ2910" s="1628"/>
      <c r="FA2910" s="1628"/>
      <c r="FF2910" s="1864" t="s">
        <v>7967</v>
      </c>
      <c r="FH2910" s="1628"/>
      <c r="FU2910" s="1678"/>
      <c r="FW2910" s="1678"/>
    </row>
    <row r="2911" spans="1:179" s="1484" customFormat="1" ht="15" x14ac:dyDescent="0.25">
      <c r="A2911" s="2033"/>
      <c r="B2911" s="1631" t="s">
        <v>7968</v>
      </c>
      <c r="C2911" s="2805" t="s">
        <v>7969</v>
      </c>
      <c r="D2911" s="2805"/>
      <c r="E2911" s="2805"/>
      <c r="F2911" s="1683" t="s">
        <v>636</v>
      </c>
      <c r="G2911" s="2034">
        <v>49</v>
      </c>
      <c r="H2911" s="1641"/>
      <c r="I2911" s="2034">
        <v>49</v>
      </c>
      <c r="J2911" s="1640"/>
      <c r="K2911" s="1641"/>
      <c r="L2911" s="1654">
        <v>211.24</v>
      </c>
      <c r="M2911" s="1641"/>
      <c r="N2911" s="1679">
        <v>7551.97</v>
      </c>
      <c r="EW2911" s="2031"/>
      <c r="EX2911" s="1619"/>
      <c r="EY2911" s="1628"/>
      <c r="EZ2911" s="1628"/>
      <c r="FA2911" s="1628"/>
      <c r="FF2911" s="1864" t="s">
        <v>7969</v>
      </c>
      <c r="FH2911" s="1628"/>
      <c r="FU2911" s="1678"/>
      <c r="FW2911" s="1678"/>
    </row>
    <row r="2912" spans="1:179" s="1484" customFormat="1" ht="15" x14ac:dyDescent="0.25">
      <c r="A2912" s="1650"/>
      <c r="B2912" s="1651"/>
      <c r="C2912" s="2803" t="s">
        <v>872</v>
      </c>
      <c r="D2912" s="2803"/>
      <c r="E2912" s="2803"/>
      <c r="F2912" s="1621"/>
      <c r="G2912" s="1622"/>
      <c r="H2912" s="1622"/>
      <c r="I2912" s="1622"/>
      <c r="J2912" s="1625"/>
      <c r="K2912" s="1622"/>
      <c r="L2912" s="1648">
        <v>1508.47</v>
      </c>
      <c r="M2912" s="2037"/>
      <c r="N2912" s="1649">
        <v>42337.27</v>
      </c>
      <c r="EW2912" s="2031"/>
      <c r="EX2912" s="1619"/>
      <c r="EY2912" s="1628"/>
      <c r="EZ2912" s="1628"/>
      <c r="FA2912" s="1628"/>
      <c r="FH2912" s="1628" t="s">
        <v>872</v>
      </c>
      <c r="FU2912" s="1678"/>
      <c r="FW2912" s="1678"/>
    </row>
    <row r="2913" spans="1:179" s="1484" customFormat="1" ht="15" x14ac:dyDescent="0.25">
      <c r="A2913" s="1620" t="s">
        <v>8451</v>
      </c>
      <c r="B2913" s="1863" t="s">
        <v>8444</v>
      </c>
      <c r="C2913" s="2803" t="s">
        <v>8445</v>
      </c>
      <c r="D2913" s="2803"/>
      <c r="E2913" s="2803"/>
      <c r="F2913" s="1621" t="s">
        <v>4868</v>
      </c>
      <c r="G2913" s="1622">
        <v>6.24</v>
      </c>
      <c r="H2913" s="1623">
        <v>1</v>
      </c>
      <c r="I2913" s="1687">
        <v>6.24</v>
      </c>
      <c r="J2913" s="2040">
        <v>9.14</v>
      </c>
      <c r="K2913" s="1622"/>
      <c r="L2913" s="2040">
        <v>57.03</v>
      </c>
      <c r="M2913" s="1687">
        <v>9.14</v>
      </c>
      <c r="N2913" s="2069">
        <v>521.25</v>
      </c>
      <c r="EW2913" s="2031"/>
      <c r="EX2913" s="1619"/>
      <c r="EY2913" s="1628" t="s">
        <v>8445</v>
      </c>
      <c r="EZ2913" s="1628" t="s">
        <v>588</v>
      </c>
      <c r="FA2913" s="1628" t="s">
        <v>588</v>
      </c>
      <c r="FH2913" s="1628"/>
      <c r="FU2913" s="1678"/>
      <c r="FW2913" s="1678"/>
    </row>
    <row r="2914" spans="1:179" s="1484" customFormat="1" ht="15" x14ac:dyDescent="0.25">
      <c r="A2914" s="1650"/>
      <c r="B2914" s="1651"/>
      <c r="C2914" s="2805" t="s">
        <v>8640</v>
      </c>
      <c r="D2914" s="2805"/>
      <c r="E2914" s="2805"/>
      <c r="F2914" s="2805"/>
      <c r="G2914" s="2805"/>
      <c r="H2914" s="2805"/>
      <c r="I2914" s="2805"/>
      <c r="J2914" s="2805"/>
      <c r="K2914" s="2805"/>
      <c r="L2914" s="2805"/>
      <c r="M2914" s="2805"/>
      <c r="N2914" s="2806"/>
      <c r="EW2914" s="2031"/>
      <c r="EX2914" s="1619"/>
      <c r="EY2914" s="1628"/>
      <c r="EZ2914" s="1628"/>
      <c r="FA2914" s="1628"/>
      <c r="FH2914" s="1628"/>
      <c r="FI2914" s="1864" t="s">
        <v>8640</v>
      </c>
      <c r="FJ2914" s="1864" t="s">
        <v>588</v>
      </c>
      <c r="FK2914" s="1864" t="s">
        <v>588</v>
      </c>
      <c r="FL2914" s="1864" t="s">
        <v>588</v>
      </c>
      <c r="FM2914" s="1864" t="s">
        <v>588</v>
      </c>
      <c r="FN2914" s="1864" t="s">
        <v>588</v>
      </c>
      <c r="FO2914" s="1864" t="s">
        <v>588</v>
      </c>
      <c r="FP2914" s="1864" t="s">
        <v>588</v>
      </c>
      <c r="FQ2914" s="1864" t="s">
        <v>588</v>
      </c>
      <c r="FR2914" s="1864" t="s">
        <v>588</v>
      </c>
      <c r="FS2914" s="1864" t="s">
        <v>588</v>
      </c>
      <c r="FT2914" s="1864" t="s">
        <v>588</v>
      </c>
      <c r="FU2914" s="1678"/>
      <c r="FW2914" s="1678"/>
    </row>
    <row r="2915" spans="1:179" s="1484" customFormat="1" ht="15" x14ac:dyDescent="0.25">
      <c r="A2915" s="1629"/>
      <c r="B2915" s="1862"/>
      <c r="C2915" s="2805" t="s">
        <v>8735</v>
      </c>
      <c r="D2915" s="2805"/>
      <c r="E2915" s="2805"/>
      <c r="F2915" s="2805"/>
      <c r="G2915" s="2805"/>
      <c r="H2915" s="2805"/>
      <c r="I2915" s="2805"/>
      <c r="J2915" s="2805"/>
      <c r="K2915" s="2805"/>
      <c r="L2915" s="2805"/>
      <c r="M2915" s="2805"/>
      <c r="N2915" s="2806"/>
      <c r="EW2915" s="2031"/>
      <c r="EX2915" s="1619"/>
      <c r="EY2915" s="1628"/>
      <c r="EZ2915" s="1628"/>
      <c r="FA2915" s="1628"/>
      <c r="FB2915" s="1864" t="s">
        <v>8735</v>
      </c>
      <c r="FH2915" s="1628"/>
      <c r="FU2915" s="1678"/>
      <c r="FW2915" s="1678"/>
    </row>
    <row r="2916" spans="1:179" s="1484" customFormat="1" ht="15" x14ac:dyDescent="0.25">
      <c r="A2916" s="1650"/>
      <c r="B2916" s="1651"/>
      <c r="C2916" s="2803" t="s">
        <v>872</v>
      </c>
      <c r="D2916" s="2803"/>
      <c r="E2916" s="2803"/>
      <c r="F2916" s="1621"/>
      <c r="G2916" s="1622"/>
      <c r="H2916" s="1622"/>
      <c r="I2916" s="1622"/>
      <c r="J2916" s="1625"/>
      <c r="K2916" s="1622"/>
      <c r="L2916" s="2040">
        <v>57.03</v>
      </c>
      <c r="M2916" s="2037"/>
      <c r="N2916" s="2069">
        <v>521.25</v>
      </c>
      <c r="EW2916" s="2031"/>
      <c r="EX2916" s="1619"/>
      <c r="EY2916" s="1628"/>
      <c r="EZ2916" s="1628"/>
      <c r="FA2916" s="1628"/>
      <c r="FH2916" s="1628" t="s">
        <v>872</v>
      </c>
      <c r="FU2916" s="1678"/>
      <c r="FW2916" s="1678"/>
    </row>
    <row r="2917" spans="1:179" s="1484" customFormat="1" ht="22.5" x14ac:dyDescent="0.25">
      <c r="A2917" s="1620" t="s">
        <v>8452</v>
      </c>
      <c r="B2917" s="1863" t="s">
        <v>8447</v>
      </c>
      <c r="C2917" s="2803" t="s">
        <v>8448</v>
      </c>
      <c r="D2917" s="2803"/>
      <c r="E2917" s="2803"/>
      <c r="F2917" s="1621" t="s">
        <v>835</v>
      </c>
      <c r="G2917" s="1622">
        <v>20.594999999999999</v>
      </c>
      <c r="H2917" s="1623">
        <v>1</v>
      </c>
      <c r="I2917" s="2045">
        <v>20.594999999999999</v>
      </c>
      <c r="J2917" s="2040">
        <v>83.23</v>
      </c>
      <c r="K2917" s="1622"/>
      <c r="L2917" s="1648">
        <v>1714.12</v>
      </c>
      <c r="M2917" s="1687">
        <v>9.14</v>
      </c>
      <c r="N2917" s="1649">
        <v>15667.06</v>
      </c>
      <c r="EW2917" s="2031"/>
      <c r="EX2917" s="1619"/>
      <c r="EY2917" s="1628" t="s">
        <v>8448</v>
      </c>
      <c r="EZ2917" s="1628" t="s">
        <v>588</v>
      </c>
      <c r="FA2917" s="1628" t="s">
        <v>588</v>
      </c>
      <c r="FH2917" s="1628"/>
      <c r="FU2917" s="1678"/>
      <c r="FW2917" s="1678"/>
    </row>
    <row r="2918" spans="1:179" s="1484" customFormat="1" ht="15" x14ac:dyDescent="0.25">
      <c r="A2918" s="1650"/>
      <c r="B2918" s="1651"/>
      <c r="C2918" s="2805" t="s">
        <v>8640</v>
      </c>
      <c r="D2918" s="2805"/>
      <c r="E2918" s="2805"/>
      <c r="F2918" s="2805"/>
      <c r="G2918" s="2805"/>
      <c r="H2918" s="2805"/>
      <c r="I2918" s="2805"/>
      <c r="J2918" s="2805"/>
      <c r="K2918" s="2805"/>
      <c r="L2918" s="2805"/>
      <c r="M2918" s="2805"/>
      <c r="N2918" s="2806"/>
      <c r="EW2918" s="2031"/>
      <c r="EX2918" s="1619"/>
      <c r="EY2918" s="1628"/>
      <c r="EZ2918" s="1628"/>
      <c r="FA2918" s="1628"/>
      <c r="FH2918" s="1628"/>
      <c r="FI2918" s="1864" t="s">
        <v>8640</v>
      </c>
      <c r="FJ2918" s="1864" t="s">
        <v>588</v>
      </c>
      <c r="FK2918" s="1864" t="s">
        <v>588</v>
      </c>
      <c r="FL2918" s="1864" t="s">
        <v>588</v>
      </c>
      <c r="FM2918" s="1864" t="s">
        <v>588</v>
      </c>
      <c r="FN2918" s="1864" t="s">
        <v>588</v>
      </c>
      <c r="FO2918" s="1864" t="s">
        <v>588</v>
      </c>
      <c r="FP2918" s="1864" t="s">
        <v>588</v>
      </c>
      <c r="FQ2918" s="1864" t="s">
        <v>588</v>
      </c>
      <c r="FR2918" s="1864" t="s">
        <v>588</v>
      </c>
      <c r="FS2918" s="1864" t="s">
        <v>588</v>
      </c>
      <c r="FT2918" s="1864" t="s">
        <v>588</v>
      </c>
      <c r="FU2918" s="1678"/>
      <c r="FW2918" s="1678"/>
    </row>
    <row r="2919" spans="1:179" s="1484" customFormat="1" ht="15" x14ac:dyDescent="0.25">
      <c r="A2919" s="1629"/>
      <c r="B2919" s="1862"/>
      <c r="C2919" s="2805" t="s">
        <v>8734</v>
      </c>
      <c r="D2919" s="2805"/>
      <c r="E2919" s="2805"/>
      <c r="F2919" s="2805"/>
      <c r="G2919" s="2805"/>
      <c r="H2919" s="2805"/>
      <c r="I2919" s="2805"/>
      <c r="J2919" s="2805"/>
      <c r="K2919" s="2805"/>
      <c r="L2919" s="2805"/>
      <c r="M2919" s="2805"/>
      <c r="N2919" s="2806"/>
      <c r="EW2919" s="2031"/>
      <c r="EX2919" s="1619"/>
      <c r="EY2919" s="1628"/>
      <c r="EZ2919" s="1628"/>
      <c r="FA2919" s="1628"/>
      <c r="FB2919" s="1864" t="s">
        <v>8734</v>
      </c>
      <c r="FH2919" s="1628"/>
      <c r="FU2919" s="1678"/>
      <c r="FW2919" s="1678"/>
    </row>
    <row r="2920" spans="1:179" s="1484" customFormat="1" ht="15" x14ac:dyDescent="0.25">
      <c r="A2920" s="1650"/>
      <c r="B2920" s="1651"/>
      <c r="C2920" s="2803" t="s">
        <v>872</v>
      </c>
      <c r="D2920" s="2803"/>
      <c r="E2920" s="2803"/>
      <c r="F2920" s="1621"/>
      <c r="G2920" s="1622"/>
      <c r="H2920" s="1622"/>
      <c r="I2920" s="1622"/>
      <c r="J2920" s="1625"/>
      <c r="K2920" s="1622"/>
      <c r="L2920" s="1648">
        <v>1714.12</v>
      </c>
      <c r="M2920" s="2037"/>
      <c r="N2920" s="1649">
        <v>15667.06</v>
      </c>
      <c r="EW2920" s="2031"/>
      <c r="EX2920" s="1619"/>
      <c r="EY2920" s="1628"/>
      <c r="EZ2920" s="1628"/>
      <c r="FA2920" s="1628"/>
      <c r="FH2920" s="1628" t="s">
        <v>872</v>
      </c>
      <c r="FU2920" s="1678"/>
      <c r="FW2920" s="1678"/>
    </row>
    <row r="2921" spans="1:179" s="1484" customFormat="1" ht="33.75" x14ac:dyDescent="0.25">
      <c r="A2921" s="1620" t="s">
        <v>8453</v>
      </c>
      <c r="B2921" s="1863" t="s">
        <v>8454</v>
      </c>
      <c r="C2921" s="2803" t="s">
        <v>8455</v>
      </c>
      <c r="D2921" s="2803"/>
      <c r="E2921" s="2803"/>
      <c r="F2921" s="1621" t="s">
        <v>2555</v>
      </c>
      <c r="G2921" s="1622">
        <v>0.441</v>
      </c>
      <c r="H2921" s="1623">
        <v>1</v>
      </c>
      <c r="I2921" s="2045">
        <v>0.441</v>
      </c>
      <c r="J2921" s="1625"/>
      <c r="K2921" s="1622"/>
      <c r="L2921" s="1625"/>
      <c r="M2921" s="1622"/>
      <c r="N2921" s="1627"/>
      <c r="EW2921" s="2031"/>
      <c r="EX2921" s="1619"/>
      <c r="EY2921" s="1628" t="s">
        <v>8455</v>
      </c>
      <c r="EZ2921" s="1628" t="s">
        <v>588</v>
      </c>
      <c r="FA2921" s="1628" t="s">
        <v>588</v>
      </c>
      <c r="FH2921" s="1628"/>
      <c r="FU2921" s="1678"/>
      <c r="FW2921" s="1678"/>
    </row>
    <row r="2922" spans="1:179" s="1484" customFormat="1" ht="15" x14ac:dyDescent="0.25">
      <c r="A2922" s="1629"/>
      <c r="B2922" s="1862"/>
      <c r="C2922" s="2805" t="s">
        <v>8733</v>
      </c>
      <c r="D2922" s="2805"/>
      <c r="E2922" s="2805"/>
      <c r="F2922" s="2805"/>
      <c r="G2922" s="2805"/>
      <c r="H2922" s="2805"/>
      <c r="I2922" s="2805"/>
      <c r="J2922" s="2805"/>
      <c r="K2922" s="2805"/>
      <c r="L2922" s="2805"/>
      <c r="M2922" s="2805"/>
      <c r="N2922" s="2806"/>
      <c r="EW2922" s="2031"/>
      <c r="EX2922" s="1619"/>
      <c r="EY2922" s="1628"/>
      <c r="EZ2922" s="1628"/>
      <c r="FA2922" s="1628"/>
      <c r="FB2922" s="1864" t="s">
        <v>8733</v>
      </c>
      <c r="FH2922" s="1628"/>
      <c r="FU2922" s="1678"/>
      <c r="FW2922" s="1678"/>
    </row>
    <row r="2923" spans="1:179" s="1484" customFormat="1" ht="22.5" x14ac:dyDescent="0.25">
      <c r="A2923" s="1630"/>
      <c r="B2923" s="1631" t="s">
        <v>6062</v>
      </c>
      <c r="C2923" s="2809" t="s">
        <v>6063</v>
      </c>
      <c r="D2923" s="2809"/>
      <c r="E2923" s="2809"/>
      <c r="F2923" s="2809"/>
      <c r="G2923" s="2809"/>
      <c r="H2923" s="2809"/>
      <c r="I2923" s="2809"/>
      <c r="J2923" s="2809"/>
      <c r="K2923" s="2809"/>
      <c r="L2923" s="2809"/>
      <c r="M2923" s="2809"/>
      <c r="N2923" s="2810"/>
      <c r="EW2923" s="2031"/>
      <c r="EX2923" s="1619"/>
      <c r="EY2923" s="1628"/>
      <c r="EZ2923" s="1628"/>
      <c r="FA2923" s="1628"/>
      <c r="FC2923" s="1864" t="s">
        <v>6063</v>
      </c>
      <c r="FH2923" s="1628"/>
      <c r="FU2923" s="1678"/>
      <c r="FW2923" s="1678"/>
    </row>
    <row r="2924" spans="1:179" s="1484" customFormat="1" ht="22.5" x14ac:dyDescent="0.25">
      <c r="A2924" s="2033"/>
      <c r="B2924" s="1631" t="s">
        <v>8732</v>
      </c>
      <c r="C2924" s="2805" t="s">
        <v>8731</v>
      </c>
      <c r="D2924" s="2805"/>
      <c r="E2924" s="2805"/>
      <c r="F2924" s="1683" t="s">
        <v>807</v>
      </c>
      <c r="G2924" s="2034">
        <v>39</v>
      </c>
      <c r="H2924" s="1641"/>
      <c r="I2924" s="2046">
        <v>17.199000000000002</v>
      </c>
      <c r="J2924" s="1654">
        <v>8.9700000000000006</v>
      </c>
      <c r="K2924" s="1655">
        <v>1.25</v>
      </c>
      <c r="L2924" s="1654">
        <v>192.84</v>
      </c>
      <c r="M2924" s="1641"/>
      <c r="N2924" s="1681"/>
      <c r="EW2924" s="2031"/>
      <c r="EX2924" s="1619"/>
      <c r="EY2924" s="1628"/>
      <c r="EZ2924" s="1628"/>
      <c r="FA2924" s="1628"/>
      <c r="FD2924" s="1864" t="s">
        <v>8731</v>
      </c>
      <c r="FH2924" s="1628"/>
      <c r="FU2924" s="1678"/>
      <c r="FW2924" s="1678"/>
    </row>
    <row r="2925" spans="1:179" s="1484" customFormat="1" ht="22.5" x14ac:dyDescent="0.25">
      <c r="A2925" s="2033"/>
      <c r="B2925" s="1631" t="s">
        <v>5010</v>
      </c>
      <c r="C2925" s="2805" t="s">
        <v>5011</v>
      </c>
      <c r="D2925" s="2805"/>
      <c r="E2925" s="2805"/>
      <c r="F2925" s="1683" t="s">
        <v>4994</v>
      </c>
      <c r="G2925" s="1655">
        <v>0.02</v>
      </c>
      <c r="H2925" s="1641"/>
      <c r="I2925" s="2042">
        <v>8.8199999999999997E-3</v>
      </c>
      <c r="J2925" s="1654">
        <v>31.26</v>
      </c>
      <c r="K2925" s="1641"/>
      <c r="L2925" s="1654">
        <v>0.28000000000000003</v>
      </c>
      <c r="M2925" s="1641"/>
      <c r="N2925" s="1681"/>
      <c r="EW2925" s="2031"/>
      <c r="EX2925" s="1619"/>
      <c r="EY2925" s="1628"/>
      <c r="EZ2925" s="1628"/>
      <c r="FA2925" s="1628"/>
      <c r="FD2925" s="1864" t="s">
        <v>5011</v>
      </c>
      <c r="FH2925" s="1628"/>
      <c r="FU2925" s="1678"/>
      <c r="FW2925" s="1678"/>
    </row>
    <row r="2926" spans="1:179" s="1484" customFormat="1" ht="15" x14ac:dyDescent="0.25">
      <c r="A2926" s="2033"/>
      <c r="B2926" s="1631" t="s">
        <v>821</v>
      </c>
      <c r="C2926" s="2805" t="s">
        <v>822</v>
      </c>
      <c r="D2926" s="2805"/>
      <c r="E2926" s="2805"/>
      <c r="F2926" s="1683" t="s">
        <v>4994</v>
      </c>
      <c r="G2926" s="1655">
        <v>0.15</v>
      </c>
      <c r="H2926" s="1641"/>
      <c r="I2926" s="2042">
        <v>6.615E-2</v>
      </c>
      <c r="J2926" s="1654">
        <v>65.709999999999994</v>
      </c>
      <c r="K2926" s="1641"/>
      <c r="L2926" s="1654">
        <v>4.3499999999999996</v>
      </c>
      <c r="M2926" s="1641"/>
      <c r="N2926" s="1681"/>
      <c r="EW2926" s="2031"/>
      <c r="EX2926" s="1619"/>
      <c r="EY2926" s="1628"/>
      <c r="EZ2926" s="1628"/>
      <c r="FA2926" s="1628"/>
      <c r="FD2926" s="1864" t="s">
        <v>822</v>
      </c>
      <c r="FH2926" s="1628"/>
      <c r="FU2926" s="1678"/>
      <c r="FW2926" s="1678"/>
    </row>
    <row r="2927" spans="1:179" s="1484" customFormat="1" ht="22.5" x14ac:dyDescent="0.25">
      <c r="A2927" s="2033"/>
      <c r="B2927" s="1631" t="s">
        <v>4916</v>
      </c>
      <c r="C2927" s="2805" t="s">
        <v>4917</v>
      </c>
      <c r="D2927" s="2805"/>
      <c r="E2927" s="2805"/>
      <c r="F2927" s="1683" t="s">
        <v>130</v>
      </c>
      <c r="G2927" s="1655">
        <v>0.84</v>
      </c>
      <c r="H2927" s="1641"/>
      <c r="I2927" s="2042">
        <v>0.37043999999999999</v>
      </c>
      <c r="J2927" s="1654">
        <v>72.319999999999993</v>
      </c>
      <c r="K2927" s="1641"/>
      <c r="L2927" s="1654">
        <v>26.79</v>
      </c>
      <c r="M2927" s="1641"/>
      <c r="N2927" s="1681"/>
      <c r="EW2927" s="2031"/>
      <c r="EX2927" s="1619"/>
      <c r="EY2927" s="1628"/>
      <c r="EZ2927" s="1628"/>
      <c r="FA2927" s="1628"/>
      <c r="FD2927" s="1864" t="s">
        <v>4917</v>
      </c>
      <c r="FH2927" s="1628"/>
      <c r="FU2927" s="1678"/>
      <c r="FW2927" s="1678"/>
    </row>
    <row r="2928" spans="1:179" s="1484" customFormat="1" ht="15" x14ac:dyDescent="0.25">
      <c r="A2928" s="2033"/>
      <c r="B2928" s="1631" t="s">
        <v>4922</v>
      </c>
      <c r="C2928" s="2805" t="s">
        <v>8707</v>
      </c>
      <c r="D2928" s="2805"/>
      <c r="E2928" s="2805"/>
      <c r="F2928" s="1683" t="s">
        <v>835</v>
      </c>
      <c r="G2928" s="1655">
        <v>0.31</v>
      </c>
      <c r="H2928" s="1641"/>
      <c r="I2928" s="2042">
        <v>0.13671</v>
      </c>
      <c r="J2928" s="1654">
        <v>1.82</v>
      </c>
      <c r="K2928" s="1641"/>
      <c r="L2928" s="1654">
        <v>0.25</v>
      </c>
      <c r="M2928" s="1641"/>
      <c r="N2928" s="1681"/>
      <c r="EW2928" s="2031"/>
      <c r="EX2928" s="1619"/>
      <c r="EY2928" s="1628"/>
      <c r="EZ2928" s="1628"/>
      <c r="FA2928" s="1628"/>
      <c r="FD2928" s="1864" t="s">
        <v>8707</v>
      </c>
      <c r="FH2928" s="1628"/>
      <c r="FU2928" s="1678"/>
      <c r="FW2928" s="1678"/>
    </row>
    <row r="2929" spans="1:179" s="1484" customFormat="1" ht="15" x14ac:dyDescent="0.25">
      <c r="A2929" s="2033"/>
      <c r="B2929" s="1631" t="s">
        <v>4989</v>
      </c>
      <c r="C2929" s="2805" t="s">
        <v>4990</v>
      </c>
      <c r="D2929" s="2805"/>
      <c r="E2929" s="2805"/>
      <c r="F2929" s="1683" t="s">
        <v>801</v>
      </c>
      <c r="G2929" s="2046">
        <v>5.0999999999999997E-2</v>
      </c>
      <c r="H2929" s="1641"/>
      <c r="I2929" s="2043">
        <v>2.2491000000000001E-2</v>
      </c>
      <c r="J2929" s="1657">
        <v>4294</v>
      </c>
      <c r="K2929" s="1641"/>
      <c r="L2929" s="1654">
        <v>96.58</v>
      </c>
      <c r="M2929" s="1641"/>
      <c r="N2929" s="1681"/>
      <c r="EW2929" s="2031"/>
      <c r="EX2929" s="1619"/>
      <c r="EY2929" s="1628"/>
      <c r="EZ2929" s="1628"/>
      <c r="FA2929" s="1628"/>
      <c r="FD2929" s="1864" t="s">
        <v>4990</v>
      </c>
      <c r="FH2929" s="1628"/>
      <c r="FU2929" s="1678"/>
      <c r="FW2929" s="1678"/>
    </row>
    <row r="2930" spans="1:179" s="1484" customFormat="1" ht="15" x14ac:dyDescent="0.25">
      <c r="A2930" s="2032"/>
      <c r="B2930" s="1631" t="s">
        <v>190</v>
      </c>
      <c r="C2930" s="2805" t="s">
        <v>2523</v>
      </c>
      <c r="D2930" s="2805"/>
      <c r="E2930" s="2805"/>
      <c r="F2930" s="1683"/>
      <c r="G2930" s="1641"/>
      <c r="H2930" s="1641"/>
      <c r="I2930" s="1641"/>
      <c r="J2930" s="1654">
        <v>349.83</v>
      </c>
      <c r="K2930" s="1655">
        <v>1.25</v>
      </c>
      <c r="L2930" s="1654">
        <v>192.84</v>
      </c>
      <c r="M2930" s="1655">
        <v>35.75</v>
      </c>
      <c r="N2930" s="1679">
        <v>6894.03</v>
      </c>
      <c r="EW2930" s="2031"/>
      <c r="EX2930" s="1619"/>
      <c r="EY2930" s="1628"/>
      <c r="EZ2930" s="1628"/>
      <c r="FA2930" s="1628"/>
      <c r="FE2930" s="1864" t="s">
        <v>2523</v>
      </c>
      <c r="FH2930" s="1628"/>
      <c r="FU2930" s="1678"/>
      <c r="FW2930" s="1678"/>
    </row>
    <row r="2931" spans="1:179" s="1484" customFormat="1" ht="15" x14ac:dyDescent="0.25">
      <c r="A2931" s="2032"/>
      <c r="B2931" s="1631" t="s">
        <v>639</v>
      </c>
      <c r="C2931" s="2805" t="s">
        <v>697</v>
      </c>
      <c r="D2931" s="2805"/>
      <c r="E2931" s="2805"/>
      <c r="F2931" s="1683"/>
      <c r="G2931" s="1641"/>
      <c r="H2931" s="1641"/>
      <c r="I2931" s="1641"/>
      <c r="J2931" s="1654">
        <v>10.49</v>
      </c>
      <c r="K2931" s="1641"/>
      <c r="L2931" s="1654">
        <v>4.63</v>
      </c>
      <c r="M2931" s="1655">
        <v>11.97</v>
      </c>
      <c r="N2931" s="2039">
        <v>55.42</v>
      </c>
      <c r="EW2931" s="2031"/>
      <c r="EX2931" s="1619"/>
      <c r="EY2931" s="1628"/>
      <c r="EZ2931" s="1628"/>
      <c r="FA2931" s="1628"/>
      <c r="FE2931" s="1864" t="s">
        <v>697</v>
      </c>
      <c r="FH2931" s="1628"/>
      <c r="FU2931" s="1678"/>
      <c r="FW2931" s="1678"/>
    </row>
    <row r="2932" spans="1:179" s="1484" customFormat="1" ht="15" x14ac:dyDescent="0.25">
      <c r="A2932" s="2032"/>
      <c r="B2932" s="1631" t="s">
        <v>640</v>
      </c>
      <c r="C2932" s="2805" t="s">
        <v>2500</v>
      </c>
      <c r="D2932" s="2805"/>
      <c r="E2932" s="2805"/>
      <c r="F2932" s="1683"/>
      <c r="G2932" s="1641"/>
      <c r="H2932" s="1641"/>
      <c r="I2932" s="1641"/>
      <c r="J2932" s="1654">
        <v>2.0099999999999998</v>
      </c>
      <c r="K2932" s="1641"/>
      <c r="L2932" s="1654">
        <v>0.89</v>
      </c>
      <c r="M2932" s="1655">
        <v>35.75</v>
      </c>
      <c r="N2932" s="2039">
        <v>31.82</v>
      </c>
      <c r="EW2932" s="2031"/>
      <c r="EX2932" s="1619"/>
      <c r="EY2932" s="1628"/>
      <c r="EZ2932" s="1628"/>
      <c r="FA2932" s="1628"/>
      <c r="FE2932" s="1864" t="s">
        <v>2500</v>
      </c>
      <c r="FH2932" s="1628"/>
      <c r="FU2932" s="1678"/>
      <c r="FW2932" s="1678"/>
    </row>
    <row r="2933" spans="1:179" s="1484" customFormat="1" ht="15" x14ac:dyDescent="0.25">
      <c r="A2933" s="2032"/>
      <c r="B2933" s="1631" t="s">
        <v>232</v>
      </c>
      <c r="C2933" s="2805" t="s">
        <v>829</v>
      </c>
      <c r="D2933" s="2805"/>
      <c r="E2933" s="2805"/>
      <c r="F2933" s="1683"/>
      <c r="G2933" s="1641"/>
      <c r="H2933" s="1641"/>
      <c r="I2933" s="1641"/>
      <c r="J2933" s="1654">
        <v>280.3</v>
      </c>
      <c r="K2933" s="1641"/>
      <c r="L2933" s="1654">
        <v>123.61</v>
      </c>
      <c r="M2933" s="1655">
        <v>9.14</v>
      </c>
      <c r="N2933" s="1679">
        <v>1129.8</v>
      </c>
      <c r="EW2933" s="2031"/>
      <c r="EX2933" s="1619"/>
      <c r="EY2933" s="1628"/>
      <c r="EZ2933" s="1628"/>
      <c r="FA2933" s="1628"/>
      <c r="FE2933" s="1864" t="s">
        <v>829</v>
      </c>
      <c r="FH2933" s="1628"/>
      <c r="FU2933" s="1678"/>
      <c r="FW2933" s="1678"/>
    </row>
    <row r="2934" spans="1:179" s="1484" customFormat="1" ht="15" x14ac:dyDescent="0.25">
      <c r="A2934" s="2033"/>
      <c r="B2934" s="1631"/>
      <c r="C2934" s="2805" t="s">
        <v>2524</v>
      </c>
      <c r="D2934" s="2805"/>
      <c r="E2934" s="2805"/>
      <c r="F2934" s="1683" t="s">
        <v>807</v>
      </c>
      <c r="G2934" s="2034">
        <v>39</v>
      </c>
      <c r="H2934" s="1641"/>
      <c r="I2934" s="2046">
        <v>17.199000000000002</v>
      </c>
      <c r="J2934" s="1640"/>
      <c r="K2934" s="1641"/>
      <c r="L2934" s="1640"/>
      <c r="M2934" s="1641"/>
      <c r="N2934" s="1681"/>
      <c r="EW2934" s="2031"/>
      <c r="EX2934" s="1619"/>
      <c r="EY2934" s="1628"/>
      <c r="EZ2934" s="1628"/>
      <c r="FA2934" s="1628"/>
      <c r="FF2934" s="1864" t="s">
        <v>2524</v>
      </c>
      <c r="FH2934" s="1628"/>
      <c r="FU2934" s="1678"/>
      <c r="FW2934" s="1678"/>
    </row>
    <row r="2935" spans="1:179" s="1484" customFormat="1" ht="15" x14ac:dyDescent="0.25">
      <c r="A2935" s="2033"/>
      <c r="B2935" s="1631"/>
      <c r="C2935" s="2805" t="s">
        <v>2501</v>
      </c>
      <c r="D2935" s="2805"/>
      <c r="E2935" s="2805"/>
      <c r="F2935" s="1683" t="s">
        <v>807</v>
      </c>
      <c r="G2935" s="1655">
        <v>0.17</v>
      </c>
      <c r="H2935" s="1641"/>
      <c r="I2935" s="2042">
        <v>7.4969999999999995E-2</v>
      </c>
      <c r="J2935" s="1640"/>
      <c r="K2935" s="1641"/>
      <c r="L2935" s="1640"/>
      <c r="M2935" s="1641"/>
      <c r="N2935" s="1681"/>
      <c r="EW2935" s="2031"/>
      <c r="EX2935" s="1619"/>
      <c r="EY2935" s="1628"/>
      <c r="EZ2935" s="1628"/>
      <c r="FA2935" s="1628"/>
      <c r="FF2935" s="1864" t="s">
        <v>2501</v>
      </c>
      <c r="FH2935" s="1628"/>
      <c r="FU2935" s="1678"/>
      <c r="FW2935" s="1678"/>
    </row>
    <row r="2936" spans="1:179" s="1484" customFormat="1" ht="15" x14ac:dyDescent="0.25">
      <c r="A2936" s="2032"/>
      <c r="B2936" s="1631"/>
      <c r="C2936" s="2917" t="s">
        <v>2502</v>
      </c>
      <c r="D2936" s="2917"/>
      <c r="E2936" s="2917"/>
      <c r="F2936" s="2036"/>
      <c r="G2936" s="2037"/>
      <c r="H2936" s="2037"/>
      <c r="I2936" s="2037"/>
      <c r="J2936" s="2044">
        <v>640.62</v>
      </c>
      <c r="K2936" s="2037"/>
      <c r="L2936" s="2044">
        <v>321.08</v>
      </c>
      <c r="M2936" s="2037"/>
      <c r="N2936" s="2068">
        <v>8079.25</v>
      </c>
      <c r="EW2936" s="2031"/>
      <c r="EX2936" s="1619"/>
      <c r="EY2936" s="1628"/>
      <c r="EZ2936" s="1628"/>
      <c r="FA2936" s="1628"/>
      <c r="FG2936" s="1864" t="s">
        <v>2502</v>
      </c>
      <c r="FH2936" s="1628"/>
      <c r="FU2936" s="1678"/>
      <c r="FW2936" s="1678"/>
    </row>
    <row r="2937" spans="1:179" s="1484" customFormat="1" ht="15" x14ac:dyDescent="0.25">
      <c r="A2937" s="2033" t="s">
        <v>8456</v>
      </c>
      <c r="B2937" s="1631"/>
      <c r="C2937" s="2805" t="s">
        <v>7964</v>
      </c>
      <c r="D2937" s="2805"/>
      <c r="E2937" s="2805"/>
      <c r="F2937" s="1683" t="s">
        <v>5928</v>
      </c>
      <c r="G2937" s="1641"/>
      <c r="H2937" s="1641"/>
      <c r="I2937" s="1641"/>
      <c r="J2937" s="1640"/>
      <c r="K2937" s="1641"/>
      <c r="L2937" s="1654">
        <v>0.22</v>
      </c>
      <c r="M2937" s="1641"/>
      <c r="N2937" s="2039">
        <v>7.87</v>
      </c>
      <c r="EW2937" s="2031"/>
      <c r="EX2937" s="1619"/>
      <c r="EY2937" s="1628"/>
      <c r="EZ2937" s="1628"/>
      <c r="FA2937" s="1628"/>
      <c r="FF2937" s="1864" t="s">
        <v>7964</v>
      </c>
      <c r="FH2937" s="1628"/>
      <c r="FU2937" s="1678"/>
      <c r="FW2937" s="1678"/>
    </row>
    <row r="2938" spans="1:179" s="1484" customFormat="1" ht="15" x14ac:dyDescent="0.25">
      <c r="A2938" s="2033"/>
      <c r="B2938" s="1631"/>
      <c r="C2938" s="2805" t="s">
        <v>7965</v>
      </c>
      <c r="D2938" s="2805"/>
      <c r="E2938" s="2805"/>
      <c r="F2938" s="1683" t="s">
        <v>5928</v>
      </c>
      <c r="G2938" s="1641"/>
      <c r="H2938" s="1641"/>
      <c r="I2938" s="1641"/>
      <c r="J2938" s="1654">
        <v>2.0099999999999998</v>
      </c>
      <c r="K2938" s="1655">
        <v>0.25</v>
      </c>
      <c r="L2938" s="1654">
        <v>0.22</v>
      </c>
      <c r="M2938" s="1655">
        <v>35.75</v>
      </c>
      <c r="N2938" s="2039">
        <v>7.87</v>
      </c>
      <c r="EW2938" s="2031"/>
      <c r="EX2938" s="1619"/>
      <c r="EY2938" s="1628"/>
      <c r="EZ2938" s="1628"/>
      <c r="FA2938" s="1628"/>
      <c r="FF2938" s="1864" t="s">
        <v>7965</v>
      </c>
      <c r="FH2938" s="1628"/>
      <c r="FU2938" s="1678"/>
      <c r="FW2938" s="1678"/>
    </row>
    <row r="2939" spans="1:179" s="1484" customFormat="1" ht="15" x14ac:dyDescent="0.25">
      <c r="A2939" s="2033"/>
      <c r="B2939" s="1631"/>
      <c r="C2939" s="2805" t="s">
        <v>867</v>
      </c>
      <c r="D2939" s="2805"/>
      <c r="E2939" s="2805"/>
      <c r="F2939" s="1683"/>
      <c r="G2939" s="1641"/>
      <c r="H2939" s="1641"/>
      <c r="I2939" s="1641"/>
      <c r="J2939" s="1640"/>
      <c r="K2939" s="1641"/>
      <c r="L2939" s="1654">
        <v>193.95</v>
      </c>
      <c r="M2939" s="1641"/>
      <c r="N2939" s="1679">
        <v>6933.72</v>
      </c>
      <c r="EW2939" s="2031"/>
      <c r="EX2939" s="1619"/>
      <c r="EY2939" s="1628"/>
      <c r="EZ2939" s="1628"/>
      <c r="FA2939" s="1628"/>
      <c r="FF2939" s="1864" t="s">
        <v>867</v>
      </c>
      <c r="FH2939" s="1628"/>
      <c r="FU2939" s="1678"/>
      <c r="FW2939" s="1678"/>
    </row>
    <row r="2940" spans="1:179" s="1484" customFormat="1" ht="15" x14ac:dyDescent="0.25">
      <c r="A2940" s="2033"/>
      <c r="B2940" s="1631" t="s">
        <v>7966</v>
      </c>
      <c r="C2940" s="2805" t="s">
        <v>7967</v>
      </c>
      <c r="D2940" s="2805"/>
      <c r="E2940" s="2805"/>
      <c r="F2940" s="1683" t="s">
        <v>636</v>
      </c>
      <c r="G2940" s="2034">
        <v>100</v>
      </c>
      <c r="H2940" s="1641"/>
      <c r="I2940" s="2034">
        <v>100</v>
      </c>
      <c r="J2940" s="1640"/>
      <c r="K2940" s="1641"/>
      <c r="L2940" s="1654">
        <v>193.95</v>
      </c>
      <c r="M2940" s="1641"/>
      <c r="N2940" s="1679">
        <v>6933.72</v>
      </c>
      <c r="EW2940" s="2031"/>
      <c r="EX2940" s="1619"/>
      <c r="EY2940" s="1628"/>
      <c r="EZ2940" s="1628"/>
      <c r="FA2940" s="1628"/>
      <c r="FF2940" s="1864" t="s">
        <v>7967</v>
      </c>
      <c r="FH2940" s="1628"/>
      <c r="FU2940" s="1678"/>
      <c r="FW2940" s="1678"/>
    </row>
    <row r="2941" spans="1:179" s="1484" customFormat="1" ht="15" x14ac:dyDescent="0.25">
      <c r="A2941" s="2033"/>
      <c r="B2941" s="1631" t="s">
        <v>7968</v>
      </c>
      <c r="C2941" s="2805" t="s">
        <v>7969</v>
      </c>
      <c r="D2941" s="2805"/>
      <c r="E2941" s="2805"/>
      <c r="F2941" s="1683" t="s">
        <v>636</v>
      </c>
      <c r="G2941" s="2034">
        <v>49</v>
      </c>
      <c r="H2941" s="1641"/>
      <c r="I2941" s="2034">
        <v>49</v>
      </c>
      <c r="J2941" s="1640"/>
      <c r="K2941" s="1641"/>
      <c r="L2941" s="1654">
        <v>95.04</v>
      </c>
      <c r="M2941" s="1641"/>
      <c r="N2941" s="1679">
        <v>3397.52</v>
      </c>
      <c r="EW2941" s="2031"/>
      <c r="EX2941" s="1619"/>
      <c r="EY2941" s="1628"/>
      <c r="EZ2941" s="1628"/>
      <c r="FA2941" s="1628"/>
      <c r="FF2941" s="1864" t="s">
        <v>7969</v>
      </c>
      <c r="FH2941" s="1628"/>
      <c r="FU2941" s="1678"/>
      <c r="FW2941" s="1678"/>
    </row>
    <row r="2942" spans="1:179" s="1484" customFormat="1" ht="15" x14ac:dyDescent="0.25">
      <c r="A2942" s="1650"/>
      <c r="B2942" s="1651"/>
      <c r="C2942" s="2803" t="s">
        <v>872</v>
      </c>
      <c r="D2942" s="2803"/>
      <c r="E2942" s="2803"/>
      <c r="F2942" s="1621"/>
      <c r="G2942" s="1622"/>
      <c r="H2942" s="1622"/>
      <c r="I2942" s="1622"/>
      <c r="J2942" s="1625"/>
      <c r="K2942" s="1622"/>
      <c r="L2942" s="2040">
        <v>610.29</v>
      </c>
      <c r="M2942" s="2037"/>
      <c r="N2942" s="1649">
        <v>18418.36</v>
      </c>
      <c r="EW2942" s="2031"/>
      <c r="EX2942" s="1619"/>
      <c r="EY2942" s="1628"/>
      <c r="EZ2942" s="1628"/>
      <c r="FA2942" s="1628"/>
      <c r="FH2942" s="1628" t="s">
        <v>872</v>
      </c>
      <c r="FU2942" s="1678"/>
      <c r="FW2942" s="1678"/>
    </row>
    <row r="2943" spans="1:179" s="1484" customFormat="1" ht="22.5" x14ac:dyDescent="0.25">
      <c r="A2943" s="1620" t="s">
        <v>8457</v>
      </c>
      <c r="B2943" s="1863" t="s">
        <v>8458</v>
      </c>
      <c r="C2943" s="2803" t="s">
        <v>8459</v>
      </c>
      <c r="D2943" s="2803"/>
      <c r="E2943" s="2803"/>
      <c r="F2943" s="1621" t="s">
        <v>801</v>
      </c>
      <c r="G2943" s="1622">
        <v>2.7782999999999999E-2</v>
      </c>
      <c r="H2943" s="1623">
        <v>1</v>
      </c>
      <c r="I2943" s="2047">
        <v>2.7782999999999999E-2</v>
      </c>
      <c r="J2943" s="1648">
        <v>14837.58</v>
      </c>
      <c r="K2943" s="1622"/>
      <c r="L2943" s="2040">
        <v>412.23</v>
      </c>
      <c r="M2943" s="1687">
        <v>9.14</v>
      </c>
      <c r="N2943" s="1649">
        <v>3767.78</v>
      </c>
      <c r="EW2943" s="2031"/>
      <c r="EX2943" s="1619"/>
      <c r="EY2943" s="1628" t="s">
        <v>8459</v>
      </c>
      <c r="EZ2943" s="1628" t="s">
        <v>588</v>
      </c>
      <c r="FA2943" s="1628" t="s">
        <v>588</v>
      </c>
      <c r="FH2943" s="1628"/>
      <c r="FU2943" s="1678"/>
      <c r="FW2943" s="1678"/>
    </row>
    <row r="2944" spans="1:179" s="1484" customFormat="1" ht="15" x14ac:dyDescent="0.25">
      <c r="A2944" s="1650"/>
      <c r="B2944" s="1651"/>
      <c r="C2944" s="2805" t="s">
        <v>8689</v>
      </c>
      <c r="D2944" s="2805"/>
      <c r="E2944" s="2805"/>
      <c r="F2944" s="2805"/>
      <c r="G2944" s="2805"/>
      <c r="H2944" s="2805"/>
      <c r="I2944" s="2805"/>
      <c r="J2944" s="2805"/>
      <c r="K2944" s="2805"/>
      <c r="L2944" s="2805"/>
      <c r="M2944" s="2805"/>
      <c r="N2944" s="2806"/>
      <c r="EW2944" s="2031"/>
      <c r="EX2944" s="1619"/>
      <c r="EY2944" s="1628"/>
      <c r="EZ2944" s="1628"/>
      <c r="FA2944" s="1628"/>
      <c r="FH2944" s="1628"/>
      <c r="FI2944" s="1864" t="s">
        <v>8689</v>
      </c>
      <c r="FJ2944" s="1864" t="s">
        <v>588</v>
      </c>
      <c r="FK2944" s="1864" t="s">
        <v>588</v>
      </c>
      <c r="FL2944" s="1864" t="s">
        <v>588</v>
      </c>
      <c r="FM2944" s="1864" t="s">
        <v>588</v>
      </c>
      <c r="FN2944" s="1864" t="s">
        <v>588</v>
      </c>
      <c r="FO2944" s="1864" t="s">
        <v>588</v>
      </c>
      <c r="FP2944" s="1864" t="s">
        <v>588</v>
      </c>
      <c r="FQ2944" s="1864" t="s">
        <v>588</v>
      </c>
      <c r="FR2944" s="1864" t="s">
        <v>588</v>
      </c>
      <c r="FS2944" s="1864" t="s">
        <v>588</v>
      </c>
      <c r="FT2944" s="1864" t="s">
        <v>588</v>
      </c>
      <c r="FU2944" s="1678"/>
      <c r="FW2944" s="1678"/>
    </row>
    <row r="2945" spans="1:179" s="1484" customFormat="1" ht="15" x14ac:dyDescent="0.25">
      <c r="A2945" s="1650"/>
      <c r="B2945" s="1651"/>
      <c r="C2945" s="2803" t="s">
        <v>872</v>
      </c>
      <c r="D2945" s="2803"/>
      <c r="E2945" s="2803"/>
      <c r="F2945" s="1621"/>
      <c r="G2945" s="1622"/>
      <c r="H2945" s="1622"/>
      <c r="I2945" s="1622"/>
      <c r="J2945" s="1625"/>
      <c r="K2945" s="1622"/>
      <c r="L2945" s="2040">
        <v>412.23</v>
      </c>
      <c r="M2945" s="2037"/>
      <c r="N2945" s="1649">
        <v>3767.78</v>
      </c>
      <c r="EW2945" s="2031"/>
      <c r="EX2945" s="1619"/>
      <c r="EY2945" s="1628"/>
      <c r="EZ2945" s="1628"/>
      <c r="FA2945" s="1628"/>
      <c r="FH2945" s="1628" t="s">
        <v>872</v>
      </c>
      <c r="FU2945" s="1678"/>
      <c r="FW2945" s="1678"/>
    </row>
    <row r="2946" spans="1:179" s="1484" customFormat="1" ht="15" x14ac:dyDescent="0.25">
      <c r="A2946" s="2811"/>
      <c r="B2946" s="2812"/>
      <c r="C2946" s="2812"/>
      <c r="D2946" s="2812"/>
      <c r="E2946" s="2812"/>
      <c r="F2946" s="2812"/>
      <c r="G2946" s="2812"/>
      <c r="H2946" s="2812"/>
      <c r="I2946" s="2812"/>
      <c r="J2946" s="2812"/>
      <c r="K2946" s="2812"/>
      <c r="L2946" s="2812"/>
      <c r="M2946" s="2812"/>
      <c r="N2946" s="2813"/>
      <c r="EW2946" s="2031"/>
      <c r="EX2946" s="1619" t="s">
        <v>588</v>
      </c>
      <c r="EY2946" s="1628"/>
      <c r="EZ2946" s="1628"/>
      <c r="FA2946" s="1628"/>
      <c r="FH2946" s="1628"/>
      <c r="FU2946" s="1678"/>
      <c r="FW2946" s="1678"/>
    </row>
    <row r="2947" spans="1:179" s="1484" customFormat="1" ht="45" x14ac:dyDescent="0.25">
      <c r="A2947" s="1620" t="s">
        <v>8460</v>
      </c>
      <c r="B2947" s="1863" t="s">
        <v>8461</v>
      </c>
      <c r="C2947" s="2803" t="s">
        <v>8462</v>
      </c>
      <c r="D2947" s="2803"/>
      <c r="E2947" s="2803"/>
      <c r="F2947" s="1621" t="s">
        <v>2555</v>
      </c>
      <c r="G2947" s="1622">
        <v>5.63</v>
      </c>
      <c r="H2947" s="1623">
        <v>1</v>
      </c>
      <c r="I2947" s="1687">
        <v>5.63</v>
      </c>
      <c r="J2947" s="1625"/>
      <c r="K2947" s="1622"/>
      <c r="L2947" s="1625"/>
      <c r="M2947" s="1622"/>
      <c r="N2947" s="1627"/>
      <c r="EW2947" s="2031"/>
      <c r="EX2947" s="1619"/>
      <c r="EY2947" s="1628" t="s">
        <v>8462</v>
      </c>
      <c r="EZ2947" s="1628" t="s">
        <v>588</v>
      </c>
      <c r="FA2947" s="1628" t="s">
        <v>588</v>
      </c>
      <c r="FH2947" s="1628"/>
      <c r="FU2947" s="1678"/>
      <c r="FW2947" s="1678"/>
    </row>
    <row r="2948" spans="1:179" s="1484" customFormat="1" ht="15" x14ac:dyDescent="0.25">
      <c r="A2948" s="1629"/>
      <c r="B2948" s="1862"/>
      <c r="C2948" s="2805" t="s">
        <v>8730</v>
      </c>
      <c r="D2948" s="2805"/>
      <c r="E2948" s="2805"/>
      <c r="F2948" s="2805"/>
      <c r="G2948" s="2805"/>
      <c r="H2948" s="2805"/>
      <c r="I2948" s="2805"/>
      <c r="J2948" s="2805"/>
      <c r="K2948" s="2805"/>
      <c r="L2948" s="2805"/>
      <c r="M2948" s="2805"/>
      <c r="N2948" s="2806"/>
      <c r="EW2948" s="2031"/>
      <c r="EX2948" s="1619"/>
      <c r="EY2948" s="1628"/>
      <c r="EZ2948" s="1628"/>
      <c r="FA2948" s="1628"/>
      <c r="FB2948" s="1864" t="s">
        <v>8730</v>
      </c>
      <c r="FH2948" s="1628"/>
      <c r="FU2948" s="1678"/>
      <c r="FW2948" s="1678"/>
    </row>
    <row r="2949" spans="1:179" s="1484" customFormat="1" ht="22.5" x14ac:dyDescent="0.25">
      <c r="A2949" s="1630"/>
      <c r="B2949" s="1631" t="s">
        <v>6062</v>
      </c>
      <c r="C2949" s="2809" t="s">
        <v>6063</v>
      </c>
      <c r="D2949" s="2809"/>
      <c r="E2949" s="2809"/>
      <c r="F2949" s="2809"/>
      <c r="G2949" s="2809"/>
      <c r="H2949" s="2809"/>
      <c r="I2949" s="2809"/>
      <c r="J2949" s="2809"/>
      <c r="K2949" s="2809"/>
      <c r="L2949" s="2809"/>
      <c r="M2949" s="2809"/>
      <c r="N2949" s="2810"/>
      <c r="EW2949" s="2031"/>
      <c r="EX2949" s="1619"/>
      <c r="EY2949" s="1628"/>
      <c r="EZ2949" s="1628"/>
      <c r="FA2949" s="1628"/>
      <c r="FC2949" s="1864" t="s">
        <v>6063</v>
      </c>
      <c r="FH2949" s="1628"/>
      <c r="FU2949" s="1678"/>
      <c r="FW2949" s="1678"/>
    </row>
    <row r="2950" spans="1:179" s="1484" customFormat="1" ht="22.5" x14ac:dyDescent="0.25">
      <c r="A2950" s="2033"/>
      <c r="B2950" s="1631" t="s">
        <v>8729</v>
      </c>
      <c r="C2950" s="2805" t="s">
        <v>8728</v>
      </c>
      <c r="D2950" s="2805"/>
      <c r="E2950" s="2805"/>
      <c r="F2950" s="1683" t="s">
        <v>807</v>
      </c>
      <c r="G2950" s="1655">
        <v>18.46</v>
      </c>
      <c r="H2950" s="1641"/>
      <c r="I2950" s="2035">
        <v>103.9298</v>
      </c>
      <c r="J2950" s="1654">
        <v>11.09</v>
      </c>
      <c r="K2950" s="1655">
        <v>1.25</v>
      </c>
      <c r="L2950" s="1657">
        <v>1440.73</v>
      </c>
      <c r="M2950" s="1641"/>
      <c r="N2950" s="1681"/>
      <c r="EW2950" s="2031"/>
      <c r="EX2950" s="1619"/>
      <c r="EY2950" s="1628"/>
      <c r="EZ2950" s="1628"/>
      <c r="FA2950" s="1628"/>
      <c r="FD2950" s="1864" t="s">
        <v>8728</v>
      </c>
      <c r="FH2950" s="1628"/>
      <c r="FU2950" s="1678"/>
      <c r="FW2950" s="1678"/>
    </row>
    <row r="2951" spans="1:179" s="1484" customFormat="1" ht="15" x14ac:dyDescent="0.25">
      <c r="A2951" s="2033"/>
      <c r="B2951" s="1631" t="s">
        <v>821</v>
      </c>
      <c r="C2951" s="2805" t="s">
        <v>822</v>
      </c>
      <c r="D2951" s="2805"/>
      <c r="E2951" s="2805"/>
      <c r="F2951" s="1683" t="s">
        <v>4994</v>
      </c>
      <c r="G2951" s="1655">
        <v>0.12</v>
      </c>
      <c r="H2951" s="1641"/>
      <c r="I2951" s="2035">
        <v>0.67559999999999998</v>
      </c>
      <c r="J2951" s="1654">
        <v>65.709999999999994</v>
      </c>
      <c r="K2951" s="1641"/>
      <c r="L2951" s="1654">
        <v>44.39</v>
      </c>
      <c r="M2951" s="1641"/>
      <c r="N2951" s="1681"/>
      <c r="EW2951" s="2031"/>
      <c r="EX2951" s="1619"/>
      <c r="EY2951" s="1628"/>
      <c r="EZ2951" s="1628"/>
      <c r="FA2951" s="1628"/>
      <c r="FD2951" s="1864" t="s">
        <v>822</v>
      </c>
      <c r="FH2951" s="1628"/>
      <c r="FU2951" s="1678"/>
      <c r="FW2951" s="1678"/>
    </row>
    <row r="2952" spans="1:179" s="1484" customFormat="1" ht="15" x14ac:dyDescent="0.25">
      <c r="A2952" s="2033"/>
      <c r="B2952" s="1631" t="s">
        <v>5032</v>
      </c>
      <c r="C2952" s="2805" t="s">
        <v>8727</v>
      </c>
      <c r="D2952" s="2805"/>
      <c r="E2952" s="2805"/>
      <c r="F2952" s="1683" t="s">
        <v>4994</v>
      </c>
      <c r="G2952" s="1655">
        <v>1.46</v>
      </c>
      <c r="H2952" s="1641"/>
      <c r="I2952" s="2035">
        <v>8.2197999999999993</v>
      </c>
      <c r="J2952" s="1654">
        <v>0.14000000000000001</v>
      </c>
      <c r="K2952" s="1641"/>
      <c r="L2952" s="1654">
        <v>1.1499999999999999</v>
      </c>
      <c r="M2952" s="1641"/>
      <c r="N2952" s="1681"/>
      <c r="EW2952" s="2031"/>
      <c r="EX2952" s="1619"/>
      <c r="EY2952" s="1628"/>
      <c r="EZ2952" s="1628"/>
      <c r="FA2952" s="1628"/>
      <c r="FD2952" s="1864" t="s">
        <v>8727</v>
      </c>
      <c r="FH2952" s="1628"/>
      <c r="FU2952" s="1678"/>
      <c r="FW2952" s="1678"/>
    </row>
    <row r="2953" spans="1:179" s="1484" customFormat="1" ht="15" x14ac:dyDescent="0.25">
      <c r="A2953" s="2032"/>
      <c r="B2953" s="1631" t="s">
        <v>190</v>
      </c>
      <c r="C2953" s="2805" t="s">
        <v>2523</v>
      </c>
      <c r="D2953" s="2805"/>
      <c r="E2953" s="2805"/>
      <c r="F2953" s="1683"/>
      <c r="G2953" s="1641"/>
      <c r="H2953" s="1641"/>
      <c r="I2953" s="1641"/>
      <c r="J2953" s="1654">
        <v>204.72</v>
      </c>
      <c r="K2953" s="1655">
        <v>1.25</v>
      </c>
      <c r="L2953" s="1657">
        <v>1440.72</v>
      </c>
      <c r="M2953" s="1655">
        <v>35.75</v>
      </c>
      <c r="N2953" s="1679">
        <v>51505.74</v>
      </c>
      <c r="EW2953" s="2031"/>
      <c r="EX2953" s="1619"/>
      <c r="EY2953" s="1628"/>
      <c r="EZ2953" s="1628"/>
      <c r="FA2953" s="1628"/>
      <c r="FE2953" s="1864" t="s">
        <v>2523</v>
      </c>
      <c r="FH2953" s="1628"/>
      <c r="FU2953" s="1678"/>
      <c r="FW2953" s="1678"/>
    </row>
    <row r="2954" spans="1:179" s="1484" customFormat="1" ht="15" x14ac:dyDescent="0.25">
      <c r="A2954" s="2032"/>
      <c r="B2954" s="1631" t="s">
        <v>639</v>
      </c>
      <c r="C2954" s="2805" t="s">
        <v>697</v>
      </c>
      <c r="D2954" s="2805"/>
      <c r="E2954" s="2805"/>
      <c r="F2954" s="1683"/>
      <c r="G2954" s="1641"/>
      <c r="H2954" s="1641"/>
      <c r="I2954" s="1641"/>
      <c r="J2954" s="1654">
        <v>8.09</v>
      </c>
      <c r="K2954" s="1641"/>
      <c r="L2954" s="1654">
        <v>45.55</v>
      </c>
      <c r="M2954" s="1655">
        <v>11.97</v>
      </c>
      <c r="N2954" s="2039">
        <v>545.23</v>
      </c>
      <c r="EW2954" s="2031"/>
      <c r="EX2954" s="1619"/>
      <c r="EY2954" s="1628"/>
      <c r="EZ2954" s="1628"/>
      <c r="FA2954" s="1628"/>
      <c r="FE2954" s="1864" t="s">
        <v>697</v>
      </c>
      <c r="FH2954" s="1628"/>
      <c r="FU2954" s="1678"/>
      <c r="FW2954" s="1678"/>
    </row>
    <row r="2955" spans="1:179" s="1484" customFormat="1" ht="15" x14ac:dyDescent="0.25">
      <c r="A2955" s="2032"/>
      <c r="B2955" s="1631" t="s">
        <v>640</v>
      </c>
      <c r="C2955" s="2805" t="s">
        <v>2500</v>
      </c>
      <c r="D2955" s="2805"/>
      <c r="E2955" s="2805"/>
      <c r="F2955" s="1683"/>
      <c r="G2955" s="1641"/>
      <c r="H2955" s="1641"/>
      <c r="I2955" s="1641"/>
      <c r="J2955" s="1654">
        <v>1.39</v>
      </c>
      <c r="K2955" s="1641"/>
      <c r="L2955" s="1654">
        <v>7.83</v>
      </c>
      <c r="M2955" s="1655">
        <v>35.75</v>
      </c>
      <c r="N2955" s="2039">
        <v>279.92</v>
      </c>
      <c r="EW2955" s="2031"/>
      <c r="EX2955" s="1619"/>
      <c r="EY2955" s="1628"/>
      <c r="EZ2955" s="1628"/>
      <c r="FA2955" s="1628"/>
      <c r="FE2955" s="1864" t="s">
        <v>2500</v>
      </c>
      <c r="FH2955" s="1628"/>
      <c r="FU2955" s="1678"/>
      <c r="FW2955" s="1678"/>
    </row>
    <row r="2956" spans="1:179" s="1484" customFormat="1" ht="15" x14ac:dyDescent="0.25">
      <c r="A2956" s="2033"/>
      <c r="B2956" s="1631"/>
      <c r="C2956" s="2805" t="s">
        <v>2524</v>
      </c>
      <c r="D2956" s="2805"/>
      <c r="E2956" s="2805"/>
      <c r="F2956" s="1683" t="s">
        <v>807</v>
      </c>
      <c r="G2956" s="1655">
        <v>18.46</v>
      </c>
      <c r="H2956" s="1641"/>
      <c r="I2956" s="2035">
        <v>103.9298</v>
      </c>
      <c r="J2956" s="1640"/>
      <c r="K2956" s="1641"/>
      <c r="L2956" s="1640"/>
      <c r="M2956" s="1641"/>
      <c r="N2956" s="1681"/>
      <c r="EW2956" s="2031"/>
      <c r="EX2956" s="1619"/>
      <c r="EY2956" s="1628"/>
      <c r="EZ2956" s="1628"/>
      <c r="FA2956" s="1628"/>
      <c r="FF2956" s="1864" t="s">
        <v>2524</v>
      </c>
      <c r="FH2956" s="1628"/>
      <c r="FU2956" s="1678"/>
      <c r="FW2956" s="1678"/>
    </row>
    <row r="2957" spans="1:179" s="1484" customFormat="1" ht="15" x14ac:dyDescent="0.25">
      <c r="A2957" s="2033"/>
      <c r="B2957" s="1631"/>
      <c r="C2957" s="2805" t="s">
        <v>2501</v>
      </c>
      <c r="D2957" s="2805"/>
      <c r="E2957" s="2805"/>
      <c r="F2957" s="1683" t="s">
        <v>807</v>
      </c>
      <c r="G2957" s="1655">
        <v>0.12</v>
      </c>
      <c r="H2957" s="1641"/>
      <c r="I2957" s="2035">
        <v>0.67559999999999998</v>
      </c>
      <c r="J2957" s="1640"/>
      <c r="K2957" s="1641"/>
      <c r="L2957" s="1640"/>
      <c r="M2957" s="1641"/>
      <c r="N2957" s="1681"/>
      <c r="EW2957" s="2031"/>
      <c r="EX2957" s="1619"/>
      <c r="EY2957" s="1628"/>
      <c r="EZ2957" s="1628"/>
      <c r="FA2957" s="1628"/>
      <c r="FF2957" s="1864" t="s">
        <v>2501</v>
      </c>
      <c r="FH2957" s="1628"/>
      <c r="FU2957" s="1678"/>
      <c r="FW2957" s="1678"/>
    </row>
    <row r="2958" spans="1:179" s="1484" customFormat="1" ht="15" x14ac:dyDescent="0.25">
      <c r="A2958" s="2032"/>
      <c r="B2958" s="1631"/>
      <c r="C2958" s="2917" t="s">
        <v>2502</v>
      </c>
      <c r="D2958" s="2917"/>
      <c r="E2958" s="2917"/>
      <c r="F2958" s="2036"/>
      <c r="G2958" s="2037"/>
      <c r="H2958" s="2037"/>
      <c r="I2958" s="2037"/>
      <c r="J2958" s="2044">
        <v>212.81</v>
      </c>
      <c r="K2958" s="2037"/>
      <c r="L2958" s="2038">
        <v>1486.27</v>
      </c>
      <c r="M2958" s="2037"/>
      <c r="N2958" s="2068">
        <v>52050.97</v>
      </c>
      <c r="EW2958" s="2031"/>
      <c r="EX2958" s="1619"/>
      <c r="EY2958" s="1628"/>
      <c r="EZ2958" s="1628"/>
      <c r="FA2958" s="1628"/>
      <c r="FG2958" s="1864" t="s">
        <v>2502</v>
      </c>
      <c r="FH2958" s="1628"/>
      <c r="FU2958" s="1678"/>
      <c r="FW2958" s="1678"/>
    </row>
    <row r="2959" spans="1:179" s="1484" customFormat="1" ht="15" x14ac:dyDescent="0.25">
      <c r="A2959" s="2033" t="s">
        <v>8463</v>
      </c>
      <c r="B2959" s="1631"/>
      <c r="C2959" s="2805" t="s">
        <v>7964</v>
      </c>
      <c r="D2959" s="2805"/>
      <c r="E2959" s="2805"/>
      <c r="F2959" s="1683" t="s">
        <v>5928</v>
      </c>
      <c r="G2959" s="1641"/>
      <c r="H2959" s="1641"/>
      <c r="I2959" s="1641"/>
      <c r="J2959" s="1640"/>
      <c r="K2959" s="1641"/>
      <c r="L2959" s="1654">
        <v>1.96</v>
      </c>
      <c r="M2959" s="1641"/>
      <c r="N2959" s="2039">
        <v>70.069999999999993</v>
      </c>
      <c r="EW2959" s="2031"/>
      <c r="EX2959" s="1619"/>
      <c r="EY2959" s="1628"/>
      <c r="EZ2959" s="1628"/>
      <c r="FA2959" s="1628"/>
      <c r="FF2959" s="1864" t="s">
        <v>7964</v>
      </c>
      <c r="FH2959" s="1628"/>
      <c r="FU2959" s="1678"/>
      <c r="FW2959" s="1678"/>
    </row>
    <row r="2960" spans="1:179" s="1484" customFormat="1" ht="15" x14ac:dyDescent="0.25">
      <c r="A2960" s="2033"/>
      <c r="B2960" s="1631"/>
      <c r="C2960" s="2805" t="s">
        <v>7965</v>
      </c>
      <c r="D2960" s="2805"/>
      <c r="E2960" s="2805"/>
      <c r="F2960" s="1683" t="s">
        <v>5928</v>
      </c>
      <c r="G2960" s="1641"/>
      <c r="H2960" s="1641"/>
      <c r="I2960" s="1641"/>
      <c r="J2960" s="1654">
        <v>1.39</v>
      </c>
      <c r="K2960" s="1655">
        <v>0.25</v>
      </c>
      <c r="L2960" s="1654">
        <v>1.96</v>
      </c>
      <c r="M2960" s="1655">
        <v>35.75</v>
      </c>
      <c r="N2960" s="2039">
        <v>70.069999999999993</v>
      </c>
      <c r="EW2960" s="2031"/>
      <c r="EX2960" s="1619"/>
      <c r="EY2960" s="1628"/>
      <c r="EZ2960" s="1628"/>
      <c r="FA2960" s="1628"/>
      <c r="FF2960" s="1864" t="s">
        <v>7965</v>
      </c>
      <c r="FH2960" s="1628"/>
      <c r="FU2960" s="1678"/>
      <c r="FW2960" s="1678"/>
    </row>
    <row r="2961" spans="1:179" s="1484" customFormat="1" ht="15" x14ac:dyDescent="0.25">
      <c r="A2961" s="2033"/>
      <c r="B2961" s="1631"/>
      <c r="C2961" s="2805" t="s">
        <v>867</v>
      </c>
      <c r="D2961" s="2805"/>
      <c r="E2961" s="2805"/>
      <c r="F2961" s="1683"/>
      <c r="G2961" s="1641"/>
      <c r="H2961" s="1641"/>
      <c r="I2961" s="1641"/>
      <c r="J2961" s="1640"/>
      <c r="K2961" s="1641"/>
      <c r="L2961" s="1657">
        <v>1450.51</v>
      </c>
      <c r="M2961" s="1641"/>
      <c r="N2961" s="1679">
        <v>51855.73</v>
      </c>
      <c r="EW2961" s="2031"/>
      <c r="EX2961" s="1619"/>
      <c r="EY2961" s="1628"/>
      <c r="EZ2961" s="1628"/>
      <c r="FA2961" s="1628"/>
      <c r="FF2961" s="1864" t="s">
        <v>867</v>
      </c>
      <c r="FH2961" s="1628"/>
      <c r="FU2961" s="1678"/>
      <c r="FW2961" s="1678"/>
    </row>
    <row r="2962" spans="1:179" s="1484" customFormat="1" ht="15" x14ac:dyDescent="0.25">
      <c r="A2962" s="2033"/>
      <c r="B2962" s="1631" t="s">
        <v>7966</v>
      </c>
      <c r="C2962" s="2805" t="s">
        <v>7967</v>
      </c>
      <c r="D2962" s="2805"/>
      <c r="E2962" s="2805"/>
      <c r="F2962" s="1683" t="s">
        <v>636</v>
      </c>
      <c r="G2962" s="2034">
        <v>100</v>
      </c>
      <c r="H2962" s="1641"/>
      <c r="I2962" s="2034">
        <v>100</v>
      </c>
      <c r="J2962" s="1640"/>
      <c r="K2962" s="1641"/>
      <c r="L2962" s="1657">
        <v>1450.51</v>
      </c>
      <c r="M2962" s="1641"/>
      <c r="N2962" s="1679">
        <v>51855.73</v>
      </c>
      <c r="EW2962" s="2031"/>
      <c r="EX2962" s="1619"/>
      <c r="EY2962" s="1628"/>
      <c r="EZ2962" s="1628"/>
      <c r="FA2962" s="1628"/>
      <c r="FF2962" s="1864" t="s">
        <v>7967</v>
      </c>
      <c r="FH2962" s="1628"/>
      <c r="FU2962" s="1678"/>
      <c r="FW2962" s="1678"/>
    </row>
    <row r="2963" spans="1:179" s="1484" customFormat="1" ht="15" x14ac:dyDescent="0.25">
      <c r="A2963" s="2033"/>
      <c r="B2963" s="1631" t="s">
        <v>7968</v>
      </c>
      <c r="C2963" s="2805" t="s">
        <v>7969</v>
      </c>
      <c r="D2963" s="2805"/>
      <c r="E2963" s="2805"/>
      <c r="F2963" s="1683" t="s">
        <v>636</v>
      </c>
      <c r="G2963" s="2034">
        <v>49</v>
      </c>
      <c r="H2963" s="1641"/>
      <c r="I2963" s="2034">
        <v>49</v>
      </c>
      <c r="J2963" s="1640"/>
      <c r="K2963" s="1641"/>
      <c r="L2963" s="1654">
        <v>710.75</v>
      </c>
      <c r="M2963" s="1641"/>
      <c r="N2963" s="1679">
        <v>25409.31</v>
      </c>
      <c r="EW2963" s="2031"/>
      <c r="EX2963" s="1619"/>
      <c r="EY2963" s="1628"/>
      <c r="EZ2963" s="1628"/>
      <c r="FA2963" s="1628"/>
      <c r="FF2963" s="1864" t="s">
        <v>7969</v>
      </c>
      <c r="FH2963" s="1628"/>
      <c r="FU2963" s="1678"/>
      <c r="FW2963" s="1678"/>
    </row>
    <row r="2964" spans="1:179" s="1484" customFormat="1" ht="15" x14ac:dyDescent="0.25">
      <c r="A2964" s="1650"/>
      <c r="B2964" s="1651"/>
      <c r="C2964" s="2803" t="s">
        <v>872</v>
      </c>
      <c r="D2964" s="2803"/>
      <c r="E2964" s="2803"/>
      <c r="F2964" s="1621"/>
      <c r="G2964" s="1622"/>
      <c r="H2964" s="1622"/>
      <c r="I2964" s="1622"/>
      <c r="J2964" s="1625"/>
      <c r="K2964" s="1622"/>
      <c r="L2964" s="1648">
        <v>3649.49</v>
      </c>
      <c r="M2964" s="2037"/>
      <c r="N2964" s="1649">
        <v>129386.08</v>
      </c>
      <c r="EW2964" s="2031"/>
      <c r="EX2964" s="1619"/>
      <c r="EY2964" s="1628"/>
      <c r="EZ2964" s="1628"/>
      <c r="FA2964" s="1628"/>
      <c r="FH2964" s="1628" t="s">
        <v>872</v>
      </c>
      <c r="FU2964" s="1678"/>
      <c r="FW2964" s="1678"/>
    </row>
    <row r="2965" spans="1:179" s="1484" customFormat="1" ht="22.5" x14ac:dyDescent="0.25">
      <c r="A2965" s="1620" t="s">
        <v>8464</v>
      </c>
      <c r="B2965" s="1863" t="s">
        <v>8465</v>
      </c>
      <c r="C2965" s="2803" t="s">
        <v>8466</v>
      </c>
      <c r="D2965" s="2803"/>
      <c r="E2965" s="2803"/>
      <c r="F2965" s="1621" t="s">
        <v>130</v>
      </c>
      <c r="G2965" s="1622">
        <v>563</v>
      </c>
      <c r="H2965" s="1623">
        <v>1</v>
      </c>
      <c r="I2965" s="1623">
        <v>563</v>
      </c>
      <c r="J2965" s="2040">
        <v>23.5</v>
      </c>
      <c r="K2965" s="1622"/>
      <c r="L2965" s="1648">
        <v>13230.5</v>
      </c>
      <c r="M2965" s="1687">
        <v>9.14</v>
      </c>
      <c r="N2965" s="1649">
        <v>120926.77</v>
      </c>
      <c r="EW2965" s="2031"/>
      <c r="EX2965" s="1619"/>
      <c r="EY2965" s="1628" t="s">
        <v>8466</v>
      </c>
      <c r="EZ2965" s="1628" t="s">
        <v>588</v>
      </c>
      <c r="FA2965" s="1628" t="s">
        <v>588</v>
      </c>
      <c r="FH2965" s="1628"/>
      <c r="FU2965" s="1678"/>
      <c r="FW2965" s="1678"/>
    </row>
    <row r="2966" spans="1:179" s="1484" customFormat="1" ht="15" x14ac:dyDescent="0.25">
      <c r="A2966" s="1650"/>
      <c r="B2966" s="1651"/>
      <c r="C2966" s="2805" t="s">
        <v>8689</v>
      </c>
      <c r="D2966" s="2805"/>
      <c r="E2966" s="2805"/>
      <c r="F2966" s="2805"/>
      <c r="G2966" s="2805"/>
      <c r="H2966" s="2805"/>
      <c r="I2966" s="2805"/>
      <c r="J2966" s="2805"/>
      <c r="K2966" s="2805"/>
      <c r="L2966" s="2805"/>
      <c r="M2966" s="2805"/>
      <c r="N2966" s="2806"/>
      <c r="EW2966" s="2031"/>
      <c r="EX2966" s="1619"/>
      <c r="EY2966" s="1628"/>
      <c r="EZ2966" s="1628"/>
      <c r="FA2966" s="1628"/>
      <c r="FH2966" s="1628"/>
      <c r="FI2966" s="1864" t="s">
        <v>8689</v>
      </c>
      <c r="FJ2966" s="1864" t="s">
        <v>588</v>
      </c>
      <c r="FK2966" s="1864" t="s">
        <v>588</v>
      </c>
      <c r="FL2966" s="1864" t="s">
        <v>588</v>
      </c>
      <c r="FM2966" s="1864" t="s">
        <v>588</v>
      </c>
      <c r="FN2966" s="1864" t="s">
        <v>588</v>
      </c>
      <c r="FO2966" s="1864" t="s">
        <v>588</v>
      </c>
      <c r="FP2966" s="1864" t="s">
        <v>588</v>
      </c>
      <c r="FQ2966" s="1864" t="s">
        <v>588</v>
      </c>
      <c r="FR2966" s="1864" t="s">
        <v>588</v>
      </c>
      <c r="FS2966" s="1864" t="s">
        <v>588</v>
      </c>
      <c r="FT2966" s="1864" t="s">
        <v>588</v>
      </c>
      <c r="FU2966" s="1678"/>
      <c r="FW2966" s="1678"/>
    </row>
    <row r="2967" spans="1:179" s="1484" customFormat="1" ht="15" x14ac:dyDescent="0.25">
      <c r="A2967" s="1650"/>
      <c r="B2967" s="1651"/>
      <c r="C2967" s="2803" t="s">
        <v>872</v>
      </c>
      <c r="D2967" s="2803"/>
      <c r="E2967" s="2803"/>
      <c r="F2967" s="1621"/>
      <c r="G2967" s="1622"/>
      <c r="H2967" s="1622"/>
      <c r="I2967" s="1622"/>
      <c r="J2967" s="1625"/>
      <c r="K2967" s="1622"/>
      <c r="L2967" s="1648">
        <v>13230.5</v>
      </c>
      <c r="M2967" s="2037"/>
      <c r="N2967" s="1649">
        <v>120926.77</v>
      </c>
      <c r="EW2967" s="2031"/>
      <c r="EX2967" s="1619"/>
      <c r="EY2967" s="1628"/>
      <c r="EZ2967" s="1628"/>
      <c r="FA2967" s="1628"/>
      <c r="FH2967" s="1628" t="s">
        <v>872</v>
      </c>
      <c r="FU2967" s="1678"/>
      <c r="FW2967" s="1678"/>
    </row>
    <row r="2968" spans="1:179" s="1484" customFormat="1" ht="1.5" customHeight="1" x14ac:dyDescent="0.25">
      <c r="A2968" s="2050"/>
      <c r="B2968" s="2051"/>
      <c r="C2968" s="1668"/>
      <c r="D2968" s="1668"/>
      <c r="E2968" s="1668"/>
      <c r="F2968" s="1668"/>
      <c r="G2968" s="1669"/>
      <c r="H2968" s="1669"/>
      <c r="I2968" s="1669"/>
      <c r="J2968" s="1669"/>
      <c r="K2968" s="1670"/>
      <c r="L2968" s="1669"/>
      <c r="M2968" s="1670"/>
      <c r="N2968" s="2052"/>
      <c r="EW2968" s="2031"/>
      <c r="EX2968" s="1619"/>
      <c r="EY2968" s="1628"/>
      <c r="EZ2968" s="1628"/>
      <c r="FA2968" s="1628"/>
      <c r="FH2968" s="1628"/>
      <c r="FU2968" s="1678"/>
      <c r="FW2968" s="1678"/>
    </row>
    <row r="2969" spans="1:179" s="1484" customFormat="1" ht="15" x14ac:dyDescent="0.25">
      <c r="A2969" s="1650"/>
      <c r="B2969" s="1676"/>
      <c r="C2969" s="2802" t="s">
        <v>8467</v>
      </c>
      <c r="D2969" s="2802"/>
      <c r="E2969" s="2802"/>
      <c r="F2969" s="2802"/>
      <c r="G2969" s="2802"/>
      <c r="H2969" s="2802"/>
      <c r="I2969" s="2802"/>
      <c r="J2969" s="2802"/>
      <c r="K2969" s="2802"/>
      <c r="L2969" s="2053"/>
      <c r="M2969" s="2054"/>
      <c r="N2969" s="2055"/>
      <c r="EW2969" s="2031"/>
      <c r="EX2969" s="1619"/>
      <c r="EY2969" s="1628"/>
      <c r="EZ2969" s="1628"/>
      <c r="FA2969" s="1628"/>
      <c r="FH2969" s="1628"/>
      <c r="FU2969" s="1678" t="s">
        <v>8467</v>
      </c>
      <c r="FW2969" s="1678"/>
    </row>
    <row r="2970" spans="1:179" s="1484" customFormat="1" ht="15" x14ac:dyDescent="0.25">
      <c r="A2970" s="1647"/>
      <c r="B2970" s="1631"/>
      <c r="C2970" s="2801" t="s">
        <v>922</v>
      </c>
      <c r="D2970" s="2801"/>
      <c r="E2970" s="2801"/>
      <c r="F2970" s="2801"/>
      <c r="G2970" s="2801"/>
      <c r="H2970" s="2801"/>
      <c r="I2970" s="2801"/>
      <c r="J2970" s="2801"/>
      <c r="K2970" s="2801"/>
      <c r="L2970" s="2056">
        <v>116588.94</v>
      </c>
      <c r="M2970" s="2057"/>
      <c r="N2970" s="2058">
        <v>1545391.2</v>
      </c>
      <c r="EW2970" s="2031"/>
      <c r="EX2970" s="1619"/>
      <c r="EY2970" s="1628"/>
      <c r="EZ2970" s="1628"/>
      <c r="FA2970" s="1628"/>
      <c r="FH2970" s="1628"/>
      <c r="FU2970" s="1678"/>
      <c r="FV2970" s="1680" t="s">
        <v>922</v>
      </c>
      <c r="FW2970" s="1678"/>
    </row>
    <row r="2971" spans="1:179" s="1484" customFormat="1" ht="15" x14ac:dyDescent="0.25">
      <c r="A2971" s="1647"/>
      <c r="B2971" s="1631"/>
      <c r="C2971" s="2801" t="s">
        <v>891</v>
      </c>
      <c r="D2971" s="2801"/>
      <c r="E2971" s="2801"/>
      <c r="F2971" s="2801"/>
      <c r="G2971" s="2801"/>
      <c r="H2971" s="2801"/>
      <c r="I2971" s="2801"/>
      <c r="J2971" s="2801"/>
      <c r="K2971" s="2801"/>
      <c r="L2971" s="1708"/>
      <c r="M2971" s="2057"/>
      <c r="N2971" s="2059"/>
      <c r="EW2971" s="2031"/>
      <c r="EX2971" s="1619"/>
      <c r="EY2971" s="1628"/>
      <c r="EZ2971" s="1628"/>
      <c r="FA2971" s="1628"/>
      <c r="FH2971" s="1628"/>
      <c r="FU2971" s="1678"/>
      <c r="FV2971" s="1680" t="s">
        <v>891</v>
      </c>
      <c r="FW2971" s="1678"/>
    </row>
    <row r="2972" spans="1:179" s="1484" customFormat="1" ht="15" x14ac:dyDescent="0.25">
      <c r="A2972" s="1647"/>
      <c r="B2972" s="1631"/>
      <c r="C2972" s="2801" t="s">
        <v>892</v>
      </c>
      <c r="D2972" s="2801"/>
      <c r="E2972" s="2801"/>
      <c r="F2972" s="2801"/>
      <c r="G2972" s="2801"/>
      <c r="H2972" s="2801"/>
      <c r="I2972" s="2801"/>
      <c r="J2972" s="2801"/>
      <c r="K2972" s="2801"/>
      <c r="L2972" s="2056">
        <v>17970.68</v>
      </c>
      <c r="M2972" s="2057"/>
      <c r="N2972" s="2058">
        <v>642451.81000000006</v>
      </c>
      <c r="EW2972" s="2031"/>
      <c r="EX2972" s="1619"/>
      <c r="EY2972" s="1628"/>
      <c r="EZ2972" s="1628"/>
      <c r="FA2972" s="1628"/>
      <c r="FH2972" s="1628"/>
      <c r="FU2972" s="1678"/>
      <c r="FV2972" s="1680" t="s">
        <v>892</v>
      </c>
      <c r="FW2972" s="1678"/>
    </row>
    <row r="2973" spans="1:179" s="1484" customFormat="1" ht="15" x14ac:dyDescent="0.25">
      <c r="A2973" s="1647"/>
      <c r="B2973" s="1631"/>
      <c r="C2973" s="2801" t="s">
        <v>893</v>
      </c>
      <c r="D2973" s="2801"/>
      <c r="E2973" s="2801"/>
      <c r="F2973" s="2801"/>
      <c r="G2973" s="2801"/>
      <c r="H2973" s="2801"/>
      <c r="I2973" s="2801"/>
      <c r="J2973" s="2801"/>
      <c r="K2973" s="2801"/>
      <c r="L2973" s="2060">
        <v>402.31</v>
      </c>
      <c r="M2973" s="2057"/>
      <c r="N2973" s="2058">
        <v>5245.6</v>
      </c>
      <c r="EW2973" s="2031"/>
      <c r="EX2973" s="1619"/>
      <c r="EY2973" s="1628"/>
      <c r="EZ2973" s="1628"/>
      <c r="FA2973" s="1628"/>
      <c r="FH2973" s="1628"/>
      <c r="FU2973" s="1678"/>
      <c r="FV2973" s="1680" t="s">
        <v>893</v>
      </c>
      <c r="FW2973" s="1678"/>
    </row>
    <row r="2974" spans="1:179" s="1484" customFormat="1" ht="15" x14ac:dyDescent="0.25">
      <c r="A2974" s="1647"/>
      <c r="B2974" s="1631"/>
      <c r="C2974" s="2801" t="s">
        <v>2578</v>
      </c>
      <c r="D2974" s="2801"/>
      <c r="E2974" s="2801"/>
      <c r="F2974" s="2801"/>
      <c r="G2974" s="2801"/>
      <c r="H2974" s="2801"/>
      <c r="I2974" s="2801"/>
      <c r="J2974" s="2801"/>
      <c r="K2974" s="2801"/>
      <c r="L2974" s="2060">
        <v>90.4</v>
      </c>
      <c r="M2974" s="2057"/>
      <c r="N2974" s="2058">
        <v>3231.82</v>
      </c>
      <c r="EW2974" s="2031"/>
      <c r="EX2974" s="1619"/>
      <c r="EY2974" s="1628"/>
      <c r="EZ2974" s="1628"/>
      <c r="FA2974" s="1628"/>
      <c r="FH2974" s="1628"/>
      <c r="FU2974" s="1678"/>
      <c r="FV2974" s="1680" t="s">
        <v>2578</v>
      </c>
      <c r="FW2974" s="1678"/>
    </row>
    <row r="2975" spans="1:179" s="1484" customFormat="1" ht="15" x14ac:dyDescent="0.25">
      <c r="A2975" s="1647"/>
      <c r="B2975" s="1631"/>
      <c r="C2975" s="2801" t="s">
        <v>895</v>
      </c>
      <c r="D2975" s="2801"/>
      <c r="E2975" s="2801"/>
      <c r="F2975" s="2801"/>
      <c r="G2975" s="2801"/>
      <c r="H2975" s="2801"/>
      <c r="I2975" s="2801"/>
      <c r="J2975" s="2801"/>
      <c r="K2975" s="2801"/>
      <c r="L2975" s="2056">
        <v>98215.95</v>
      </c>
      <c r="M2975" s="2057"/>
      <c r="N2975" s="2058">
        <v>897693.79</v>
      </c>
      <c r="EW2975" s="2031"/>
      <c r="EX2975" s="1619"/>
      <c r="EY2975" s="1628"/>
      <c r="EZ2975" s="1628"/>
      <c r="FA2975" s="1628"/>
      <c r="FH2975" s="1628"/>
      <c r="FU2975" s="1678"/>
      <c r="FV2975" s="1680" t="s">
        <v>895</v>
      </c>
      <c r="FW2975" s="1678"/>
    </row>
    <row r="2976" spans="1:179" s="1484" customFormat="1" ht="15" x14ac:dyDescent="0.25">
      <c r="A2976" s="1647"/>
      <c r="B2976" s="1631"/>
      <c r="C2976" s="2801" t="s">
        <v>897</v>
      </c>
      <c r="D2976" s="2801"/>
      <c r="E2976" s="2801"/>
      <c r="F2976" s="2801"/>
      <c r="G2976" s="2801"/>
      <c r="H2976" s="2801"/>
      <c r="I2976" s="2801"/>
      <c r="J2976" s="2801"/>
      <c r="K2976" s="2801"/>
      <c r="L2976" s="2056">
        <v>143499.94</v>
      </c>
      <c r="M2976" s="2057"/>
      <c r="N2976" s="2058">
        <v>2507459.7999999998</v>
      </c>
      <c r="EW2976" s="2031"/>
      <c r="EX2976" s="1619"/>
      <c r="EY2976" s="1628"/>
      <c r="EZ2976" s="1628"/>
      <c r="FA2976" s="1628"/>
      <c r="FH2976" s="1628"/>
      <c r="FU2976" s="1678"/>
      <c r="FV2976" s="1680" t="s">
        <v>897</v>
      </c>
      <c r="FW2976" s="1678"/>
    </row>
    <row r="2977" spans="1:180" s="1484" customFormat="1" ht="15" x14ac:dyDescent="0.25">
      <c r="A2977" s="1647"/>
      <c r="B2977" s="1631"/>
      <c r="C2977" s="2801" t="s">
        <v>891</v>
      </c>
      <c r="D2977" s="2801"/>
      <c r="E2977" s="2801"/>
      <c r="F2977" s="2801"/>
      <c r="G2977" s="2801"/>
      <c r="H2977" s="2801"/>
      <c r="I2977" s="2801"/>
      <c r="J2977" s="2801"/>
      <c r="K2977" s="2801"/>
      <c r="L2977" s="1708"/>
      <c r="M2977" s="2057"/>
      <c r="N2977" s="2059"/>
      <c r="EW2977" s="2031"/>
      <c r="EX2977" s="1619"/>
      <c r="EY2977" s="1628"/>
      <c r="EZ2977" s="1628"/>
      <c r="FA2977" s="1628"/>
      <c r="FH2977" s="1628"/>
      <c r="FU2977" s="1678"/>
      <c r="FV2977" s="1680" t="s">
        <v>891</v>
      </c>
      <c r="FW2977" s="1678"/>
    </row>
    <row r="2978" spans="1:180" s="1484" customFormat="1" ht="15" x14ac:dyDescent="0.25">
      <c r="A2978" s="1647"/>
      <c r="B2978" s="1631"/>
      <c r="C2978" s="2801" t="s">
        <v>6121</v>
      </c>
      <c r="D2978" s="2801"/>
      <c r="E2978" s="2801"/>
      <c r="F2978" s="2801"/>
      <c r="G2978" s="2801"/>
      <c r="H2978" s="2801"/>
      <c r="I2978" s="2801"/>
      <c r="J2978" s="2801"/>
      <c r="K2978" s="2801"/>
      <c r="L2978" s="2056">
        <v>17970.68</v>
      </c>
      <c r="M2978" s="2057"/>
      <c r="N2978" s="2058">
        <v>642451.81000000006</v>
      </c>
      <c r="EW2978" s="2031"/>
      <c r="EX2978" s="1619"/>
      <c r="EY2978" s="1628"/>
      <c r="EZ2978" s="1628"/>
      <c r="FA2978" s="1628"/>
      <c r="FH2978" s="1628"/>
      <c r="FU2978" s="1678"/>
      <c r="FV2978" s="1680" t="s">
        <v>6121</v>
      </c>
      <c r="FW2978" s="1678"/>
    </row>
    <row r="2979" spans="1:180" s="1484" customFormat="1" ht="15" x14ac:dyDescent="0.25">
      <c r="A2979" s="1647"/>
      <c r="B2979" s="1631"/>
      <c r="C2979" s="2801" t="s">
        <v>6122</v>
      </c>
      <c r="D2979" s="2801"/>
      <c r="E2979" s="2801"/>
      <c r="F2979" s="2801"/>
      <c r="G2979" s="2801"/>
      <c r="H2979" s="2801"/>
      <c r="I2979" s="2801"/>
      <c r="J2979" s="2801"/>
      <c r="K2979" s="2801"/>
      <c r="L2979" s="2060">
        <v>402.31</v>
      </c>
      <c r="M2979" s="2057"/>
      <c r="N2979" s="2058">
        <v>5245.6</v>
      </c>
      <c r="EW2979" s="2031"/>
      <c r="EX2979" s="1619"/>
      <c r="EY2979" s="1628"/>
      <c r="EZ2979" s="1628"/>
      <c r="FA2979" s="1628"/>
      <c r="FH2979" s="1628"/>
      <c r="FU2979" s="1678"/>
      <c r="FV2979" s="1680" t="s">
        <v>6122</v>
      </c>
      <c r="FW2979" s="1678"/>
    </row>
    <row r="2980" spans="1:180" s="1484" customFormat="1" ht="15" x14ac:dyDescent="0.25">
      <c r="A2980" s="1647"/>
      <c r="B2980" s="1631"/>
      <c r="C2980" s="2801" t="s">
        <v>8121</v>
      </c>
      <c r="D2980" s="2801"/>
      <c r="E2980" s="2801"/>
      <c r="F2980" s="2801"/>
      <c r="G2980" s="2801"/>
      <c r="H2980" s="2801"/>
      <c r="I2980" s="2801"/>
      <c r="J2980" s="2801"/>
      <c r="K2980" s="2801"/>
      <c r="L2980" s="1708"/>
      <c r="M2980" s="2057"/>
      <c r="N2980" s="2059"/>
      <c r="EW2980" s="2031"/>
      <c r="EX2980" s="1619"/>
      <c r="EY2980" s="1628"/>
      <c r="EZ2980" s="1628"/>
      <c r="FA2980" s="1628"/>
      <c r="FH2980" s="1628"/>
      <c r="FU2980" s="1678"/>
      <c r="FV2980" s="1680" t="s">
        <v>8121</v>
      </c>
      <c r="FW2980" s="1678"/>
    </row>
    <row r="2981" spans="1:180" s="1484" customFormat="1" ht="15" x14ac:dyDescent="0.25">
      <c r="A2981" s="1647"/>
      <c r="B2981" s="1631"/>
      <c r="C2981" s="2801" t="s">
        <v>8122</v>
      </c>
      <c r="D2981" s="2801"/>
      <c r="E2981" s="2801"/>
      <c r="F2981" s="2801"/>
      <c r="G2981" s="2801"/>
      <c r="H2981" s="2801"/>
      <c r="I2981" s="2801"/>
      <c r="J2981" s="2801"/>
      <c r="K2981" s="2801"/>
      <c r="L2981" s="2060">
        <v>384.23</v>
      </c>
      <c r="M2981" s="2057"/>
      <c r="N2981" s="2058">
        <v>4599.2299999999996</v>
      </c>
      <c r="EW2981" s="2031"/>
      <c r="EX2981" s="1619"/>
      <c r="EY2981" s="1628"/>
      <c r="EZ2981" s="1628"/>
      <c r="FA2981" s="1628"/>
      <c r="FH2981" s="1628"/>
      <c r="FU2981" s="1678"/>
      <c r="FV2981" s="1680" t="s">
        <v>8122</v>
      </c>
      <c r="FW2981" s="1678"/>
    </row>
    <row r="2982" spans="1:180" s="1484" customFormat="1" ht="15" x14ac:dyDescent="0.25">
      <c r="A2982" s="1647"/>
      <c r="B2982" s="1631"/>
      <c r="C2982" s="2801" t="s">
        <v>8123</v>
      </c>
      <c r="D2982" s="2801"/>
      <c r="E2982" s="2801"/>
      <c r="F2982" s="2801"/>
      <c r="G2982" s="2801"/>
      <c r="H2982" s="2801"/>
      <c r="I2982" s="2801"/>
      <c r="J2982" s="2801"/>
      <c r="K2982" s="2801"/>
      <c r="L2982" s="2060">
        <v>72.319999999999993</v>
      </c>
      <c r="M2982" s="2057"/>
      <c r="N2982" s="2058">
        <v>2585.4499999999998</v>
      </c>
      <c r="EW2982" s="2031"/>
      <c r="EX2982" s="1619"/>
      <c r="EY2982" s="1628"/>
      <c r="EZ2982" s="1628"/>
      <c r="FA2982" s="1628"/>
      <c r="FH2982" s="1628"/>
      <c r="FU2982" s="1678"/>
      <c r="FV2982" s="1680" t="s">
        <v>8123</v>
      </c>
      <c r="FW2982" s="1678"/>
    </row>
    <row r="2983" spans="1:180" s="1484" customFormat="1" ht="15" x14ac:dyDescent="0.25">
      <c r="A2983" s="1647"/>
      <c r="B2983" s="1631"/>
      <c r="C2983" s="2801" t="s">
        <v>8124</v>
      </c>
      <c r="D2983" s="2801"/>
      <c r="E2983" s="2801"/>
      <c r="F2983" s="2801"/>
      <c r="G2983" s="2801"/>
      <c r="H2983" s="2801"/>
      <c r="I2983" s="2801"/>
      <c r="J2983" s="2801"/>
      <c r="K2983" s="2801"/>
      <c r="L2983" s="2060">
        <v>18.079999999999998</v>
      </c>
      <c r="M2983" s="2057"/>
      <c r="N2983" s="2061">
        <v>646.37</v>
      </c>
      <c r="EW2983" s="2031"/>
      <c r="EX2983" s="1619"/>
      <c r="EY2983" s="1628"/>
      <c r="EZ2983" s="1628"/>
      <c r="FA2983" s="1628"/>
      <c r="FH2983" s="1628"/>
      <c r="FU2983" s="1678"/>
      <c r="FV2983" s="1680" t="s">
        <v>8124</v>
      </c>
      <c r="FW2983" s="1678"/>
    </row>
    <row r="2984" spans="1:180" s="1484" customFormat="1" ht="15" x14ac:dyDescent="0.25">
      <c r="A2984" s="1647"/>
      <c r="B2984" s="1631"/>
      <c r="C2984" s="2801" t="s">
        <v>6124</v>
      </c>
      <c r="D2984" s="2801"/>
      <c r="E2984" s="2801"/>
      <c r="F2984" s="2801"/>
      <c r="G2984" s="2801"/>
      <c r="H2984" s="2801"/>
      <c r="I2984" s="2801"/>
      <c r="J2984" s="2801"/>
      <c r="K2984" s="2801"/>
      <c r="L2984" s="2056">
        <v>98215.95</v>
      </c>
      <c r="M2984" s="2057"/>
      <c r="N2984" s="2058">
        <v>897693.79</v>
      </c>
      <c r="EW2984" s="2031"/>
      <c r="EX2984" s="1619"/>
      <c r="EY2984" s="1628"/>
      <c r="EZ2984" s="1628"/>
      <c r="FA2984" s="1628"/>
      <c r="FH2984" s="1628"/>
      <c r="FU2984" s="1678"/>
      <c r="FV2984" s="1680" t="s">
        <v>6124</v>
      </c>
      <c r="FW2984" s="1678"/>
    </row>
    <row r="2985" spans="1:180" s="1484" customFormat="1" ht="15" x14ac:dyDescent="0.25">
      <c r="A2985" s="1647"/>
      <c r="B2985" s="1631"/>
      <c r="C2985" s="2801" t="s">
        <v>6125</v>
      </c>
      <c r="D2985" s="2801"/>
      <c r="E2985" s="2801"/>
      <c r="F2985" s="2801"/>
      <c r="G2985" s="2801"/>
      <c r="H2985" s="2801"/>
      <c r="I2985" s="2801"/>
      <c r="J2985" s="2801"/>
      <c r="K2985" s="2801"/>
      <c r="L2985" s="2056">
        <v>18061.080000000002</v>
      </c>
      <c r="M2985" s="2057"/>
      <c r="N2985" s="2058">
        <v>645683.63</v>
      </c>
      <c r="EW2985" s="2031"/>
      <c r="EX2985" s="1619"/>
      <c r="EY2985" s="1628"/>
      <c r="EZ2985" s="1628"/>
      <c r="FA2985" s="1628"/>
      <c r="FH2985" s="1628"/>
      <c r="FU2985" s="1678"/>
      <c r="FV2985" s="1680" t="s">
        <v>6125</v>
      </c>
      <c r="FW2985" s="1678"/>
    </row>
    <row r="2986" spans="1:180" s="1484" customFormat="1" ht="15" x14ac:dyDescent="0.25">
      <c r="A2986" s="1647"/>
      <c r="B2986" s="1631"/>
      <c r="C2986" s="2801" t="s">
        <v>6126</v>
      </c>
      <c r="D2986" s="2801"/>
      <c r="E2986" s="2801"/>
      <c r="F2986" s="2801"/>
      <c r="G2986" s="2801"/>
      <c r="H2986" s="2801"/>
      <c r="I2986" s="2801"/>
      <c r="J2986" s="2801"/>
      <c r="K2986" s="2801"/>
      <c r="L2986" s="2056">
        <v>8849.92</v>
      </c>
      <c r="M2986" s="2057"/>
      <c r="N2986" s="2058">
        <v>316384.96999999997</v>
      </c>
      <c r="EW2986" s="2031"/>
      <c r="EX2986" s="1619"/>
      <c r="EY2986" s="1628"/>
      <c r="EZ2986" s="1628"/>
      <c r="FA2986" s="1628"/>
      <c r="FH2986" s="1628"/>
      <c r="FU2986" s="1678"/>
      <c r="FV2986" s="1680" t="s">
        <v>6126</v>
      </c>
      <c r="FW2986" s="1678"/>
    </row>
    <row r="2987" spans="1:180" s="1484" customFormat="1" ht="15" x14ac:dyDescent="0.25">
      <c r="A2987" s="1647"/>
      <c r="B2987" s="1631"/>
      <c r="C2987" s="2801" t="s">
        <v>923</v>
      </c>
      <c r="D2987" s="2801"/>
      <c r="E2987" s="2801"/>
      <c r="F2987" s="2801"/>
      <c r="G2987" s="2801"/>
      <c r="H2987" s="2801"/>
      <c r="I2987" s="2801"/>
      <c r="J2987" s="2801"/>
      <c r="K2987" s="2801"/>
      <c r="L2987" s="2056">
        <v>18061.080000000002</v>
      </c>
      <c r="M2987" s="2057"/>
      <c r="N2987" s="2058">
        <v>645683.63</v>
      </c>
      <c r="EW2987" s="2031"/>
      <c r="EX2987" s="1619"/>
      <c r="EY2987" s="1628"/>
      <c r="EZ2987" s="1628"/>
      <c r="FA2987" s="1628"/>
      <c r="FH2987" s="1628"/>
      <c r="FU2987" s="1678"/>
      <c r="FV2987" s="1680" t="s">
        <v>923</v>
      </c>
      <c r="FW2987" s="1678"/>
    </row>
    <row r="2988" spans="1:180" s="1484" customFormat="1" ht="15" x14ac:dyDescent="0.25">
      <c r="A2988" s="1647"/>
      <c r="B2988" s="1631"/>
      <c r="C2988" s="2801" t="s">
        <v>924</v>
      </c>
      <c r="D2988" s="2801"/>
      <c r="E2988" s="2801"/>
      <c r="F2988" s="2801"/>
      <c r="G2988" s="2801"/>
      <c r="H2988" s="2801"/>
      <c r="I2988" s="2801"/>
      <c r="J2988" s="2801"/>
      <c r="K2988" s="2801"/>
      <c r="L2988" s="2056">
        <v>18061.080000000002</v>
      </c>
      <c r="M2988" s="2057"/>
      <c r="N2988" s="2058">
        <v>645683.63</v>
      </c>
      <c r="EW2988" s="2031"/>
      <c r="EX2988" s="1619"/>
      <c r="EY2988" s="1628"/>
      <c r="EZ2988" s="1628"/>
      <c r="FA2988" s="1628"/>
      <c r="FH2988" s="1628"/>
      <c r="FU2988" s="1678"/>
      <c r="FV2988" s="1680" t="s">
        <v>924</v>
      </c>
      <c r="FW2988" s="1678"/>
    </row>
    <row r="2989" spans="1:180" s="1484" customFormat="1" ht="15" x14ac:dyDescent="0.25">
      <c r="A2989" s="1647"/>
      <c r="B2989" s="1631"/>
      <c r="C2989" s="2801" t="s">
        <v>925</v>
      </c>
      <c r="D2989" s="2801"/>
      <c r="E2989" s="2801"/>
      <c r="F2989" s="2801"/>
      <c r="G2989" s="2801"/>
      <c r="H2989" s="2801"/>
      <c r="I2989" s="2801"/>
      <c r="J2989" s="2801"/>
      <c r="K2989" s="2801"/>
      <c r="L2989" s="2056">
        <v>8849.92</v>
      </c>
      <c r="M2989" s="2057"/>
      <c r="N2989" s="2058">
        <v>316384.96999999997</v>
      </c>
      <c r="EW2989" s="2031"/>
      <c r="EX2989" s="1619"/>
      <c r="EY2989" s="1628"/>
      <c r="EZ2989" s="1628"/>
      <c r="FA2989" s="1628"/>
      <c r="FH2989" s="1628"/>
      <c r="FU2989" s="1678"/>
      <c r="FV2989" s="1680" t="s">
        <v>925</v>
      </c>
      <c r="FW2989" s="1678"/>
    </row>
    <row r="2990" spans="1:180" s="1484" customFormat="1" ht="15" x14ac:dyDescent="0.25">
      <c r="A2990" s="1647"/>
      <c r="B2990" s="1676"/>
      <c r="C2990" s="2802" t="s">
        <v>8468</v>
      </c>
      <c r="D2990" s="2802"/>
      <c r="E2990" s="2802"/>
      <c r="F2990" s="2802"/>
      <c r="G2990" s="2802"/>
      <c r="H2990" s="2802"/>
      <c r="I2990" s="2802"/>
      <c r="J2990" s="2802"/>
      <c r="K2990" s="2802"/>
      <c r="L2990" s="1705">
        <v>143499.94</v>
      </c>
      <c r="M2990" s="2054"/>
      <c r="N2990" s="2066">
        <v>2507459.7999999998</v>
      </c>
      <c r="EW2990" s="2031"/>
      <c r="EX2990" s="1619"/>
      <c r="EY2990" s="1628"/>
      <c r="EZ2990" s="1628"/>
      <c r="FA2990" s="1628"/>
      <c r="FH2990" s="1628"/>
      <c r="FU2990" s="1678"/>
      <c r="FW2990" s="1678" t="s">
        <v>8468</v>
      </c>
    </row>
    <row r="2991" spans="1:180" s="1484" customFormat="1" ht="15" x14ac:dyDescent="0.25">
      <c r="A2991" s="1647"/>
      <c r="B2991" s="1631"/>
      <c r="C2991" s="2801" t="s">
        <v>6094</v>
      </c>
      <c r="D2991" s="2801"/>
      <c r="E2991" s="2801"/>
      <c r="F2991" s="2801"/>
      <c r="G2991" s="2801"/>
      <c r="H2991" s="2801"/>
      <c r="I2991" s="2801"/>
      <c r="J2991" s="2801"/>
      <c r="K2991" s="2801"/>
      <c r="L2991" s="1708"/>
      <c r="M2991" s="2057"/>
      <c r="N2991" s="2059"/>
      <c r="EW2991" s="2031"/>
      <c r="EX2991" s="1619"/>
      <c r="EY2991" s="1628"/>
      <c r="EZ2991" s="1628"/>
      <c r="FA2991" s="1628"/>
      <c r="FH2991" s="1628"/>
      <c r="FU2991" s="1678"/>
      <c r="FV2991" s="1680" t="s">
        <v>6094</v>
      </c>
      <c r="FW2991" s="1678"/>
    </row>
    <row r="2992" spans="1:180" s="1484" customFormat="1" ht="15" x14ac:dyDescent="0.25">
      <c r="A2992" s="1647"/>
      <c r="B2992" s="1631"/>
      <c r="C2992" s="2801" t="s">
        <v>6095</v>
      </c>
      <c r="D2992" s="2801"/>
      <c r="E2992" s="2801"/>
      <c r="F2992" s="2801"/>
      <c r="G2992" s="2801"/>
      <c r="H2992" s="2801"/>
      <c r="I2992" s="1683" t="s">
        <v>8469</v>
      </c>
      <c r="J2992" s="1860"/>
      <c r="K2992" s="1860"/>
      <c r="L2992" s="1708"/>
      <c r="M2992" s="2057"/>
      <c r="N2992" s="2059"/>
      <c r="EW2992" s="2031"/>
      <c r="EX2992" s="1619"/>
      <c r="EY2992" s="1628"/>
      <c r="EZ2992" s="1628"/>
      <c r="FA2992" s="1628"/>
      <c r="FH2992" s="1628"/>
      <c r="FU2992" s="1678"/>
      <c r="FW2992" s="1678"/>
      <c r="FX2992" s="1680" t="s">
        <v>6095</v>
      </c>
    </row>
    <row r="2993" spans="1:180" s="1484" customFormat="1" ht="15" x14ac:dyDescent="0.25">
      <c r="A2993" s="1647"/>
      <c r="B2993" s="1631"/>
      <c r="C2993" s="2801" t="s">
        <v>6096</v>
      </c>
      <c r="D2993" s="2801"/>
      <c r="E2993" s="2801"/>
      <c r="F2993" s="2801"/>
      <c r="G2993" s="2801"/>
      <c r="H2993" s="2801"/>
      <c r="I2993" s="1683" t="s">
        <v>8470</v>
      </c>
      <c r="J2993" s="1860"/>
      <c r="K2993" s="1860"/>
      <c r="L2993" s="1708"/>
      <c r="M2993" s="2057"/>
      <c r="N2993" s="2059"/>
      <c r="EW2993" s="2031"/>
      <c r="EX2993" s="1619"/>
      <c r="EY2993" s="1628"/>
      <c r="EZ2993" s="1628"/>
      <c r="FA2993" s="1628"/>
      <c r="FH2993" s="1628"/>
      <c r="FU2993" s="1678"/>
      <c r="FW2993" s="1678"/>
      <c r="FX2993" s="1680" t="s">
        <v>6096</v>
      </c>
    </row>
    <row r="2994" spans="1:180" s="1484" customFormat="1" ht="15" x14ac:dyDescent="0.25">
      <c r="A2994" s="2918" t="s">
        <v>8471</v>
      </c>
      <c r="B2994" s="2919"/>
      <c r="C2994" s="2919"/>
      <c r="D2994" s="2919"/>
      <c r="E2994" s="2919"/>
      <c r="F2994" s="2919"/>
      <c r="G2994" s="2919"/>
      <c r="H2994" s="2919"/>
      <c r="I2994" s="2919"/>
      <c r="J2994" s="2919"/>
      <c r="K2994" s="2919"/>
      <c r="L2994" s="2919"/>
      <c r="M2994" s="2919"/>
      <c r="N2994" s="2920"/>
      <c r="EW2994" s="2031" t="s">
        <v>8471</v>
      </c>
      <c r="EX2994" s="1619"/>
      <c r="EY2994" s="1628"/>
      <c r="EZ2994" s="1628"/>
      <c r="FA2994" s="1628"/>
      <c r="FH2994" s="1628"/>
      <c r="FU2994" s="1678"/>
      <c r="FW2994" s="1678"/>
    </row>
    <row r="2995" spans="1:180" s="1484" customFormat="1" ht="22.5" x14ac:dyDescent="0.25">
      <c r="A2995" s="1620" t="s">
        <v>8472</v>
      </c>
      <c r="B2995" s="1863" t="s">
        <v>8473</v>
      </c>
      <c r="C2995" s="2803" t="s">
        <v>8474</v>
      </c>
      <c r="D2995" s="2803"/>
      <c r="E2995" s="2803"/>
      <c r="F2995" s="1621" t="s">
        <v>2555</v>
      </c>
      <c r="G2995" s="1622">
        <v>2.1000000000000001E-2</v>
      </c>
      <c r="H2995" s="1623">
        <v>1</v>
      </c>
      <c r="I2995" s="2045">
        <v>2.1000000000000001E-2</v>
      </c>
      <c r="J2995" s="1625"/>
      <c r="K2995" s="1622"/>
      <c r="L2995" s="1625"/>
      <c r="M2995" s="1622"/>
      <c r="N2995" s="1627"/>
      <c r="EW2995" s="2031"/>
      <c r="EX2995" s="1619"/>
      <c r="EY2995" s="1628" t="s">
        <v>8474</v>
      </c>
      <c r="EZ2995" s="1628" t="s">
        <v>588</v>
      </c>
      <c r="FA2995" s="1628" t="s">
        <v>588</v>
      </c>
      <c r="FH2995" s="1628"/>
      <c r="FU2995" s="1678"/>
      <c r="FW2995" s="1678"/>
    </row>
    <row r="2996" spans="1:180" s="1484" customFormat="1" ht="15" x14ac:dyDescent="0.25">
      <c r="A2996" s="1629"/>
      <c r="B2996" s="1862"/>
      <c r="C2996" s="2805" t="s">
        <v>8726</v>
      </c>
      <c r="D2996" s="2805"/>
      <c r="E2996" s="2805"/>
      <c r="F2996" s="2805"/>
      <c r="G2996" s="2805"/>
      <c r="H2996" s="2805"/>
      <c r="I2996" s="2805"/>
      <c r="J2996" s="2805"/>
      <c r="K2996" s="2805"/>
      <c r="L2996" s="2805"/>
      <c r="M2996" s="2805"/>
      <c r="N2996" s="2806"/>
      <c r="EW2996" s="2031"/>
      <c r="EX2996" s="1619"/>
      <c r="EY2996" s="1628"/>
      <c r="EZ2996" s="1628"/>
      <c r="FA2996" s="1628"/>
      <c r="FB2996" s="1864" t="s">
        <v>8726</v>
      </c>
      <c r="FH2996" s="1628"/>
      <c r="FU2996" s="1678"/>
      <c r="FW2996" s="1678"/>
    </row>
    <row r="2997" spans="1:180" s="1484" customFormat="1" ht="22.5" x14ac:dyDescent="0.25">
      <c r="A2997" s="1630"/>
      <c r="B2997" s="1631" t="s">
        <v>6062</v>
      </c>
      <c r="C2997" s="2809" t="s">
        <v>6063</v>
      </c>
      <c r="D2997" s="2809"/>
      <c r="E2997" s="2809"/>
      <c r="F2997" s="2809"/>
      <c r="G2997" s="2809"/>
      <c r="H2997" s="2809"/>
      <c r="I2997" s="2809"/>
      <c r="J2997" s="2809"/>
      <c r="K2997" s="2809"/>
      <c r="L2997" s="2809"/>
      <c r="M2997" s="2809"/>
      <c r="N2997" s="2810"/>
      <c r="EW2997" s="2031"/>
      <c r="EX2997" s="1619"/>
      <c r="EY2997" s="1628"/>
      <c r="EZ2997" s="1628"/>
      <c r="FA2997" s="1628"/>
      <c r="FC2997" s="1864" t="s">
        <v>6063</v>
      </c>
      <c r="FH2997" s="1628"/>
      <c r="FU2997" s="1678"/>
      <c r="FW2997" s="1678"/>
    </row>
    <row r="2998" spans="1:180" s="1484" customFormat="1" ht="22.5" x14ac:dyDescent="0.25">
      <c r="A2998" s="2033"/>
      <c r="B2998" s="1631" t="s">
        <v>3204</v>
      </c>
      <c r="C2998" s="2805" t="s">
        <v>8647</v>
      </c>
      <c r="D2998" s="2805"/>
      <c r="E2998" s="2805"/>
      <c r="F2998" s="1683" t="s">
        <v>807</v>
      </c>
      <c r="G2998" s="1655">
        <v>43.56</v>
      </c>
      <c r="H2998" s="1641"/>
      <c r="I2998" s="2042">
        <v>0.91476000000000002</v>
      </c>
      <c r="J2998" s="1654">
        <v>8.74</v>
      </c>
      <c r="K2998" s="1655">
        <v>1.25</v>
      </c>
      <c r="L2998" s="1654">
        <v>9.99</v>
      </c>
      <c r="M2998" s="1641"/>
      <c r="N2998" s="1681"/>
      <c r="EW2998" s="2031"/>
      <c r="EX2998" s="1619"/>
      <c r="EY2998" s="1628"/>
      <c r="EZ2998" s="1628"/>
      <c r="FA2998" s="1628"/>
      <c r="FD2998" s="1864" t="s">
        <v>8647</v>
      </c>
      <c r="FH2998" s="1628"/>
      <c r="FU2998" s="1678"/>
      <c r="FW2998" s="1678"/>
    </row>
    <row r="2999" spans="1:180" s="1484" customFormat="1" ht="22.5" x14ac:dyDescent="0.25">
      <c r="A2999" s="2033"/>
      <c r="B2999" s="1631" t="s">
        <v>5008</v>
      </c>
      <c r="C2999" s="2805" t="s">
        <v>5009</v>
      </c>
      <c r="D2999" s="2805"/>
      <c r="E2999" s="2805"/>
      <c r="F2999" s="1683" t="s">
        <v>4994</v>
      </c>
      <c r="G2999" s="1655">
        <v>0.02</v>
      </c>
      <c r="H2999" s="1641"/>
      <c r="I2999" s="2042">
        <v>4.2000000000000002E-4</v>
      </c>
      <c r="J2999" s="1654">
        <v>27.66</v>
      </c>
      <c r="K2999" s="1641"/>
      <c r="L2999" s="1654">
        <v>0.01</v>
      </c>
      <c r="M2999" s="1641"/>
      <c r="N2999" s="1681"/>
      <c r="EW2999" s="2031"/>
      <c r="EX2999" s="1619"/>
      <c r="EY2999" s="1628"/>
      <c r="EZ2999" s="1628"/>
      <c r="FA2999" s="1628"/>
      <c r="FD2999" s="1864" t="s">
        <v>5009</v>
      </c>
      <c r="FH2999" s="1628"/>
      <c r="FU2999" s="1678"/>
      <c r="FW2999" s="1678"/>
    </row>
    <row r="3000" spans="1:180" s="1484" customFormat="1" ht="15" x14ac:dyDescent="0.25">
      <c r="A3000" s="2033"/>
      <c r="B3000" s="1631" t="s">
        <v>821</v>
      </c>
      <c r="C3000" s="2805" t="s">
        <v>822</v>
      </c>
      <c r="D3000" s="2805"/>
      <c r="E3000" s="2805"/>
      <c r="F3000" s="1683" t="s">
        <v>4994</v>
      </c>
      <c r="G3000" s="1655">
        <v>0.15</v>
      </c>
      <c r="H3000" s="1641"/>
      <c r="I3000" s="2042">
        <v>3.15E-3</v>
      </c>
      <c r="J3000" s="1654">
        <v>65.709999999999994</v>
      </c>
      <c r="K3000" s="1641"/>
      <c r="L3000" s="1654">
        <v>0.21</v>
      </c>
      <c r="M3000" s="1641"/>
      <c r="N3000" s="1681"/>
      <c r="EW3000" s="2031"/>
      <c r="EX3000" s="1619"/>
      <c r="EY3000" s="1628"/>
      <c r="EZ3000" s="1628"/>
      <c r="FA3000" s="1628"/>
      <c r="FD3000" s="1864" t="s">
        <v>822</v>
      </c>
      <c r="FH3000" s="1628"/>
      <c r="FU3000" s="1678"/>
      <c r="FW3000" s="1678"/>
    </row>
    <row r="3001" spans="1:180" s="1484" customFormat="1" ht="22.5" x14ac:dyDescent="0.25">
      <c r="A3001" s="2033"/>
      <c r="B3001" s="1631" t="s">
        <v>4916</v>
      </c>
      <c r="C3001" s="2805" t="s">
        <v>4917</v>
      </c>
      <c r="D3001" s="2805"/>
      <c r="E3001" s="2805"/>
      <c r="F3001" s="1683" t="s">
        <v>130</v>
      </c>
      <c r="G3001" s="1655">
        <v>0.84</v>
      </c>
      <c r="H3001" s="1641"/>
      <c r="I3001" s="2042">
        <v>1.7639999999999999E-2</v>
      </c>
      <c r="J3001" s="1654">
        <v>72.319999999999993</v>
      </c>
      <c r="K3001" s="1641"/>
      <c r="L3001" s="1654">
        <v>1.28</v>
      </c>
      <c r="M3001" s="1641"/>
      <c r="N3001" s="1681"/>
      <c r="EW3001" s="2031"/>
      <c r="EX3001" s="1619"/>
      <c r="EY3001" s="1628"/>
      <c r="EZ3001" s="1628"/>
      <c r="FA3001" s="1628"/>
      <c r="FD3001" s="1864" t="s">
        <v>4917</v>
      </c>
      <c r="FH3001" s="1628"/>
      <c r="FU3001" s="1678"/>
      <c r="FW3001" s="1678"/>
    </row>
    <row r="3002" spans="1:180" s="1484" customFormat="1" ht="15" x14ac:dyDescent="0.25">
      <c r="A3002" s="2033"/>
      <c r="B3002" s="1631" t="s">
        <v>4922</v>
      </c>
      <c r="C3002" s="2805" t="s">
        <v>8707</v>
      </c>
      <c r="D3002" s="2805"/>
      <c r="E3002" s="2805"/>
      <c r="F3002" s="1683" t="s">
        <v>835</v>
      </c>
      <c r="G3002" s="1655">
        <v>0.31</v>
      </c>
      <c r="H3002" s="1641"/>
      <c r="I3002" s="2042">
        <v>6.5100000000000002E-3</v>
      </c>
      <c r="J3002" s="1654">
        <v>1.82</v>
      </c>
      <c r="K3002" s="1641"/>
      <c r="L3002" s="1654">
        <v>0.01</v>
      </c>
      <c r="M3002" s="1641"/>
      <c r="N3002" s="1681"/>
      <c r="EW3002" s="2031"/>
      <c r="EX3002" s="1619"/>
      <c r="EY3002" s="1628"/>
      <c r="EZ3002" s="1628"/>
      <c r="FA3002" s="1628"/>
      <c r="FD3002" s="1864" t="s">
        <v>8707</v>
      </c>
      <c r="FH3002" s="1628"/>
      <c r="FU3002" s="1678"/>
      <c r="FW3002" s="1678"/>
    </row>
    <row r="3003" spans="1:180" s="1484" customFormat="1" ht="15" x14ac:dyDescent="0.25">
      <c r="A3003" s="2033"/>
      <c r="B3003" s="1631" t="s">
        <v>4991</v>
      </c>
      <c r="C3003" s="2805" t="s">
        <v>4992</v>
      </c>
      <c r="D3003" s="2805"/>
      <c r="E3003" s="2805"/>
      <c r="F3003" s="1683" t="s">
        <v>801</v>
      </c>
      <c r="G3003" s="2046">
        <v>5.0999999999999997E-2</v>
      </c>
      <c r="H3003" s="1641"/>
      <c r="I3003" s="2043">
        <v>1.0709999999999999E-3</v>
      </c>
      <c r="J3003" s="1657">
        <v>11397.1</v>
      </c>
      <c r="K3003" s="1641"/>
      <c r="L3003" s="1654">
        <v>12.21</v>
      </c>
      <c r="M3003" s="1641"/>
      <c r="N3003" s="1681"/>
      <c r="EW3003" s="2031"/>
      <c r="EX3003" s="1619"/>
      <c r="EY3003" s="1628"/>
      <c r="EZ3003" s="1628"/>
      <c r="FA3003" s="1628"/>
      <c r="FD3003" s="1864" t="s">
        <v>4992</v>
      </c>
      <c r="FH3003" s="1628"/>
      <c r="FU3003" s="1678"/>
      <c r="FW3003" s="1678"/>
    </row>
    <row r="3004" spans="1:180" s="1484" customFormat="1" ht="15" x14ac:dyDescent="0.25">
      <c r="A3004" s="2032"/>
      <c r="B3004" s="1631" t="s">
        <v>190</v>
      </c>
      <c r="C3004" s="2805" t="s">
        <v>2523</v>
      </c>
      <c r="D3004" s="2805"/>
      <c r="E3004" s="2805"/>
      <c r="F3004" s="1683"/>
      <c r="G3004" s="1641"/>
      <c r="H3004" s="1641"/>
      <c r="I3004" s="1641"/>
      <c r="J3004" s="1654">
        <v>380.71</v>
      </c>
      <c r="K3004" s="1655">
        <v>1.25</v>
      </c>
      <c r="L3004" s="1654">
        <v>9.99</v>
      </c>
      <c r="M3004" s="1655">
        <v>35.75</v>
      </c>
      <c r="N3004" s="2039">
        <v>357.14</v>
      </c>
      <c r="EW3004" s="2031"/>
      <c r="EX3004" s="1619"/>
      <c r="EY3004" s="1628"/>
      <c r="EZ3004" s="1628"/>
      <c r="FA3004" s="1628"/>
      <c r="FE3004" s="1864" t="s">
        <v>2523</v>
      </c>
      <c r="FH3004" s="1628"/>
      <c r="FU3004" s="1678"/>
      <c r="FW3004" s="1678"/>
    </row>
    <row r="3005" spans="1:180" s="1484" customFormat="1" ht="15" x14ac:dyDescent="0.25">
      <c r="A3005" s="2032"/>
      <c r="B3005" s="1631" t="s">
        <v>639</v>
      </c>
      <c r="C3005" s="2805" t="s">
        <v>697</v>
      </c>
      <c r="D3005" s="2805"/>
      <c r="E3005" s="2805"/>
      <c r="F3005" s="1683"/>
      <c r="G3005" s="1641"/>
      <c r="H3005" s="1641"/>
      <c r="I3005" s="1641"/>
      <c r="J3005" s="1654">
        <v>10.41</v>
      </c>
      <c r="K3005" s="1641"/>
      <c r="L3005" s="1654">
        <v>0.22</v>
      </c>
      <c r="M3005" s="1655">
        <v>11.97</v>
      </c>
      <c r="N3005" s="2039">
        <v>2.63</v>
      </c>
      <c r="EW3005" s="2031"/>
      <c r="EX3005" s="1619"/>
      <c r="EY3005" s="1628"/>
      <c r="EZ3005" s="1628"/>
      <c r="FA3005" s="1628"/>
      <c r="FE3005" s="1864" t="s">
        <v>697</v>
      </c>
      <c r="FH3005" s="1628"/>
      <c r="FU3005" s="1678"/>
      <c r="FW3005" s="1678"/>
    </row>
    <row r="3006" spans="1:180" s="1484" customFormat="1" ht="15" x14ac:dyDescent="0.25">
      <c r="A3006" s="2032"/>
      <c r="B3006" s="1631" t="s">
        <v>640</v>
      </c>
      <c r="C3006" s="2805" t="s">
        <v>2500</v>
      </c>
      <c r="D3006" s="2805"/>
      <c r="E3006" s="2805"/>
      <c r="F3006" s="1683"/>
      <c r="G3006" s="1641"/>
      <c r="H3006" s="1641"/>
      <c r="I3006" s="1641"/>
      <c r="J3006" s="1654">
        <v>1.97</v>
      </c>
      <c r="K3006" s="1641"/>
      <c r="L3006" s="1654">
        <v>0.04</v>
      </c>
      <c r="M3006" s="1655">
        <v>35.75</v>
      </c>
      <c r="N3006" s="2039">
        <v>1.43</v>
      </c>
      <c r="EW3006" s="2031"/>
      <c r="EX3006" s="1619"/>
      <c r="EY3006" s="1628"/>
      <c r="EZ3006" s="1628"/>
      <c r="FA3006" s="1628"/>
      <c r="FE3006" s="1864" t="s">
        <v>2500</v>
      </c>
      <c r="FH3006" s="1628"/>
      <c r="FU3006" s="1678"/>
      <c r="FW3006" s="1678"/>
    </row>
    <row r="3007" spans="1:180" s="1484" customFormat="1" ht="15" x14ac:dyDescent="0.25">
      <c r="A3007" s="2032"/>
      <c r="B3007" s="1631" t="s">
        <v>232</v>
      </c>
      <c r="C3007" s="2805" t="s">
        <v>829</v>
      </c>
      <c r="D3007" s="2805"/>
      <c r="E3007" s="2805"/>
      <c r="F3007" s="1683"/>
      <c r="G3007" s="1641"/>
      <c r="H3007" s="1641"/>
      <c r="I3007" s="1641"/>
      <c r="J3007" s="1654">
        <v>642.55999999999995</v>
      </c>
      <c r="K3007" s="1641"/>
      <c r="L3007" s="1654">
        <v>13.49</v>
      </c>
      <c r="M3007" s="1655">
        <v>9.14</v>
      </c>
      <c r="N3007" s="2039">
        <v>123.3</v>
      </c>
      <c r="EW3007" s="2031"/>
      <c r="EX3007" s="1619"/>
      <c r="EY3007" s="1628"/>
      <c r="EZ3007" s="1628"/>
      <c r="FA3007" s="1628"/>
      <c r="FE3007" s="1864" t="s">
        <v>829</v>
      </c>
      <c r="FH3007" s="1628"/>
      <c r="FU3007" s="1678"/>
      <c r="FW3007" s="1678"/>
    </row>
    <row r="3008" spans="1:180" s="1484" customFormat="1" ht="15" x14ac:dyDescent="0.25">
      <c r="A3008" s="2033"/>
      <c r="B3008" s="1631"/>
      <c r="C3008" s="2805" t="s">
        <v>2524</v>
      </c>
      <c r="D3008" s="2805"/>
      <c r="E3008" s="2805"/>
      <c r="F3008" s="1683" t="s">
        <v>807</v>
      </c>
      <c r="G3008" s="1655">
        <v>43.56</v>
      </c>
      <c r="H3008" s="1641"/>
      <c r="I3008" s="2042">
        <v>0.91476000000000002</v>
      </c>
      <c r="J3008" s="1640"/>
      <c r="K3008" s="1641"/>
      <c r="L3008" s="1640"/>
      <c r="M3008" s="1641"/>
      <c r="N3008" s="1681"/>
      <c r="EW3008" s="2031"/>
      <c r="EX3008" s="1619"/>
      <c r="EY3008" s="1628"/>
      <c r="EZ3008" s="1628"/>
      <c r="FA3008" s="1628"/>
      <c r="FF3008" s="1864" t="s">
        <v>2524</v>
      </c>
      <c r="FH3008" s="1628"/>
      <c r="FU3008" s="1678"/>
      <c r="FW3008" s="1678"/>
    </row>
    <row r="3009" spans="1:179" s="1484" customFormat="1" ht="15" x14ac:dyDescent="0.25">
      <c r="A3009" s="2033"/>
      <c r="B3009" s="1631"/>
      <c r="C3009" s="2805" t="s">
        <v>2501</v>
      </c>
      <c r="D3009" s="2805"/>
      <c r="E3009" s="2805"/>
      <c r="F3009" s="1683" t="s">
        <v>807</v>
      </c>
      <c r="G3009" s="1655">
        <v>0.17</v>
      </c>
      <c r="H3009" s="1641"/>
      <c r="I3009" s="2042">
        <v>3.5699999999999998E-3</v>
      </c>
      <c r="J3009" s="1640"/>
      <c r="K3009" s="1641"/>
      <c r="L3009" s="1640"/>
      <c r="M3009" s="1641"/>
      <c r="N3009" s="1681"/>
      <c r="EW3009" s="2031"/>
      <c r="EX3009" s="1619"/>
      <c r="EY3009" s="1628"/>
      <c r="EZ3009" s="1628"/>
      <c r="FA3009" s="1628"/>
      <c r="FF3009" s="1864" t="s">
        <v>2501</v>
      </c>
      <c r="FH3009" s="1628"/>
      <c r="FU3009" s="1678"/>
      <c r="FW3009" s="1678"/>
    </row>
    <row r="3010" spans="1:179" s="1484" customFormat="1" ht="15" x14ac:dyDescent="0.25">
      <c r="A3010" s="2032"/>
      <c r="B3010" s="1631"/>
      <c r="C3010" s="2917" t="s">
        <v>2502</v>
      </c>
      <c r="D3010" s="2917"/>
      <c r="E3010" s="2917"/>
      <c r="F3010" s="2036"/>
      <c r="G3010" s="2037"/>
      <c r="H3010" s="2037"/>
      <c r="I3010" s="2037"/>
      <c r="J3010" s="2038">
        <v>1033.68</v>
      </c>
      <c r="K3010" s="2037"/>
      <c r="L3010" s="2044">
        <v>23.7</v>
      </c>
      <c r="M3010" s="2037"/>
      <c r="N3010" s="2070">
        <v>483.07</v>
      </c>
      <c r="EW3010" s="2031"/>
      <c r="EX3010" s="1619"/>
      <c r="EY3010" s="1628"/>
      <c r="EZ3010" s="1628"/>
      <c r="FA3010" s="1628"/>
      <c r="FG3010" s="1864" t="s">
        <v>2502</v>
      </c>
      <c r="FH3010" s="1628"/>
      <c r="FU3010" s="1678"/>
      <c r="FW3010" s="1678"/>
    </row>
    <row r="3011" spans="1:179" s="1484" customFormat="1" ht="15" x14ac:dyDescent="0.25">
      <c r="A3011" s="2033" t="s">
        <v>8475</v>
      </c>
      <c r="B3011" s="1631"/>
      <c r="C3011" s="2805" t="s">
        <v>7964</v>
      </c>
      <c r="D3011" s="2805"/>
      <c r="E3011" s="2805"/>
      <c r="F3011" s="1683" t="s">
        <v>5928</v>
      </c>
      <c r="G3011" s="1641"/>
      <c r="H3011" s="1641"/>
      <c r="I3011" s="1641"/>
      <c r="J3011" s="1640"/>
      <c r="K3011" s="1641"/>
      <c r="L3011" s="1654">
        <v>0.01</v>
      </c>
      <c r="M3011" s="1641"/>
      <c r="N3011" s="2039">
        <v>0.36</v>
      </c>
      <c r="EW3011" s="2031"/>
      <c r="EX3011" s="1619"/>
      <c r="EY3011" s="1628"/>
      <c r="EZ3011" s="1628"/>
      <c r="FA3011" s="1628"/>
      <c r="FF3011" s="1864" t="s">
        <v>7964</v>
      </c>
      <c r="FH3011" s="1628"/>
      <c r="FU3011" s="1678"/>
      <c r="FW3011" s="1678"/>
    </row>
    <row r="3012" spans="1:179" s="1484" customFormat="1" ht="15" x14ac:dyDescent="0.25">
      <c r="A3012" s="2033"/>
      <c r="B3012" s="1631"/>
      <c r="C3012" s="2805" t="s">
        <v>7965</v>
      </c>
      <c r="D3012" s="2805"/>
      <c r="E3012" s="2805"/>
      <c r="F3012" s="1683" t="s">
        <v>5928</v>
      </c>
      <c r="G3012" s="1641"/>
      <c r="H3012" s="1641"/>
      <c r="I3012" s="1641"/>
      <c r="J3012" s="1654">
        <v>1.97</v>
      </c>
      <c r="K3012" s="1655">
        <v>0.25</v>
      </c>
      <c r="L3012" s="1654">
        <v>0.01</v>
      </c>
      <c r="M3012" s="1655">
        <v>35.75</v>
      </c>
      <c r="N3012" s="2039">
        <v>0.36</v>
      </c>
      <c r="EW3012" s="2031"/>
      <c r="EX3012" s="1619"/>
      <c r="EY3012" s="1628"/>
      <c r="EZ3012" s="1628"/>
      <c r="FA3012" s="1628"/>
      <c r="FF3012" s="1864" t="s">
        <v>7965</v>
      </c>
      <c r="FH3012" s="1628"/>
      <c r="FU3012" s="1678"/>
      <c r="FW3012" s="1678"/>
    </row>
    <row r="3013" spans="1:179" s="1484" customFormat="1" ht="15" x14ac:dyDescent="0.25">
      <c r="A3013" s="2033"/>
      <c r="B3013" s="1631"/>
      <c r="C3013" s="2805" t="s">
        <v>867</v>
      </c>
      <c r="D3013" s="2805"/>
      <c r="E3013" s="2805"/>
      <c r="F3013" s="1683"/>
      <c r="G3013" s="1641"/>
      <c r="H3013" s="1641"/>
      <c r="I3013" s="1641"/>
      <c r="J3013" s="1640"/>
      <c r="K3013" s="1641"/>
      <c r="L3013" s="1654">
        <v>10.039999999999999</v>
      </c>
      <c r="M3013" s="1641"/>
      <c r="N3013" s="2039">
        <v>358.93</v>
      </c>
      <c r="EW3013" s="2031"/>
      <c r="EX3013" s="1619"/>
      <c r="EY3013" s="1628"/>
      <c r="EZ3013" s="1628"/>
      <c r="FA3013" s="1628"/>
      <c r="FF3013" s="1864" t="s">
        <v>867</v>
      </c>
      <c r="FH3013" s="1628"/>
      <c r="FU3013" s="1678"/>
      <c r="FW3013" s="1678"/>
    </row>
    <row r="3014" spans="1:179" s="1484" customFormat="1" ht="15" x14ac:dyDescent="0.25">
      <c r="A3014" s="2033"/>
      <c r="B3014" s="1631" t="s">
        <v>7966</v>
      </c>
      <c r="C3014" s="2805" t="s">
        <v>7967</v>
      </c>
      <c r="D3014" s="2805"/>
      <c r="E3014" s="2805"/>
      <c r="F3014" s="1683" t="s">
        <v>636</v>
      </c>
      <c r="G3014" s="2034">
        <v>100</v>
      </c>
      <c r="H3014" s="1641"/>
      <c r="I3014" s="2034">
        <v>100</v>
      </c>
      <c r="J3014" s="1640"/>
      <c r="K3014" s="1641"/>
      <c r="L3014" s="1654">
        <v>10.039999999999999</v>
      </c>
      <c r="M3014" s="1641"/>
      <c r="N3014" s="2039">
        <v>358.93</v>
      </c>
      <c r="EW3014" s="2031"/>
      <c r="EX3014" s="1619"/>
      <c r="EY3014" s="1628"/>
      <c r="EZ3014" s="1628"/>
      <c r="FA3014" s="1628"/>
      <c r="FF3014" s="1864" t="s">
        <v>7967</v>
      </c>
      <c r="FH3014" s="1628"/>
      <c r="FU3014" s="1678"/>
      <c r="FW3014" s="1678"/>
    </row>
    <row r="3015" spans="1:179" s="1484" customFormat="1" ht="15" x14ac:dyDescent="0.25">
      <c r="A3015" s="2033"/>
      <c r="B3015" s="1631" t="s">
        <v>7968</v>
      </c>
      <c r="C3015" s="2805" t="s">
        <v>7969</v>
      </c>
      <c r="D3015" s="2805"/>
      <c r="E3015" s="2805"/>
      <c r="F3015" s="1683" t="s">
        <v>636</v>
      </c>
      <c r="G3015" s="2034">
        <v>49</v>
      </c>
      <c r="H3015" s="1641"/>
      <c r="I3015" s="2034">
        <v>49</v>
      </c>
      <c r="J3015" s="1640"/>
      <c r="K3015" s="1641"/>
      <c r="L3015" s="1654">
        <v>4.92</v>
      </c>
      <c r="M3015" s="1641"/>
      <c r="N3015" s="2039">
        <v>175.88</v>
      </c>
      <c r="EW3015" s="2031"/>
      <c r="EX3015" s="1619"/>
      <c r="EY3015" s="1628"/>
      <c r="EZ3015" s="1628"/>
      <c r="FA3015" s="1628"/>
      <c r="FF3015" s="1864" t="s">
        <v>7969</v>
      </c>
      <c r="FH3015" s="1628"/>
      <c r="FU3015" s="1678"/>
      <c r="FW3015" s="1678"/>
    </row>
    <row r="3016" spans="1:179" s="1484" customFormat="1" ht="15" x14ac:dyDescent="0.25">
      <c r="A3016" s="1650"/>
      <c r="B3016" s="1651"/>
      <c r="C3016" s="2803" t="s">
        <v>872</v>
      </c>
      <c r="D3016" s="2803"/>
      <c r="E3016" s="2803"/>
      <c r="F3016" s="1621"/>
      <c r="G3016" s="1622"/>
      <c r="H3016" s="1622"/>
      <c r="I3016" s="1622"/>
      <c r="J3016" s="1625"/>
      <c r="K3016" s="1622"/>
      <c r="L3016" s="2040">
        <v>38.67</v>
      </c>
      <c r="M3016" s="2037"/>
      <c r="N3016" s="1649">
        <v>1018.24</v>
      </c>
      <c r="EW3016" s="2031"/>
      <c r="EX3016" s="1619"/>
      <c r="EY3016" s="1628"/>
      <c r="EZ3016" s="1628"/>
      <c r="FA3016" s="1628"/>
      <c r="FH3016" s="1628" t="s">
        <v>872</v>
      </c>
      <c r="FU3016" s="1678"/>
      <c r="FW3016" s="1678"/>
    </row>
    <row r="3017" spans="1:179" s="1484" customFormat="1" ht="15" x14ac:dyDescent="0.25">
      <c r="A3017" s="1620" t="s">
        <v>8476</v>
      </c>
      <c r="B3017" s="1863" t="s">
        <v>8444</v>
      </c>
      <c r="C3017" s="2803" t="s">
        <v>8445</v>
      </c>
      <c r="D3017" s="2803"/>
      <c r="E3017" s="2803"/>
      <c r="F3017" s="1621" t="s">
        <v>4868</v>
      </c>
      <c r="G3017" s="1622">
        <v>0.21</v>
      </c>
      <c r="H3017" s="1623">
        <v>1</v>
      </c>
      <c r="I3017" s="1687">
        <v>0.21</v>
      </c>
      <c r="J3017" s="2040">
        <v>9.14</v>
      </c>
      <c r="K3017" s="1622"/>
      <c r="L3017" s="2040">
        <v>1.92</v>
      </c>
      <c r="M3017" s="1687">
        <v>9.14</v>
      </c>
      <c r="N3017" s="2069">
        <v>17.55</v>
      </c>
      <c r="EW3017" s="2031"/>
      <c r="EX3017" s="1619"/>
      <c r="EY3017" s="1628" t="s">
        <v>8445</v>
      </c>
      <c r="EZ3017" s="1628" t="s">
        <v>588</v>
      </c>
      <c r="FA3017" s="1628" t="s">
        <v>588</v>
      </c>
      <c r="FH3017" s="1628"/>
      <c r="FU3017" s="1678"/>
      <c r="FW3017" s="1678"/>
    </row>
    <row r="3018" spans="1:179" s="1484" customFormat="1" ht="15" x14ac:dyDescent="0.25">
      <c r="A3018" s="1650"/>
      <c r="B3018" s="1651"/>
      <c r="C3018" s="2805" t="s">
        <v>8640</v>
      </c>
      <c r="D3018" s="2805"/>
      <c r="E3018" s="2805"/>
      <c r="F3018" s="2805"/>
      <c r="G3018" s="2805"/>
      <c r="H3018" s="2805"/>
      <c r="I3018" s="2805"/>
      <c r="J3018" s="2805"/>
      <c r="K3018" s="2805"/>
      <c r="L3018" s="2805"/>
      <c r="M3018" s="2805"/>
      <c r="N3018" s="2806"/>
      <c r="EW3018" s="2031"/>
      <c r="EX3018" s="1619"/>
      <c r="EY3018" s="1628"/>
      <c r="EZ3018" s="1628"/>
      <c r="FA3018" s="1628"/>
      <c r="FH3018" s="1628"/>
      <c r="FI3018" s="1864" t="s">
        <v>8640</v>
      </c>
      <c r="FJ3018" s="1864" t="s">
        <v>588</v>
      </c>
      <c r="FK3018" s="1864" t="s">
        <v>588</v>
      </c>
      <c r="FL3018" s="1864" t="s">
        <v>588</v>
      </c>
      <c r="FM3018" s="1864" t="s">
        <v>588</v>
      </c>
      <c r="FN3018" s="1864" t="s">
        <v>588</v>
      </c>
      <c r="FO3018" s="1864" t="s">
        <v>588</v>
      </c>
      <c r="FP3018" s="1864" t="s">
        <v>588</v>
      </c>
      <c r="FQ3018" s="1864" t="s">
        <v>588</v>
      </c>
      <c r="FR3018" s="1864" t="s">
        <v>588</v>
      </c>
      <c r="FS3018" s="1864" t="s">
        <v>588</v>
      </c>
      <c r="FT3018" s="1864" t="s">
        <v>588</v>
      </c>
      <c r="FU3018" s="1678"/>
      <c r="FW3018" s="1678"/>
    </row>
    <row r="3019" spans="1:179" s="1484" customFormat="1" ht="15" x14ac:dyDescent="0.25">
      <c r="A3019" s="1629"/>
      <c r="B3019" s="1862"/>
      <c r="C3019" s="2805" t="s">
        <v>8725</v>
      </c>
      <c r="D3019" s="2805"/>
      <c r="E3019" s="2805"/>
      <c r="F3019" s="2805"/>
      <c r="G3019" s="2805"/>
      <c r="H3019" s="2805"/>
      <c r="I3019" s="2805"/>
      <c r="J3019" s="2805"/>
      <c r="K3019" s="2805"/>
      <c r="L3019" s="2805"/>
      <c r="M3019" s="2805"/>
      <c r="N3019" s="2806"/>
      <c r="EW3019" s="2031"/>
      <c r="EX3019" s="1619"/>
      <c r="EY3019" s="1628"/>
      <c r="EZ3019" s="1628"/>
      <c r="FA3019" s="1628"/>
      <c r="FB3019" s="1864" t="s">
        <v>8725</v>
      </c>
      <c r="FH3019" s="1628"/>
      <c r="FU3019" s="1678"/>
      <c r="FW3019" s="1678"/>
    </row>
    <row r="3020" spans="1:179" s="1484" customFormat="1" ht="15" x14ac:dyDescent="0.25">
      <c r="A3020" s="1650"/>
      <c r="B3020" s="1651"/>
      <c r="C3020" s="2803" t="s">
        <v>872</v>
      </c>
      <c r="D3020" s="2803"/>
      <c r="E3020" s="2803"/>
      <c r="F3020" s="1621"/>
      <c r="G3020" s="1622"/>
      <c r="H3020" s="1622"/>
      <c r="I3020" s="1622"/>
      <c r="J3020" s="1625"/>
      <c r="K3020" s="1622"/>
      <c r="L3020" s="2040">
        <v>1.92</v>
      </c>
      <c r="M3020" s="2037"/>
      <c r="N3020" s="2069">
        <v>17.55</v>
      </c>
      <c r="EW3020" s="2031"/>
      <c r="EX3020" s="1619"/>
      <c r="EY3020" s="1628"/>
      <c r="EZ3020" s="1628"/>
      <c r="FA3020" s="1628"/>
      <c r="FH3020" s="1628" t="s">
        <v>872</v>
      </c>
      <c r="FU3020" s="1678"/>
      <c r="FW3020" s="1678"/>
    </row>
    <row r="3021" spans="1:179" s="1484" customFormat="1" ht="22.5" x14ac:dyDescent="0.25">
      <c r="A3021" s="1620" t="s">
        <v>8477</v>
      </c>
      <c r="B3021" s="1863" t="s">
        <v>8447</v>
      </c>
      <c r="C3021" s="2803" t="s">
        <v>8448</v>
      </c>
      <c r="D3021" s="2803"/>
      <c r="E3021" s="2803"/>
      <c r="F3021" s="1621" t="s">
        <v>835</v>
      </c>
      <c r="G3021" s="1622">
        <v>0.63</v>
      </c>
      <c r="H3021" s="1623">
        <v>1</v>
      </c>
      <c r="I3021" s="1687">
        <v>0.63</v>
      </c>
      <c r="J3021" s="2040">
        <v>83.23</v>
      </c>
      <c r="K3021" s="1622"/>
      <c r="L3021" s="2040">
        <v>52.43</v>
      </c>
      <c r="M3021" s="1687">
        <v>9.14</v>
      </c>
      <c r="N3021" s="2069">
        <v>479.21</v>
      </c>
      <c r="EW3021" s="2031"/>
      <c r="EX3021" s="1619"/>
      <c r="EY3021" s="1628" t="s">
        <v>8448</v>
      </c>
      <c r="EZ3021" s="1628" t="s">
        <v>588</v>
      </c>
      <c r="FA3021" s="1628" t="s">
        <v>588</v>
      </c>
      <c r="FH3021" s="1628"/>
      <c r="FU3021" s="1678"/>
      <c r="FW3021" s="1678"/>
    </row>
    <row r="3022" spans="1:179" s="1484" customFormat="1" ht="15" x14ac:dyDescent="0.25">
      <c r="A3022" s="1650"/>
      <c r="B3022" s="1651"/>
      <c r="C3022" s="2805" t="s">
        <v>8640</v>
      </c>
      <c r="D3022" s="2805"/>
      <c r="E3022" s="2805"/>
      <c r="F3022" s="2805"/>
      <c r="G3022" s="2805"/>
      <c r="H3022" s="2805"/>
      <c r="I3022" s="2805"/>
      <c r="J3022" s="2805"/>
      <c r="K3022" s="2805"/>
      <c r="L3022" s="2805"/>
      <c r="M3022" s="2805"/>
      <c r="N3022" s="2806"/>
      <c r="EW3022" s="2031"/>
      <c r="EX3022" s="1619"/>
      <c r="EY3022" s="1628"/>
      <c r="EZ3022" s="1628"/>
      <c r="FA3022" s="1628"/>
      <c r="FH3022" s="1628"/>
      <c r="FI3022" s="1864" t="s">
        <v>8640</v>
      </c>
      <c r="FJ3022" s="1864" t="s">
        <v>588</v>
      </c>
      <c r="FK3022" s="1864" t="s">
        <v>588</v>
      </c>
      <c r="FL3022" s="1864" t="s">
        <v>588</v>
      </c>
      <c r="FM3022" s="1864" t="s">
        <v>588</v>
      </c>
      <c r="FN3022" s="1864" t="s">
        <v>588</v>
      </c>
      <c r="FO3022" s="1864" t="s">
        <v>588</v>
      </c>
      <c r="FP3022" s="1864" t="s">
        <v>588</v>
      </c>
      <c r="FQ3022" s="1864" t="s">
        <v>588</v>
      </c>
      <c r="FR3022" s="1864" t="s">
        <v>588</v>
      </c>
      <c r="FS3022" s="1864" t="s">
        <v>588</v>
      </c>
      <c r="FT3022" s="1864" t="s">
        <v>588</v>
      </c>
      <c r="FU3022" s="1678"/>
      <c r="FW3022" s="1678"/>
    </row>
    <row r="3023" spans="1:179" s="1484" customFormat="1" ht="15" x14ac:dyDescent="0.25">
      <c r="A3023" s="1629"/>
      <c r="B3023" s="1862"/>
      <c r="C3023" s="2805" t="s">
        <v>8724</v>
      </c>
      <c r="D3023" s="2805"/>
      <c r="E3023" s="2805"/>
      <c r="F3023" s="2805"/>
      <c r="G3023" s="2805"/>
      <c r="H3023" s="2805"/>
      <c r="I3023" s="2805"/>
      <c r="J3023" s="2805"/>
      <c r="K3023" s="2805"/>
      <c r="L3023" s="2805"/>
      <c r="M3023" s="2805"/>
      <c r="N3023" s="2806"/>
      <c r="EW3023" s="2031"/>
      <c r="EX3023" s="1619"/>
      <c r="EY3023" s="1628"/>
      <c r="EZ3023" s="1628"/>
      <c r="FA3023" s="1628"/>
      <c r="FB3023" s="1864" t="s">
        <v>8724</v>
      </c>
      <c r="FH3023" s="1628"/>
      <c r="FU3023" s="1678"/>
      <c r="FW3023" s="1678"/>
    </row>
    <row r="3024" spans="1:179" s="1484" customFormat="1" ht="15" x14ac:dyDescent="0.25">
      <c r="A3024" s="1650"/>
      <c r="B3024" s="1651"/>
      <c r="C3024" s="2803" t="s">
        <v>872</v>
      </c>
      <c r="D3024" s="2803"/>
      <c r="E3024" s="2803"/>
      <c r="F3024" s="1621"/>
      <c r="G3024" s="1622"/>
      <c r="H3024" s="1622"/>
      <c r="I3024" s="1622"/>
      <c r="J3024" s="1625"/>
      <c r="K3024" s="1622"/>
      <c r="L3024" s="2040">
        <v>52.43</v>
      </c>
      <c r="M3024" s="2037"/>
      <c r="N3024" s="2069">
        <v>479.21</v>
      </c>
      <c r="EW3024" s="2031"/>
      <c r="EX3024" s="1619"/>
      <c r="EY3024" s="1628"/>
      <c r="EZ3024" s="1628"/>
      <c r="FA3024" s="1628"/>
      <c r="FH3024" s="1628" t="s">
        <v>872</v>
      </c>
      <c r="FU3024" s="1678"/>
      <c r="FW3024" s="1678"/>
    </row>
    <row r="3025" spans="1:179" s="1484" customFormat="1" ht="22.5" x14ac:dyDescent="0.25">
      <c r="A3025" s="1620" t="s">
        <v>8478</v>
      </c>
      <c r="B3025" s="1863" t="s">
        <v>8479</v>
      </c>
      <c r="C3025" s="2803" t="s">
        <v>8480</v>
      </c>
      <c r="D3025" s="2803"/>
      <c r="E3025" s="2803"/>
      <c r="F3025" s="1621" t="s">
        <v>2555</v>
      </c>
      <c r="G3025" s="1622">
        <v>84.236000000000004</v>
      </c>
      <c r="H3025" s="1623">
        <v>1</v>
      </c>
      <c r="I3025" s="2045">
        <v>84.236000000000004</v>
      </c>
      <c r="J3025" s="1625"/>
      <c r="K3025" s="1622"/>
      <c r="L3025" s="1625"/>
      <c r="M3025" s="1622"/>
      <c r="N3025" s="1627"/>
      <c r="EW3025" s="2031"/>
      <c r="EX3025" s="1619"/>
      <c r="EY3025" s="1628" t="s">
        <v>8480</v>
      </c>
      <c r="EZ3025" s="1628" t="s">
        <v>588</v>
      </c>
      <c r="FA3025" s="1628" t="s">
        <v>588</v>
      </c>
      <c r="FH3025" s="1628"/>
      <c r="FU3025" s="1678"/>
      <c r="FW3025" s="1678"/>
    </row>
    <row r="3026" spans="1:179" s="1484" customFormat="1" ht="15" x14ac:dyDescent="0.25">
      <c r="A3026" s="1629"/>
      <c r="B3026" s="1862"/>
      <c r="C3026" s="2805" t="s">
        <v>8723</v>
      </c>
      <c r="D3026" s="2805"/>
      <c r="E3026" s="2805"/>
      <c r="F3026" s="2805"/>
      <c r="G3026" s="2805"/>
      <c r="H3026" s="2805"/>
      <c r="I3026" s="2805"/>
      <c r="J3026" s="2805"/>
      <c r="K3026" s="2805"/>
      <c r="L3026" s="2805"/>
      <c r="M3026" s="2805"/>
      <c r="N3026" s="2806"/>
      <c r="EW3026" s="2031"/>
      <c r="EX3026" s="1619"/>
      <c r="EY3026" s="1628"/>
      <c r="EZ3026" s="1628"/>
      <c r="FA3026" s="1628"/>
      <c r="FB3026" s="1864" t="s">
        <v>8723</v>
      </c>
      <c r="FH3026" s="1628"/>
      <c r="FU3026" s="1678"/>
      <c r="FW3026" s="1678"/>
    </row>
    <row r="3027" spans="1:179" s="1484" customFormat="1" ht="22.5" x14ac:dyDescent="0.25">
      <c r="A3027" s="1630"/>
      <c r="B3027" s="1631" t="s">
        <v>6062</v>
      </c>
      <c r="C3027" s="2809" t="s">
        <v>6063</v>
      </c>
      <c r="D3027" s="2809"/>
      <c r="E3027" s="2809"/>
      <c r="F3027" s="2809"/>
      <c r="G3027" s="2809"/>
      <c r="H3027" s="2809"/>
      <c r="I3027" s="2809"/>
      <c r="J3027" s="2809"/>
      <c r="K3027" s="2809"/>
      <c r="L3027" s="2809"/>
      <c r="M3027" s="2809"/>
      <c r="N3027" s="2810"/>
      <c r="EW3027" s="2031"/>
      <c r="EX3027" s="1619"/>
      <c r="EY3027" s="1628"/>
      <c r="EZ3027" s="1628"/>
      <c r="FA3027" s="1628"/>
      <c r="FC3027" s="1864" t="s">
        <v>6063</v>
      </c>
      <c r="FH3027" s="1628"/>
      <c r="FU3027" s="1678"/>
      <c r="FW3027" s="1678"/>
    </row>
    <row r="3028" spans="1:179" s="1484" customFormat="1" ht="22.5" x14ac:dyDescent="0.25">
      <c r="A3028" s="2033"/>
      <c r="B3028" s="1631" t="s">
        <v>1883</v>
      </c>
      <c r="C3028" s="2805" t="s">
        <v>8708</v>
      </c>
      <c r="D3028" s="2805"/>
      <c r="E3028" s="2805"/>
      <c r="F3028" s="1683" t="s">
        <v>807</v>
      </c>
      <c r="G3028" s="1655">
        <v>4.6500000000000004</v>
      </c>
      <c r="H3028" s="1641"/>
      <c r="I3028" s="2035">
        <v>391.69740000000002</v>
      </c>
      <c r="J3028" s="1654">
        <v>9.6199999999999992</v>
      </c>
      <c r="K3028" s="1655">
        <v>1.25</v>
      </c>
      <c r="L3028" s="1657">
        <v>4710.16</v>
      </c>
      <c r="M3028" s="1641"/>
      <c r="N3028" s="1681"/>
      <c r="EW3028" s="2031"/>
      <c r="EX3028" s="1619"/>
      <c r="EY3028" s="1628"/>
      <c r="EZ3028" s="1628"/>
      <c r="FA3028" s="1628"/>
      <c r="FD3028" s="1864" t="s">
        <v>8708</v>
      </c>
      <c r="FH3028" s="1628"/>
      <c r="FU3028" s="1678"/>
      <c r="FW3028" s="1678"/>
    </row>
    <row r="3029" spans="1:179" s="1484" customFormat="1" ht="22.5" x14ac:dyDescent="0.25">
      <c r="A3029" s="2033"/>
      <c r="B3029" s="1631" t="s">
        <v>5010</v>
      </c>
      <c r="C3029" s="2805" t="s">
        <v>5011</v>
      </c>
      <c r="D3029" s="2805"/>
      <c r="E3029" s="2805"/>
      <c r="F3029" s="1683" t="s">
        <v>4994</v>
      </c>
      <c r="G3029" s="1655">
        <v>0.01</v>
      </c>
      <c r="H3029" s="1641"/>
      <c r="I3029" s="2042">
        <v>0.84236</v>
      </c>
      <c r="J3029" s="1654">
        <v>31.26</v>
      </c>
      <c r="K3029" s="1641"/>
      <c r="L3029" s="1654">
        <v>26.33</v>
      </c>
      <c r="M3029" s="1641"/>
      <c r="N3029" s="1681"/>
      <c r="EW3029" s="2031"/>
      <c r="EX3029" s="1619"/>
      <c r="EY3029" s="1628"/>
      <c r="EZ3029" s="1628"/>
      <c r="FA3029" s="1628"/>
      <c r="FD3029" s="1864" t="s">
        <v>5011</v>
      </c>
      <c r="FH3029" s="1628"/>
      <c r="FU3029" s="1678"/>
      <c r="FW3029" s="1678"/>
    </row>
    <row r="3030" spans="1:179" s="1484" customFormat="1" ht="15" x14ac:dyDescent="0.25">
      <c r="A3030" s="2033"/>
      <c r="B3030" s="1631" t="s">
        <v>821</v>
      </c>
      <c r="C3030" s="2805" t="s">
        <v>822</v>
      </c>
      <c r="D3030" s="2805"/>
      <c r="E3030" s="2805"/>
      <c r="F3030" s="1683" t="s">
        <v>4994</v>
      </c>
      <c r="G3030" s="1655">
        <v>0.01</v>
      </c>
      <c r="H3030" s="1641"/>
      <c r="I3030" s="2042">
        <v>0.84236</v>
      </c>
      <c r="J3030" s="1654">
        <v>65.709999999999994</v>
      </c>
      <c r="K3030" s="1641"/>
      <c r="L3030" s="1654">
        <v>55.35</v>
      </c>
      <c r="M3030" s="1641"/>
      <c r="N3030" s="1681"/>
      <c r="EW3030" s="2031"/>
      <c r="EX3030" s="1619"/>
      <c r="EY3030" s="1628"/>
      <c r="EZ3030" s="1628"/>
      <c r="FA3030" s="1628"/>
      <c r="FD3030" s="1864" t="s">
        <v>822</v>
      </c>
      <c r="FH3030" s="1628"/>
      <c r="FU3030" s="1678"/>
      <c r="FW3030" s="1678"/>
    </row>
    <row r="3031" spans="1:179" s="1484" customFormat="1" ht="15" x14ac:dyDescent="0.25">
      <c r="A3031" s="2033"/>
      <c r="B3031" s="1631" t="s">
        <v>4922</v>
      </c>
      <c r="C3031" s="2805" t="s">
        <v>8707</v>
      </c>
      <c r="D3031" s="2805"/>
      <c r="E3031" s="2805"/>
      <c r="F3031" s="1683" t="s">
        <v>835</v>
      </c>
      <c r="G3031" s="1953">
        <v>0.1</v>
      </c>
      <c r="H3031" s="1641"/>
      <c r="I3031" s="2035">
        <v>8.4236000000000004</v>
      </c>
      <c r="J3031" s="1654">
        <v>1.82</v>
      </c>
      <c r="K3031" s="1641"/>
      <c r="L3031" s="1654">
        <v>15.33</v>
      </c>
      <c r="M3031" s="1641"/>
      <c r="N3031" s="1681"/>
      <c r="EW3031" s="2031"/>
      <c r="EX3031" s="1619"/>
      <c r="EY3031" s="1628"/>
      <c r="EZ3031" s="1628"/>
      <c r="FA3031" s="1628"/>
      <c r="FD3031" s="1864" t="s">
        <v>8707</v>
      </c>
      <c r="FH3031" s="1628"/>
      <c r="FU3031" s="1678"/>
      <c r="FW3031" s="1678"/>
    </row>
    <row r="3032" spans="1:179" s="1484" customFormat="1" ht="15" x14ac:dyDescent="0.25">
      <c r="A3032" s="2032"/>
      <c r="B3032" s="1631" t="s">
        <v>190</v>
      </c>
      <c r="C3032" s="2805" t="s">
        <v>2523</v>
      </c>
      <c r="D3032" s="2805"/>
      <c r="E3032" s="2805"/>
      <c r="F3032" s="1683"/>
      <c r="G3032" s="1641"/>
      <c r="H3032" s="1641"/>
      <c r="I3032" s="1641"/>
      <c r="J3032" s="1654">
        <v>44.73</v>
      </c>
      <c r="K3032" s="1655">
        <v>1.25</v>
      </c>
      <c r="L3032" s="1657">
        <v>4709.8500000000004</v>
      </c>
      <c r="M3032" s="1655">
        <v>35.75</v>
      </c>
      <c r="N3032" s="1679">
        <v>168377.14</v>
      </c>
      <c r="EW3032" s="2031"/>
      <c r="EX3032" s="1619"/>
      <c r="EY3032" s="1628"/>
      <c r="EZ3032" s="1628"/>
      <c r="FA3032" s="1628"/>
      <c r="FE3032" s="1864" t="s">
        <v>2523</v>
      </c>
      <c r="FH3032" s="1628"/>
      <c r="FU3032" s="1678"/>
      <c r="FW3032" s="1678"/>
    </row>
    <row r="3033" spans="1:179" s="1484" customFormat="1" ht="15" x14ac:dyDescent="0.25">
      <c r="A3033" s="2032"/>
      <c r="B3033" s="1631" t="s">
        <v>639</v>
      </c>
      <c r="C3033" s="2805" t="s">
        <v>697</v>
      </c>
      <c r="D3033" s="2805"/>
      <c r="E3033" s="2805"/>
      <c r="F3033" s="1683"/>
      <c r="G3033" s="1641"/>
      <c r="H3033" s="1641"/>
      <c r="I3033" s="1641"/>
      <c r="J3033" s="1654">
        <v>0.97</v>
      </c>
      <c r="K3033" s="1641"/>
      <c r="L3033" s="1654">
        <v>81.709999999999994</v>
      </c>
      <c r="M3033" s="1655">
        <v>11.97</v>
      </c>
      <c r="N3033" s="2039">
        <v>978.07</v>
      </c>
      <c r="EW3033" s="2031"/>
      <c r="EX3033" s="1619"/>
      <c r="EY3033" s="1628"/>
      <c r="EZ3033" s="1628"/>
      <c r="FA3033" s="1628"/>
      <c r="FE3033" s="1864" t="s">
        <v>697</v>
      </c>
      <c r="FH3033" s="1628"/>
      <c r="FU3033" s="1678"/>
      <c r="FW3033" s="1678"/>
    </row>
    <row r="3034" spans="1:179" s="1484" customFormat="1" ht="15" x14ac:dyDescent="0.25">
      <c r="A3034" s="2032"/>
      <c r="B3034" s="1631" t="s">
        <v>640</v>
      </c>
      <c r="C3034" s="2805" t="s">
        <v>2500</v>
      </c>
      <c r="D3034" s="2805"/>
      <c r="E3034" s="2805"/>
      <c r="F3034" s="1683"/>
      <c r="G3034" s="1641"/>
      <c r="H3034" s="1641"/>
      <c r="I3034" s="1641"/>
      <c r="J3034" s="1654">
        <v>0.26</v>
      </c>
      <c r="K3034" s="1641"/>
      <c r="L3034" s="1654">
        <v>21.9</v>
      </c>
      <c r="M3034" s="1655">
        <v>35.75</v>
      </c>
      <c r="N3034" s="2039">
        <v>782.93</v>
      </c>
      <c r="EW3034" s="2031"/>
      <c r="EX3034" s="1619"/>
      <c r="EY3034" s="1628"/>
      <c r="EZ3034" s="1628"/>
      <c r="FA3034" s="1628"/>
      <c r="FE3034" s="1864" t="s">
        <v>2500</v>
      </c>
      <c r="FH3034" s="1628"/>
      <c r="FU3034" s="1678"/>
      <c r="FW3034" s="1678"/>
    </row>
    <row r="3035" spans="1:179" s="1484" customFormat="1" ht="15" x14ac:dyDescent="0.25">
      <c r="A3035" s="2032"/>
      <c r="B3035" s="1631" t="s">
        <v>232</v>
      </c>
      <c r="C3035" s="2805" t="s">
        <v>829</v>
      </c>
      <c r="D3035" s="2805"/>
      <c r="E3035" s="2805"/>
      <c r="F3035" s="1683"/>
      <c r="G3035" s="1641"/>
      <c r="H3035" s="1641"/>
      <c r="I3035" s="1641"/>
      <c r="J3035" s="1654">
        <v>0.18</v>
      </c>
      <c r="K3035" s="1641"/>
      <c r="L3035" s="1654">
        <v>15.16</v>
      </c>
      <c r="M3035" s="1655">
        <v>9.14</v>
      </c>
      <c r="N3035" s="2039">
        <v>138.56</v>
      </c>
      <c r="EW3035" s="2031"/>
      <c r="EX3035" s="1619"/>
      <c r="EY3035" s="1628"/>
      <c r="EZ3035" s="1628"/>
      <c r="FA3035" s="1628"/>
      <c r="FE3035" s="1864" t="s">
        <v>829</v>
      </c>
      <c r="FH3035" s="1628"/>
      <c r="FU3035" s="1678"/>
      <c r="FW3035" s="1678"/>
    </row>
    <row r="3036" spans="1:179" s="1484" customFormat="1" ht="15" x14ac:dyDescent="0.25">
      <c r="A3036" s="2033"/>
      <c r="B3036" s="1631"/>
      <c r="C3036" s="2805" t="s">
        <v>2524</v>
      </c>
      <c r="D3036" s="2805"/>
      <c r="E3036" s="2805"/>
      <c r="F3036" s="1683" t="s">
        <v>807</v>
      </c>
      <c r="G3036" s="1655">
        <v>4.6500000000000004</v>
      </c>
      <c r="H3036" s="1641"/>
      <c r="I3036" s="2035">
        <v>391.69740000000002</v>
      </c>
      <c r="J3036" s="1640"/>
      <c r="K3036" s="1641"/>
      <c r="L3036" s="1640"/>
      <c r="M3036" s="1641"/>
      <c r="N3036" s="1681"/>
      <c r="EW3036" s="2031"/>
      <c r="EX3036" s="1619"/>
      <c r="EY3036" s="1628"/>
      <c r="EZ3036" s="1628"/>
      <c r="FA3036" s="1628"/>
      <c r="FF3036" s="1864" t="s">
        <v>2524</v>
      </c>
      <c r="FH3036" s="1628"/>
      <c r="FU3036" s="1678"/>
      <c r="FW3036" s="1678"/>
    </row>
    <row r="3037" spans="1:179" s="1484" customFormat="1" ht="15" x14ac:dyDescent="0.25">
      <c r="A3037" s="2033"/>
      <c r="B3037" s="1631"/>
      <c r="C3037" s="2805" t="s">
        <v>2501</v>
      </c>
      <c r="D3037" s="2805"/>
      <c r="E3037" s="2805"/>
      <c r="F3037" s="1683" t="s">
        <v>807</v>
      </c>
      <c r="G3037" s="1655">
        <v>0.02</v>
      </c>
      <c r="H3037" s="1641"/>
      <c r="I3037" s="2042">
        <v>1.68472</v>
      </c>
      <c r="J3037" s="1640"/>
      <c r="K3037" s="1641"/>
      <c r="L3037" s="1640"/>
      <c r="M3037" s="1641"/>
      <c r="N3037" s="1681"/>
      <c r="EW3037" s="2031"/>
      <c r="EX3037" s="1619"/>
      <c r="EY3037" s="1628"/>
      <c r="EZ3037" s="1628"/>
      <c r="FA3037" s="1628"/>
      <c r="FF3037" s="1864" t="s">
        <v>2501</v>
      </c>
      <c r="FH3037" s="1628"/>
      <c r="FU3037" s="1678"/>
      <c r="FW3037" s="1678"/>
    </row>
    <row r="3038" spans="1:179" s="1484" customFormat="1" ht="15" x14ac:dyDescent="0.25">
      <c r="A3038" s="2032"/>
      <c r="B3038" s="1631"/>
      <c r="C3038" s="2917" t="s">
        <v>2502</v>
      </c>
      <c r="D3038" s="2917"/>
      <c r="E3038" s="2917"/>
      <c r="F3038" s="2036"/>
      <c r="G3038" s="2037"/>
      <c r="H3038" s="2037"/>
      <c r="I3038" s="2037"/>
      <c r="J3038" s="2044">
        <v>45.88</v>
      </c>
      <c r="K3038" s="2037"/>
      <c r="L3038" s="2038">
        <v>4806.72</v>
      </c>
      <c r="M3038" s="2037"/>
      <c r="N3038" s="2068">
        <v>169493.77</v>
      </c>
      <c r="EW3038" s="2031"/>
      <c r="EX3038" s="1619"/>
      <c r="EY3038" s="1628"/>
      <c r="EZ3038" s="1628"/>
      <c r="FA3038" s="1628"/>
      <c r="FG3038" s="1864" t="s">
        <v>2502</v>
      </c>
      <c r="FH3038" s="1628"/>
      <c r="FU3038" s="1678"/>
      <c r="FW3038" s="1678"/>
    </row>
    <row r="3039" spans="1:179" s="1484" customFormat="1" ht="15" x14ac:dyDescent="0.25">
      <c r="A3039" s="2033" t="s">
        <v>8481</v>
      </c>
      <c r="B3039" s="1631"/>
      <c r="C3039" s="2805" t="s">
        <v>7964</v>
      </c>
      <c r="D3039" s="2805"/>
      <c r="E3039" s="2805"/>
      <c r="F3039" s="1683" t="s">
        <v>5928</v>
      </c>
      <c r="G3039" s="1641"/>
      <c r="H3039" s="1641"/>
      <c r="I3039" s="1641"/>
      <c r="J3039" s="1640"/>
      <c r="K3039" s="1641"/>
      <c r="L3039" s="1654">
        <v>5.48</v>
      </c>
      <c r="M3039" s="1641"/>
      <c r="N3039" s="2039">
        <v>195.91</v>
      </c>
      <c r="EW3039" s="2031"/>
      <c r="EX3039" s="1619"/>
      <c r="EY3039" s="1628"/>
      <c r="EZ3039" s="1628"/>
      <c r="FA3039" s="1628"/>
      <c r="FF3039" s="1864" t="s">
        <v>7964</v>
      </c>
      <c r="FH3039" s="1628"/>
      <c r="FU3039" s="1678"/>
      <c r="FW3039" s="1678"/>
    </row>
    <row r="3040" spans="1:179" s="1484" customFormat="1" ht="15" x14ac:dyDescent="0.25">
      <c r="A3040" s="2033"/>
      <c r="B3040" s="1631"/>
      <c r="C3040" s="2805" t="s">
        <v>7965</v>
      </c>
      <c r="D3040" s="2805"/>
      <c r="E3040" s="2805"/>
      <c r="F3040" s="1683" t="s">
        <v>5928</v>
      </c>
      <c r="G3040" s="1641"/>
      <c r="H3040" s="1641"/>
      <c r="I3040" s="1641"/>
      <c r="J3040" s="1654">
        <v>0.26</v>
      </c>
      <c r="K3040" s="1655">
        <v>0.25</v>
      </c>
      <c r="L3040" s="1654">
        <v>5.48</v>
      </c>
      <c r="M3040" s="1655">
        <v>35.75</v>
      </c>
      <c r="N3040" s="2039">
        <v>195.91</v>
      </c>
      <c r="EW3040" s="2031"/>
      <c r="EX3040" s="1619"/>
      <c r="EY3040" s="1628"/>
      <c r="EZ3040" s="1628"/>
      <c r="FA3040" s="1628"/>
      <c r="FF3040" s="1864" t="s">
        <v>7965</v>
      </c>
      <c r="FH3040" s="1628"/>
      <c r="FU3040" s="1678"/>
      <c r="FW3040" s="1678"/>
    </row>
    <row r="3041" spans="1:179" s="1484" customFormat="1" ht="15" x14ac:dyDescent="0.25">
      <c r="A3041" s="2033"/>
      <c r="B3041" s="1631"/>
      <c r="C3041" s="2805" t="s">
        <v>867</v>
      </c>
      <c r="D3041" s="2805"/>
      <c r="E3041" s="2805"/>
      <c r="F3041" s="1683"/>
      <c r="G3041" s="1641"/>
      <c r="H3041" s="1641"/>
      <c r="I3041" s="1641"/>
      <c r="J3041" s="1640"/>
      <c r="K3041" s="1641"/>
      <c r="L3041" s="1657">
        <v>4737.2299999999996</v>
      </c>
      <c r="M3041" s="1641"/>
      <c r="N3041" s="1679">
        <v>169355.98</v>
      </c>
      <c r="EW3041" s="2031"/>
      <c r="EX3041" s="1619"/>
      <c r="EY3041" s="1628"/>
      <c r="EZ3041" s="1628"/>
      <c r="FA3041" s="1628"/>
      <c r="FF3041" s="1864" t="s">
        <v>867</v>
      </c>
      <c r="FH3041" s="1628"/>
      <c r="FU3041" s="1678"/>
      <c r="FW3041" s="1678"/>
    </row>
    <row r="3042" spans="1:179" s="1484" customFormat="1" ht="15" x14ac:dyDescent="0.25">
      <c r="A3042" s="2033"/>
      <c r="B3042" s="1631" t="s">
        <v>7966</v>
      </c>
      <c r="C3042" s="2805" t="s">
        <v>7967</v>
      </c>
      <c r="D3042" s="2805"/>
      <c r="E3042" s="2805"/>
      <c r="F3042" s="1683" t="s">
        <v>636</v>
      </c>
      <c r="G3042" s="2034">
        <v>100</v>
      </c>
      <c r="H3042" s="1641"/>
      <c r="I3042" s="2034">
        <v>100</v>
      </c>
      <c r="J3042" s="1640"/>
      <c r="K3042" s="1641"/>
      <c r="L3042" s="1657">
        <v>4737.2299999999996</v>
      </c>
      <c r="M3042" s="1641"/>
      <c r="N3042" s="1679">
        <v>169355.98</v>
      </c>
      <c r="EW3042" s="2031"/>
      <c r="EX3042" s="1619"/>
      <c r="EY3042" s="1628"/>
      <c r="EZ3042" s="1628"/>
      <c r="FA3042" s="1628"/>
      <c r="FF3042" s="1864" t="s">
        <v>7967</v>
      </c>
      <c r="FH3042" s="1628"/>
      <c r="FU3042" s="1678"/>
      <c r="FW3042" s="1678"/>
    </row>
    <row r="3043" spans="1:179" s="1484" customFormat="1" ht="15" x14ac:dyDescent="0.25">
      <c r="A3043" s="2033"/>
      <c r="B3043" s="1631" t="s">
        <v>7968</v>
      </c>
      <c r="C3043" s="2805" t="s">
        <v>7969</v>
      </c>
      <c r="D3043" s="2805"/>
      <c r="E3043" s="2805"/>
      <c r="F3043" s="1683" t="s">
        <v>636</v>
      </c>
      <c r="G3043" s="2034">
        <v>49</v>
      </c>
      <c r="H3043" s="1641"/>
      <c r="I3043" s="2034">
        <v>49</v>
      </c>
      <c r="J3043" s="1640"/>
      <c r="K3043" s="1641"/>
      <c r="L3043" s="1657">
        <v>2321.2399999999998</v>
      </c>
      <c r="M3043" s="1641"/>
      <c r="N3043" s="1679">
        <v>82984.429999999993</v>
      </c>
      <c r="EW3043" s="2031"/>
      <c r="EX3043" s="1619"/>
      <c r="EY3043" s="1628"/>
      <c r="EZ3043" s="1628"/>
      <c r="FA3043" s="1628"/>
      <c r="FF3043" s="1864" t="s">
        <v>7969</v>
      </c>
      <c r="FH3043" s="1628"/>
      <c r="FU3043" s="1678"/>
      <c r="FW3043" s="1678"/>
    </row>
    <row r="3044" spans="1:179" s="1484" customFormat="1" ht="15" x14ac:dyDescent="0.25">
      <c r="A3044" s="1650"/>
      <c r="B3044" s="1651"/>
      <c r="C3044" s="2803" t="s">
        <v>872</v>
      </c>
      <c r="D3044" s="2803"/>
      <c r="E3044" s="2803"/>
      <c r="F3044" s="1621"/>
      <c r="G3044" s="1622"/>
      <c r="H3044" s="1622"/>
      <c r="I3044" s="1622"/>
      <c r="J3044" s="1625"/>
      <c r="K3044" s="1622"/>
      <c r="L3044" s="1648">
        <v>11870.67</v>
      </c>
      <c r="M3044" s="2037"/>
      <c r="N3044" s="1649">
        <v>422030.09</v>
      </c>
      <c r="EW3044" s="2031"/>
      <c r="EX3044" s="1619"/>
      <c r="EY3044" s="1628"/>
      <c r="EZ3044" s="1628"/>
      <c r="FA3044" s="1628"/>
      <c r="FH3044" s="1628" t="s">
        <v>872</v>
      </c>
      <c r="FU3044" s="1678"/>
      <c r="FW3044" s="1678"/>
    </row>
    <row r="3045" spans="1:179" s="1484" customFormat="1" ht="22.5" x14ac:dyDescent="0.25">
      <c r="A3045" s="1620" t="s">
        <v>8482</v>
      </c>
      <c r="B3045" s="1863" t="s">
        <v>8483</v>
      </c>
      <c r="C3045" s="2803" t="s">
        <v>8484</v>
      </c>
      <c r="D3045" s="2803"/>
      <c r="E3045" s="2803"/>
      <c r="F3045" s="1621" t="s">
        <v>801</v>
      </c>
      <c r="G3045" s="1622">
        <v>0.86763080000000004</v>
      </c>
      <c r="H3045" s="1623">
        <v>1</v>
      </c>
      <c r="I3045" s="2062">
        <v>0.86763080000000004</v>
      </c>
      <c r="J3045" s="1648">
        <v>18390.16</v>
      </c>
      <c r="K3045" s="1622"/>
      <c r="L3045" s="1648">
        <v>15955.87</v>
      </c>
      <c r="M3045" s="1687">
        <v>9.14</v>
      </c>
      <c r="N3045" s="1649">
        <v>145836.65</v>
      </c>
      <c r="EW3045" s="2031"/>
      <c r="EX3045" s="1619"/>
      <c r="EY3045" s="1628" t="s">
        <v>8484</v>
      </c>
      <c r="EZ3045" s="1628" t="s">
        <v>588</v>
      </c>
      <c r="FA3045" s="1628" t="s">
        <v>588</v>
      </c>
      <c r="FH3045" s="1628"/>
      <c r="FU3045" s="1678"/>
      <c r="FW3045" s="1678"/>
    </row>
    <row r="3046" spans="1:179" s="1484" customFormat="1" ht="15" x14ac:dyDescent="0.25">
      <c r="A3046" s="1650"/>
      <c r="B3046" s="1651"/>
      <c r="C3046" s="2805" t="s">
        <v>8689</v>
      </c>
      <c r="D3046" s="2805"/>
      <c r="E3046" s="2805"/>
      <c r="F3046" s="2805"/>
      <c r="G3046" s="2805"/>
      <c r="H3046" s="2805"/>
      <c r="I3046" s="2805"/>
      <c r="J3046" s="2805"/>
      <c r="K3046" s="2805"/>
      <c r="L3046" s="2805"/>
      <c r="M3046" s="2805"/>
      <c r="N3046" s="2806"/>
      <c r="EW3046" s="2031"/>
      <c r="EX3046" s="1619"/>
      <c r="EY3046" s="1628"/>
      <c r="EZ3046" s="1628"/>
      <c r="FA3046" s="1628"/>
      <c r="FH3046" s="1628"/>
      <c r="FI3046" s="1864" t="s">
        <v>8689</v>
      </c>
      <c r="FJ3046" s="1864" t="s">
        <v>588</v>
      </c>
      <c r="FK3046" s="1864" t="s">
        <v>588</v>
      </c>
      <c r="FL3046" s="1864" t="s">
        <v>588</v>
      </c>
      <c r="FM3046" s="1864" t="s">
        <v>588</v>
      </c>
      <c r="FN3046" s="1864" t="s">
        <v>588</v>
      </c>
      <c r="FO3046" s="1864" t="s">
        <v>588</v>
      </c>
      <c r="FP3046" s="1864" t="s">
        <v>588</v>
      </c>
      <c r="FQ3046" s="1864" t="s">
        <v>588</v>
      </c>
      <c r="FR3046" s="1864" t="s">
        <v>588</v>
      </c>
      <c r="FS3046" s="1864" t="s">
        <v>588</v>
      </c>
      <c r="FT3046" s="1864" t="s">
        <v>588</v>
      </c>
      <c r="FU3046" s="1678"/>
      <c r="FW3046" s="1678"/>
    </row>
    <row r="3047" spans="1:179" s="1484" customFormat="1" ht="15" x14ac:dyDescent="0.25">
      <c r="A3047" s="1650"/>
      <c r="B3047" s="1651"/>
      <c r="C3047" s="2803" t="s">
        <v>872</v>
      </c>
      <c r="D3047" s="2803"/>
      <c r="E3047" s="2803"/>
      <c r="F3047" s="1621"/>
      <c r="G3047" s="1622"/>
      <c r="H3047" s="1622"/>
      <c r="I3047" s="1622"/>
      <c r="J3047" s="1625"/>
      <c r="K3047" s="1622"/>
      <c r="L3047" s="1648">
        <v>15955.87</v>
      </c>
      <c r="M3047" s="2037"/>
      <c r="N3047" s="1649">
        <v>145836.65</v>
      </c>
      <c r="EW3047" s="2031"/>
      <c r="EX3047" s="1619"/>
      <c r="EY3047" s="1628"/>
      <c r="EZ3047" s="1628"/>
      <c r="FA3047" s="1628"/>
      <c r="FH3047" s="1628" t="s">
        <v>872</v>
      </c>
      <c r="FU3047" s="1678"/>
      <c r="FW3047" s="1678"/>
    </row>
    <row r="3048" spans="1:179" s="1484" customFormat="1" ht="45" x14ac:dyDescent="0.25">
      <c r="A3048" s="1620" t="s">
        <v>8485</v>
      </c>
      <c r="B3048" s="1863" t="s">
        <v>8486</v>
      </c>
      <c r="C3048" s="2803" t="s">
        <v>8487</v>
      </c>
      <c r="D3048" s="2803"/>
      <c r="E3048" s="2803"/>
      <c r="F3048" s="1621" t="s">
        <v>2555</v>
      </c>
      <c r="G3048" s="1622">
        <v>84.236000000000004</v>
      </c>
      <c r="H3048" s="1623">
        <v>1</v>
      </c>
      <c r="I3048" s="2045">
        <v>84.236000000000004</v>
      </c>
      <c r="J3048" s="1625"/>
      <c r="K3048" s="1622"/>
      <c r="L3048" s="1625"/>
      <c r="M3048" s="1622"/>
      <c r="N3048" s="1627"/>
      <c r="EW3048" s="2031"/>
      <c r="EX3048" s="1619"/>
      <c r="EY3048" s="1628" t="s">
        <v>8487</v>
      </c>
      <c r="EZ3048" s="1628" t="s">
        <v>588</v>
      </c>
      <c r="FA3048" s="1628" t="s">
        <v>588</v>
      </c>
      <c r="FH3048" s="1628"/>
      <c r="FU3048" s="1678"/>
      <c r="FW3048" s="1678"/>
    </row>
    <row r="3049" spans="1:179" s="1484" customFormat="1" ht="15" x14ac:dyDescent="0.25">
      <c r="A3049" s="1629"/>
      <c r="B3049" s="1862"/>
      <c r="C3049" s="2805" t="s">
        <v>8723</v>
      </c>
      <c r="D3049" s="2805"/>
      <c r="E3049" s="2805"/>
      <c r="F3049" s="2805"/>
      <c r="G3049" s="2805"/>
      <c r="H3049" s="2805"/>
      <c r="I3049" s="2805"/>
      <c r="J3049" s="2805"/>
      <c r="K3049" s="2805"/>
      <c r="L3049" s="2805"/>
      <c r="M3049" s="2805"/>
      <c r="N3049" s="2806"/>
      <c r="EW3049" s="2031"/>
      <c r="EX3049" s="1619"/>
      <c r="EY3049" s="1628"/>
      <c r="EZ3049" s="1628"/>
      <c r="FA3049" s="1628"/>
      <c r="FB3049" s="1864" t="s">
        <v>8723</v>
      </c>
      <c r="FH3049" s="1628"/>
      <c r="FU3049" s="1678"/>
      <c r="FW3049" s="1678"/>
    </row>
    <row r="3050" spans="1:179" s="1484" customFormat="1" ht="22.5" x14ac:dyDescent="0.25">
      <c r="A3050" s="1630"/>
      <c r="B3050" s="1631" t="s">
        <v>6062</v>
      </c>
      <c r="C3050" s="2809" t="s">
        <v>6063</v>
      </c>
      <c r="D3050" s="2809"/>
      <c r="E3050" s="2809"/>
      <c r="F3050" s="2809"/>
      <c r="G3050" s="2809"/>
      <c r="H3050" s="2809"/>
      <c r="I3050" s="2809"/>
      <c r="J3050" s="2809"/>
      <c r="K3050" s="2809"/>
      <c r="L3050" s="2809"/>
      <c r="M3050" s="2809"/>
      <c r="N3050" s="2810"/>
      <c r="EW3050" s="2031"/>
      <c r="EX3050" s="1619"/>
      <c r="EY3050" s="1628"/>
      <c r="EZ3050" s="1628"/>
      <c r="FA3050" s="1628"/>
      <c r="FC3050" s="1864" t="s">
        <v>6063</v>
      </c>
      <c r="FH3050" s="1628"/>
      <c r="FU3050" s="1678"/>
      <c r="FW3050" s="1678"/>
    </row>
    <row r="3051" spans="1:179" s="1484" customFormat="1" ht="22.5" x14ac:dyDescent="0.25">
      <c r="A3051" s="2033"/>
      <c r="B3051" s="1631" t="s">
        <v>1729</v>
      </c>
      <c r="C3051" s="2805" t="s">
        <v>8712</v>
      </c>
      <c r="D3051" s="2805"/>
      <c r="E3051" s="2805"/>
      <c r="F3051" s="1683" t="s">
        <v>807</v>
      </c>
      <c r="G3051" s="1655">
        <v>32.49</v>
      </c>
      <c r="H3051" s="1641"/>
      <c r="I3051" s="2042">
        <v>2736.82764</v>
      </c>
      <c r="J3051" s="1654">
        <v>8.5299999999999994</v>
      </c>
      <c r="K3051" s="1655">
        <v>1.25</v>
      </c>
      <c r="L3051" s="1657">
        <v>29181.42</v>
      </c>
      <c r="M3051" s="1641"/>
      <c r="N3051" s="1681"/>
      <c r="EW3051" s="2031"/>
      <c r="EX3051" s="1619"/>
      <c r="EY3051" s="1628"/>
      <c r="EZ3051" s="1628"/>
      <c r="FA3051" s="1628"/>
      <c r="FD3051" s="1864" t="s">
        <v>8712</v>
      </c>
      <c r="FH3051" s="1628"/>
      <c r="FU3051" s="1678"/>
      <c r="FW3051" s="1678"/>
    </row>
    <row r="3052" spans="1:179" s="1484" customFormat="1" ht="15" x14ac:dyDescent="0.25">
      <c r="A3052" s="2033"/>
      <c r="B3052" s="1631" t="s">
        <v>1741</v>
      </c>
      <c r="C3052" s="2805" t="s">
        <v>8697</v>
      </c>
      <c r="D3052" s="2805"/>
      <c r="E3052" s="2805"/>
      <c r="F3052" s="1683" t="s">
        <v>4994</v>
      </c>
      <c r="G3052" s="1655">
        <v>0.02</v>
      </c>
      <c r="H3052" s="1641"/>
      <c r="I3052" s="2042">
        <v>1.68472</v>
      </c>
      <c r="J3052" s="1654">
        <v>89.99</v>
      </c>
      <c r="K3052" s="1641"/>
      <c r="L3052" s="1654">
        <v>151.61000000000001</v>
      </c>
      <c r="M3052" s="1641"/>
      <c r="N3052" s="1681"/>
      <c r="EW3052" s="2031"/>
      <c r="EX3052" s="1619"/>
      <c r="EY3052" s="1628"/>
      <c r="EZ3052" s="1628"/>
      <c r="FA3052" s="1628"/>
      <c r="FD3052" s="1864" t="s">
        <v>8697</v>
      </c>
      <c r="FH3052" s="1628"/>
      <c r="FU3052" s="1678"/>
      <c r="FW3052" s="1678"/>
    </row>
    <row r="3053" spans="1:179" s="1484" customFormat="1" ht="22.5" x14ac:dyDescent="0.25">
      <c r="A3053" s="2033"/>
      <c r="B3053" s="1631" t="s">
        <v>5010</v>
      </c>
      <c r="C3053" s="2805" t="s">
        <v>5011</v>
      </c>
      <c r="D3053" s="2805"/>
      <c r="E3053" s="2805"/>
      <c r="F3053" s="1683" t="s">
        <v>4994</v>
      </c>
      <c r="G3053" s="1655">
        <v>0.21</v>
      </c>
      <c r="H3053" s="1641"/>
      <c r="I3053" s="2042">
        <v>17.68956</v>
      </c>
      <c r="J3053" s="1654">
        <v>31.26</v>
      </c>
      <c r="K3053" s="1641"/>
      <c r="L3053" s="1654">
        <v>552.98</v>
      </c>
      <c r="M3053" s="1641"/>
      <c r="N3053" s="1681"/>
      <c r="EW3053" s="2031"/>
      <c r="EX3053" s="1619"/>
      <c r="EY3053" s="1628"/>
      <c r="EZ3053" s="1628"/>
      <c r="FA3053" s="1628"/>
      <c r="FD3053" s="1864" t="s">
        <v>5011</v>
      </c>
      <c r="FH3053" s="1628"/>
      <c r="FU3053" s="1678"/>
      <c r="FW3053" s="1678"/>
    </row>
    <row r="3054" spans="1:179" s="1484" customFormat="1" ht="22.5" x14ac:dyDescent="0.25">
      <c r="A3054" s="2033"/>
      <c r="B3054" s="1631" t="s">
        <v>5016</v>
      </c>
      <c r="C3054" s="2805" t="s">
        <v>5017</v>
      </c>
      <c r="D3054" s="2805"/>
      <c r="E3054" s="2805"/>
      <c r="F3054" s="1683" t="s">
        <v>4994</v>
      </c>
      <c r="G3054" s="1953">
        <v>0.7</v>
      </c>
      <c r="H3054" s="1641"/>
      <c r="I3054" s="2035">
        <v>58.965200000000003</v>
      </c>
      <c r="J3054" s="1654">
        <v>12.39</v>
      </c>
      <c r="K3054" s="1641"/>
      <c r="L3054" s="1654">
        <v>730.58</v>
      </c>
      <c r="M3054" s="1641"/>
      <c r="N3054" s="1681"/>
      <c r="EW3054" s="2031"/>
      <c r="EX3054" s="1619"/>
      <c r="EY3054" s="1628"/>
      <c r="EZ3054" s="1628"/>
      <c r="FA3054" s="1628"/>
      <c r="FD3054" s="1864" t="s">
        <v>5017</v>
      </c>
      <c r="FH3054" s="1628"/>
      <c r="FU3054" s="1678"/>
      <c r="FW3054" s="1678"/>
    </row>
    <row r="3055" spans="1:179" s="1484" customFormat="1" ht="15" x14ac:dyDescent="0.25">
      <c r="A3055" s="2033"/>
      <c r="B3055" s="1631" t="s">
        <v>1755</v>
      </c>
      <c r="C3055" s="2805" t="s">
        <v>2634</v>
      </c>
      <c r="D3055" s="2805"/>
      <c r="E3055" s="2805"/>
      <c r="F3055" s="1683" t="s">
        <v>832</v>
      </c>
      <c r="G3055" s="1655">
        <v>0.51</v>
      </c>
      <c r="H3055" s="1641"/>
      <c r="I3055" s="2042">
        <v>42.960360000000001</v>
      </c>
      <c r="J3055" s="1654">
        <v>2.44</v>
      </c>
      <c r="K3055" s="1641"/>
      <c r="L3055" s="1654">
        <v>104.82</v>
      </c>
      <c r="M3055" s="1641"/>
      <c r="N3055" s="1681"/>
      <c r="EW3055" s="2031"/>
      <c r="EX3055" s="1619"/>
      <c r="EY3055" s="1628"/>
      <c r="EZ3055" s="1628"/>
      <c r="FA3055" s="1628"/>
      <c r="FD3055" s="1864" t="s">
        <v>2634</v>
      </c>
      <c r="FH3055" s="1628"/>
      <c r="FU3055" s="1678"/>
      <c r="FW3055" s="1678"/>
    </row>
    <row r="3056" spans="1:179" s="1484" customFormat="1" ht="15" x14ac:dyDescent="0.25">
      <c r="A3056" s="2032"/>
      <c r="B3056" s="1631" t="s">
        <v>190</v>
      </c>
      <c r="C3056" s="2805" t="s">
        <v>2523</v>
      </c>
      <c r="D3056" s="2805"/>
      <c r="E3056" s="2805"/>
      <c r="F3056" s="1683"/>
      <c r="G3056" s="1641"/>
      <c r="H3056" s="1641"/>
      <c r="I3056" s="1641"/>
      <c r="J3056" s="1654">
        <v>277.14</v>
      </c>
      <c r="K3056" s="1655">
        <v>1.25</v>
      </c>
      <c r="L3056" s="1657">
        <v>29181.46</v>
      </c>
      <c r="M3056" s="1655">
        <v>35.75</v>
      </c>
      <c r="N3056" s="1679">
        <v>1043237.2</v>
      </c>
      <c r="EW3056" s="2031"/>
      <c r="EX3056" s="1619"/>
      <c r="EY3056" s="1628"/>
      <c r="EZ3056" s="1628"/>
      <c r="FA3056" s="1628"/>
      <c r="FE3056" s="1864" t="s">
        <v>2523</v>
      </c>
      <c r="FH3056" s="1628"/>
      <c r="FU3056" s="1678"/>
      <c r="FW3056" s="1678"/>
    </row>
    <row r="3057" spans="1:179" s="1484" customFormat="1" ht="15" x14ac:dyDescent="0.25">
      <c r="A3057" s="2032"/>
      <c r="B3057" s="1631" t="s">
        <v>639</v>
      </c>
      <c r="C3057" s="2805" t="s">
        <v>697</v>
      </c>
      <c r="D3057" s="2805"/>
      <c r="E3057" s="2805"/>
      <c r="F3057" s="1683"/>
      <c r="G3057" s="1641"/>
      <c r="H3057" s="1641"/>
      <c r="I3057" s="1641"/>
      <c r="J3057" s="1654">
        <v>17.03</v>
      </c>
      <c r="K3057" s="1641"/>
      <c r="L3057" s="1657">
        <v>1434.54</v>
      </c>
      <c r="M3057" s="1655">
        <v>11.97</v>
      </c>
      <c r="N3057" s="1679">
        <v>17171.439999999999</v>
      </c>
      <c r="EW3057" s="2031"/>
      <c r="EX3057" s="1619"/>
      <c r="EY3057" s="1628"/>
      <c r="EZ3057" s="1628"/>
      <c r="FA3057" s="1628"/>
      <c r="FE3057" s="1864" t="s">
        <v>697</v>
      </c>
      <c r="FH3057" s="1628"/>
      <c r="FU3057" s="1678"/>
      <c r="FW3057" s="1678"/>
    </row>
    <row r="3058" spans="1:179" s="1484" customFormat="1" ht="15" x14ac:dyDescent="0.25">
      <c r="A3058" s="2032"/>
      <c r="B3058" s="1631" t="s">
        <v>640</v>
      </c>
      <c r="C3058" s="2805" t="s">
        <v>2500</v>
      </c>
      <c r="D3058" s="2805"/>
      <c r="E3058" s="2805"/>
      <c r="F3058" s="1683"/>
      <c r="G3058" s="1641"/>
      <c r="H3058" s="1641"/>
      <c r="I3058" s="1641"/>
      <c r="J3058" s="1654">
        <v>10.08</v>
      </c>
      <c r="K3058" s="1641"/>
      <c r="L3058" s="1654">
        <v>849.1</v>
      </c>
      <c r="M3058" s="1655">
        <v>35.75</v>
      </c>
      <c r="N3058" s="1679">
        <v>30355.33</v>
      </c>
      <c r="EW3058" s="2031"/>
      <c r="EX3058" s="1619"/>
      <c r="EY3058" s="1628"/>
      <c r="EZ3058" s="1628"/>
      <c r="FA3058" s="1628"/>
      <c r="FE3058" s="1864" t="s">
        <v>2500</v>
      </c>
      <c r="FH3058" s="1628"/>
      <c r="FU3058" s="1678"/>
      <c r="FW3058" s="1678"/>
    </row>
    <row r="3059" spans="1:179" s="1484" customFormat="1" ht="15" x14ac:dyDescent="0.25">
      <c r="A3059" s="2032"/>
      <c r="B3059" s="1631" t="s">
        <v>232</v>
      </c>
      <c r="C3059" s="2805" t="s">
        <v>829</v>
      </c>
      <c r="D3059" s="2805"/>
      <c r="E3059" s="2805"/>
      <c r="F3059" s="1683"/>
      <c r="G3059" s="1641"/>
      <c r="H3059" s="1641"/>
      <c r="I3059" s="1641"/>
      <c r="J3059" s="1654">
        <v>1.24</v>
      </c>
      <c r="K3059" s="1641"/>
      <c r="L3059" s="1654">
        <v>104.45</v>
      </c>
      <c r="M3059" s="1655">
        <v>9.14</v>
      </c>
      <c r="N3059" s="2039">
        <v>954.67</v>
      </c>
      <c r="EW3059" s="2031"/>
      <c r="EX3059" s="1619"/>
      <c r="EY3059" s="1628"/>
      <c r="EZ3059" s="1628"/>
      <c r="FA3059" s="1628"/>
      <c r="FE3059" s="1864" t="s">
        <v>829</v>
      </c>
      <c r="FH3059" s="1628"/>
      <c r="FU3059" s="1678"/>
      <c r="FW3059" s="1678"/>
    </row>
    <row r="3060" spans="1:179" s="1484" customFormat="1" ht="15" x14ac:dyDescent="0.25">
      <c r="A3060" s="2033"/>
      <c r="B3060" s="1631"/>
      <c r="C3060" s="2805" t="s">
        <v>2524</v>
      </c>
      <c r="D3060" s="2805"/>
      <c r="E3060" s="2805"/>
      <c r="F3060" s="1683" t="s">
        <v>807</v>
      </c>
      <c r="G3060" s="1655">
        <v>32.49</v>
      </c>
      <c r="H3060" s="1641"/>
      <c r="I3060" s="2042">
        <v>2736.82764</v>
      </c>
      <c r="J3060" s="1640"/>
      <c r="K3060" s="1641"/>
      <c r="L3060" s="1640"/>
      <c r="M3060" s="1641"/>
      <c r="N3060" s="1681"/>
      <c r="EW3060" s="2031"/>
      <c r="EX3060" s="1619"/>
      <c r="EY3060" s="1628"/>
      <c r="EZ3060" s="1628"/>
      <c r="FA3060" s="1628"/>
      <c r="FF3060" s="1864" t="s">
        <v>2524</v>
      </c>
      <c r="FH3060" s="1628"/>
      <c r="FU3060" s="1678"/>
      <c r="FW3060" s="1678"/>
    </row>
    <row r="3061" spans="1:179" s="1484" customFormat="1" ht="15" x14ac:dyDescent="0.25">
      <c r="A3061" s="2033"/>
      <c r="B3061" s="1631"/>
      <c r="C3061" s="2805" t="s">
        <v>2501</v>
      </c>
      <c r="D3061" s="2805"/>
      <c r="E3061" s="2805"/>
      <c r="F3061" s="1683" t="s">
        <v>807</v>
      </c>
      <c r="G3061" s="1655">
        <v>0.93</v>
      </c>
      <c r="H3061" s="1641"/>
      <c r="I3061" s="2042">
        <v>78.339479999999995</v>
      </c>
      <c r="J3061" s="1640"/>
      <c r="K3061" s="1641"/>
      <c r="L3061" s="1640"/>
      <c r="M3061" s="1641"/>
      <c r="N3061" s="1681"/>
      <c r="EW3061" s="2031"/>
      <c r="EX3061" s="1619"/>
      <c r="EY3061" s="1628"/>
      <c r="EZ3061" s="1628"/>
      <c r="FA3061" s="1628"/>
      <c r="FF3061" s="1864" t="s">
        <v>2501</v>
      </c>
      <c r="FH3061" s="1628"/>
      <c r="FU3061" s="1678"/>
      <c r="FW3061" s="1678"/>
    </row>
    <row r="3062" spans="1:179" s="1484" customFormat="1" ht="15" x14ac:dyDescent="0.25">
      <c r="A3062" s="2032"/>
      <c r="B3062" s="1631"/>
      <c r="C3062" s="2917" t="s">
        <v>2502</v>
      </c>
      <c r="D3062" s="2917"/>
      <c r="E3062" s="2917"/>
      <c r="F3062" s="2036"/>
      <c r="G3062" s="2037"/>
      <c r="H3062" s="2037"/>
      <c r="I3062" s="2037"/>
      <c r="J3062" s="2044">
        <v>295.41000000000003</v>
      </c>
      <c r="K3062" s="2037"/>
      <c r="L3062" s="2038">
        <v>30720.45</v>
      </c>
      <c r="M3062" s="2037"/>
      <c r="N3062" s="2068">
        <v>1061363.31</v>
      </c>
      <c r="EW3062" s="2031"/>
      <c r="EX3062" s="1619"/>
      <c r="EY3062" s="1628"/>
      <c r="EZ3062" s="1628"/>
      <c r="FA3062" s="1628"/>
      <c r="FG3062" s="1864" t="s">
        <v>2502</v>
      </c>
      <c r="FH3062" s="1628"/>
      <c r="FU3062" s="1678"/>
      <c r="FW3062" s="1678"/>
    </row>
    <row r="3063" spans="1:179" s="1484" customFormat="1" ht="15" x14ac:dyDescent="0.25">
      <c r="A3063" s="2033" t="s">
        <v>8488</v>
      </c>
      <c r="B3063" s="1631"/>
      <c r="C3063" s="2805" t="s">
        <v>7964</v>
      </c>
      <c r="D3063" s="2805"/>
      <c r="E3063" s="2805"/>
      <c r="F3063" s="1683" t="s">
        <v>5928</v>
      </c>
      <c r="G3063" s="1641"/>
      <c r="H3063" s="1641"/>
      <c r="I3063" s="1641"/>
      <c r="J3063" s="1640"/>
      <c r="K3063" s="1641"/>
      <c r="L3063" s="1654">
        <v>212.27</v>
      </c>
      <c r="M3063" s="1641"/>
      <c r="N3063" s="1679">
        <v>7588.65</v>
      </c>
      <c r="EW3063" s="2031"/>
      <c r="EX3063" s="1619"/>
      <c r="EY3063" s="1628"/>
      <c r="EZ3063" s="1628"/>
      <c r="FA3063" s="1628"/>
      <c r="FF3063" s="1864" t="s">
        <v>7964</v>
      </c>
      <c r="FH3063" s="1628"/>
      <c r="FU3063" s="1678"/>
      <c r="FW3063" s="1678"/>
    </row>
    <row r="3064" spans="1:179" s="1484" customFormat="1" ht="15" x14ac:dyDescent="0.25">
      <c r="A3064" s="2033"/>
      <c r="B3064" s="1631"/>
      <c r="C3064" s="2805" t="s">
        <v>7965</v>
      </c>
      <c r="D3064" s="2805"/>
      <c r="E3064" s="2805"/>
      <c r="F3064" s="1683" t="s">
        <v>5928</v>
      </c>
      <c r="G3064" s="1641"/>
      <c r="H3064" s="1641"/>
      <c r="I3064" s="1641"/>
      <c r="J3064" s="1654">
        <v>10.08</v>
      </c>
      <c r="K3064" s="1655">
        <v>0.25</v>
      </c>
      <c r="L3064" s="1654">
        <v>212.27</v>
      </c>
      <c r="M3064" s="1655">
        <v>35.75</v>
      </c>
      <c r="N3064" s="1679">
        <v>7588.65</v>
      </c>
      <c r="EW3064" s="2031"/>
      <c r="EX3064" s="1619"/>
      <c r="EY3064" s="1628"/>
      <c r="EZ3064" s="1628"/>
      <c r="FA3064" s="1628"/>
      <c r="FF3064" s="1864" t="s">
        <v>7965</v>
      </c>
      <c r="FH3064" s="1628"/>
      <c r="FU3064" s="1678"/>
      <c r="FW3064" s="1678"/>
    </row>
    <row r="3065" spans="1:179" s="1484" customFormat="1" ht="15" x14ac:dyDescent="0.25">
      <c r="A3065" s="2033"/>
      <c r="B3065" s="1631"/>
      <c r="C3065" s="2805" t="s">
        <v>867</v>
      </c>
      <c r="D3065" s="2805"/>
      <c r="E3065" s="2805"/>
      <c r="F3065" s="1683"/>
      <c r="G3065" s="1641"/>
      <c r="H3065" s="1641"/>
      <c r="I3065" s="1641"/>
      <c r="J3065" s="1640"/>
      <c r="K3065" s="1641"/>
      <c r="L3065" s="1657">
        <v>30242.83</v>
      </c>
      <c r="M3065" s="1641"/>
      <c r="N3065" s="1679">
        <v>1081181.18</v>
      </c>
      <c r="EW3065" s="2031"/>
      <c r="EX3065" s="1619"/>
      <c r="EY3065" s="1628"/>
      <c r="EZ3065" s="1628"/>
      <c r="FA3065" s="1628"/>
      <c r="FF3065" s="1864" t="s">
        <v>867</v>
      </c>
      <c r="FH3065" s="1628"/>
      <c r="FU3065" s="1678"/>
      <c r="FW3065" s="1678"/>
    </row>
    <row r="3066" spans="1:179" s="1484" customFormat="1" ht="15" x14ac:dyDescent="0.25">
      <c r="A3066" s="2033"/>
      <c r="B3066" s="1631" t="s">
        <v>7966</v>
      </c>
      <c r="C3066" s="2805" t="s">
        <v>7967</v>
      </c>
      <c r="D3066" s="2805"/>
      <c r="E3066" s="2805"/>
      <c r="F3066" s="1683" t="s">
        <v>636</v>
      </c>
      <c r="G3066" s="2034">
        <v>100</v>
      </c>
      <c r="H3066" s="1641"/>
      <c r="I3066" s="2034">
        <v>100</v>
      </c>
      <c r="J3066" s="1640"/>
      <c r="K3066" s="1641"/>
      <c r="L3066" s="1657">
        <v>30242.83</v>
      </c>
      <c r="M3066" s="1641"/>
      <c r="N3066" s="1679">
        <v>1081181.18</v>
      </c>
      <c r="EW3066" s="2031"/>
      <c r="EX3066" s="1619"/>
      <c r="EY3066" s="1628"/>
      <c r="EZ3066" s="1628"/>
      <c r="FA3066" s="1628"/>
      <c r="FF3066" s="1864" t="s">
        <v>7967</v>
      </c>
      <c r="FH3066" s="1628"/>
      <c r="FU3066" s="1678"/>
      <c r="FW3066" s="1678"/>
    </row>
    <row r="3067" spans="1:179" s="1484" customFormat="1" ht="15" x14ac:dyDescent="0.25">
      <c r="A3067" s="2033"/>
      <c r="B3067" s="1631" t="s">
        <v>7968</v>
      </c>
      <c r="C3067" s="2805" t="s">
        <v>7969</v>
      </c>
      <c r="D3067" s="2805"/>
      <c r="E3067" s="2805"/>
      <c r="F3067" s="1683" t="s">
        <v>636</v>
      </c>
      <c r="G3067" s="2034">
        <v>49</v>
      </c>
      <c r="H3067" s="1641"/>
      <c r="I3067" s="2034">
        <v>49</v>
      </c>
      <c r="J3067" s="1640"/>
      <c r="K3067" s="1641"/>
      <c r="L3067" s="1657">
        <v>14818.99</v>
      </c>
      <c r="M3067" s="1641"/>
      <c r="N3067" s="1679">
        <v>529778.78</v>
      </c>
      <c r="EW3067" s="2031"/>
      <c r="EX3067" s="1619"/>
      <c r="EY3067" s="1628"/>
      <c r="EZ3067" s="1628"/>
      <c r="FA3067" s="1628"/>
      <c r="FF3067" s="1864" t="s">
        <v>7969</v>
      </c>
      <c r="FH3067" s="1628"/>
      <c r="FU3067" s="1678"/>
      <c r="FW3067" s="1678"/>
    </row>
    <row r="3068" spans="1:179" s="1484" customFormat="1" ht="15" x14ac:dyDescent="0.25">
      <c r="A3068" s="1650"/>
      <c r="B3068" s="1651"/>
      <c r="C3068" s="2803" t="s">
        <v>872</v>
      </c>
      <c r="D3068" s="2803"/>
      <c r="E3068" s="2803"/>
      <c r="F3068" s="1621"/>
      <c r="G3068" s="1622"/>
      <c r="H3068" s="1622"/>
      <c r="I3068" s="1622"/>
      <c r="J3068" s="1625"/>
      <c r="K3068" s="1622"/>
      <c r="L3068" s="1648">
        <v>75994.539999999994</v>
      </c>
      <c r="M3068" s="2037"/>
      <c r="N3068" s="1649">
        <v>2679911.92</v>
      </c>
      <c r="EW3068" s="2031"/>
      <c r="EX3068" s="1619"/>
      <c r="EY3068" s="1628"/>
      <c r="EZ3068" s="1628"/>
      <c r="FA3068" s="1628"/>
      <c r="FH3068" s="1628" t="s">
        <v>872</v>
      </c>
      <c r="FU3068" s="1678"/>
      <c r="FW3068" s="1678"/>
    </row>
    <row r="3069" spans="1:179" s="1484" customFormat="1" ht="33.75" x14ac:dyDescent="0.25">
      <c r="A3069" s="1620" t="s">
        <v>8489</v>
      </c>
      <c r="B3069" s="1863" t="s">
        <v>8490</v>
      </c>
      <c r="C3069" s="2803" t="s">
        <v>8491</v>
      </c>
      <c r="D3069" s="2803"/>
      <c r="E3069" s="2803"/>
      <c r="F3069" s="1621" t="s">
        <v>835</v>
      </c>
      <c r="G3069" s="1622">
        <v>71600.600000000006</v>
      </c>
      <c r="H3069" s="1623">
        <v>1</v>
      </c>
      <c r="I3069" s="1624">
        <v>71600.600000000006</v>
      </c>
      <c r="J3069" s="2040">
        <v>2.0699999999999998</v>
      </c>
      <c r="K3069" s="1622"/>
      <c r="L3069" s="1648">
        <v>148213.24</v>
      </c>
      <c r="M3069" s="1687">
        <v>9.14</v>
      </c>
      <c r="N3069" s="1649">
        <v>1354669.01</v>
      </c>
      <c r="EW3069" s="2031"/>
      <c r="EX3069" s="1619"/>
      <c r="EY3069" s="1628" t="s">
        <v>8491</v>
      </c>
      <c r="EZ3069" s="1628" t="s">
        <v>588</v>
      </c>
      <c r="FA3069" s="1628" t="s">
        <v>588</v>
      </c>
      <c r="FH3069" s="1628"/>
      <c r="FU3069" s="1678"/>
      <c r="FW3069" s="1678"/>
    </row>
    <row r="3070" spans="1:179" s="1484" customFormat="1" ht="15" x14ac:dyDescent="0.25">
      <c r="A3070" s="1650"/>
      <c r="B3070" s="1651"/>
      <c r="C3070" s="2805" t="s">
        <v>8722</v>
      </c>
      <c r="D3070" s="2805"/>
      <c r="E3070" s="2805"/>
      <c r="F3070" s="2805"/>
      <c r="G3070" s="2805"/>
      <c r="H3070" s="2805"/>
      <c r="I3070" s="2805"/>
      <c r="J3070" s="2805"/>
      <c r="K3070" s="2805"/>
      <c r="L3070" s="2805"/>
      <c r="M3070" s="2805"/>
      <c r="N3070" s="2806"/>
      <c r="EW3070" s="2031"/>
      <c r="EX3070" s="1619"/>
      <c r="EY3070" s="1628"/>
      <c r="EZ3070" s="1628"/>
      <c r="FA3070" s="1628"/>
      <c r="FH3070" s="1628"/>
      <c r="FI3070" s="1864" t="s">
        <v>8722</v>
      </c>
      <c r="FJ3070" s="1864" t="s">
        <v>588</v>
      </c>
      <c r="FK3070" s="1864" t="s">
        <v>588</v>
      </c>
      <c r="FL3070" s="1864" t="s">
        <v>588</v>
      </c>
      <c r="FM3070" s="1864" t="s">
        <v>588</v>
      </c>
      <c r="FN3070" s="1864" t="s">
        <v>588</v>
      </c>
      <c r="FO3070" s="1864" t="s">
        <v>588</v>
      </c>
      <c r="FP3070" s="1864" t="s">
        <v>588</v>
      </c>
      <c r="FQ3070" s="1864" t="s">
        <v>588</v>
      </c>
      <c r="FR3070" s="1864" t="s">
        <v>588</v>
      </c>
      <c r="FS3070" s="1864" t="s">
        <v>588</v>
      </c>
      <c r="FT3070" s="1864" t="s">
        <v>588</v>
      </c>
      <c r="FU3070" s="1678"/>
      <c r="FW3070" s="1678"/>
    </row>
    <row r="3071" spans="1:179" s="1484" customFormat="1" ht="15" x14ac:dyDescent="0.25">
      <c r="A3071" s="1629"/>
      <c r="B3071" s="1862"/>
      <c r="C3071" s="2805" t="s">
        <v>8721</v>
      </c>
      <c r="D3071" s="2805"/>
      <c r="E3071" s="2805"/>
      <c r="F3071" s="2805"/>
      <c r="G3071" s="2805"/>
      <c r="H3071" s="2805"/>
      <c r="I3071" s="2805"/>
      <c r="J3071" s="2805"/>
      <c r="K3071" s="2805"/>
      <c r="L3071" s="2805"/>
      <c r="M3071" s="2805"/>
      <c r="N3071" s="2806"/>
      <c r="EW3071" s="2031"/>
      <c r="EX3071" s="1619"/>
      <c r="EY3071" s="1628"/>
      <c r="EZ3071" s="1628"/>
      <c r="FA3071" s="1628"/>
      <c r="FB3071" s="1864" t="s">
        <v>8721</v>
      </c>
      <c r="FH3071" s="1628"/>
      <c r="FU3071" s="1678"/>
      <c r="FW3071" s="1678"/>
    </row>
    <row r="3072" spans="1:179" s="1484" customFormat="1" ht="15" x14ac:dyDescent="0.25">
      <c r="A3072" s="1650"/>
      <c r="B3072" s="1651"/>
      <c r="C3072" s="2803" t="s">
        <v>872</v>
      </c>
      <c r="D3072" s="2803"/>
      <c r="E3072" s="2803"/>
      <c r="F3072" s="1621"/>
      <c r="G3072" s="1622"/>
      <c r="H3072" s="1622"/>
      <c r="I3072" s="1622"/>
      <c r="J3072" s="1625"/>
      <c r="K3072" s="1622"/>
      <c r="L3072" s="1648">
        <v>148213.24</v>
      </c>
      <c r="M3072" s="2037"/>
      <c r="N3072" s="1649">
        <v>1354669.01</v>
      </c>
      <c r="EW3072" s="2031"/>
      <c r="EX3072" s="1619"/>
      <c r="EY3072" s="1628"/>
      <c r="EZ3072" s="1628"/>
      <c r="FA3072" s="1628"/>
      <c r="FH3072" s="1628" t="s">
        <v>872</v>
      </c>
      <c r="FU3072" s="1678"/>
      <c r="FW3072" s="1678"/>
    </row>
    <row r="3073" spans="1:179" s="1484" customFormat="1" ht="22.5" x14ac:dyDescent="0.25">
      <c r="A3073" s="1620" t="s">
        <v>8492</v>
      </c>
      <c r="B3073" s="1863" t="s">
        <v>8479</v>
      </c>
      <c r="C3073" s="2803" t="s">
        <v>8480</v>
      </c>
      <c r="D3073" s="2803"/>
      <c r="E3073" s="2803"/>
      <c r="F3073" s="1621" t="s">
        <v>2555</v>
      </c>
      <c r="G3073" s="1622">
        <v>2.6539999999999999</v>
      </c>
      <c r="H3073" s="1623">
        <v>1</v>
      </c>
      <c r="I3073" s="2045">
        <v>2.6539999999999999</v>
      </c>
      <c r="J3073" s="1625"/>
      <c r="K3073" s="1622"/>
      <c r="L3073" s="1625"/>
      <c r="M3073" s="1622"/>
      <c r="N3073" s="1627"/>
      <c r="EW3073" s="2031"/>
      <c r="EX3073" s="1619"/>
      <c r="EY3073" s="1628" t="s">
        <v>8480</v>
      </c>
      <c r="EZ3073" s="1628" t="s">
        <v>588</v>
      </c>
      <c r="FA3073" s="1628" t="s">
        <v>588</v>
      </c>
      <c r="FH3073" s="1628"/>
      <c r="FU3073" s="1678"/>
      <c r="FW3073" s="1678"/>
    </row>
    <row r="3074" spans="1:179" s="1484" customFormat="1" ht="15" x14ac:dyDescent="0.25">
      <c r="A3074" s="1629"/>
      <c r="B3074" s="1862"/>
      <c r="C3074" s="2805" t="s">
        <v>8720</v>
      </c>
      <c r="D3074" s="2805"/>
      <c r="E3074" s="2805"/>
      <c r="F3074" s="2805"/>
      <c r="G3074" s="2805"/>
      <c r="H3074" s="2805"/>
      <c r="I3074" s="2805"/>
      <c r="J3074" s="2805"/>
      <c r="K3074" s="2805"/>
      <c r="L3074" s="2805"/>
      <c r="M3074" s="2805"/>
      <c r="N3074" s="2806"/>
      <c r="EW3074" s="2031"/>
      <c r="EX3074" s="1619"/>
      <c r="EY3074" s="1628"/>
      <c r="EZ3074" s="1628"/>
      <c r="FA3074" s="1628"/>
      <c r="FB3074" s="1864" t="s">
        <v>8720</v>
      </c>
      <c r="FH3074" s="1628"/>
      <c r="FU3074" s="1678"/>
      <c r="FW3074" s="1678"/>
    </row>
    <row r="3075" spans="1:179" s="1484" customFormat="1" ht="22.5" x14ac:dyDescent="0.25">
      <c r="A3075" s="1630"/>
      <c r="B3075" s="1631" t="s">
        <v>6062</v>
      </c>
      <c r="C3075" s="2809" t="s">
        <v>6063</v>
      </c>
      <c r="D3075" s="2809"/>
      <c r="E3075" s="2809"/>
      <c r="F3075" s="2809"/>
      <c r="G3075" s="2809"/>
      <c r="H3075" s="2809"/>
      <c r="I3075" s="2809"/>
      <c r="J3075" s="2809"/>
      <c r="K3075" s="2809"/>
      <c r="L3075" s="2809"/>
      <c r="M3075" s="2809"/>
      <c r="N3075" s="2810"/>
      <c r="EW3075" s="2031"/>
      <c r="EX3075" s="1619"/>
      <c r="EY3075" s="1628"/>
      <c r="EZ3075" s="1628"/>
      <c r="FA3075" s="1628"/>
      <c r="FC3075" s="1864" t="s">
        <v>6063</v>
      </c>
      <c r="FH3075" s="1628"/>
      <c r="FU3075" s="1678"/>
      <c r="FW3075" s="1678"/>
    </row>
    <row r="3076" spans="1:179" s="1484" customFormat="1" ht="22.5" x14ac:dyDescent="0.25">
      <c r="A3076" s="2033"/>
      <c r="B3076" s="1631" t="s">
        <v>1883</v>
      </c>
      <c r="C3076" s="2805" t="s">
        <v>8708</v>
      </c>
      <c r="D3076" s="2805"/>
      <c r="E3076" s="2805"/>
      <c r="F3076" s="1683" t="s">
        <v>807</v>
      </c>
      <c r="G3076" s="1655">
        <v>4.6500000000000004</v>
      </c>
      <c r="H3076" s="1641"/>
      <c r="I3076" s="2035">
        <v>12.341100000000001</v>
      </c>
      <c r="J3076" s="1654">
        <v>9.6199999999999992</v>
      </c>
      <c r="K3076" s="1655">
        <v>1.25</v>
      </c>
      <c r="L3076" s="1654">
        <v>148.4</v>
      </c>
      <c r="M3076" s="1641"/>
      <c r="N3076" s="1681"/>
      <c r="EW3076" s="2031"/>
      <c r="EX3076" s="1619"/>
      <c r="EY3076" s="1628"/>
      <c r="EZ3076" s="1628"/>
      <c r="FA3076" s="1628"/>
      <c r="FD3076" s="1864" t="s">
        <v>8708</v>
      </c>
      <c r="FH3076" s="1628"/>
      <c r="FU3076" s="1678"/>
      <c r="FW3076" s="1678"/>
    </row>
    <row r="3077" spans="1:179" s="1484" customFormat="1" ht="22.5" x14ac:dyDescent="0.25">
      <c r="A3077" s="2033"/>
      <c r="B3077" s="1631" t="s">
        <v>5010</v>
      </c>
      <c r="C3077" s="2805" t="s">
        <v>5011</v>
      </c>
      <c r="D3077" s="2805"/>
      <c r="E3077" s="2805"/>
      <c r="F3077" s="1683" t="s">
        <v>4994</v>
      </c>
      <c r="G3077" s="1655">
        <v>0.01</v>
      </c>
      <c r="H3077" s="1641"/>
      <c r="I3077" s="2042">
        <v>2.6540000000000001E-2</v>
      </c>
      <c r="J3077" s="1654">
        <v>31.26</v>
      </c>
      <c r="K3077" s="1641"/>
      <c r="L3077" s="1654">
        <v>0.83</v>
      </c>
      <c r="M3077" s="1641"/>
      <c r="N3077" s="1681"/>
      <c r="EW3077" s="2031"/>
      <c r="EX3077" s="1619"/>
      <c r="EY3077" s="1628"/>
      <c r="EZ3077" s="1628"/>
      <c r="FA3077" s="1628"/>
      <c r="FD3077" s="1864" t="s">
        <v>5011</v>
      </c>
      <c r="FH3077" s="1628"/>
      <c r="FU3077" s="1678"/>
      <c r="FW3077" s="1678"/>
    </row>
    <row r="3078" spans="1:179" s="1484" customFormat="1" ht="15" x14ac:dyDescent="0.25">
      <c r="A3078" s="2033"/>
      <c r="B3078" s="1631" t="s">
        <v>821</v>
      </c>
      <c r="C3078" s="2805" t="s">
        <v>822</v>
      </c>
      <c r="D3078" s="2805"/>
      <c r="E3078" s="2805"/>
      <c r="F3078" s="1683" t="s">
        <v>4994</v>
      </c>
      <c r="G3078" s="1655">
        <v>0.01</v>
      </c>
      <c r="H3078" s="1641"/>
      <c r="I3078" s="2042">
        <v>2.6540000000000001E-2</v>
      </c>
      <c r="J3078" s="1654">
        <v>65.709999999999994</v>
      </c>
      <c r="K3078" s="1641"/>
      <c r="L3078" s="1654">
        <v>1.74</v>
      </c>
      <c r="M3078" s="1641"/>
      <c r="N3078" s="1681"/>
      <c r="EW3078" s="2031"/>
      <c r="EX3078" s="1619"/>
      <c r="EY3078" s="1628"/>
      <c r="EZ3078" s="1628"/>
      <c r="FA3078" s="1628"/>
      <c r="FD3078" s="1864" t="s">
        <v>822</v>
      </c>
      <c r="FH3078" s="1628"/>
      <c r="FU3078" s="1678"/>
      <c r="FW3078" s="1678"/>
    </row>
    <row r="3079" spans="1:179" s="1484" customFormat="1" ht="15" x14ac:dyDescent="0.25">
      <c r="A3079" s="2033"/>
      <c r="B3079" s="1631" t="s">
        <v>4922</v>
      </c>
      <c r="C3079" s="2805" t="s">
        <v>8707</v>
      </c>
      <c r="D3079" s="2805"/>
      <c r="E3079" s="2805"/>
      <c r="F3079" s="1683" t="s">
        <v>835</v>
      </c>
      <c r="G3079" s="1953">
        <v>0.1</v>
      </c>
      <c r="H3079" s="1641"/>
      <c r="I3079" s="2035">
        <v>0.26540000000000002</v>
      </c>
      <c r="J3079" s="1654">
        <v>1.82</v>
      </c>
      <c r="K3079" s="1641"/>
      <c r="L3079" s="1654">
        <v>0.48</v>
      </c>
      <c r="M3079" s="1641"/>
      <c r="N3079" s="1681"/>
      <c r="EW3079" s="2031"/>
      <c r="EX3079" s="1619"/>
      <c r="EY3079" s="1628"/>
      <c r="EZ3079" s="1628"/>
      <c r="FA3079" s="1628"/>
      <c r="FD3079" s="1864" t="s">
        <v>8707</v>
      </c>
      <c r="FH3079" s="1628"/>
      <c r="FU3079" s="1678"/>
      <c r="FW3079" s="1678"/>
    </row>
    <row r="3080" spans="1:179" s="1484" customFormat="1" ht="15" x14ac:dyDescent="0.25">
      <c r="A3080" s="2032"/>
      <c r="B3080" s="1631" t="s">
        <v>190</v>
      </c>
      <c r="C3080" s="2805" t="s">
        <v>2523</v>
      </c>
      <c r="D3080" s="2805"/>
      <c r="E3080" s="2805"/>
      <c r="F3080" s="1683"/>
      <c r="G3080" s="1641"/>
      <c r="H3080" s="1641"/>
      <c r="I3080" s="1641"/>
      <c r="J3080" s="1654">
        <v>44.73</v>
      </c>
      <c r="K3080" s="1655">
        <v>1.25</v>
      </c>
      <c r="L3080" s="1654">
        <v>148.38999999999999</v>
      </c>
      <c r="M3080" s="1655">
        <v>35.75</v>
      </c>
      <c r="N3080" s="1679">
        <v>5304.94</v>
      </c>
      <c r="EW3080" s="2031"/>
      <c r="EX3080" s="1619"/>
      <c r="EY3080" s="1628"/>
      <c r="EZ3080" s="1628"/>
      <c r="FA3080" s="1628"/>
      <c r="FE3080" s="1864" t="s">
        <v>2523</v>
      </c>
      <c r="FH3080" s="1628"/>
      <c r="FU3080" s="1678"/>
      <c r="FW3080" s="1678"/>
    </row>
    <row r="3081" spans="1:179" s="1484" customFormat="1" ht="15" x14ac:dyDescent="0.25">
      <c r="A3081" s="2032"/>
      <c r="B3081" s="1631" t="s">
        <v>639</v>
      </c>
      <c r="C3081" s="2805" t="s">
        <v>697</v>
      </c>
      <c r="D3081" s="2805"/>
      <c r="E3081" s="2805"/>
      <c r="F3081" s="1683"/>
      <c r="G3081" s="1641"/>
      <c r="H3081" s="1641"/>
      <c r="I3081" s="1641"/>
      <c r="J3081" s="1654">
        <v>0.97</v>
      </c>
      <c r="K3081" s="1641"/>
      <c r="L3081" s="1654">
        <v>2.57</v>
      </c>
      <c r="M3081" s="1655">
        <v>11.97</v>
      </c>
      <c r="N3081" s="2039">
        <v>30.76</v>
      </c>
      <c r="EW3081" s="2031"/>
      <c r="EX3081" s="1619"/>
      <c r="EY3081" s="1628"/>
      <c r="EZ3081" s="1628"/>
      <c r="FA3081" s="1628"/>
      <c r="FE3081" s="1864" t="s">
        <v>697</v>
      </c>
      <c r="FH3081" s="1628"/>
      <c r="FU3081" s="1678"/>
      <c r="FW3081" s="1678"/>
    </row>
    <row r="3082" spans="1:179" s="1484" customFormat="1" ht="15" x14ac:dyDescent="0.25">
      <c r="A3082" s="2032"/>
      <c r="B3082" s="1631" t="s">
        <v>640</v>
      </c>
      <c r="C3082" s="2805" t="s">
        <v>2500</v>
      </c>
      <c r="D3082" s="2805"/>
      <c r="E3082" s="2805"/>
      <c r="F3082" s="1683"/>
      <c r="G3082" s="1641"/>
      <c r="H3082" s="1641"/>
      <c r="I3082" s="1641"/>
      <c r="J3082" s="1654">
        <v>0.26</v>
      </c>
      <c r="K3082" s="1641"/>
      <c r="L3082" s="1654">
        <v>0.69</v>
      </c>
      <c r="M3082" s="1655">
        <v>35.75</v>
      </c>
      <c r="N3082" s="2039">
        <v>24.67</v>
      </c>
      <c r="EW3082" s="2031"/>
      <c r="EX3082" s="1619"/>
      <c r="EY3082" s="1628"/>
      <c r="EZ3082" s="1628"/>
      <c r="FA3082" s="1628"/>
      <c r="FE3082" s="1864" t="s">
        <v>2500</v>
      </c>
      <c r="FH3082" s="1628"/>
      <c r="FU3082" s="1678"/>
      <c r="FW3082" s="1678"/>
    </row>
    <row r="3083" spans="1:179" s="1484" customFormat="1" ht="15" x14ac:dyDescent="0.25">
      <c r="A3083" s="2032"/>
      <c r="B3083" s="1631" t="s">
        <v>232</v>
      </c>
      <c r="C3083" s="2805" t="s">
        <v>829</v>
      </c>
      <c r="D3083" s="2805"/>
      <c r="E3083" s="2805"/>
      <c r="F3083" s="1683"/>
      <c r="G3083" s="1641"/>
      <c r="H3083" s="1641"/>
      <c r="I3083" s="1641"/>
      <c r="J3083" s="1654">
        <v>0.18</v>
      </c>
      <c r="K3083" s="1641"/>
      <c r="L3083" s="1654">
        <v>0.48</v>
      </c>
      <c r="M3083" s="1655">
        <v>9.14</v>
      </c>
      <c r="N3083" s="2039">
        <v>4.3899999999999997</v>
      </c>
      <c r="EW3083" s="2031"/>
      <c r="EX3083" s="1619"/>
      <c r="EY3083" s="1628"/>
      <c r="EZ3083" s="1628"/>
      <c r="FA3083" s="1628"/>
      <c r="FE3083" s="1864" t="s">
        <v>829</v>
      </c>
      <c r="FH3083" s="1628"/>
      <c r="FU3083" s="1678"/>
      <c r="FW3083" s="1678"/>
    </row>
    <row r="3084" spans="1:179" s="1484" customFormat="1" ht="15" x14ac:dyDescent="0.25">
      <c r="A3084" s="2033"/>
      <c r="B3084" s="1631"/>
      <c r="C3084" s="2805" t="s">
        <v>2524</v>
      </c>
      <c r="D3084" s="2805"/>
      <c r="E3084" s="2805"/>
      <c r="F3084" s="1683" t="s">
        <v>807</v>
      </c>
      <c r="G3084" s="1655">
        <v>4.6500000000000004</v>
      </c>
      <c r="H3084" s="1641"/>
      <c r="I3084" s="2035">
        <v>12.341100000000001</v>
      </c>
      <c r="J3084" s="1640"/>
      <c r="K3084" s="1641"/>
      <c r="L3084" s="1640"/>
      <c r="M3084" s="1641"/>
      <c r="N3084" s="1681"/>
      <c r="EW3084" s="2031"/>
      <c r="EX3084" s="1619"/>
      <c r="EY3084" s="1628"/>
      <c r="EZ3084" s="1628"/>
      <c r="FA3084" s="1628"/>
      <c r="FF3084" s="1864" t="s">
        <v>2524</v>
      </c>
      <c r="FH3084" s="1628"/>
      <c r="FU3084" s="1678"/>
      <c r="FW3084" s="1678"/>
    </row>
    <row r="3085" spans="1:179" s="1484" customFormat="1" ht="15" x14ac:dyDescent="0.25">
      <c r="A3085" s="2033"/>
      <c r="B3085" s="1631"/>
      <c r="C3085" s="2805" t="s">
        <v>2501</v>
      </c>
      <c r="D3085" s="2805"/>
      <c r="E3085" s="2805"/>
      <c r="F3085" s="1683" t="s">
        <v>807</v>
      </c>
      <c r="G3085" s="1655">
        <v>0.02</v>
      </c>
      <c r="H3085" s="1641"/>
      <c r="I3085" s="2042">
        <v>5.3080000000000002E-2</v>
      </c>
      <c r="J3085" s="1640"/>
      <c r="K3085" s="1641"/>
      <c r="L3085" s="1640"/>
      <c r="M3085" s="1641"/>
      <c r="N3085" s="1681"/>
      <c r="EW3085" s="2031"/>
      <c r="EX3085" s="1619"/>
      <c r="EY3085" s="1628"/>
      <c r="EZ3085" s="1628"/>
      <c r="FA3085" s="1628"/>
      <c r="FF3085" s="1864" t="s">
        <v>2501</v>
      </c>
      <c r="FH3085" s="1628"/>
      <c r="FU3085" s="1678"/>
      <c r="FW3085" s="1678"/>
    </row>
    <row r="3086" spans="1:179" s="1484" customFormat="1" ht="15" x14ac:dyDescent="0.25">
      <c r="A3086" s="2032"/>
      <c r="B3086" s="1631"/>
      <c r="C3086" s="2917" t="s">
        <v>2502</v>
      </c>
      <c r="D3086" s="2917"/>
      <c r="E3086" s="2917"/>
      <c r="F3086" s="2036"/>
      <c r="G3086" s="2037"/>
      <c r="H3086" s="2037"/>
      <c r="I3086" s="2037"/>
      <c r="J3086" s="2044">
        <v>45.88</v>
      </c>
      <c r="K3086" s="2037"/>
      <c r="L3086" s="2044">
        <v>151.44</v>
      </c>
      <c r="M3086" s="2037"/>
      <c r="N3086" s="2068">
        <v>5340.09</v>
      </c>
      <c r="EW3086" s="2031"/>
      <c r="EX3086" s="1619"/>
      <c r="EY3086" s="1628"/>
      <c r="EZ3086" s="1628"/>
      <c r="FA3086" s="1628"/>
      <c r="FG3086" s="1864" t="s">
        <v>2502</v>
      </c>
      <c r="FH3086" s="1628"/>
      <c r="FU3086" s="1678"/>
      <c r="FW3086" s="1678"/>
    </row>
    <row r="3087" spans="1:179" s="1484" customFormat="1" ht="15" x14ac:dyDescent="0.25">
      <c r="A3087" s="2033" t="s">
        <v>8493</v>
      </c>
      <c r="B3087" s="1631"/>
      <c r="C3087" s="2805" t="s">
        <v>7964</v>
      </c>
      <c r="D3087" s="2805"/>
      <c r="E3087" s="2805"/>
      <c r="F3087" s="1683" t="s">
        <v>5928</v>
      </c>
      <c r="G3087" s="1641"/>
      <c r="H3087" s="1641"/>
      <c r="I3087" s="1641"/>
      <c r="J3087" s="1640"/>
      <c r="K3087" s="1641"/>
      <c r="L3087" s="1654">
        <v>0.17</v>
      </c>
      <c r="M3087" s="1641"/>
      <c r="N3087" s="2039">
        <v>6.08</v>
      </c>
      <c r="EW3087" s="2031"/>
      <c r="EX3087" s="1619"/>
      <c r="EY3087" s="1628"/>
      <c r="EZ3087" s="1628"/>
      <c r="FA3087" s="1628"/>
      <c r="FF3087" s="1864" t="s">
        <v>7964</v>
      </c>
      <c r="FH3087" s="1628"/>
      <c r="FU3087" s="1678"/>
      <c r="FW3087" s="1678"/>
    </row>
    <row r="3088" spans="1:179" s="1484" customFormat="1" ht="15" x14ac:dyDescent="0.25">
      <c r="A3088" s="2033"/>
      <c r="B3088" s="1631"/>
      <c r="C3088" s="2805" t="s">
        <v>7965</v>
      </c>
      <c r="D3088" s="2805"/>
      <c r="E3088" s="2805"/>
      <c r="F3088" s="1683" t="s">
        <v>5928</v>
      </c>
      <c r="G3088" s="1641"/>
      <c r="H3088" s="1641"/>
      <c r="I3088" s="1641"/>
      <c r="J3088" s="1654">
        <v>0.26</v>
      </c>
      <c r="K3088" s="1655">
        <v>0.25</v>
      </c>
      <c r="L3088" s="1654">
        <v>0.17</v>
      </c>
      <c r="M3088" s="1655">
        <v>35.75</v>
      </c>
      <c r="N3088" s="2039">
        <v>6.08</v>
      </c>
      <c r="EW3088" s="2031"/>
      <c r="EX3088" s="1619"/>
      <c r="EY3088" s="1628"/>
      <c r="EZ3088" s="1628"/>
      <c r="FA3088" s="1628"/>
      <c r="FF3088" s="1864" t="s">
        <v>7965</v>
      </c>
      <c r="FH3088" s="1628"/>
      <c r="FU3088" s="1678"/>
      <c r="FW3088" s="1678"/>
    </row>
    <row r="3089" spans="1:179" s="1484" customFormat="1" ht="15" x14ac:dyDescent="0.25">
      <c r="A3089" s="2033"/>
      <c r="B3089" s="1631"/>
      <c r="C3089" s="2805" t="s">
        <v>867</v>
      </c>
      <c r="D3089" s="2805"/>
      <c r="E3089" s="2805"/>
      <c r="F3089" s="1683"/>
      <c r="G3089" s="1641"/>
      <c r="H3089" s="1641"/>
      <c r="I3089" s="1641"/>
      <c r="J3089" s="1640"/>
      <c r="K3089" s="1641"/>
      <c r="L3089" s="1654">
        <v>149.25</v>
      </c>
      <c r="M3089" s="1641"/>
      <c r="N3089" s="1679">
        <v>5335.69</v>
      </c>
      <c r="EW3089" s="2031"/>
      <c r="EX3089" s="1619"/>
      <c r="EY3089" s="1628"/>
      <c r="EZ3089" s="1628"/>
      <c r="FA3089" s="1628"/>
      <c r="FF3089" s="1864" t="s">
        <v>867</v>
      </c>
      <c r="FH3089" s="1628"/>
      <c r="FU3089" s="1678"/>
      <c r="FW3089" s="1678"/>
    </row>
    <row r="3090" spans="1:179" s="1484" customFormat="1" ht="15" x14ac:dyDescent="0.25">
      <c r="A3090" s="2033"/>
      <c r="B3090" s="1631" t="s">
        <v>7966</v>
      </c>
      <c r="C3090" s="2805" t="s">
        <v>7967</v>
      </c>
      <c r="D3090" s="2805"/>
      <c r="E3090" s="2805"/>
      <c r="F3090" s="1683" t="s">
        <v>636</v>
      </c>
      <c r="G3090" s="2034">
        <v>100</v>
      </c>
      <c r="H3090" s="1641"/>
      <c r="I3090" s="2034">
        <v>100</v>
      </c>
      <c r="J3090" s="1640"/>
      <c r="K3090" s="1641"/>
      <c r="L3090" s="1654">
        <v>149.25</v>
      </c>
      <c r="M3090" s="1641"/>
      <c r="N3090" s="1679">
        <v>5335.69</v>
      </c>
      <c r="EW3090" s="2031"/>
      <c r="EX3090" s="1619"/>
      <c r="EY3090" s="1628"/>
      <c r="EZ3090" s="1628"/>
      <c r="FA3090" s="1628"/>
      <c r="FF3090" s="1864" t="s">
        <v>7967</v>
      </c>
      <c r="FH3090" s="1628"/>
      <c r="FU3090" s="1678"/>
      <c r="FW3090" s="1678"/>
    </row>
    <row r="3091" spans="1:179" s="1484" customFormat="1" ht="15" x14ac:dyDescent="0.25">
      <c r="A3091" s="2033"/>
      <c r="B3091" s="1631" t="s">
        <v>7968</v>
      </c>
      <c r="C3091" s="2805" t="s">
        <v>7969</v>
      </c>
      <c r="D3091" s="2805"/>
      <c r="E3091" s="2805"/>
      <c r="F3091" s="1683" t="s">
        <v>636</v>
      </c>
      <c r="G3091" s="2034">
        <v>49</v>
      </c>
      <c r="H3091" s="1641"/>
      <c r="I3091" s="2034">
        <v>49</v>
      </c>
      <c r="J3091" s="1640"/>
      <c r="K3091" s="1641"/>
      <c r="L3091" s="1654">
        <v>73.13</v>
      </c>
      <c r="M3091" s="1641"/>
      <c r="N3091" s="1679">
        <v>2614.4899999999998</v>
      </c>
      <c r="EW3091" s="2031"/>
      <c r="EX3091" s="1619"/>
      <c r="EY3091" s="1628"/>
      <c r="EZ3091" s="1628"/>
      <c r="FA3091" s="1628"/>
      <c r="FF3091" s="1864" t="s">
        <v>7969</v>
      </c>
      <c r="FH3091" s="1628"/>
      <c r="FU3091" s="1678"/>
      <c r="FW3091" s="1678"/>
    </row>
    <row r="3092" spans="1:179" s="1484" customFormat="1" ht="15" x14ac:dyDescent="0.25">
      <c r="A3092" s="1650"/>
      <c r="B3092" s="1651"/>
      <c r="C3092" s="2803" t="s">
        <v>872</v>
      </c>
      <c r="D3092" s="2803"/>
      <c r="E3092" s="2803"/>
      <c r="F3092" s="1621"/>
      <c r="G3092" s="1622"/>
      <c r="H3092" s="1622"/>
      <c r="I3092" s="1622"/>
      <c r="J3092" s="1625"/>
      <c r="K3092" s="1622"/>
      <c r="L3092" s="2040">
        <v>373.99</v>
      </c>
      <c r="M3092" s="2037"/>
      <c r="N3092" s="1649">
        <v>13296.35</v>
      </c>
      <c r="EW3092" s="2031"/>
      <c r="EX3092" s="1619"/>
      <c r="EY3092" s="1628"/>
      <c r="EZ3092" s="1628"/>
      <c r="FA3092" s="1628"/>
      <c r="FH3092" s="1628" t="s">
        <v>872</v>
      </c>
      <c r="FU3092" s="1678"/>
      <c r="FW3092" s="1678"/>
    </row>
    <row r="3093" spans="1:179" s="1484" customFormat="1" ht="22.5" x14ac:dyDescent="0.25">
      <c r="A3093" s="1620" t="s">
        <v>8494</v>
      </c>
      <c r="B3093" s="1863" t="s">
        <v>8483</v>
      </c>
      <c r="C3093" s="2803" t="s">
        <v>8484</v>
      </c>
      <c r="D3093" s="2803"/>
      <c r="E3093" s="2803"/>
      <c r="F3093" s="1621" t="s">
        <v>801</v>
      </c>
      <c r="G3093" s="1622">
        <v>2.7336200000000001E-2</v>
      </c>
      <c r="H3093" s="1623">
        <v>1</v>
      </c>
      <c r="I3093" s="2062">
        <v>2.7336200000000001E-2</v>
      </c>
      <c r="J3093" s="1648">
        <v>18390.16</v>
      </c>
      <c r="K3093" s="1622"/>
      <c r="L3093" s="2040">
        <v>502.72</v>
      </c>
      <c r="M3093" s="1687">
        <v>9.14</v>
      </c>
      <c r="N3093" s="1649">
        <v>4594.8599999999997</v>
      </c>
      <c r="EW3093" s="2031"/>
      <c r="EX3093" s="1619"/>
      <c r="EY3093" s="1628" t="s">
        <v>8484</v>
      </c>
      <c r="EZ3093" s="1628" t="s">
        <v>588</v>
      </c>
      <c r="FA3093" s="1628" t="s">
        <v>588</v>
      </c>
      <c r="FH3093" s="1628"/>
      <c r="FU3093" s="1678"/>
      <c r="FW3093" s="1678"/>
    </row>
    <row r="3094" spans="1:179" s="1484" customFormat="1" ht="15" x14ac:dyDescent="0.25">
      <c r="A3094" s="1650"/>
      <c r="B3094" s="1651"/>
      <c r="C3094" s="2805" t="s">
        <v>8689</v>
      </c>
      <c r="D3094" s="2805"/>
      <c r="E3094" s="2805"/>
      <c r="F3094" s="2805"/>
      <c r="G3094" s="2805"/>
      <c r="H3094" s="2805"/>
      <c r="I3094" s="2805"/>
      <c r="J3094" s="2805"/>
      <c r="K3094" s="2805"/>
      <c r="L3094" s="2805"/>
      <c r="M3094" s="2805"/>
      <c r="N3094" s="2806"/>
      <c r="EW3094" s="2031"/>
      <c r="EX3094" s="1619"/>
      <c r="EY3094" s="1628"/>
      <c r="EZ3094" s="1628"/>
      <c r="FA3094" s="1628"/>
      <c r="FH3094" s="1628"/>
      <c r="FI3094" s="1864" t="s">
        <v>8689</v>
      </c>
      <c r="FJ3094" s="1864" t="s">
        <v>588</v>
      </c>
      <c r="FK3094" s="1864" t="s">
        <v>588</v>
      </c>
      <c r="FL3094" s="1864" t="s">
        <v>588</v>
      </c>
      <c r="FM3094" s="1864" t="s">
        <v>588</v>
      </c>
      <c r="FN3094" s="1864" t="s">
        <v>588</v>
      </c>
      <c r="FO3094" s="1864" t="s">
        <v>588</v>
      </c>
      <c r="FP3094" s="1864" t="s">
        <v>588</v>
      </c>
      <c r="FQ3094" s="1864" t="s">
        <v>588</v>
      </c>
      <c r="FR3094" s="1864" t="s">
        <v>588</v>
      </c>
      <c r="FS3094" s="1864" t="s">
        <v>588</v>
      </c>
      <c r="FT3094" s="1864" t="s">
        <v>588</v>
      </c>
      <c r="FU3094" s="1678"/>
      <c r="FW3094" s="1678"/>
    </row>
    <row r="3095" spans="1:179" s="1484" customFormat="1" ht="15" x14ac:dyDescent="0.25">
      <c r="A3095" s="1650"/>
      <c r="B3095" s="1651"/>
      <c r="C3095" s="2803" t="s">
        <v>872</v>
      </c>
      <c r="D3095" s="2803"/>
      <c r="E3095" s="2803"/>
      <c r="F3095" s="1621"/>
      <c r="G3095" s="1622"/>
      <c r="H3095" s="1622"/>
      <c r="I3095" s="1622"/>
      <c r="J3095" s="1625"/>
      <c r="K3095" s="1622"/>
      <c r="L3095" s="2040">
        <v>502.72</v>
      </c>
      <c r="M3095" s="2037"/>
      <c r="N3095" s="1649">
        <v>4594.8599999999997</v>
      </c>
      <c r="EW3095" s="2031"/>
      <c r="EX3095" s="1619"/>
      <c r="EY3095" s="1628"/>
      <c r="EZ3095" s="1628"/>
      <c r="FA3095" s="1628"/>
      <c r="FH3095" s="1628" t="s">
        <v>872</v>
      </c>
      <c r="FU3095" s="1678"/>
      <c r="FW3095" s="1678"/>
    </row>
    <row r="3096" spans="1:179" s="1484" customFormat="1" ht="45" x14ac:dyDescent="0.25">
      <c r="A3096" s="1620" t="s">
        <v>8495</v>
      </c>
      <c r="B3096" s="1863" t="s">
        <v>8496</v>
      </c>
      <c r="C3096" s="2803" t="s">
        <v>8497</v>
      </c>
      <c r="D3096" s="2803"/>
      <c r="E3096" s="2803"/>
      <c r="F3096" s="1621" t="s">
        <v>2555</v>
      </c>
      <c r="G3096" s="1622">
        <v>1.665</v>
      </c>
      <c r="H3096" s="1623">
        <v>1</v>
      </c>
      <c r="I3096" s="2045">
        <v>1.665</v>
      </c>
      <c r="J3096" s="1625"/>
      <c r="K3096" s="1622"/>
      <c r="L3096" s="1625"/>
      <c r="M3096" s="1622"/>
      <c r="N3096" s="1627"/>
      <c r="EW3096" s="2031"/>
      <c r="EX3096" s="1619"/>
      <c r="EY3096" s="1628" t="s">
        <v>8497</v>
      </c>
      <c r="EZ3096" s="1628" t="s">
        <v>588</v>
      </c>
      <c r="FA3096" s="1628" t="s">
        <v>588</v>
      </c>
      <c r="FH3096" s="1628"/>
      <c r="FU3096" s="1678"/>
      <c r="FW3096" s="1678"/>
    </row>
    <row r="3097" spans="1:179" s="1484" customFormat="1" ht="15" x14ac:dyDescent="0.25">
      <c r="A3097" s="1629"/>
      <c r="B3097" s="1862"/>
      <c r="C3097" s="2805" t="s">
        <v>8719</v>
      </c>
      <c r="D3097" s="2805"/>
      <c r="E3097" s="2805"/>
      <c r="F3097" s="2805"/>
      <c r="G3097" s="2805"/>
      <c r="H3097" s="2805"/>
      <c r="I3097" s="2805"/>
      <c r="J3097" s="2805"/>
      <c r="K3097" s="2805"/>
      <c r="L3097" s="2805"/>
      <c r="M3097" s="2805"/>
      <c r="N3097" s="2806"/>
      <c r="EW3097" s="2031"/>
      <c r="EX3097" s="1619"/>
      <c r="EY3097" s="1628"/>
      <c r="EZ3097" s="1628"/>
      <c r="FA3097" s="1628"/>
      <c r="FB3097" s="1864" t="s">
        <v>8719</v>
      </c>
      <c r="FH3097" s="1628"/>
      <c r="FU3097" s="1678"/>
      <c r="FW3097" s="1678"/>
    </row>
    <row r="3098" spans="1:179" s="1484" customFormat="1" ht="22.5" x14ac:dyDescent="0.25">
      <c r="A3098" s="1630"/>
      <c r="B3098" s="1631" t="s">
        <v>6062</v>
      </c>
      <c r="C3098" s="2809" t="s">
        <v>6063</v>
      </c>
      <c r="D3098" s="2809"/>
      <c r="E3098" s="2809"/>
      <c r="F3098" s="2809"/>
      <c r="G3098" s="2809"/>
      <c r="H3098" s="2809"/>
      <c r="I3098" s="2809"/>
      <c r="J3098" s="2809"/>
      <c r="K3098" s="2809"/>
      <c r="L3098" s="2809"/>
      <c r="M3098" s="2809"/>
      <c r="N3098" s="2810"/>
      <c r="EW3098" s="2031"/>
      <c r="EX3098" s="1619"/>
      <c r="EY3098" s="1628"/>
      <c r="EZ3098" s="1628"/>
      <c r="FA3098" s="1628"/>
      <c r="FC3098" s="1864" t="s">
        <v>6063</v>
      </c>
      <c r="FH3098" s="1628"/>
      <c r="FU3098" s="1678"/>
      <c r="FW3098" s="1678"/>
    </row>
    <row r="3099" spans="1:179" s="1484" customFormat="1" ht="22.5" x14ac:dyDescent="0.25">
      <c r="A3099" s="2033"/>
      <c r="B3099" s="1631" t="s">
        <v>8718</v>
      </c>
      <c r="C3099" s="2805" t="s">
        <v>8717</v>
      </c>
      <c r="D3099" s="2805"/>
      <c r="E3099" s="2805"/>
      <c r="F3099" s="1683" t="s">
        <v>807</v>
      </c>
      <c r="G3099" s="2034">
        <v>117</v>
      </c>
      <c r="H3099" s="1641"/>
      <c r="I3099" s="2046">
        <v>194.80500000000001</v>
      </c>
      <c r="J3099" s="1654">
        <v>9.92</v>
      </c>
      <c r="K3099" s="1655">
        <v>1.25</v>
      </c>
      <c r="L3099" s="1657">
        <v>2415.58</v>
      </c>
      <c r="M3099" s="1641"/>
      <c r="N3099" s="1681"/>
      <c r="EW3099" s="2031"/>
      <c r="EX3099" s="1619"/>
      <c r="EY3099" s="1628"/>
      <c r="EZ3099" s="1628"/>
      <c r="FA3099" s="1628"/>
      <c r="FD3099" s="1864" t="s">
        <v>8717</v>
      </c>
      <c r="FH3099" s="1628"/>
      <c r="FU3099" s="1678"/>
      <c r="FW3099" s="1678"/>
    </row>
    <row r="3100" spans="1:179" s="1484" customFormat="1" ht="22.5" x14ac:dyDescent="0.25">
      <c r="A3100" s="2033"/>
      <c r="B3100" s="1631" t="s">
        <v>5010</v>
      </c>
      <c r="C3100" s="2805" t="s">
        <v>5011</v>
      </c>
      <c r="D3100" s="2805"/>
      <c r="E3100" s="2805"/>
      <c r="F3100" s="1683" t="s">
        <v>4994</v>
      </c>
      <c r="G3100" s="1655">
        <v>0.99</v>
      </c>
      <c r="H3100" s="1641"/>
      <c r="I3100" s="2042">
        <v>1.64835</v>
      </c>
      <c r="J3100" s="1654">
        <v>31.26</v>
      </c>
      <c r="K3100" s="1641"/>
      <c r="L3100" s="1654">
        <v>51.53</v>
      </c>
      <c r="M3100" s="1641"/>
      <c r="N3100" s="1681"/>
      <c r="EW3100" s="2031"/>
      <c r="EX3100" s="1619"/>
      <c r="EY3100" s="1628"/>
      <c r="EZ3100" s="1628"/>
      <c r="FA3100" s="1628"/>
      <c r="FD3100" s="1864" t="s">
        <v>5011</v>
      </c>
      <c r="FH3100" s="1628"/>
      <c r="FU3100" s="1678"/>
      <c r="FW3100" s="1678"/>
    </row>
    <row r="3101" spans="1:179" s="1484" customFormat="1" ht="15" x14ac:dyDescent="0.25">
      <c r="A3101" s="2033"/>
      <c r="B3101" s="1631" t="s">
        <v>5014</v>
      </c>
      <c r="C3101" s="2805" t="s">
        <v>5015</v>
      </c>
      <c r="D3101" s="2805"/>
      <c r="E3101" s="2805"/>
      <c r="F3101" s="1683" t="s">
        <v>4994</v>
      </c>
      <c r="G3101" s="1953">
        <v>4.7</v>
      </c>
      <c r="H3101" s="1641"/>
      <c r="I3101" s="2035">
        <v>7.8254999999999999</v>
      </c>
      <c r="J3101" s="1654">
        <v>14.15</v>
      </c>
      <c r="K3101" s="1641"/>
      <c r="L3101" s="1654">
        <v>110.73</v>
      </c>
      <c r="M3101" s="1641"/>
      <c r="N3101" s="1681"/>
      <c r="EW3101" s="2031"/>
      <c r="EX3101" s="1619"/>
      <c r="EY3101" s="1628"/>
      <c r="EZ3101" s="1628"/>
      <c r="FA3101" s="1628"/>
      <c r="FD3101" s="1864" t="s">
        <v>5015</v>
      </c>
      <c r="FH3101" s="1628"/>
      <c r="FU3101" s="1678"/>
      <c r="FW3101" s="1678"/>
    </row>
    <row r="3102" spans="1:179" s="1484" customFormat="1" ht="22.5" x14ac:dyDescent="0.25">
      <c r="A3102" s="2033"/>
      <c r="B3102" s="1631" t="s">
        <v>4905</v>
      </c>
      <c r="C3102" s="2805" t="s">
        <v>8702</v>
      </c>
      <c r="D3102" s="2805"/>
      <c r="E3102" s="2805"/>
      <c r="F3102" s="1683" t="s">
        <v>801</v>
      </c>
      <c r="G3102" s="2042">
        <v>1.2E-4</v>
      </c>
      <c r="H3102" s="1641"/>
      <c r="I3102" s="2049">
        <v>1.998E-4</v>
      </c>
      <c r="J3102" s="1657">
        <v>8475</v>
      </c>
      <c r="K3102" s="1641"/>
      <c r="L3102" s="1654">
        <v>1.69</v>
      </c>
      <c r="M3102" s="1641"/>
      <c r="N3102" s="1681"/>
      <c r="EW3102" s="2031"/>
      <c r="EX3102" s="1619"/>
      <c r="EY3102" s="1628"/>
      <c r="EZ3102" s="1628"/>
      <c r="FA3102" s="1628"/>
      <c r="FD3102" s="1864" t="s">
        <v>8702</v>
      </c>
      <c r="FH3102" s="1628"/>
      <c r="FU3102" s="1678"/>
      <c r="FW3102" s="1678"/>
    </row>
    <row r="3103" spans="1:179" s="1484" customFormat="1" ht="15" x14ac:dyDescent="0.25">
      <c r="A3103" s="2033"/>
      <c r="B3103" s="1631" t="s">
        <v>4931</v>
      </c>
      <c r="C3103" s="2805" t="s">
        <v>4932</v>
      </c>
      <c r="D3103" s="2805"/>
      <c r="E3103" s="2805"/>
      <c r="F3103" s="1683" t="s">
        <v>801</v>
      </c>
      <c r="G3103" s="2046">
        <v>6.0000000000000001E-3</v>
      </c>
      <c r="H3103" s="1641"/>
      <c r="I3103" s="2042">
        <v>9.9900000000000006E-3</v>
      </c>
      <c r="J3103" s="1654">
        <v>729.98</v>
      </c>
      <c r="K3103" s="1641"/>
      <c r="L3103" s="1654">
        <v>7.29</v>
      </c>
      <c r="M3103" s="1641"/>
      <c r="N3103" s="1681"/>
      <c r="EW3103" s="2031"/>
      <c r="EX3103" s="1619"/>
      <c r="EY3103" s="1628"/>
      <c r="EZ3103" s="1628"/>
      <c r="FA3103" s="1628"/>
      <c r="FD3103" s="1864" t="s">
        <v>4932</v>
      </c>
      <c r="FH3103" s="1628"/>
      <c r="FU3103" s="1678"/>
      <c r="FW3103" s="1678"/>
    </row>
    <row r="3104" spans="1:179" s="1484" customFormat="1" ht="22.5" x14ac:dyDescent="0.25">
      <c r="A3104" s="2033"/>
      <c r="B3104" s="1631" t="s">
        <v>8692</v>
      </c>
      <c r="C3104" s="2805" t="s">
        <v>8691</v>
      </c>
      <c r="D3104" s="2805"/>
      <c r="E3104" s="2805"/>
      <c r="F3104" s="1683" t="s">
        <v>832</v>
      </c>
      <c r="G3104" s="1953">
        <v>2.5</v>
      </c>
      <c r="H3104" s="1641"/>
      <c r="I3104" s="2035">
        <v>4.1624999999999996</v>
      </c>
      <c r="J3104" s="1654">
        <v>517.91</v>
      </c>
      <c r="K3104" s="1641"/>
      <c r="L3104" s="1657">
        <v>2155.8000000000002</v>
      </c>
      <c r="M3104" s="1641"/>
      <c r="N3104" s="1681"/>
      <c r="EW3104" s="2031"/>
      <c r="EX3104" s="1619"/>
      <c r="EY3104" s="1628"/>
      <c r="EZ3104" s="1628"/>
      <c r="FA3104" s="1628"/>
      <c r="FD3104" s="1864" t="s">
        <v>8691</v>
      </c>
      <c r="FH3104" s="1628"/>
      <c r="FU3104" s="1678"/>
      <c r="FW3104" s="1678"/>
    </row>
    <row r="3105" spans="1:179" s="1484" customFormat="1" ht="22.5" x14ac:dyDescent="0.25">
      <c r="A3105" s="2033"/>
      <c r="B3105" s="1631" t="s">
        <v>4953</v>
      </c>
      <c r="C3105" s="2805" t="s">
        <v>8701</v>
      </c>
      <c r="D3105" s="2805"/>
      <c r="E3105" s="2805"/>
      <c r="F3105" s="1683" t="s">
        <v>130</v>
      </c>
      <c r="G3105" s="1655">
        <v>5.54</v>
      </c>
      <c r="H3105" s="1641"/>
      <c r="I3105" s="2035">
        <v>9.2241</v>
      </c>
      <c r="J3105" s="1654">
        <v>28.25</v>
      </c>
      <c r="K3105" s="1641"/>
      <c r="L3105" s="1654">
        <v>260.58</v>
      </c>
      <c r="M3105" s="1641"/>
      <c r="N3105" s="1681"/>
      <c r="EW3105" s="2031"/>
      <c r="EX3105" s="1619"/>
      <c r="EY3105" s="1628"/>
      <c r="EZ3105" s="1628"/>
      <c r="FA3105" s="1628"/>
      <c r="FD3105" s="1864" t="s">
        <v>8701</v>
      </c>
      <c r="FH3105" s="1628"/>
      <c r="FU3105" s="1678"/>
      <c r="FW3105" s="1678"/>
    </row>
    <row r="3106" spans="1:179" s="1484" customFormat="1" ht="15" x14ac:dyDescent="0.25">
      <c r="A3106" s="2032"/>
      <c r="B3106" s="1631" t="s">
        <v>190</v>
      </c>
      <c r="C3106" s="2805" t="s">
        <v>2523</v>
      </c>
      <c r="D3106" s="2805"/>
      <c r="E3106" s="2805"/>
      <c r="F3106" s="1683"/>
      <c r="G3106" s="1641"/>
      <c r="H3106" s="1641"/>
      <c r="I3106" s="1641"/>
      <c r="J3106" s="1657">
        <v>1160.6400000000001</v>
      </c>
      <c r="K3106" s="1655">
        <v>1.25</v>
      </c>
      <c r="L3106" s="1657">
        <v>2415.58</v>
      </c>
      <c r="M3106" s="1655">
        <v>35.75</v>
      </c>
      <c r="N3106" s="1679">
        <v>86356.99</v>
      </c>
      <c r="EW3106" s="2031"/>
      <c r="EX3106" s="1619"/>
      <c r="EY3106" s="1628"/>
      <c r="EZ3106" s="1628"/>
      <c r="FA3106" s="1628"/>
      <c r="FE3106" s="1864" t="s">
        <v>2523</v>
      </c>
      <c r="FH3106" s="1628"/>
      <c r="FU3106" s="1678"/>
      <c r="FW3106" s="1678"/>
    </row>
    <row r="3107" spans="1:179" s="1484" customFormat="1" ht="15" x14ac:dyDescent="0.25">
      <c r="A3107" s="2032"/>
      <c r="B3107" s="1631" t="s">
        <v>639</v>
      </c>
      <c r="C3107" s="2805" t="s">
        <v>697</v>
      </c>
      <c r="D3107" s="2805"/>
      <c r="E3107" s="2805"/>
      <c r="F3107" s="1683"/>
      <c r="G3107" s="1641"/>
      <c r="H3107" s="1641"/>
      <c r="I3107" s="1641"/>
      <c r="J3107" s="1654">
        <v>97.46</v>
      </c>
      <c r="K3107" s="1641"/>
      <c r="L3107" s="1654">
        <v>162.27000000000001</v>
      </c>
      <c r="M3107" s="1655">
        <v>11.97</v>
      </c>
      <c r="N3107" s="1679">
        <v>1942.37</v>
      </c>
      <c r="EW3107" s="2031"/>
      <c r="EX3107" s="1619"/>
      <c r="EY3107" s="1628"/>
      <c r="EZ3107" s="1628"/>
      <c r="FA3107" s="1628"/>
      <c r="FE3107" s="1864" t="s">
        <v>697</v>
      </c>
      <c r="FH3107" s="1628"/>
      <c r="FU3107" s="1678"/>
      <c r="FW3107" s="1678"/>
    </row>
    <row r="3108" spans="1:179" s="1484" customFormat="1" ht="15" x14ac:dyDescent="0.25">
      <c r="A3108" s="2032"/>
      <c r="B3108" s="1631" t="s">
        <v>640</v>
      </c>
      <c r="C3108" s="2805" t="s">
        <v>2500</v>
      </c>
      <c r="D3108" s="2805"/>
      <c r="E3108" s="2805"/>
      <c r="F3108" s="1683"/>
      <c r="G3108" s="1641"/>
      <c r="H3108" s="1641"/>
      <c r="I3108" s="1641"/>
      <c r="J3108" s="1654">
        <v>55.25</v>
      </c>
      <c r="K3108" s="1641"/>
      <c r="L3108" s="1654">
        <v>91.99</v>
      </c>
      <c r="M3108" s="1655">
        <v>35.75</v>
      </c>
      <c r="N3108" s="1679">
        <v>3288.64</v>
      </c>
      <c r="EW3108" s="2031"/>
      <c r="EX3108" s="1619"/>
      <c r="EY3108" s="1628"/>
      <c r="EZ3108" s="1628"/>
      <c r="FA3108" s="1628"/>
      <c r="FE3108" s="1864" t="s">
        <v>2500</v>
      </c>
      <c r="FH3108" s="1628"/>
      <c r="FU3108" s="1678"/>
      <c r="FW3108" s="1678"/>
    </row>
    <row r="3109" spans="1:179" s="1484" customFormat="1" ht="15" x14ac:dyDescent="0.25">
      <c r="A3109" s="2032"/>
      <c r="B3109" s="1631" t="s">
        <v>232</v>
      </c>
      <c r="C3109" s="2805" t="s">
        <v>829</v>
      </c>
      <c r="D3109" s="2805"/>
      <c r="E3109" s="2805"/>
      <c r="F3109" s="1683"/>
      <c r="G3109" s="1641"/>
      <c r="H3109" s="1641"/>
      <c r="I3109" s="1641"/>
      <c r="J3109" s="1657">
        <v>1456.69</v>
      </c>
      <c r="K3109" s="1641"/>
      <c r="L3109" s="1657">
        <v>2425.39</v>
      </c>
      <c r="M3109" s="1655">
        <v>9.14</v>
      </c>
      <c r="N3109" s="1679">
        <v>22168.06</v>
      </c>
      <c r="EW3109" s="2031"/>
      <c r="EX3109" s="1619"/>
      <c r="EY3109" s="1628"/>
      <c r="EZ3109" s="1628"/>
      <c r="FA3109" s="1628"/>
      <c r="FE3109" s="1864" t="s">
        <v>829</v>
      </c>
      <c r="FH3109" s="1628"/>
      <c r="FU3109" s="1678"/>
      <c r="FW3109" s="1678"/>
    </row>
    <row r="3110" spans="1:179" s="1484" customFormat="1" ht="15" x14ac:dyDescent="0.25">
      <c r="A3110" s="2033"/>
      <c r="B3110" s="1631"/>
      <c r="C3110" s="2805" t="s">
        <v>2524</v>
      </c>
      <c r="D3110" s="2805"/>
      <c r="E3110" s="2805"/>
      <c r="F3110" s="1683" t="s">
        <v>807</v>
      </c>
      <c r="G3110" s="2034">
        <v>117</v>
      </c>
      <c r="H3110" s="1641"/>
      <c r="I3110" s="2046">
        <v>194.80500000000001</v>
      </c>
      <c r="J3110" s="1640"/>
      <c r="K3110" s="1641"/>
      <c r="L3110" s="1640"/>
      <c r="M3110" s="1641"/>
      <c r="N3110" s="1681"/>
      <c r="EW3110" s="2031"/>
      <c r="EX3110" s="1619"/>
      <c r="EY3110" s="1628"/>
      <c r="EZ3110" s="1628"/>
      <c r="FA3110" s="1628"/>
      <c r="FF3110" s="1864" t="s">
        <v>2524</v>
      </c>
      <c r="FH3110" s="1628"/>
      <c r="FU3110" s="1678"/>
      <c r="FW3110" s="1678"/>
    </row>
    <row r="3111" spans="1:179" s="1484" customFormat="1" ht="15" x14ac:dyDescent="0.25">
      <c r="A3111" s="2033"/>
      <c r="B3111" s="1631"/>
      <c r="C3111" s="2805" t="s">
        <v>2501</v>
      </c>
      <c r="D3111" s="2805"/>
      <c r="E3111" s="2805"/>
      <c r="F3111" s="1683" t="s">
        <v>807</v>
      </c>
      <c r="G3111" s="1655">
        <v>5.69</v>
      </c>
      <c r="H3111" s="1641"/>
      <c r="I3111" s="2042">
        <v>9.4738500000000005</v>
      </c>
      <c r="J3111" s="1640"/>
      <c r="K3111" s="1641"/>
      <c r="L3111" s="1640"/>
      <c r="M3111" s="1641"/>
      <c r="N3111" s="1681"/>
      <c r="EW3111" s="2031"/>
      <c r="EX3111" s="1619"/>
      <c r="EY3111" s="1628"/>
      <c r="EZ3111" s="1628"/>
      <c r="FA3111" s="1628"/>
      <c r="FF3111" s="1864" t="s">
        <v>2501</v>
      </c>
      <c r="FH3111" s="1628"/>
      <c r="FU3111" s="1678"/>
      <c r="FW3111" s="1678"/>
    </row>
    <row r="3112" spans="1:179" s="1484" customFormat="1" ht="15" x14ac:dyDescent="0.25">
      <c r="A3112" s="2032"/>
      <c r="B3112" s="1631"/>
      <c r="C3112" s="2917" t="s">
        <v>2502</v>
      </c>
      <c r="D3112" s="2917"/>
      <c r="E3112" s="2917"/>
      <c r="F3112" s="2036"/>
      <c r="G3112" s="2037"/>
      <c r="H3112" s="2037"/>
      <c r="I3112" s="2037"/>
      <c r="J3112" s="2038">
        <v>2714.79</v>
      </c>
      <c r="K3112" s="2037"/>
      <c r="L3112" s="2038">
        <v>5003.24</v>
      </c>
      <c r="M3112" s="2037"/>
      <c r="N3112" s="2068">
        <v>110467.42</v>
      </c>
      <c r="EW3112" s="2031"/>
      <c r="EX3112" s="1619"/>
      <c r="EY3112" s="1628"/>
      <c r="EZ3112" s="1628"/>
      <c r="FA3112" s="1628"/>
      <c r="FG3112" s="1864" t="s">
        <v>2502</v>
      </c>
      <c r="FH3112" s="1628"/>
      <c r="FU3112" s="1678"/>
      <c r="FW3112" s="1678"/>
    </row>
    <row r="3113" spans="1:179" s="1484" customFormat="1" ht="15" x14ac:dyDescent="0.25">
      <c r="A3113" s="2033" t="s">
        <v>8498</v>
      </c>
      <c r="B3113" s="1631"/>
      <c r="C3113" s="2805" t="s">
        <v>7964</v>
      </c>
      <c r="D3113" s="2805"/>
      <c r="E3113" s="2805"/>
      <c r="F3113" s="1683" t="s">
        <v>5928</v>
      </c>
      <c r="G3113" s="1641"/>
      <c r="H3113" s="1641"/>
      <c r="I3113" s="1641"/>
      <c r="J3113" s="1640"/>
      <c r="K3113" s="1641"/>
      <c r="L3113" s="1654">
        <v>23</v>
      </c>
      <c r="M3113" s="1641"/>
      <c r="N3113" s="2039">
        <v>822.25</v>
      </c>
      <c r="EW3113" s="2031"/>
      <c r="EX3113" s="1619"/>
      <c r="EY3113" s="1628"/>
      <c r="EZ3113" s="1628"/>
      <c r="FA3113" s="1628"/>
      <c r="FF3113" s="1864" t="s">
        <v>7964</v>
      </c>
      <c r="FH3113" s="1628"/>
      <c r="FU3113" s="1678"/>
      <c r="FW3113" s="1678"/>
    </row>
    <row r="3114" spans="1:179" s="1484" customFormat="1" ht="15" x14ac:dyDescent="0.25">
      <c r="A3114" s="2033"/>
      <c r="B3114" s="1631"/>
      <c r="C3114" s="2805" t="s">
        <v>7965</v>
      </c>
      <c r="D3114" s="2805"/>
      <c r="E3114" s="2805"/>
      <c r="F3114" s="1683" t="s">
        <v>5928</v>
      </c>
      <c r="G3114" s="1641"/>
      <c r="H3114" s="1641"/>
      <c r="I3114" s="1641"/>
      <c r="J3114" s="1654">
        <v>55.25</v>
      </c>
      <c r="K3114" s="1655">
        <v>0.25</v>
      </c>
      <c r="L3114" s="1654">
        <v>23</v>
      </c>
      <c r="M3114" s="1655">
        <v>35.75</v>
      </c>
      <c r="N3114" s="2039">
        <v>822.25</v>
      </c>
      <c r="EW3114" s="2031"/>
      <c r="EX3114" s="1619"/>
      <c r="EY3114" s="1628"/>
      <c r="EZ3114" s="1628"/>
      <c r="FA3114" s="1628"/>
      <c r="FF3114" s="1864" t="s">
        <v>7965</v>
      </c>
      <c r="FH3114" s="1628"/>
      <c r="FU3114" s="1678"/>
      <c r="FW3114" s="1678"/>
    </row>
    <row r="3115" spans="1:179" s="1484" customFormat="1" ht="15" x14ac:dyDescent="0.25">
      <c r="A3115" s="2033"/>
      <c r="B3115" s="1631"/>
      <c r="C3115" s="2805" t="s">
        <v>867</v>
      </c>
      <c r="D3115" s="2805"/>
      <c r="E3115" s="2805"/>
      <c r="F3115" s="1683"/>
      <c r="G3115" s="1641"/>
      <c r="H3115" s="1641"/>
      <c r="I3115" s="1641"/>
      <c r="J3115" s="1640"/>
      <c r="K3115" s="1641"/>
      <c r="L3115" s="1657">
        <v>2530.5700000000002</v>
      </c>
      <c r="M3115" s="1641"/>
      <c r="N3115" s="1679">
        <v>90467.88</v>
      </c>
      <c r="EW3115" s="2031"/>
      <c r="EX3115" s="1619"/>
      <c r="EY3115" s="1628"/>
      <c r="EZ3115" s="1628"/>
      <c r="FA3115" s="1628"/>
      <c r="FF3115" s="1864" t="s">
        <v>867</v>
      </c>
      <c r="FH3115" s="1628"/>
      <c r="FU3115" s="1678"/>
      <c r="FW3115" s="1678"/>
    </row>
    <row r="3116" spans="1:179" s="1484" customFormat="1" ht="15" x14ac:dyDescent="0.25">
      <c r="A3116" s="2033"/>
      <c r="B3116" s="1631" t="s">
        <v>7966</v>
      </c>
      <c r="C3116" s="2805" t="s">
        <v>7967</v>
      </c>
      <c r="D3116" s="2805"/>
      <c r="E3116" s="2805"/>
      <c r="F3116" s="1683" t="s">
        <v>636</v>
      </c>
      <c r="G3116" s="2034">
        <v>100</v>
      </c>
      <c r="H3116" s="1641"/>
      <c r="I3116" s="2034">
        <v>100</v>
      </c>
      <c r="J3116" s="1640"/>
      <c r="K3116" s="1641"/>
      <c r="L3116" s="1657">
        <v>2530.5700000000002</v>
      </c>
      <c r="M3116" s="1641"/>
      <c r="N3116" s="1679">
        <v>90467.88</v>
      </c>
      <c r="EW3116" s="2031"/>
      <c r="EX3116" s="1619"/>
      <c r="EY3116" s="1628"/>
      <c r="EZ3116" s="1628"/>
      <c r="FA3116" s="1628"/>
      <c r="FF3116" s="1864" t="s">
        <v>7967</v>
      </c>
      <c r="FH3116" s="1628"/>
      <c r="FU3116" s="1678"/>
      <c r="FW3116" s="1678"/>
    </row>
    <row r="3117" spans="1:179" s="1484" customFormat="1" ht="15" x14ac:dyDescent="0.25">
      <c r="A3117" s="2033"/>
      <c r="B3117" s="1631" t="s">
        <v>7968</v>
      </c>
      <c r="C3117" s="2805" t="s">
        <v>7969</v>
      </c>
      <c r="D3117" s="2805"/>
      <c r="E3117" s="2805"/>
      <c r="F3117" s="1683" t="s">
        <v>636</v>
      </c>
      <c r="G3117" s="2034">
        <v>49</v>
      </c>
      <c r="H3117" s="1641"/>
      <c r="I3117" s="2034">
        <v>49</v>
      </c>
      <c r="J3117" s="1640"/>
      <c r="K3117" s="1641"/>
      <c r="L3117" s="1657">
        <v>1239.98</v>
      </c>
      <c r="M3117" s="1641"/>
      <c r="N3117" s="1679">
        <v>44329.26</v>
      </c>
      <c r="EW3117" s="2031"/>
      <c r="EX3117" s="1619"/>
      <c r="EY3117" s="1628"/>
      <c r="EZ3117" s="1628"/>
      <c r="FA3117" s="1628"/>
      <c r="FF3117" s="1864" t="s">
        <v>7969</v>
      </c>
      <c r="FH3117" s="1628"/>
      <c r="FU3117" s="1678"/>
      <c r="FW3117" s="1678"/>
    </row>
    <row r="3118" spans="1:179" s="1484" customFormat="1" ht="15" x14ac:dyDescent="0.25">
      <c r="A3118" s="1650"/>
      <c r="B3118" s="1651"/>
      <c r="C3118" s="2803" t="s">
        <v>872</v>
      </c>
      <c r="D3118" s="2803"/>
      <c r="E3118" s="2803"/>
      <c r="F3118" s="1621"/>
      <c r="G3118" s="1622"/>
      <c r="H3118" s="1622"/>
      <c r="I3118" s="1622"/>
      <c r="J3118" s="1625"/>
      <c r="K3118" s="1622"/>
      <c r="L3118" s="1648">
        <v>8796.7900000000009</v>
      </c>
      <c r="M3118" s="2037"/>
      <c r="N3118" s="1649">
        <v>246086.81</v>
      </c>
      <c r="EW3118" s="2031"/>
      <c r="EX3118" s="1619"/>
      <c r="EY3118" s="1628"/>
      <c r="EZ3118" s="1628"/>
      <c r="FA3118" s="1628"/>
      <c r="FH3118" s="1628" t="s">
        <v>872</v>
      </c>
      <c r="FU3118" s="1678"/>
      <c r="FW3118" s="1678"/>
    </row>
    <row r="3119" spans="1:179" s="1484" customFormat="1" ht="45" x14ac:dyDescent="0.25">
      <c r="A3119" s="1620" t="s">
        <v>8499</v>
      </c>
      <c r="B3119" s="1863" t="s">
        <v>8486</v>
      </c>
      <c r="C3119" s="2803" t="s">
        <v>8487</v>
      </c>
      <c r="D3119" s="2803"/>
      <c r="E3119" s="2803"/>
      <c r="F3119" s="1621" t="s">
        <v>2555</v>
      </c>
      <c r="G3119" s="1622">
        <v>0.98899999999999999</v>
      </c>
      <c r="H3119" s="1623">
        <v>1</v>
      </c>
      <c r="I3119" s="2045">
        <v>0.98899999999999999</v>
      </c>
      <c r="J3119" s="1625"/>
      <c r="K3119" s="1622"/>
      <c r="L3119" s="1625"/>
      <c r="M3119" s="1622"/>
      <c r="N3119" s="1627"/>
      <c r="EW3119" s="2031"/>
      <c r="EX3119" s="1619"/>
      <c r="EY3119" s="1628" t="s">
        <v>8487</v>
      </c>
      <c r="EZ3119" s="1628" t="s">
        <v>588</v>
      </c>
      <c r="FA3119" s="1628" t="s">
        <v>588</v>
      </c>
      <c r="FH3119" s="1628"/>
      <c r="FU3119" s="1678"/>
      <c r="FW3119" s="1678"/>
    </row>
    <row r="3120" spans="1:179" s="1484" customFormat="1" ht="15" x14ac:dyDescent="0.25">
      <c r="A3120" s="1629"/>
      <c r="B3120" s="1862"/>
      <c r="C3120" s="2805" t="s">
        <v>8716</v>
      </c>
      <c r="D3120" s="2805"/>
      <c r="E3120" s="2805"/>
      <c r="F3120" s="2805"/>
      <c r="G3120" s="2805"/>
      <c r="H3120" s="2805"/>
      <c r="I3120" s="2805"/>
      <c r="J3120" s="2805"/>
      <c r="K3120" s="2805"/>
      <c r="L3120" s="2805"/>
      <c r="M3120" s="2805"/>
      <c r="N3120" s="2806"/>
      <c r="EW3120" s="2031"/>
      <c r="EX3120" s="1619"/>
      <c r="EY3120" s="1628"/>
      <c r="EZ3120" s="1628"/>
      <c r="FA3120" s="1628"/>
      <c r="FB3120" s="1864" t="s">
        <v>8716</v>
      </c>
      <c r="FH3120" s="1628"/>
      <c r="FU3120" s="1678"/>
      <c r="FW3120" s="1678"/>
    </row>
    <row r="3121" spans="1:179" s="1484" customFormat="1" ht="22.5" x14ac:dyDescent="0.25">
      <c r="A3121" s="1630"/>
      <c r="B3121" s="1631" t="s">
        <v>6062</v>
      </c>
      <c r="C3121" s="2809" t="s">
        <v>6063</v>
      </c>
      <c r="D3121" s="2809"/>
      <c r="E3121" s="2809"/>
      <c r="F3121" s="2809"/>
      <c r="G3121" s="2809"/>
      <c r="H3121" s="2809"/>
      <c r="I3121" s="2809"/>
      <c r="J3121" s="2809"/>
      <c r="K3121" s="2809"/>
      <c r="L3121" s="2809"/>
      <c r="M3121" s="2809"/>
      <c r="N3121" s="2810"/>
      <c r="EW3121" s="2031"/>
      <c r="EX3121" s="1619"/>
      <c r="EY3121" s="1628"/>
      <c r="EZ3121" s="1628"/>
      <c r="FA3121" s="1628"/>
      <c r="FC3121" s="1864" t="s">
        <v>6063</v>
      </c>
      <c r="FH3121" s="1628"/>
      <c r="FU3121" s="1678"/>
      <c r="FW3121" s="1678"/>
    </row>
    <row r="3122" spans="1:179" s="1484" customFormat="1" ht="22.5" x14ac:dyDescent="0.25">
      <c r="A3122" s="2033"/>
      <c r="B3122" s="1631" t="s">
        <v>1729</v>
      </c>
      <c r="C3122" s="2805" t="s">
        <v>8712</v>
      </c>
      <c r="D3122" s="2805"/>
      <c r="E3122" s="2805"/>
      <c r="F3122" s="1683" t="s">
        <v>807</v>
      </c>
      <c r="G3122" s="1655">
        <v>32.49</v>
      </c>
      <c r="H3122" s="1641"/>
      <c r="I3122" s="2042">
        <v>32.13261</v>
      </c>
      <c r="J3122" s="1654">
        <v>8.5299999999999994</v>
      </c>
      <c r="K3122" s="1655">
        <v>1.25</v>
      </c>
      <c r="L3122" s="1654">
        <v>342.61</v>
      </c>
      <c r="M3122" s="1641"/>
      <c r="N3122" s="1681"/>
      <c r="EW3122" s="2031"/>
      <c r="EX3122" s="1619"/>
      <c r="EY3122" s="1628"/>
      <c r="EZ3122" s="1628"/>
      <c r="FA3122" s="1628"/>
      <c r="FD3122" s="1864" t="s">
        <v>8712</v>
      </c>
      <c r="FH3122" s="1628"/>
      <c r="FU3122" s="1678"/>
      <c r="FW3122" s="1678"/>
    </row>
    <row r="3123" spans="1:179" s="1484" customFormat="1" ht="15" x14ac:dyDescent="0.25">
      <c r="A3123" s="2033"/>
      <c r="B3123" s="1631" t="s">
        <v>1741</v>
      </c>
      <c r="C3123" s="2805" t="s">
        <v>8697</v>
      </c>
      <c r="D3123" s="2805"/>
      <c r="E3123" s="2805"/>
      <c r="F3123" s="1683" t="s">
        <v>4994</v>
      </c>
      <c r="G3123" s="1655">
        <v>0.02</v>
      </c>
      <c r="H3123" s="1641"/>
      <c r="I3123" s="2042">
        <v>1.9779999999999999E-2</v>
      </c>
      <c r="J3123" s="1654">
        <v>89.99</v>
      </c>
      <c r="K3123" s="1641"/>
      <c r="L3123" s="1654">
        <v>1.78</v>
      </c>
      <c r="M3123" s="1641"/>
      <c r="N3123" s="1681"/>
      <c r="EW3123" s="2031"/>
      <c r="EX3123" s="1619"/>
      <c r="EY3123" s="1628"/>
      <c r="EZ3123" s="1628"/>
      <c r="FA3123" s="1628"/>
      <c r="FD3123" s="1864" t="s">
        <v>8697</v>
      </c>
      <c r="FH3123" s="1628"/>
      <c r="FU3123" s="1678"/>
      <c r="FW3123" s="1678"/>
    </row>
    <row r="3124" spans="1:179" s="1484" customFormat="1" ht="22.5" x14ac:dyDescent="0.25">
      <c r="A3124" s="2033"/>
      <c r="B3124" s="1631" t="s">
        <v>5010</v>
      </c>
      <c r="C3124" s="2805" t="s">
        <v>5011</v>
      </c>
      <c r="D3124" s="2805"/>
      <c r="E3124" s="2805"/>
      <c r="F3124" s="1683" t="s">
        <v>4994</v>
      </c>
      <c r="G3124" s="1655">
        <v>0.21</v>
      </c>
      <c r="H3124" s="1641"/>
      <c r="I3124" s="2042">
        <v>0.20769000000000001</v>
      </c>
      <c r="J3124" s="1654">
        <v>31.26</v>
      </c>
      <c r="K3124" s="1641"/>
      <c r="L3124" s="1654">
        <v>6.49</v>
      </c>
      <c r="M3124" s="1641"/>
      <c r="N3124" s="1681"/>
      <c r="EW3124" s="2031"/>
      <c r="EX3124" s="1619"/>
      <c r="EY3124" s="1628"/>
      <c r="EZ3124" s="1628"/>
      <c r="FA3124" s="1628"/>
      <c r="FD3124" s="1864" t="s">
        <v>5011</v>
      </c>
      <c r="FH3124" s="1628"/>
      <c r="FU3124" s="1678"/>
      <c r="FW3124" s="1678"/>
    </row>
    <row r="3125" spans="1:179" s="1484" customFormat="1" ht="22.5" x14ac:dyDescent="0.25">
      <c r="A3125" s="2033"/>
      <c r="B3125" s="1631" t="s">
        <v>5016</v>
      </c>
      <c r="C3125" s="2805" t="s">
        <v>5017</v>
      </c>
      <c r="D3125" s="2805"/>
      <c r="E3125" s="2805"/>
      <c r="F3125" s="1683" t="s">
        <v>4994</v>
      </c>
      <c r="G3125" s="1953">
        <v>0.7</v>
      </c>
      <c r="H3125" s="1641"/>
      <c r="I3125" s="2035">
        <v>0.69230000000000003</v>
      </c>
      <c r="J3125" s="1654">
        <v>12.39</v>
      </c>
      <c r="K3125" s="1641"/>
      <c r="L3125" s="1654">
        <v>8.58</v>
      </c>
      <c r="M3125" s="1641"/>
      <c r="N3125" s="1681"/>
      <c r="EW3125" s="2031"/>
      <c r="EX3125" s="1619"/>
      <c r="EY3125" s="1628"/>
      <c r="EZ3125" s="1628"/>
      <c r="FA3125" s="1628"/>
      <c r="FD3125" s="1864" t="s">
        <v>5017</v>
      </c>
      <c r="FH3125" s="1628"/>
      <c r="FU3125" s="1678"/>
      <c r="FW3125" s="1678"/>
    </row>
    <row r="3126" spans="1:179" s="1484" customFormat="1" ht="15" x14ac:dyDescent="0.25">
      <c r="A3126" s="2033"/>
      <c r="B3126" s="1631" t="s">
        <v>1755</v>
      </c>
      <c r="C3126" s="2805" t="s">
        <v>2634</v>
      </c>
      <c r="D3126" s="2805"/>
      <c r="E3126" s="2805"/>
      <c r="F3126" s="1683" t="s">
        <v>832</v>
      </c>
      <c r="G3126" s="1655">
        <v>0.51</v>
      </c>
      <c r="H3126" s="1641"/>
      <c r="I3126" s="2042">
        <v>0.50439000000000001</v>
      </c>
      <c r="J3126" s="1654">
        <v>2.44</v>
      </c>
      <c r="K3126" s="1641"/>
      <c r="L3126" s="1654">
        <v>1.23</v>
      </c>
      <c r="M3126" s="1641"/>
      <c r="N3126" s="1681"/>
      <c r="EW3126" s="2031"/>
      <c r="EX3126" s="1619"/>
      <c r="EY3126" s="1628"/>
      <c r="EZ3126" s="1628"/>
      <c r="FA3126" s="1628"/>
      <c r="FD3126" s="1864" t="s">
        <v>2634</v>
      </c>
      <c r="FH3126" s="1628"/>
      <c r="FU3126" s="1678"/>
      <c r="FW3126" s="1678"/>
    </row>
    <row r="3127" spans="1:179" s="1484" customFormat="1" ht="15" x14ac:dyDescent="0.25">
      <c r="A3127" s="2032"/>
      <c r="B3127" s="1631" t="s">
        <v>190</v>
      </c>
      <c r="C3127" s="2805" t="s">
        <v>2523</v>
      </c>
      <c r="D3127" s="2805"/>
      <c r="E3127" s="2805"/>
      <c r="F3127" s="1683"/>
      <c r="G3127" s="1641"/>
      <c r="H3127" s="1641"/>
      <c r="I3127" s="1641"/>
      <c r="J3127" s="1654">
        <v>277.14</v>
      </c>
      <c r="K3127" s="1655">
        <v>1.25</v>
      </c>
      <c r="L3127" s="1654">
        <v>342.61</v>
      </c>
      <c r="M3127" s="1655">
        <v>35.75</v>
      </c>
      <c r="N3127" s="1679">
        <v>12248.31</v>
      </c>
      <c r="EW3127" s="2031"/>
      <c r="EX3127" s="1619"/>
      <c r="EY3127" s="1628"/>
      <c r="EZ3127" s="1628"/>
      <c r="FA3127" s="1628"/>
      <c r="FE3127" s="1864" t="s">
        <v>2523</v>
      </c>
      <c r="FH3127" s="1628"/>
      <c r="FU3127" s="1678"/>
      <c r="FW3127" s="1678"/>
    </row>
    <row r="3128" spans="1:179" s="1484" customFormat="1" ht="15" x14ac:dyDescent="0.25">
      <c r="A3128" s="2032"/>
      <c r="B3128" s="1631" t="s">
        <v>639</v>
      </c>
      <c r="C3128" s="2805" t="s">
        <v>697</v>
      </c>
      <c r="D3128" s="2805"/>
      <c r="E3128" s="2805"/>
      <c r="F3128" s="1683"/>
      <c r="G3128" s="1641"/>
      <c r="H3128" s="1641"/>
      <c r="I3128" s="1641"/>
      <c r="J3128" s="1654">
        <v>17.03</v>
      </c>
      <c r="K3128" s="1641"/>
      <c r="L3128" s="1654">
        <v>16.84</v>
      </c>
      <c r="M3128" s="1655">
        <v>11.97</v>
      </c>
      <c r="N3128" s="2039">
        <v>201.57</v>
      </c>
      <c r="EW3128" s="2031"/>
      <c r="EX3128" s="1619"/>
      <c r="EY3128" s="1628"/>
      <c r="EZ3128" s="1628"/>
      <c r="FA3128" s="1628"/>
      <c r="FE3128" s="1864" t="s">
        <v>697</v>
      </c>
      <c r="FH3128" s="1628"/>
      <c r="FU3128" s="1678"/>
      <c r="FW3128" s="1678"/>
    </row>
    <row r="3129" spans="1:179" s="1484" customFormat="1" ht="15" x14ac:dyDescent="0.25">
      <c r="A3129" s="2032"/>
      <c r="B3129" s="1631" t="s">
        <v>640</v>
      </c>
      <c r="C3129" s="2805" t="s">
        <v>2500</v>
      </c>
      <c r="D3129" s="2805"/>
      <c r="E3129" s="2805"/>
      <c r="F3129" s="1683"/>
      <c r="G3129" s="1641"/>
      <c r="H3129" s="1641"/>
      <c r="I3129" s="1641"/>
      <c r="J3129" s="1654">
        <v>10.08</v>
      </c>
      <c r="K3129" s="1641"/>
      <c r="L3129" s="1654">
        <v>9.9700000000000006</v>
      </c>
      <c r="M3129" s="1655">
        <v>35.75</v>
      </c>
      <c r="N3129" s="2039">
        <v>356.43</v>
      </c>
      <c r="EW3129" s="2031"/>
      <c r="EX3129" s="1619"/>
      <c r="EY3129" s="1628"/>
      <c r="EZ3129" s="1628"/>
      <c r="FA3129" s="1628"/>
      <c r="FE3129" s="1864" t="s">
        <v>2500</v>
      </c>
      <c r="FH3129" s="1628"/>
      <c r="FU3129" s="1678"/>
      <c r="FW3129" s="1678"/>
    </row>
    <row r="3130" spans="1:179" s="1484" customFormat="1" ht="15" x14ac:dyDescent="0.25">
      <c r="A3130" s="2032"/>
      <c r="B3130" s="1631" t="s">
        <v>232</v>
      </c>
      <c r="C3130" s="2805" t="s">
        <v>829</v>
      </c>
      <c r="D3130" s="2805"/>
      <c r="E3130" s="2805"/>
      <c r="F3130" s="1683"/>
      <c r="G3130" s="1641"/>
      <c r="H3130" s="1641"/>
      <c r="I3130" s="1641"/>
      <c r="J3130" s="1654">
        <v>1.24</v>
      </c>
      <c r="K3130" s="1641"/>
      <c r="L3130" s="1654">
        <v>1.23</v>
      </c>
      <c r="M3130" s="1655">
        <v>9.14</v>
      </c>
      <c r="N3130" s="2039">
        <v>11.24</v>
      </c>
      <c r="EW3130" s="2031"/>
      <c r="EX3130" s="1619"/>
      <c r="EY3130" s="1628"/>
      <c r="EZ3130" s="1628"/>
      <c r="FA3130" s="1628"/>
      <c r="FE3130" s="1864" t="s">
        <v>829</v>
      </c>
      <c r="FH3130" s="1628"/>
      <c r="FU3130" s="1678"/>
      <c r="FW3130" s="1678"/>
    </row>
    <row r="3131" spans="1:179" s="1484" customFormat="1" ht="15" x14ac:dyDescent="0.25">
      <c r="A3131" s="2033"/>
      <c r="B3131" s="1631"/>
      <c r="C3131" s="2805" t="s">
        <v>2524</v>
      </c>
      <c r="D3131" s="2805"/>
      <c r="E3131" s="2805"/>
      <c r="F3131" s="1683" t="s">
        <v>807</v>
      </c>
      <c r="G3131" s="1655">
        <v>32.49</v>
      </c>
      <c r="H3131" s="1641"/>
      <c r="I3131" s="2042">
        <v>32.13261</v>
      </c>
      <c r="J3131" s="1640"/>
      <c r="K3131" s="1641"/>
      <c r="L3131" s="1640"/>
      <c r="M3131" s="1641"/>
      <c r="N3131" s="1681"/>
      <c r="EW3131" s="2031"/>
      <c r="EX3131" s="1619"/>
      <c r="EY3131" s="1628"/>
      <c r="EZ3131" s="1628"/>
      <c r="FA3131" s="1628"/>
      <c r="FF3131" s="1864" t="s">
        <v>2524</v>
      </c>
      <c r="FH3131" s="1628"/>
      <c r="FU3131" s="1678"/>
      <c r="FW3131" s="1678"/>
    </row>
    <row r="3132" spans="1:179" s="1484" customFormat="1" ht="15" x14ac:dyDescent="0.25">
      <c r="A3132" s="2033"/>
      <c r="B3132" s="1631"/>
      <c r="C3132" s="2805" t="s">
        <v>2501</v>
      </c>
      <c r="D3132" s="2805"/>
      <c r="E3132" s="2805"/>
      <c r="F3132" s="1683" t="s">
        <v>807</v>
      </c>
      <c r="G3132" s="1655">
        <v>0.93</v>
      </c>
      <c r="H3132" s="1641"/>
      <c r="I3132" s="2042">
        <v>0.91976999999999998</v>
      </c>
      <c r="J3132" s="1640"/>
      <c r="K3132" s="1641"/>
      <c r="L3132" s="1640"/>
      <c r="M3132" s="1641"/>
      <c r="N3132" s="1681"/>
      <c r="EW3132" s="2031"/>
      <c r="EX3132" s="1619"/>
      <c r="EY3132" s="1628"/>
      <c r="EZ3132" s="1628"/>
      <c r="FA3132" s="1628"/>
      <c r="FF3132" s="1864" t="s">
        <v>2501</v>
      </c>
      <c r="FH3132" s="1628"/>
      <c r="FU3132" s="1678"/>
      <c r="FW3132" s="1678"/>
    </row>
    <row r="3133" spans="1:179" s="1484" customFormat="1" ht="15" x14ac:dyDescent="0.25">
      <c r="A3133" s="2032"/>
      <c r="B3133" s="1631"/>
      <c r="C3133" s="2917" t="s">
        <v>2502</v>
      </c>
      <c r="D3133" s="2917"/>
      <c r="E3133" s="2917"/>
      <c r="F3133" s="2036"/>
      <c r="G3133" s="2037"/>
      <c r="H3133" s="2037"/>
      <c r="I3133" s="2037"/>
      <c r="J3133" s="2044">
        <v>295.41000000000003</v>
      </c>
      <c r="K3133" s="2037"/>
      <c r="L3133" s="2044">
        <v>360.68</v>
      </c>
      <c r="M3133" s="2037"/>
      <c r="N3133" s="2068">
        <v>12461.12</v>
      </c>
      <c r="EW3133" s="2031"/>
      <c r="EX3133" s="1619"/>
      <c r="EY3133" s="1628"/>
      <c r="EZ3133" s="1628"/>
      <c r="FA3133" s="1628"/>
      <c r="FG3133" s="1864" t="s">
        <v>2502</v>
      </c>
      <c r="FH3133" s="1628"/>
      <c r="FU3133" s="1678"/>
      <c r="FW3133" s="1678"/>
    </row>
    <row r="3134" spans="1:179" s="1484" customFormat="1" ht="15" x14ac:dyDescent="0.25">
      <c r="A3134" s="2033" t="s">
        <v>8500</v>
      </c>
      <c r="B3134" s="1631"/>
      <c r="C3134" s="2805" t="s">
        <v>7964</v>
      </c>
      <c r="D3134" s="2805"/>
      <c r="E3134" s="2805"/>
      <c r="F3134" s="1683" t="s">
        <v>5928</v>
      </c>
      <c r="G3134" s="1641"/>
      <c r="H3134" s="1641"/>
      <c r="I3134" s="1641"/>
      <c r="J3134" s="1640"/>
      <c r="K3134" s="1641"/>
      <c r="L3134" s="1654">
        <v>2.4900000000000002</v>
      </c>
      <c r="M3134" s="1641"/>
      <c r="N3134" s="2039">
        <v>89.02</v>
      </c>
      <c r="EW3134" s="2031"/>
      <c r="EX3134" s="1619"/>
      <c r="EY3134" s="1628"/>
      <c r="EZ3134" s="1628"/>
      <c r="FA3134" s="1628"/>
      <c r="FF3134" s="1864" t="s">
        <v>7964</v>
      </c>
      <c r="FH3134" s="1628"/>
      <c r="FU3134" s="1678"/>
      <c r="FW3134" s="1678"/>
    </row>
    <row r="3135" spans="1:179" s="1484" customFormat="1" ht="15" x14ac:dyDescent="0.25">
      <c r="A3135" s="2033"/>
      <c r="B3135" s="1631"/>
      <c r="C3135" s="2805" t="s">
        <v>7965</v>
      </c>
      <c r="D3135" s="2805"/>
      <c r="E3135" s="2805"/>
      <c r="F3135" s="1683" t="s">
        <v>5928</v>
      </c>
      <c r="G3135" s="1641"/>
      <c r="H3135" s="1641"/>
      <c r="I3135" s="1641"/>
      <c r="J3135" s="1654">
        <v>10.08</v>
      </c>
      <c r="K3135" s="1655">
        <v>0.25</v>
      </c>
      <c r="L3135" s="1654">
        <v>2.4900000000000002</v>
      </c>
      <c r="M3135" s="1655">
        <v>35.75</v>
      </c>
      <c r="N3135" s="2039">
        <v>89.02</v>
      </c>
      <c r="EW3135" s="2031"/>
      <c r="EX3135" s="1619"/>
      <c r="EY3135" s="1628"/>
      <c r="EZ3135" s="1628"/>
      <c r="FA3135" s="1628"/>
      <c r="FF3135" s="1864" t="s">
        <v>7965</v>
      </c>
      <c r="FH3135" s="1628"/>
      <c r="FU3135" s="1678"/>
      <c r="FW3135" s="1678"/>
    </row>
    <row r="3136" spans="1:179" s="1484" customFormat="1" ht="15" x14ac:dyDescent="0.25">
      <c r="A3136" s="2033"/>
      <c r="B3136" s="1631"/>
      <c r="C3136" s="2805" t="s">
        <v>867</v>
      </c>
      <c r="D3136" s="2805"/>
      <c r="E3136" s="2805"/>
      <c r="F3136" s="1683"/>
      <c r="G3136" s="1641"/>
      <c r="H3136" s="1641"/>
      <c r="I3136" s="1641"/>
      <c r="J3136" s="1640"/>
      <c r="K3136" s="1641"/>
      <c r="L3136" s="1654">
        <v>355.07</v>
      </c>
      <c r="M3136" s="1641"/>
      <c r="N3136" s="1679">
        <v>12693.76</v>
      </c>
      <c r="EW3136" s="2031"/>
      <c r="EX3136" s="1619"/>
      <c r="EY3136" s="1628"/>
      <c r="EZ3136" s="1628"/>
      <c r="FA3136" s="1628"/>
      <c r="FF3136" s="1864" t="s">
        <v>867</v>
      </c>
      <c r="FH3136" s="1628"/>
      <c r="FU3136" s="1678"/>
      <c r="FW3136" s="1678"/>
    </row>
    <row r="3137" spans="1:179" s="1484" customFormat="1" ht="15" x14ac:dyDescent="0.25">
      <c r="A3137" s="2033"/>
      <c r="B3137" s="1631" t="s">
        <v>7966</v>
      </c>
      <c r="C3137" s="2805" t="s">
        <v>7967</v>
      </c>
      <c r="D3137" s="2805"/>
      <c r="E3137" s="2805"/>
      <c r="F3137" s="1683" t="s">
        <v>636</v>
      </c>
      <c r="G3137" s="2034">
        <v>100</v>
      </c>
      <c r="H3137" s="1641"/>
      <c r="I3137" s="2034">
        <v>100</v>
      </c>
      <c r="J3137" s="1640"/>
      <c r="K3137" s="1641"/>
      <c r="L3137" s="1654">
        <v>355.07</v>
      </c>
      <c r="M3137" s="1641"/>
      <c r="N3137" s="1679">
        <v>12693.76</v>
      </c>
      <c r="EW3137" s="2031"/>
      <c r="EX3137" s="1619"/>
      <c r="EY3137" s="1628"/>
      <c r="EZ3137" s="1628"/>
      <c r="FA3137" s="1628"/>
      <c r="FF3137" s="1864" t="s">
        <v>7967</v>
      </c>
      <c r="FH3137" s="1628"/>
      <c r="FU3137" s="1678"/>
      <c r="FW3137" s="1678"/>
    </row>
    <row r="3138" spans="1:179" s="1484" customFormat="1" ht="15" x14ac:dyDescent="0.25">
      <c r="A3138" s="2033"/>
      <c r="B3138" s="1631" t="s">
        <v>7968</v>
      </c>
      <c r="C3138" s="2805" t="s">
        <v>7969</v>
      </c>
      <c r="D3138" s="2805"/>
      <c r="E3138" s="2805"/>
      <c r="F3138" s="1683" t="s">
        <v>636</v>
      </c>
      <c r="G3138" s="2034">
        <v>49</v>
      </c>
      <c r="H3138" s="1641"/>
      <c r="I3138" s="2034">
        <v>49</v>
      </c>
      <c r="J3138" s="1640"/>
      <c r="K3138" s="1641"/>
      <c r="L3138" s="1654">
        <v>173.98</v>
      </c>
      <c r="M3138" s="1641"/>
      <c r="N3138" s="1679">
        <v>6219.94</v>
      </c>
      <c r="EW3138" s="2031"/>
      <c r="EX3138" s="1619"/>
      <c r="EY3138" s="1628"/>
      <c r="EZ3138" s="1628"/>
      <c r="FA3138" s="1628"/>
      <c r="FF3138" s="1864" t="s">
        <v>7969</v>
      </c>
      <c r="FH3138" s="1628"/>
      <c r="FU3138" s="1678"/>
      <c r="FW3138" s="1678"/>
    </row>
    <row r="3139" spans="1:179" s="1484" customFormat="1" ht="15" x14ac:dyDescent="0.25">
      <c r="A3139" s="1650"/>
      <c r="B3139" s="1651"/>
      <c r="C3139" s="2803" t="s">
        <v>872</v>
      </c>
      <c r="D3139" s="2803"/>
      <c r="E3139" s="2803"/>
      <c r="F3139" s="1621"/>
      <c r="G3139" s="1622"/>
      <c r="H3139" s="1622"/>
      <c r="I3139" s="1622"/>
      <c r="J3139" s="1625"/>
      <c r="K3139" s="1622"/>
      <c r="L3139" s="2040">
        <v>892.22</v>
      </c>
      <c r="M3139" s="2037"/>
      <c r="N3139" s="1649">
        <v>31463.84</v>
      </c>
      <c r="EW3139" s="2031"/>
      <c r="EX3139" s="1619"/>
      <c r="EY3139" s="1628"/>
      <c r="EZ3139" s="1628"/>
      <c r="FA3139" s="1628"/>
      <c r="FH3139" s="1628" t="s">
        <v>872</v>
      </c>
      <c r="FU3139" s="1678"/>
      <c r="FW3139" s="1678"/>
    </row>
    <row r="3140" spans="1:179" s="1484" customFormat="1" ht="33.75" x14ac:dyDescent="0.25">
      <c r="A3140" s="1620" t="s">
        <v>8501</v>
      </c>
      <c r="B3140" s="1863" t="s">
        <v>8490</v>
      </c>
      <c r="C3140" s="2803" t="s">
        <v>8491</v>
      </c>
      <c r="D3140" s="2803"/>
      <c r="E3140" s="2803"/>
      <c r="F3140" s="1621" t="s">
        <v>835</v>
      </c>
      <c r="G3140" s="1622">
        <v>840.65</v>
      </c>
      <c r="H3140" s="1623">
        <v>1</v>
      </c>
      <c r="I3140" s="1687">
        <v>840.65</v>
      </c>
      <c r="J3140" s="2040">
        <v>2.0699999999999998</v>
      </c>
      <c r="K3140" s="1622"/>
      <c r="L3140" s="1648">
        <v>1740.15</v>
      </c>
      <c r="M3140" s="1687">
        <v>9.14</v>
      </c>
      <c r="N3140" s="1649">
        <v>15904.97</v>
      </c>
      <c r="EW3140" s="2031"/>
      <c r="EX3140" s="1619"/>
      <c r="EY3140" s="1628" t="s">
        <v>8491</v>
      </c>
      <c r="EZ3140" s="1628" t="s">
        <v>588</v>
      </c>
      <c r="FA3140" s="1628" t="s">
        <v>588</v>
      </c>
      <c r="FH3140" s="1628"/>
      <c r="FU3140" s="1678"/>
      <c r="FW3140" s="1678"/>
    </row>
    <row r="3141" spans="1:179" s="1484" customFormat="1" ht="15" x14ac:dyDescent="0.25">
      <c r="A3141" s="1650"/>
      <c r="B3141" s="1651"/>
      <c r="C3141" s="2805" t="s">
        <v>8689</v>
      </c>
      <c r="D3141" s="2805"/>
      <c r="E3141" s="2805"/>
      <c r="F3141" s="2805"/>
      <c r="G3141" s="2805"/>
      <c r="H3141" s="2805"/>
      <c r="I3141" s="2805"/>
      <c r="J3141" s="2805"/>
      <c r="K3141" s="2805"/>
      <c r="L3141" s="2805"/>
      <c r="M3141" s="2805"/>
      <c r="N3141" s="2806"/>
      <c r="EW3141" s="2031"/>
      <c r="EX3141" s="1619"/>
      <c r="EY3141" s="1628"/>
      <c r="EZ3141" s="1628"/>
      <c r="FA3141" s="1628"/>
      <c r="FH3141" s="1628"/>
      <c r="FI3141" s="1864" t="s">
        <v>8689</v>
      </c>
      <c r="FJ3141" s="1864" t="s">
        <v>588</v>
      </c>
      <c r="FK3141" s="1864" t="s">
        <v>588</v>
      </c>
      <c r="FL3141" s="1864" t="s">
        <v>588</v>
      </c>
      <c r="FM3141" s="1864" t="s">
        <v>588</v>
      </c>
      <c r="FN3141" s="1864" t="s">
        <v>588</v>
      </c>
      <c r="FO3141" s="1864" t="s">
        <v>588</v>
      </c>
      <c r="FP3141" s="1864" t="s">
        <v>588</v>
      </c>
      <c r="FQ3141" s="1864" t="s">
        <v>588</v>
      </c>
      <c r="FR3141" s="1864" t="s">
        <v>588</v>
      </c>
      <c r="FS3141" s="1864" t="s">
        <v>588</v>
      </c>
      <c r="FT3141" s="1864" t="s">
        <v>588</v>
      </c>
      <c r="FU3141" s="1678"/>
      <c r="FW3141" s="1678"/>
    </row>
    <row r="3142" spans="1:179" s="1484" customFormat="1" ht="15" x14ac:dyDescent="0.25">
      <c r="A3142" s="1629"/>
      <c r="B3142" s="1862"/>
      <c r="C3142" s="2805" t="s">
        <v>8715</v>
      </c>
      <c r="D3142" s="2805"/>
      <c r="E3142" s="2805"/>
      <c r="F3142" s="2805"/>
      <c r="G3142" s="2805"/>
      <c r="H3142" s="2805"/>
      <c r="I3142" s="2805"/>
      <c r="J3142" s="2805"/>
      <c r="K3142" s="2805"/>
      <c r="L3142" s="2805"/>
      <c r="M3142" s="2805"/>
      <c r="N3142" s="2806"/>
      <c r="EW3142" s="2031"/>
      <c r="EX3142" s="1619"/>
      <c r="EY3142" s="1628"/>
      <c r="EZ3142" s="1628"/>
      <c r="FA3142" s="1628"/>
      <c r="FB3142" s="1864" t="s">
        <v>8715</v>
      </c>
      <c r="FH3142" s="1628"/>
      <c r="FU3142" s="1678"/>
      <c r="FW3142" s="1678"/>
    </row>
    <row r="3143" spans="1:179" s="1484" customFormat="1" ht="15" x14ac:dyDescent="0.25">
      <c r="A3143" s="1650"/>
      <c r="B3143" s="1651"/>
      <c r="C3143" s="2803" t="s">
        <v>872</v>
      </c>
      <c r="D3143" s="2803"/>
      <c r="E3143" s="2803"/>
      <c r="F3143" s="1621"/>
      <c r="G3143" s="1622"/>
      <c r="H3143" s="1622"/>
      <c r="I3143" s="1622"/>
      <c r="J3143" s="1625"/>
      <c r="K3143" s="1622"/>
      <c r="L3143" s="1648">
        <v>1740.15</v>
      </c>
      <c r="M3143" s="2037"/>
      <c r="N3143" s="1649">
        <v>15904.97</v>
      </c>
      <c r="EW3143" s="2031"/>
      <c r="EX3143" s="1619"/>
      <c r="EY3143" s="1628"/>
      <c r="EZ3143" s="1628"/>
      <c r="FA3143" s="1628"/>
      <c r="FH3143" s="1628" t="s">
        <v>872</v>
      </c>
      <c r="FU3143" s="1678"/>
      <c r="FW3143" s="1678"/>
    </row>
    <row r="3144" spans="1:179" s="1484" customFormat="1" ht="22.5" x14ac:dyDescent="0.25">
      <c r="A3144" s="1620" t="s">
        <v>8502</v>
      </c>
      <c r="B3144" s="1863" t="s">
        <v>8473</v>
      </c>
      <c r="C3144" s="2803" t="s">
        <v>8474</v>
      </c>
      <c r="D3144" s="2803"/>
      <c r="E3144" s="2803"/>
      <c r="F3144" s="1621" t="s">
        <v>2555</v>
      </c>
      <c r="G3144" s="1622">
        <v>1.6919999999999999</v>
      </c>
      <c r="H3144" s="1623">
        <v>1</v>
      </c>
      <c r="I3144" s="2045">
        <v>1.6919999999999999</v>
      </c>
      <c r="J3144" s="1625"/>
      <c r="K3144" s="1622"/>
      <c r="L3144" s="1625"/>
      <c r="M3144" s="1622"/>
      <c r="N3144" s="1627"/>
      <c r="EW3144" s="2031"/>
      <c r="EX3144" s="1619"/>
      <c r="EY3144" s="1628" t="s">
        <v>8474</v>
      </c>
      <c r="EZ3144" s="1628" t="s">
        <v>588</v>
      </c>
      <c r="FA3144" s="1628" t="s">
        <v>588</v>
      </c>
      <c r="FH3144" s="1628"/>
      <c r="FU3144" s="1678"/>
      <c r="FW3144" s="1678"/>
    </row>
    <row r="3145" spans="1:179" s="1484" customFormat="1" ht="15" x14ac:dyDescent="0.25">
      <c r="A3145" s="1629"/>
      <c r="B3145" s="1862"/>
      <c r="C3145" s="2805" t="s">
        <v>8714</v>
      </c>
      <c r="D3145" s="2805"/>
      <c r="E3145" s="2805"/>
      <c r="F3145" s="2805"/>
      <c r="G3145" s="2805"/>
      <c r="H3145" s="2805"/>
      <c r="I3145" s="2805"/>
      <c r="J3145" s="2805"/>
      <c r="K3145" s="2805"/>
      <c r="L3145" s="2805"/>
      <c r="M3145" s="2805"/>
      <c r="N3145" s="2806"/>
      <c r="EW3145" s="2031"/>
      <c r="EX3145" s="1619"/>
      <c r="EY3145" s="1628"/>
      <c r="EZ3145" s="1628"/>
      <c r="FA3145" s="1628"/>
      <c r="FB3145" s="1864" t="s">
        <v>8714</v>
      </c>
      <c r="FH3145" s="1628"/>
      <c r="FU3145" s="1678"/>
      <c r="FW3145" s="1678"/>
    </row>
    <row r="3146" spans="1:179" s="1484" customFormat="1" ht="22.5" x14ac:dyDescent="0.25">
      <c r="A3146" s="1630"/>
      <c r="B3146" s="1631" t="s">
        <v>6062</v>
      </c>
      <c r="C3146" s="2809" t="s">
        <v>6063</v>
      </c>
      <c r="D3146" s="2809"/>
      <c r="E3146" s="2809"/>
      <c r="F3146" s="2809"/>
      <c r="G3146" s="2809"/>
      <c r="H3146" s="2809"/>
      <c r="I3146" s="2809"/>
      <c r="J3146" s="2809"/>
      <c r="K3146" s="2809"/>
      <c r="L3146" s="2809"/>
      <c r="M3146" s="2809"/>
      <c r="N3146" s="2810"/>
      <c r="EW3146" s="2031"/>
      <c r="EX3146" s="1619"/>
      <c r="EY3146" s="1628"/>
      <c r="EZ3146" s="1628"/>
      <c r="FA3146" s="1628"/>
      <c r="FC3146" s="1864" t="s">
        <v>6063</v>
      </c>
      <c r="FH3146" s="1628"/>
      <c r="FU3146" s="1678"/>
      <c r="FW3146" s="1678"/>
    </row>
    <row r="3147" spans="1:179" s="1484" customFormat="1" ht="22.5" x14ac:dyDescent="0.25">
      <c r="A3147" s="2033"/>
      <c r="B3147" s="1631" t="s">
        <v>3204</v>
      </c>
      <c r="C3147" s="2805" t="s">
        <v>8647</v>
      </c>
      <c r="D3147" s="2805"/>
      <c r="E3147" s="2805"/>
      <c r="F3147" s="1683" t="s">
        <v>807</v>
      </c>
      <c r="G3147" s="1655">
        <v>43.56</v>
      </c>
      <c r="H3147" s="1641"/>
      <c r="I3147" s="2042">
        <v>73.703519999999997</v>
      </c>
      <c r="J3147" s="1654">
        <v>8.74</v>
      </c>
      <c r="K3147" s="1655">
        <v>1.25</v>
      </c>
      <c r="L3147" s="1654">
        <v>805.21</v>
      </c>
      <c r="M3147" s="1641"/>
      <c r="N3147" s="1681"/>
      <c r="EW3147" s="2031"/>
      <c r="EX3147" s="1619"/>
      <c r="EY3147" s="1628"/>
      <c r="EZ3147" s="1628"/>
      <c r="FA3147" s="1628"/>
      <c r="FD3147" s="1864" t="s">
        <v>8647</v>
      </c>
      <c r="FH3147" s="1628"/>
      <c r="FU3147" s="1678"/>
      <c r="FW3147" s="1678"/>
    </row>
    <row r="3148" spans="1:179" s="1484" customFormat="1" ht="22.5" x14ac:dyDescent="0.25">
      <c r="A3148" s="2033"/>
      <c r="B3148" s="1631" t="s">
        <v>5008</v>
      </c>
      <c r="C3148" s="2805" t="s">
        <v>5009</v>
      </c>
      <c r="D3148" s="2805"/>
      <c r="E3148" s="2805"/>
      <c r="F3148" s="1683" t="s">
        <v>4994</v>
      </c>
      <c r="G3148" s="1655">
        <v>0.02</v>
      </c>
      <c r="H3148" s="1641"/>
      <c r="I3148" s="2042">
        <v>3.3840000000000002E-2</v>
      </c>
      <c r="J3148" s="1654">
        <v>27.66</v>
      </c>
      <c r="K3148" s="1641"/>
      <c r="L3148" s="1654">
        <v>0.94</v>
      </c>
      <c r="M3148" s="1641"/>
      <c r="N3148" s="1681"/>
      <c r="EW3148" s="2031"/>
      <c r="EX3148" s="1619"/>
      <c r="EY3148" s="1628"/>
      <c r="EZ3148" s="1628"/>
      <c r="FA3148" s="1628"/>
      <c r="FD3148" s="1864" t="s">
        <v>5009</v>
      </c>
      <c r="FH3148" s="1628"/>
      <c r="FU3148" s="1678"/>
      <c r="FW3148" s="1678"/>
    </row>
    <row r="3149" spans="1:179" s="1484" customFormat="1" ht="15" x14ac:dyDescent="0.25">
      <c r="A3149" s="2033"/>
      <c r="B3149" s="1631" t="s">
        <v>821</v>
      </c>
      <c r="C3149" s="2805" t="s">
        <v>822</v>
      </c>
      <c r="D3149" s="2805"/>
      <c r="E3149" s="2805"/>
      <c r="F3149" s="1683" t="s">
        <v>4994</v>
      </c>
      <c r="G3149" s="1655">
        <v>0.15</v>
      </c>
      <c r="H3149" s="1641"/>
      <c r="I3149" s="2035">
        <v>0.25380000000000003</v>
      </c>
      <c r="J3149" s="1654">
        <v>65.709999999999994</v>
      </c>
      <c r="K3149" s="1641"/>
      <c r="L3149" s="1654">
        <v>16.68</v>
      </c>
      <c r="M3149" s="1641"/>
      <c r="N3149" s="1681"/>
      <c r="EW3149" s="2031"/>
      <c r="EX3149" s="1619"/>
      <c r="EY3149" s="1628"/>
      <c r="EZ3149" s="1628"/>
      <c r="FA3149" s="1628"/>
      <c r="FD3149" s="1864" t="s">
        <v>822</v>
      </c>
      <c r="FH3149" s="1628"/>
      <c r="FU3149" s="1678"/>
      <c r="FW3149" s="1678"/>
    </row>
    <row r="3150" spans="1:179" s="1484" customFormat="1" ht="22.5" x14ac:dyDescent="0.25">
      <c r="A3150" s="2033"/>
      <c r="B3150" s="1631" t="s">
        <v>4916</v>
      </c>
      <c r="C3150" s="2805" t="s">
        <v>4917</v>
      </c>
      <c r="D3150" s="2805"/>
      <c r="E3150" s="2805"/>
      <c r="F3150" s="1683" t="s">
        <v>130</v>
      </c>
      <c r="G3150" s="1655">
        <v>0.84</v>
      </c>
      <c r="H3150" s="1641"/>
      <c r="I3150" s="2042">
        <v>1.4212800000000001</v>
      </c>
      <c r="J3150" s="1654">
        <v>72.319999999999993</v>
      </c>
      <c r="K3150" s="1641"/>
      <c r="L3150" s="1654">
        <v>102.79</v>
      </c>
      <c r="M3150" s="1641"/>
      <c r="N3150" s="1681"/>
      <c r="EW3150" s="2031"/>
      <c r="EX3150" s="1619"/>
      <c r="EY3150" s="1628"/>
      <c r="EZ3150" s="1628"/>
      <c r="FA3150" s="1628"/>
      <c r="FD3150" s="1864" t="s">
        <v>4917</v>
      </c>
      <c r="FH3150" s="1628"/>
      <c r="FU3150" s="1678"/>
      <c r="FW3150" s="1678"/>
    </row>
    <row r="3151" spans="1:179" s="1484" customFormat="1" ht="15" x14ac:dyDescent="0.25">
      <c r="A3151" s="2033"/>
      <c r="B3151" s="1631" t="s">
        <v>4922</v>
      </c>
      <c r="C3151" s="2805" t="s">
        <v>8707</v>
      </c>
      <c r="D3151" s="2805"/>
      <c r="E3151" s="2805"/>
      <c r="F3151" s="1683" t="s">
        <v>835</v>
      </c>
      <c r="G3151" s="1655">
        <v>0.31</v>
      </c>
      <c r="H3151" s="1641"/>
      <c r="I3151" s="2042">
        <v>0.52451999999999999</v>
      </c>
      <c r="J3151" s="1654">
        <v>1.82</v>
      </c>
      <c r="K3151" s="1641"/>
      <c r="L3151" s="1654">
        <v>0.95</v>
      </c>
      <c r="M3151" s="1641"/>
      <c r="N3151" s="1681"/>
      <c r="EW3151" s="2031"/>
      <c r="EX3151" s="1619"/>
      <c r="EY3151" s="1628"/>
      <c r="EZ3151" s="1628"/>
      <c r="FA3151" s="1628"/>
      <c r="FD3151" s="1864" t="s">
        <v>8707</v>
      </c>
      <c r="FH3151" s="1628"/>
      <c r="FU3151" s="1678"/>
      <c r="FW3151" s="1678"/>
    </row>
    <row r="3152" spans="1:179" s="1484" customFormat="1" ht="15" x14ac:dyDescent="0.25">
      <c r="A3152" s="2033"/>
      <c r="B3152" s="1631" t="s">
        <v>4991</v>
      </c>
      <c r="C3152" s="2805" t="s">
        <v>4992</v>
      </c>
      <c r="D3152" s="2805"/>
      <c r="E3152" s="2805"/>
      <c r="F3152" s="1683" t="s">
        <v>801</v>
      </c>
      <c r="G3152" s="2046">
        <v>5.0999999999999997E-2</v>
      </c>
      <c r="H3152" s="1641"/>
      <c r="I3152" s="2043">
        <v>8.6291999999999994E-2</v>
      </c>
      <c r="J3152" s="1657">
        <v>11397.1</v>
      </c>
      <c r="K3152" s="1641"/>
      <c r="L3152" s="1654">
        <v>983.48</v>
      </c>
      <c r="M3152" s="1641"/>
      <c r="N3152" s="1681"/>
      <c r="EW3152" s="2031"/>
      <c r="EX3152" s="1619"/>
      <c r="EY3152" s="1628"/>
      <c r="EZ3152" s="1628"/>
      <c r="FA3152" s="1628"/>
      <c r="FD3152" s="1864" t="s">
        <v>4992</v>
      </c>
      <c r="FH3152" s="1628"/>
      <c r="FU3152" s="1678"/>
      <c r="FW3152" s="1678"/>
    </row>
    <row r="3153" spans="1:179" s="1484" customFormat="1" ht="15" x14ac:dyDescent="0.25">
      <c r="A3153" s="2032"/>
      <c r="B3153" s="1631" t="s">
        <v>190</v>
      </c>
      <c r="C3153" s="2805" t="s">
        <v>2523</v>
      </c>
      <c r="D3153" s="2805"/>
      <c r="E3153" s="2805"/>
      <c r="F3153" s="1683"/>
      <c r="G3153" s="1641"/>
      <c r="H3153" s="1641"/>
      <c r="I3153" s="1641"/>
      <c r="J3153" s="1654">
        <v>380.71</v>
      </c>
      <c r="K3153" s="1655">
        <v>1.25</v>
      </c>
      <c r="L3153" s="1654">
        <v>805.2</v>
      </c>
      <c r="M3153" s="1655">
        <v>35.75</v>
      </c>
      <c r="N3153" s="1679">
        <v>28785.9</v>
      </c>
      <c r="EW3153" s="2031"/>
      <c r="EX3153" s="1619"/>
      <c r="EY3153" s="1628"/>
      <c r="EZ3153" s="1628"/>
      <c r="FA3153" s="1628"/>
      <c r="FE3153" s="1864" t="s">
        <v>2523</v>
      </c>
      <c r="FH3153" s="1628"/>
      <c r="FU3153" s="1678"/>
      <c r="FW3153" s="1678"/>
    </row>
    <row r="3154" spans="1:179" s="1484" customFormat="1" ht="15" x14ac:dyDescent="0.25">
      <c r="A3154" s="2032"/>
      <c r="B3154" s="1631" t="s">
        <v>639</v>
      </c>
      <c r="C3154" s="2805" t="s">
        <v>697</v>
      </c>
      <c r="D3154" s="2805"/>
      <c r="E3154" s="2805"/>
      <c r="F3154" s="1683"/>
      <c r="G3154" s="1641"/>
      <c r="H3154" s="1641"/>
      <c r="I3154" s="1641"/>
      <c r="J3154" s="1654">
        <v>10.41</v>
      </c>
      <c r="K3154" s="1641"/>
      <c r="L3154" s="1654">
        <v>17.61</v>
      </c>
      <c r="M3154" s="1655">
        <v>11.97</v>
      </c>
      <c r="N3154" s="2039">
        <v>210.79</v>
      </c>
      <c r="EW3154" s="2031"/>
      <c r="EX3154" s="1619"/>
      <c r="EY3154" s="1628"/>
      <c r="EZ3154" s="1628"/>
      <c r="FA3154" s="1628"/>
      <c r="FE3154" s="1864" t="s">
        <v>697</v>
      </c>
      <c r="FH3154" s="1628"/>
      <c r="FU3154" s="1678"/>
      <c r="FW3154" s="1678"/>
    </row>
    <row r="3155" spans="1:179" s="1484" customFormat="1" ht="15" x14ac:dyDescent="0.25">
      <c r="A3155" s="2032"/>
      <c r="B3155" s="1631" t="s">
        <v>640</v>
      </c>
      <c r="C3155" s="2805" t="s">
        <v>2500</v>
      </c>
      <c r="D3155" s="2805"/>
      <c r="E3155" s="2805"/>
      <c r="F3155" s="1683"/>
      <c r="G3155" s="1641"/>
      <c r="H3155" s="1641"/>
      <c r="I3155" s="1641"/>
      <c r="J3155" s="1654">
        <v>1.97</v>
      </c>
      <c r="K3155" s="1641"/>
      <c r="L3155" s="1654">
        <v>3.33</v>
      </c>
      <c r="M3155" s="1655">
        <v>35.75</v>
      </c>
      <c r="N3155" s="2039">
        <v>119.05</v>
      </c>
      <c r="EW3155" s="2031"/>
      <c r="EX3155" s="1619"/>
      <c r="EY3155" s="1628"/>
      <c r="EZ3155" s="1628"/>
      <c r="FA3155" s="1628"/>
      <c r="FE3155" s="1864" t="s">
        <v>2500</v>
      </c>
      <c r="FH3155" s="1628"/>
      <c r="FU3155" s="1678"/>
      <c r="FW3155" s="1678"/>
    </row>
    <row r="3156" spans="1:179" s="1484" customFormat="1" ht="15" x14ac:dyDescent="0.25">
      <c r="A3156" s="2032"/>
      <c r="B3156" s="1631" t="s">
        <v>232</v>
      </c>
      <c r="C3156" s="2805" t="s">
        <v>829</v>
      </c>
      <c r="D3156" s="2805"/>
      <c r="E3156" s="2805"/>
      <c r="F3156" s="1683"/>
      <c r="G3156" s="1641"/>
      <c r="H3156" s="1641"/>
      <c r="I3156" s="1641"/>
      <c r="J3156" s="1654">
        <v>642.55999999999995</v>
      </c>
      <c r="K3156" s="1641"/>
      <c r="L3156" s="1657">
        <v>1087.21</v>
      </c>
      <c r="M3156" s="1655">
        <v>9.14</v>
      </c>
      <c r="N3156" s="1679">
        <v>9937.1</v>
      </c>
      <c r="EW3156" s="2031"/>
      <c r="EX3156" s="1619"/>
      <c r="EY3156" s="1628"/>
      <c r="EZ3156" s="1628"/>
      <c r="FA3156" s="1628"/>
      <c r="FE3156" s="1864" t="s">
        <v>829</v>
      </c>
      <c r="FH3156" s="1628"/>
      <c r="FU3156" s="1678"/>
      <c r="FW3156" s="1678"/>
    </row>
    <row r="3157" spans="1:179" s="1484" customFormat="1" ht="15" x14ac:dyDescent="0.25">
      <c r="A3157" s="2033"/>
      <c r="B3157" s="1631"/>
      <c r="C3157" s="2805" t="s">
        <v>2524</v>
      </c>
      <c r="D3157" s="2805"/>
      <c r="E3157" s="2805"/>
      <c r="F3157" s="1683" t="s">
        <v>807</v>
      </c>
      <c r="G3157" s="1655">
        <v>43.56</v>
      </c>
      <c r="H3157" s="1641"/>
      <c r="I3157" s="2042">
        <v>73.703519999999997</v>
      </c>
      <c r="J3157" s="1640"/>
      <c r="K3157" s="1641"/>
      <c r="L3157" s="1640"/>
      <c r="M3157" s="1641"/>
      <c r="N3157" s="1681"/>
      <c r="EW3157" s="2031"/>
      <c r="EX3157" s="1619"/>
      <c r="EY3157" s="1628"/>
      <c r="EZ3157" s="1628"/>
      <c r="FA3157" s="1628"/>
      <c r="FF3157" s="1864" t="s">
        <v>2524</v>
      </c>
      <c r="FH3157" s="1628"/>
      <c r="FU3157" s="1678"/>
      <c r="FW3157" s="1678"/>
    </row>
    <row r="3158" spans="1:179" s="1484" customFormat="1" ht="15" x14ac:dyDescent="0.25">
      <c r="A3158" s="2033"/>
      <c r="B3158" s="1631"/>
      <c r="C3158" s="2805" t="s">
        <v>2501</v>
      </c>
      <c r="D3158" s="2805"/>
      <c r="E3158" s="2805"/>
      <c r="F3158" s="1683" t="s">
        <v>807</v>
      </c>
      <c r="G3158" s="1655">
        <v>0.17</v>
      </c>
      <c r="H3158" s="1641"/>
      <c r="I3158" s="2042">
        <v>0.28764000000000001</v>
      </c>
      <c r="J3158" s="1640"/>
      <c r="K3158" s="1641"/>
      <c r="L3158" s="1640"/>
      <c r="M3158" s="1641"/>
      <c r="N3158" s="1681"/>
      <c r="EW3158" s="2031"/>
      <c r="EX3158" s="1619"/>
      <c r="EY3158" s="1628"/>
      <c r="EZ3158" s="1628"/>
      <c r="FA3158" s="1628"/>
      <c r="FF3158" s="1864" t="s">
        <v>2501</v>
      </c>
      <c r="FH3158" s="1628"/>
      <c r="FU3158" s="1678"/>
      <c r="FW3158" s="1678"/>
    </row>
    <row r="3159" spans="1:179" s="1484" customFormat="1" ht="15" x14ac:dyDescent="0.25">
      <c r="A3159" s="2032"/>
      <c r="B3159" s="1631"/>
      <c r="C3159" s="2917" t="s">
        <v>2502</v>
      </c>
      <c r="D3159" s="2917"/>
      <c r="E3159" s="2917"/>
      <c r="F3159" s="2036"/>
      <c r="G3159" s="2037"/>
      <c r="H3159" s="2037"/>
      <c r="I3159" s="2037"/>
      <c r="J3159" s="2038">
        <v>1033.68</v>
      </c>
      <c r="K3159" s="2037"/>
      <c r="L3159" s="2038">
        <v>1910.02</v>
      </c>
      <c r="M3159" s="2037"/>
      <c r="N3159" s="2068">
        <v>38933.79</v>
      </c>
      <c r="EW3159" s="2031"/>
      <c r="EX3159" s="1619"/>
      <c r="EY3159" s="1628"/>
      <c r="EZ3159" s="1628"/>
      <c r="FA3159" s="1628"/>
      <c r="FG3159" s="1864" t="s">
        <v>2502</v>
      </c>
      <c r="FH3159" s="1628"/>
      <c r="FU3159" s="1678"/>
      <c r="FW3159" s="1678"/>
    </row>
    <row r="3160" spans="1:179" s="1484" customFormat="1" ht="15" x14ac:dyDescent="0.25">
      <c r="A3160" s="2033" t="s">
        <v>8503</v>
      </c>
      <c r="B3160" s="1631"/>
      <c r="C3160" s="2805" t="s">
        <v>7964</v>
      </c>
      <c r="D3160" s="2805"/>
      <c r="E3160" s="2805"/>
      <c r="F3160" s="1683" t="s">
        <v>5928</v>
      </c>
      <c r="G3160" s="1641"/>
      <c r="H3160" s="1641"/>
      <c r="I3160" s="1641"/>
      <c r="J3160" s="1640"/>
      <c r="K3160" s="1641"/>
      <c r="L3160" s="1654">
        <v>0.83</v>
      </c>
      <c r="M3160" s="1641"/>
      <c r="N3160" s="2039">
        <v>29.67</v>
      </c>
      <c r="EW3160" s="2031"/>
      <c r="EX3160" s="1619"/>
      <c r="EY3160" s="1628"/>
      <c r="EZ3160" s="1628"/>
      <c r="FA3160" s="1628"/>
      <c r="FF3160" s="1864" t="s">
        <v>7964</v>
      </c>
      <c r="FH3160" s="1628"/>
      <c r="FU3160" s="1678"/>
      <c r="FW3160" s="1678"/>
    </row>
    <row r="3161" spans="1:179" s="1484" customFormat="1" ht="15" x14ac:dyDescent="0.25">
      <c r="A3161" s="2033"/>
      <c r="B3161" s="1631"/>
      <c r="C3161" s="2805" t="s">
        <v>7965</v>
      </c>
      <c r="D3161" s="2805"/>
      <c r="E3161" s="2805"/>
      <c r="F3161" s="1683" t="s">
        <v>5928</v>
      </c>
      <c r="G3161" s="1641"/>
      <c r="H3161" s="1641"/>
      <c r="I3161" s="1641"/>
      <c r="J3161" s="1654">
        <v>1.97</v>
      </c>
      <c r="K3161" s="1655">
        <v>0.25</v>
      </c>
      <c r="L3161" s="1654">
        <v>0.83</v>
      </c>
      <c r="M3161" s="1655">
        <v>35.75</v>
      </c>
      <c r="N3161" s="2039">
        <v>29.67</v>
      </c>
      <c r="EW3161" s="2031"/>
      <c r="EX3161" s="1619"/>
      <c r="EY3161" s="1628"/>
      <c r="EZ3161" s="1628"/>
      <c r="FA3161" s="1628"/>
      <c r="FF3161" s="1864" t="s">
        <v>7965</v>
      </c>
      <c r="FH3161" s="1628"/>
      <c r="FU3161" s="1678"/>
      <c r="FW3161" s="1678"/>
    </row>
    <row r="3162" spans="1:179" s="1484" customFormat="1" ht="15" x14ac:dyDescent="0.25">
      <c r="A3162" s="2033"/>
      <c r="B3162" s="1631"/>
      <c r="C3162" s="2805" t="s">
        <v>867</v>
      </c>
      <c r="D3162" s="2805"/>
      <c r="E3162" s="2805"/>
      <c r="F3162" s="1683"/>
      <c r="G3162" s="1641"/>
      <c r="H3162" s="1641"/>
      <c r="I3162" s="1641"/>
      <c r="J3162" s="1640"/>
      <c r="K3162" s="1641"/>
      <c r="L3162" s="1654">
        <v>809.36</v>
      </c>
      <c r="M3162" s="1641"/>
      <c r="N3162" s="1679">
        <v>28934.62</v>
      </c>
      <c r="EW3162" s="2031"/>
      <c r="EX3162" s="1619"/>
      <c r="EY3162" s="1628"/>
      <c r="EZ3162" s="1628"/>
      <c r="FA3162" s="1628"/>
      <c r="FF3162" s="1864" t="s">
        <v>867</v>
      </c>
      <c r="FH3162" s="1628"/>
      <c r="FU3162" s="1678"/>
      <c r="FW3162" s="1678"/>
    </row>
    <row r="3163" spans="1:179" s="1484" customFormat="1" ht="15" x14ac:dyDescent="0.25">
      <c r="A3163" s="2033"/>
      <c r="B3163" s="1631" t="s">
        <v>7966</v>
      </c>
      <c r="C3163" s="2805" t="s">
        <v>7967</v>
      </c>
      <c r="D3163" s="2805"/>
      <c r="E3163" s="2805"/>
      <c r="F3163" s="1683" t="s">
        <v>636</v>
      </c>
      <c r="G3163" s="2034">
        <v>100</v>
      </c>
      <c r="H3163" s="1641"/>
      <c r="I3163" s="2034">
        <v>100</v>
      </c>
      <c r="J3163" s="1640"/>
      <c r="K3163" s="1641"/>
      <c r="L3163" s="1654">
        <v>809.36</v>
      </c>
      <c r="M3163" s="1641"/>
      <c r="N3163" s="1679">
        <v>28934.62</v>
      </c>
      <c r="EW3163" s="2031"/>
      <c r="EX3163" s="1619"/>
      <c r="EY3163" s="1628"/>
      <c r="EZ3163" s="1628"/>
      <c r="FA3163" s="1628"/>
      <c r="FF3163" s="1864" t="s">
        <v>7967</v>
      </c>
      <c r="FH3163" s="1628"/>
      <c r="FU3163" s="1678"/>
      <c r="FW3163" s="1678"/>
    </row>
    <row r="3164" spans="1:179" s="1484" customFormat="1" ht="15" x14ac:dyDescent="0.25">
      <c r="A3164" s="2033"/>
      <c r="B3164" s="1631" t="s">
        <v>7968</v>
      </c>
      <c r="C3164" s="2805" t="s">
        <v>7969</v>
      </c>
      <c r="D3164" s="2805"/>
      <c r="E3164" s="2805"/>
      <c r="F3164" s="1683" t="s">
        <v>636</v>
      </c>
      <c r="G3164" s="2034">
        <v>49</v>
      </c>
      <c r="H3164" s="1641"/>
      <c r="I3164" s="2034">
        <v>49</v>
      </c>
      <c r="J3164" s="1640"/>
      <c r="K3164" s="1641"/>
      <c r="L3164" s="1654">
        <v>396.59</v>
      </c>
      <c r="M3164" s="1641"/>
      <c r="N3164" s="1679">
        <v>14177.96</v>
      </c>
      <c r="EW3164" s="2031"/>
      <c r="EX3164" s="1619"/>
      <c r="EY3164" s="1628"/>
      <c r="EZ3164" s="1628"/>
      <c r="FA3164" s="1628"/>
      <c r="FF3164" s="1864" t="s">
        <v>7969</v>
      </c>
      <c r="FH3164" s="1628"/>
      <c r="FU3164" s="1678"/>
      <c r="FW3164" s="1678"/>
    </row>
    <row r="3165" spans="1:179" s="1484" customFormat="1" ht="15" x14ac:dyDescent="0.25">
      <c r="A3165" s="1650"/>
      <c r="B3165" s="1651"/>
      <c r="C3165" s="2803" t="s">
        <v>872</v>
      </c>
      <c r="D3165" s="2803"/>
      <c r="E3165" s="2803"/>
      <c r="F3165" s="1621"/>
      <c r="G3165" s="1622"/>
      <c r="H3165" s="1622"/>
      <c r="I3165" s="1622"/>
      <c r="J3165" s="1625"/>
      <c r="K3165" s="1622"/>
      <c r="L3165" s="1648">
        <v>3116.8</v>
      </c>
      <c r="M3165" s="2037"/>
      <c r="N3165" s="1649">
        <v>82076.039999999994</v>
      </c>
      <c r="EW3165" s="2031"/>
      <c r="EX3165" s="1619"/>
      <c r="EY3165" s="1628"/>
      <c r="EZ3165" s="1628"/>
      <c r="FA3165" s="1628"/>
      <c r="FH3165" s="1628" t="s">
        <v>872</v>
      </c>
      <c r="FU3165" s="1678"/>
      <c r="FW3165" s="1678"/>
    </row>
    <row r="3166" spans="1:179" s="1484" customFormat="1" ht="15" x14ac:dyDescent="0.25">
      <c r="A3166" s="1620" t="s">
        <v>8504</v>
      </c>
      <c r="B3166" s="1863" t="s">
        <v>8444</v>
      </c>
      <c r="C3166" s="2803" t="s">
        <v>8445</v>
      </c>
      <c r="D3166" s="2803"/>
      <c r="E3166" s="2803"/>
      <c r="F3166" s="1621" t="s">
        <v>4868</v>
      </c>
      <c r="G3166" s="1622">
        <v>16.920000000000002</v>
      </c>
      <c r="H3166" s="1623">
        <v>1</v>
      </c>
      <c r="I3166" s="1687">
        <v>16.920000000000002</v>
      </c>
      <c r="J3166" s="2040">
        <v>9.14</v>
      </c>
      <c r="K3166" s="1622"/>
      <c r="L3166" s="2040">
        <v>154.65</v>
      </c>
      <c r="M3166" s="1687">
        <v>9.14</v>
      </c>
      <c r="N3166" s="1649">
        <v>1413.5</v>
      </c>
      <c r="EW3166" s="2031"/>
      <c r="EX3166" s="1619"/>
      <c r="EY3166" s="1628" t="s">
        <v>8445</v>
      </c>
      <c r="EZ3166" s="1628" t="s">
        <v>588</v>
      </c>
      <c r="FA3166" s="1628" t="s">
        <v>588</v>
      </c>
      <c r="FH3166" s="1628"/>
      <c r="FU3166" s="1678"/>
      <c r="FW3166" s="1678"/>
    </row>
    <row r="3167" spans="1:179" s="1484" customFormat="1" ht="15" x14ac:dyDescent="0.25">
      <c r="A3167" s="1650"/>
      <c r="B3167" s="1651"/>
      <c r="C3167" s="2805" t="s">
        <v>8640</v>
      </c>
      <c r="D3167" s="2805"/>
      <c r="E3167" s="2805"/>
      <c r="F3167" s="2805"/>
      <c r="G3167" s="2805"/>
      <c r="H3167" s="2805"/>
      <c r="I3167" s="2805"/>
      <c r="J3167" s="2805"/>
      <c r="K3167" s="2805"/>
      <c r="L3167" s="2805"/>
      <c r="M3167" s="2805"/>
      <c r="N3167" s="2806"/>
      <c r="EW3167" s="2031"/>
      <c r="EX3167" s="1619"/>
      <c r="EY3167" s="1628"/>
      <c r="EZ3167" s="1628"/>
      <c r="FA3167" s="1628"/>
      <c r="FH3167" s="1628"/>
      <c r="FI3167" s="1864" t="s">
        <v>8640</v>
      </c>
      <c r="FJ3167" s="1864" t="s">
        <v>588</v>
      </c>
      <c r="FK3167" s="1864" t="s">
        <v>588</v>
      </c>
      <c r="FL3167" s="1864" t="s">
        <v>588</v>
      </c>
      <c r="FM3167" s="1864" t="s">
        <v>588</v>
      </c>
      <c r="FN3167" s="1864" t="s">
        <v>588</v>
      </c>
      <c r="FO3167" s="1864" t="s">
        <v>588</v>
      </c>
      <c r="FP3167" s="1864" t="s">
        <v>588</v>
      </c>
      <c r="FQ3167" s="1864" t="s">
        <v>588</v>
      </c>
      <c r="FR3167" s="1864" t="s">
        <v>588</v>
      </c>
      <c r="FS3167" s="1864" t="s">
        <v>588</v>
      </c>
      <c r="FT3167" s="1864" t="s">
        <v>588</v>
      </c>
      <c r="FU3167" s="1678"/>
      <c r="FW3167" s="1678"/>
    </row>
    <row r="3168" spans="1:179" s="1484" customFormat="1" ht="15" x14ac:dyDescent="0.25">
      <c r="A3168" s="1629"/>
      <c r="B3168" s="1862"/>
      <c r="C3168" s="2805" t="s">
        <v>8713</v>
      </c>
      <c r="D3168" s="2805"/>
      <c r="E3168" s="2805"/>
      <c r="F3168" s="2805"/>
      <c r="G3168" s="2805"/>
      <c r="H3168" s="2805"/>
      <c r="I3168" s="2805"/>
      <c r="J3168" s="2805"/>
      <c r="K3168" s="2805"/>
      <c r="L3168" s="2805"/>
      <c r="M3168" s="2805"/>
      <c r="N3168" s="2806"/>
      <c r="EW3168" s="2031"/>
      <c r="EX3168" s="1619"/>
      <c r="EY3168" s="1628"/>
      <c r="EZ3168" s="1628"/>
      <c r="FA3168" s="1628"/>
      <c r="FB3168" s="1864" t="s">
        <v>8713</v>
      </c>
      <c r="FH3168" s="1628"/>
      <c r="FU3168" s="1678"/>
      <c r="FW3168" s="1678"/>
    </row>
    <row r="3169" spans="1:179" s="1484" customFormat="1" ht="15" x14ac:dyDescent="0.25">
      <c r="A3169" s="1650"/>
      <c r="B3169" s="1651"/>
      <c r="C3169" s="2803" t="s">
        <v>872</v>
      </c>
      <c r="D3169" s="2803"/>
      <c r="E3169" s="2803"/>
      <c r="F3169" s="1621"/>
      <c r="G3169" s="1622"/>
      <c r="H3169" s="1622"/>
      <c r="I3169" s="1622"/>
      <c r="J3169" s="1625"/>
      <c r="K3169" s="1622"/>
      <c r="L3169" s="2040">
        <v>154.65</v>
      </c>
      <c r="M3169" s="2037"/>
      <c r="N3169" s="1649">
        <v>1413.5</v>
      </c>
      <c r="EW3169" s="2031"/>
      <c r="EX3169" s="1619"/>
      <c r="EY3169" s="1628"/>
      <c r="EZ3169" s="1628"/>
      <c r="FA3169" s="1628"/>
      <c r="FH3169" s="1628" t="s">
        <v>872</v>
      </c>
      <c r="FU3169" s="1678"/>
      <c r="FW3169" s="1678"/>
    </row>
    <row r="3170" spans="1:179" s="1484" customFormat="1" ht="22.5" x14ac:dyDescent="0.25">
      <c r="A3170" s="1620" t="s">
        <v>8505</v>
      </c>
      <c r="B3170" s="1863" t="s">
        <v>8506</v>
      </c>
      <c r="C3170" s="2803" t="s">
        <v>8507</v>
      </c>
      <c r="D3170" s="2803"/>
      <c r="E3170" s="2803"/>
      <c r="F3170" s="1621" t="s">
        <v>801</v>
      </c>
      <c r="G3170" s="1622">
        <v>5.076E-2</v>
      </c>
      <c r="H3170" s="1623">
        <v>1</v>
      </c>
      <c r="I3170" s="2048">
        <v>5.076E-2</v>
      </c>
      <c r="J3170" s="1648">
        <v>112876.99</v>
      </c>
      <c r="K3170" s="1622"/>
      <c r="L3170" s="1648">
        <v>5729.64</v>
      </c>
      <c r="M3170" s="1687">
        <v>9.14</v>
      </c>
      <c r="N3170" s="1649">
        <v>52368.91</v>
      </c>
      <c r="EW3170" s="2031"/>
      <c r="EX3170" s="1619"/>
      <c r="EY3170" s="1628" t="s">
        <v>8507</v>
      </c>
      <c r="EZ3170" s="1628" t="s">
        <v>588</v>
      </c>
      <c r="FA3170" s="1628" t="s">
        <v>588</v>
      </c>
      <c r="FH3170" s="1628"/>
      <c r="FU3170" s="1678"/>
      <c r="FW3170" s="1678"/>
    </row>
    <row r="3171" spans="1:179" s="1484" customFormat="1" ht="15" x14ac:dyDescent="0.25">
      <c r="A3171" s="1650"/>
      <c r="B3171" s="1651"/>
      <c r="C3171" s="2805" t="s">
        <v>8640</v>
      </c>
      <c r="D3171" s="2805"/>
      <c r="E3171" s="2805"/>
      <c r="F3171" s="2805"/>
      <c r="G3171" s="2805"/>
      <c r="H3171" s="2805"/>
      <c r="I3171" s="2805"/>
      <c r="J3171" s="2805"/>
      <c r="K3171" s="2805"/>
      <c r="L3171" s="2805"/>
      <c r="M3171" s="2805"/>
      <c r="N3171" s="2806"/>
      <c r="EW3171" s="2031"/>
      <c r="EX3171" s="1619"/>
      <c r="EY3171" s="1628"/>
      <c r="EZ3171" s="1628"/>
      <c r="FA3171" s="1628"/>
      <c r="FH3171" s="1628"/>
      <c r="FI3171" s="1864" t="s">
        <v>8640</v>
      </c>
      <c r="FJ3171" s="1864" t="s">
        <v>588</v>
      </c>
      <c r="FK3171" s="1864" t="s">
        <v>588</v>
      </c>
      <c r="FL3171" s="1864" t="s">
        <v>588</v>
      </c>
      <c r="FM3171" s="1864" t="s">
        <v>588</v>
      </c>
      <c r="FN3171" s="1864" t="s">
        <v>588</v>
      </c>
      <c r="FO3171" s="1864" t="s">
        <v>588</v>
      </c>
      <c r="FP3171" s="1864" t="s">
        <v>588</v>
      </c>
      <c r="FQ3171" s="1864" t="s">
        <v>588</v>
      </c>
      <c r="FR3171" s="1864" t="s">
        <v>588</v>
      </c>
      <c r="FS3171" s="1864" t="s">
        <v>588</v>
      </c>
      <c r="FT3171" s="1864" t="s">
        <v>588</v>
      </c>
      <c r="FU3171" s="1678"/>
      <c r="FW3171" s="1678"/>
    </row>
    <row r="3172" spans="1:179" s="1484" customFormat="1" ht="15" x14ac:dyDescent="0.25">
      <c r="A3172" s="1650"/>
      <c r="B3172" s="1651"/>
      <c r="C3172" s="2803" t="s">
        <v>872</v>
      </c>
      <c r="D3172" s="2803"/>
      <c r="E3172" s="2803"/>
      <c r="F3172" s="1621"/>
      <c r="G3172" s="1622"/>
      <c r="H3172" s="1622"/>
      <c r="I3172" s="1622"/>
      <c r="J3172" s="1625"/>
      <c r="K3172" s="1622"/>
      <c r="L3172" s="1648">
        <v>5729.64</v>
      </c>
      <c r="M3172" s="2037"/>
      <c r="N3172" s="1649">
        <v>52368.91</v>
      </c>
      <c r="EW3172" s="2031"/>
      <c r="EX3172" s="1619"/>
      <c r="EY3172" s="1628"/>
      <c r="EZ3172" s="1628"/>
      <c r="FA3172" s="1628"/>
      <c r="FH3172" s="1628" t="s">
        <v>872</v>
      </c>
      <c r="FU3172" s="1678"/>
      <c r="FW3172" s="1678"/>
    </row>
    <row r="3173" spans="1:179" s="1484" customFormat="1" ht="15" x14ac:dyDescent="0.25">
      <c r="A3173" s="2811" t="s">
        <v>8508</v>
      </c>
      <c r="B3173" s="2812"/>
      <c r="C3173" s="2812"/>
      <c r="D3173" s="2812"/>
      <c r="E3173" s="2812"/>
      <c r="F3173" s="2812"/>
      <c r="G3173" s="2812"/>
      <c r="H3173" s="2812"/>
      <c r="I3173" s="2812"/>
      <c r="J3173" s="2812"/>
      <c r="K3173" s="2812"/>
      <c r="L3173" s="2812"/>
      <c r="M3173" s="2812"/>
      <c r="N3173" s="2813"/>
      <c r="EW3173" s="2031"/>
      <c r="EX3173" s="1619" t="s">
        <v>8508</v>
      </c>
      <c r="EY3173" s="1628"/>
      <c r="EZ3173" s="1628"/>
      <c r="FA3173" s="1628"/>
      <c r="FH3173" s="1628"/>
      <c r="FU3173" s="1678"/>
      <c r="FW3173" s="1678"/>
    </row>
    <row r="3174" spans="1:179" s="1484" customFormat="1" ht="22.5" x14ac:dyDescent="0.25">
      <c r="A3174" s="1620" t="s">
        <v>8509</v>
      </c>
      <c r="B3174" s="1863" t="s">
        <v>8479</v>
      </c>
      <c r="C3174" s="2803" t="s">
        <v>8480</v>
      </c>
      <c r="D3174" s="2803"/>
      <c r="E3174" s="2803"/>
      <c r="F3174" s="1621" t="s">
        <v>2555</v>
      </c>
      <c r="G3174" s="1622">
        <v>0.81299999999999994</v>
      </c>
      <c r="H3174" s="1623">
        <v>1</v>
      </c>
      <c r="I3174" s="2045">
        <v>0.81299999999999994</v>
      </c>
      <c r="J3174" s="1625"/>
      <c r="K3174" s="1622"/>
      <c r="L3174" s="1625"/>
      <c r="M3174" s="1622"/>
      <c r="N3174" s="1627"/>
      <c r="EW3174" s="2031"/>
      <c r="EX3174" s="1619"/>
      <c r="EY3174" s="1628" t="s">
        <v>8480</v>
      </c>
      <c r="EZ3174" s="1628" t="s">
        <v>588</v>
      </c>
      <c r="FA3174" s="1628" t="s">
        <v>588</v>
      </c>
      <c r="FH3174" s="1628"/>
      <c r="FU3174" s="1678"/>
      <c r="FW3174" s="1678"/>
    </row>
    <row r="3175" spans="1:179" s="1484" customFormat="1" ht="15" x14ac:dyDescent="0.25">
      <c r="A3175" s="1629"/>
      <c r="B3175" s="1862"/>
      <c r="C3175" s="2805" t="s">
        <v>8710</v>
      </c>
      <c r="D3175" s="2805"/>
      <c r="E3175" s="2805"/>
      <c r="F3175" s="2805"/>
      <c r="G3175" s="2805"/>
      <c r="H3175" s="2805"/>
      <c r="I3175" s="2805"/>
      <c r="J3175" s="2805"/>
      <c r="K3175" s="2805"/>
      <c r="L3175" s="2805"/>
      <c r="M3175" s="2805"/>
      <c r="N3175" s="2806"/>
      <c r="EW3175" s="2031"/>
      <c r="EX3175" s="1619"/>
      <c r="EY3175" s="1628"/>
      <c r="EZ3175" s="1628"/>
      <c r="FA3175" s="1628"/>
      <c r="FB3175" s="1864" t="s">
        <v>8710</v>
      </c>
      <c r="FH3175" s="1628"/>
      <c r="FU3175" s="1678"/>
      <c r="FW3175" s="1678"/>
    </row>
    <row r="3176" spans="1:179" s="1484" customFormat="1" ht="22.5" x14ac:dyDescent="0.25">
      <c r="A3176" s="1630"/>
      <c r="B3176" s="1631" t="s">
        <v>6062</v>
      </c>
      <c r="C3176" s="2809" t="s">
        <v>6063</v>
      </c>
      <c r="D3176" s="2809"/>
      <c r="E3176" s="2809"/>
      <c r="F3176" s="2809"/>
      <c r="G3176" s="2809"/>
      <c r="H3176" s="2809"/>
      <c r="I3176" s="2809"/>
      <c r="J3176" s="2809"/>
      <c r="K3176" s="2809"/>
      <c r="L3176" s="2809"/>
      <c r="M3176" s="2809"/>
      <c r="N3176" s="2810"/>
      <c r="EW3176" s="2031"/>
      <c r="EX3176" s="1619"/>
      <c r="EY3176" s="1628"/>
      <c r="EZ3176" s="1628"/>
      <c r="FA3176" s="1628"/>
      <c r="FC3176" s="1864" t="s">
        <v>6063</v>
      </c>
      <c r="FH3176" s="1628"/>
      <c r="FU3176" s="1678"/>
      <c r="FW3176" s="1678"/>
    </row>
    <row r="3177" spans="1:179" s="1484" customFormat="1" ht="22.5" x14ac:dyDescent="0.25">
      <c r="A3177" s="2033"/>
      <c r="B3177" s="1631" t="s">
        <v>1883</v>
      </c>
      <c r="C3177" s="2805" t="s">
        <v>8708</v>
      </c>
      <c r="D3177" s="2805"/>
      <c r="E3177" s="2805"/>
      <c r="F3177" s="1683" t="s">
        <v>807</v>
      </c>
      <c r="G3177" s="1655">
        <v>4.6500000000000004</v>
      </c>
      <c r="H3177" s="1641"/>
      <c r="I3177" s="2042">
        <v>3.7804500000000001</v>
      </c>
      <c r="J3177" s="1654">
        <v>9.6199999999999992</v>
      </c>
      <c r="K3177" s="1655">
        <v>1.25</v>
      </c>
      <c r="L3177" s="1654">
        <v>45.46</v>
      </c>
      <c r="M3177" s="1641"/>
      <c r="N3177" s="1681"/>
      <c r="EW3177" s="2031"/>
      <c r="EX3177" s="1619"/>
      <c r="EY3177" s="1628"/>
      <c r="EZ3177" s="1628"/>
      <c r="FA3177" s="1628"/>
      <c r="FD3177" s="1864" t="s">
        <v>8708</v>
      </c>
      <c r="FH3177" s="1628"/>
      <c r="FU3177" s="1678"/>
      <c r="FW3177" s="1678"/>
    </row>
    <row r="3178" spans="1:179" s="1484" customFormat="1" ht="22.5" x14ac:dyDescent="0.25">
      <c r="A3178" s="2033"/>
      <c r="B3178" s="1631" t="s">
        <v>5010</v>
      </c>
      <c r="C3178" s="2805" t="s">
        <v>5011</v>
      </c>
      <c r="D3178" s="2805"/>
      <c r="E3178" s="2805"/>
      <c r="F3178" s="1683" t="s">
        <v>4994</v>
      </c>
      <c r="G3178" s="1655">
        <v>0.01</v>
      </c>
      <c r="H3178" s="1641"/>
      <c r="I3178" s="2042">
        <v>8.1300000000000001E-3</v>
      </c>
      <c r="J3178" s="1654">
        <v>31.26</v>
      </c>
      <c r="K3178" s="1641"/>
      <c r="L3178" s="1654">
        <v>0.25</v>
      </c>
      <c r="M3178" s="1641"/>
      <c r="N3178" s="1681"/>
      <c r="EW3178" s="2031"/>
      <c r="EX3178" s="1619"/>
      <c r="EY3178" s="1628"/>
      <c r="EZ3178" s="1628"/>
      <c r="FA3178" s="1628"/>
      <c r="FD3178" s="1864" t="s">
        <v>5011</v>
      </c>
      <c r="FH3178" s="1628"/>
      <c r="FU3178" s="1678"/>
      <c r="FW3178" s="1678"/>
    </row>
    <row r="3179" spans="1:179" s="1484" customFormat="1" ht="15" x14ac:dyDescent="0.25">
      <c r="A3179" s="2033"/>
      <c r="B3179" s="1631" t="s">
        <v>821</v>
      </c>
      <c r="C3179" s="2805" t="s">
        <v>822</v>
      </c>
      <c r="D3179" s="2805"/>
      <c r="E3179" s="2805"/>
      <c r="F3179" s="1683" t="s">
        <v>4994</v>
      </c>
      <c r="G3179" s="1655">
        <v>0.01</v>
      </c>
      <c r="H3179" s="1641"/>
      <c r="I3179" s="2042">
        <v>8.1300000000000001E-3</v>
      </c>
      <c r="J3179" s="1654">
        <v>65.709999999999994</v>
      </c>
      <c r="K3179" s="1641"/>
      <c r="L3179" s="1654">
        <v>0.53</v>
      </c>
      <c r="M3179" s="1641"/>
      <c r="N3179" s="1681"/>
      <c r="EW3179" s="2031"/>
      <c r="EX3179" s="1619"/>
      <c r="EY3179" s="1628"/>
      <c r="EZ3179" s="1628"/>
      <c r="FA3179" s="1628"/>
      <c r="FD3179" s="1864" t="s">
        <v>822</v>
      </c>
      <c r="FH3179" s="1628"/>
      <c r="FU3179" s="1678"/>
      <c r="FW3179" s="1678"/>
    </row>
    <row r="3180" spans="1:179" s="1484" customFormat="1" ht="15" x14ac:dyDescent="0.25">
      <c r="A3180" s="2033"/>
      <c r="B3180" s="1631" t="s">
        <v>4922</v>
      </c>
      <c r="C3180" s="2805" t="s">
        <v>8707</v>
      </c>
      <c r="D3180" s="2805"/>
      <c r="E3180" s="2805"/>
      <c r="F3180" s="1683" t="s">
        <v>835</v>
      </c>
      <c r="G3180" s="1953">
        <v>0.1</v>
      </c>
      <c r="H3180" s="1641"/>
      <c r="I3180" s="2035">
        <v>8.1299999999999997E-2</v>
      </c>
      <c r="J3180" s="1654">
        <v>1.82</v>
      </c>
      <c r="K3180" s="1641"/>
      <c r="L3180" s="1654">
        <v>0.15</v>
      </c>
      <c r="M3180" s="1641"/>
      <c r="N3180" s="1681"/>
      <c r="EW3180" s="2031"/>
      <c r="EX3180" s="1619"/>
      <c r="EY3180" s="1628"/>
      <c r="EZ3180" s="1628"/>
      <c r="FA3180" s="1628"/>
      <c r="FD3180" s="1864" t="s">
        <v>8707</v>
      </c>
      <c r="FH3180" s="1628"/>
      <c r="FU3180" s="1678"/>
      <c r="FW3180" s="1678"/>
    </row>
    <row r="3181" spans="1:179" s="1484" customFormat="1" ht="15" x14ac:dyDescent="0.25">
      <c r="A3181" s="2032"/>
      <c r="B3181" s="1631" t="s">
        <v>190</v>
      </c>
      <c r="C3181" s="2805" t="s">
        <v>2523</v>
      </c>
      <c r="D3181" s="2805"/>
      <c r="E3181" s="2805"/>
      <c r="F3181" s="1683"/>
      <c r="G3181" s="1641"/>
      <c r="H3181" s="1641"/>
      <c r="I3181" s="1641"/>
      <c r="J3181" s="1654">
        <v>44.73</v>
      </c>
      <c r="K3181" s="1655">
        <v>1.25</v>
      </c>
      <c r="L3181" s="1654">
        <v>45.46</v>
      </c>
      <c r="M3181" s="1655">
        <v>35.75</v>
      </c>
      <c r="N3181" s="1679">
        <v>1625.2</v>
      </c>
      <c r="EW3181" s="2031"/>
      <c r="EX3181" s="1619"/>
      <c r="EY3181" s="1628"/>
      <c r="EZ3181" s="1628"/>
      <c r="FA3181" s="1628"/>
      <c r="FE3181" s="1864" t="s">
        <v>2523</v>
      </c>
      <c r="FH3181" s="1628"/>
      <c r="FU3181" s="1678"/>
      <c r="FW3181" s="1678"/>
    </row>
    <row r="3182" spans="1:179" s="1484" customFormat="1" ht="15" x14ac:dyDescent="0.25">
      <c r="A3182" s="2032"/>
      <c r="B3182" s="1631" t="s">
        <v>639</v>
      </c>
      <c r="C3182" s="2805" t="s">
        <v>697</v>
      </c>
      <c r="D3182" s="2805"/>
      <c r="E3182" s="2805"/>
      <c r="F3182" s="1683"/>
      <c r="G3182" s="1641"/>
      <c r="H3182" s="1641"/>
      <c r="I3182" s="1641"/>
      <c r="J3182" s="1654">
        <v>0.97</v>
      </c>
      <c r="K3182" s="1641"/>
      <c r="L3182" s="1654">
        <v>0.79</v>
      </c>
      <c r="M3182" s="1655">
        <v>11.97</v>
      </c>
      <c r="N3182" s="2039">
        <v>9.4600000000000009</v>
      </c>
      <c r="EW3182" s="2031"/>
      <c r="EX3182" s="1619"/>
      <c r="EY3182" s="1628"/>
      <c r="EZ3182" s="1628"/>
      <c r="FA3182" s="1628"/>
      <c r="FE3182" s="1864" t="s">
        <v>697</v>
      </c>
      <c r="FH3182" s="1628"/>
      <c r="FU3182" s="1678"/>
      <c r="FW3182" s="1678"/>
    </row>
    <row r="3183" spans="1:179" s="1484" customFormat="1" ht="15" x14ac:dyDescent="0.25">
      <c r="A3183" s="2032"/>
      <c r="B3183" s="1631" t="s">
        <v>640</v>
      </c>
      <c r="C3183" s="2805" t="s">
        <v>2500</v>
      </c>
      <c r="D3183" s="2805"/>
      <c r="E3183" s="2805"/>
      <c r="F3183" s="1683"/>
      <c r="G3183" s="1641"/>
      <c r="H3183" s="1641"/>
      <c r="I3183" s="1641"/>
      <c r="J3183" s="1654">
        <v>0.26</v>
      </c>
      <c r="K3183" s="1641"/>
      <c r="L3183" s="1654">
        <v>0.21</v>
      </c>
      <c r="M3183" s="1655">
        <v>35.75</v>
      </c>
      <c r="N3183" s="2039">
        <v>7.51</v>
      </c>
      <c r="EW3183" s="2031"/>
      <c r="EX3183" s="1619"/>
      <c r="EY3183" s="1628"/>
      <c r="EZ3183" s="1628"/>
      <c r="FA3183" s="1628"/>
      <c r="FE3183" s="1864" t="s">
        <v>2500</v>
      </c>
      <c r="FH3183" s="1628"/>
      <c r="FU3183" s="1678"/>
      <c r="FW3183" s="1678"/>
    </row>
    <row r="3184" spans="1:179" s="1484" customFormat="1" ht="15" x14ac:dyDescent="0.25">
      <c r="A3184" s="2032"/>
      <c r="B3184" s="1631" t="s">
        <v>232</v>
      </c>
      <c r="C3184" s="2805" t="s">
        <v>829</v>
      </c>
      <c r="D3184" s="2805"/>
      <c r="E3184" s="2805"/>
      <c r="F3184" s="1683"/>
      <c r="G3184" s="1641"/>
      <c r="H3184" s="1641"/>
      <c r="I3184" s="1641"/>
      <c r="J3184" s="1654">
        <v>0.18</v>
      </c>
      <c r="K3184" s="1641"/>
      <c r="L3184" s="1654">
        <v>0.15</v>
      </c>
      <c r="M3184" s="1655">
        <v>9.14</v>
      </c>
      <c r="N3184" s="2039">
        <v>1.37</v>
      </c>
      <c r="EW3184" s="2031"/>
      <c r="EX3184" s="1619"/>
      <c r="EY3184" s="1628"/>
      <c r="EZ3184" s="1628"/>
      <c r="FA3184" s="1628"/>
      <c r="FE3184" s="1864" t="s">
        <v>829</v>
      </c>
      <c r="FH3184" s="1628"/>
      <c r="FU3184" s="1678"/>
      <c r="FW3184" s="1678"/>
    </row>
    <row r="3185" spans="1:179" s="1484" customFormat="1" ht="15" x14ac:dyDescent="0.25">
      <c r="A3185" s="2033"/>
      <c r="B3185" s="1631"/>
      <c r="C3185" s="2805" t="s">
        <v>2524</v>
      </c>
      <c r="D3185" s="2805"/>
      <c r="E3185" s="2805"/>
      <c r="F3185" s="1683" t="s">
        <v>807</v>
      </c>
      <c r="G3185" s="1655">
        <v>4.6500000000000004</v>
      </c>
      <c r="H3185" s="1641"/>
      <c r="I3185" s="2042">
        <v>3.7804500000000001</v>
      </c>
      <c r="J3185" s="1640"/>
      <c r="K3185" s="1641"/>
      <c r="L3185" s="1640"/>
      <c r="M3185" s="1641"/>
      <c r="N3185" s="1681"/>
      <c r="EW3185" s="2031"/>
      <c r="EX3185" s="1619"/>
      <c r="EY3185" s="1628"/>
      <c r="EZ3185" s="1628"/>
      <c r="FA3185" s="1628"/>
      <c r="FF3185" s="1864" t="s">
        <v>2524</v>
      </c>
      <c r="FH3185" s="1628"/>
      <c r="FU3185" s="1678"/>
      <c r="FW3185" s="1678"/>
    </row>
    <row r="3186" spans="1:179" s="1484" customFormat="1" ht="15" x14ac:dyDescent="0.25">
      <c r="A3186" s="2033"/>
      <c r="B3186" s="1631"/>
      <c r="C3186" s="2805" t="s">
        <v>2501</v>
      </c>
      <c r="D3186" s="2805"/>
      <c r="E3186" s="2805"/>
      <c r="F3186" s="1683" t="s">
        <v>807</v>
      </c>
      <c r="G3186" s="1655">
        <v>0.02</v>
      </c>
      <c r="H3186" s="1641"/>
      <c r="I3186" s="2042">
        <v>1.626E-2</v>
      </c>
      <c r="J3186" s="1640"/>
      <c r="K3186" s="1641"/>
      <c r="L3186" s="1640"/>
      <c r="M3186" s="1641"/>
      <c r="N3186" s="1681"/>
      <c r="EW3186" s="2031"/>
      <c r="EX3186" s="1619"/>
      <c r="EY3186" s="1628"/>
      <c r="EZ3186" s="1628"/>
      <c r="FA3186" s="1628"/>
      <c r="FF3186" s="1864" t="s">
        <v>2501</v>
      </c>
      <c r="FH3186" s="1628"/>
      <c r="FU3186" s="1678"/>
      <c r="FW3186" s="1678"/>
    </row>
    <row r="3187" spans="1:179" s="1484" customFormat="1" ht="15" x14ac:dyDescent="0.25">
      <c r="A3187" s="2032"/>
      <c r="B3187" s="1631"/>
      <c r="C3187" s="2917" t="s">
        <v>2502</v>
      </c>
      <c r="D3187" s="2917"/>
      <c r="E3187" s="2917"/>
      <c r="F3187" s="2036"/>
      <c r="G3187" s="2037"/>
      <c r="H3187" s="2037"/>
      <c r="I3187" s="2037"/>
      <c r="J3187" s="2044">
        <v>45.88</v>
      </c>
      <c r="K3187" s="2037"/>
      <c r="L3187" s="2044">
        <v>46.4</v>
      </c>
      <c r="M3187" s="2037"/>
      <c r="N3187" s="2068">
        <v>1636.03</v>
      </c>
      <c r="EW3187" s="2031"/>
      <c r="EX3187" s="1619"/>
      <c r="EY3187" s="1628"/>
      <c r="EZ3187" s="1628"/>
      <c r="FA3187" s="1628"/>
      <c r="FG3187" s="1864" t="s">
        <v>2502</v>
      </c>
      <c r="FH3187" s="1628"/>
      <c r="FU3187" s="1678"/>
      <c r="FW3187" s="1678"/>
    </row>
    <row r="3188" spans="1:179" s="1484" customFormat="1" ht="15" x14ac:dyDescent="0.25">
      <c r="A3188" s="2033" t="s">
        <v>8510</v>
      </c>
      <c r="B3188" s="1631"/>
      <c r="C3188" s="2805" t="s">
        <v>7964</v>
      </c>
      <c r="D3188" s="2805"/>
      <c r="E3188" s="2805"/>
      <c r="F3188" s="1683" t="s">
        <v>5928</v>
      </c>
      <c r="G3188" s="1641"/>
      <c r="H3188" s="1641"/>
      <c r="I3188" s="1641"/>
      <c r="J3188" s="1640"/>
      <c r="K3188" s="1641"/>
      <c r="L3188" s="1654">
        <v>0.05</v>
      </c>
      <c r="M3188" s="1641"/>
      <c r="N3188" s="2039">
        <v>1.79</v>
      </c>
      <c r="EW3188" s="2031"/>
      <c r="EX3188" s="1619"/>
      <c r="EY3188" s="1628"/>
      <c r="EZ3188" s="1628"/>
      <c r="FA3188" s="1628"/>
      <c r="FF3188" s="1864" t="s">
        <v>7964</v>
      </c>
      <c r="FH3188" s="1628"/>
      <c r="FU3188" s="1678"/>
      <c r="FW3188" s="1678"/>
    </row>
    <row r="3189" spans="1:179" s="1484" customFormat="1" ht="15" x14ac:dyDescent="0.25">
      <c r="A3189" s="2033"/>
      <c r="B3189" s="1631"/>
      <c r="C3189" s="2805" t="s">
        <v>7965</v>
      </c>
      <c r="D3189" s="2805"/>
      <c r="E3189" s="2805"/>
      <c r="F3189" s="1683" t="s">
        <v>5928</v>
      </c>
      <c r="G3189" s="1641"/>
      <c r="H3189" s="1641"/>
      <c r="I3189" s="1641"/>
      <c r="J3189" s="1654">
        <v>0.26</v>
      </c>
      <c r="K3189" s="1655">
        <v>0.25</v>
      </c>
      <c r="L3189" s="1654">
        <v>0.05</v>
      </c>
      <c r="M3189" s="1655">
        <v>35.75</v>
      </c>
      <c r="N3189" s="2039">
        <v>1.79</v>
      </c>
      <c r="EW3189" s="2031"/>
      <c r="EX3189" s="1619"/>
      <c r="EY3189" s="1628"/>
      <c r="EZ3189" s="1628"/>
      <c r="FA3189" s="1628"/>
      <c r="FF3189" s="1864" t="s">
        <v>7965</v>
      </c>
      <c r="FH3189" s="1628"/>
      <c r="FU3189" s="1678"/>
      <c r="FW3189" s="1678"/>
    </row>
    <row r="3190" spans="1:179" s="1484" customFormat="1" ht="15" x14ac:dyDescent="0.25">
      <c r="A3190" s="2033"/>
      <c r="B3190" s="1631"/>
      <c r="C3190" s="2805" t="s">
        <v>867</v>
      </c>
      <c r="D3190" s="2805"/>
      <c r="E3190" s="2805"/>
      <c r="F3190" s="1683"/>
      <c r="G3190" s="1641"/>
      <c r="H3190" s="1641"/>
      <c r="I3190" s="1641"/>
      <c r="J3190" s="1640"/>
      <c r="K3190" s="1641"/>
      <c r="L3190" s="1654">
        <v>45.72</v>
      </c>
      <c r="M3190" s="1641"/>
      <c r="N3190" s="1679">
        <v>1634.5</v>
      </c>
      <c r="EW3190" s="2031"/>
      <c r="EX3190" s="1619"/>
      <c r="EY3190" s="1628"/>
      <c r="EZ3190" s="1628"/>
      <c r="FA3190" s="1628"/>
      <c r="FF3190" s="1864" t="s">
        <v>867</v>
      </c>
      <c r="FH3190" s="1628"/>
      <c r="FU3190" s="1678"/>
      <c r="FW3190" s="1678"/>
    </row>
    <row r="3191" spans="1:179" s="1484" customFormat="1" ht="15" x14ac:dyDescent="0.25">
      <c r="A3191" s="2033"/>
      <c r="B3191" s="1631" t="s">
        <v>7966</v>
      </c>
      <c r="C3191" s="2805" t="s">
        <v>7967</v>
      </c>
      <c r="D3191" s="2805"/>
      <c r="E3191" s="2805"/>
      <c r="F3191" s="1683" t="s">
        <v>636</v>
      </c>
      <c r="G3191" s="2034">
        <v>100</v>
      </c>
      <c r="H3191" s="1641"/>
      <c r="I3191" s="2034">
        <v>100</v>
      </c>
      <c r="J3191" s="1640"/>
      <c r="K3191" s="1641"/>
      <c r="L3191" s="1654">
        <v>45.72</v>
      </c>
      <c r="M3191" s="1641"/>
      <c r="N3191" s="1679">
        <v>1634.5</v>
      </c>
      <c r="EW3191" s="2031"/>
      <c r="EX3191" s="1619"/>
      <c r="EY3191" s="1628"/>
      <c r="EZ3191" s="1628"/>
      <c r="FA3191" s="1628"/>
      <c r="FF3191" s="1864" t="s">
        <v>7967</v>
      </c>
      <c r="FH3191" s="1628"/>
      <c r="FU3191" s="1678"/>
      <c r="FW3191" s="1678"/>
    </row>
    <row r="3192" spans="1:179" s="1484" customFormat="1" ht="15" x14ac:dyDescent="0.25">
      <c r="A3192" s="2033"/>
      <c r="B3192" s="1631" t="s">
        <v>7968</v>
      </c>
      <c r="C3192" s="2805" t="s">
        <v>7969</v>
      </c>
      <c r="D3192" s="2805"/>
      <c r="E3192" s="2805"/>
      <c r="F3192" s="1683" t="s">
        <v>636</v>
      </c>
      <c r="G3192" s="2034">
        <v>49</v>
      </c>
      <c r="H3192" s="1641"/>
      <c r="I3192" s="2034">
        <v>49</v>
      </c>
      <c r="J3192" s="1640"/>
      <c r="K3192" s="1641"/>
      <c r="L3192" s="1654">
        <v>22.4</v>
      </c>
      <c r="M3192" s="1641"/>
      <c r="N3192" s="2039">
        <v>800.91</v>
      </c>
      <c r="EW3192" s="2031"/>
      <c r="EX3192" s="1619"/>
      <c r="EY3192" s="1628"/>
      <c r="EZ3192" s="1628"/>
      <c r="FA3192" s="1628"/>
      <c r="FF3192" s="1864" t="s">
        <v>7969</v>
      </c>
      <c r="FH3192" s="1628"/>
      <c r="FU3192" s="1678"/>
      <c r="FW3192" s="1678"/>
    </row>
    <row r="3193" spans="1:179" s="1484" customFormat="1" ht="15" x14ac:dyDescent="0.25">
      <c r="A3193" s="1650"/>
      <c r="B3193" s="1651"/>
      <c r="C3193" s="2803" t="s">
        <v>872</v>
      </c>
      <c r="D3193" s="2803"/>
      <c r="E3193" s="2803"/>
      <c r="F3193" s="1621"/>
      <c r="G3193" s="1622"/>
      <c r="H3193" s="1622"/>
      <c r="I3193" s="1622"/>
      <c r="J3193" s="1625"/>
      <c r="K3193" s="1622"/>
      <c r="L3193" s="2040">
        <v>114.57</v>
      </c>
      <c r="M3193" s="2037"/>
      <c r="N3193" s="1649">
        <v>4073.23</v>
      </c>
      <c r="EW3193" s="2031"/>
      <c r="EX3193" s="1619"/>
      <c r="EY3193" s="1628"/>
      <c r="EZ3193" s="1628"/>
      <c r="FA3193" s="1628"/>
      <c r="FH3193" s="1628" t="s">
        <v>872</v>
      </c>
      <c r="FU3193" s="1678"/>
      <c r="FW3193" s="1678"/>
    </row>
    <row r="3194" spans="1:179" s="1484" customFormat="1" ht="22.5" x14ac:dyDescent="0.25">
      <c r="A3194" s="1620" t="s">
        <v>8511</v>
      </c>
      <c r="B3194" s="1863" t="s">
        <v>8483</v>
      </c>
      <c r="C3194" s="2803" t="s">
        <v>8484</v>
      </c>
      <c r="D3194" s="2803"/>
      <c r="E3194" s="2803"/>
      <c r="F3194" s="1621" t="s">
        <v>801</v>
      </c>
      <c r="G3194" s="1622">
        <v>8.3739000000000001E-3</v>
      </c>
      <c r="H3194" s="1623">
        <v>1</v>
      </c>
      <c r="I3194" s="2062">
        <v>8.3739000000000001E-3</v>
      </c>
      <c r="J3194" s="1648">
        <v>18390.16</v>
      </c>
      <c r="K3194" s="1622"/>
      <c r="L3194" s="2040">
        <v>154</v>
      </c>
      <c r="M3194" s="1687">
        <v>9.14</v>
      </c>
      <c r="N3194" s="1649">
        <v>1407.56</v>
      </c>
      <c r="EW3194" s="2031"/>
      <c r="EX3194" s="1619"/>
      <c r="EY3194" s="1628" t="s">
        <v>8484</v>
      </c>
      <c r="EZ3194" s="1628" t="s">
        <v>588</v>
      </c>
      <c r="FA3194" s="1628" t="s">
        <v>588</v>
      </c>
      <c r="FH3194" s="1628"/>
      <c r="FU3194" s="1678"/>
      <c r="FW3194" s="1678"/>
    </row>
    <row r="3195" spans="1:179" s="1484" customFormat="1" ht="15" x14ac:dyDescent="0.25">
      <c r="A3195" s="1650"/>
      <c r="B3195" s="1651"/>
      <c r="C3195" s="2805" t="s">
        <v>8689</v>
      </c>
      <c r="D3195" s="2805"/>
      <c r="E3195" s="2805"/>
      <c r="F3195" s="2805"/>
      <c r="G3195" s="2805"/>
      <c r="H3195" s="2805"/>
      <c r="I3195" s="2805"/>
      <c r="J3195" s="2805"/>
      <c r="K3195" s="2805"/>
      <c r="L3195" s="2805"/>
      <c r="M3195" s="2805"/>
      <c r="N3195" s="2806"/>
      <c r="EW3195" s="2031"/>
      <c r="EX3195" s="1619"/>
      <c r="EY3195" s="1628"/>
      <c r="EZ3195" s="1628"/>
      <c r="FA3195" s="1628"/>
      <c r="FH3195" s="1628"/>
      <c r="FI3195" s="1864" t="s">
        <v>8689</v>
      </c>
      <c r="FJ3195" s="1864" t="s">
        <v>588</v>
      </c>
      <c r="FK3195" s="1864" t="s">
        <v>588</v>
      </c>
      <c r="FL3195" s="1864" t="s">
        <v>588</v>
      </c>
      <c r="FM3195" s="1864" t="s">
        <v>588</v>
      </c>
      <c r="FN3195" s="1864" t="s">
        <v>588</v>
      </c>
      <c r="FO3195" s="1864" t="s">
        <v>588</v>
      </c>
      <c r="FP3195" s="1864" t="s">
        <v>588</v>
      </c>
      <c r="FQ3195" s="1864" t="s">
        <v>588</v>
      </c>
      <c r="FR3195" s="1864" t="s">
        <v>588</v>
      </c>
      <c r="FS3195" s="1864" t="s">
        <v>588</v>
      </c>
      <c r="FT3195" s="1864" t="s">
        <v>588</v>
      </c>
      <c r="FU3195" s="1678"/>
      <c r="FW3195" s="1678"/>
    </row>
    <row r="3196" spans="1:179" s="1484" customFormat="1" ht="15" x14ac:dyDescent="0.25">
      <c r="A3196" s="1650"/>
      <c r="B3196" s="1651"/>
      <c r="C3196" s="2803" t="s">
        <v>872</v>
      </c>
      <c r="D3196" s="2803"/>
      <c r="E3196" s="2803"/>
      <c r="F3196" s="1621"/>
      <c r="G3196" s="1622"/>
      <c r="H3196" s="1622"/>
      <c r="I3196" s="1622"/>
      <c r="J3196" s="1625"/>
      <c r="K3196" s="1622"/>
      <c r="L3196" s="2040">
        <v>154</v>
      </c>
      <c r="M3196" s="2037"/>
      <c r="N3196" s="1649">
        <v>1407.56</v>
      </c>
      <c r="EW3196" s="2031"/>
      <c r="EX3196" s="1619"/>
      <c r="EY3196" s="1628"/>
      <c r="EZ3196" s="1628"/>
      <c r="FA3196" s="1628"/>
      <c r="FH3196" s="1628" t="s">
        <v>872</v>
      </c>
      <c r="FU3196" s="1678"/>
      <c r="FW3196" s="1678"/>
    </row>
    <row r="3197" spans="1:179" s="1484" customFormat="1" ht="45" x14ac:dyDescent="0.25">
      <c r="A3197" s="1620" t="s">
        <v>8512</v>
      </c>
      <c r="B3197" s="1863" t="s">
        <v>8486</v>
      </c>
      <c r="C3197" s="2803" t="s">
        <v>8487</v>
      </c>
      <c r="D3197" s="2803"/>
      <c r="E3197" s="2803"/>
      <c r="F3197" s="1621" t="s">
        <v>2555</v>
      </c>
      <c r="G3197" s="1622">
        <v>0.81299999999999994</v>
      </c>
      <c r="H3197" s="1623">
        <v>1</v>
      </c>
      <c r="I3197" s="2045">
        <v>0.81299999999999994</v>
      </c>
      <c r="J3197" s="1625"/>
      <c r="K3197" s="1622"/>
      <c r="L3197" s="1625"/>
      <c r="M3197" s="1622"/>
      <c r="N3197" s="1627"/>
      <c r="EW3197" s="2031"/>
      <c r="EX3197" s="1619"/>
      <c r="EY3197" s="1628" t="s">
        <v>8487</v>
      </c>
      <c r="EZ3197" s="1628" t="s">
        <v>588</v>
      </c>
      <c r="FA3197" s="1628" t="s">
        <v>588</v>
      </c>
      <c r="FH3197" s="1628"/>
      <c r="FU3197" s="1678"/>
      <c r="FW3197" s="1678"/>
    </row>
    <row r="3198" spans="1:179" s="1484" customFormat="1" ht="15" x14ac:dyDescent="0.25">
      <c r="A3198" s="1629"/>
      <c r="B3198" s="1862"/>
      <c r="C3198" s="2805" t="s">
        <v>8710</v>
      </c>
      <c r="D3198" s="2805"/>
      <c r="E3198" s="2805"/>
      <c r="F3198" s="2805"/>
      <c r="G3198" s="2805"/>
      <c r="H3198" s="2805"/>
      <c r="I3198" s="2805"/>
      <c r="J3198" s="2805"/>
      <c r="K3198" s="2805"/>
      <c r="L3198" s="2805"/>
      <c r="M3198" s="2805"/>
      <c r="N3198" s="2806"/>
      <c r="EW3198" s="2031"/>
      <c r="EX3198" s="1619"/>
      <c r="EY3198" s="1628"/>
      <c r="EZ3198" s="1628"/>
      <c r="FA3198" s="1628"/>
      <c r="FB3198" s="1864" t="s">
        <v>8710</v>
      </c>
      <c r="FH3198" s="1628"/>
      <c r="FU3198" s="1678"/>
      <c r="FW3198" s="1678"/>
    </row>
    <row r="3199" spans="1:179" s="1484" customFormat="1" ht="22.5" x14ac:dyDescent="0.25">
      <c r="A3199" s="1630"/>
      <c r="B3199" s="1631" t="s">
        <v>6062</v>
      </c>
      <c r="C3199" s="2809" t="s">
        <v>6063</v>
      </c>
      <c r="D3199" s="2809"/>
      <c r="E3199" s="2809"/>
      <c r="F3199" s="2809"/>
      <c r="G3199" s="2809"/>
      <c r="H3199" s="2809"/>
      <c r="I3199" s="2809"/>
      <c r="J3199" s="2809"/>
      <c r="K3199" s="2809"/>
      <c r="L3199" s="2809"/>
      <c r="M3199" s="2809"/>
      <c r="N3199" s="2810"/>
      <c r="EW3199" s="2031"/>
      <c r="EX3199" s="1619"/>
      <c r="EY3199" s="1628"/>
      <c r="EZ3199" s="1628"/>
      <c r="FA3199" s="1628"/>
      <c r="FC3199" s="1864" t="s">
        <v>6063</v>
      </c>
      <c r="FH3199" s="1628"/>
      <c r="FU3199" s="1678"/>
      <c r="FW3199" s="1678"/>
    </row>
    <row r="3200" spans="1:179" s="1484" customFormat="1" ht="22.5" x14ac:dyDescent="0.25">
      <c r="A3200" s="2033"/>
      <c r="B3200" s="1631" t="s">
        <v>1729</v>
      </c>
      <c r="C3200" s="2805" t="s">
        <v>8712</v>
      </c>
      <c r="D3200" s="2805"/>
      <c r="E3200" s="2805"/>
      <c r="F3200" s="1683" t="s">
        <v>807</v>
      </c>
      <c r="G3200" s="1655">
        <v>32.49</v>
      </c>
      <c r="H3200" s="1641"/>
      <c r="I3200" s="2042">
        <v>26.414370000000002</v>
      </c>
      <c r="J3200" s="1654">
        <v>8.5299999999999994</v>
      </c>
      <c r="K3200" s="1655">
        <v>1.25</v>
      </c>
      <c r="L3200" s="1654">
        <v>281.64</v>
      </c>
      <c r="M3200" s="1641"/>
      <c r="N3200" s="1681"/>
      <c r="EW3200" s="2031"/>
      <c r="EX3200" s="1619"/>
      <c r="EY3200" s="1628"/>
      <c r="EZ3200" s="1628"/>
      <c r="FA3200" s="1628"/>
      <c r="FD3200" s="1864" t="s">
        <v>8712</v>
      </c>
      <c r="FH3200" s="1628"/>
      <c r="FU3200" s="1678"/>
      <c r="FW3200" s="1678"/>
    </row>
    <row r="3201" spans="1:179" s="1484" customFormat="1" ht="15" x14ac:dyDescent="0.25">
      <c r="A3201" s="2033"/>
      <c r="B3201" s="1631" t="s">
        <v>1741</v>
      </c>
      <c r="C3201" s="2805" t="s">
        <v>8697</v>
      </c>
      <c r="D3201" s="2805"/>
      <c r="E3201" s="2805"/>
      <c r="F3201" s="1683" t="s">
        <v>4994</v>
      </c>
      <c r="G3201" s="1655">
        <v>0.02</v>
      </c>
      <c r="H3201" s="1641"/>
      <c r="I3201" s="2042">
        <v>1.626E-2</v>
      </c>
      <c r="J3201" s="1654">
        <v>89.99</v>
      </c>
      <c r="K3201" s="1641"/>
      <c r="L3201" s="1654">
        <v>1.46</v>
      </c>
      <c r="M3201" s="1641"/>
      <c r="N3201" s="1681"/>
      <c r="EW3201" s="2031"/>
      <c r="EX3201" s="1619"/>
      <c r="EY3201" s="1628"/>
      <c r="EZ3201" s="1628"/>
      <c r="FA3201" s="1628"/>
      <c r="FD3201" s="1864" t="s">
        <v>8697</v>
      </c>
      <c r="FH3201" s="1628"/>
      <c r="FU3201" s="1678"/>
      <c r="FW3201" s="1678"/>
    </row>
    <row r="3202" spans="1:179" s="1484" customFormat="1" ht="22.5" x14ac:dyDescent="0.25">
      <c r="A3202" s="2033"/>
      <c r="B3202" s="1631" t="s">
        <v>5010</v>
      </c>
      <c r="C3202" s="2805" t="s">
        <v>5011</v>
      </c>
      <c r="D3202" s="2805"/>
      <c r="E3202" s="2805"/>
      <c r="F3202" s="1683" t="s">
        <v>4994</v>
      </c>
      <c r="G3202" s="1655">
        <v>0.21</v>
      </c>
      <c r="H3202" s="1641"/>
      <c r="I3202" s="2042">
        <v>0.17072999999999999</v>
      </c>
      <c r="J3202" s="1654">
        <v>31.26</v>
      </c>
      <c r="K3202" s="1641"/>
      <c r="L3202" s="1654">
        <v>5.34</v>
      </c>
      <c r="M3202" s="1641"/>
      <c r="N3202" s="1681"/>
      <c r="EW3202" s="2031"/>
      <c r="EX3202" s="1619"/>
      <c r="EY3202" s="1628"/>
      <c r="EZ3202" s="1628"/>
      <c r="FA3202" s="1628"/>
      <c r="FD3202" s="1864" t="s">
        <v>5011</v>
      </c>
      <c r="FH3202" s="1628"/>
      <c r="FU3202" s="1678"/>
      <c r="FW3202" s="1678"/>
    </row>
    <row r="3203" spans="1:179" s="1484" customFormat="1" ht="22.5" x14ac:dyDescent="0.25">
      <c r="A3203" s="2033"/>
      <c r="B3203" s="1631" t="s">
        <v>5016</v>
      </c>
      <c r="C3203" s="2805" t="s">
        <v>5017</v>
      </c>
      <c r="D3203" s="2805"/>
      <c r="E3203" s="2805"/>
      <c r="F3203" s="1683" t="s">
        <v>4994</v>
      </c>
      <c r="G3203" s="1953">
        <v>0.7</v>
      </c>
      <c r="H3203" s="1641"/>
      <c r="I3203" s="2035">
        <v>0.56910000000000005</v>
      </c>
      <c r="J3203" s="1654">
        <v>12.39</v>
      </c>
      <c r="K3203" s="1641"/>
      <c r="L3203" s="1654">
        <v>7.05</v>
      </c>
      <c r="M3203" s="1641"/>
      <c r="N3203" s="1681"/>
      <c r="EW3203" s="2031"/>
      <c r="EX3203" s="1619"/>
      <c r="EY3203" s="1628"/>
      <c r="EZ3203" s="1628"/>
      <c r="FA3203" s="1628"/>
      <c r="FD3203" s="1864" t="s">
        <v>5017</v>
      </c>
      <c r="FH3203" s="1628"/>
      <c r="FU3203" s="1678"/>
      <c r="FW3203" s="1678"/>
    </row>
    <row r="3204" spans="1:179" s="1484" customFormat="1" ht="15" x14ac:dyDescent="0.25">
      <c r="A3204" s="2033"/>
      <c r="B3204" s="1631" t="s">
        <v>1755</v>
      </c>
      <c r="C3204" s="2805" t="s">
        <v>2634</v>
      </c>
      <c r="D3204" s="2805"/>
      <c r="E3204" s="2805"/>
      <c r="F3204" s="1683" t="s">
        <v>832</v>
      </c>
      <c r="G3204" s="1655">
        <v>0.51</v>
      </c>
      <c r="H3204" s="1641"/>
      <c r="I3204" s="2042">
        <v>0.41463</v>
      </c>
      <c r="J3204" s="1654">
        <v>2.44</v>
      </c>
      <c r="K3204" s="1641"/>
      <c r="L3204" s="1654">
        <v>1.01</v>
      </c>
      <c r="M3204" s="1641"/>
      <c r="N3204" s="1681"/>
      <c r="EW3204" s="2031"/>
      <c r="EX3204" s="1619"/>
      <c r="EY3204" s="1628"/>
      <c r="EZ3204" s="1628"/>
      <c r="FA3204" s="1628"/>
      <c r="FD3204" s="1864" t="s">
        <v>2634</v>
      </c>
      <c r="FH3204" s="1628"/>
      <c r="FU3204" s="1678"/>
      <c r="FW3204" s="1678"/>
    </row>
    <row r="3205" spans="1:179" s="1484" customFormat="1" ht="15" x14ac:dyDescent="0.25">
      <c r="A3205" s="2032"/>
      <c r="B3205" s="1631" t="s">
        <v>190</v>
      </c>
      <c r="C3205" s="2805" t="s">
        <v>2523</v>
      </c>
      <c r="D3205" s="2805"/>
      <c r="E3205" s="2805"/>
      <c r="F3205" s="1683"/>
      <c r="G3205" s="1641"/>
      <c r="H3205" s="1641"/>
      <c r="I3205" s="1641"/>
      <c r="J3205" s="1654">
        <v>277.14</v>
      </c>
      <c r="K3205" s="1655">
        <v>1.25</v>
      </c>
      <c r="L3205" s="1654">
        <v>281.64</v>
      </c>
      <c r="M3205" s="1655">
        <v>35.75</v>
      </c>
      <c r="N3205" s="1679">
        <v>10068.629999999999</v>
      </c>
      <c r="EW3205" s="2031"/>
      <c r="EX3205" s="1619"/>
      <c r="EY3205" s="1628"/>
      <c r="EZ3205" s="1628"/>
      <c r="FA3205" s="1628"/>
      <c r="FE3205" s="1864" t="s">
        <v>2523</v>
      </c>
      <c r="FH3205" s="1628"/>
      <c r="FU3205" s="1678"/>
      <c r="FW3205" s="1678"/>
    </row>
    <row r="3206" spans="1:179" s="1484" customFormat="1" ht="15" x14ac:dyDescent="0.25">
      <c r="A3206" s="2032"/>
      <c r="B3206" s="1631" t="s">
        <v>639</v>
      </c>
      <c r="C3206" s="2805" t="s">
        <v>697</v>
      </c>
      <c r="D3206" s="2805"/>
      <c r="E3206" s="2805"/>
      <c r="F3206" s="1683"/>
      <c r="G3206" s="1641"/>
      <c r="H3206" s="1641"/>
      <c r="I3206" s="1641"/>
      <c r="J3206" s="1654">
        <v>17.03</v>
      </c>
      <c r="K3206" s="1641"/>
      <c r="L3206" s="1654">
        <v>13.85</v>
      </c>
      <c r="M3206" s="1655">
        <v>11.97</v>
      </c>
      <c r="N3206" s="2039">
        <v>165.78</v>
      </c>
      <c r="EW3206" s="2031"/>
      <c r="EX3206" s="1619"/>
      <c r="EY3206" s="1628"/>
      <c r="EZ3206" s="1628"/>
      <c r="FA3206" s="1628"/>
      <c r="FE3206" s="1864" t="s">
        <v>697</v>
      </c>
      <c r="FH3206" s="1628"/>
      <c r="FU3206" s="1678"/>
      <c r="FW3206" s="1678"/>
    </row>
    <row r="3207" spans="1:179" s="1484" customFormat="1" ht="15" x14ac:dyDescent="0.25">
      <c r="A3207" s="2032"/>
      <c r="B3207" s="1631" t="s">
        <v>640</v>
      </c>
      <c r="C3207" s="2805" t="s">
        <v>2500</v>
      </c>
      <c r="D3207" s="2805"/>
      <c r="E3207" s="2805"/>
      <c r="F3207" s="1683"/>
      <c r="G3207" s="1641"/>
      <c r="H3207" s="1641"/>
      <c r="I3207" s="1641"/>
      <c r="J3207" s="1654">
        <v>10.08</v>
      </c>
      <c r="K3207" s="1641"/>
      <c r="L3207" s="1654">
        <v>8.1999999999999993</v>
      </c>
      <c r="M3207" s="1655">
        <v>35.75</v>
      </c>
      <c r="N3207" s="2039">
        <v>293.14999999999998</v>
      </c>
      <c r="EW3207" s="2031"/>
      <c r="EX3207" s="1619"/>
      <c r="EY3207" s="1628"/>
      <c r="EZ3207" s="1628"/>
      <c r="FA3207" s="1628"/>
      <c r="FE3207" s="1864" t="s">
        <v>2500</v>
      </c>
      <c r="FH3207" s="1628"/>
      <c r="FU3207" s="1678"/>
      <c r="FW3207" s="1678"/>
    </row>
    <row r="3208" spans="1:179" s="1484" customFormat="1" ht="15" x14ac:dyDescent="0.25">
      <c r="A3208" s="2032"/>
      <c r="B3208" s="1631" t="s">
        <v>232</v>
      </c>
      <c r="C3208" s="2805" t="s">
        <v>829</v>
      </c>
      <c r="D3208" s="2805"/>
      <c r="E3208" s="2805"/>
      <c r="F3208" s="1683"/>
      <c r="G3208" s="1641"/>
      <c r="H3208" s="1641"/>
      <c r="I3208" s="1641"/>
      <c r="J3208" s="1654">
        <v>1.24</v>
      </c>
      <c r="K3208" s="1641"/>
      <c r="L3208" s="1654">
        <v>1.01</v>
      </c>
      <c r="M3208" s="1655">
        <v>9.14</v>
      </c>
      <c r="N3208" s="2039">
        <v>9.23</v>
      </c>
      <c r="EW3208" s="2031"/>
      <c r="EX3208" s="1619"/>
      <c r="EY3208" s="1628"/>
      <c r="EZ3208" s="1628"/>
      <c r="FA3208" s="1628"/>
      <c r="FE3208" s="1864" t="s">
        <v>829</v>
      </c>
      <c r="FH3208" s="1628"/>
      <c r="FU3208" s="1678"/>
      <c r="FW3208" s="1678"/>
    </row>
    <row r="3209" spans="1:179" s="1484" customFormat="1" ht="15" x14ac:dyDescent="0.25">
      <c r="A3209" s="2033"/>
      <c r="B3209" s="1631"/>
      <c r="C3209" s="2805" t="s">
        <v>2524</v>
      </c>
      <c r="D3209" s="2805"/>
      <c r="E3209" s="2805"/>
      <c r="F3209" s="1683" t="s">
        <v>807</v>
      </c>
      <c r="G3209" s="1655">
        <v>32.49</v>
      </c>
      <c r="H3209" s="1641"/>
      <c r="I3209" s="2042">
        <v>26.414370000000002</v>
      </c>
      <c r="J3209" s="1640"/>
      <c r="K3209" s="1641"/>
      <c r="L3209" s="1640"/>
      <c r="M3209" s="1641"/>
      <c r="N3209" s="1681"/>
      <c r="EW3209" s="2031"/>
      <c r="EX3209" s="1619"/>
      <c r="EY3209" s="1628"/>
      <c r="EZ3209" s="1628"/>
      <c r="FA3209" s="1628"/>
      <c r="FF3209" s="1864" t="s">
        <v>2524</v>
      </c>
      <c r="FH3209" s="1628"/>
      <c r="FU3209" s="1678"/>
      <c r="FW3209" s="1678"/>
    </row>
    <row r="3210" spans="1:179" s="1484" customFormat="1" ht="15" x14ac:dyDescent="0.25">
      <c r="A3210" s="2033"/>
      <c r="B3210" s="1631"/>
      <c r="C3210" s="2805" t="s">
        <v>2501</v>
      </c>
      <c r="D3210" s="2805"/>
      <c r="E3210" s="2805"/>
      <c r="F3210" s="1683" t="s">
        <v>807</v>
      </c>
      <c r="G3210" s="1655">
        <v>0.93</v>
      </c>
      <c r="H3210" s="1641"/>
      <c r="I3210" s="2042">
        <v>0.75609000000000004</v>
      </c>
      <c r="J3210" s="1640"/>
      <c r="K3210" s="1641"/>
      <c r="L3210" s="1640"/>
      <c r="M3210" s="1641"/>
      <c r="N3210" s="1681"/>
      <c r="EW3210" s="2031"/>
      <c r="EX3210" s="1619"/>
      <c r="EY3210" s="1628"/>
      <c r="EZ3210" s="1628"/>
      <c r="FA3210" s="1628"/>
      <c r="FF3210" s="1864" t="s">
        <v>2501</v>
      </c>
      <c r="FH3210" s="1628"/>
      <c r="FU3210" s="1678"/>
      <c r="FW3210" s="1678"/>
    </row>
    <row r="3211" spans="1:179" s="1484" customFormat="1" ht="15" x14ac:dyDescent="0.25">
      <c r="A3211" s="2032"/>
      <c r="B3211" s="1631"/>
      <c r="C3211" s="2917" t="s">
        <v>2502</v>
      </c>
      <c r="D3211" s="2917"/>
      <c r="E3211" s="2917"/>
      <c r="F3211" s="2036"/>
      <c r="G3211" s="2037"/>
      <c r="H3211" s="2037"/>
      <c r="I3211" s="2037"/>
      <c r="J3211" s="2044">
        <v>295.41000000000003</v>
      </c>
      <c r="K3211" s="2037"/>
      <c r="L3211" s="2044">
        <v>296.5</v>
      </c>
      <c r="M3211" s="2037"/>
      <c r="N3211" s="2068">
        <v>10243.64</v>
      </c>
      <c r="EW3211" s="2031"/>
      <c r="EX3211" s="1619"/>
      <c r="EY3211" s="1628"/>
      <c r="EZ3211" s="1628"/>
      <c r="FA3211" s="1628"/>
      <c r="FG3211" s="1864" t="s">
        <v>2502</v>
      </c>
      <c r="FH3211" s="1628"/>
      <c r="FU3211" s="1678"/>
      <c r="FW3211" s="1678"/>
    </row>
    <row r="3212" spans="1:179" s="1484" customFormat="1" ht="15" x14ac:dyDescent="0.25">
      <c r="A3212" s="2033" t="s">
        <v>8513</v>
      </c>
      <c r="B3212" s="1631"/>
      <c r="C3212" s="2805" t="s">
        <v>7964</v>
      </c>
      <c r="D3212" s="2805"/>
      <c r="E3212" s="2805"/>
      <c r="F3212" s="1683" t="s">
        <v>5928</v>
      </c>
      <c r="G3212" s="1641"/>
      <c r="H3212" s="1641"/>
      <c r="I3212" s="1641"/>
      <c r="J3212" s="1640"/>
      <c r="K3212" s="1641"/>
      <c r="L3212" s="1654">
        <v>2.0499999999999998</v>
      </c>
      <c r="M3212" s="1641"/>
      <c r="N3212" s="2039">
        <v>73.290000000000006</v>
      </c>
      <c r="EW3212" s="2031"/>
      <c r="EX3212" s="1619"/>
      <c r="EY3212" s="1628"/>
      <c r="EZ3212" s="1628"/>
      <c r="FA3212" s="1628"/>
      <c r="FF3212" s="1864" t="s">
        <v>7964</v>
      </c>
      <c r="FH3212" s="1628"/>
      <c r="FU3212" s="1678"/>
      <c r="FW3212" s="1678"/>
    </row>
    <row r="3213" spans="1:179" s="1484" customFormat="1" ht="15" x14ac:dyDescent="0.25">
      <c r="A3213" s="2033"/>
      <c r="B3213" s="1631"/>
      <c r="C3213" s="2805" t="s">
        <v>7965</v>
      </c>
      <c r="D3213" s="2805"/>
      <c r="E3213" s="2805"/>
      <c r="F3213" s="1683" t="s">
        <v>5928</v>
      </c>
      <c r="G3213" s="1641"/>
      <c r="H3213" s="1641"/>
      <c r="I3213" s="1641"/>
      <c r="J3213" s="1654">
        <v>10.08</v>
      </c>
      <c r="K3213" s="1655">
        <v>0.25</v>
      </c>
      <c r="L3213" s="1654">
        <v>2.0499999999999998</v>
      </c>
      <c r="M3213" s="1655">
        <v>35.75</v>
      </c>
      <c r="N3213" s="2039">
        <v>73.290000000000006</v>
      </c>
      <c r="EW3213" s="2031"/>
      <c r="EX3213" s="1619"/>
      <c r="EY3213" s="1628"/>
      <c r="EZ3213" s="1628"/>
      <c r="FA3213" s="1628"/>
      <c r="FF3213" s="1864" t="s">
        <v>7965</v>
      </c>
      <c r="FH3213" s="1628"/>
      <c r="FU3213" s="1678"/>
      <c r="FW3213" s="1678"/>
    </row>
    <row r="3214" spans="1:179" s="1484" customFormat="1" ht="15" x14ac:dyDescent="0.25">
      <c r="A3214" s="2033"/>
      <c r="B3214" s="1631"/>
      <c r="C3214" s="2805" t="s">
        <v>867</v>
      </c>
      <c r="D3214" s="2805"/>
      <c r="E3214" s="2805"/>
      <c r="F3214" s="1683"/>
      <c r="G3214" s="1641"/>
      <c r="H3214" s="1641"/>
      <c r="I3214" s="1641"/>
      <c r="J3214" s="1640"/>
      <c r="K3214" s="1641"/>
      <c r="L3214" s="1654">
        <v>291.89</v>
      </c>
      <c r="M3214" s="1641"/>
      <c r="N3214" s="1679">
        <v>10435.07</v>
      </c>
      <c r="EW3214" s="2031"/>
      <c r="EX3214" s="1619"/>
      <c r="EY3214" s="1628"/>
      <c r="EZ3214" s="1628"/>
      <c r="FA3214" s="1628"/>
      <c r="FF3214" s="1864" t="s">
        <v>867</v>
      </c>
      <c r="FH3214" s="1628"/>
      <c r="FU3214" s="1678"/>
      <c r="FW3214" s="1678"/>
    </row>
    <row r="3215" spans="1:179" s="1484" customFormat="1" ht="15" x14ac:dyDescent="0.25">
      <c r="A3215" s="2033"/>
      <c r="B3215" s="1631" t="s">
        <v>7966</v>
      </c>
      <c r="C3215" s="2805" t="s">
        <v>7967</v>
      </c>
      <c r="D3215" s="2805"/>
      <c r="E3215" s="2805"/>
      <c r="F3215" s="1683" t="s">
        <v>636</v>
      </c>
      <c r="G3215" s="2034">
        <v>100</v>
      </c>
      <c r="H3215" s="1641"/>
      <c r="I3215" s="2034">
        <v>100</v>
      </c>
      <c r="J3215" s="1640"/>
      <c r="K3215" s="1641"/>
      <c r="L3215" s="1654">
        <v>291.89</v>
      </c>
      <c r="M3215" s="1641"/>
      <c r="N3215" s="1679">
        <v>10435.07</v>
      </c>
      <c r="EW3215" s="2031"/>
      <c r="EX3215" s="1619"/>
      <c r="EY3215" s="1628"/>
      <c r="EZ3215" s="1628"/>
      <c r="FA3215" s="1628"/>
      <c r="FF3215" s="1864" t="s">
        <v>7967</v>
      </c>
      <c r="FH3215" s="1628"/>
      <c r="FU3215" s="1678"/>
      <c r="FW3215" s="1678"/>
    </row>
    <row r="3216" spans="1:179" s="1484" customFormat="1" ht="15" x14ac:dyDescent="0.25">
      <c r="A3216" s="2033"/>
      <c r="B3216" s="1631" t="s">
        <v>7968</v>
      </c>
      <c r="C3216" s="2805" t="s">
        <v>7969</v>
      </c>
      <c r="D3216" s="2805"/>
      <c r="E3216" s="2805"/>
      <c r="F3216" s="1683" t="s">
        <v>636</v>
      </c>
      <c r="G3216" s="2034">
        <v>49</v>
      </c>
      <c r="H3216" s="1641"/>
      <c r="I3216" s="2034">
        <v>49</v>
      </c>
      <c r="J3216" s="1640"/>
      <c r="K3216" s="1641"/>
      <c r="L3216" s="1654">
        <v>143.03</v>
      </c>
      <c r="M3216" s="1641"/>
      <c r="N3216" s="1679">
        <v>5113.18</v>
      </c>
      <c r="EW3216" s="2031"/>
      <c r="EX3216" s="1619"/>
      <c r="EY3216" s="1628"/>
      <c r="EZ3216" s="1628"/>
      <c r="FA3216" s="1628"/>
      <c r="FF3216" s="1864" t="s">
        <v>7969</v>
      </c>
      <c r="FH3216" s="1628"/>
      <c r="FU3216" s="1678"/>
      <c r="FW3216" s="1678"/>
    </row>
    <row r="3217" spans="1:179" s="1484" customFormat="1" ht="15" x14ac:dyDescent="0.25">
      <c r="A3217" s="1650"/>
      <c r="B3217" s="1651"/>
      <c r="C3217" s="2803" t="s">
        <v>872</v>
      </c>
      <c r="D3217" s="2803"/>
      <c r="E3217" s="2803"/>
      <c r="F3217" s="1621"/>
      <c r="G3217" s="1622"/>
      <c r="H3217" s="1622"/>
      <c r="I3217" s="1622"/>
      <c r="J3217" s="1625"/>
      <c r="K3217" s="1622"/>
      <c r="L3217" s="2040">
        <v>733.47</v>
      </c>
      <c r="M3217" s="2037"/>
      <c r="N3217" s="1649">
        <v>25865.18</v>
      </c>
      <c r="EW3217" s="2031"/>
      <c r="EX3217" s="1619"/>
      <c r="EY3217" s="1628"/>
      <c r="EZ3217" s="1628"/>
      <c r="FA3217" s="1628"/>
      <c r="FH3217" s="1628" t="s">
        <v>872</v>
      </c>
      <c r="FU3217" s="1678"/>
      <c r="FW3217" s="1678"/>
    </row>
    <row r="3218" spans="1:179" s="1484" customFormat="1" ht="33.75" x14ac:dyDescent="0.25">
      <c r="A3218" s="1620" t="s">
        <v>8514</v>
      </c>
      <c r="B3218" s="1863" t="s">
        <v>8490</v>
      </c>
      <c r="C3218" s="2803" t="s">
        <v>8491</v>
      </c>
      <c r="D3218" s="2803"/>
      <c r="E3218" s="2803"/>
      <c r="F3218" s="1621" t="s">
        <v>835</v>
      </c>
      <c r="G3218" s="1622">
        <v>691.05</v>
      </c>
      <c r="H3218" s="1623">
        <v>1</v>
      </c>
      <c r="I3218" s="1687">
        <v>691.05</v>
      </c>
      <c r="J3218" s="2040">
        <v>2.0699999999999998</v>
      </c>
      <c r="K3218" s="1622"/>
      <c r="L3218" s="1648">
        <v>1430.47</v>
      </c>
      <c r="M3218" s="1687">
        <v>9.14</v>
      </c>
      <c r="N3218" s="1649">
        <v>13074.5</v>
      </c>
      <c r="EW3218" s="2031"/>
      <c r="EX3218" s="1619"/>
      <c r="EY3218" s="1628" t="s">
        <v>8491</v>
      </c>
      <c r="EZ3218" s="1628" t="s">
        <v>588</v>
      </c>
      <c r="FA3218" s="1628" t="s">
        <v>588</v>
      </c>
      <c r="FH3218" s="1628"/>
      <c r="FU3218" s="1678"/>
      <c r="FW3218" s="1678"/>
    </row>
    <row r="3219" spans="1:179" s="1484" customFormat="1" ht="15" x14ac:dyDescent="0.25">
      <c r="A3219" s="1650"/>
      <c r="B3219" s="1651"/>
      <c r="C3219" s="2805" t="s">
        <v>8689</v>
      </c>
      <c r="D3219" s="2805"/>
      <c r="E3219" s="2805"/>
      <c r="F3219" s="2805"/>
      <c r="G3219" s="2805"/>
      <c r="H3219" s="2805"/>
      <c r="I3219" s="2805"/>
      <c r="J3219" s="2805"/>
      <c r="K3219" s="2805"/>
      <c r="L3219" s="2805"/>
      <c r="M3219" s="2805"/>
      <c r="N3219" s="2806"/>
      <c r="EW3219" s="2031"/>
      <c r="EX3219" s="1619"/>
      <c r="EY3219" s="1628"/>
      <c r="EZ3219" s="1628"/>
      <c r="FA3219" s="1628"/>
      <c r="FH3219" s="1628"/>
      <c r="FI3219" s="1864" t="s">
        <v>8689</v>
      </c>
      <c r="FJ3219" s="1864" t="s">
        <v>588</v>
      </c>
      <c r="FK3219" s="1864" t="s">
        <v>588</v>
      </c>
      <c r="FL3219" s="1864" t="s">
        <v>588</v>
      </c>
      <c r="FM3219" s="1864" t="s">
        <v>588</v>
      </c>
      <c r="FN3219" s="1864" t="s">
        <v>588</v>
      </c>
      <c r="FO3219" s="1864" t="s">
        <v>588</v>
      </c>
      <c r="FP3219" s="1864" t="s">
        <v>588</v>
      </c>
      <c r="FQ3219" s="1864" t="s">
        <v>588</v>
      </c>
      <c r="FR3219" s="1864" t="s">
        <v>588</v>
      </c>
      <c r="FS3219" s="1864" t="s">
        <v>588</v>
      </c>
      <c r="FT3219" s="1864" t="s">
        <v>588</v>
      </c>
      <c r="FU3219" s="1678"/>
      <c r="FW3219" s="1678"/>
    </row>
    <row r="3220" spans="1:179" s="1484" customFormat="1" ht="15" x14ac:dyDescent="0.25">
      <c r="A3220" s="1629"/>
      <c r="B3220" s="1862"/>
      <c r="C3220" s="2805" t="s">
        <v>8711</v>
      </c>
      <c r="D3220" s="2805"/>
      <c r="E3220" s="2805"/>
      <c r="F3220" s="2805"/>
      <c r="G3220" s="2805"/>
      <c r="H3220" s="2805"/>
      <c r="I3220" s="2805"/>
      <c r="J3220" s="2805"/>
      <c r="K3220" s="2805"/>
      <c r="L3220" s="2805"/>
      <c r="M3220" s="2805"/>
      <c r="N3220" s="2806"/>
      <c r="EW3220" s="2031"/>
      <c r="EX3220" s="1619"/>
      <c r="EY3220" s="1628"/>
      <c r="EZ3220" s="1628"/>
      <c r="FA3220" s="1628"/>
      <c r="FB3220" s="1864" t="s">
        <v>8711</v>
      </c>
      <c r="FH3220" s="1628"/>
      <c r="FU3220" s="1678"/>
      <c r="FW3220" s="1678"/>
    </row>
    <row r="3221" spans="1:179" s="1484" customFormat="1" ht="15" x14ac:dyDescent="0.25">
      <c r="A3221" s="1650"/>
      <c r="B3221" s="1651"/>
      <c r="C3221" s="2803" t="s">
        <v>872</v>
      </c>
      <c r="D3221" s="2803"/>
      <c r="E3221" s="2803"/>
      <c r="F3221" s="1621"/>
      <c r="G3221" s="1622"/>
      <c r="H3221" s="1622"/>
      <c r="I3221" s="1622"/>
      <c r="J3221" s="1625"/>
      <c r="K3221" s="1622"/>
      <c r="L3221" s="1648">
        <v>1430.47</v>
      </c>
      <c r="M3221" s="2037"/>
      <c r="N3221" s="1649">
        <v>13074.5</v>
      </c>
      <c r="EW3221" s="2031"/>
      <c r="EX3221" s="1619"/>
      <c r="EY3221" s="1628"/>
      <c r="EZ3221" s="1628"/>
      <c r="FA3221" s="1628"/>
      <c r="FH3221" s="1628" t="s">
        <v>872</v>
      </c>
      <c r="FU3221" s="1678"/>
      <c r="FW3221" s="1678"/>
    </row>
    <row r="3222" spans="1:179" s="1484" customFormat="1" ht="22.5" x14ac:dyDescent="0.25">
      <c r="A3222" s="1620" t="s">
        <v>8515</v>
      </c>
      <c r="B3222" s="1863" t="s">
        <v>8473</v>
      </c>
      <c r="C3222" s="2803" t="s">
        <v>8474</v>
      </c>
      <c r="D3222" s="2803"/>
      <c r="E3222" s="2803"/>
      <c r="F3222" s="1621" t="s">
        <v>2555</v>
      </c>
      <c r="G3222" s="1622">
        <v>0.81299999999999994</v>
      </c>
      <c r="H3222" s="1623">
        <v>1</v>
      </c>
      <c r="I3222" s="2045">
        <v>0.81299999999999994</v>
      </c>
      <c r="J3222" s="1625"/>
      <c r="K3222" s="1622"/>
      <c r="L3222" s="1625"/>
      <c r="M3222" s="1622"/>
      <c r="N3222" s="1627"/>
      <c r="EW3222" s="2031"/>
      <c r="EX3222" s="1619"/>
      <c r="EY3222" s="1628" t="s">
        <v>8474</v>
      </c>
      <c r="EZ3222" s="1628" t="s">
        <v>588</v>
      </c>
      <c r="FA3222" s="1628" t="s">
        <v>588</v>
      </c>
      <c r="FH3222" s="1628"/>
      <c r="FU3222" s="1678"/>
      <c r="FW3222" s="1678"/>
    </row>
    <row r="3223" spans="1:179" s="1484" customFormat="1" ht="15" x14ac:dyDescent="0.25">
      <c r="A3223" s="1629"/>
      <c r="B3223" s="1862"/>
      <c r="C3223" s="2805" t="s">
        <v>8710</v>
      </c>
      <c r="D3223" s="2805"/>
      <c r="E3223" s="2805"/>
      <c r="F3223" s="2805"/>
      <c r="G3223" s="2805"/>
      <c r="H3223" s="2805"/>
      <c r="I3223" s="2805"/>
      <c r="J3223" s="2805"/>
      <c r="K3223" s="2805"/>
      <c r="L3223" s="2805"/>
      <c r="M3223" s="2805"/>
      <c r="N3223" s="2806"/>
      <c r="EW3223" s="2031"/>
      <c r="EX3223" s="1619"/>
      <c r="EY3223" s="1628"/>
      <c r="EZ3223" s="1628"/>
      <c r="FA3223" s="1628"/>
      <c r="FB3223" s="1864" t="s">
        <v>8710</v>
      </c>
      <c r="FH3223" s="1628"/>
      <c r="FU3223" s="1678"/>
      <c r="FW3223" s="1678"/>
    </row>
    <row r="3224" spans="1:179" s="1484" customFormat="1" ht="22.5" x14ac:dyDescent="0.25">
      <c r="A3224" s="1630"/>
      <c r="B3224" s="1631" t="s">
        <v>6062</v>
      </c>
      <c r="C3224" s="2809" t="s">
        <v>6063</v>
      </c>
      <c r="D3224" s="2809"/>
      <c r="E3224" s="2809"/>
      <c r="F3224" s="2809"/>
      <c r="G3224" s="2809"/>
      <c r="H3224" s="2809"/>
      <c r="I3224" s="2809"/>
      <c r="J3224" s="2809"/>
      <c r="K3224" s="2809"/>
      <c r="L3224" s="2809"/>
      <c r="M3224" s="2809"/>
      <c r="N3224" s="2810"/>
      <c r="EW3224" s="2031"/>
      <c r="EX3224" s="1619"/>
      <c r="EY3224" s="1628"/>
      <c r="EZ3224" s="1628"/>
      <c r="FA3224" s="1628"/>
      <c r="FC3224" s="1864" t="s">
        <v>6063</v>
      </c>
      <c r="FH3224" s="1628"/>
      <c r="FU3224" s="1678"/>
      <c r="FW3224" s="1678"/>
    </row>
    <row r="3225" spans="1:179" s="1484" customFormat="1" ht="22.5" x14ac:dyDescent="0.25">
      <c r="A3225" s="2033"/>
      <c r="B3225" s="1631" t="s">
        <v>3204</v>
      </c>
      <c r="C3225" s="2805" t="s">
        <v>8647</v>
      </c>
      <c r="D3225" s="2805"/>
      <c r="E3225" s="2805"/>
      <c r="F3225" s="1683" t="s">
        <v>807</v>
      </c>
      <c r="G3225" s="1655">
        <v>43.56</v>
      </c>
      <c r="H3225" s="1641"/>
      <c r="I3225" s="2042">
        <v>35.414279999999998</v>
      </c>
      <c r="J3225" s="1654">
        <v>8.74</v>
      </c>
      <c r="K3225" s="1655">
        <v>1.25</v>
      </c>
      <c r="L3225" s="1654">
        <v>386.9</v>
      </c>
      <c r="M3225" s="1641"/>
      <c r="N3225" s="1681"/>
      <c r="EW3225" s="2031"/>
      <c r="EX3225" s="1619"/>
      <c r="EY3225" s="1628"/>
      <c r="EZ3225" s="1628"/>
      <c r="FA3225" s="1628"/>
      <c r="FD3225" s="1864" t="s">
        <v>8647</v>
      </c>
      <c r="FH3225" s="1628"/>
      <c r="FU3225" s="1678"/>
      <c r="FW3225" s="1678"/>
    </row>
    <row r="3226" spans="1:179" s="1484" customFormat="1" ht="22.5" x14ac:dyDescent="0.25">
      <c r="A3226" s="2033"/>
      <c r="B3226" s="1631" t="s">
        <v>5008</v>
      </c>
      <c r="C3226" s="2805" t="s">
        <v>5009</v>
      </c>
      <c r="D3226" s="2805"/>
      <c r="E3226" s="2805"/>
      <c r="F3226" s="1683" t="s">
        <v>4994</v>
      </c>
      <c r="G3226" s="1655">
        <v>0.02</v>
      </c>
      <c r="H3226" s="1641"/>
      <c r="I3226" s="2042">
        <v>1.626E-2</v>
      </c>
      <c r="J3226" s="1654">
        <v>27.66</v>
      </c>
      <c r="K3226" s="1641"/>
      <c r="L3226" s="1654">
        <v>0.45</v>
      </c>
      <c r="M3226" s="1641"/>
      <c r="N3226" s="1681"/>
      <c r="EW3226" s="2031"/>
      <c r="EX3226" s="1619"/>
      <c r="EY3226" s="1628"/>
      <c r="EZ3226" s="1628"/>
      <c r="FA3226" s="1628"/>
      <c r="FD3226" s="1864" t="s">
        <v>5009</v>
      </c>
      <c r="FH3226" s="1628"/>
      <c r="FU3226" s="1678"/>
      <c r="FW3226" s="1678"/>
    </row>
    <row r="3227" spans="1:179" s="1484" customFormat="1" ht="15" x14ac:dyDescent="0.25">
      <c r="A3227" s="2033"/>
      <c r="B3227" s="1631" t="s">
        <v>821</v>
      </c>
      <c r="C3227" s="2805" t="s">
        <v>822</v>
      </c>
      <c r="D3227" s="2805"/>
      <c r="E3227" s="2805"/>
      <c r="F3227" s="1683" t="s">
        <v>4994</v>
      </c>
      <c r="G3227" s="1655">
        <v>0.15</v>
      </c>
      <c r="H3227" s="1641"/>
      <c r="I3227" s="2042">
        <v>0.12195</v>
      </c>
      <c r="J3227" s="1654">
        <v>65.709999999999994</v>
      </c>
      <c r="K3227" s="1641"/>
      <c r="L3227" s="1654">
        <v>8.01</v>
      </c>
      <c r="M3227" s="1641"/>
      <c r="N3227" s="1681"/>
      <c r="EW3227" s="2031"/>
      <c r="EX3227" s="1619"/>
      <c r="EY3227" s="1628"/>
      <c r="EZ3227" s="1628"/>
      <c r="FA3227" s="1628"/>
      <c r="FD3227" s="1864" t="s">
        <v>822</v>
      </c>
      <c r="FH3227" s="1628"/>
      <c r="FU3227" s="1678"/>
      <c r="FW3227" s="1678"/>
    </row>
    <row r="3228" spans="1:179" s="1484" customFormat="1" ht="22.5" x14ac:dyDescent="0.25">
      <c r="A3228" s="2033"/>
      <c r="B3228" s="1631" t="s">
        <v>4916</v>
      </c>
      <c r="C3228" s="2805" t="s">
        <v>4917</v>
      </c>
      <c r="D3228" s="2805"/>
      <c r="E3228" s="2805"/>
      <c r="F3228" s="1683" t="s">
        <v>130</v>
      </c>
      <c r="G3228" s="1655">
        <v>0.84</v>
      </c>
      <c r="H3228" s="1641"/>
      <c r="I3228" s="2042">
        <v>0.68291999999999997</v>
      </c>
      <c r="J3228" s="1654">
        <v>72.319999999999993</v>
      </c>
      <c r="K3228" s="1641"/>
      <c r="L3228" s="1654">
        <v>49.39</v>
      </c>
      <c r="M3228" s="1641"/>
      <c r="N3228" s="1681"/>
      <c r="EW3228" s="2031"/>
      <c r="EX3228" s="1619"/>
      <c r="EY3228" s="1628"/>
      <c r="EZ3228" s="1628"/>
      <c r="FA3228" s="1628"/>
      <c r="FD3228" s="1864" t="s">
        <v>4917</v>
      </c>
      <c r="FH3228" s="1628"/>
      <c r="FU3228" s="1678"/>
      <c r="FW3228" s="1678"/>
    </row>
    <row r="3229" spans="1:179" s="1484" customFormat="1" ht="15" x14ac:dyDescent="0.25">
      <c r="A3229" s="2033"/>
      <c r="B3229" s="1631" t="s">
        <v>4922</v>
      </c>
      <c r="C3229" s="2805" t="s">
        <v>8707</v>
      </c>
      <c r="D3229" s="2805"/>
      <c r="E3229" s="2805"/>
      <c r="F3229" s="1683" t="s">
        <v>835</v>
      </c>
      <c r="G3229" s="1655">
        <v>0.31</v>
      </c>
      <c r="H3229" s="1641"/>
      <c r="I3229" s="2042">
        <v>0.25202999999999998</v>
      </c>
      <c r="J3229" s="1654">
        <v>1.82</v>
      </c>
      <c r="K3229" s="1641"/>
      <c r="L3229" s="1654">
        <v>0.46</v>
      </c>
      <c r="M3229" s="1641"/>
      <c r="N3229" s="1681"/>
      <c r="EW3229" s="2031"/>
      <c r="EX3229" s="1619"/>
      <c r="EY3229" s="1628"/>
      <c r="EZ3229" s="1628"/>
      <c r="FA3229" s="1628"/>
      <c r="FD3229" s="1864" t="s">
        <v>8707</v>
      </c>
      <c r="FH3229" s="1628"/>
      <c r="FU3229" s="1678"/>
      <c r="FW3229" s="1678"/>
    </row>
    <row r="3230" spans="1:179" s="1484" customFormat="1" ht="15" x14ac:dyDescent="0.25">
      <c r="A3230" s="2033"/>
      <c r="B3230" s="1631" t="s">
        <v>4991</v>
      </c>
      <c r="C3230" s="2805" t="s">
        <v>4992</v>
      </c>
      <c r="D3230" s="2805"/>
      <c r="E3230" s="2805"/>
      <c r="F3230" s="1683" t="s">
        <v>801</v>
      </c>
      <c r="G3230" s="2046">
        <v>5.0999999999999997E-2</v>
      </c>
      <c r="H3230" s="1641"/>
      <c r="I3230" s="2043">
        <v>4.1463E-2</v>
      </c>
      <c r="J3230" s="1657">
        <v>11397.1</v>
      </c>
      <c r="K3230" s="1641"/>
      <c r="L3230" s="1654">
        <v>472.56</v>
      </c>
      <c r="M3230" s="1641"/>
      <c r="N3230" s="1681"/>
      <c r="EW3230" s="2031"/>
      <c r="EX3230" s="1619"/>
      <c r="EY3230" s="1628"/>
      <c r="EZ3230" s="1628"/>
      <c r="FA3230" s="1628"/>
      <c r="FD3230" s="1864" t="s">
        <v>4992</v>
      </c>
      <c r="FH3230" s="1628"/>
      <c r="FU3230" s="1678"/>
      <c r="FW3230" s="1678"/>
    </row>
    <row r="3231" spans="1:179" s="1484" customFormat="1" ht="15" x14ac:dyDescent="0.25">
      <c r="A3231" s="2032"/>
      <c r="B3231" s="1631" t="s">
        <v>190</v>
      </c>
      <c r="C3231" s="2805" t="s">
        <v>2523</v>
      </c>
      <c r="D3231" s="2805"/>
      <c r="E3231" s="2805"/>
      <c r="F3231" s="1683"/>
      <c r="G3231" s="1641"/>
      <c r="H3231" s="1641"/>
      <c r="I3231" s="1641"/>
      <c r="J3231" s="1654">
        <v>380.71</v>
      </c>
      <c r="K3231" s="1655">
        <v>1.25</v>
      </c>
      <c r="L3231" s="1654">
        <v>386.9</v>
      </c>
      <c r="M3231" s="1655">
        <v>35.75</v>
      </c>
      <c r="N3231" s="1679">
        <v>13831.68</v>
      </c>
      <c r="EW3231" s="2031"/>
      <c r="EX3231" s="1619"/>
      <c r="EY3231" s="1628"/>
      <c r="EZ3231" s="1628"/>
      <c r="FA3231" s="1628"/>
      <c r="FE3231" s="1864" t="s">
        <v>2523</v>
      </c>
      <c r="FH3231" s="1628"/>
      <c r="FU3231" s="1678"/>
      <c r="FW3231" s="1678"/>
    </row>
    <row r="3232" spans="1:179" s="1484" customFormat="1" ht="15" x14ac:dyDescent="0.25">
      <c r="A3232" s="2032"/>
      <c r="B3232" s="1631" t="s">
        <v>639</v>
      </c>
      <c r="C3232" s="2805" t="s">
        <v>697</v>
      </c>
      <c r="D3232" s="2805"/>
      <c r="E3232" s="2805"/>
      <c r="F3232" s="1683"/>
      <c r="G3232" s="1641"/>
      <c r="H3232" s="1641"/>
      <c r="I3232" s="1641"/>
      <c r="J3232" s="1654">
        <v>10.41</v>
      </c>
      <c r="K3232" s="1641"/>
      <c r="L3232" s="1654">
        <v>8.4600000000000009</v>
      </c>
      <c r="M3232" s="1655">
        <v>11.97</v>
      </c>
      <c r="N3232" s="2039">
        <v>101.27</v>
      </c>
      <c r="EW3232" s="2031"/>
      <c r="EX3232" s="1619"/>
      <c r="EY3232" s="1628"/>
      <c r="EZ3232" s="1628"/>
      <c r="FA3232" s="1628"/>
      <c r="FE3232" s="1864" t="s">
        <v>697</v>
      </c>
      <c r="FH3232" s="1628"/>
      <c r="FU3232" s="1678"/>
      <c r="FW3232" s="1678"/>
    </row>
    <row r="3233" spans="1:179" s="1484" customFormat="1" ht="15" x14ac:dyDescent="0.25">
      <c r="A3233" s="2032"/>
      <c r="B3233" s="1631" t="s">
        <v>640</v>
      </c>
      <c r="C3233" s="2805" t="s">
        <v>2500</v>
      </c>
      <c r="D3233" s="2805"/>
      <c r="E3233" s="2805"/>
      <c r="F3233" s="1683"/>
      <c r="G3233" s="1641"/>
      <c r="H3233" s="1641"/>
      <c r="I3233" s="1641"/>
      <c r="J3233" s="1654">
        <v>1.97</v>
      </c>
      <c r="K3233" s="1641"/>
      <c r="L3233" s="1654">
        <v>1.6</v>
      </c>
      <c r="M3233" s="1655">
        <v>35.75</v>
      </c>
      <c r="N3233" s="2039">
        <v>57.2</v>
      </c>
      <c r="EW3233" s="2031"/>
      <c r="EX3233" s="1619"/>
      <c r="EY3233" s="1628"/>
      <c r="EZ3233" s="1628"/>
      <c r="FA3233" s="1628"/>
      <c r="FE3233" s="1864" t="s">
        <v>2500</v>
      </c>
      <c r="FH3233" s="1628"/>
      <c r="FU3233" s="1678"/>
      <c r="FW3233" s="1678"/>
    </row>
    <row r="3234" spans="1:179" s="1484" customFormat="1" ht="15" x14ac:dyDescent="0.25">
      <c r="A3234" s="2032"/>
      <c r="B3234" s="1631" t="s">
        <v>232</v>
      </c>
      <c r="C3234" s="2805" t="s">
        <v>829</v>
      </c>
      <c r="D3234" s="2805"/>
      <c r="E3234" s="2805"/>
      <c r="F3234" s="1683"/>
      <c r="G3234" s="1641"/>
      <c r="H3234" s="1641"/>
      <c r="I3234" s="1641"/>
      <c r="J3234" s="1654">
        <v>642.55999999999995</v>
      </c>
      <c r="K3234" s="1641"/>
      <c r="L3234" s="1654">
        <v>522.4</v>
      </c>
      <c r="M3234" s="1655">
        <v>9.14</v>
      </c>
      <c r="N3234" s="1679">
        <v>4774.74</v>
      </c>
      <c r="EW3234" s="2031"/>
      <c r="EX3234" s="1619"/>
      <c r="EY3234" s="1628"/>
      <c r="EZ3234" s="1628"/>
      <c r="FA3234" s="1628"/>
      <c r="FE3234" s="1864" t="s">
        <v>829</v>
      </c>
      <c r="FH3234" s="1628"/>
      <c r="FU3234" s="1678"/>
      <c r="FW3234" s="1678"/>
    </row>
    <row r="3235" spans="1:179" s="1484" customFormat="1" ht="15" x14ac:dyDescent="0.25">
      <c r="A3235" s="2033"/>
      <c r="B3235" s="1631"/>
      <c r="C3235" s="2805" t="s">
        <v>2524</v>
      </c>
      <c r="D3235" s="2805"/>
      <c r="E3235" s="2805"/>
      <c r="F3235" s="1683" t="s">
        <v>807</v>
      </c>
      <c r="G3235" s="1655">
        <v>43.56</v>
      </c>
      <c r="H3235" s="1641"/>
      <c r="I3235" s="2042">
        <v>35.414279999999998</v>
      </c>
      <c r="J3235" s="1640"/>
      <c r="K3235" s="1641"/>
      <c r="L3235" s="1640"/>
      <c r="M3235" s="1641"/>
      <c r="N3235" s="1681"/>
      <c r="EW3235" s="2031"/>
      <c r="EX3235" s="1619"/>
      <c r="EY3235" s="1628"/>
      <c r="EZ3235" s="1628"/>
      <c r="FA3235" s="1628"/>
      <c r="FF3235" s="1864" t="s">
        <v>2524</v>
      </c>
      <c r="FH3235" s="1628"/>
      <c r="FU3235" s="1678"/>
      <c r="FW3235" s="1678"/>
    </row>
    <row r="3236" spans="1:179" s="1484" customFormat="1" ht="15" x14ac:dyDescent="0.25">
      <c r="A3236" s="2033"/>
      <c r="B3236" s="1631"/>
      <c r="C3236" s="2805" t="s">
        <v>2501</v>
      </c>
      <c r="D3236" s="2805"/>
      <c r="E3236" s="2805"/>
      <c r="F3236" s="1683" t="s">
        <v>807</v>
      </c>
      <c r="G3236" s="1655">
        <v>0.17</v>
      </c>
      <c r="H3236" s="1641"/>
      <c r="I3236" s="2042">
        <v>0.13821</v>
      </c>
      <c r="J3236" s="1640"/>
      <c r="K3236" s="1641"/>
      <c r="L3236" s="1640"/>
      <c r="M3236" s="1641"/>
      <c r="N3236" s="1681"/>
      <c r="EW3236" s="2031"/>
      <c r="EX3236" s="1619"/>
      <c r="EY3236" s="1628"/>
      <c r="EZ3236" s="1628"/>
      <c r="FA3236" s="1628"/>
      <c r="FF3236" s="1864" t="s">
        <v>2501</v>
      </c>
      <c r="FH3236" s="1628"/>
      <c r="FU3236" s="1678"/>
      <c r="FW3236" s="1678"/>
    </row>
    <row r="3237" spans="1:179" s="1484" customFormat="1" ht="15" x14ac:dyDescent="0.25">
      <c r="A3237" s="2032"/>
      <c r="B3237" s="1631"/>
      <c r="C3237" s="2917" t="s">
        <v>2502</v>
      </c>
      <c r="D3237" s="2917"/>
      <c r="E3237" s="2917"/>
      <c r="F3237" s="2036"/>
      <c r="G3237" s="2037"/>
      <c r="H3237" s="2037"/>
      <c r="I3237" s="2037"/>
      <c r="J3237" s="2038">
        <v>1033.68</v>
      </c>
      <c r="K3237" s="2037"/>
      <c r="L3237" s="2044">
        <v>917.76</v>
      </c>
      <c r="M3237" s="2037"/>
      <c r="N3237" s="2068">
        <v>18707.689999999999</v>
      </c>
      <c r="EW3237" s="2031"/>
      <c r="EX3237" s="1619"/>
      <c r="EY3237" s="1628"/>
      <c r="EZ3237" s="1628"/>
      <c r="FA3237" s="1628"/>
      <c r="FG3237" s="1864" t="s">
        <v>2502</v>
      </c>
      <c r="FH3237" s="1628"/>
      <c r="FU3237" s="1678"/>
      <c r="FW3237" s="1678"/>
    </row>
    <row r="3238" spans="1:179" s="1484" customFormat="1" ht="15" x14ac:dyDescent="0.25">
      <c r="A3238" s="2033" t="s">
        <v>8516</v>
      </c>
      <c r="B3238" s="1631"/>
      <c r="C3238" s="2805" t="s">
        <v>7964</v>
      </c>
      <c r="D3238" s="2805"/>
      <c r="E3238" s="2805"/>
      <c r="F3238" s="1683" t="s">
        <v>5928</v>
      </c>
      <c r="G3238" s="1641"/>
      <c r="H3238" s="1641"/>
      <c r="I3238" s="1641"/>
      <c r="J3238" s="1640"/>
      <c r="K3238" s="1641"/>
      <c r="L3238" s="1654">
        <v>0.4</v>
      </c>
      <c r="M3238" s="1641"/>
      <c r="N3238" s="2039">
        <v>14.3</v>
      </c>
      <c r="EW3238" s="2031"/>
      <c r="EX3238" s="1619"/>
      <c r="EY3238" s="1628"/>
      <c r="EZ3238" s="1628"/>
      <c r="FA3238" s="1628"/>
      <c r="FF3238" s="1864" t="s">
        <v>7964</v>
      </c>
      <c r="FH3238" s="1628"/>
      <c r="FU3238" s="1678"/>
      <c r="FW3238" s="1678"/>
    </row>
    <row r="3239" spans="1:179" s="1484" customFormat="1" ht="15" x14ac:dyDescent="0.25">
      <c r="A3239" s="2033"/>
      <c r="B3239" s="1631"/>
      <c r="C3239" s="2805" t="s">
        <v>7965</v>
      </c>
      <c r="D3239" s="2805"/>
      <c r="E3239" s="2805"/>
      <c r="F3239" s="1683" t="s">
        <v>5928</v>
      </c>
      <c r="G3239" s="1641"/>
      <c r="H3239" s="1641"/>
      <c r="I3239" s="1641"/>
      <c r="J3239" s="1654">
        <v>1.97</v>
      </c>
      <c r="K3239" s="1655">
        <v>0.25</v>
      </c>
      <c r="L3239" s="1654">
        <v>0.4</v>
      </c>
      <c r="M3239" s="1655">
        <v>35.75</v>
      </c>
      <c r="N3239" s="2039">
        <v>14.3</v>
      </c>
      <c r="EW3239" s="2031"/>
      <c r="EX3239" s="1619"/>
      <c r="EY3239" s="1628"/>
      <c r="EZ3239" s="1628"/>
      <c r="FA3239" s="1628"/>
      <c r="FF3239" s="1864" t="s">
        <v>7965</v>
      </c>
      <c r="FH3239" s="1628"/>
      <c r="FU3239" s="1678"/>
      <c r="FW3239" s="1678"/>
    </row>
    <row r="3240" spans="1:179" s="1484" customFormat="1" ht="15" x14ac:dyDescent="0.25">
      <c r="A3240" s="2033"/>
      <c r="B3240" s="1631"/>
      <c r="C3240" s="2805" t="s">
        <v>867</v>
      </c>
      <c r="D3240" s="2805"/>
      <c r="E3240" s="2805"/>
      <c r="F3240" s="1683"/>
      <c r="G3240" s="1641"/>
      <c r="H3240" s="1641"/>
      <c r="I3240" s="1641"/>
      <c r="J3240" s="1640"/>
      <c r="K3240" s="1641"/>
      <c r="L3240" s="1654">
        <v>388.9</v>
      </c>
      <c r="M3240" s="1641"/>
      <c r="N3240" s="1679">
        <v>13903.18</v>
      </c>
      <c r="EW3240" s="2031"/>
      <c r="EX3240" s="1619"/>
      <c r="EY3240" s="1628"/>
      <c r="EZ3240" s="1628"/>
      <c r="FA3240" s="1628"/>
      <c r="FF3240" s="1864" t="s">
        <v>867</v>
      </c>
      <c r="FH3240" s="1628"/>
      <c r="FU3240" s="1678"/>
      <c r="FW3240" s="1678"/>
    </row>
    <row r="3241" spans="1:179" s="1484" customFormat="1" ht="15" x14ac:dyDescent="0.25">
      <c r="A3241" s="2033"/>
      <c r="B3241" s="1631" t="s">
        <v>7966</v>
      </c>
      <c r="C3241" s="2805" t="s">
        <v>7967</v>
      </c>
      <c r="D3241" s="2805"/>
      <c r="E3241" s="2805"/>
      <c r="F3241" s="1683" t="s">
        <v>636</v>
      </c>
      <c r="G3241" s="2034">
        <v>100</v>
      </c>
      <c r="H3241" s="1641"/>
      <c r="I3241" s="2034">
        <v>100</v>
      </c>
      <c r="J3241" s="1640"/>
      <c r="K3241" s="1641"/>
      <c r="L3241" s="1654">
        <v>388.9</v>
      </c>
      <c r="M3241" s="1641"/>
      <c r="N3241" s="1679">
        <v>13903.18</v>
      </c>
      <c r="EW3241" s="2031"/>
      <c r="EX3241" s="1619"/>
      <c r="EY3241" s="1628"/>
      <c r="EZ3241" s="1628"/>
      <c r="FA3241" s="1628"/>
      <c r="FF3241" s="1864" t="s">
        <v>7967</v>
      </c>
      <c r="FH3241" s="1628"/>
      <c r="FU3241" s="1678"/>
      <c r="FW3241" s="1678"/>
    </row>
    <row r="3242" spans="1:179" s="1484" customFormat="1" ht="15" x14ac:dyDescent="0.25">
      <c r="A3242" s="2033"/>
      <c r="B3242" s="1631" t="s">
        <v>7968</v>
      </c>
      <c r="C3242" s="2805" t="s">
        <v>7969</v>
      </c>
      <c r="D3242" s="2805"/>
      <c r="E3242" s="2805"/>
      <c r="F3242" s="1683" t="s">
        <v>636</v>
      </c>
      <c r="G3242" s="2034">
        <v>49</v>
      </c>
      <c r="H3242" s="1641"/>
      <c r="I3242" s="2034">
        <v>49</v>
      </c>
      <c r="J3242" s="1640"/>
      <c r="K3242" s="1641"/>
      <c r="L3242" s="1654">
        <v>190.56</v>
      </c>
      <c r="M3242" s="1641"/>
      <c r="N3242" s="1679">
        <v>6812.56</v>
      </c>
      <c r="EW3242" s="2031"/>
      <c r="EX3242" s="1619"/>
      <c r="EY3242" s="1628"/>
      <c r="EZ3242" s="1628"/>
      <c r="FA3242" s="1628"/>
      <c r="FF3242" s="1864" t="s">
        <v>7969</v>
      </c>
      <c r="FH3242" s="1628"/>
      <c r="FU3242" s="1678"/>
      <c r="FW3242" s="1678"/>
    </row>
    <row r="3243" spans="1:179" s="1484" customFormat="1" ht="15" x14ac:dyDescent="0.25">
      <c r="A3243" s="1650"/>
      <c r="B3243" s="1651"/>
      <c r="C3243" s="2803" t="s">
        <v>872</v>
      </c>
      <c r="D3243" s="2803"/>
      <c r="E3243" s="2803"/>
      <c r="F3243" s="1621"/>
      <c r="G3243" s="1622"/>
      <c r="H3243" s="1622"/>
      <c r="I3243" s="1622"/>
      <c r="J3243" s="1625"/>
      <c r="K3243" s="1622"/>
      <c r="L3243" s="1648">
        <v>1497.62</v>
      </c>
      <c r="M3243" s="2037"/>
      <c r="N3243" s="1649">
        <v>39437.730000000003</v>
      </c>
      <c r="EW3243" s="2031"/>
      <c r="EX3243" s="1619"/>
      <c r="EY3243" s="1628"/>
      <c r="EZ3243" s="1628"/>
      <c r="FA3243" s="1628"/>
      <c r="FH3243" s="1628" t="s">
        <v>872</v>
      </c>
      <c r="FU3243" s="1678"/>
      <c r="FW3243" s="1678"/>
    </row>
    <row r="3244" spans="1:179" s="1484" customFormat="1" ht="15" x14ac:dyDescent="0.25">
      <c r="A3244" s="1620" t="s">
        <v>8517</v>
      </c>
      <c r="B3244" s="1863" t="s">
        <v>8444</v>
      </c>
      <c r="C3244" s="2803" t="s">
        <v>8445</v>
      </c>
      <c r="D3244" s="2803"/>
      <c r="E3244" s="2803"/>
      <c r="F3244" s="1621" t="s">
        <v>4868</v>
      </c>
      <c r="G3244" s="1622">
        <v>8.1300000000000008</v>
      </c>
      <c r="H3244" s="1623">
        <v>1</v>
      </c>
      <c r="I3244" s="1687">
        <v>8.1300000000000008</v>
      </c>
      <c r="J3244" s="2040">
        <v>9.14</v>
      </c>
      <c r="K3244" s="1622"/>
      <c r="L3244" s="2040">
        <v>74.31</v>
      </c>
      <c r="M3244" s="1687">
        <v>9.14</v>
      </c>
      <c r="N3244" s="2069">
        <v>679.19</v>
      </c>
      <c r="EW3244" s="2031"/>
      <c r="EX3244" s="1619"/>
      <c r="EY3244" s="1628" t="s">
        <v>8445</v>
      </c>
      <c r="EZ3244" s="1628" t="s">
        <v>588</v>
      </c>
      <c r="FA3244" s="1628" t="s">
        <v>588</v>
      </c>
      <c r="FH3244" s="1628"/>
      <c r="FU3244" s="1678"/>
      <c r="FW3244" s="1678"/>
    </row>
    <row r="3245" spans="1:179" s="1484" customFormat="1" ht="15" x14ac:dyDescent="0.25">
      <c r="A3245" s="1650"/>
      <c r="B3245" s="1651"/>
      <c r="C3245" s="2805" t="s">
        <v>8640</v>
      </c>
      <c r="D3245" s="2805"/>
      <c r="E3245" s="2805"/>
      <c r="F3245" s="2805"/>
      <c r="G3245" s="2805"/>
      <c r="H3245" s="2805"/>
      <c r="I3245" s="2805"/>
      <c r="J3245" s="2805"/>
      <c r="K3245" s="2805"/>
      <c r="L3245" s="2805"/>
      <c r="M3245" s="2805"/>
      <c r="N3245" s="2806"/>
      <c r="EW3245" s="2031"/>
      <c r="EX3245" s="1619"/>
      <c r="EY3245" s="1628"/>
      <c r="EZ3245" s="1628"/>
      <c r="FA3245" s="1628"/>
      <c r="FH3245" s="1628"/>
      <c r="FI3245" s="1864" t="s">
        <v>8640</v>
      </c>
      <c r="FJ3245" s="1864" t="s">
        <v>588</v>
      </c>
      <c r="FK3245" s="1864" t="s">
        <v>588</v>
      </c>
      <c r="FL3245" s="1864" t="s">
        <v>588</v>
      </c>
      <c r="FM3245" s="1864" t="s">
        <v>588</v>
      </c>
      <c r="FN3245" s="1864" t="s">
        <v>588</v>
      </c>
      <c r="FO3245" s="1864" t="s">
        <v>588</v>
      </c>
      <c r="FP3245" s="1864" t="s">
        <v>588</v>
      </c>
      <c r="FQ3245" s="1864" t="s">
        <v>588</v>
      </c>
      <c r="FR3245" s="1864" t="s">
        <v>588</v>
      </c>
      <c r="FS3245" s="1864" t="s">
        <v>588</v>
      </c>
      <c r="FT3245" s="1864" t="s">
        <v>588</v>
      </c>
      <c r="FU3245" s="1678"/>
      <c r="FW3245" s="1678"/>
    </row>
    <row r="3246" spans="1:179" s="1484" customFormat="1" ht="15" x14ac:dyDescent="0.25">
      <c r="A3246" s="1629"/>
      <c r="B3246" s="1862"/>
      <c r="C3246" s="2805" t="s">
        <v>8709</v>
      </c>
      <c r="D3246" s="2805"/>
      <c r="E3246" s="2805"/>
      <c r="F3246" s="2805"/>
      <c r="G3246" s="2805"/>
      <c r="H3246" s="2805"/>
      <c r="I3246" s="2805"/>
      <c r="J3246" s="2805"/>
      <c r="K3246" s="2805"/>
      <c r="L3246" s="2805"/>
      <c r="M3246" s="2805"/>
      <c r="N3246" s="2806"/>
      <c r="EW3246" s="2031"/>
      <c r="EX3246" s="1619"/>
      <c r="EY3246" s="1628"/>
      <c r="EZ3246" s="1628"/>
      <c r="FA3246" s="1628"/>
      <c r="FB3246" s="1864" t="s">
        <v>8709</v>
      </c>
      <c r="FH3246" s="1628"/>
      <c r="FU3246" s="1678"/>
      <c r="FW3246" s="1678"/>
    </row>
    <row r="3247" spans="1:179" s="1484" customFormat="1" ht="15" x14ac:dyDescent="0.25">
      <c r="A3247" s="1650"/>
      <c r="B3247" s="1651"/>
      <c r="C3247" s="2803" t="s">
        <v>872</v>
      </c>
      <c r="D3247" s="2803"/>
      <c r="E3247" s="2803"/>
      <c r="F3247" s="1621"/>
      <c r="G3247" s="1622"/>
      <c r="H3247" s="1622"/>
      <c r="I3247" s="1622"/>
      <c r="J3247" s="1625"/>
      <c r="K3247" s="1622"/>
      <c r="L3247" s="2040">
        <v>74.31</v>
      </c>
      <c r="M3247" s="2037"/>
      <c r="N3247" s="2069">
        <v>679.19</v>
      </c>
      <c r="EW3247" s="2031"/>
      <c r="EX3247" s="1619"/>
      <c r="EY3247" s="1628"/>
      <c r="EZ3247" s="1628"/>
      <c r="FA3247" s="1628"/>
      <c r="FH3247" s="1628" t="s">
        <v>872</v>
      </c>
      <c r="FU3247" s="1678"/>
      <c r="FW3247" s="1678"/>
    </row>
    <row r="3248" spans="1:179" s="1484" customFormat="1" ht="22.5" x14ac:dyDescent="0.25">
      <c r="A3248" s="1620" t="s">
        <v>8518</v>
      </c>
      <c r="B3248" s="1863" t="s">
        <v>8506</v>
      </c>
      <c r="C3248" s="2803" t="s">
        <v>8507</v>
      </c>
      <c r="D3248" s="2803"/>
      <c r="E3248" s="2803"/>
      <c r="F3248" s="1621" t="s">
        <v>801</v>
      </c>
      <c r="G3248" s="1622">
        <v>2.4389999999999998E-2</v>
      </c>
      <c r="H3248" s="1623">
        <v>1</v>
      </c>
      <c r="I3248" s="2048">
        <v>2.4389999999999998E-2</v>
      </c>
      <c r="J3248" s="1648">
        <v>112876.99</v>
      </c>
      <c r="K3248" s="1622"/>
      <c r="L3248" s="1648">
        <v>2753.07</v>
      </c>
      <c r="M3248" s="1687">
        <v>9.14</v>
      </c>
      <c r="N3248" s="1649">
        <v>25163.06</v>
      </c>
      <c r="EW3248" s="2031"/>
      <c r="EX3248" s="1619"/>
      <c r="EY3248" s="1628" t="s">
        <v>8507</v>
      </c>
      <c r="EZ3248" s="1628" t="s">
        <v>588</v>
      </c>
      <c r="FA3248" s="1628" t="s">
        <v>588</v>
      </c>
      <c r="FH3248" s="1628"/>
      <c r="FU3248" s="1678"/>
      <c r="FW3248" s="1678"/>
    </row>
    <row r="3249" spans="1:179" s="1484" customFormat="1" ht="15" x14ac:dyDescent="0.25">
      <c r="A3249" s="1650"/>
      <c r="B3249" s="1651"/>
      <c r="C3249" s="2805" t="s">
        <v>8640</v>
      </c>
      <c r="D3249" s="2805"/>
      <c r="E3249" s="2805"/>
      <c r="F3249" s="2805"/>
      <c r="G3249" s="2805"/>
      <c r="H3249" s="2805"/>
      <c r="I3249" s="2805"/>
      <c r="J3249" s="2805"/>
      <c r="K3249" s="2805"/>
      <c r="L3249" s="2805"/>
      <c r="M3249" s="2805"/>
      <c r="N3249" s="2806"/>
      <c r="EW3249" s="2031"/>
      <c r="EX3249" s="1619"/>
      <c r="EY3249" s="1628"/>
      <c r="EZ3249" s="1628"/>
      <c r="FA3249" s="1628"/>
      <c r="FH3249" s="1628"/>
      <c r="FI3249" s="1864" t="s">
        <v>8640</v>
      </c>
      <c r="FJ3249" s="1864" t="s">
        <v>588</v>
      </c>
      <c r="FK3249" s="1864" t="s">
        <v>588</v>
      </c>
      <c r="FL3249" s="1864" t="s">
        <v>588</v>
      </c>
      <c r="FM3249" s="1864" t="s">
        <v>588</v>
      </c>
      <c r="FN3249" s="1864" t="s">
        <v>588</v>
      </c>
      <c r="FO3249" s="1864" t="s">
        <v>588</v>
      </c>
      <c r="FP3249" s="1864" t="s">
        <v>588</v>
      </c>
      <c r="FQ3249" s="1864" t="s">
        <v>588</v>
      </c>
      <c r="FR3249" s="1864" t="s">
        <v>588</v>
      </c>
      <c r="FS3249" s="1864" t="s">
        <v>588</v>
      </c>
      <c r="FT3249" s="1864" t="s">
        <v>588</v>
      </c>
      <c r="FU3249" s="1678"/>
      <c r="FW3249" s="1678"/>
    </row>
    <row r="3250" spans="1:179" s="1484" customFormat="1" ht="15" x14ac:dyDescent="0.25">
      <c r="A3250" s="1650"/>
      <c r="B3250" s="1651"/>
      <c r="C3250" s="2803" t="s">
        <v>872</v>
      </c>
      <c r="D3250" s="2803"/>
      <c r="E3250" s="2803"/>
      <c r="F3250" s="1621"/>
      <c r="G3250" s="1622"/>
      <c r="H3250" s="1622"/>
      <c r="I3250" s="1622"/>
      <c r="J3250" s="1625"/>
      <c r="K3250" s="1622"/>
      <c r="L3250" s="1648">
        <v>2753.07</v>
      </c>
      <c r="M3250" s="2037"/>
      <c r="N3250" s="1649">
        <v>25163.06</v>
      </c>
      <c r="EW3250" s="2031"/>
      <c r="EX3250" s="1619"/>
      <c r="EY3250" s="1628"/>
      <c r="EZ3250" s="1628"/>
      <c r="FA3250" s="1628"/>
      <c r="FH3250" s="1628" t="s">
        <v>872</v>
      </c>
      <c r="FU3250" s="1678"/>
      <c r="FW3250" s="1678"/>
    </row>
    <row r="3251" spans="1:179" s="1484" customFormat="1" ht="15" x14ac:dyDescent="0.25">
      <c r="A3251" s="2811" t="s">
        <v>8519</v>
      </c>
      <c r="B3251" s="2812"/>
      <c r="C3251" s="2812"/>
      <c r="D3251" s="2812"/>
      <c r="E3251" s="2812"/>
      <c r="F3251" s="2812"/>
      <c r="G3251" s="2812"/>
      <c r="H3251" s="2812"/>
      <c r="I3251" s="2812"/>
      <c r="J3251" s="2812"/>
      <c r="K3251" s="2812"/>
      <c r="L3251" s="2812"/>
      <c r="M3251" s="2812"/>
      <c r="N3251" s="2813"/>
      <c r="EW3251" s="2031"/>
      <c r="EX3251" s="1619" t="s">
        <v>8519</v>
      </c>
      <c r="EY3251" s="1628"/>
      <c r="EZ3251" s="1628"/>
      <c r="FA3251" s="1628"/>
      <c r="FH3251" s="1628"/>
      <c r="FU3251" s="1678"/>
      <c r="FW3251" s="1678"/>
    </row>
    <row r="3252" spans="1:179" s="1484" customFormat="1" ht="22.5" x14ac:dyDescent="0.25">
      <c r="A3252" s="1620" t="s">
        <v>8520</v>
      </c>
      <c r="B3252" s="1863" t="s">
        <v>8479</v>
      </c>
      <c r="C3252" s="2803" t="s">
        <v>8480</v>
      </c>
      <c r="D3252" s="2803"/>
      <c r="E3252" s="2803"/>
      <c r="F3252" s="1621" t="s">
        <v>2555</v>
      </c>
      <c r="G3252" s="1622">
        <v>4.0309999999999997</v>
      </c>
      <c r="H3252" s="1623">
        <v>1</v>
      </c>
      <c r="I3252" s="2045">
        <v>4.0309999999999997</v>
      </c>
      <c r="J3252" s="1625"/>
      <c r="K3252" s="1622"/>
      <c r="L3252" s="1625"/>
      <c r="M3252" s="1622"/>
      <c r="N3252" s="1627"/>
      <c r="EW3252" s="2031"/>
      <c r="EX3252" s="1619"/>
      <c r="EY3252" s="1628" t="s">
        <v>8480</v>
      </c>
      <c r="EZ3252" s="1628" t="s">
        <v>588</v>
      </c>
      <c r="FA3252" s="1628" t="s">
        <v>588</v>
      </c>
      <c r="FH3252" s="1628"/>
      <c r="FU3252" s="1678"/>
      <c r="FW3252" s="1678"/>
    </row>
    <row r="3253" spans="1:179" s="1484" customFormat="1" ht="15" x14ac:dyDescent="0.25">
      <c r="A3253" s="1629"/>
      <c r="B3253" s="1862"/>
      <c r="C3253" s="2805" t="s">
        <v>8705</v>
      </c>
      <c r="D3253" s="2805"/>
      <c r="E3253" s="2805"/>
      <c r="F3253" s="2805"/>
      <c r="G3253" s="2805"/>
      <c r="H3253" s="2805"/>
      <c r="I3253" s="2805"/>
      <c r="J3253" s="2805"/>
      <c r="K3253" s="2805"/>
      <c r="L3253" s="2805"/>
      <c r="M3253" s="2805"/>
      <c r="N3253" s="2806"/>
      <c r="EW3253" s="2031"/>
      <c r="EX3253" s="1619"/>
      <c r="EY3253" s="1628"/>
      <c r="EZ3253" s="1628"/>
      <c r="FA3253" s="1628"/>
      <c r="FB3253" s="1864" t="s">
        <v>8705</v>
      </c>
      <c r="FH3253" s="1628"/>
      <c r="FU3253" s="1678"/>
      <c r="FW3253" s="1678"/>
    </row>
    <row r="3254" spans="1:179" s="1484" customFormat="1" ht="22.5" x14ac:dyDescent="0.25">
      <c r="A3254" s="1630"/>
      <c r="B3254" s="1631" t="s">
        <v>6062</v>
      </c>
      <c r="C3254" s="2809" t="s">
        <v>6063</v>
      </c>
      <c r="D3254" s="2809"/>
      <c r="E3254" s="2809"/>
      <c r="F3254" s="2809"/>
      <c r="G3254" s="2809"/>
      <c r="H3254" s="2809"/>
      <c r="I3254" s="2809"/>
      <c r="J3254" s="2809"/>
      <c r="K3254" s="2809"/>
      <c r="L3254" s="2809"/>
      <c r="M3254" s="2809"/>
      <c r="N3254" s="2810"/>
      <c r="EW3254" s="2031"/>
      <c r="EX3254" s="1619"/>
      <c r="EY3254" s="1628"/>
      <c r="EZ3254" s="1628"/>
      <c r="FA3254" s="1628"/>
      <c r="FC3254" s="1864" t="s">
        <v>6063</v>
      </c>
      <c r="FH3254" s="1628"/>
      <c r="FU3254" s="1678"/>
      <c r="FW3254" s="1678"/>
    </row>
    <row r="3255" spans="1:179" s="1484" customFormat="1" ht="22.5" x14ac:dyDescent="0.25">
      <c r="A3255" s="2033"/>
      <c r="B3255" s="1631" t="s">
        <v>1883</v>
      </c>
      <c r="C3255" s="2805" t="s">
        <v>8708</v>
      </c>
      <c r="D3255" s="2805"/>
      <c r="E3255" s="2805"/>
      <c r="F3255" s="1683" t="s">
        <v>807</v>
      </c>
      <c r="G3255" s="1655">
        <v>4.6500000000000004</v>
      </c>
      <c r="H3255" s="1641"/>
      <c r="I3255" s="2042">
        <v>18.744150000000001</v>
      </c>
      <c r="J3255" s="1654">
        <v>9.6199999999999992</v>
      </c>
      <c r="K3255" s="1655">
        <v>1.25</v>
      </c>
      <c r="L3255" s="1654">
        <v>225.4</v>
      </c>
      <c r="M3255" s="1641"/>
      <c r="N3255" s="1681"/>
      <c r="EW3255" s="2031"/>
      <c r="EX3255" s="1619"/>
      <c r="EY3255" s="1628"/>
      <c r="EZ3255" s="1628"/>
      <c r="FA3255" s="1628"/>
      <c r="FD3255" s="1864" t="s">
        <v>8708</v>
      </c>
      <c r="FH3255" s="1628"/>
      <c r="FU3255" s="1678"/>
      <c r="FW3255" s="1678"/>
    </row>
    <row r="3256" spans="1:179" s="1484" customFormat="1" ht="22.5" x14ac:dyDescent="0.25">
      <c r="A3256" s="2033"/>
      <c r="B3256" s="1631" t="s">
        <v>5010</v>
      </c>
      <c r="C3256" s="2805" t="s">
        <v>5011</v>
      </c>
      <c r="D3256" s="2805"/>
      <c r="E3256" s="2805"/>
      <c r="F3256" s="1683" t="s">
        <v>4994</v>
      </c>
      <c r="G3256" s="1655">
        <v>0.01</v>
      </c>
      <c r="H3256" s="1641"/>
      <c r="I3256" s="2042">
        <v>4.0309999999999999E-2</v>
      </c>
      <c r="J3256" s="1654">
        <v>31.26</v>
      </c>
      <c r="K3256" s="1641"/>
      <c r="L3256" s="1654">
        <v>1.26</v>
      </c>
      <c r="M3256" s="1641"/>
      <c r="N3256" s="1681"/>
      <c r="EW3256" s="2031"/>
      <c r="EX3256" s="1619"/>
      <c r="EY3256" s="1628"/>
      <c r="EZ3256" s="1628"/>
      <c r="FA3256" s="1628"/>
      <c r="FD3256" s="1864" t="s">
        <v>5011</v>
      </c>
      <c r="FH3256" s="1628"/>
      <c r="FU3256" s="1678"/>
      <c r="FW3256" s="1678"/>
    </row>
    <row r="3257" spans="1:179" s="1484" customFormat="1" ht="15" x14ac:dyDescent="0.25">
      <c r="A3257" s="2033"/>
      <c r="B3257" s="1631" t="s">
        <v>821</v>
      </c>
      <c r="C3257" s="2805" t="s">
        <v>822</v>
      </c>
      <c r="D3257" s="2805"/>
      <c r="E3257" s="2805"/>
      <c r="F3257" s="1683" t="s">
        <v>4994</v>
      </c>
      <c r="G3257" s="1655">
        <v>0.01</v>
      </c>
      <c r="H3257" s="1641"/>
      <c r="I3257" s="2042">
        <v>4.0309999999999999E-2</v>
      </c>
      <c r="J3257" s="1654">
        <v>65.709999999999994</v>
      </c>
      <c r="K3257" s="1641"/>
      <c r="L3257" s="1654">
        <v>2.65</v>
      </c>
      <c r="M3257" s="1641"/>
      <c r="N3257" s="1681"/>
      <c r="EW3257" s="2031"/>
      <c r="EX3257" s="1619"/>
      <c r="EY3257" s="1628"/>
      <c r="EZ3257" s="1628"/>
      <c r="FA3257" s="1628"/>
      <c r="FD3257" s="1864" t="s">
        <v>822</v>
      </c>
      <c r="FH3257" s="1628"/>
      <c r="FU3257" s="1678"/>
      <c r="FW3257" s="1678"/>
    </row>
    <row r="3258" spans="1:179" s="1484" customFormat="1" ht="15" x14ac:dyDescent="0.25">
      <c r="A3258" s="2033"/>
      <c r="B3258" s="1631" t="s">
        <v>4922</v>
      </c>
      <c r="C3258" s="2805" t="s">
        <v>8707</v>
      </c>
      <c r="D3258" s="2805"/>
      <c r="E3258" s="2805"/>
      <c r="F3258" s="1683" t="s">
        <v>835</v>
      </c>
      <c r="G3258" s="1953">
        <v>0.1</v>
      </c>
      <c r="H3258" s="1641"/>
      <c r="I3258" s="2035">
        <v>0.40310000000000001</v>
      </c>
      <c r="J3258" s="1654">
        <v>1.82</v>
      </c>
      <c r="K3258" s="1641"/>
      <c r="L3258" s="1654">
        <v>0.73</v>
      </c>
      <c r="M3258" s="1641"/>
      <c r="N3258" s="1681"/>
      <c r="EW3258" s="2031"/>
      <c r="EX3258" s="1619"/>
      <c r="EY3258" s="1628"/>
      <c r="EZ3258" s="1628"/>
      <c r="FA3258" s="1628"/>
      <c r="FD3258" s="1864" t="s">
        <v>8707</v>
      </c>
      <c r="FH3258" s="1628"/>
      <c r="FU3258" s="1678"/>
      <c r="FW3258" s="1678"/>
    </row>
    <row r="3259" spans="1:179" s="1484" customFormat="1" ht="15" x14ac:dyDescent="0.25">
      <c r="A3259" s="2032"/>
      <c r="B3259" s="1631" t="s">
        <v>190</v>
      </c>
      <c r="C3259" s="2805" t="s">
        <v>2523</v>
      </c>
      <c r="D3259" s="2805"/>
      <c r="E3259" s="2805"/>
      <c r="F3259" s="1683"/>
      <c r="G3259" s="1641"/>
      <c r="H3259" s="1641"/>
      <c r="I3259" s="1641"/>
      <c r="J3259" s="1654">
        <v>44.73</v>
      </c>
      <c r="K3259" s="1655">
        <v>1.25</v>
      </c>
      <c r="L3259" s="1654">
        <v>225.38</v>
      </c>
      <c r="M3259" s="1655">
        <v>35.75</v>
      </c>
      <c r="N3259" s="1679">
        <v>8057.34</v>
      </c>
      <c r="EW3259" s="2031"/>
      <c r="EX3259" s="1619"/>
      <c r="EY3259" s="1628"/>
      <c r="EZ3259" s="1628"/>
      <c r="FA3259" s="1628"/>
      <c r="FE3259" s="1864" t="s">
        <v>2523</v>
      </c>
      <c r="FH3259" s="1628"/>
      <c r="FU3259" s="1678"/>
      <c r="FW3259" s="1678"/>
    </row>
    <row r="3260" spans="1:179" s="1484" customFormat="1" ht="15" x14ac:dyDescent="0.25">
      <c r="A3260" s="2032"/>
      <c r="B3260" s="1631" t="s">
        <v>639</v>
      </c>
      <c r="C3260" s="2805" t="s">
        <v>697</v>
      </c>
      <c r="D3260" s="2805"/>
      <c r="E3260" s="2805"/>
      <c r="F3260" s="1683"/>
      <c r="G3260" s="1641"/>
      <c r="H3260" s="1641"/>
      <c r="I3260" s="1641"/>
      <c r="J3260" s="1654">
        <v>0.97</v>
      </c>
      <c r="K3260" s="1641"/>
      <c r="L3260" s="1654">
        <v>3.91</v>
      </c>
      <c r="M3260" s="1655">
        <v>11.97</v>
      </c>
      <c r="N3260" s="2039">
        <v>46.8</v>
      </c>
      <c r="EW3260" s="2031"/>
      <c r="EX3260" s="1619"/>
      <c r="EY3260" s="1628"/>
      <c r="EZ3260" s="1628"/>
      <c r="FA3260" s="1628"/>
      <c r="FE3260" s="1864" t="s">
        <v>697</v>
      </c>
      <c r="FH3260" s="1628"/>
      <c r="FU3260" s="1678"/>
      <c r="FW3260" s="1678"/>
    </row>
    <row r="3261" spans="1:179" s="1484" customFormat="1" ht="15" x14ac:dyDescent="0.25">
      <c r="A3261" s="2032"/>
      <c r="B3261" s="1631" t="s">
        <v>640</v>
      </c>
      <c r="C3261" s="2805" t="s">
        <v>2500</v>
      </c>
      <c r="D3261" s="2805"/>
      <c r="E3261" s="2805"/>
      <c r="F3261" s="1683"/>
      <c r="G3261" s="1641"/>
      <c r="H3261" s="1641"/>
      <c r="I3261" s="1641"/>
      <c r="J3261" s="1654">
        <v>0.26</v>
      </c>
      <c r="K3261" s="1641"/>
      <c r="L3261" s="1654">
        <v>1.05</v>
      </c>
      <c r="M3261" s="1655">
        <v>35.75</v>
      </c>
      <c r="N3261" s="2039">
        <v>37.54</v>
      </c>
      <c r="EW3261" s="2031"/>
      <c r="EX3261" s="1619"/>
      <c r="EY3261" s="1628"/>
      <c r="EZ3261" s="1628"/>
      <c r="FA3261" s="1628"/>
      <c r="FE3261" s="1864" t="s">
        <v>2500</v>
      </c>
      <c r="FH3261" s="1628"/>
      <c r="FU3261" s="1678"/>
      <c r="FW3261" s="1678"/>
    </row>
    <row r="3262" spans="1:179" s="1484" customFormat="1" ht="15" x14ac:dyDescent="0.25">
      <c r="A3262" s="2032"/>
      <c r="B3262" s="1631" t="s">
        <v>232</v>
      </c>
      <c r="C3262" s="2805" t="s">
        <v>829</v>
      </c>
      <c r="D3262" s="2805"/>
      <c r="E3262" s="2805"/>
      <c r="F3262" s="1683"/>
      <c r="G3262" s="1641"/>
      <c r="H3262" s="1641"/>
      <c r="I3262" s="1641"/>
      <c r="J3262" s="1654">
        <v>0.18</v>
      </c>
      <c r="K3262" s="1641"/>
      <c r="L3262" s="1654">
        <v>0.73</v>
      </c>
      <c r="M3262" s="1655">
        <v>9.14</v>
      </c>
      <c r="N3262" s="2039">
        <v>6.67</v>
      </c>
      <c r="EW3262" s="2031"/>
      <c r="EX3262" s="1619"/>
      <c r="EY3262" s="1628"/>
      <c r="EZ3262" s="1628"/>
      <c r="FA3262" s="1628"/>
      <c r="FE3262" s="1864" t="s">
        <v>829</v>
      </c>
      <c r="FH3262" s="1628"/>
      <c r="FU3262" s="1678"/>
      <c r="FW3262" s="1678"/>
    </row>
    <row r="3263" spans="1:179" s="1484" customFormat="1" ht="15" x14ac:dyDescent="0.25">
      <c r="A3263" s="2033"/>
      <c r="B3263" s="1631"/>
      <c r="C3263" s="2805" t="s">
        <v>2524</v>
      </c>
      <c r="D3263" s="2805"/>
      <c r="E3263" s="2805"/>
      <c r="F3263" s="1683" t="s">
        <v>807</v>
      </c>
      <c r="G3263" s="1655">
        <v>4.6500000000000004</v>
      </c>
      <c r="H3263" s="1641"/>
      <c r="I3263" s="2042">
        <v>18.744150000000001</v>
      </c>
      <c r="J3263" s="1640"/>
      <c r="K3263" s="1641"/>
      <c r="L3263" s="1640"/>
      <c r="M3263" s="1641"/>
      <c r="N3263" s="1681"/>
      <c r="EW3263" s="2031"/>
      <c r="EX3263" s="1619"/>
      <c r="EY3263" s="1628"/>
      <c r="EZ3263" s="1628"/>
      <c r="FA3263" s="1628"/>
      <c r="FF3263" s="1864" t="s">
        <v>2524</v>
      </c>
      <c r="FH3263" s="1628"/>
      <c r="FU3263" s="1678"/>
      <c r="FW3263" s="1678"/>
    </row>
    <row r="3264" spans="1:179" s="1484" customFormat="1" ht="15" x14ac:dyDescent="0.25">
      <c r="A3264" s="2033"/>
      <c r="B3264" s="1631"/>
      <c r="C3264" s="2805" t="s">
        <v>2501</v>
      </c>
      <c r="D3264" s="2805"/>
      <c r="E3264" s="2805"/>
      <c r="F3264" s="1683" t="s">
        <v>807</v>
      </c>
      <c r="G3264" s="1655">
        <v>0.02</v>
      </c>
      <c r="H3264" s="1641"/>
      <c r="I3264" s="2042">
        <v>8.0619999999999997E-2</v>
      </c>
      <c r="J3264" s="1640"/>
      <c r="K3264" s="1641"/>
      <c r="L3264" s="1640"/>
      <c r="M3264" s="1641"/>
      <c r="N3264" s="1681"/>
      <c r="EW3264" s="2031"/>
      <c r="EX3264" s="1619"/>
      <c r="EY3264" s="1628"/>
      <c r="EZ3264" s="1628"/>
      <c r="FA3264" s="1628"/>
      <c r="FF3264" s="1864" t="s">
        <v>2501</v>
      </c>
      <c r="FH3264" s="1628"/>
      <c r="FU3264" s="1678"/>
      <c r="FW3264" s="1678"/>
    </row>
    <row r="3265" spans="1:179" s="1484" customFormat="1" ht="15" x14ac:dyDescent="0.25">
      <c r="A3265" s="2032"/>
      <c r="B3265" s="1631"/>
      <c r="C3265" s="2917" t="s">
        <v>2502</v>
      </c>
      <c r="D3265" s="2917"/>
      <c r="E3265" s="2917"/>
      <c r="F3265" s="2036"/>
      <c r="G3265" s="2037"/>
      <c r="H3265" s="2037"/>
      <c r="I3265" s="2037"/>
      <c r="J3265" s="2044">
        <v>45.88</v>
      </c>
      <c r="K3265" s="2037"/>
      <c r="L3265" s="2044">
        <v>230.02</v>
      </c>
      <c r="M3265" s="2037"/>
      <c r="N3265" s="2068">
        <v>8110.81</v>
      </c>
      <c r="EW3265" s="2031"/>
      <c r="EX3265" s="1619"/>
      <c r="EY3265" s="1628"/>
      <c r="EZ3265" s="1628"/>
      <c r="FA3265" s="1628"/>
      <c r="FG3265" s="1864" t="s">
        <v>2502</v>
      </c>
      <c r="FH3265" s="1628"/>
      <c r="FU3265" s="1678"/>
      <c r="FW3265" s="1678"/>
    </row>
    <row r="3266" spans="1:179" s="1484" customFormat="1" ht="15" x14ac:dyDescent="0.25">
      <c r="A3266" s="2033" t="s">
        <v>8521</v>
      </c>
      <c r="B3266" s="1631"/>
      <c r="C3266" s="2805" t="s">
        <v>7964</v>
      </c>
      <c r="D3266" s="2805"/>
      <c r="E3266" s="2805"/>
      <c r="F3266" s="1683" t="s">
        <v>5928</v>
      </c>
      <c r="G3266" s="1641"/>
      <c r="H3266" s="1641"/>
      <c r="I3266" s="1641"/>
      <c r="J3266" s="1640"/>
      <c r="K3266" s="1641"/>
      <c r="L3266" s="1654">
        <v>0.26</v>
      </c>
      <c r="M3266" s="1641"/>
      <c r="N3266" s="2039">
        <v>9.3000000000000007</v>
      </c>
      <c r="EW3266" s="2031"/>
      <c r="EX3266" s="1619"/>
      <c r="EY3266" s="1628"/>
      <c r="EZ3266" s="1628"/>
      <c r="FA3266" s="1628"/>
      <c r="FF3266" s="1864" t="s">
        <v>7964</v>
      </c>
      <c r="FH3266" s="1628"/>
      <c r="FU3266" s="1678"/>
      <c r="FW3266" s="1678"/>
    </row>
    <row r="3267" spans="1:179" s="1484" customFormat="1" ht="15" x14ac:dyDescent="0.25">
      <c r="A3267" s="2033"/>
      <c r="B3267" s="1631"/>
      <c r="C3267" s="2805" t="s">
        <v>7965</v>
      </c>
      <c r="D3267" s="2805"/>
      <c r="E3267" s="2805"/>
      <c r="F3267" s="1683" t="s">
        <v>5928</v>
      </c>
      <c r="G3267" s="1641"/>
      <c r="H3267" s="1641"/>
      <c r="I3267" s="1641"/>
      <c r="J3267" s="1654">
        <v>0.26</v>
      </c>
      <c r="K3267" s="1655">
        <v>0.25</v>
      </c>
      <c r="L3267" s="1654">
        <v>0.26</v>
      </c>
      <c r="M3267" s="1655">
        <v>35.75</v>
      </c>
      <c r="N3267" s="2039">
        <v>9.3000000000000007</v>
      </c>
      <c r="EW3267" s="2031"/>
      <c r="EX3267" s="1619"/>
      <c r="EY3267" s="1628"/>
      <c r="EZ3267" s="1628"/>
      <c r="FA3267" s="1628"/>
      <c r="FF3267" s="1864" t="s">
        <v>7965</v>
      </c>
      <c r="FH3267" s="1628"/>
      <c r="FU3267" s="1678"/>
      <c r="FW3267" s="1678"/>
    </row>
    <row r="3268" spans="1:179" s="1484" customFormat="1" ht="15" x14ac:dyDescent="0.25">
      <c r="A3268" s="2033"/>
      <c r="B3268" s="1631"/>
      <c r="C3268" s="2805" t="s">
        <v>867</v>
      </c>
      <c r="D3268" s="2805"/>
      <c r="E3268" s="2805"/>
      <c r="F3268" s="1683"/>
      <c r="G3268" s="1641"/>
      <c r="H3268" s="1641"/>
      <c r="I3268" s="1641"/>
      <c r="J3268" s="1640"/>
      <c r="K3268" s="1641"/>
      <c r="L3268" s="1654">
        <v>226.69</v>
      </c>
      <c r="M3268" s="1641"/>
      <c r="N3268" s="1679">
        <v>8104.18</v>
      </c>
      <c r="EW3268" s="2031"/>
      <c r="EX3268" s="1619"/>
      <c r="EY3268" s="1628"/>
      <c r="EZ3268" s="1628"/>
      <c r="FA3268" s="1628"/>
      <c r="FF3268" s="1864" t="s">
        <v>867</v>
      </c>
      <c r="FH3268" s="1628"/>
      <c r="FU3268" s="1678"/>
      <c r="FW3268" s="1678"/>
    </row>
    <row r="3269" spans="1:179" s="1484" customFormat="1" ht="15" x14ac:dyDescent="0.25">
      <c r="A3269" s="2033"/>
      <c r="B3269" s="1631" t="s">
        <v>7966</v>
      </c>
      <c r="C3269" s="2805" t="s">
        <v>7967</v>
      </c>
      <c r="D3269" s="2805"/>
      <c r="E3269" s="2805"/>
      <c r="F3269" s="1683" t="s">
        <v>636</v>
      </c>
      <c r="G3269" s="2034">
        <v>100</v>
      </c>
      <c r="H3269" s="1641"/>
      <c r="I3269" s="2034">
        <v>100</v>
      </c>
      <c r="J3269" s="1640"/>
      <c r="K3269" s="1641"/>
      <c r="L3269" s="1654">
        <v>226.69</v>
      </c>
      <c r="M3269" s="1641"/>
      <c r="N3269" s="1679">
        <v>8104.18</v>
      </c>
      <c r="EW3269" s="2031"/>
      <c r="EX3269" s="1619"/>
      <c r="EY3269" s="1628"/>
      <c r="EZ3269" s="1628"/>
      <c r="FA3269" s="1628"/>
      <c r="FF3269" s="1864" t="s">
        <v>7967</v>
      </c>
      <c r="FH3269" s="1628"/>
      <c r="FU3269" s="1678"/>
      <c r="FW3269" s="1678"/>
    </row>
    <row r="3270" spans="1:179" s="1484" customFormat="1" ht="15" x14ac:dyDescent="0.25">
      <c r="A3270" s="2033"/>
      <c r="B3270" s="1631" t="s">
        <v>7968</v>
      </c>
      <c r="C3270" s="2805" t="s">
        <v>7969</v>
      </c>
      <c r="D3270" s="2805"/>
      <c r="E3270" s="2805"/>
      <c r="F3270" s="1683" t="s">
        <v>636</v>
      </c>
      <c r="G3270" s="2034">
        <v>49</v>
      </c>
      <c r="H3270" s="1641"/>
      <c r="I3270" s="2034">
        <v>49</v>
      </c>
      <c r="J3270" s="1640"/>
      <c r="K3270" s="1641"/>
      <c r="L3270" s="1654">
        <v>111.08</v>
      </c>
      <c r="M3270" s="1641"/>
      <c r="N3270" s="1679">
        <v>3971.05</v>
      </c>
      <c r="EW3270" s="2031"/>
      <c r="EX3270" s="1619"/>
      <c r="EY3270" s="1628"/>
      <c r="EZ3270" s="1628"/>
      <c r="FA3270" s="1628"/>
      <c r="FF3270" s="1864" t="s">
        <v>7969</v>
      </c>
      <c r="FH3270" s="1628"/>
      <c r="FU3270" s="1678"/>
      <c r="FW3270" s="1678"/>
    </row>
    <row r="3271" spans="1:179" s="1484" customFormat="1" ht="15" x14ac:dyDescent="0.25">
      <c r="A3271" s="1650"/>
      <c r="B3271" s="1651"/>
      <c r="C3271" s="2803" t="s">
        <v>872</v>
      </c>
      <c r="D3271" s="2803"/>
      <c r="E3271" s="2803"/>
      <c r="F3271" s="1621"/>
      <c r="G3271" s="1622"/>
      <c r="H3271" s="1622"/>
      <c r="I3271" s="1622"/>
      <c r="J3271" s="1625"/>
      <c r="K3271" s="1622"/>
      <c r="L3271" s="2040">
        <v>568.04999999999995</v>
      </c>
      <c r="M3271" s="2037"/>
      <c r="N3271" s="1649">
        <v>20195.34</v>
      </c>
      <c r="EW3271" s="2031"/>
      <c r="EX3271" s="1619"/>
      <c r="EY3271" s="1628"/>
      <c r="EZ3271" s="1628"/>
      <c r="FA3271" s="1628"/>
      <c r="FH3271" s="1628" t="s">
        <v>872</v>
      </c>
      <c r="FU3271" s="1678"/>
      <c r="FW3271" s="1678"/>
    </row>
    <row r="3272" spans="1:179" s="1484" customFormat="1" ht="22.5" x14ac:dyDescent="0.25">
      <c r="A3272" s="1620" t="s">
        <v>8522</v>
      </c>
      <c r="B3272" s="1863" t="s">
        <v>8506</v>
      </c>
      <c r="C3272" s="2803" t="s">
        <v>8507</v>
      </c>
      <c r="D3272" s="2803"/>
      <c r="E3272" s="2803"/>
      <c r="F3272" s="1621" t="s">
        <v>801</v>
      </c>
      <c r="G3272" s="1622">
        <v>4.1519300000000002E-2</v>
      </c>
      <c r="H3272" s="1623">
        <v>1</v>
      </c>
      <c r="I3272" s="2062">
        <v>4.1519300000000002E-2</v>
      </c>
      <c r="J3272" s="1648">
        <v>112876.99</v>
      </c>
      <c r="K3272" s="1622"/>
      <c r="L3272" s="1648">
        <v>4686.57</v>
      </c>
      <c r="M3272" s="1687">
        <v>9.14</v>
      </c>
      <c r="N3272" s="1649">
        <v>42835.25</v>
      </c>
      <c r="EW3272" s="2031"/>
      <c r="EX3272" s="1619"/>
      <c r="EY3272" s="1628" t="s">
        <v>8507</v>
      </c>
      <c r="EZ3272" s="1628" t="s">
        <v>588</v>
      </c>
      <c r="FA3272" s="1628" t="s">
        <v>588</v>
      </c>
      <c r="FH3272" s="1628"/>
      <c r="FU3272" s="1678"/>
      <c r="FW3272" s="1678"/>
    </row>
    <row r="3273" spans="1:179" s="1484" customFormat="1" ht="15" x14ac:dyDescent="0.25">
      <c r="A3273" s="1650"/>
      <c r="B3273" s="1651"/>
      <c r="C3273" s="2805" t="s">
        <v>8640</v>
      </c>
      <c r="D3273" s="2805"/>
      <c r="E3273" s="2805"/>
      <c r="F3273" s="2805"/>
      <c r="G3273" s="2805"/>
      <c r="H3273" s="2805"/>
      <c r="I3273" s="2805"/>
      <c r="J3273" s="2805"/>
      <c r="K3273" s="2805"/>
      <c r="L3273" s="2805"/>
      <c r="M3273" s="2805"/>
      <c r="N3273" s="2806"/>
      <c r="EW3273" s="2031"/>
      <c r="EX3273" s="1619"/>
      <c r="EY3273" s="1628"/>
      <c r="EZ3273" s="1628"/>
      <c r="FA3273" s="1628"/>
      <c r="FH3273" s="1628"/>
      <c r="FI3273" s="1864" t="s">
        <v>8640</v>
      </c>
      <c r="FJ3273" s="1864" t="s">
        <v>588</v>
      </c>
      <c r="FK3273" s="1864" t="s">
        <v>588</v>
      </c>
      <c r="FL3273" s="1864" t="s">
        <v>588</v>
      </c>
      <c r="FM3273" s="1864" t="s">
        <v>588</v>
      </c>
      <c r="FN3273" s="1864" t="s">
        <v>588</v>
      </c>
      <c r="FO3273" s="1864" t="s">
        <v>588</v>
      </c>
      <c r="FP3273" s="1864" t="s">
        <v>588</v>
      </c>
      <c r="FQ3273" s="1864" t="s">
        <v>588</v>
      </c>
      <c r="FR3273" s="1864" t="s">
        <v>588</v>
      </c>
      <c r="FS3273" s="1864" t="s">
        <v>588</v>
      </c>
      <c r="FT3273" s="1864" t="s">
        <v>588</v>
      </c>
      <c r="FU3273" s="1678"/>
      <c r="FW3273" s="1678"/>
    </row>
    <row r="3274" spans="1:179" s="1484" customFormat="1" ht="15" x14ac:dyDescent="0.25">
      <c r="A3274" s="1650"/>
      <c r="B3274" s="1651"/>
      <c r="C3274" s="2803" t="s">
        <v>872</v>
      </c>
      <c r="D3274" s="2803"/>
      <c r="E3274" s="2803"/>
      <c r="F3274" s="1621"/>
      <c r="G3274" s="1622"/>
      <c r="H3274" s="1622"/>
      <c r="I3274" s="1622"/>
      <c r="J3274" s="1625"/>
      <c r="K3274" s="1622"/>
      <c r="L3274" s="1648">
        <v>4686.57</v>
      </c>
      <c r="M3274" s="2037"/>
      <c r="N3274" s="1649">
        <v>42835.25</v>
      </c>
      <c r="EW3274" s="2031"/>
      <c r="EX3274" s="1619"/>
      <c r="EY3274" s="1628"/>
      <c r="EZ3274" s="1628"/>
      <c r="FA3274" s="1628"/>
      <c r="FH3274" s="1628" t="s">
        <v>872</v>
      </c>
      <c r="FU3274" s="1678"/>
      <c r="FW3274" s="1678"/>
    </row>
    <row r="3275" spans="1:179" s="1484" customFormat="1" ht="22.5" x14ac:dyDescent="0.25">
      <c r="A3275" s="1620" t="s">
        <v>8170</v>
      </c>
      <c r="B3275" s="1863" t="s">
        <v>8479</v>
      </c>
      <c r="C3275" s="2803" t="s">
        <v>8480</v>
      </c>
      <c r="D3275" s="2803"/>
      <c r="E3275" s="2803"/>
      <c r="F3275" s="1621" t="s">
        <v>2555</v>
      </c>
      <c r="G3275" s="1622">
        <v>4.0309999999999997</v>
      </c>
      <c r="H3275" s="1623">
        <v>1</v>
      </c>
      <c r="I3275" s="2045">
        <v>4.0309999999999997</v>
      </c>
      <c r="J3275" s="1625"/>
      <c r="K3275" s="1622"/>
      <c r="L3275" s="1625"/>
      <c r="M3275" s="1622"/>
      <c r="N3275" s="1627"/>
      <c r="EW3275" s="2031"/>
      <c r="EX3275" s="1619"/>
      <c r="EY3275" s="1628" t="s">
        <v>8480</v>
      </c>
      <c r="EZ3275" s="1628" t="s">
        <v>588</v>
      </c>
      <c r="FA3275" s="1628" t="s">
        <v>588</v>
      </c>
      <c r="FH3275" s="1628"/>
      <c r="FU3275" s="1678"/>
      <c r="FW3275" s="1678"/>
    </row>
    <row r="3276" spans="1:179" s="1484" customFormat="1" ht="15" x14ac:dyDescent="0.25">
      <c r="A3276" s="1629"/>
      <c r="B3276" s="1862"/>
      <c r="C3276" s="2805" t="s">
        <v>8705</v>
      </c>
      <c r="D3276" s="2805"/>
      <c r="E3276" s="2805"/>
      <c r="F3276" s="2805"/>
      <c r="G3276" s="2805"/>
      <c r="H3276" s="2805"/>
      <c r="I3276" s="2805"/>
      <c r="J3276" s="2805"/>
      <c r="K3276" s="2805"/>
      <c r="L3276" s="2805"/>
      <c r="M3276" s="2805"/>
      <c r="N3276" s="2806"/>
      <c r="EW3276" s="2031"/>
      <c r="EX3276" s="1619"/>
      <c r="EY3276" s="1628"/>
      <c r="EZ3276" s="1628"/>
      <c r="FA3276" s="1628"/>
      <c r="FB3276" s="1864" t="s">
        <v>8705</v>
      </c>
      <c r="FH3276" s="1628"/>
      <c r="FU3276" s="1678"/>
      <c r="FW3276" s="1678"/>
    </row>
    <row r="3277" spans="1:179" s="1484" customFormat="1" ht="22.5" x14ac:dyDescent="0.25">
      <c r="A3277" s="1630"/>
      <c r="B3277" s="1631" t="s">
        <v>6062</v>
      </c>
      <c r="C3277" s="2809" t="s">
        <v>6063</v>
      </c>
      <c r="D3277" s="2809"/>
      <c r="E3277" s="2809"/>
      <c r="F3277" s="2809"/>
      <c r="G3277" s="2809"/>
      <c r="H3277" s="2809"/>
      <c r="I3277" s="2809"/>
      <c r="J3277" s="2809"/>
      <c r="K3277" s="2809"/>
      <c r="L3277" s="2809"/>
      <c r="M3277" s="2809"/>
      <c r="N3277" s="2810"/>
      <c r="EW3277" s="2031"/>
      <c r="EX3277" s="1619"/>
      <c r="EY3277" s="1628"/>
      <c r="EZ3277" s="1628"/>
      <c r="FA3277" s="1628"/>
      <c r="FC3277" s="1864" t="s">
        <v>6063</v>
      </c>
      <c r="FH3277" s="1628"/>
      <c r="FU3277" s="1678"/>
      <c r="FW3277" s="1678"/>
    </row>
    <row r="3278" spans="1:179" s="1484" customFormat="1" ht="22.5" x14ac:dyDescent="0.25">
      <c r="A3278" s="2033"/>
      <c r="B3278" s="1631" t="s">
        <v>1883</v>
      </c>
      <c r="C3278" s="2805" t="s">
        <v>8708</v>
      </c>
      <c r="D3278" s="2805"/>
      <c r="E3278" s="2805"/>
      <c r="F3278" s="1683" t="s">
        <v>807</v>
      </c>
      <c r="G3278" s="1655">
        <v>4.6500000000000004</v>
      </c>
      <c r="H3278" s="1641"/>
      <c r="I3278" s="2042">
        <v>18.744150000000001</v>
      </c>
      <c r="J3278" s="1654">
        <v>9.6199999999999992</v>
      </c>
      <c r="K3278" s="1655">
        <v>1.25</v>
      </c>
      <c r="L3278" s="1654">
        <v>225.4</v>
      </c>
      <c r="M3278" s="1641"/>
      <c r="N3278" s="1681"/>
      <c r="EW3278" s="2031"/>
      <c r="EX3278" s="1619"/>
      <c r="EY3278" s="1628"/>
      <c r="EZ3278" s="1628"/>
      <c r="FA3278" s="1628"/>
      <c r="FD3278" s="1864" t="s">
        <v>8708</v>
      </c>
      <c r="FH3278" s="1628"/>
      <c r="FU3278" s="1678"/>
      <c r="FW3278" s="1678"/>
    </row>
    <row r="3279" spans="1:179" s="1484" customFormat="1" ht="22.5" x14ac:dyDescent="0.25">
      <c r="A3279" s="2033"/>
      <c r="B3279" s="1631" t="s">
        <v>5010</v>
      </c>
      <c r="C3279" s="2805" t="s">
        <v>5011</v>
      </c>
      <c r="D3279" s="2805"/>
      <c r="E3279" s="2805"/>
      <c r="F3279" s="1683" t="s">
        <v>4994</v>
      </c>
      <c r="G3279" s="1655">
        <v>0.01</v>
      </c>
      <c r="H3279" s="1641"/>
      <c r="I3279" s="2042">
        <v>4.0309999999999999E-2</v>
      </c>
      <c r="J3279" s="1654">
        <v>31.26</v>
      </c>
      <c r="K3279" s="1641"/>
      <c r="L3279" s="1654">
        <v>1.26</v>
      </c>
      <c r="M3279" s="1641"/>
      <c r="N3279" s="1681"/>
      <c r="EW3279" s="2031"/>
      <c r="EX3279" s="1619"/>
      <c r="EY3279" s="1628"/>
      <c r="EZ3279" s="1628"/>
      <c r="FA3279" s="1628"/>
      <c r="FD3279" s="1864" t="s">
        <v>5011</v>
      </c>
      <c r="FH3279" s="1628"/>
      <c r="FU3279" s="1678"/>
      <c r="FW3279" s="1678"/>
    </row>
    <row r="3280" spans="1:179" s="1484" customFormat="1" ht="15" x14ac:dyDescent="0.25">
      <c r="A3280" s="2033"/>
      <c r="B3280" s="1631" t="s">
        <v>821</v>
      </c>
      <c r="C3280" s="2805" t="s">
        <v>822</v>
      </c>
      <c r="D3280" s="2805"/>
      <c r="E3280" s="2805"/>
      <c r="F3280" s="1683" t="s">
        <v>4994</v>
      </c>
      <c r="G3280" s="1655">
        <v>0.01</v>
      </c>
      <c r="H3280" s="1641"/>
      <c r="I3280" s="2042">
        <v>4.0309999999999999E-2</v>
      </c>
      <c r="J3280" s="1654">
        <v>65.709999999999994</v>
      </c>
      <c r="K3280" s="1641"/>
      <c r="L3280" s="1654">
        <v>2.65</v>
      </c>
      <c r="M3280" s="1641"/>
      <c r="N3280" s="1681"/>
      <c r="EW3280" s="2031"/>
      <c r="EX3280" s="1619"/>
      <c r="EY3280" s="1628"/>
      <c r="EZ3280" s="1628"/>
      <c r="FA3280" s="1628"/>
      <c r="FD3280" s="1864" t="s">
        <v>822</v>
      </c>
      <c r="FH3280" s="1628"/>
      <c r="FU3280" s="1678"/>
      <c r="FW3280" s="1678"/>
    </row>
    <row r="3281" spans="1:179" s="1484" customFormat="1" ht="15" x14ac:dyDescent="0.25">
      <c r="A3281" s="2033"/>
      <c r="B3281" s="1631" t="s">
        <v>4922</v>
      </c>
      <c r="C3281" s="2805" t="s">
        <v>8707</v>
      </c>
      <c r="D3281" s="2805"/>
      <c r="E3281" s="2805"/>
      <c r="F3281" s="1683" t="s">
        <v>835</v>
      </c>
      <c r="G3281" s="1953">
        <v>0.1</v>
      </c>
      <c r="H3281" s="1641"/>
      <c r="I3281" s="2035">
        <v>0.40310000000000001</v>
      </c>
      <c r="J3281" s="1654">
        <v>1.82</v>
      </c>
      <c r="K3281" s="1641"/>
      <c r="L3281" s="1654">
        <v>0.73</v>
      </c>
      <c r="M3281" s="1641"/>
      <c r="N3281" s="1681"/>
      <c r="EW3281" s="2031"/>
      <c r="EX3281" s="1619"/>
      <c r="EY3281" s="1628"/>
      <c r="EZ3281" s="1628"/>
      <c r="FA3281" s="1628"/>
      <c r="FD3281" s="1864" t="s">
        <v>8707</v>
      </c>
      <c r="FH3281" s="1628"/>
      <c r="FU3281" s="1678"/>
      <c r="FW3281" s="1678"/>
    </row>
    <row r="3282" spans="1:179" s="1484" customFormat="1" ht="15" x14ac:dyDescent="0.25">
      <c r="A3282" s="2032"/>
      <c r="B3282" s="1631" t="s">
        <v>190</v>
      </c>
      <c r="C3282" s="2805" t="s">
        <v>2523</v>
      </c>
      <c r="D3282" s="2805"/>
      <c r="E3282" s="2805"/>
      <c r="F3282" s="1683"/>
      <c r="G3282" s="1641"/>
      <c r="H3282" s="1641"/>
      <c r="I3282" s="1641"/>
      <c r="J3282" s="1654">
        <v>44.73</v>
      </c>
      <c r="K3282" s="1655">
        <v>1.25</v>
      </c>
      <c r="L3282" s="1654">
        <v>225.38</v>
      </c>
      <c r="M3282" s="1655">
        <v>35.75</v>
      </c>
      <c r="N3282" s="1679">
        <v>8057.34</v>
      </c>
      <c r="EW3282" s="2031"/>
      <c r="EX3282" s="1619"/>
      <c r="EY3282" s="1628"/>
      <c r="EZ3282" s="1628"/>
      <c r="FA3282" s="1628"/>
      <c r="FE3282" s="1864" t="s">
        <v>2523</v>
      </c>
      <c r="FH3282" s="1628"/>
      <c r="FU3282" s="1678"/>
      <c r="FW3282" s="1678"/>
    </row>
    <row r="3283" spans="1:179" s="1484" customFormat="1" ht="15" x14ac:dyDescent="0.25">
      <c r="A3283" s="2032"/>
      <c r="B3283" s="1631" t="s">
        <v>639</v>
      </c>
      <c r="C3283" s="2805" t="s">
        <v>697</v>
      </c>
      <c r="D3283" s="2805"/>
      <c r="E3283" s="2805"/>
      <c r="F3283" s="1683"/>
      <c r="G3283" s="1641"/>
      <c r="H3283" s="1641"/>
      <c r="I3283" s="1641"/>
      <c r="J3283" s="1654">
        <v>0.97</v>
      </c>
      <c r="K3283" s="1641"/>
      <c r="L3283" s="1654">
        <v>3.91</v>
      </c>
      <c r="M3283" s="1655">
        <v>11.97</v>
      </c>
      <c r="N3283" s="2039">
        <v>46.8</v>
      </c>
      <c r="EW3283" s="2031"/>
      <c r="EX3283" s="1619"/>
      <c r="EY3283" s="1628"/>
      <c r="EZ3283" s="1628"/>
      <c r="FA3283" s="1628"/>
      <c r="FE3283" s="1864" t="s">
        <v>697</v>
      </c>
      <c r="FH3283" s="1628"/>
      <c r="FU3283" s="1678"/>
      <c r="FW3283" s="1678"/>
    </row>
    <row r="3284" spans="1:179" s="1484" customFormat="1" ht="15" x14ac:dyDescent="0.25">
      <c r="A3284" s="2032"/>
      <c r="B3284" s="1631" t="s">
        <v>640</v>
      </c>
      <c r="C3284" s="2805" t="s">
        <v>2500</v>
      </c>
      <c r="D3284" s="2805"/>
      <c r="E3284" s="2805"/>
      <c r="F3284" s="1683"/>
      <c r="G3284" s="1641"/>
      <c r="H3284" s="1641"/>
      <c r="I3284" s="1641"/>
      <c r="J3284" s="1654">
        <v>0.26</v>
      </c>
      <c r="K3284" s="1641"/>
      <c r="L3284" s="1654">
        <v>1.05</v>
      </c>
      <c r="M3284" s="1655">
        <v>35.75</v>
      </c>
      <c r="N3284" s="2039">
        <v>37.54</v>
      </c>
      <c r="EW3284" s="2031"/>
      <c r="EX3284" s="1619"/>
      <c r="EY3284" s="1628"/>
      <c r="EZ3284" s="1628"/>
      <c r="FA3284" s="1628"/>
      <c r="FE3284" s="1864" t="s">
        <v>2500</v>
      </c>
      <c r="FH3284" s="1628"/>
      <c r="FU3284" s="1678"/>
      <c r="FW3284" s="1678"/>
    </row>
    <row r="3285" spans="1:179" s="1484" customFormat="1" ht="15" x14ac:dyDescent="0.25">
      <c r="A3285" s="2032"/>
      <c r="B3285" s="1631" t="s">
        <v>232</v>
      </c>
      <c r="C3285" s="2805" t="s">
        <v>829</v>
      </c>
      <c r="D3285" s="2805"/>
      <c r="E3285" s="2805"/>
      <c r="F3285" s="1683"/>
      <c r="G3285" s="1641"/>
      <c r="H3285" s="1641"/>
      <c r="I3285" s="1641"/>
      <c r="J3285" s="1654">
        <v>0.18</v>
      </c>
      <c r="K3285" s="1641"/>
      <c r="L3285" s="1654">
        <v>0.73</v>
      </c>
      <c r="M3285" s="1655">
        <v>9.14</v>
      </c>
      <c r="N3285" s="2039">
        <v>6.67</v>
      </c>
      <c r="EW3285" s="2031"/>
      <c r="EX3285" s="1619"/>
      <c r="EY3285" s="1628"/>
      <c r="EZ3285" s="1628"/>
      <c r="FA3285" s="1628"/>
      <c r="FE3285" s="1864" t="s">
        <v>829</v>
      </c>
      <c r="FH3285" s="1628"/>
      <c r="FU3285" s="1678"/>
      <c r="FW3285" s="1678"/>
    </row>
    <row r="3286" spans="1:179" s="1484" customFormat="1" ht="15" x14ac:dyDescent="0.25">
      <c r="A3286" s="2033"/>
      <c r="B3286" s="1631"/>
      <c r="C3286" s="2805" t="s">
        <v>2524</v>
      </c>
      <c r="D3286" s="2805"/>
      <c r="E3286" s="2805"/>
      <c r="F3286" s="1683" t="s">
        <v>807</v>
      </c>
      <c r="G3286" s="1655">
        <v>4.6500000000000004</v>
      </c>
      <c r="H3286" s="1641"/>
      <c r="I3286" s="2042">
        <v>18.744150000000001</v>
      </c>
      <c r="J3286" s="1640"/>
      <c r="K3286" s="1641"/>
      <c r="L3286" s="1640"/>
      <c r="M3286" s="1641"/>
      <c r="N3286" s="1681"/>
      <c r="EW3286" s="2031"/>
      <c r="EX3286" s="1619"/>
      <c r="EY3286" s="1628"/>
      <c r="EZ3286" s="1628"/>
      <c r="FA3286" s="1628"/>
      <c r="FF3286" s="1864" t="s">
        <v>2524</v>
      </c>
      <c r="FH3286" s="1628"/>
      <c r="FU3286" s="1678"/>
      <c r="FW3286" s="1678"/>
    </row>
    <row r="3287" spans="1:179" s="1484" customFormat="1" ht="15" x14ac:dyDescent="0.25">
      <c r="A3287" s="2033"/>
      <c r="B3287" s="1631"/>
      <c r="C3287" s="2805" t="s">
        <v>2501</v>
      </c>
      <c r="D3287" s="2805"/>
      <c r="E3287" s="2805"/>
      <c r="F3287" s="1683" t="s">
        <v>807</v>
      </c>
      <c r="G3287" s="1655">
        <v>0.02</v>
      </c>
      <c r="H3287" s="1641"/>
      <c r="I3287" s="2042">
        <v>8.0619999999999997E-2</v>
      </c>
      <c r="J3287" s="1640"/>
      <c r="K3287" s="1641"/>
      <c r="L3287" s="1640"/>
      <c r="M3287" s="1641"/>
      <c r="N3287" s="1681"/>
      <c r="EW3287" s="2031"/>
      <c r="EX3287" s="1619"/>
      <c r="EY3287" s="1628"/>
      <c r="EZ3287" s="1628"/>
      <c r="FA3287" s="1628"/>
      <c r="FF3287" s="1864" t="s">
        <v>2501</v>
      </c>
      <c r="FH3287" s="1628"/>
      <c r="FU3287" s="1678"/>
      <c r="FW3287" s="1678"/>
    </row>
    <row r="3288" spans="1:179" s="1484" customFormat="1" ht="15" x14ac:dyDescent="0.25">
      <c r="A3288" s="2032"/>
      <c r="B3288" s="1631"/>
      <c r="C3288" s="2917" t="s">
        <v>2502</v>
      </c>
      <c r="D3288" s="2917"/>
      <c r="E3288" s="2917"/>
      <c r="F3288" s="2036"/>
      <c r="G3288" s="2037"/>
      <c r="H3288" s="2037"/>
      <c r="I3288" s="2037"/>
      <c r="J3288" s="2044">
        <v>45.88</v>
      </c>
      <c r="K3288" s="2037"/>
      <c r="L3288" s="2044">
        <v>230.02</v>
      </c>
      <c r="M3288" s="2037"/>
      <c r="N3288" s="2068">
        <v>8110.81</v>
      </c>
      <c r="EW3288" s="2031"/>
      <c r="EX3288" s="1619"/>
      <c r="EY3288" s="1628"/>
      <c r="EZ3288" s="1628"/>
      <c r="FA3288" s="1628"/>
      <c r="FG3288" s="1864" t="s">
        <v>2502</v>
      </c>
      <c r="FH3288" s="1628"/>
      <c r="FU3288" s="1678"/>
      <c r="FW3288" s="1678"/>
    </row>
    <row r="3289" spans="1:179" s="1484" customFormat="1" ht="15" x14ac:dyDescent="0.25">
      <c r="A3289" s="2033" t="s">
        <v>8523</v>
      </c>
      <c r="B3289" s="1631"/>
      <c r="C3289" s="2805" t="s">
        <v>7964</v>
      </c>
      <c r="D3289" s="2805"/>
      <c r="E3289" s="2805"/>
      <c r="F3289" s="1683" t="s">
        <v>5928</v>
      </c>
      <c r="G3289" s="1641"/>
      <c r="H3289" s="1641"/>
      <c r="I3289" s="1641"/>
      <c r="J3289" s="1640"/>
      <c r="K3289" s="1641"/>
      <c r="L3289" s="1654">
        <v>0.26</v>
      </c>
      <c r="M3289" s="1641"/>
      <c r="N3289" s="2039">
        <v>9.3000000000000007</v>
      </c>
      <c r="EW3289" s="2031"/>
      <c r="EX3289" s="1619"/>
      <c r="EY3289" s="1628"/>
      <c r="EZ3289" s="1628"/>
      <c r="FA3289" s="1628"/>
      <c r="FF3289" s="1864" t="s">
        <v>7964</v>
      </c>
      <c r="FH3289" s="1628"/>
      <c r="FU3289" s="1678"/>
      <c r="FW3289" s="1678"/>
    </row>
    <row r="3290" spans="1:179" s="1484" customFormat="1" ht="15" x14ac:dyDescent="0.25">
      <c r="A3290" s="2033"/>
      <c r="B3290" s="1631"/>
      <c r="C3290" s="2805" t="s">
        <v>7965</v>
      </c>
      <c r="D3290" s="2805"/>
      <c r="E3290" s="2805"/>
      <c r="F3290" s="1683" t="s">
        <v>5928</v>
      </c>
      <c r="G3290" s="1641"/>
      <c r="H3290" s="1641"/>
      <c r="I3290" s="1641"/>
      <c r="J3290" s="1654">
        <v>0.26</v>
      </c>
      <c r="K3290" s="1655">
        <v>0.25</v>
      </c>
      <c r="L3290" s="1654">
        <v>0.26</v>
      </c>
      <c r="M3290" s="1655">
        <v>35.75</v>
      </c>
      <c r="N3290" s="2039">
        <v>9.3000000000000007</v>
      </c>
      <c r="EW3290" s="2031"/>
      <c r="EX3290" s="1619"/>
      <c r="EY3290" s="1628"/>
      <c r="EZ3290" s="1628"/>
      <c r="FA3290" s="1628"/>
      <c r="FF3290" s="1864" t="s">
        <v>7965</v>
      </c>
      <c r="FH3290" s="1628"/>
      <c r="FU3290" s="1678"/>
      <c r="FW3290" s="1678"/>
    </row>
    <row r="3291" spans="1:179" s="1484" customFormat="1" ht="15" x14ac:dyDescent="0.25">
      <c r="A3291" s="2033"/>
      <c r="B3291" s="1631"/>
      <c r="C3291" s="2805" t="s">
        <v>867</v>
      </c>
      <c r="D3291" s="2805"/>
      <c r="E3291" s="2805"/>
      <c r="F3291" s="1683"/>
      <c r="G3291" s="1641"/>
      <c r="H3291" s="1641"/>
      <c r="I3291" s="1641"/>
      <c r="J3291" s="1640"/>
      <c r="K3291" s="1641"/>
      <c r="L3291" s="1654">
        <v>226.69</v>
      </c>
      <c r="M3291" s="1641"/>
      <c r="N3291" s="1679">
        <v>8104.18</v>
      </c>
      <c r="EW3291" s="2031"/>
      <c r="EX3291" s="1619"/>
      <c r="EY3291" s="1628"/>
      <c r="EZ3291" s="1628"/>
      <c r="FA3291" s="1628"/>
      <c r="FF3291" s="1864" t="s">
        <v>867</v>
      </c>
      <c r="FH3291" s="1628"/>
      <c r="FU3291" s="1678"/>
      <c r="FW3291" s="1678"/>
    </row>
    <row r="3292" spans="1:179" s="1484" customFormat="1" ht="15" x14ac:dyDescent="0.25">
      <c r="A3292" s="2033"/>
      <c r="B3292" s="1631" t="s">
        <v>7966</v>
      </c>
      <c r="C3292" s="2805" t="s">
        <v>7967</v>
      </c>
      <c r="D3292" s="2805"/>
      <c r="E3292" s="2805"/>
      <c r="F3292" s="1683" t="s">
        <v>636</v>
      </c>
      <c r="G3292" s="2034">
        <v>100</v>
      </c>
      <c r="H3292" s="1641"/>
      <c r="I3292" s="2034">
        <v>100</v>
      </c>
      <c r="J3292" s="1640"/>
      <c r="K3292" s="1641"/>
      <c r="L3292" s="1654">
        <v>226.69</v>
      </c>
      <c r="M3292" s="1641"/>
      <c r="N3292" s="1679">
        <v>8104.18</v>
      </c>
      <c r="EW3292" s="2031"/>
      <c r="EX3292" s="1619"/>
      <c r="EY3292" s="1628"/>
      <c r="EZ3292" s="1628"/>
      <c r="FA3292" s="1628"/>
      <c r="FF3292" s="1864" t="s">
        <v>7967</v>
      </c>
      <c r="FH3292" s="1628"/>
      <c r="FU3292" s="1678"/>
      <c r="FW3292" s="1678"/>
    </row>
    <row r="3293" spans="1:179" s="1484" customFormat="1" ht="15" x14ac:dyDescent="0.25">
      <c r="A3293" s="2033"/>
      <c r="B3293" s="1631" t="s">
        <v>7968</v>
      </c>
      <c r="C3293" s="2805" t="s">
        <v>7969</v>
      </c>
      <c r="D3293" s="2805"/>
      <c r="E3293" s="2805"/>
      <c r="F3293" s="1683" t="s">
        <v>636</v>
      </c>
      <c r="G3293" s="2034">
        <v>49</v>
      </c>
      <c r="H3293" s="1641"/>
      <c r="I3293" s="2034">
        <v>49</v>
      </c>
      <c r="J3293" s="1640"/>
      <c r="K3293" s="1641"/>
      <c r="L3293" s="1654">
        <v>111.08</v>
      </c>
      <c r="M3293" s="1641"/>
      <c r="N3293" s="1679">
        <v>3971.05</v>
      </c>
      <c r="EW3293" s="2031"/>
      <c r="EX3293" s="1619"/>
      <c r="EY3293" s="1628"/>
      <c r="EZ3293" s="1628"/>
      <c r="FA3293" s="1628"/>
      <c r="FF3293" s="1864" t="s">
        <v>7969</v>
      </c>
      <c r="FH3293" s="1628"/>
      <c r="FU3293" s="1678"/>
      <c r="FW3293" s="1678"/>
    </row>
    <row r="3294" spans="1:179" s="1484" customFormat="1" ht="15" x14ac:dyDescent="0.25">
      <c r="A3294" s="1650"/>
      <c r="B3294" s="1651"/>
      <c r="C3294" s="2803" t="s">
        <v>872</v>
      </c>
      <c r="D3294" s="2803"/>
      <c r="E3294" s="2803"/>
      <c r="F3294" s="1621"/>
      <c r="G3294" s="1622"/>
      <c r="H3294" s="1622"/>
      <c r="I3294" s="1622"/>
      <c r="J3294" s="1625"/>
      <c r="K3294" s="1622"/>
      <c r="L3294" s="2040">
        <v>568.04999999999995</v>
      </c>
      <c r="M3294" s="2037"/>
      <c r="N3294" s="1649">
        <v>20195.34</v>
      </c>
      <c r="EW3294" s="2031"/>
      <c r="EX3294" s="1619"/>
      <c r="EY3294" s="1628"/>
      <c r="EZ3294" s="1628"/>
      <c r="FA3294" s="1628"/>
      <c r="FH3294" s="1628" t="s">
        <v>872</v>
      </c>
      <c r="FU3294" s="1678"/>
      <c r="FW3294" s="1678"/>
    </row>
    <row r="3295" spans="1:179" s="1484" customFormat="1" ht="22.5" x14ac:dyDescent="0.25">
      <c r="A3295" s="1620" t="s">
        <v>8176</v>
      </c>
      <c r="B3295" s="1863" t="s">
        <v>8524</v>
      </c>
      <c r="C3295" s="2803" t="s">
        <v>4977</v>
      </c>
      <c r="D3295" s="2803"/>
      <c r="E3295" s="2803"/>
      <c r="F3295" s="1621" t="s">
        <v>835</v>
      </c>
      <c r="G3295" s="1622">
        <v>41.519300000000001</v>
      </c>
      <c r="H3295" s="1623">
        <v>1</v>
      </c>
      <c r="I3295" s="2041">
        <v>41.519300000000001</v>
      </c>
      <c r="J3295" s="2040">
        <v>21.77</v>
      </c>
      <c r="K3295" s="1622"/>
      <c r="L3295" s="2040">
        <v>903.88</v>
      </c>
      <c r="M3295" s="1687">
        <v>9.14</v>
      </c>
      <c r="N3295" s="1649">
        <v>8261.4599999999991</v>
      </c>
      <c r="EW3295" s="2031"/>
      <c r="EX3295" s="1619"/>
      <c r="EY3295" s="1628" t="s">
        <v>4977</v>
      </c>
      <c r="EZ3295" s="1628" t="s">
        <v>588</v>
      </c>
      <c r="FA3295" s="1628" t="s">
        <v>588</v>
      </c>
      <c r="FH3295" s="1628"/>
      <c r="FU3295" s="1678"/>
      <c r="FW3295" s="1678"/>
    </row>
    <row r="3296" spans="1:179" s="1484" customFormat="1" ht="15" x14ac:dyDescent="0.25">
      <c r="A3296" s="1650"/>
      <c r="B3296" s="1651"/>
      <c r="C3296" s="2805" t="s">
        <v>8640</v>
      </c>
      <c r="D3296" s="2805"/>
      <c r="E3296" s="2805"/>
      <c r="F3296" s="2805"/>
      <c r="G3296" s="2805"/>
      <c r="H3296" s="2805"/>
      <c r="I3296" s="2805"/>
      <c r="J3296" s="2805"/>
      <c r="K3296" s="2805"/>
      <c r="L3296" s="2805"/>
      <c r="M3296" s="2805"/>
      <c r="N3296" s="2806"/>
      <c r="EW3296" s="2031"/>
      <c r="EX3296" s="1619"/>
      <c r="EY3296" s="1628"/>
      <c r="EZ3296" s="1628"/>
      <c r="FA3296" s="1628"/>
      <c r="FH3296" s="1628"/>
      <c r="FI3296" s="1864" t="s">
        <v>8640</v>
      </c>
      <c r="FJ3296" s="1864" t="s">
        <v>588</v>
      </c>
      <c r="FK3296" s="1864" t="s">
        <v>588</v>
      </c>
      <c r="FL3296" s="1864" t="s">
        <v>588</v>
      </c>
      <c r="FM3296" s="1864" t="s">
        <v>588</v>
      </c>
      <c r="FN3296" s="1864" t="s">
        <v>588</v>
      </c>
      <c r="FO3296" s="1864" t="s">
        <v>588</v>
      </c>
      <c r="FP3296" s="1864" t="s">
        <v>588</v>
      </c>
      <c r="FQ3296" s="1864" t="s">
        <v>588</v>
      </c>
      <c r="FR3296" s="1864" t="s">
        <v>588</v>
      </c>
      <c r="FS3296" s="1864" t="s">
        <v>588</v>
      </c>
      <c r="FT3296" s="1864" t="s">
        <v>588</v>
      </c>
      <c r="FU3296" s="1678"/>
      <c r="FW3296" s="1678"/>
    </row>
    <row r="3297" spans="1:179" s="1484" customFormat="1" ht="15" x14ac:dyDescent="0.25">
      <c r="A3297" s="1629"/>
      <c r="B3297" s="1862"/>
      <c r="C3297" s="2805" t="s">
        <v>8706</v>
      </c>
      <c r="D3297" s="2805"/>
      <c r="E3297" s="2805"/>
      <c r="F3297" s="2805"/>
      <c r="G3297" s="2805"/>
      <c r="H3297" s="2805"/>
      <c r="I3297" s="2805"/>
      <c r="J3297" s="2805"/>
      <c r="K3297" s="2805"/>
      <c r="L3297" s="2805"/>
      <c r="M3297" s="2805"/>
      <c r="N3297" s="2806"/>
      <c r="EW3297" s="2031"/>
      <c r="EX3297" s="1619"/>
      <c r="EY3297" s="1628"/>
      <c r="EZ3297" s="1628"/>
      <c r="FA3297" s="1628"/>
      <c r="FB3297" s="1864" t="s">
        <v>8706</v>
      </c>
      <c r="FH3297" s="1628"/>
      <c r="FU3297" s="1678"/>
      <c r="FW3297" s="1678"/>
    </row>
    <row r="3298" spans="1:179" s="1484" customFormat="1" ht="15" x14ac:dyDescent="0.25">
      <c r="A3298" s="1650"/>
      <c r="B3298" s="1651"/>
      <c r="C3298" s="2803" t="s">
        <v>872</v>
      </c>
      <c r="D3298" s="2803"/>
      <c r="E3298" s="2803"/>
      <c r="F3298" s="1621"/>
      <c r="G3298" s="1622"/>
      <c r="H3298" s="1622"/>
      <c r="I3298" s="1622"/>
      <c r="J3298" s="1625"/>
      <c r="K3298" s="1622"/>
      <c r="L3298" s="2040">
        <v>903.88</v>
      </c>
      <c r="M3298" s="2037"/>
      <c r="N3298" s="1649">
        <v>8261.4599999999991</v>
      </c>
      <c r="EW3298" s="2031"/>
      <c r="EX3298" s="1619"/>
      <c r="EY3298" s="1628"/>
      <c r="EZ3298" s="1628"/>
      <c r="FA3298" s="1628"/>
      <c r="FH3298" s="1628" t="s">
        <v>872</v>
      </c>
      <c r="FU3298" s="1678"/>
      <c r="FW3298" s="1678"/>
    </row>
    <row r="3299" spans="1:179" s="1484" customFormat="1" ht="45" x14ac:dyDescent="0.25">
      <c r="A3299" s="1620" t="s">
        <v>8525</v>
      </c>
      <c r="B3299" s="1863" t="s">
        <v>8526</v>
      </c>
      <c r="C3299" s="2803" t="s">
        <v>8527</v>
      </c>
      <c r="D3299" s="2803"/>
      <c r="E3299" s="2803"/>
      <c r="F3299" s="1621" t="s">
        <v>2555</v>
      </c>
      <c r="G3299" s="1622">
        <v>4.0309999999999997</v>
      </c>
      <c r="H3299" s="1623">
        <v>1</v>
      </c>
      <c r="I3299" s="2045">
        <v>4.0309999999999997</v>
      </c>
      <c r="J3299" s="1625"/>
      <c r="K3299" s="1622"/>
      <c r="L3299" s="1625"/>
      <c r="M3299" s="1622"/>
      <c r="N3299" s="1627"/>
      <c r="EW3299" s="2031"/>
      <c r="EX3299" s="1619"/>
      <c r="EY3299" s="1628" t="s">
        <v>8527</v>
      </c>
      <c r="EZ3299" s="1628" t="s">
        <v>588</v>
      </c>
      <c r="FA3299" s="1628" t="s">
        <v>588</v>
      </c>
      <c r="FH3299" s="1628"/>
      <c r="FU3299" s="1678"/>
      <c r="FW3299" s="1678"/>
    </row>
    <row r="3300" spans="1:179" s="1484" customFormat="1" ht="15" x14ac:dyDescent="0.25">
      <c r="A3300" s="1629"/>
      <c r="B3300" s="1862"/>
      <c r="C3300" s="2805" t="s">
        <v>8705</v>
      </c>
      <c r="D3300" s="2805"/>
      <c r="E3300" s="2805"/>
      <c r="F3300" s="2805"/>
      <c r="G3300" s="2805"/>
      <c r="H3300" s="2805"/>
      <c r="I3300" s="2805"/>
      <c r="J3300" s="2805"/>
      <c r="K3300" s="2805"/>
      <c r="L3300" s="2805"/>
      <c r="M3300" s="2805"/>
      <c r="N3300" s="2806"/>
      <c r="EW3300" s="2031"/>
      <c r="EX3300" s="1619"/>
      <c r="EY3300" s="1628"/>
      <c r="EZ3300" s="1628"/>
      <c r="FA3300" s="1628"/>
      <c r="FB3300" s="1864" t="s">
        <v>8705</v>
      </c>
      <c r="FH3300" s="1628"/>
      <c r="FU3300" s="1678"/>
      <c r="FW3300" s="1678"/>
    </row>
    <row r="3301" spans="1:179" s="1484" customFormat="1" ht="22.5" x14ac:dyDescent="0.25">
      <c r="A3301" s="1630"/>
      <c r="B3301" s="1631" t="s">
        <v>6062</v>
      </c>
      <c r="C3301" s="2809" t="s">
        <v>6063</v>
      </c>
      <c r="D3301" s="2809"/>
      <c r="E3301" s="2809"/>
      <c r="F3301" s="2809"/>
      <c r="G3301" s="2809"/>
      <c r="H3301" s="2809"/>
      <c r="I3301" s="2809"/>
      <c r="J3301" s="2809"/>
      <c r="K3301" s="2809"/>
      <c r="L3301" s="2809"/>
      <c r="M3301" s="2809"/>
      <c r="N3301" s="2810"/>
      <c r="EW3301" s="2031"/>
      <c r="EX3301" s="1619"/>
      <c r="EY3301" s="1628"/>
      <c r="EZ3301" s="1628"/>
      <c r="FA3301" s="1628"/>
      <c r="FC3301" s="1864" t="s">
        <v>6063</v>
      </c>
      <c r="FH3301" s="1628"/>
      <c r="FU3301" s="1678"/>
      <c r="FW3301" s="1678"/>
    </row>
    <row r="3302" spans="1:179" s="1484" customFormat="1" ht="22.5" x14ac:dyDescent="0.25">
      <c r="A3302" s="2033"/>
      <c r="B3302" s="1631" t="s">
        <v>8704</v>
      </c>
      <c r="C3302" s="2805" t="s">
        <v>8703</v>
      </c>
      <c r="D3302" s="2805"/>
      <c r="E3302" s="2805"/>
      <c r="F3302" s="1683" t="s">
        <v>807</v>
      </c>
      <c r="G3302" s="2034">
        <v>74</v>
      </c>
      <c r="H3302" s="1641"/>
      <c r="I3302" s="2046">
        <v>298.29399999999998</v>
      </c>
      <c r="J3302" s="1654">
        <v>9.4</v>
      </c>
      <c r="K3302" s="1655">
        <v>1.25</v>
      </c>
      <c r="L3302" s="1657">
        <v>3504.95</v>
      </c>
      <c r="M3302" s="1641"/>
      <c r="N3302" s="1681"/>
      <c r="EW3302" s="2031"/>
      <c r="EX3302" s="1619"/>
      <c r="EY3302" s="1628"/>
      <c r="EZ3302" s="1628"/>
      <c r="FA3302" s="1628"/>
      <c r="FD3302" s="1864" t="s">
        <v>8703</v>
      </c>
      <c r="FH3302" s="1628"/>
      <c r="FU3302" s="1678"/>
      <c r="FW3302" s="1678"/>
    </row>
    <row r="3303" spans="1:179" s="1484" customFormat="1" ht="22.5" x14ac:dyDescent="0.25">
      <c r="A3303" s="2033"/>
      <c r="B3303" s="1631" t="s">
        <v>5010</v>
      </c>
      <c r="C3303" s="2805" t="s">
        <v>5011</v>
      </c>
      <c r="D3303" s="2805"/>
      <c r="E3303" s="2805"/>
      <c r="F3303" s="1683" t="s">
        <v>4994</v>
      </c>
      <c r="G3303" s="1655">
        <v>0.84</v>
      </c>
      <c r="H3303" s="1641"/>
      <c r="I3303" s="2042">
        <v>3.3860399999999999</v>
      </c>
      <c r="J3303" s="1654">
        <v>31.26</v>
      </c>
      <c r="K3303" s="1641"/>
      <c r="L3303" s="1654">
        <v>105.85</v>
      </c>
      <c r="M3303" s="1641"/>
      <c r="N3303" s="1681"/>
      <c r="EW3303" s="2031"/>
      <c r="EX3303" s="1619"/>
      <c r="EY3303" s="1628"/>
      <c r="EZ3303" s="1628"/>
      <c r="FA3303" s="1628"/>
      <c r="FD3303" s="1864" t="s">
        <v>5011</v>
      </c>
      <c r="FH3303" s="1628"/>
      <c r="FU3303" s="1678"/>
      <c r="FW3303" s="1678"/>
    </row>
    <row r="3304" spans="1:179" s="1484" customFormat="1" ht="15" x14ac:dyDescent="0.25">
      <c r="A3304" s="2033"/>
      <c r="B3304" s="1631" t="s">
        <v>5014</v>
      </c>
      <c r="C3304" s="2805" t="s">
        <v>5015</v>
      </c>
      <c r="D3304" s="2805"/>
      <c r="E3304" s="2805"/>
      <c r="F3304" s="1683" t="s">
        <v>4994</v>
      </c>
      <c r="G3304" s="1953">
        <v>4.7</v>
      </c>
      <c r="H3304" s="1641"/>
      <c r="I3304" s="2035">
        <v>18.945699999999999</v>
      </c>
      <c r="J3304" s="1654">
        <v>14.15</v>
      </c>
      <c r="K3304" s="1641"/>
      <c r="L3304" s="1654">
        <v>268.08</v>
      </c>
      <c r="M3304" s="1641"/>
      <c r="N3304" s="1681"/>
      <c r="EW3304" s="2031"/>
      <c r="EX3304" s="1619"/>
      <c r="EY3304" s="1628"/>
      <c r="EZ3304" s="1628"/>
      <c r="FA3304" s="1628"/>
      <c r="FD3304" s="1864" t="s">
        <v>5015</v>
      </c>
      <c r="FH3304" s="1628"/>
      <c r="FU3304" s="1678"/>
      <c r="FW3304" s="1678"/>
    </row>
    <row r="3305" spans="1:179" s="1484" customFormat="1" ht="22.5" x14ac:dyDescent="0.25">
      <c r="A3305" s="2033"/>
      <c r="B3305" s="1631" t="s">
        <v>4905</v>
      </c>
      <c r="C3305" s="2805" t="s">
        <v>8702</v>
      </c>
      <c r="D3305" s="2805"/>
      <c r="E3305" s="2805"/>
      <c r="F3305" s="1683" t="s">
        <v>801</v>
      </c>
      <c r="G3305" s="2042">
        <v>1.2E-4</v>
      </c>
      <c r="H3305" s="1641"/>
      <c r="I3305" s="2049">
        <v>4.8369999999999999E-4</v>
      </c>
      <c r="J3305" s="1657">
        <v>8475</v>
      </c>
      <c r="K3305" s="1641"/>
      <c r="L3305" s="1654">
        <v>4.0999999999999996</v>
      </c>
      <c r="M3305" s="1641"/>
      <c r="N3305" s="1681"/>
      <c r="EW3305" s="2031"/>
      <c r="EX3305" s="1619"/>
      <c r="EY3305" s="1628"/>
      <c r="EZ3305" s="1628"/>
      <c r="FA3305" s="1628"/>
      <c r="FD3305" s="1864" t="s">
        <v>8702</v>
      </c>
      <c r="FH3305" s="1628"/>
      <c r="FU3305" s="1678"/>
      <c r="FW3305" s="1678"/>
    </row>
    <row r="3306" spans="1:179" s="1484" customFormat="1" ht="15" x14ac:dyDescent="0.25">
      <c r="A3306" s="2033"/>
      <c r="B3306" s="1631" t="s">
        <v>4931</v>
      </c>
      <c r="C3306" s="2805" t="s">
        <v>4932</v>
      </c>
      <c r="D3306" s="2805"/>
      <c r="E3306" s="2805"/>
      <c r="F3306" s="1683" t="s">
        <v>801</v>
      </c>
      <c r="G3306" s="2046">
        <v>6.0000000000000001E-3</v>
      </c>
      <c r="H3306" s="1641"/>
      <c r="I3306" s="2043">
        <v>2.4185999999999999E-2</v>
      </c>
      <c r="J3306" s="1654">
        <v>729.98</v>
      </c>
      <c r="K3306" s="1641"/>
      <c r="L3306" s="1654">
        <v>17.66</v>
      </c>
      <c r="M3306" s="1641"/>
      <c r="N3306" s="1681"/>
      <c r="EW3306" s="2031"/>
      <c r="EX3306" s="1619"/>
      <c r="EY3306" s="1628"/>
      <c r="EZ3306" s="1628"/>
      <c r="FA3306" s="1628"/>
      <c r="FD3306" s="1864" t="s">
        <v>4932</v>
      </c>
      <c r="FH3306" s="1628"/>
      <c r="FU3306" s="1678"/>
      <c r="FW3306" s="1678"/>
    </row>
    <row r="3307" spans="1:179" s="1484" customFormat="1" ht="22.5" x14ac:dyDescent="0.25">
      <c r="A3307" s="2033"/>
      <c r="B3307" s="1631" t="s">
        <v>8692</v>
      </c>
      <c r="C3307" s="2805" t="s">
        <v>8691</v>
      </c>
      <c r="D3307" s="2805"/>
      <c r="E3307" s="2805"/>
      <c r="F3307" s="1683" t="s">
        <v>832</v>
      </c>
      <c r="G3307" s="1655">
        <v>1.87</v>
      </c>
      <c r="H3307" s="1641"/>
      <c r="I3307" s="2042">
        <v>7.5379699999999996</v>
      </c>
      <c r="J3307" s="1654">
        <v>517.91</v>
      </c>
      <c r="K3307" s="1641"/>
      <c r="L3307" s="1657">
        <v>3903.99</v>
      </c>
      <c r="M3307" s="1641"/>
      <c r="N3307" s="1681"/>
      <c r="EW3307" s="2031"/>
      <c r="EX3307" s="1619"/>
      <c r="EY3307" s="1628"/>
      <c r="EZ3307" s="1628"/>
      <c r="FA3307" s="1628"/>
      <c r="FD3307" s="1864" t="s">
        <v>8691</v>
      </c>
      <c r="FH3307" s="1628"/>
      <c r="FU3307" s="1678"/>
      <c r="FW3307" s="1678"/>
    </row>
    <row r="3308" spans="1:179" s="1484" customFormat="1" ht="22.5" x14ac:dyDescent="0.25">
      <c r="A3308" s="2033"/>
      <c r="B3308" s="1631" t="s">
        <v>4953</v>
      </c>
      <c r="C3308" s="2805" t="s">
        <v>8701</v>
      </c>
      <c r="D3308" s="2805"/>
      <c r="E3308" s="2805"/>
      <c r="F3308" s="1683" t="s">
        <v>130</v>
      </c>
      <c r="G3308" s="1655">
        <v>5.54</v>
      </c>
      <c r="H3308" s="1641"/>
      <c r="I3308" s="2042">
        <v>22.33174</v>
      </c>
      <c r="J3308" s="1654">
        <v>28.25</v>
      </c>
      <c r="K3308" s="1641"/>
      <c r="L3308" s="1654">
        <v>630.87</v>
      </c>
      <c r="M3308" s="1641"/>
      <c r="N3308" s="1681"/>
      <c r="EW3308" s="2031"/>
      <c r="EX3308" s="1619"/>
      <c r="EY3308" s="1628"/>
      <c r="EZ3308" s="1628"/>
      <c r="FA3308" s="1628"/>
      <c r="FD3308" s="1864" t="s">
        <v>8701</v>
      </c>
      <c r="FH3308" s="1628"/>
      <c r="FU3308" s="1678"/>
      <c r="FW3308" s="1678"/>
    </row>
    <row r="3309" spans="1:179" s="1484" customFormat="1" ht="15" x14ac:dyDescent="0.25">
      <c r="A3309" s="2032"/>
      <c r="B3309" s="1631" t="s">
        <v>190</v>
      </c>
      <c r="C3309" s="2805" t="s">
        <v>2523</v>
      </c>
      <c r="D3309" s="2805"/>
      <c r="E3309" s="2805"/>
      <c r="F3309" s="1683"/>
      <c r="G3309" s="1641"/>
      <c r="H3309" s="1641"/>
      <c r="I3309" s="1641"/>
      <c r="J3309" s="1654">
        <v>695.6</v>
      </c>
      <c r="K3309" s="1655">
        <v>1.25</v>
      </c>
      <c r="L3309" s="1657">
        <v>3504.95</v>
      </c>
      <c r="M3309" s="1655">
        <v>35.75</v>
      </c>
      <c r="N3309" s="1679">
        <v>125301.96</v>
      </c>
      <c r="EW3309" s="2031"/>
      <c r="EX3309" s="1619"/>
      <c r="EY3309" s="1628"/>
      <c r="EZ3309" s="1628"/>
      <c r="FA3309" s="1628"/>
      <c r="FE3309" s="1864" t="s">
        <v>2523</v>
      </c>
      <c r="FH3309" s="1628"/>
      <c r="FU3309" s="1678"/>
      <c r="FW3309" s="1678"/>
    </row>
    <row r="3310" spans="1:179" s="1484" customFormat="1" ht="15" x14ac:dyDescent="0.25">
      <c r="A3310" s="2032"/>
      <c r="B3310" s="1631" t="s">
        <v>639</v>
      </c>
      <c r="C3310" s="2805" t="s">
        <v>697</v>
      </c>
      <c r="D3310" s="2805"/>
      <c r="E3310" s="2805"/>
      <c r="F3310" s="1683"/>
      <c r="G3310" s="1641"/>
      <c r="H3310" s="1641"/>
      <c r="I3310" s="1641"/>
      <c r="J3310" s="1654">
        <v>92.77</v>
      </c>
      <c r="K3310" s="1641"/>
      <c r="L3310" s="1654">
        <v>373.96</v>
      </c>
      <c r="M3310" s="1655">
        <v>11.97</v>
      </c>
      <c r="N3310" s="1679">
        <v>4476.3</v>
      </c>
      <c r="EW3310" s="2031"/>
      <c r="EX3310" s="1619"/>
      <c r="EY3310" s="1628"/>
      <c r="EZ3310" s="1628"/>
      <c r="FA3310" s="1628"/>
      <c r="FE3310" s="1864" t="s">
        <v>697</v>
      </c>
      <c r="FH3310" s="1628"/>
      <c r="FU3310" s="1678"/>
      <c r="FW3310" s="1678"/>
    </row>
    <row r="3311" spans="1:179" s="1484" customFormat="1" ht="15" x14ac:dyDescent="0.25">
      <c r="A3311" s="2032"/>
      <c r="B3311" s="1631" t="s">
        <v>640</v>
      </c>
      <c r="C3311" s="2805" t="s">
        <v>2500</v>
      </c>
      <c r="D3311" s="2805"/>
      <c r="E3311" s="2805"/>
      <c r="F3311" s="1683"/>
      <c r="G3311" s="1641"/>
      <c r="H3311" s="1641"/>
      <c r="I3311" s="1641"/>
      <c r="J3311" s="1654">
        <v>53.22</v>
      </c>
      <c r="K3311" s="1641"/>
      <c r="L3311" s="1654">
        <v>214.53</v>
      </c>
      <c r="M3311" s="1655">
        <v>35.75</v>
      </c>
      <c r="N3311" s="1679">
        <v>7669.45</v>
      </c>
      <c r="EW3311" s="2031"/>
      <c r="EX3311" s="1619"/>
      <c r="EY3311" s="1628"/>
      <c r="EZ3311" s="1628"/>
      <c r="FA3311" s="1628"/>
      <c r="FE3311" s="1864" t="s">
        <v>2500</v>
      </c>
      <c r="FH3311" s="1628"/>
      <c r="FU3311" s="1678"/>
      <c r="FW3311" s="1678"/>
    </row>
    <row r="3312" spans="1:179" s="1484" customFormat="1" ht="15" x14ac:dyDescent="0.25">
      <c r="A3312" s="2032"/>
      <c r="B3312" s="1631" t="s">
        <v>232</v>
      </c>
      <c r="C3312" s="2805" t="s">
        <v>829</v>
      </c>
      <c r="D3312" s="2805"/>
      <c r="E3312" s="2805"/>
      <c r="F3312" s="1683"/>
      <c r="G3312" s="1641"/>
      <c r="H3312" s="1641"/>
      <c r="I3312" s="1641"/>
      <c r="J3312" s="1657">
        <v>1130.4000000000001</v>
      </c>
      <c r="K3312" s="1641"/>
      <c r="L3312" s="1657">
        <v>4556.6400000000003</v>
      </c>
      <c r="M3312" s="1655">
        <v>9.14</v>
      </c>
      <c r="N3312" s="1679">
        <v>41647.69</v>
      </c>
      <c r="EW3312" s="2031"/>
      <c r="EX3312" s="1619"/>
      <c r="EY3312" s="1628"/>
      <c r="EZ3312" s="1628"/>
      <c r="FA3312" s="1628"/>
      <c r="FE3312" s="1864" t="s">
        <v>829</v>
      </c>
      <c r="FH3312" s="1628"/>
      <c r="FU3312" s="1678"/>
      <c r="FW3312" s="1678"/>
    </row>
    <row r="3313" spans="1:179" s="1484" customFormat="1" ht="15" x14ac:dyDescent="0.25">
      <c r="A3313" s="2033"/>
      <c r="B3313" s="1631"/>
      <c r="C3313" s="2805" t="s">
        <v>2524</v>
      </c>
      <c r="D3313" s="2805"/>
      <c r="E3313" s="2805"/>
      <c r="F3313" s="1683" t="s">
        <v>807</v>
      </c>
      <c r="G3313" s="2034">
        <v>74</v>
      </c>
      <c r="H3313" s="1641"/>
      <c r="I3313" s="2046">
        <v>298.29399999999998</v>
      </c>
      <c r="J3313" s="1640"/>
      <c r="K3313" s="1641"/>
      <c r="L3313" s="1640"/>
      <c r="M3313" s="1641"/>
      <c r="N3313" s="1681"/>
      <c r="EW3313" s="2031"/>
      <c r="EX3313" s="1619"/>
      <c r="EY3313" s="1628"/>
      <c r="EZ3313" s="1628"/>
      <c r="FA3313" s="1628"/>
      <c r="FF3313" s="1864" t="s">
        <v>2524</v>
      </c>
      <c r="FH3313" s="1628"/>
      <c r="FU3313" s="1678"/>
      <c r="FW3313" s="1678"/>
    </row>
    <row r="3314" spans="1:179" s="1484" customFormat="1" ht="15" x14ac:dyDescent="0.25">
      <c r="A3314" s="2033"/>
      <c r="B3314" s="1631"/>
      <c r="C3314" s="2805" t="s">
        <v>2501</v>
      </c>
      <c r="D3314" s="2805"/>
      <c r="E3314" s="2805"/>
      <c r="F3314" s="1683" t="s">
        <v>807</v>
      </c>
      <c r="G3314" s="1655">
        <v>5.54</v>
      </c>
      <c r="H3314" s="1641"/>
      <c r="I3314" s="2042">
        <v>22.33174</v>
      </c>
      <c r="J3314" s="1640"/>
      <c r="K3314" s="1641"/>
      <c r="L3314" s="1640"/>
      <c r="M3314" s="1641"/>
      <c r="N3314" s="1681"/>
      <c r="EW3314" s="2031"/>
      <c r="EX3314" s="1619"/>
      <c r="EY3314" s="1628"/>
      <c r="EZ3314" s="1628"/>
      <c r="FA3314" s="1628"/>
      <c r="FF3314" s="1864" t="s">
        <v>2501</v>
      </c>
      <c r="FH3314" s="1628"/>
      <c r="FU3314" s="1678"/>
      <c r="FW3314" s="1678"/>
    </row>
    <row r="3315" spans="1:179" s="1484" customFormat="1" ht="15" x14ac:dyDescent="0.25">
      <c r="A3315" s="2032"/>
      <c r="B3315" s="1631"/>
      <c r="C3315" s="2917" t="s">
        <v>2502</v>
      </c>
      <c r="D3315" s="2917"/>
      <c r="E3315" s="2917"/>
      <c r="F3315" s="2036"/>
      <c r="G3315" s="2037"/>
      <c r="H3315" s="2037"/>
      <c r="I3315" s="2037"/>
      <c r="J3315" s="2038">
        <v>1918.77</v>
      </c>
      <c r="K3315" s="2037"/>
      <c r="L3315" s="2038">
        <v>8435.5499999999993</v>
      </c>
      <c r="M3315" s="2037"/>
      <c r="N3315" s="2068">
        <v>171425.95</v>
      </c>
      <c r="EW3315" s="2031"/>
      <c r="EX3315" s="1619"/>
      <c r="EY3315" s="1628"/>
      <c r="EZ3315" s="1628"/>
      <c r="FA3315" s="1628"/>
      <c r="FG3315" s="1864" t="s">
        <v>2502</v>
      </c>
      <c r="FH3315" s="1628"/>
      <c r="FU3315" s="1678"/>
      <c r="FW3315" s="1678"/>
    </row>
    <row r="3316" spans="1:179" s="1484" customFormat="1" ht="15" x14ac:dyDescent="0.25">
      <c r="A3316" s="2033" t="s">
        <v>8528</v>
      </c>
      <c r="B3316" s="1631"/>
      <c r="C3316" s="2805" t="s">
        <v>7964</v>
      </c>
      <c r="D3316" s="2805"/>
      <c r="E3316" s="2805"/>
      <c r="F3316" s="1683" t="s">
        <v>5928</v>
      </c>
      <c r="G3316" s="1641"/>
      <c r="H3316" s="1641"/>
      <c r="I3316" s="1641"/>
      <c r="J3316" s="1640"/>
      <c r="K3316" s="1641"/>
      <c r="L3316" s="1654">
        <v>53.63</v>
      </c>
      <c r="M3316" s="1641"/>
      <c r="N3316" s="1679">
        <v>1917.27</v>
      </c>
      <c r="EW3316" s="2031"/>
      <c r="EX3316" s="1619"/>
      <c r="EY3316" s="1628"/>
      <c r="EZ3316" s="1628"/>
      <c r="FA3316" s="1628"/>
      <c r="FF3316" s="1864" t="s">
        <v>7964</v>
      </c>
      <c r="FH3316" s="1628"/>
      <c r="FU3316" s="1678"/>
      <c r="FW3316" s="1678"/>
    </row>
    <row r="3317" spans="1:179" s="1484" customFormat="1" ht="15" x14ac:dyDescent="0.25">
      <c r="A3317" s="2033"/>
      <c r="B3317" s="1631"/>
      <c r="C3317" s="2805" t="s">
        <v>7965</v>
      </c>
      <c r="D3317" s="2805"/>
      <c r="E3317" s="2805"/>
      <c r="F3317" s="1683" t="s">
        <v>5928</v>
      </c>
      <c r="G3317" s="1641"/>
      <c r="H3317" s="1641"/>
      <c r="I3317" s="1641"/>
      <c r="J3317" s="1654">
        <v>53.22</v>
      </c>
      <c r="K3317" s="1655">
        <v>0.25</v>
      </c>
      <c r="L3317" s="1654">
        <v>53.63</v>
      </c>
      <c r="M3317" s="1655">
        <v>35.75</v>
      </c>
      <c r="N3317" s="1679">
        <v>1917.27</v>
      </c>
      <c r="EW3317" s="2031"/>
      <c r="EX3317" s="1619"/>
      <c r="EY3317" s="1628"/>
      <c r="EZ3317" s="1628"/>
      <c r="FA3317" s="1628"/>
      <c r="FF3317" s="1864" t="s">
        <v>7965</v>
      </c>
      <c r="FH3317" s="1628"/>
      <c r="FU3317" s="1678"/>
      <c r="FW3317" s="1678"/>
    </row>
    <row r="3318" spans="1:179" s="1484" customFormat="1" ht="15" x14ac:dyDescent="0.25">
      <c r="A3318" s="2033"/>
      <c r="B3318" s="1631"/>
      <c r="C3318" s="2805" t="s">
        <v>867</v>
      </c>
      <c r="D3318" s="2805"/>
      <c r="E3318" s="2805"/>
      <c r="F3318" s="1683"/>
      <c r="G3318" s="1641"/>
      <c r="H3318" s="1641"/>
      <c r="I3318" s="1641"/>
      <c r="J3318" s="1640"/>
      <c r="K3318" s="1641"/>
      <c r="L3318" s="1657">
        <v>3773.11</v>
      </c>
      <c r="M3318" s="1641"/>
      <c r="N3318" s="1679">
        <v>134888.68</v>
      </c>
      <c r="EW3318" s="2031"/>
      <c r="EX3318" s="1619"/>
      <c r="EY3318" s="1628"/>
      <c r="EZ3318" s="1628"/>
      <c r="FA3318" s="1628"/>
      <c r="FF3318" s="1864" t="s">
        <v>867</v>
      </c>
      <c r="FH3318" s="1628"/>
      <c r="FU3318" s="1678"/>
      <c r="FW3318" s="1678"/>
    </row>
    <row r="3319" spans="1:179" s="1484" customFormat="1" ht="15" x14ac:dyDescent="0.25">
      <c r="A3319" s="2033"/>
      <c r="B3319" s="1631" t="s">
        <v>7966</v>
      </c>
      <c r="C3319" s="2805" t="s">
        <v>7967</v>
      </c>
      <c r="D3319" s="2805"/>
      <c r="E3319" s="2805"/>
      <c r="F3319" s="1683" t="s">
        <v>636</v>
      </c>
      <c r="G3319" s="2034">
        <v>100</v>
      </c>
      <c r="H3319" s="1641"/>
      <c r="I3319" s="2034">
        <v>100</v>
      </c>
      <c r="J3319" s="1640"/>
      <c r="K3319" s="1641"/>
      <c r="L3319" s="1657">
        <v>3773.11</v>
      </c>
      <c r="M3319" s="1641"/>
      <c r="N3319" s="1679">
        <v>134888.68</v>
      </c>
      <c r="EW3319" s="2031"/>
      <c r="EX3319" s="1619"/>
      <c r="EY3319" s="1628"/>
      <c r="EZ3319" s="1628"/>
      <c r="FA3319" s="1628"/>
      <c r="FF3319" s="1864" t="s">
        <v>7967</v>
      </c>
      <c r="FH3319" s="1628"/>
      <c r="FU3319" s="1678"/>
      <c r="FW3319" s="1678"/>
    </row>
    <row r="3320" spans="1:179" s="1484" customFormat="1" ht="15" x14ac:dyDescent="0.25">
      <c r="A3320" s="2033"/>
      <c r="B3320" s="1631" t="s">
        <v>7968</v>
      </c>
      <c r="C3320" s="2805" t="s">
        <v>7969</v>
      </c>
      <c r="D3320" s="2805"/>
      <c r="E3320" s="2805"/>
      <c r="F3320" s="1683" t="s">
        <v>636</v>
      </c>
      <c r="G3320" s="2034">
        <v>49</v>
      </c>
      <c r="H3320" s="1641"/>
      <c r="I3320" s="2034">
        <v>49</v>
      </c>
      <c r="J3320" s="1640"/>
      <c r="K3320" s="1641"/>
      <c r="L3320" s="1657">
        <v>1848.82</v>
      </c>
      <c r="M3320" s="1641"/>
      <c r="N3320" s="1679">
        <v>66095.45</v>
      </c>
      <c r="EW3320" s="2031"/>
      <c r="EX3320" s="1619"/>
      <c r="EY3320" s="1628"/>
      <c r="EZ3320" s="1628"/>
      <c r="FA3320" s="1628"/>
      <c r="FF3320" s="1864" t="s">
        <v>7969</v>
      </c>
      <c r="FH3320" s="1628"/>
      <c r="FU3320" s="1678"/>
      <c r="FW3320" s="1678"/>
    </row>
    <row r="3321" spans="1:179" s="1484" customFormat="1" ht="15" x14ac:dyDescent="0.25">
      <c r="A3321" s="1650"/>
      <c r="B3321" s="1651"/>
      <c r="C3321" s="2803" t="s">
        <v>872</v>
      </c>
      <c r="D3321" s="2803"/>
      <c r="E3321" s="2803"/>
      <c r="F3321" s="1621"/>
      <c r="G3321" s="1622"/>
      <c r="H3321" s="1622"/>
      <c r="I3321" s="1622"/>
      <c r="J3321" s="1625"/>
      <c r="K3321" s="1622"/>
      <c r="L3321" s="1648">
        <v>14111.11</v>
      </c>
      <c r="M3321" s="2037"/>
      <c r="N3321" s="1649">
        <v>374327.35</v>
      </c>
      <c r="EW3321" s="2031"/>
      <c r="EX3321" s="1619"/>
      <c r="EY3321" s="1628"/>
      <c r="EZ3321" s="1628"/>
      <c r="FA3321" s="1628"/>
      <c r="FH3321" s="1628" t="s">
        <v>872</v>
      </c>
      <c r="FU3321" s="1678"/>
      <c r="FW3321" s="1678"/>
    </row>
    <row r="3322" spans="1:179" s="1484" customFormat="1" ht="45" x14ac:dyDescent="0.25">
      <c r="A3322" s="1620" t="s">
        <v>8529</v>
      </c>
      <c r="B3322" s="1863" t="s">
        <v>8530</v>
      </c>
      <c r="C3322" s="2803" t="s">
        <v>8531</v>
      </c>
      <c r="D3322" s="2803"/>
      <c r="E3322" s="2803"/>
      <c r="F3322" s="1621" t="s">
        <v>2555</v>
      </c>
      <c r="G3322" s="1622">
        <v>4.0309999999999997</v>
      </c>
      <c r="H3322" s="1623">
        <v>1</v>
      </c>
      <c r="I3322" s="2045">
        <v>4.0309999999999997</v>
      </c>
      <c r="J3322" s="1625"/>
      <c r="K3322" s="1622"/>
      <c r="L3322" s="1625"/>
      <c r="M3322" s="1622"/>
      <c r="N3322" s="1627"/>
      <c r="EW3322" s="2031"/>
      <c r="EX3322" s="1619"/>
      <c r="EY3322" s="1628" t="s">
        <v>8531</v>
      </c>
      <c r="EZ3322" s="1628" t="s">
        <v>588</v>
      </c>
      <c r="FA3322" s="1628" t="s">
        <v>588</v>
      </c>
      <c r="FH3322" s="1628"/>
      <c r="FU3322" s="1678"/>
      <c r="FW3322" s="1678"/>
    </row>
    <row r="3323" spans="1:179" s="1484" customFormat="1" ht="15" x14ac:dyDescent="0.25">
      <c r="A3323" s="1629"/>
      <c r="B3323" s="1862"/>
      <c r="C3323" s="2805" t="s">
        <v>8700</v>
      </c>
      <c r="D3323" s="2805"/>
      <c r="E3323" s="2805"/>
      <c r="F3323" s="2805"/>
      <c r="G3323" s="2805"/>
      <c r="H3323" s="2805"/>
      <c r="I3323" s="2805"/>
      <c r="J3323" s="2805"/>
      <c r="K3323" s="2805"/>
      <c r="L3323" s="2805"/>
      <c r="M3323" s="2805"/>
      <c r="N3323" s="2806"/>
      <c r="EW3323" s="2031"/>
      <c r="EX3323" s="1619"/>
      <c r="EY3323" s="1628"/>
      <c r="EZ3323" s="1628"/>
      <c r="FA3323" s="1628"/>
      <c r="FB3323" s="1864" t="s">
        <v>8700</v>
      </c>
      <c r="FH3323" s="1628"/>
      <c r="FU3323" s="1678"/>
      <c r="FW3323" s="1678"/>
    </row>
    <row r="3324" spans="1:179" s="1484" customFormat="1" ht="22.5" x14ac:dyDescent="0.25">
      <c r="A3324" s="1630"/>
      <c r="B3324" s="1631" t="s">
        <v>6062</v>
      </c>
      <c r="C3324" s="2809" t="s">
        <v>6063</v>
      </c>
      <c r="D3324" s="2809"/>
      <c r="E3324" s="2809"/>
      <c r="F3324" s="2809"/>
      <c r="G3324" s="2809"/>
      <c r="H3324" s="2809"/>
      <c r="I3324" s="2809"/>
      <c r="J3324" s="2809"/>
      <c r="K3324" s="2809"/>
      <c r="L3324" s="2809"/>
      <c r="M3324" s="2809"/>
      <c r="N3324" s="2810"/>
      <c r="EW3324" s="2031"/>
      <c r="EX3324" s="1619"/>
      <c r="EY3324" s="1628"/>
      <c r="EZ3324" s="1628"/>
      <c r="FA3324" s="1628"/>
      <c r="FC3324" s="1864" t="s">
        <v>6063</v>
      </c>
      <c r="FH3324" s="1628"/>
      <c r="FU3324" s="1678"/>
      <c r="FW3324" s="1678"/>
    </row>
    <row r="3325" spans="1:179" s="1484" customFormat="1" ht="22.5" x14ac:dyDescent="0.25">
      <c r="A3325" s="2033"/>
      <c r="B3325" s="1631" t="s">
        <v>8699</v>
      </c>
      <c r="C3325" s="2805" t="s">
        <v>8698</v>
      </c>
      <c r="D3325" s="2805"/>
      <c r="E3325" s="2805"/>
      <c r="F3325" s="1683" t="s">
        <v>807</v>
      </c>
      <c r="G3325" s="2034">
        <v>1559</v>
      </c>
      <c r="H3325" s="1641"/>
      <c r="I3325" s="2046">
        <v>6284.3289999999997</v>
      </c>
      <c r="J3325" s="1654">
        <v>10.79</v>
      </c>
      <c r="K3325" s="1655">
        <v>1.25</v>
      </c>
      <c r="L3325" s="1657">
        <v>84759.89</v>
      </c>
      <c r="M3325" s="1641"/>
      <c r="N3325" s="1681"/>
      <c r="EW3325" s="2031"/>
      <c r="EX3325" s="1619"/>
      <c r="EY3325" s="1628"/>
      <c r="EZ3325" s="1628"/>
      <c r="FA3325" s="1628"/>
      <c r="FD3325" s="1864" t="s">
        <v>8698</v>
      </c>
      <c r="FH3325" s="1628"/>
      <c r="FU3325" s="1678"/>
      <c r="FW3325" s="1678"/>
    </row>
    <row r="3326" spans="1:179" s="1484" customFormat="1" ht="15" x14ac:dyDescent="0.25">
      <c r="A3326" s="2033"/>
      <c r="B3326" s="1631" t="s">
        <v>1741</v>
      </c>
      <c r="C3326" s="2805" t="s">
        <v>8697</v>
      </c>
      <c r="D3326" s="2805"/>
      <c r="E3326" s="2805"/>
      <c r="F3326" s="1683" t="s">
        <v>4994</v>
      </c>
      <c r="G3326" s="1655">
        <v>0.35</v>
      </c>
      <c r="H3326" s="1641"/>
      <c r="I3326" s="2042">
        <v>1.4108499999999999</v>
      </c>
      <c r="J3326" s="1654">
        <v>89.99</v>
      </c>
      <c r="K3326" s="1641"/>
      <c r="L3326" s="1654">
        <v>126.96</v>
      </c>
      <c r="M3326" s="1641"/>
      <c r="N3326" s="1681"/>
      <c r="EW3326" s="2031"/>
      <c r="EX3326" s="1619"/>
      <c r="EY3326" s="1628"/>
      <c r="EZ3326" s="1628"/>
      <c r="FA3326" s="1628"/>
      <c r="FD3326" s="1864" t="s">
        <v>8697</v>
      </c>
      <c r="FH3326" s="1628"/>
      <c r="FU3326" s="1678"/>
      <c r="FW3326" s="1678"/>
    </row>
    <row r="3327" spans="1:179" s="1484" customFormat="1" ht="22.5" x14ac:dyDescent="0.25">
      <c r="A3327" s="2033"/>
      <c r="B3327" s="1631" t="s">
        <v>5010</v>
      </c>
      <c r="C3327" s="2805" t="s">
        <v>5011</v>
      </c>
      <c r="D3327" s="2805"/>
      <c r="E3327" s="2805"/>
      <c r="F3327" s="1683" t="s">
        <v>4994</v>
      </c>
      <c r="G3327" s="1655">
        <v>2.36</v>
      </c>
      <c r="H3327" s="1641"/>
      <c r="I3327" s="2042">
        <v>9.5131599999999992</v>
      </c>
      <c r="J3327" s="1654">
        <v>31.26</v>
      </c>
      <c r="K3327" s="1641"/>
      <c r="L3327" s="1654">
        <v>297.38</v>
      </c>
      <c r="M3327" s="1641"/>
      <c r="N3327" s="1681"/>
      <c r="EW3327" s="2031"/>
      <c r="EX3327" s="1619"/>
      <c r="EY3327" s="1628"/>
      <c r="EZ3327" s="1628"/>
      <c r="FA3327" s="1628"/>
      <c r="FD3327" s="1864" t="s">
        <v>5011</v>
      </c>
      <c r="FH3327" s="1628"/>
      <c r="FU3327" s="1678"/>
      <c r="FW3327" s="1678"/>
    </row>
    <row r="3328" spans="1:179" s="1484" customFormat="1" ht="15" x14ac:dyDescent="0.25">
      <c r="A3328" s="2033"/>
      <c r="B3328" s="1631" t="s">
        <v>4888</v>
      </c>
      <c r="C3328" s="2805" t="s">
        <v>4889</v>
      </c>
      <c r="D3328" s="2805"/>
      <c r="E3328" s="2805"/>
      <c r="F3328" s="1683" t="s">
        <v>801</v>
      </c>
      <c r="G3328" s="2046">
        <v>7.0000000000000001E-3</v>
      </c>
      <c r="H3328" s="1641"/>
      <c r="I3328" s="2043">
        <v>2.8216999999999999E-2</v>
      </c>
      <c r="J3328" s="1657">
        <v>5650</v>
      </c>
      <c r="K3328" s="1641"/>
      <c r="L3328" s="1654">
        <v>159.43</v>
      </c>
      <c r="M3328" s="1641"/>
      <c r="N3328" s="1681"/>
      <c r="EW3328" s="2031"/>
      <c r="EX3328" s="1619"/>
      <c r="EY3328" s="1628"/>
      <c r="EZ3328" s="1628"/>
      <c r="FA3328" s="1628"/>
      <c r="FD3328" s="1864" t="s">
        <v>4889</v>
      </c>
      <c r="FH3328" s="1628"/>
      <c r="FU3328" s="1678"/>
      <c r="FW3328" s="1678"/>
    </row>
    <row r="3329" spans="1:179" s="1484" customFormat="1" ht="15" x14ac:dyDescent="0.25">
      <c r="A3329" s="2033"/>
      <c r="B3329" s="1631" t="s">
        <v>1755</v>
      </c>
      <c r="C3329" s="2805" t="s">
        <v>2634</v>
      </c>
      <c r="D3329" s="2805"/>
      <c r="E3329" s="2805"/>
      <c r="F3329" s="1683" t="s">
        <v>832</v>
      </c>
      <c r="G3329" s="1655">
        <v>1.39</v>
      </c>
      <c r="H3329" s="1641"/>
      <c r="I3329" s="2042">
        <v>5.6030899999999999</v>
      </c>
      <c r="J3329" s="1654">
        <v>2.44</v>
      </c>
      <c r="K3329" s="1641"/>
      <c r="L3329" s="1654">
        <v>13.67</v>
      </c>
      <c r="M3329" s="1641"/>
      <c r="N3329" s="1681"/>
      <c r="EW3329" s="2031"/>
      <c r="EX3329" s="1619"/>
      <c r="EY3329" s="1628"/>
      <c r="EZ3329" s="1628"/>
      <c r="FA3329" s="1628"/>
      <c r="FD3329" s="1864" t="s">
        <v>2634</v>
      </c>
      <c r="FH3329" s="1628"/>
      <c r="FU3329" s="1678"/>
      <c r="FW3329" s="1678"/>
    </row>
    <row r="3330" spans="1:179" s="1484" customFormat="1" ht="15" x14ac:dyDescent="0.25">
      <c r="A3330" s="2033"/>
      <c r="B3330" s="1631" t="s">
        <v>4896</v>
      </c>
      <c r="C3330" s="2805" t="s">
        <v>8696</v>
      </c>
      <c r="D3330" s="2805"/>
      <c r="E3330" s="2805"/>
      <c r="F3330" s="1683" t="s">
        <v>801</v>
      </c>
      <c r="G3330" s="2035">
        <v>4.4999999999999997E-3</v>
      </c>
      <c r="H3330" s="1641"/>
      <c r="I3330" s="2049">
        <v>1.8139499999999999E-2</v>
      </c>
      <c r="J3330" s="1654">
        <v>688.8</v>
      </c>
      <c r="K3330" s="1641"/>
      <c r="L3330" s="1654">
        <v>12.49</v>
      </c>
      <c r="M3330" s="1641"/>
      <c r="N3330" s="1681"/>
      <c r="EW3330" s="2031"/>
      <c r="EX3330" s="1619"/>
      <c r="EY3330" s="1628"/>
      <c r="EZ3330" s="1628"/>
      <c r="FA3330" s="1628"/>
      <c r="FD3330" s="1864" t="s">
        <v>8696</v>
      </c>
      <c r="FH3330" s="1628"/>
      <c r="FU3330" s="1678"/>
      <c r="FW3330" s="1678"/>
    </row>
    <row r="3331" spans="1:179" s="1484" customFormat="1" ht="15" x14ac:dyDescent="0.25">
      <c r="A3331" s="2033"/>
      <c r="B3331" s="1631" t="s">
        <v>4912</v>
      </c>
      <c r="C3331" s="2805" t="s">
        <v>4913</v>
      </c>
      <c r="D3331" s="2805"/>
      <c r="E3331" s="2805"/>
      <c r="F3331" s="1683" t="s">
        <v>835</v>
      </c>
      <c r="G3331" s="1655">
        <v>13.62</v>
      </c>
      <c r="H3331" s="1641"/>
      <c r="I3331" s="2042">
        <v>54.90222</v>
      </c>
      <c r="J3331" s="1654">
        <v>5.71</v>
      </c>
      <c r="K3331" s="1641"/>
      <c r="L3331" s="1654">
        <v>313.49</v>
      </c>
      <c r="M3331" s="1641"/>
      <c r="N3331" s="1681"/>
      <c r="EW3331" s="2031"/>
      <c r="EX3331" s="1619"/>
      <c r="EY3331" s="1628"/>
      <c r="EZ3331" s="1628"/>
      <c r="FA3331" s="1628"/>
      <c r="FD3331" s="1864" t="s">
        <v>4913</v>
      </c>
      <c r="FH3331" s="1628"/>
      <c r="FU3331" s="1678"/>
      <c r="FW3331" s="1678"/>
    </row>
    <row r="3332" spans="1:179" s="1484" customFormat="1" ht="15" x14ac:dyDescent="0.25">
      <c r="A3332" s="2033"/>
      <c r="B3332" s="1631" t="s">
        <v>4914</v>
      </c>
      <c r="C3332" s="2805" t="s">
        <v>4915</v>
      </c>
      <c r="D3332" s="2805"/>
      <c r="E3332" s="2805"/>
      <c r="F3332" s="1683" t="s">
        <v>835</v>
      </c>
      <c r="G3332" s="1953">
        <v>0.1</v>
      </c>
      <c r="H3332" s="1641"/>
      <c r="I3332" s="2035">
        <v>0.40310000000000001</v>
      </c>
      <c r="J3332" s="1654">
        <v>14.74</v>
      </c>
      <c r="K3332" s="1641"/>
      <c r="L3332" s="1654">
        <v>5.94</v>
      </c>
      <c r="M3332" s="1641"/>
      <c r="N3332" s="1681"/>
      <c r="EW3332" s="2031"/>
      <c r="EX3332" s="1619"/>
      <c r="EY3332" s="1628"/>
      <c r="EZ3332" s="1628"/>
      <c r="FA3332" s="1628"/>
      <c r="FD3332" s="1864" t="s">
        <v>4915</v>
      </c>
      <c r="FH3332" s="1628"/>
      <c r="FU3332" s="1678"/>
      <c r="FW3332" s="1678"/>
    </row>
    <row r="3333" spans="1:179" s="1484" customFormat="1" ht="15" x14ac:dyDescent="0.25">
      <c r="A3333" s="2033"/>
      <c r="B3333" s="1631" t="s">
        <v>8695</v>
      </c>
      <c r="C3333" s="2805" t="s">
        <v>2538</v>
      </c>
      <c r="D3333" s="2805"/>
      <c r="E3333" s="2805"/>
      <c r="F3333" s="1683" t="s">
        <v>832</v>
      </c>
      <c r="G3333" s="2046">
        <v>3.0000000000000001E-3</v>
      </c>
      <c r="H3333" s="1641"/>
      <c r="I3333" s="2043">
        <v>1.2093E-2</v>
      </c>
      <c r="J3333" s="1654">
        <v>59.99</v>
      </c>
      <c r="K3333" s="1641"/>
      <c r="L3333" s="1654">
        <v>0.73</v>
      </c>
      <c r="M3333" s="1641"/>
      <c r="N3333" s="1681"/>
      <c r="EW3333" s="2031"/>
      <c r="EX3333" s="1619"/>
      <c r="EY3333" s="1628"/>
      <c r="EZ3333" s="1628"/>
      <c r="FA3333" s="1628"/>
      <c r="FD3333" s="1864" t="s">
        <v>2538</v>
      </c>
      <c r="FH3333" s="1628"/>
      <c r="FU3333" s="1678"/>
      <c r="FW3333" s="1678"/>
    </row>
    <row r="3334" spans="1:179" s="1484" customFormat="1" ht="22.5" x14ac:dyDescent="0.25">
      <c r="A3334" s="2033"/>
      <c r="B3334" s="1631" t="s">
        <v>8694</v>
      </c>
      <c r="C3334" s="2805" t="s">
        <v>8693</v>
      </c>
      <c r="D3334" s="2805"/>
      <c r="E3334" s="2805"/>
      <c r="F3334" s="1683" t="s">
        <v>832</v>
      </c>
      <c r="G3334" s="1655">
        <v>0.01</v>
      </c>
      <c r="H3334" s="1641"/>
      <c r="I3334" s="2042">
        <v>4.0309999999999999E-2</v>
      </c>
      <c r="J3334" s="1654">
        <v>74.58</v>
      </c>
      <c r="K3334" s="1641"/>
      <c r="L3334" s="1654">
        <v>3.01</v>
      </c>
      <c r="M3334" s="1641"/>
      <c r="N3334" s="1681"/>
      <c r="EW3334" s="2031"/>
      <c r="EX3334" s="1619"/>
      <c r="EY3334" s="1628"/>
      <c r="EZ3334" s="1628"/>
      <c r="FA3334" s="1628"/>
      <c r="FD3334" s="1864" t="s">
        <v>8693</v>
      </c>
      <c r="FH3334" s="1628"/>
      <c r="FU3334" s="1678"/>
      <c r="FW3334" s="1678"/>
    </row>
    <row r="3335" spans="1:179" s="1484" customFormat="1" ht="15" x14ac:dyDescent="0.25">
      <c r="A3335" s="2033"/>
      <c r="B3335" s="1631" t="s">
        <v>4931</v>
      </c>
      <c r="C3335" s="2805" t="s">
        <v>4932</v>
      </c>
      <c r="D3335" s="2805"/>
      <c r="E3335" s="2805"/>
      <c r="F3335" s="1683" t="s">
        <v>801</v>
      </c>
      <c r="G3335" s="2046">
        <v>6.0000000000000001E-3</v>
      </c>
      <c r="H3335" s="1641"/>
      <c r="I3335" s="2043">
        <v>2.4185999999999999E-2</v>
      </c>
      <c r="J3335" s="1654">
        <v>729.98</v>
      </c>
      <c r="K3335" s="1641"/>
      <c r="L3335" s="1654">
        <v>17.66</v>
      </c>
      <c r="M3335" s="1641"/>
      <c r="N3335" s="1681"/>
      <c r="EW3335" s="2031"/>
      <c r="EX3335" s="1619"/>
      <c r="EY3335" s="1628"/>
      <c r="EZ3335" s="1628"/>
      <c r="FA3335" s="1628"/>
      <c r="FD3335" s="1864" t="s">
        <v>4932</v>
      </c>
      <c r="FH3335" s="1628"/>
      <c r="FU3335" s="1678"/>
      <c r="FW3335" s="1678"/>
    </row>
    <row r="3336" spans="1:179" s="1484" customFormat="1" ht="22.5" x14ac:dyDescent="0.25">
      <c r="A3336" s="2033"/>
      <c r="B3336" s="1631" t="s">
        <v>8692</v>
      </c>
      <c r="C3336" s="2805" t="s">
        <v>8691</v>
      </c>
      <c r="D3336" s="2805"/>
      <c r="E3336" s="2805"/>
      <c r="F3336" s="1683" t="s">
        <v>832</v>
      </c>
      <c r="G3336" s="1953">
        <v>2.5</v>
      </c>
      <c r="H3336" s="1641"/>
      <c r="I3336" s="2035">
        <v>10.077500000000001</v>
      </c>
      <c r="J3336" s="1654">
        <v>517.91</v>
      </c>
      <c r="K3336" s="1641"/>
      <c r="L3336" s="1657">
        <v>5219.24</v>
      </c>
      <c r="M3336" s="1641"/>
      <c r="N3336" s="1681"/>
      <c r="EW3336" s="2031"/>
      <c r="EX3336" s="1619"/>
      <c r="EY3336" s="1628"/>
      <c r="EZ3336" s="1628"/>
      <c r="FA3336" s="1628"/>
      <c r="FD3336" s="1864" t="s">
        <v>8691</v>
      </c>
      <c r="FH3336" s="1628"/>
      <c r="FU3336" s="1678"/>
      <c r="FW3336" s="1678"/>
    </row>
    <row r="3337" spans="1:179" s="1484" customFormat="1" ht="22.5" x14ac:dyDescent="0.25">
      <c r="A3337" s="2033"/>
      <c r="B3337" s="1631" t="s">
        <v>4963</v>
      </c>
      <c r="C3337" s="2805" t="s">
        <v>8690</v>
      </c>
      <c r="D3337" s="2805"/>
      <c r="E3337" s="2805"/>
      <c r="F3337" s="1683" t="s">
        <v>832</v>
      </c>
      <c r="G3337" s="2035">
        <v>4.5199999999999997E-2</v>
      </c>
      <c r="H3337" s="1641"/>
      <c r="I3337" s="2049">
        <v>0.18220120000000001</v>
      </c>
      <c r="J3337" s="1657">
        <v>1200</v>
      </c>
      <c r="K3337" s="1641"/>
      <c r="L3337" s="1654">
        <v>218.64</v>
      </c>
      <c r="M3337" s="1641"/>
      <c r="N3337" s="1681"/>
      <c r="EW3337" s="2031"/>
      <c r="EX3337" s="1619"/>
      <c r="EY3337" s="1628"/>
      <c r="EZ3337" s="1628"/>
      <c r="FA3337" s="1628"/>
      <c r="FD3337" s="1864" t="s">
        <v>8690</v>
      </c>
      <c r="FH3337" s="1628"/>
      <c r="FU3337" s="1678"/>
      <c r="FW3337" s="1678"/>
    </row>
    <row r="3338" spans="1:179" s="1484" customFormat="1" ht="15" x14ac:dyDescent="0.25">
      <c r="A3338" s="2033"/>
      <c r="B3338" s="1631" t="s">
        <v>4985</v>
      </c>
      <c r="C3338" s="2805" t="s">
        <v>4986</v>
      </c>
      <c r="D3338" s="2805"/>
      <c r="E3338" s="2805"/>
      <c r="F3338" s="1683" t="s">
        <v>801</v>
      </c>
      <c r="G3338" s="2035">
        <v>2.9999999999999997E-4</v>
      </c>
      <c r="H3338" s="1641"/>
      <c r="I3338" s="2049">
        <v>1.2093E-3</v>
      </c>
      <c r="J3338" s="1657">
        <v>86560.01</v>
      </c>
      <c r="K3338" s="1641"/>
      <c r="L3338" s="1654">
        <v>104.68</v>
      </c>
      <c r="M3338" s="1641"/>
      <c r="N3338" s="1681"/>
      <c r="EW3338" s="2031"/>
      <c r="EX3338" s="1619"/>
      <c r="EY3338" s="1628"/>
      <c r="EZ3338" s="1628"/>
      <c r="FA3338" s="1628"/>
      <c r="FD3338" s="1864" t="s">
        <v>4986</v>
      </c>
      <c r="FH3338" s="1628"/>
      <c r="FU3338" s="1678"/>
      <c r="FW3338" s="1678"/>
    </row>
    <row r="3339" spans="1:179" s="1484" customFormat="1" ht="15" x14ac:dyDescent="0.25">
      <c r="A3339" s="2032"/>
      <c r="B3339" s="1631" t="s">
        <v>190</v>
      </c>
      <c r="C3339" s="2805" t="s">
        <v>2523</v>
      </c>
      <c r="D3339" s="2805"/>
      <c r="E3339" s="2805"/>
      <c r="F3339" s="1683"/>
      <c r="G3339" s="1641"/>
      <c r="H3339" s="1641"/>
      <c r="I3339" s="1641"/>
      <c r="J3339" s="1657">
        <v>16821.61</v>
      </c>
      <c r="K3339" s="1655">
        <v>1.25</v>
      </c>
      <c r="L3339" s="1657">
        <v>84759.89</v>
      </c>
      <c r="M3339" s="1655">
        <v>35.75</v>
      </c>
      <c r="N3339" s="1679">
        <v>3030166.07</v>
      </c>
      <c r="EW3339" s="2031"/>
      <c r="EX3339" s="1619"/>
      <c r="EY3339" s="1628"/>
      <c r="EZ3339" s="1628"/>
      <c r="FA3339" s="1628"/>
      <c r="FE3339" s="1864" t="s">
        <v>2523</v>
      </c>
      <c r="FH3339" s="1628"/>
      <c r="FU3339" s="1678"/>
      <c r="FW3339" s="1678"/>
    </row>
    <row r="3340" spans="1:179" s="1484" customFormat="1" ht="15" x14ac:dyDescent="0.25">
      <c r="A3340" s="2032"/>
      <c r="B3340" s="1631" t="s">
        <v>639</v>
      </c>
      <c r="C3340" s="2805" t="s">
        <v>697</v>
      </c>
      <c r="D3340" s="2805"/>
      <c r="E3340" s="2805"/>
      <c r="F3340" s="1683"/>
      <c r="G3340" s="1641"/>
      <c r="H3340" s="1641"/>
      <c r="I3340" s="1641"/>
      <c r="J3340" s="1654">
        <v>105.27</v>
      </c>
      <c r="K3340" s="1641"/>
      <c r="L3340" s="1654">
        <v>424.34</v>
      </c>
      <c r="M3340" s="1655">
        <v>11.97</v>
      </c>
      <c r="N3340" s="1679">
        <v>5079.3500000000004</v>
      </c>
      <c r="EW3340" s="2031"/>
      <c r="EX3340" s="1619"/>
      <c r="EY3340" s="1628"/>
      <c r="EZ3340" s="1628"/>
      <c r="FA3340" s="1628"/>
      <c r="FE3340" s="1864" t="s">
        <v>697</v>
      </c>
      <c r="FH3340" s="1628"/>
      <c r="FU3340" s="1678"/>
      <c r="FW3340" s="1678"/>
    </row>
    <row r="3341" spans="1:179" s="1484" customFormat="1" ht="15" x14ac:dyDescent="0.25">
      <c r="A3341" s="2032"/>
      <c r="B3341" s="1631" t="s">
        <v>640</v>
      </c>
      <c r="C3341" s="2805" t="s">
        <v>2500</v>
      </c>
      <c r="D3341" s="2805"/>
      <c r="E3341" s="2805"/>
      <c r="F3341" s="1683"/>
      <c r="G3341" s="1641"/>
      <c r="H3341" s="1641"/>
      <c r="I3341" s="1641"/>
      <c r="J3341" s="1654">
        <v>35.380000000000003</v>
      </c>
      <c r="K3341" s="1641"/>
      <c r="L3341" s="1654">
        <v>142.62</v>
      </c>
      <c r="M3341" s="1655">
        <v>35.75</v>
      </c>
      <c r="N3341" s="1679">
        <v>5098.67</v>
      </c>
      <c r="EW3341" s="2031"/>
      <c r="EX3341" s="1619"/>
      <c r="EY3341" s="1628"/>
      <c r="EZ3341" s="1628"/>
      <c r="FA3341" s="1628"/>
      <c r="FE3341" s="1864" t="s">
        <v>2500</v>
      </c>
      <c r="FH3341" s="1628"/>
      <c r="FU3341" s="1678"/>
      <c r="FW3341" s="1678"/>
    </row>
    <row r="3342" spans="1:179" s="1484" customFormat="1" ht="15" x14ac:dyDescent="0.25">
      <c r="A3342" s="2032"/>
      <c r="B3342" s="1631" t="s">
        <v>232</v>
      </c>
      <c r="C3342" s="2805" t="s">
        <v>829</v>
      </c>
      <c r="D3342" s="2805"/>
      <c r="E3342" s="2805"/>
      <c r="F3342" s="1683"/>
      <c r="G3342" s="1641"/>
      <c r="H3342" s="1641"/>
      <c r="I3342" s="1641"/>
      <c r="J3342" s="1657">
        <v>1505.58</v>
      </c>
      <c r="K3342" s="1641"/>
      <c r="L3342" s="1657">
        <v>6068.99</v>
      </c>
      <c r="M3342" s="1655">
        <v>9.14</v>
      </c>
      <c r="N3342" s="1679">
        <v>55470.57</v>
      </c>
      <c r="EW3342" s="2031"/>
      <c r="EX3342" s="1619"/>
      <c r="EY3342" s="1628"/>
      <c r="EZ3342" s="1628"/>
      <c r="FA3342" s="1628"/>
      <c r="FE3342" s="1864" t="s">
        <v>829</v>
      </c>
      <c r="FH3342" s="1628"/>
      <c r="FU3342" s="1678"/>
      <c r="FW3342" s="1678"/>
    </row>
    <row r="3343" spans="1:179" s="1484" customFormat="1" ht="15" x14ac:dyDescent="0.25">
      <c r="A3343" s="2033"/>
      <c r="B3343" s="1631"/>
      <c r="C3343" s="2805" t="s">
        <v>2524</v>
      </c>
      <c r="D3343" s="2805"/>
      <c r="E3343" s="2805"/>
      <c r="F3343" s="1683" t="s">
        <v>807</v>
      </c>
      <c r="G3343" s="2034">
        <v>1559</v>
      </c>
      <c r="H3343" s="1641"/>
      <c r="I3343" s="2046">
        <v>6284.3289999999997</v>
      </c>
      <c r="J3343" s="1640"/>
      <c r="K3343" s="1641"/>
      <c r="L3343" s="1640"/>
      <c r="M3343" s="1641"/>
      <c r="N3343" s="1681"/>
      <c r="EW3343" s="2031"/>
      <c r="EX3343" s="1619"/>
      <c r="EY3343" s="1628"/>
      <c r="EZ3343" s="1628"/>
      <c r="FA3343" s="1628"/>
      <c r="FF3343" s="1864" t="s">
        <v>2524</v>
      </c>
      <c r="FH3343" s="1628"/>
      <c r="FU3343" s="1678"/>
      <c r="FW3343" s="1678"/>
    </row>
    <row r="3344" spans="1:179" s="1484" customFormat="1" ht="15" x14ac:dyDescent="0.25">
      <c r="A3344" s="2033"/>
      <c r="B3344" s="1631"/>
      <c r="C3344" s="2805" t="s">
        <v>2501</v>
      </c>
      <c r="D3344" s="2805"/>
      <c r="E3344" s="2805"/>
      <c r="F3344" s="1683" t="s">
        <v>807</v>
      </c>
      <c r="G3344" s="1655">
        <v>2.71</v>
      </c>
      <c r="H3344" s="1641"/>
      <c r="I3344" s="2042">
        <v>10.924010000000001</v>
      </c>
      <c r="J3344" s="1640"/>
      <c r="K3344" s="1641"/>
      <c r="L3344" s="1640"/>
      <c r="M3344" s="1641"/>
      <c r="N3344" s="1681"/>
      <c r="EW3344" s="2031"/>
      <c r="EX3344" s="1619"/>
      <c r="EY3344" s="1628"/>
      <c r="EZ3344" s="1628"/>
      <c r="FA3344" s="1628"/>
      <c r="FF3344" s="1864" t="s">
        <v>2501</v>
      </c>
      <c r="FH3344" s="1628"/>
      <c r="FU3344" s="1678"/>
      <c r="FW3344" s="1678"/>
    </row>
    <row r="3345" spans="1:179" s="1484" customFormat="1" ht="15" x14ac:dyDescent="0.25">
      <c r="A3345" s="2032"/>
      <c r="B3345" s="1631"/>
      <c r="C3345" s="2917" t="s">
        <v>2502</v>
      </c>
      <c r="D3345" s="2917"/>
      <c r="E3345" s="2917"/>
      <c r="F3345" s="2036"/>
      <c r="G3345" s="2037"/>
      <c r="H3345" s="2037"/>
      <c r="I3345" s="2037"/>
      <c r="J3345" s="2038">
        <v>18432.46</v>
      </c>
      <c r="K3345" s="2037"/>
      <c r="L3345" s="2038">
        <v>91253.22</v>
      </c>
      <c r="M3345" s="2037"/>
      <c r="N3345" s="2068">
        <v>3090715.99</v>
      </c>
      <c r="EW3345" s="2031"/>
      <c r="EX3345" s="1619"/>
      <c r="EY3345" s="1628"/>
      <c r="EZ3345" s="1628"/>
      <c r="FA3345" s="1628"/>
      <c r="FG3345" s="1864" t="s">
        <v>2502</v>
      </c>
      <c r="FH3345" s="1628"/>
      <c r="FU3345" s="1678"/>
      <c r="FW3345" s="1678"/>
    </row>
    <row r="3346" spans="1:179" s="1484" customFormat="1" ht="15" x14ac:dyDescent="0.25">
      <c r="A3346" s="2033" t="s">
        <v>8532</v>
      </c>
      <c r="B3346" s="1631"/>
      <c r="C3346" s="2805" t="s">
        <v>7964</v>
      </c>
      <c r="D3346" s="2805"/>
      <c r="E3346" s="2805"/>
      <c r="F3346" s="1683" t="s">
        <v>5928</v>
      </c>
      <c r="G3346" s="1641"/>
      <c r="H3346" s="1641"/>
      <c r="I3346" s="1641"/>
      <c r="J3346" s="1640"/>
      <c r="K3346" s="1641"/>
      <c r="L3346" s="1654">
        <v>35.65</v>
      </c>
      <c r="M3346" s="1641"/>
      <c r="N3346" s="1679">
        <v>1274.49</v>
      </c>
      <c r="EW3346" s="2031"/>
      <c r="EX3346" s="1619"/>
      <c r="EY3346" s="1628"/>
      <c r="EZ3346" s="1628"/>
      <c r="FA3346" s="1628"/>
      <c r="FF3346" s="1864" t="s">
        <v>7964</v>
      </c>
      <c r="FH3346" s="1628"/>
      <c r="FU3346" s="1678"/>
      <c r="FW3346" s="1678"/>
    </row>
    <row r="3347" spans="1:179" s="1484" customFormat="1" ht="15" x14ac:dyDescent="0.25">
      <c r="A3347" s="2033"/>
      <c r="B3347" s="1631"/>
      <c r="C3347" s="2805" t="s">
        <v>7965</v>
      </c>
      <c r="D3347" s="2805"/>
      <c r="E3347" s="2805"/>
      <c r="F3347" s="1683" t="s">
        <v>5928</v>
      </c>
      <c r="G3347" s="1641"/>
      <c r="H3347" s="1641"/>
      <c r="I3347" s="1641"/>
      <c r="J3347" s="1654">
        <v>35.380000000000003</v>
      </c>
      <c r="K3347" s="1655">
        <v>0.25</v>
      </c>
      <c r="L3347" s="1654">
        <v>35.65</v>
      </c>
      <c r="M3347" s="1655">
        <v>35.75</v>
      </c>
      <c r="N3347" s="1679">
        <v>1274.49</v>
      </c>
      <c r="EW3347" s="2031"/>
      <c r="EX3347" s="1619"/>
      <c r="EY3347" s="1628"/>
      <c r="EZ3347" s="1628"/>
      <c r="FA3347" s="1628"/>
      <c r="FF3347" s="1864" t="s">
        <v>7965</v>
      </c>
      <c r="FH3347" s="1628"/>
      <c r="FU3347" s="1678"/>
      <c r="FW3347" s="1678"/>
    </row>
    <row r="3348" spans="1:179" s="1484" customFormat="1" ht="15" x14ac:dyDescent="0.25">
      <c r="A3348" s="2033"/>
      <c r="B3348" s="1631"/>
      <c r="C3348" s="2805" t="s">
        <v>867</v>
      </c>
      <c r="D3348" s="2805"/>
      <c r="E3348" s="2805"/>
      <c r="F3348" s="1683"/>
      <c r="G3348" s="1641"/>
      <c r="H3348" s="1641"/>
      <c r="I3348" s="1641"/>
      <c r="J3348" s="1640"/>
      <c r="K3348" s="1641"/>
      <c r="L3348" s="1657">
        <v>84938.16</v>
      </c>
      <c r="M3348" s="1641"/>
      <c r="N3348" s="1679">
        <v>3036539.23</v>
      </c>
      <c r="EW3348" s="2031"/>
      <c r="EX3348" s="1619"/>
      <c r="EY3348" s="1628"/>
      <c r="EZ3348" s="1628"/>
      <c r="FA3348" s="1628"/>
      <c r="FF3348" s="1864" t="s">
        <v>867</v>
      </c>
      <c r="FH3348" s="1628"/>
      <c r="FU3348" s="1678"/>
      <c r="FW3348" s="1678"/>
    </row>
    <row r="3349" spans="1:179" s="1484" customFormat="1" ht="15" x14ac:dyDescent="0.25">
      <c r="A3349" s="2033"/>
      <c r="B3349" s="1631" t="s">
        <v>7966</v>
      </c>
      <c r="C3349" s="2805" t="s">
        <v>7967</v>
      </c>
      <c r="D3349" s="2805"/>
      <c r="E3349" s="2805"/>
      <c r="F3349" s="1683" t="s">
        <v>636</v>
      </c>
      <c r="G3349" s="2034">
        <v>100</v>
      </c>
      <c r="H3349" s="1641"/>
      <c r="I3349" s="2034">
        <v>100</v>
      </c>
      <c r="J3349" s="1640"/>
      <c r="K3349" s="1641"/>
      <c r="L3349" s="1657">
        <v>84938.16</v>
      </c>
      <c r="M3349" s="1641"/>
      <c r="N3349" s="1679">
        <v>3036539.23</v>
      </c>
      <c r="EW3349" s="2031"/>
      <c r="EX3349" s="1619"/>
      <c r="EY3349" s="1628"/>
      <c r="EZ3349" s="1628"/>
      <c r="FA3349" s="1628"/>
      <c r="FF3349" s="1864" t="s">
        <v>7967</v>
      </c>
      <c r="FH3349" s="1628"/>
      <c r="FU3349" s="1678"/>
      <c r="FW3349" s="1678"/>
    </row>
    <row r="3350" spans="1:179" s="1484" customFormat="1" ht="15" x14ac:dyDescent="0.25">
      <c r="A3350" s="2033"/>
      <c r="B3350" s="1631" t="s">
        <v>7968</v>
      </c>
      <c r="C3350" s="2805" t="s">
        <v>7969</v>
      </c>
      <c r="D3350" s="2805"/>
      <c r="E3350" s="2805"/>
      <c r="F3350" s="1683" t="s">
        <v>636</v>
      </c>
      <c r="G3350" s="2034">
        <v>49</v>
      </c>
      <c r="H3350" s="1641"/>
      <c r="I3350" s="2034">
        <v>49</v>
      </c>
      <c r="J3350" s="1640"/>
      <c r="K3350" s="1641"/>
      <c r="L3350" s="1657">
        <v>41619.699999999997</v>
      </c>
      <c r="M3350" s="1641"/>
      <c r="N3350" s="1679">
        <v>1487904.22</v>
      </c>
      <c r="EW3350" s="2031"/>
      <c r="EX3350" s="1619"/>
      <c r="EY3350" s="1628"/>
      <c r="EZ3350" s="1628"/>
      <c r="FA3350" s="1628"/>
      <c r="FF3350" s="1864" t="s">
        <v>7969</v>
      </c>
      <c r="FH3350" s="1628"/>
      <c r="FU3350" s="1678"/>
      <c r="FW3350" s="1678"/>
    </row>
    <row r="3351" spans="1:179" s="1484" customFormat="1" ht="15" x14ac:dyDescent="0.25">
      <c r="A3351" s="1650"/>
      <c r="B3351" s="1651"/>
      <c r="C3351" s="2803" t="s">
        <v>872</v>
      </c>
      <c r="D3351" s="2803"/>
      <c r="E3351" s="2803"/>
      <c r="F3351" s="1621"/>
      <c r="G3351" s="1622"/>
      <c r="H3351" s="1622"/>
      <c r="I3351" s="1622"/>
      <c r="J3351" s="1625"/>
      <c r="K3351" s="1622"/>
      <c r="L3351" s="1648">
        <v>217846.73</v>
      </c>
      <c r="M3351" s="2037"/>
      <c r="N3351" s="1649">
        <v>7616433.9299999997</v>
      </c>
      <c r="EW3351" s="2031"/>
      <c r="EX3351" s="1619"/>
      <c r="EY3351" s="1628"/>
      <c r="EZ3351" s="1628"/>
      <c r="FA3351" s="1628"/>
      <c r="FH3351" s="1628" t="s">
        <v>872</v>
      </c>
      <c r="FU3351" s="1678"/>
      <c r="FW3351" s="1678"/>
    </row>
    <row r="3352" spans="1:179" s="1484" customFormat="1" ht="33.75" x14ac:dyDescent="0.25">
      <c r="A3352" s="1620" t="s">
        <v>8533</v>
      </c>
      <c r="B3352" s="1863" t="s">
        <v>8534</v>
      </c>
      <c r="C3352" s="2803" t="s">
        <v>8535</v>
      </c>
      <c r="D3352" s="2803"/>
      <c r="E3352" s="2803"/>
      <c r="F3352" s="1621" t="s">
        <v>130</v>
      </c>
      <c r="G3352" s="1622">
        <v>403.1</v>
      </c>
      <c r="H3352" s="1623">
        <v>1</v>
      </c>
      <c r="I3352" s="1624">
        <v>403.1</v>
      </c>
      <c r="J3352" s="2040">
        <v>155.88</v>
      </c>
      <c r="K3352" s="1622"/>
      <c r="L3352" s="1648">
        <v>62835.23</v>
      </c>
      <c r="M3352" s="1687">
        <v>9.14</v>
      </c>
      <c r="N3352" s="1649">
        <v>574314</v>
      </c>
      <c r="EW3352" s="2031"/>
      <c r="EX3352" s="1619"/>
      <c r="EY3352" s="1628" t="s">
        <v>8535</v>
      </c>
      <c r="EZ3352" s="1628" t="s">
        <v>588</v>
      </c>
      <c r="FA3352" s="1628" t="s">
        <v>588</v>
      </c>
      <c r="FH3352" s="1628"/>
      <c r="FU3352" s="1678"/>
      <c r="FW3352" s="1678"/>
    </row>
    <row r="3353" spans="1:179" s="1484" customFormat="1" ht="15" x14ac:dyDescent="0.25">
      <c r="A3353" s="1650"/>
      <c r="B3353" s="1651"/>
      <c r="C3353" s="2805" t="s">
        <v>8689</v>
      </c>
      <c r="D3353" s="2805"/>
      <c r="E3353" s="2805"/>
      <c r="F3353" s="2805"/>
      <c r="G3353" s="2805"/>
      <c r="H3353" s="2805"/>
      <c r="I3353" s="2805"/>
      <c r="J3353" s="2805"/>
      <c r="K3353" s="2805"/>
      <c r="L3353" s="2805"/>
      <c r="M3353" s="2805"/>
      <c r="N3353" s="2806"/>
      <c r="EW3353" s="2031"/>
      <c r="EX3353" s="1619"/>
      <c r="EY3353" s="1628"/>
      <c r="EZ3353" s="1628"/>
      <c r="FA3353" s="1628"/>
      <c r="FH3353" s="1628"/>
      <c r="FI3353" s="1864" t="s">
        <v>8689</v>
      </c>
      <c r="FJ3353" s="1864" t="s">
        <v>588</v>
      </c>
      <c r="FK3353" s="1864" t="s">
        <v>588</v>
      </c>
      <c r="FL3353" s="1864" t="s">
        <v>588</v>
      </c>
      <c r="FM3353" s="1864" t="s">
        <v>588</v>
      </c>
      <c r="FN3353" s="1864" t="s">
        <v>588</v>
      </c>
      <c r="FO3353" s="1864" t="s">
        <v>588</v>
      </c>
      <c r="FP3353" s="1864" t="s">
        <v>588</v>
      </c>
      <c r="FQ3353" s="1864" t="s">
        <v>588</v>
      </c>
      <c r="FR3353" s="1864" t="s">
        <v>588</v>
      </c>
      <c r="FS3353" s="1864" t="s">
        <v>588</v>
      </c>
      <c r="FT3353" s="1864" t="s">
        <v>588</v>
      </c>
      <c r="FU3353" s="1678"/>
      <c r="FW3353" s="1678"/>
    </row>
    <row r="3354" spans="1:179" s="1484" customFormat="1" ht="15" x14ac:dyDescent="0.25">
      <c r="A3354" s="1650"/>
      <c r="B3354" s="1651"/>
      <c r="C3354" s="2803" t="s">
        <v>872</v>
      </c>
      <c r="D3354" s="2803"/>
      <c r="E3354" s="2803"/>
      <c r="F3354" s="1621"/>
      <c r="G3354" s="1622"/>
      <c r="H3354" s="1622"/>
      <c r="I3354" s="1622"/>
      <c r="J3354" s="1625"/>
      <c r="K3354" s="1622"/>
      <c r="L3354" s="1648">
        <v>62835.23</v>
      </c>
      <c r="M3354" s="2037"/>
      <c r="N3354" s="1649">
        <v>574314</v>
      </c>
      <c r="EW3354" s="2031"/>
      <c r="EX3354" s="1619"/>
      <c r="EY3354" s="1628"/>
      <c r="EZ3354" s="1628"/>
      <c r="FA3354" s="1628"/>
      <c r="FH3354" s="1628" t="s">
        <v>872</v>
      </c>
      <c r="FU3354" s="1678"/>
      <c r="FW3354" s="1678"/>
    </row>
    <row r="3355" spans="1:179" s="1484" customFormat="1" ht="1.5" customHeight="1" x14ac:dyDescent="0.25">
      <c r="A3355" s="2050"/>
      <c r="B3355" s="2051"/>
      <c r="C3355" s="1668"/>
      <c r="D3355" s="1668"/>
      <c r="E3355" s="1668"/>
      <c r="F3355" s="1668"/>
      <c r="G3355" s="1669"/>
      <c r="H3355" s="1669"/>
      <c r="I3355" s="1669"/>
      <c r="J3355" s="1669"/>
      <c r="K3355" s="1670"/>
      <c r="L3355" s="1669"/>
      <c r="M3355" s="1670"/>
      <c r="N3355" s="2052"/>
      <c r="EW3355" s="2031"/>
      <c r="EX3355" s="1619"/>
      <c r="EY3355" s="1628"/>
      <c r="EZ3355" s="1628"/>
      <c r="FA3355" s="1628"/>
      <c r="FH3355" s="1628"/>
      <c r="FU3355" s="1678"/>
      <c r="FW3355" s="1678"/>
    </row>
    <row r="3356" spans="1:179" s="1484" customFormat="1" ht="15" x14ac:dyDescent="0.25">
      <c r="A3356" s="1650"/>
      <c r="B3356" s="1676"/>
      <c r="C3356" s="2802" t="s">
        <v>8536</v>
      </c>
      <c r="D3356" s="2802"/>
      <c r="E3356" s="2802"/>
      <c r="F3356" s="2802"/>
      <c r="G3356" s="2802"/>
      <c r="H3356" s="2802"/>
      <c r="I3356" s="2802"/>
      <c r="J3356" s="2802"/>
      <c r="K3356" s="2802"/>
      <c r="L3356" s="2053"/>
      <c r="M3356" s="2054"/>
      <c r="N3356" s="2055"/>
      <c r="EW3356" s="2031"/>
      <c r="EX3356" s="1619"/>
      <c r="EY3356" s="1628"/>
      <c r="EZ3356" s="1628"/>
      <c r="FA3356" s="1628"/>
      <c r="FH3356" s="1628"/>
      <c r="FU3356" s="1678" t="s">
        <v>8536</v>
      </c>
      <c r="FW3356" s="1678"/>
    </row>
    <row r="3357" spans="1:179" s="1484" customFormat="1" ht="15" x14ac:dyDescent="0.25">
      <c r="A3357" s="1647"/>
      <c r="B3357" s="1631"/>
      <c r="C3357" s="2801" t="s">
        <v>922</v>
      </c>
      <c r="D3357" s="2801"/>
      <c r="E3357" s="2801"/>
      <c r="F3357" s="2801"/>
      <c r="G3357" s="2801"/>
      <c r="H3357" s="2801"/>
      <c r="I3357" s="2801"/>
      <c r="J3357" s="2801"/>
      <c r="K3357" s="2801"/>
      <c r="L3357" s="2056">
        <v>389910.42</v>
      </c>
      <c r="M3357" s="2057"/>
      <c r="N3357" s="2058">
        <v>6960544.8499999996</v>
      </c>
      <c r="EW3357" s="2031"/>
      <c r="EX3357" s="1619"/>
      <c r="EY3357" s="1628"/>
      <c r="EZ3357" s="1628"/>
      <c r="FA3357" s="1628"/>
      <c r="FH3357" s="1628"/>
      <c r="FU3357" s="1678"/>
      <c r="FV3357" s="1680" t="s">
        <v>922</v>
      </c>
      <c r="FW3357" s="1678"/>
    </row>
    <row r="3358" spans="1:179" s="1484" customFormat="1" ht="15" x14ac:dyDescent="0.25">
      <c r="A3358" s="1647"/>
      <c r="B3358" s="1631"/>
      <c r="C3358" s="2801" t="s">
        <v>891</v>
      </c>
      <c r="D3358" s="2801"/>
      <c r="E3358" s="2801"/>
      <c r="F3358" s="2801"/>
      <c r="G3358" s="2801"/>
      <c r="H3358" s="2801"/>
      <c r="I3358" s="2801"/>
      <c r="J3358" s="2801"/>
      <c r="K3358" s="2801"/>
      <c r="L3358" s="1708"/>
      <c r="M3358" s="2057"/>
      <c r="N3358" s="2059"/>
      <c r="EW3358" s="2031"/>
      <c r="EX3358" s="1619"/>
      <c r="EY3358" s="1628"/>
      <c r="EZ3358" s="1628"/>
      <c r="FA3358" s="1628"/>
      <c r="FH3358" s="1628"/>
      <c r="FU3358" s="1678"/>
      <c r="FV3358" s="1680" t="s">
        <v>891</v>
      </c>
      <c r="FW3358" s="1678"/>
    </row>
    <row r="3359" spans="1:179" s="1484" customFormat="1" ht="15" x14ac:dyDescent="0.25">
      <c r="A3359" s="1647"/>
      <c r="B3359" s="1631"/>
      <c r="C3359" s="2801" t="s">
        <v>892</v>
      </c>
      <c r="D3359" s="2801"/>
      <c r="E3359" s="2801"/>
      <c r="F3359" s="2801"/>
      <c r="G3359" s="2801"/>
      <c r="H3359" s="2801"/>
      <c r="I3359" s="2801"/>
      <c r="J3359" s="2801"/>
      <c r="K3359" s="2801"/>
      <c r="L3359" s="2056">
        <v>127042.68</v>
      </c>
      <c r="M3359" s="2057"/>
      <c r="N3359" s="2058">
        <v>4541775.84</v>
      </c>
      <c r="EW3359" s="2031"/>
      <c r="EX3359" s="1619"/>
      <c r="EY3359" s="1628"/>
      <c r="EZ3359" s="1628"/>
      <c r="FA3359" s="1628"/>
      <c r="FH3359" s="1628"/>
      <c r="FU3359" s="1678"/>
      <c r="FV3359" s="1680" t="s">
        <v>892</v>
      </c>
      <c r="FW3359" s="1678"/>
    </row>
    <row r="3360" spans="1:179" s="1484" customFormat="1" ht="15" x14ac:dyDescent="0.25">
      <c r="A3360" s="1647"/>
      <c r="B3360" s="1631"/>
      <c r="C3360" s="2801" t="s">
        <v>893</v>
      </c>
      <c r="D3360" s="2801"/>
      <c r="E3360" s="2801"/>
      <c r="F3360" s="2801"/>
      <c r="G3360" s="2801"/>
      <c r="H3360" s="2801"/>
      <c r="I3360" s="2801"/>
      <c r="J3360" s="2801"/>
      <c r="K3360" s="2801"/>
      <c r="L3360" s="2056">
        <v>2881.53</v>
      </c>
      <c r="M3360" s="2057"/>
      <c r="N3360" s="2058">
        <v>42495.07</v>
      </c>
      <c r="EW3360" s="2031"/>
      <c r="EX3360" s="1619"/>
      <c r="EY3360" s="1628"/>
      <c r="EZ3360" s="1628"/>
      <c r="FA3360" s="1628"/>
      <c r="FH3360" s="1628"/>
      <c r="FU3360" s="1678"/>
      <c r="FV3360" s="1680" t="s">
        <v>893</v>
      </c>
      <c r="FW3360" s="1678"/>
    </row>
    <row r="3361" spans="1:179" s="1484" customFormat="1" ht="15" x14ac:dyDescent="0.25">
      <c r="A3361" s="1647"/>
      <c r="B3361" s="1631"/>
      <c r="C3361" s="2801" t="s">
        <v>2578</v>
      </c>
      <c r="D3361" s="2801"/>
      <c r="E3361" s="2801"/>
      <c r="F3361" s="2801"/>
      <c r="G3361" s="2801"/>
      <c r="H3361" s="2801"/>
      <c r="I3361" s="2801"/>
      <c r="J3361" s="2801"/>
      <c r="K3361" s="2801"/>
      <c r="L3361" s="2056">
        <v>1682.83</v>
      </c>
      <c r="M3361" s="2057"/>
      <c r="N3361" s="2058">
        <v>60161.22</v>
      </c>
      <c r="EW3361" s="2031"/>
      <c r="EX3361" s="1619"/>
      <c r="EY3361" s="1628"/>
      <c r="EZ3361" s="1628"/>
      <c r="FA3361" s="1628"/>
      <c r="FH3361" s="1628"/>
      <c r="FU3361" s="1678"/>
      <c r="FV3361" s="1680" t="s">
        <v>2578</v>
      </c>
      <c r="FW3361" s="1678"/>
    </row>
    <row r="3362" spans="1:179" s="1484" customFormat="1" ht="15" x14ac:dyDescent="0.25">
      <c r="A3362" s="1647"/>
      <c r="B3362" s="1631"/>
      <c r="C3362" s="2801" t="s">
        <v>895</v>
      </c>
      <c r="D3362" s="2801"/>
      <c r="E3362" s="2801"/>
      <c r="F3362" s="2801"/>
      <c r="G3362" s="2801"/>
      <c r="H3362" s="2801"/>
      <c r="I3362" s="2801"/>
      <c r="J3362" s="2801"/>
      <c r="K3362" s="2801"/>
      <c r="L3362" s="2056">
        <v>259986.21</v>
      </c>
      <c r="M3362" s="2057"/>
      <c r="N3362" s="2058">
        <v>2376273.94</v>
      </c>
      <c r="EW3362" s="2031"/>
      <c r="EX3362" s="1619"/>
      <c r="EY3362" s="1628"/>
      <c r="EZ3362" s="1628"/>
      <c r="FA3362" s="1628"/>
      <c r="FH3362" s="1628"/>
      <c r="FU3362" s="1678"/>
      <c r="FV3362" s="1680" t="s">
        <v>895</v>
      </c>
      <c r="FW3362" s="1678"/>
    </row>
    <row r="3363" spans="1:179" s="1484" customFormat="1" ht="15" x14ac:dyDescent="0.25">
      <c r="A3363" s="1647"/>
      <c r="B3363" s="1631"/>
      <c r="C3363" s="2801" t="s">
        <v>897</v>
      </c>
      <c r="D3363" s="2801"/>
      <c r="E3363" s="2801"/>
      <c r="F3363" s="2801"/>
      <c r="G3363" s="2801"/>
      <c r="H3363" s="2801"/>
      <c r="I3363" s="2801"/>
      <c r="J3363" s="2801"/>
      <c r="K3363" s="2801"/>
      <c r="L3363" s="2056">
        <v>581711.43000000005</v>
      </c>
      <c r="M3363" s="2057"/>
      <c r="N3363" s="2058">
        <v>13817431.07</v>
      </c>
      <c r="EW3363" s="2031"/>
      <c r="EX3363" s="1619"/>
      <c r="EY3363" s="1628"/>
      <c r="EZ3363" s="1628"/>
      <c r="FA3363" s="1628"/>
      <c r="FH3363" s="1628"/>
      <c r="FU3363" s="1678"/>
      <c r="FV3363" s="1680" t="s">
        <v>897</v>
      </c>
      <c r="FW3363" s="1678"/>
    </row>
    <row r="3364" spans="1:179" s="1484" customFormat="1" ht="15" x14ac:dyDescent="0.25">
      <c r="A3364" s="1647"/>
      <c r="B3364" s="1631"/>
      <c r="C3364" s="2801" t="s">
        <v>891</v>
      </c>
      <c r="D3364" s="2801"/>
      <c r="E3364" s="2801"/>
      <c r="F3364" s="2801"/>
      <c r="G3364" s="2801"/>
      <c r="H3364" s="2801"/>
      <c r="I3364" s="2801"/>
      <c r="J3364" s="2801"/>
      <c r="K3364" s="2801"/>
      <c r="L3364" s="1708"/>
      <c r="M3364" s="2057"/>
      <c r="N3364" s="2059"/>
      <c r="EW3364" s="2031"/>
      <c r="EX3364" s="1619"/>
      <c r="EY3364" s="1628"/>
      <c r="EZ3364" s="1628"/>
      <c r="FA3364" s="1628"/>
      <c r="FH3364" s="1628"/>
      <c r="FU3364" s="1678"/>
      <c r="FV3364" s="1680" t="s">
        <v>891</v>
      </c>
      <c r="FW3364" s="1678"/>
    </row>
    <row r="3365" spans="1:179" s="1484" customFormat="1" ht="15" x14ac:dyDescent="0.25">
      <c r="A3365" s="1647"/>
      <c r="B3365" s="1631"/>
      <c r="C3365" s="2801" t="s">
        <v>6121</v>
      </c>
      <c r="D3365" s="2801"/>
      <c r="E3365" s="2801"/>
      <c r="F3365" s="2801"/>
      <c r="G3365" s="2801"/>
      <c r="H3365" s="2801"/>
      <c r="I3365" s="2801"/>
      <c r="J3365" s="2801"/>
      <c r="K3365" s="2801"/>
      <c r="L3365" s="2056">
        <v>127042.68</v>
      </c>
      <c r="M3365" s="2057"/>
      <c r="N3365" s="2058">
        <v>4541775.84</v>
      </c>
      <c r="EW3365" s="2031"/>
      <c r="EX3365" s="1619"/>
      <c r="EY3365" s="1628"/>
      <c r="EZ3365" s="1628"/>
      <c r="FA3365" s="1628"/>
      <c r="FH3365" s="1628"/>
      <c r="FU3365" s="1678"/>
      <c r="FV3365" s="1680" t="s">
        <v>6121</v>
      </c>
      <c r="FW3365" s="1678"/>
    </row>
    <row r="3366" spans="1:179" s="1484" customFormat="1" ht="15" x14ac:dyDescent="0.25">
      <c r="A3366" s="1647"/>
      <c r="B3366" s="1631"/>
      <c r="C3366" s="2801" t="s">
        <v>6122</v>
      </c>
      <c r="D3366" s="2801"/>
      <c r="E3366" s="2801"/>
      <c r="F3366" s="2801"/>
      <c r="G3366" s="2801"/>
      <c r="H3366" s="2801"/>
      <c r="I3366" s="2801"/>
      <c r="J3366" s="2801"/>
      <c r="K3366" s="2801"/>
      <c r="L3366" s="2056">
        <v>2881.53</v>
      </c>
      <c r="M3366" s="2057"/>
      <c r="N3366" s="2058">
        <v>42495.07</v>
      </c>
      <c r="EW3366" s="2031"/>
      <c r="EX3366" s="1619"/>
      <c r="EY3366" s="1628"/>
      <c r="EZ3366" s="1628"/>
      <c r="FA3366" s="1628"/>
      <c r="FH3366" s="1628"/>
      <c r="FU3366" s="1678"/>
      <c r="FV3366" s="1680" t="s">
        <v>6122</v>
      </c>
      <c r="FW3366" s="1678"/>
    </row>
    <row r="3367" spans="1:179" s="1484" customFormat="1" ht="15" x14ac:dyDescent="0.25">
      <c r="A3367" s="1647"/>
      <c r="B3367" s="1631"/>
      <c r="C3367" s="2801" t="s">
        <v>8121</v>
      </c>
      <c r="D3367" s="2801"/>
      <c r="E3367" s="2801"/>
      <c r="F3367" s="2801"/>
      <c r="G3367" s="2801"/>
      <c r="H3367" s="2801"/>
      <c r="I3367" s="2801"/>
      <c r="J3367" s="2801"/>
      <c r="K3367" s="2801"/>
      <c r="L3367" s="1708"/>
      <c r="M3367" s="2057"/>
      <c r="N3367" s="2059"/>
      <c r="EW3367" s="2031"/>
      <c r="EX3367" s="1619"/>
      <c r="EY3367" s="1628"/>
      <c r="EZ3367" s="1628"/>
      <c r="FA3367" s="1628"/>
      <c r="FH3367" s="1628"/>
      <c r="FU3367" s="1678"/>
      <c r="FV3367" s="1680" t="s">
        <v>8121</v>
      </c>
      <c r="FW3367" s="1678"/>
    </row>
    <row r="3368" spans="1:179" s="1484" customFormat="1" ht="15" x14ac:dyDescent="0.25">
      <c r="A3368" s="1647"/>
      <c r="B3368" s="1631"/>
      <c r="C3368" s="2801" t="s">
        <v>8122</v>
      </c>
      <c r="D3368" s="2801"/>
      <c r="E3368" s="2801"/>
      <c r="F3368" s="2801"/>
      <c r="G3368" s="2801"/>
      <c r="H3368" s="2801"/>
      <c r="I3368" s="2801"/>
      <c r="J3368" s="2801"/>
      <c r="K3368" s="2801"/>
      <c r="L3368" s="2056">
        <v>2544.98</v>
      </c>
      <c r="M3368" s="2057"/>
      <c r="N3368" s="2058">
        <v>30463.39</v>
      </c>
      <c r="EW3368" s="2031"/>
      <c r="EX3368" s="1619"/>
      <c r="EY3368" s="1628"/>
      <c r="EZ3368" s="1628"/>
      <c r="FA3368" s="1628"/>
      <c r="FH3368" s="1628"/>
      <c r="FU3368" s="1678"/>
      <c r="FV3368" s="1680" t="s">
        <v>8122</v>
      </c>
      <c r="FW3368" s="1678"/>
    </row>
    <row r="3369" spans="1:179" s="1484" customFormat="1" ht="15" x14ac:dyDescent="0.25">
      <c r="A3369" s="1647"/>
      <c r="B3369" s="1631"/>
      <c r="C3369" s="2801" t="s">
        <v>8123</v>
      </c>
      <c r="D3369" s="2801"/>
      <c r="E3369" s="2801"/>
      <c r="F3369" s="2801"/>
      <c r="G3369" s="2801"/>
      <c r="H3369" s="2801"/>
      <c r="I3369" s="2801"/>
      <c r="J3369" s="2801"/>
      <c r="K3369" s="2801"/>
      <c r="L3369" s="2056">
        <v>1346.28</v>
      </c>
      <c r="M3369" s="2057"/>
      <c r="N3369" s="2058">
        <v>48129.54</v>
      </c>
      <c r="EW3369" s="2031"/>
      <c r="EX3369" s="1619"/>
      <c r="EY3369" s="1628"/>
      <c r="EZ3369" s="1628"/>
      <c r="FA3369" s="1628"/>
      <c r="FH3369" s="1628"/>
      <c r="FU3369" s="1678"/>
      <c r="FV3369" s="1680" t="s">
        <v>8123</v>
      </c>
      <c r="FW3369" s="1678"/>
    </row>
    <row r="3370" spans="1:179" s="1484" customFormat="1" ht="15" x14ac:dyDescent="0.25">
      <c r="A3370" s="1647"/>
      <c r="B3370" s="1631"/>
      <c r="C3370" s="2801" t="s">
        <v>8124</v>
      </c>
      <c r="D3370" s="2801"/>
      <c r="E3370" s="2801"/>
      <c r="F3370" s="2801"/>
      <c r="G3370" s="2801"/>
      <c r="H3370" s="2801"/>
      <c r="I3370" s="2801"/>
      <c r="J3370" s="2801"/>
      <c r="K3370" s="2801"/>
      <c r="L3370" s="2060">
        <v>336.55</v>
      </c>
      <c r="M3370" s="2057"/>
      <c r="N3370" s="2058">
        <v>12031.68</v>
      </c>
      <c r="EW3370" s="2031"/>
      <c r="EX3370" s="1619"/>
      <c r="EY3370" s="1628"/>
      <c r="EZ3370" s="1628"/>
      <c r="FA3370" s="1628"/>
      <c r="FH3370" s="1628"/>
      <c r="FU3370" s="1678"/>
      <c r="FV3370" s="1680" t="s">
        <v>8124</v>
      </c>
      <c r="FW3370" s="1678"/>
    </row>
    <row r="3371" spans="1:179" s="1484" customFormat="1" ht="15" x14ac:dyDescent="0.25">
      <c r="A3371" s="1647"/>
      <c r="B3371" s="1631"/>
      <c r="C3371" s="2801" t="s">
        <v>6124</v>
      </c>
      <c r="D3371" s="2801"/>
      <c r="E3371" s="2801"/>
      <c r="F3371" s="2801"/>
      <c r="G3371" s="2801"/>
      <c r="H3371" s="2801"/>
      <c r="I3371" s="2801"/>
      <c r="J3371" s="2801"/>
      <c r="K3371" s="2801"/>
      <c r="L3371" s="2056">
        <v>259986.21</v>
      </c>
      <c r="M3371" s="2057"/>
      <c r="N3371" s="2058">
        <v>2376273.94</v>
      </c>
      <c r="EW3371" s="2031"/>
      <c r="EX3371" s="1619"/>
      <c r="EY3371" s="1628"/>
      <c r="EZ3371" s="1628"/>
      <c r="FA3371" s="1628"/>
      <c r="FH3371" s="1628"/>
      <c r="FU3371" s="1678"/>
      <c r="FV3371" s="1680" t="s">
        <v>6124</v>
      </c>
      <c r="FW3371" s="1678"/>
    </row>
    <row r="3372" spans="1:179" s="1484" customFormat="1" ht="15" x14ac:dyDescent="0.25">
      <c r="A3372" s="1647"/>
      <c r="B3372" s="1631"/>
      <c r="C3372" s="2801" t="s">
        <v>6125</v>
      </c>
      <c r="D3372" s="2801"/>
      <c r="E3372" s="2801"/>
      <c r="F3372" s="2801"/>
      <c r="G3372" s="2801"/>
      <c r="H3372" s="2801"/>
      <c r="I3372" s="2801"/>
      <c r="J3372" s="2801"/>
      <c r="K3372" s="2801"/>
      <c r="L3372" s="2056">
        <v>128725.51</v>
      </c>
      <c r="M3372" s="2057"/>
      <c r="N3372" s="2058">
        <v>4601937.0599999996</v>
      </c>
      <c r="EW3372" s="2031"/>
      <c r="EX3372" s="1619"/>
      <c r="EY3372" s="1628"/>
      <c r="EZ3372" s="1628"/>
      <c r="FA3372" s="1628"/>
      <c r="FH3372" s="1628"/>
      <c r="FU3372" s="1678"/>
      <c r="FV3372" s="1680" t="s">
        <v>6125</v>
      </c>
      <c r="FW3372" s="1678"/>
    </row>
    <row r="3373" spans="1:179" s="1484" customFormat="1" ht="15" x14ac:dyDescent="0.25">
      <c r="A3373" s="1647"/>
      <c r="B3373" s="1631"/>
      <c r="C3373" s="2801" t="s">
        <v>6126</v>
      </c>
      <c r="D3373" s="2801"/>
      <c r="E3373" s="2801"/>
      <c r="F3373" s="2801"/>
      <c r="G3373" s="2801"/>
      <c r="H3373" s="2801"/>
      <c r="I3373" s="2801"/>
      <c r="J3373" s="2801"/>
      <c r="K3373" s="2801"/>
      <c r="L3373" s="2056">
        <v>63075.5</v>
      </c>
      <c r="M3373" s="2057"/>
      <c r="N3373" s="2058">
        <v>2254949.16</v>
      </c>
      <c r="EW3373" s="2031"/>
      <c r="EX3373" s="1619"/>
      <c r="EY3373" s="1628"/>
      <c r="EZ3373" s="1628"/>
      <c r="FA3373" s="1628"/>
      <c r="FH3373" s="1628"/>
      <c r="FU3373" s="1678"/>
      <c r="FV3373" s="1680" t="s">
        <v>6126</v>
      </c>
      <c r="FW3373" s="1678"/>
    </row>
    <row r="3374" spans="1:179" s="1484" customFormat="1" ht="15" x14ac:dyDescent="0.25">
      <c r="A3374" s="1647"/>
      <c r="B3374" s="1631"/>
      <c r="C3374" s="2801" t="s">
        <v>923</v>
      </c>
      <c r="D3374" s="2801"/>
      <c r="E3374" s="2801"/>
      <c r="F3374" s="2801"/>
      <c r="G3374" s="2801"/>
      <c r="H3374" s="2801"/>
      <c r="I3374" s="2801"/>
      <c r="J3374" s="2801"/>
      <c r="K3374" s="2801"/>
      <c r="L3374" s="2056">
        <v>128725.51</v>
      </c>
      <c r="M3374" s="2057"/>
      <c r="N3374" s="2058">
        <v>4601937.0599999996</v>
      </c>
      <c r="EW3374" s="2031"/>
      <c r="EX3374" s="1619"/>
      <c r="EY3374" s="1628"/>
      <c r="EZ3374" s="1628"/>
      <c r="FA3374" s="1628"/>
      <c r="FH3374" s="1628"/>
      <c r="FU3374" s="1678"/>
      <c r="FV3374" s="1680" t="s">
        <v>923</v>
      </c>
      <c r="FW3374" s="1678"/>
    </row>
    <row r="3375" spans="1:179" s="1484" customFormat="1" ht="15" x14ac:dyDescent="0.25">
      <c r="A3375" s="1647"/>
      <c r="B3375" s="1631"/>
      <c r="C3375" s="2801" t="s">
        <v>924</v>
      </c>
      <c r="D3375" s="2801"/>
      <c r="E3375" s="2801"/>
      <c r="F3375" s="2801"/>
      <c r="G3375" s="2801"/>
      <c r="H3375" s="2801"/>
      <c r="I3375" s="2801"/>
      <c r="J3375" s="2801"/>
      <c r="K3375" s="2801"/>
      <c r="L3375" s="2056">
        <v>128725.51</v>
      </c>
      <c r="M3375" s="2057"/>
      <c r="N3375" s="2058">
        <v>4601937.0599999996</v>
      </c>
      <c r="EW3375" s="2031"/>
      <c r="EX3375" s="1619"/>
      <c r="EY3375" s="1628"/>
      <c r="EZ3375" s="1628"/>
      <c r="FA3375" s="1628"/>
      <c r="FH3375" s="1628"/>
      <c r="FU3375" s="1678"/>
      <c r="FV3375" s="1680" t="s">
        <v>924</v>
      </c>
      <c r="FW3375" s="1678"/>
    </row>
    <row r="3376" spans="1:179" s="1484" customFormat="1" ht="15" x14ac:dyDescent="0.25">
      <c r="A3376" s="1647"/>
      <c r="B3376" s="1631"/>
      <c r="C3376" s="2801" t="s">
        <v>925</v>
      </c>
      <c r="D3376" s="2801"/>
      <c r="E3376" s="2801"/>
      <c r="F3376" s="2801"/>
      <c r="G3376" s="2801"/>
      <c r="H3376" s="2801"/>
      <c r="I3376" s="2801"/>
      <c r="J3376" s="2801"/>
      <c r="K3376" s="2801"/>
      <c r="L3376" s="2056">
        <v>63075.5</v>
      </c>
      <c r="M3376" s="2057"/>
      <c r="N3376" s="2058">
        <v>2254949.16</v>
      </c>
      <c r="EW3376" s="2031"/>
      <c r="EX3376" s="1619"/>
      <c r="EY3376" s="1628"/>
      <c r="EZ3376" s="1628"/>
      <c r="FA3376" s="1628"/>
      <c r="FH3376" s="1628"/>
      <c r="FU3376" s="1678"/>
      <c r="FV3376" s="1680" t="s">
        <v>925</v>
      </c>
      <c r="FW3376" s="1678"/>
    </row>
    <row r="3377" spans="1:180" s="1484" customFormat="1" ht="15" x14ac:dyDescent="0.25">
      <c r="A3377" s="1647"/>
      <c r="B3377" s="1676"/>
      <c r="C3377" s="2802" t="s">
        <v>8537</v>
      </c>
      <c r="D3377" s="2802"/>
      <c r="E3377" s="2802"/>
      <c r="F3377" s="2802"/>
      <c r="G3377" s="2802"/>
      <c r="H3377" s="2802"/>
      <c r="I3377" s="2802"/>
      <c r="J3377" s="2802"/>
      <c r="K3377" s="2802"/>
      <c r="L3377" s="1705">
        <v>581711.43000000005</v>
      </c>
      <c r="M3377" s="2054"/>
      <c r="N3377" s="2066">
        <v>13817431.07</v>
      </c>
      <c r="EW3377" s="2031"/>
      <c r="EX3377" s="1619"/>
      <c r="EY3377" s="1628"/>
      <c r="EZ3377" s="1628"/>
      <c r="FA3377" s="1628"/>
      <c r="FH3377" s="1628"/>
      <c r="FU3377" s="1678"/>
      <c r="FW3377" s="1678" t="s">
        <v>8537</v>
      </c>
    </row>
    <row r="3378" spans="1:180" s="1484" customFormat="1" ht="15" x14ac:dyDescent="0.25">
      <c r="A3378" s="1647"/>
      <c r="B3378" s="1631"/>
      <c r="C3378" s="2801" t="s">
        <v>6094</v>
      </c>
      <c r="D3378" s="2801"/>
      <c r="E3378" s="2801"/>
      <c r="F3378" s="2801"/>
      <c r="G3378" s="2801"/>
      <c r="H3378" s="2801"/>
      <c r="I3378" s="2801"/>
      <c r="J3378" s="2801"/>
      <c r="K3378" s="2801"/>
      <c r="L3378" s="1708"/>
      <c r="M3378" s="2057"/>
      <c r="N3378" s="2059"/>
      <c r="EW3378" s="2031"/>
      <c r="EX3378" s="1619"/>
      <c r="EY3378" s="1628"/>
      <c r="EZ3378" s="1628"/>
      <c r="FA3378" s="1628"/>
      <c r="FH3378" s="1628"/>
      <c r="FU3378" s="1678"/>
      <c r="FV3378" s="1680" t="s">
        <v>6094</v>
      </c>
      <c r="FW3378" s="1678"/>
    </row>
    <row r="3379" spans="1:180" s="1484" customFormat="1" ht="15" x14ac:dyDescent="0.25">
      <c r="A3379" s="1647"/>
      <c r="B3379" s="1631"/>
      <c r="C3379" s="2801" t="s">
        <v>6095</v>
      </c>
      <c r="D3379" s="2801"/>
      <c r="E3379" s="2801"/>
      <c r="F3379" s="2801"/>
      <c r="G3379" s="2801"/>
      <c r="H3379" s="2801"/>
      <c r="I3379" s="1683" t="s">
        <v>8538</v>
      </c>
      <c r="J3379" s="1860"/>
      <c r="K3379" s="1860"/>
      <c r="L3379" s="1708"/>
      <c r="M3379" s="2057"/>
      <c r="N3379" s="2059"/>
      <c r="EW3379" s="2031"/>
      <c r="EX3379" s="1619"/>
      <c r="EY3379" s="1628"/>
      <c r="EZ3379" s="1628"/>
      <c r="FA3379" s="1628"/>
      <c r="FH3379" s="1628"/>
      <c r="FU3379" s="1678"/>
      <c r="FW3379" s="1678"/>
      <c r="FX3379" s="1680" t="s">
        <v>6095</v>
      </c>
    </row>
    <row r="3380" spans="1:180" s="1484" customFormat="1" ht="15" x14ac:dyDescent="0.25">
      <c r="A3380" s="1647"/>
      <c r="B3380" s="1631"/>
      <c r="C3380" s="2801" t="s">
        <v>6096</v>
      </c>
      <c r="D3380" s="2801"/>
      <c r="E3380" s="2801"/>
      <c r="F3380" s="2801"/>
      <c r="G3380" s="2801"/>
      <c r="H3380" s="2801"/>
      <c r="I3380" s="1683" t="s">
        <v>8539</v>
      </c>
      <c r="J3380" s="1860"/>
      <c r="K3380" s="1860"/>
      <c r="L3380" s="1708"/>
      <c r="M3380" s="2057"/>
      <c r="N3380" s="2059"/>
      <c r="EW3380" s="2031"/>
      <c r="EX3380" s="1619"/>
      <c r="EY3380" s="1628"/>
      <c r="EZ3380" s="1628"/>
      <c r="FA3380" s="1628"/>
      <c r="FH3380" s="1628"/>
      <c r="FU3380" s="1678"/>
      <c r="FW3380" s="1678"/>
      <c r="FX3380" s="1680" t="s">
        <v>6096</v>
      </c>
    </row>
    <row r="3381" spans="1:180" s="1484" customFormat="1" ht="15" x14ac:dyDescent="0.25">
      <c r="A3381" s="2918" t="s">
        <v>8540</v>
      </c>
      <c r="B3381" s="2919"/>
      <c r="C3381" s="2919"/>
      <c r="D3381" s="2919"/>
      <c r="E3381" s="2919"/>
      <c r="F3381" s="2919"/>
      <c r="G3381" s="2919"/>
      <c r="H3381" s="2919"/>
      <c r="I3381" s="2919"/>
      <c r="J3381" s="2919"/>
      <c r="K3381" s="2919"/>
      <c r="L3381" s="2919"/>
      <c r="M3381" s="2919"/>
      <c r="N3381" s="2920"/>
      <c r="EW3381" s="2031" t="s">
        <v>8540</v>
      </c>
      <c r="EX3381" s="1619"/>
      <c r="EY3381" s="1628"/>
      <c r="EZ3381" s="1628"/>
      <c r="FA3381" s="1628"/>
      <c r="FH3381" s="1628"/>
      <c r="FU3381" s="1678"/>
      <c r="FW3381" s="1678"/>
    </row>
    <row r="3382" spans="1:180" s="1484" customFormat="1" ht="15" x14ac:dyDescent="0.25">
      <c r="A3382" s="2811" t="s">
        <v>8541</v>
      </c>
      <c r="B3382" s="2812"/>
      <c r="C3382" s="2812"/>
      <c r="D3382" s="2812"/>
      <c r="E3382" s="2812"/>
      <c r="F3382" s="2812"/>
      <c r="G3382" s="2812"/>
      <c r="H3382" s="2812"/>
      <c r="I3382" s="2812"/>
      <c r="J3382" s="2812"/>
      <c r="K3382" s="2812"/>
      <c r="L3382" s="2812"/>
      <c r="M3382" s="2812"/>
      <c r="N3382" s="2813"/>
      <c r="EW3382" s="2031"/>
      <c r="EX3382" s="1619" t="s">
        <v>8541</v>
      </c>
      <c r="EY3382" s="1628"/>
      <c r="EZ3382" s="1628"/>
      <c r="FA3382" s="1628"/>
      <c r="FH3382" s="1628"/>
      <c r="FU3382" s="1678"/>
      <c r="FW3382" s="1678"/>
    </row>
    <row r="3383" spans="1:180" s="1484" customFormat="1" ht="33.75" x14ac:dyDescent="0.25">
      <c r="A3383" s="1620" t="s">
        <v>8542</v>
      </c>
      <c r="B3383" s="1863" t="s">
        <v>8543</v>
      </c>
      <c r="C3383" s="2803" t="s">
        <v>8544</v>
      </c>
      <c r="D3383" s="2803"/>
      <c r="E3383" s="2803"/>
      <c r="F3383" s="1621" t="s">
        <v>2555</v>
      </c>
      <c r="G3383" s="1622">
        <v>5.3999999999999999E-2</v>
      </c>
      <c r="H3383" s="1623">
        <v>1</v>
      </c>
      <c r="I3383" s="2045">
        <v>5.3999999999999999E-2</v>
      </c>
      <c r="J3383" s="1625"/>
      <c r="K3383" s="1622"/>
      <c r="L3383" s="1625"/>
      <c r="M3383" s="1622"/>
      <c r="N3383" s="1627"/>
      <c r="EW3383" s="2031"/>
      <c r="EX3383" s="1619"/>
      <c r="EY3383" s="1628" t="s">
        <v>8544</v>
      </c>
      <c r="EZ3383" s="1628" t="s">
        <v>588</v>
      </c>
      <c r="FA3383" s="1628" t="s">
        <v>588</v>
      </c>
      <c r="FH3383" s="1628"/>
      <c r="FU3383" s="1678"/>
      <c r="FW3383" s="1678"/>
    </row>
    <row r="3384" spans="1:180" s="1484" customFormat="1" ht="15" x14ac:dyDescent="0.25">
      <c r="A3384" s="1629"/>
      <c r="B3384" s="1862"/>
      <c r="C3384" s="2805" t="s">
        <v>8688</v>
      </c>
      <c r="D3384" s="2805"/>
      <c r="E3384" s="2805"/>
      <c r="F3384" s="2805"/>
      <c r="G3384" s="2805"/>
      <c r="H3384" s="2805"/>
      <c r="I3384" s="2805"/>
      <c r="J3384" s="2805"/>
      <c r="K3384" s="2805"/>
      <c r="L3384" s="2805"/>
      <c r="M3384" s="2805"/>
      <c r="N3384" s="2806"/>
      <c r="EW3384" s="2031"/>
      <c r="EX3384" s="1619"/>
      <c r="EY3384" s="1628"/>
      <c r="EZ3384" s="1628"/>
      <c r="FA3384" s="1628"/>
      <c r="FB3384" s="1864" t="s">
        <v>8688</v>
      </c>
      <c r="FH3384" s="1628"/>
      <c r="FU3384" s="1678"/>
      <c r="FW3384" s="1678"/>
    </row>
    <row r="3385" spans="1:180" s="1484" customFormat="1" ht="22.5" x14ac:dyDescent="0.25">
      <c r="A3385" s="1630"/>
      <c r="B3385" s="1631" t="s">
        <v>6062</v>
      </c>
      <c r="C3385" s="2809" t="s">
        <v>6063</v>
      </c>
      <c r="D3385" s="2809"/>
      <c r="E3385" s="2809"/>
      <c r="F3385" s="2809"/>
      <c r="G3385" s="2809"/>
      <c r="H3385" s="2809"/>
      <c r="I3385" s="2809"/>
      <c r="J3385" s="2809"/>
      <c r="K3385" s="2809"/>
      <c r="L3385" s="2809"/>
      <c r="M3385" s="2809"/>
      <c r="N3385" s="2810"/>
      <c r="EW3385" s="2031"/>
      <c r="EX3385" s="1619"/>
      <c r="EY3385" s="1628"/>
      <c r="EZ3385" s="1628"/>
      <c r="FA3385" s="1628"/>
      <c r="FC3385" s="1864" t="s">
        <v>6063</v>
      </c>
      <c r="FH3385" s="1628"/>
      <c r="FU3385" s="1678"/>
      <c r="FW3385" s="1678"/>
    </row>
    <row r="3386" spans="1:180" s="1484" customFormat="1" ht="22.5" x14ac:dyDescent="0.25">
      <c r="A3386" s="2033"/>
      <c r="B3386" s="1631" t="s">
        <v>8687</v>
      </c>
      <c r="C3386" s="2805" t="s">
        <v>8686</v>
      </c>
      <c r="D3386" s="2805"/>
      <c r="E3386" s="2805"/>
      <c r="F3386" s="1683" t="s">
        <v>807</v>
      </c>
      <c r="G3386" s="1655">
        <v>177.42</v>
      </c>
      <c r="H3386" s="1641"/>
      <c r="I3386" s="2042">
        <v>9.5806799999999992</v>
      </c>
      <c r="J3386" s="1654">
        <v>9.51</v>
      </c>
      <c r="K3386" s="1655">
        <v>1.25</v>
      </c>
      <c r="L3386" s="1654">
        <v>113.89</v>
      </c>
      <c r="M3386" s="1641"/>
      <c r="N3386" s="1681"/>
      <c r="EW3386" s="2031"/>
      <c r="EX3386" s="1619"/>
      <c r="EY3386" s="1628"/>
      <c r="EZ3386" s="1628"/>
      <c r="FA3386" s="1628"/>
      <c r="FD3386" s="1864" t="s">
        <v>8686</v>
      </c>
      <c r="FH3386" s="1628"/>
      <c r="FU3386" s="1678"/>
      <c r="FW3386" s="1678"/>
    </row>
    <row r="3387" spans="1:180" s="1484" customFormat="1" ht="22.5" x14ac:dyDescent="0.25">
      <c r="A3387" s="2033"/>
      <c r="B3387" s="1631" t="s">
        <v>817</v>
      </c>
      <c r="C3387" s="2805" t="s">
        <v>818</v>
      </c>
      <c r="D3387" s="2805"/>
      <c r="E3387" s="2805"/>
      <c r="F3387" s="1683" t="s">
        <v>4994</v>
      </c>
      <c r="G3387" s="1655">
        <v>0.23</v>
      </c>
      <c r="H3387" s="1641"/>
      <c r="I3387" s="2042">
        <v>1.242E-2</v>
      </c>
      <c r="J3387" s="1654">
        <v>115.4</v>
      </c>
      <c r="K3387" s="1641"/>
      <c r="L3387" s="1654">
        <v>1.43</v>
      </c>
      <c r="M3387" s="1641"/>
      <c r="N3387" s="1681"/>
      <c r="EW3387" s="2031"/>
      <c r="EX3387" s="1619"/>
      <c r="EY3387" s="1628"/>
      <c r="EZ3387" s="1628"/>
      <c r="FA3387" s="1628"/>
      <c r="FD3387" s="1864" t="s">
        <v>818</v>
      </c>
      <c r="FH3387" s="1628"/>
      <c r="FU3387" s="1678"/>
      <c r="FW3387" s="1678"/>
    </row>
    <row r="3388" spans="1:180" s="1484" customFormat="1" ht="22.5" x14ac:dyDescent="0.25">
      <c r="A3388" s="2033"/>
      <c r="B3388" s="1631" t="s">
        <v>5010</v>
      </c>
      <c r="C3388" s="2805" t="s">
        <v>5011</v>
      </c>
      <c r="D3388" s="2805"/>
      <c r="E3388" s="2805"/>
      <c r="F3388" s="1683" t="s">
        <v>4994</v>
      </c>
      <c r="G3388" s="1655">
        <v>0.57999999999999996</v>
      </c>
      <c r="H3388" s="1641"/>
      <c r="I3388" s="2042">
        <v>3.1320000000000001E-2</v>
      </c>
      <c r="J3388" s="1654">
        <v>31.26</v>
      </c>
      <c r="K3388" s="1641"/>
      <c r="L3388" s="1654">
        <v>0.98</v>
      </c>
      <c r="M3388" s="1641"/>
      <c r="N3388" s="1681"/>
      <c r="EW3388" s="2031"/>
      <c r="EX3388" s="1619"/>
      <c r="EY3388" s="1628"/>
      <c r="EZ3388" s="1628"/>
      <c r="FA3388" s="1628"/>
      <c r="FD3388" s="1864" t="s">
        <v>5011</v>
      </c>
      <c r="FH3388" s="1628"/>
      <c r="FU3388" s="1678"/>
      <c r="FW3388" s="1678"/>
    </row>
    <row r="3389" spans="1:180" s="1484" customFormat="1" ht="15" x14ac:dyDescent="0.25">
      <c r="A3389" s="2033"/>
      <c r="B3389" s="1631" t="s">
        <v>821</v>
      </c>
      <c r="C3389" s="2805" t="s">
        <v>822</v>
      </c>
      <c r="D3389" s="2805"/>
      <c r="E3389" s="2805"/>
      <c r="F3389" s="1683" t="s">
        <v>4994</v>
      </c>
      <c r="G3389" s="1953">
        <v>0.3</v>
      </c>
      <c r="H3389" s="1641"/>
      <c r="I3389" s="2035">
        <v>1.6199999999999999E-2</v>
      </c>
      <c r="J3389" s="1654">
        <v>65.709999999999994</v>
      </c>
      <c r="K3389" s="1641"/>
      <c r="L3389" s="1654">
        <v>1.06</v>
      </c>
      <c r="M3389" s="1641"/>
      <c r="N3389" s="1681"/>
      <c r="EW3389" s="2031"/>
      <c r="EX3389" s="1619"/>
      <c r="EY3389" s="1628"/>
      <c r="EZ3389" s="1628"/>
      <c r="FA3389" s="1628"/>
      <c r="FD3389" s="1864" t="s">
        <v>822</v>
      </c>
      <c r="FH3389" s="1628"/>
      <c r="FU3389" s="1678"/>
      <c r="FW3389" s="1678"/>
    </row>
    <row r="3390" spans="1:180" s="1484" customFormat="1" ht="15" x14ac:dyDescent="0.25">
      <c r="A3390" s="2033"/>
      <c r="B3390" s="1631" t="s">
        <v>836</v>
      </c>
      <c r="C3390" s="2805" t="s">
        <v>837</v>
      </c>
      <c r="D3390" s="2805"/>
      <c r="E3390" s="2805"/>
      <c r="F3390" s="1683" t="s">
        <v>838</v>
      </c>
      <c r="G3390" s="1655">
        <v>12.18</v>
      </c>
      <c r="H3390" s="1641"/>
      <c r="I3390" s="2042">
        <v>0.65771999999999997</v>
      </c>
      <c r="J3390" s="1654">
        <v>0.4</v>
      </c>
      <c r="K3390" s="1641"/>
      <c r="L3390" s="1654">
        <v>0.26</v>
      </c>
      <c r="M3390" s="1641"/>
      <c r="N3390" s="1681"/>
      <c r="EW3390" s="2031"/>
      <c r="EX3390" s="1619"/>
      <c r="EY3390" s="1628"/>
      <c r="EZ3390" s="1628"/>
      <c r="FA3390" s="1628"/>
      <c r="FD3390" s="1864" t="s">
        <v>837</v>
      </c>
      <c r="FH3390" s="1628"/>
      <c r="FU3390" s="1678"/>
      <c r="FW3390" s="1678"/>
    </row>
    <row r="3391" spans="1:180" s="1484" customFormat="1" ht="15" x14ac:dyDescent="0.25">
      <c r="A3391" s="2033"/>
      <c r="B3391" s="1631" t="s">
        <v>8645</v>
      </c>
      <c r="C3391" s="2805" t="s">
        <v>8644</v>
      </c>
      <c r="D3391" s="2805"/>
      <c r="E3391" s="2805"/>
      <c r="F3391" s="1683" t="s">
        <v>2647</v>
      </c>
      <c r="G3391" s="1655">
        <v>355.68</v>
      </c>
      <c r="H3391" s="1641"/>
      <c r="I3391" s="2042">
        <v>19.206720000000001</v>
      </c>
      <c r="J3391" s="1654">
        <v>7.95</v>
      </c>
      <c r="K3391" s="1641"/>
      <c r="L3391" s="1654">
        <v>152.69</v>
      </c>
      <c r="M3391" s="1641"/>
      <c r="N3391" s="1681"/>
      <c r="EW3391" s="2031"/>
      <c r="EX3391" s="1619"/>
      <c r="EY3391" s="1628"/>
      <c r="EZ3391" s="1628"/>
      <c r="FA3391" s="1628"/>
      <c r="FD3391" s="1864" t="s">
        <v>8644</v>
      </c>
      <c r="FH3391" s="1628"/>
      <c r="FU3391" s="1678"/>
      <c r="FW3391" s="1678"/>
    </row>
    <row r="3392" spans="1:180" s="1484" customFormat="1" ht="15" x14ac:dyDescent="0.25">
      <c r="A3392" s="2033"/>
      <c r="B3392" s="1631" t="s">
        <v>4892</v>
      </c>
      <c r="C3392" s="2805" t="s">
        <v>8633</v>
      </c>
      <c r="D3392" s="2805"/>
      <c r="E3392" s="2805"/>
      <c r="F3392" s="1683" t="s">
        <v>849</v>
      </c>
      <c r="G3392" s="1655">
        <v>35.57</v>
      </c>
      <c r="H3392" s="1641"/>
      <c r="I3392" s="2042">
        <v>1.9207799999999999</v>
      </c>
      <c r="J3392" s="1654">
        <v>64.099999999999994</v>
      </c>
      <c r="K3392" s="1641"/>
      <c r="L3392" s="1654">
        <v>123.12</v>
      </c>
      <c r="M3392" s="1641"/>
      <c r="N3392" s="1681"/>
      <c r="EW3392" s="2031"/>
      <c r="EX3392" s="1619"/>
      <c r="EY3392" s="1628"/>
      <c r="EZ3392" s="1628"/>
      <c r="FA3392" s="1628"/>
      <c r="FD3392" s="1864" t="s">
        <v>8633</v>
      </c>
      <c r="FH3392" s="1628"/>
      <c r="FU3392" s="1678"/>
      <c r="FW3392" s="1678"/>
    </row>
    <row r="3393" spans="1:179" s="1484" customFormat="1" ht="15" x14ac:dyDescent="0.25">
      <c r="A3393" s="2033"/>
      <c r="B3393" s="1631" t="s">
        <v>8685</v>
      </c>
      <c r="C3393" s="2805" t="s">
        <v>8684</v>
      </c>
      <c r="D3393" s="2805"/>
      <c r="E3393" s="2805"/>
      <c r="F3393" s="1683" t="s">
        <v>835</v>
      </c>
      <c r="G3393" s="1655">
        <v>11.04</v>
      </c>
      <c r="H3393" s="1641"/>
      <c r="I3393" s="2042">
        <v>0.59616000000000002</v>
      </c>
      <c r="J3393" s="1654">
        <v>75</v>
      </c>
      <c r="K3393" s="1641"/>
      <c r="L3393" s="1654">
        <v>44.71</v>
      </c>
      <c r="M3393" s="1641"/>
      <c r="N3393" s="1681"/>
      <c r="EW3393" s="2031"/>
      <c r="EX3393" s="1619"/>
      <c r="EY3393" s="1628"/>
      <c r="EZ3393" s="1628"/>
      <c r="FA3393" s="1628"/>
      <c r="FD3393" s="1864" t="s">
        <v>8684</v>
      </c>
      <c r="FH3393" s="1628"/>
      <c r="FU3393" s="1678"/>
      <c r="FW3393" s="1678"/>
    </row>
    <row r="3394" spans="1:179" s="1484" customFormat="1" ht="15" x14ac:dyDescent="0.25">
      <c r="A3394" s="2033"/>
      <c r="B3394" s="1631" t="s">
        <v>8642</v>
      </c>
      <c r="C3394" s="2805" t="s">
        <v>8641</v>
      </c>
      <c r="D3394" s="2805"/>
      <c r="E3394" s="2805"/>
      <c r="F3394" s="1683" t="s">
        <v>4868</v>
      </c>
      <c r="G3394" s="1655">
        <v>44.97</v>
      </c>
      <c r="H3394" s="1641"/>
      <c r="I3394" s="2042">
        <v>2.4283800000000002</v>
      </c>
      <c r="J3394" s="1654">
        <v>46.86</v>
      </c>
      <c r="K3394" s="1641"/>
      <c r="L3394" s="1654">
        <v>113.79</v>
      </c>
      <c r="M3394" s="1641"/>
      <c r="N3394" s="1681"/>
      <c r="EW3394" s="2031"/>
      <c r="EX3394" s="1619"/>
      <c r="EY3394" s="1628"/>
      <c r="EZ3394" s="1628"/>
      <c r="FA3394" s="1628"/>
      <c r="FD3394" s="1864" t="s">
        <v>8641</v>
      </c>
      <c r="FH3394" s="1628"/>
      <c r="FU3394" s="1678"/>
      <c r="FW3394" s="1678"/>
    </row>
    <row r="3395" spans="1:179" s="1484" customFormat="1" ht="15" x14ac:dyDescent="0.25">
      <c r="A3395" s="2032"/>
      <c r="B3395" s="1631" t="s">
        <v>190</v>
      </c>
      <c r="C3395" s="2805" t="s">
        <v>2523</v>
      </c>
      <c r="D3395" s="2805"/>
      <c r="E3395" s="2805"/>
      <c r="F3395" s="1683"/>
      <c r="G3395" s="1641"/>
      <c r="H3395" s="1641"/>
      <c r="I3395" s="1641"/>
      <c r="J3395" s="1657">
        <v>1687.26</v>
      </c>
      <c r="K3395" s="1655">
        <v>1.25</v>
      </c>
      <c r="L3395" s="1654">
        <v>113.89</v>
      </c>
      <c r="M3395" s="1655">
        <v>35.75</v>
      </c>
      <c r="N3395" s="1679">
        <v>4071.57</v>
      </c>
      <c r="EW3395" s="2031"/>
      <c r="EX3395" s="1619"/>
      <c r="EY3395" s="1628"/>
      <c r="EZ3395" s="1628"/>
      <c r="FA3395" s="1628"/>
      <c r="FE3395" s="1864" t="s">
        <v>2523</v>
      </c>
      <c r="FH3395" s="1628"/>
      <c r="FU3395" s="1678"/>
      <c r="FW3395" s="1678"/>
    </row>
    <row r="3396" spans="1:179" s="1484" customFormat="1" ht="15" x14ac:dyDescent="0.25">
      <c r="A3396" s="2032"/>
      <c r="B3396" s="1631" t="s">
        <v>639</v>
      </c>
      <c r="C3396" s="2805" t="s">
        <v>697</v>
      </c>
      <c r="D3396" s="2805"/>
      <c r="E3396" s="2805"/>
      <c r="F3396" s="1683"/>
      <c r="G3396" s="1641"/>
      <c r="H3396" s="1641"/>
      <c r="I3396" s="1641"/>
      <c r="J3396" s="1654">
        <v>64.38</v>
      </c>
      <c r="K3396" s="1641"/>
      <c r="L3396" s="1654">
        <v>3.48</v>
      </c>
      <c r="M3396" s="1655">
        <v>11.97</v>
      </c>
      <c r="N3396" s="2039">
        <v>41.66</v>
      </c>
      <c r="EW3396" s="2031"/>
      <c r="EX3396" s="1619"/>
      <c r="EY3396" s="1628"/>
      <c r="EZ3396" s="1628"/>
      <c r="FA3396" s="1628"/>
      <c r="FE3396" s="1864" t="s">
        <v>697</v>
      </c>
      <c r="FH3396" s="1628"/>
      <c r="FU3396" s="1678"/>
      <c r="FW3396" s="1678"/>
    </row>
    <row r="3397" spans="1:179" s="1484" customFormat="1" ht="15" x14ac:dyDescent="0.25">
      <c r="A3397" s="2032"/>
      <c r="B3397" s="1631" t="s">
        <v>640</v>
      </c>
      <c r="C3397" s="2805" t="s">
        <v>2500</v>
      </c>
      <c r="D3397" s="2805"/>
      <c r="E3397" s="2805"/>
      <c r="F3397" s="1683"/>
      <c r="G3397" s="1641"/>
      <c r="H3397" s="1641"/>
      <c r="I3397" s="1641"/>
      <c r="J3397" s="1654">
        <v>14.42</v>
      </c>
      <c r="K3397" s="1641"/>
      <c r="L3397" s="1654">
        <v>0.78</v>
      </c>
      <c r="M3397" s="1655">
        <v>35.75</v>
      </c>
      <c r="N3397" s="2039">
        <v>27.89</v>
      </c>
      <c r="EW3397" s="2031"/>
      <c r="EX3397" s="1619"/>
      <c r="EY3397" s="1628"/>
      <c r="EZ3397" s="1628"/>
      <c r="FA3397" s="1628"/>
      <c r="FE3397" s="1864" t="s">
        <v>2500</v>
      </c>
      <c r="FH3397" s="1628"/>
      <c r="FU3397" s="1678"/>
      <c r="FW3397" s="1678"/>
    </row>
    <row r="3398" spans="1:179" s="1484" customFormat="1" ht="15" x14ac:dyDescent="0.25">
      <c r="A3398" s="2032"/>
      <c r="B3398" s="1631" t="s">
        <v>232</v>
      </c>
      <c r="C3398" s="2805" t="s">
        <v>829</v>
      </c>
      <c r="D3398" s="2805"/>
      <c r="E3398" s="2805"/>
      <c r="F3398" s="1683"/>
      <c r="G3398" s="1641"/>
      <c r="H3398" s="1641"/>
      <c r="I3398" s="1641"/>
      <c r="J3398" s="1657">
        <v>8047.86</v>
      </c>
      <c r="K3398" s="1641"/>
      <c r="L3398" s="1654">
        <v>434.58</v>
      </c>
      <c r="M3398" s="1655">
        <v>9.14</v>
      </c>
      <c r="N3398" s="1679">
        <v>3972.06</v>
      </c>
      <c r="EW3398" s="2031"/>
      <c r="EX3398" s="1619"/>
      <c r="EY3398" s="1628"/>
      <c r="EZ3398" s="1628"/>
      <c r="FA3398" s="1628"/>
      <c r="FE3398" s="1864" t="s">
        <v>829</v>
      </c>
      <c r="FH3398" s="1628"/>
      <c r="FU3398" s="1678"/>
      <c r="FW3398" s="1678"/>
    </row>
    <row r="3399" spans="1:179" s="1484" customFormat="1" ht="15" x14ac:dyDescent="0.25">
      <c r="A3399" s="2033"/>
      <c r="B3399" s="1631"/>
      <c r="C3399" s="2805" t="s">
        <v>2524</v>
      </c>
      <c r="D3399" s="2805"/>
      <c r="E3399" s="2805"/>
      <c r="F3399" s="1683" t="s">
        <v>807</v>
      </c>
      <c r="G3399" s="1655">
        <v>177.42</v>
      </c>
      <c r="H3399" s="1641"/>
      <c r="I3399" s="2042">
        <v>9.5806799999999992</v>
      </c>
      <c r="J3399" s="1640"/>
      <c r="K3399" s="1641"/>
      <c r="L3399" s="1640"/>
      <c r="M3399" s="1641"/>
      <c r="N3399" s="1681"/>
      <c r="EW3399" s="2031"/>
      <c r="EX3399" s="1619"/>
      <c r="EY3399" s="1628"/>
      <c r="EZ3399" s="1628"/>
      <c r="FA3399" s="1628"/>
      <c r="FF3399" s="1864" t="s">
        <v>2524</v>
      </c>
      <c r="FH3399" s="1628"/>
      <c r="FU3399" s="1678"/>
      <c r="FW3399" s="1678"/>
    </row>
    <row r="3400" spans="1:179" s="1484" customFormat="1" ht="15" x14ac:dyDescent="0.25">
      <c r="A3400" s="2033"/>
      <c r="B3400" s="1631"/>
      <c r="C3400" s="2805" t="s">
        <v>2501</v>
      </c>
      <c r="D3400" s="2805"/>
      <c r="E3400" s="2805"/>
      <c r="F3400" s="1683" t="s">
        <v>807</v>
      </c>
      <c r="G3400" s="1655">
        <v>1.1100000000000001</v>
      </c>
      <c r="H3400" s="1641"/>
      <c r="I3400" s="2042">
        <v>5.994E-2</v>
      </c>
      <c r="J3400" s="1640"/>
      <c r="K3400" s="1641"/>
      <c r="L3400" s="1640"/>
      <c r="M3400" s="1641"/>
      <c r="N3400" s="1681"/>
      <c r="EW3400" s="2031"/>
      <c r="EX3400" s="1619"/>
      <c r="EY3400" s="1628"/>
      <c r="EZ3400" s="1628"/>
      <c r="FA3400" s="1628"/>
      <c r="FF3400" s="1864" t="s">
        <v>2501</v>
      </c>
      <c r="FH3400" s="1628"/>
      <c r="FU3400" s="1678"/>
      <c r="FW3400" s="1678"/>
    </row>
    <row r="3401" spans="1:179" s="1484" customFormat="1" ht="15" x14ac:dyDescent="0.25">
      <c r="A3401" s="2032"/>
      <c r="B3401" s="1631"/>
      <c r="C3401" s="2917" t="s">
        <v>2502</v>
      </c>
      <c r="D3401" s="2917"/>
      <c r="E3401" s="2917"/>
      <c r="F3401" s="2036"/>
      <c r="G3401" s="2037"/>
      <c r="H3401" s="2037"/>
      <c r="I3401" s="2037"/>
      <c r="J3401" s="2038">
        <v>9799.5</v>
      </c>
      <c r="K3401" s="2037"/>
      <c r="L3401" s="2044">
        <v>551.95000000000005</v>
      </c>
      <c r="M3401" s="2037"/>
      <c r="N3401" s="2068">
        <v>8085.29</v>
      </c>
      <c r="EW3401" s="2031"/>
      <c r="EX3401" s="1619"/>
      <c r="EY3401" s="1628"/>
      <c r="EZ3401" s="1628"/>
      <c r="FA3401" s="1628"/>
      <c r="FG3401" s="1864" t="s">
        <v>2502</v>
      </c>
      <c r="FH3401" s="1628"/>
      <c r="FU3401" s="1678"/>
      <c r="FW3401" s="1678"/>
    </row>
    <row r="3402" spans="1:179" s="1484" customFormat="1" ht="15" x14ac:dyDescent="0.25">
      <c r="A3402" s="2033" t="s">
        <v>8545</v>
      </c>
      <c r="B3402" s="1631"/>
      <c r="C3402" s="2805" t="s">
        <v>7964</v>
      </c>
      <c r="D3402" s="2805"/>
      <c r="E3402" s="2805"/>
      <c r="F3402" s="1683" t="s">
        <v>5928</v>
      </c>
      <c r="G3402" s="1641"/>
      <c r="H3402" s="1641"/>
      <c r="I3402" s="1641"/>
      <c r="J3402" s="1640"/>
      <c r="K3402" s="1641"/>
      <c r="L3402" s="1654">
        <v>0.19</v>
      </c>
      <c r="M3402" s="1641"/>
      <c r="N3402" s="2039">
        <v>6.79</v>
      </c>
      <c r="EW3402" s="2031"/>
      <c r="EX3402" s="1619"/>
      <c r="EY3402" s="1628"/>
      <c r="EZ3402" s="1628"/>
      <c r="FA3402" s="1628"/>
      <c r="FF3402" s="1864" t="s">
        <v>7964</v>
      </c>
      <c r="FH3402" s="1628"/>
      <c r="FU3402" s="1678"/>
      <c r="FW3402" s="1678"/>
    </row>
    <row r="3403" spans="1:179" s="1484" customFormat="1" ht="15" x14ac:dyDescent="0.25">
      <c r="A3403" s="2033"/>
      <c r="B3403" s="1631"/>
      <c r="C3403" s="2805" t="s">
        <v>7965</v>
      </c>
      <c r="D3403" s="2805"/>
      <c r="E3403" s="2805"/>
      <c r="F3403" s="1683" t="s">
        <v>5928</v>
      </c>
      <c r="G3403" s="1641"/>
      <c r="H3403" s="1641"/>
      <c r="I3403" s="1641"/>
      <c r="J3403" s="1654">
        <v>14.42</v>
      </c>
      <c r="K3403" s="1655">
        <v>0.25</v>
      </c>
      <c r="L3403" s="1654">
        <v>0.19</v>
      </c>
      <c r="M3403" s="1655">
        <v>35.75</v>
      </c>
      <c r="N3403" s="2039">
        <v>6.79</v>
      </c>
      <c r="EW3403" s="2031"/>
      <c r="EX3403" s="1619"/>
      <c r="EY3403" s="1628"/>
      <c r="EZ3403" s="1628"/>
      <c r="FA3403" s="1628"/>
      <c r="FF3403" s="1864" t="s">
        <v>7965</v>
      </c>
      <c r="FH3403" s="1628"/>
      <c r="FU3403" s="1678"/>
      <c r="FW3403" s="1678"/>
    </row>
    <row r="3404" spans="1:179" s="1484" customFormat="1" ht="15" x14ac:dyDescent="0.25">
      <c r="A3404" s="2033"/>
      <c r="B3404" s="1631"/>
      <c r="C3404" s="2805" t="s">
        <v>867</v>
      </c>
      <c r="D3404" s="2805"/>
      <c r="E3404" s="2805"/>
      <c r="F3404" s="1683"/>
      <c r="G3404" s="1641"/>
      <c r="H3404" s="1641"/>
      <c r="I3404" s="1641"/>
      <c r="J3404" s="1640"/>
      <c r="K3404" s="1641"/>
      <c r="L3404" s="1654">
        <v>114.86</v>
      </c>
      <c r="M3404" s="1641"/>
      <c r="N3404" s="1679">
        <v>4106.25</v>
      </c>
      <c r="EW3404" s="2031"/>
      <c r="EX3404" s="1619"/>
      <c r="EY3404" s="1628"/>
      <c r="EZ3404" s="1628"/>
      <c r="FA3404" s="1628"/>
      <c r="FF3404" s="1864" t="s">
        <v>867</v>
      </c>
      <c r="FH3404" s="1628"/>
      <c r="FU3404" s="1678"/>
      <c r="FW3404" s="1678"/>
    </row>
    <row r="3405" spans="1:179" s="1484" customFormat="1" ht="15" x14ac:dyDescent="0.25">
      <c r="A3405" s="2033"/>
      <c r="B3405" s="1631" t="s">
        <v>868</v>
      </c>
      <c r="C3405" s="2805" t="s">
        <v>869</v>
      </c>
      <c r="D3405" s="2805"/>
      <c r="E3405" s="2805"/>
      <c r="F3405" s="1683" t="s">
        <v>636</v>
      </c>
      <c r="G3405" s="2034">
        <v>93</v>
      </c>
      <c r="H3405" s="1641"/>
      <c r="I3405" s="2034">
        <v>93</v>
      </c>
      <c r="J3405" s="1640"/>
      <c r="K3405" s="1641"/>
      <c r="L3405" s="1654">
        <v>106.82</v>
      </c>
      <c r="M3405" s="1641"/>
      <c r="N3405" s="1679">
        <v>3818.81</v>
      </c>
      <c r="EW3405" s="2031"/>
      <c r="EX3405" s="1619"/>
      <c r="EY3405" s="1628"/>
      <c r="EZ3405" s="1628"/>
      <c r="FA3405" s="1628"/>
      <c r="FF3405" s="1864" t="s">
        <v>869</v>
      </c>
      <c r="FH3405" s="1628"/>
      <c r="FU3405" s="1678"/>
      <c r="FW3405" s="1678"/>
    </row>
    <row r="3406" spans="1:179" s="1484" customFormat="1" ht="15" x14ac:dyDescent="0.25">
      <c r="A3406" s="2033"/>
      <c r="B3406" s="1631" t="s">
        <v>8087</v>
      </c>
      <c r="C3406" s="2805" t="s">
        <v>871</v>
      </c>
      <c r="D3406" s="2805"/>
      <c r="E3406" s="2805"/>
      <c r="F3406" s="1683" t="s">
        <v>636</v>
      </c>
      <c r="G3406" s="2034">
        <v>62</v>
      </c>
      <c r="H3406" s="1641"/>
      <c r="I3406" s="2034">
        <v>62</v>
      </c>
      <c r="J3406" s="1640"/>
      <c r="K3406" s="1641"/>
      <c r="L3406" s="1654">
        <v>71.209999999999994</v>
      </c>
      <c r="M3406" s="1641"/>
      <c r="N3406" s="1679">
        <v>2545.88</v>
      </c>
      <c r="EW3406" s="2031"/>
      <c r="EX3406" s="1619"/>
      <c r="EY3406" s="1628"/>
      <c r="EZ3406" s="1628"/>
      <c r="FA3406" s="1628"/>
      <c r="FF3406" s="1864" t="s">
        <v>871</v>
      </c>
      <c r="FH3406" s="1628"/>
      <c r="FU3406" s="1678"/>
      <c r="FW3406" s="1678"/>
    </row>
    <row r="3407" spans="1:179" s="1484" customFormat="1" ht="15" x14ac:dyDescent="0.25">
      <c r="A3407" s="1650"/>
      <c r="B3407" s="1651"/>
      <c r="C3407" s="2803" t="s">
        <v>872</v>
      </c>
      <c r="D3407" s="2803"/>
      <c r="E3407" s="2803"/>
      <c r="F3407" s="1621"/>
      <c r="G3407" s="1622"/>
      <c r="H3407" s="1622"/>
      <c r="I3407" s="1622"/>
      <c r="J3407" s="1625"/>
      <c r="K3407" s="1622"/>
      <c r="L3407" s="2040">
        <v>730.17</v>
      </c>
      <c r="M3407" s="2037"/>
      <c r="N3407" s="1649">
        <v>14456.77</v>
      </c>
      <c r="EW3407" s="2031"/>
      <c r="EX3407" s="1619"/>
      <c r="EY3407" s="1628"/>
      <c r="EZ3407" s="1628"/>
      <c r="FA3407" s="1628"/>
      <c r="FH3407" s="1628" t="s">
        <v>872</v>
      </c>
      <c r="FU3407" s="1678"/>
      <c r="FW3407" s="1678"/>
    </row>
    <row r="3408" spans="1:179" s="1484" customFormat="1" ht="33.75" x14ac:dyDescent="0.25">
      <c r="A3408" s="1620" t="s">
        <v>8546</v>
      </c>
      <c r="B3408" s="1863" t="s">
        <v>8547</v>
      </c>
      <c r="C3408" s="2803" t="s">
        <v>8548</v>
      </c>
      <c r="D3408" s="2803"/>
      <c r="E3408" s="2803"/>
      <c r="F3408" s="1621" t="s">
        <v>130</v>
      </c>
      <c r="G3408" s="1622">
        <v>5.4</v>
      </c>
      <c r="H3408" s="1623">
        <v>1</v>
      </c>
      <c r="I3408" s="1624">
        <v>5.4</v>
      </c>
      <c r="J3408" s="1648">
        <v>1174.7</v>
      </c>
      <c r="K3408" s="1622"/>
      <c r="L3408" s="1648">
        <v>6343.38</v>
      </c>
      <c r="M3408" s="1687">
        <v>9.14</v>
      </c>
      <c r="N3408" s="1649">
        <v>57978.49</v>
      </c>
      <c r="EW3408" s="2031"/>
      <c r="EX3408" s="1619"/>
      <c r="EY3408" s="1628" t="s">
        <v>8548</v>
      </c>
      <c r="EZ3408" s="1628" t="s">
        <v>588</v>
      </c>
      <c r="FA3408" s="1628" t="s">
        <v>588</v>
      </c>
      <c r="FH3408" s="1628"/>
      <c r="FU3408" s="1678"/>
      <c r="FW3408" s="1678"/>
    </row>
    <row r="3409" spans="1:179" s="1484" customFormat="1" ht="15" x14ac:dyDescent="0.25">
      <c r="A3409" s="1650"/>
      <c r="B3409" s="1651"/>
      <c r="C3409" s="2805" t="s">
        <v>8640</v>
      </c>
      <c r="D3409" s="2805"/>
      <c r="E3409" s="2805"/>
      <c r="F3409" s="2805"/>
      <c r="G3409" s="2805"/>
      <c r="H3409" s="2805"/>
      <c r="I3409" s="2805"/>
      <c r="J3409" s="2805"/>
      <c r="K3409" s="2805"/>
      <c r="L3409" s="2805"/>
      <c r="M3409" s="2805"/>
      <c r="N3409" s="2806"/>
      <c r="EW3409" s="2031"/>
      <c r="EX3409" s="1619"/>
      <c r="EY3409" s="1628"/>
      <c r="EZ3409" s="1628"/>
      <c r="FA3409" s="1628"/>
      <c r="FH3409" s="1628"/>
      <c r="FI3409" s="1864" t="s">
        <v>8640</v>
      </c>
      <c r="FJ3409" s="1864" t="s">
        <v>588</v>
      </c>
      <c r="FK3409" s="1864" t="s">
        <v>588</v>
      </c>
      <c r="FL3409" s="1864" t="s">
        <v>588</v>
      </c>
      <c r="FM3409" s="1864" t="s">
        <v>588</v>
      </c>
      <c r="FN3409" s="1864" t="s">
        <v>588</v>
      </c>
      <c r="FO3409" s="1864" t="s">
        <v>588</v>
      </c>
      <c r="FP3409" s="1864" t="s">
        <v>588</v>
      </c>
      <c r="FQ3409" s="1864" t="s">
        <v>588</v>
      </c>
      <c r="FR3409" s="1864" t="s">
        <v>588</v>
      </c>
      <c r="FS3409" s="1864" t="s">
        <v>588</v>
      </c>
      <c r="FT3409" s="1864" t="s">
        <v>588</v>
      </c>
      <c r="FU3409" s="1678"/>
      <c r="FW3409" s="1678"/>
    </row>
    <row r="3410" spans="1:179" s="1484" customFormat="1" ht="15" x14ac:dyDescent="0.25">
      <c r="A3410" s="1629"/>
      <c r="B3410" s="1862"/>
      <c r="C3410" s="2805" t="s">
        <v>8683</v>
      </c>
      <c r="D3410" s="2805"/>
      <c r="E3410" s="2805"/>
      <c r="F3410" s="2805"/>
      <c r="G3410" s="2805"/>
      <c r="H3410" s="2805"/>
      <c r="I3410" s="2805"/>
      <c r="J3410" s="2805"/>
      <c r="K3410" s="2805"/>
      <c r="L3410" s="2805"/>
      <c r="M3410" s="2805"/>
      <c r="N3410" s="2806"/>
      <c r="EW3410" s="2031"/>
      <c r="EX3410" s="1619"/>
      <c r="EY3410" s="1628"/>
      <c r="EZ3410" s="1628"/>
      <c r="FA3410" s="1628"/>
      <c r="FB3410" s="1864" t="s">
        <v>8683</v>
      </c>
      <c r="FH3410" s="1628"/>
      <c r="FU3410" s="1678"/>
      <c r="FW3410" s="1678"/>
    </row>
    <row r="3411" spans="1:179" s="1484" customFormat="1" ht="15" x14ac:dyDescent="0.25">
      <c r="A3411" s="1650"/>
      <c r="B3411" s="1651"/>
      <c r="C3411" s="2803" t="s">
        <v>872</v>
      </c>
      <c r="D3411" s="2803"/>
      <c r="E3411" s="2803"/>
      <c r="F3411" s="1621"/>
      <c r="G3411" s="1622"/>
      <c r="H3411" s="1622"/>
      <c r="I3411" s="1622"/>
      <c r="J3411" s="1625"/>
      <c r="K3411" s="1622"/>
      <c r="L3411" s="1648">
        <v>6343.38</v>
      </c>
      <c r="M3411" s="2037"/>
      <c r="N3411" s="1649">
        <v>57978.49</v>
      </c>
      <c r="EW3411" s="2031"/>
      <c r="EX3411" s="1619"/>
      <c r="EY3411" s="1628"/>
      <c r="EZ3411" s="1628"/>
      <c r="FA3411" s="1628"/>
      <c r="FH3411" s="1628" t="s">
        <v>872</v>
      </c>
      <c r="FU3411" s="1678"/>
      <c r="FW3411" s="1678"/>
    </row>
    <row r="3412" spans="1:179" s="1484" customFormat="1" ht="1.5" customHeight="1" x14ac:dyDescent="0.25">
      <c r="A3412" s="2050"/>
      <c r="B3412" s="2051"/>
      <c r="C3412" s="1668"/>
      <c r="D3412" s="1668"/>
      <c r="E3412" s="1668"/>
      <c r="F3412" s="1668"/>
      <c r="G3412" s="1669"/>
      <c r="H3412" s="1669"/>
      <c r="I3412" s="1669"/>
      <c r="J3412" s="1669"/>
      <c r="K3412" s="1670"/>
      <c r="L3412" s="1669"/>
      <c r="M3412" s="1670"/>
      <c r="N3412" s="2052"/>
      <c r="EW3412" s="2031"/>
      <c r="EX3412" s="1619"/>
      <c r="EY3412" s="1628"/>
      <c r="EZ3412" s="1628"/>
      <c r="FA3412" s="1628"/>
      <c r="FH3412" s="1628"/>
      <c r="FU3412" s="1678"/>
      <c r="FW3412" s="1678"/>
    </row>
    <row r="3413" spans="1:179" s="1484" customFormat="1" ht="15" x14ac:dyDescent="0.25">
      <c r="A3413" s="1650"/>
      <c r="B3413" s="1676"/>
      <c r="C3413" s="2802" t="s">
        <v>8549</v>
      </c>
      <c r="D3413" s="2802"/>
      <c r="E3413" s="2802"/>
      <c r="F3413" s="2802"/>
      <c r="G3413" s="2802"/>
      <c r="H3413" s="2802"/>
      <c r="I3413" s="2802"/>
      <c r="J3413" s="2802"/>
      <c r="K3413" s="2802"/>
      <c r="L3413" s="2053"/>
      <c r="M3413" s="2054"/>
      <c r="N3413" s="2055"/>
      <c r="EW3413" s="2031"/>
      <c r="EX3413" s="1619"/>
      <c r="EY3413" s="1628"/>
      <c r="EZ3413" s="1628"/>
      <c r="FA3413" s="1628"/>
      <c r="FH3413" s="1628"/>
      <c r="FU3413" s="1678" t="s">
        <v>8549</v>
      </c>
      <c r="FW3413" s="1678"/>
    </row>
    <row r="3414" spans="1:179" s="1484" customFormat="1" ht="15" x14ac:dyDescent="0.25">
      <c r="A3414" s="1647"/>
      <c r="B3414" s="1631"/>
      <c r="C3414" s="2801" t="s">
        <v>922</v>
      </c>
      <c r="D3414" s="2801"/>
      <c r="E3414" s="2801"/>
      <c r="F3414" s="2801"/>
      <c r="G3414" s="2801"/>
      <c r="H3414" s="2801"/>
      <c r="I3414" s="2801"/>
      <c r="J3414" s="2801"/>
      <c r="K3414" s="2801"/>
      <c r="L3414" s="2056">
        <v>6895.52</v>
      </c>
      <c r="M3414" s="2057"/>
      <c r="N3414" s="2058">
        <v>66070.570000000007</v>
      </c>
      <c r="EW3414" s="2031"/>
      <c r="EX3414" s="1619"/>
      <c r="EY3414" s="1628"/>
      <c r="EZ3414" s="1628"/>
      <c r="FA3414" s="1628"/>
      <c r="FH3414" s="1628"/>
      <c r="FU3414" s="1678"/>
      <c r="FV3414" s="1680" t="s">
        <v>922</v>
      </c>
      <c r="FW3414" s="1678"/>
    </row>
    <row r="3415" spans="1:179" s="1484" customFormat="1" ht="15" x14ac:dyDescent="0.25">
      <c r="A3415" s="1647"/>
      <c r="B3415" s="1631"/>
      <c r="C3415" s="2801" t="s">
        <v>891</v>
      </c>
      <c r="D3415" s="2801"/>
      <c r="E3415" s="2801"/>
      <c r="F3415" s="2801"/>
      <c r="G3415" s="2801"/>
      <c r="H3415" s="2801"/>
      <c r="I3415" s="2801"/>
      <c r="J3415" s="2801"/>
      <c r="K3415" s="2801"/>
      <c r="L3415" s="1708"/>
      <c r="M3415" s="2057"/>
      <c r="N3415" s="2059"/>
      <c r="EW3415" s="2031"/>
      <c r="EX3415" s="1619"/>
      <c r="EY3415" s="1628"/>
      <c r="EZ3415" s="1628"/>
      <c r="FA3415" s="1628"/>
      <c r="FH3415" s="1628"/>
      <c r="FU3415" s="1678"/>
      <c r="FV3415" s="1680" t="s">
        <v>891</v>
      </c>
      <c r="FW3415" s="1678"/>
    </row>
    <row r="3416" spans="1:179" s="1484" customFormat="1" ht="15" x14ac:dyDescent="0.25">
      <c r="A3416" s="1647"/>
      <c r="B3416" s="1631"/>
      <c r="C3416" s="2801" t="s">
        <v>892</v>
      </c>
      <c r="D3416" s="2801"/>
      <c r="E3416" s="2801"/>
      <c r="F3416" s="2801"/>
      <c r="G3416" s="2801"/>
      <c r="H3416" s="2801"/>
      <c r="I3416" s="2801"/>
      <c r="J3416" s="2801"/>
      <c r="K3416" s="2801"/>
      <c r="L3416" s="2060">
        <v>113.89</v>
      </c>
      <c r="M3416" s="2057"/>
      <c r="N3416" s="2058">
        <v>4071.57</v>
      </c>
      <c r="EW3416" s="2031"/>
      <c r="EX3416" s="1619"/>
      <c r="EY3416" s="1628"/>
      <c r="EZ3416" s="1628"/>
      <c r="FA3416" s="1628"/>
      <c r="FH3416" s="1628"/>
      <c r="FU3416" s="1678"/>
      <c r="FV3416" s="1680" t="s">
        <v>892</v>
      </c>
      <c r="FW3416" s="1678"/>
    </row>
    <row r="3417" spans="1:179" s="1484" customFormat="1" ht="15" x14ac:dyDescent="0.25">
      <c r="A3417" s="1647"/>
      <c r="B3417" s="1631"/>
      <c r="C3417" s="2801" t="s">
        <v>893</v>
      </c>
      <c r="D3417" s="2801"/>
      <c r="E3417" s="2801"/>
      <c r="F3417" s="2801"/>
      <c r="G3417" s="2801"/>
      <c r="H3417" s="2801"/>
      <c r="I3417" s="2801"/>
      <c r="J3417" s="2801"/>
      <c r="K3417" s="2801"/>
      <c r="L3417" s="2060">
        <v>3.67</v>
      </c>
      <c r="M3417" s="2057"/>
      <c r="N3417" s="2061">
        <v>48.45</v>
      </c>
      <c r="EW3417" s="2031"/>
      <c r="EX3417" s="1619"/>
      <c r="EY3417" s="1628"/>
      <c r="EZ3417" s="1628"/>
      <c r="FA3417" s="1628"/>
      <c r="FH3417" s="1628"/>
      <c r="FU3417" s="1678"/>
      <c r="FV3417" s="1680" t="s">
        <v>893</v>
      </c>
      <c r="FW3417" s="1678"/>
    </row>
    <row r="3418" spans="1:179" s="1484" customFormat="1" ht="15" x14ac:dyDescent="0.25">
      <c r="A3418" s="1647"/>
      <c r="B3418" s="1631"/>
      <c r="C3418" s="2801" t="s">
        <v>2578</v>
      </c>
      <c r="D3418" s="2801"/>
      <c r="E3418" s="2801"/>
      <c r="F3418" s="2801"/>
      <c r="G3418" s="2801"/>
      <c r="H3418" s="2801"/>
      <c r="I3418" s="2801"/>
      <c r="J3418" s="2801"/>
      <c r="K3418" s="2801"/>
      <c r="L3418" s="2060">
        <v>0.97</v>
      </c>
      <c r="M3418" s="2057"/>
      <c r="N3418" s="2061">
        <v>34.68</v>
      </c>
      <c r="EW3418" s="2031"/>
      <c r="EX3418" s="1619"/>
      <c r="EY3418" s="1628"/>
      <c r="EZ3418" s="1628"/>
      <c r="FA3418" s="1628"/>
      <c r="FH3418" s="1628"/>
      <c r="FU3418" s="1678"/>
      <c r="FV3418" s="1680" t="s">
        <v>2578</v>
      </c>
      <c r="FW3418" s="1678"/>
    </row>
    <row r="3419" spans="1:179" s="1484" customFormat="1" ht="15" x14ac:dyDescent="0.25">
      <c r="A3419" s="1647"/>
      <c r="B3419" s="1631"/>
      <c r="C3419" s="2801" t="s">
        <v>895</v>
      </c>
      <c r="D3419" s="2801"/>
      <c r="E3419" s="2801"/>
      <c r="F3419" s="2801"/>
      <c r="G3419" s="2801"/>
      <c r="H3419" s="2801"/>
      <c r="I3419" s="2801"/>
      <c r="J3419" s="2801"/>
      <c r="K3419" s="2801"/>
      <c r="L3419" s="2056">
        <v>6777.96</v>
      </c>
      <c r="M3419" s="2057"/>
      <c r="N3419" s="2058">
        <v>61950.55</v>
      </c>
      <c r="EW3419" s="2031"/>
      <c r="EX3419" s="1619"/>
      <c r="EY3419" s="1628"/>
      <c r="EZ3419" s="1628"/>
      <c r="FA3419" s="1628"/>
      <c r="FH3419" s="1628"/>
      <c r="FU3419" s="1678"/>
      <c r="FV3419" s="1680" t="s">
        <v>895</v>
      </c>
      <c r="FW3419" s="1678"/>
    </row>
    <row r="3420" spans="1:179" s="1484" customFormat="1" ht="15" x14ac:dyDescent="0.25">
      <c r="A3420" s="1647"/>
      <c r="B3420" s="1631"/>
      <c r="C3420" s="2801" t="s">
        <v>897</v>
      </c>
      <c r="D3420" s="2801"/>
      <c r="E3420" s="2801"/>
      <c r="F3420" s="2801"/>
      <c r="G3420" s="2801"/>
      <c r="H3420" s="2801"/>
      <c r="I3420" s="2801"/>
      <c r="J3420" s="2801"/>
      <c r="K3420" s="2801"/>
      <c r="L3420" s="2056">
        <v>7073.55</v>
      </c>
      <c r="M3420" s="2057"/>
      <c r="N3420" s="2058">
        <v>72435.259999999995</v>
      </c>
      <c r="EW3420" s="2031"/>
      <c r="EX3420" s="1619"/>
      <c r="EY3420" s="1628"/>
      <c r="EZ3420" s="1628"/>
      <c r="FA3420" s="1628"/>
      <c r="FH3420" s="1628"/>
      <c r="FU3420" s="1678"/>
      <c r="FV3420" s="1680" t="s">
        <v>897</v>
      </c>
      <c r="FW3420" s="1678"/>
    </row>
    <row r="3421" spans="1:179" s="1484" customFormat="1" ht="15" x14ac:dyDescent="0.25">
      <c r="A3421" s="1647"/>
      <c r="B3421" s="1631"/>
      <c r="C3421" s="2801" t="s">
        <v>891</v>
      </c>
      <c r="D3421" s="2801"/>
      <c r="E3421" s="2801"/>
      <c r="F3421" s="2801"/>
      <c r="G3421" s="2801"/>
      <c r="H3421" s="2801"/>
      <c r="I3421" s="2801"/>
      <c r="J3421" s="2801"/>
      <c r="K3421" s="2801"/>
      <c r="L3421" s="1708"/>
      <c r="M3421" s="2057"/>
      <c r="N3421" s="2059"/>
      <c r="EW3421" s="2031"/>
      <c r="EX3421" s="1619"/>
      <c r="EY3421" s="1628"/>
      <c r="EZ3421" s="1628"/>
      <c r="FA3421" s="1628"/>
      <c r="FH3421" s="1628"/>
      <c r="FU3421" s="1678"/>
      <c r="FV3421" s="1680" t="s">
        <v>891</v>
      </c>
      <c r="FW3421" s="1678"/>
    </row>
    <row r="3422" spans="1:179" s="1484" customFormat="1" ht="15" x14ac:dyDescent="0.25">
      <c r="A3422" s="1647"/>
      <c r="B3422" s="1631"/>
      <c r="C3422" s="2801" t="s">
        <v>6121</v>
      </c>
      <c r="D3422" s="2801"/>
      <c r="E3422" s="2801"/>
      <c r="F3422" s="2801"/>
      <c r="G3422" s="2801"/>
      <c r="H3422" s="2801"/>
      <c r="I3422" s="2801"/>
      <c r="J3422" s="2801"/>
      <c r="K3422" s="2801"/>
      <c r="L3422" s="2060">
        <v>113.89</v>
      </c>
      <c r="M3422" s="2057"/>
      <c r="N3422" s="2058">
        <v>4071.57</v>
      </c>
      <c r="EW3422" s="2031"/>
      <c r="EX3422" s="1619"/>
      <c r="EY3422" s="1628"/>
      <c r="EZ3422" s="1628"/>
      <c r="FA3422" s="1628"/>
      <c r="FH3422" s="1628"/>
      <c r="FU3422" s="1678"/>
      <c r="FV3422" s="1680" t="s">
        <v>6121</v>
      </c>
      <c r="FW3422" s="1678"/>
    </row>
    <row r="3423" spans="1:179" s="1484" customFormat="1" ht="15" x14ac:dyDescent="0.25">
      <c r="A3423" s="1647"/>
      <c r="B3423" s="1631"/>
      <c r="C3423" s="2801" t="s">
        <v>6122</v>
      </c>
      <c r="D3423" s="2801"/>
      <c r="E3423" s="2801"/>
      <c r="F3423" s="2801"/>
      <c r="G3423" s="2801"/>
      <c r="H3423" s="2801"/>
      <c r="I3423" s="2801"/>
      <c r="J3423" s="2801"/>
      <c r="K3423" s="2801"/>
      <c r="L3423" s="2060">
        <v>3.67</v>
      </c>
      <c r="M3423" s="2057"/>
      <c r="N3423" s="2061">
        <v>48.45</v>
      </c>
      <c r="EW3423" s="2031"/>
      <c r="EX3423" s="1619"/>
      <c r="EY3423" s="1628"/>
      <c r="EZ3423" s="1628"/>
      <c r="FA3423" s="1628"/>
      <c r="FH3423" s="1628"/>
      <c r="FU3423" s="1678"/>
      <c r="FV3423" s="1680" t="s">
        <v>6122</v>
      </c>
      <c r="FW3423" s="1678"/>
    </row>
    <row r="3424" spans="1:179" s="1484" customFormat="1" ht="15" x14ac:dyDescent="0.25">
      <c r="A3424" s="1647"/>
      <c r="B3424" s="1631"/>
      <c r="C3424" s="2801" t="s">
        <v>8121</v>
      </c>
      <c r="D3424" s="2801"/>
      <c r="E3424" s="2801"/>
      <c r="F3424" s="2801"/>
      <c r="G3424" s="2801"/>
      <c r="H3424" s="2801"/>
      <c r="I3424" s="2801"/>
      <c r="J3424" s="2801"/>
      <c r="K3424" s="2801"/>
      <c r="L3424" s="1708"/>
      <c r="M3424" s="2057"/>
      <c r="N3424" s="2059"/>
      <c r="EW3424" s="2031"/>
      <c r="EX3424" s="1619"/>
      <c r="EY3424" s="1628"/>
      <c r="EZ3424" s="1628"/>
      <c r="FA3424" s="1628"/>
      <c r="FH3424" s="1628"/>
      <c r="FU3424" s="1678"/>
      <c r="FV3424" s="1680" t="s">
        <v>8121</v>
      </c>
      <c r="FW3424" s="1678"/>
    </row>
    <row r="3425" spans="1:180" s="1484" customFormat="1" ht="15" x14ac:dyDescent="0.25">
      <c r="A3425" s="1647"/>
      <c r="B3425" s="1631"/>
      <c r="C3425" s="2801" t="s">
        <v>8122</v>
      </c>
      <c r="D3425" s="2801"/>
      <c r="E3425" s="2801"/>
      <c r="F3425" s="2801"/>
      <c r="G3425" s="2801"/>
      <c r="H3425" s="2801"/>
      <c r="I3425" s="2801"/>
      <c r="J3425" s="2801"/>
      <c r="K3425" s="2801"/>
      <c r="L3425" s="2060">
        <v>3.48</v>
      </c>
      <c r="M3425" s="2057"/>
      <c r="N3425" s="2061">
        <v>41.66</v>
      </c>
      <c r="EW3425" s="2031"/>
      <c r="EX3425" s="1619"/>
      <c r="EY3425" s="1628"/>
      <c r="EZ3425" s="1628"/>
      <c r="FA3425" s="1628"/>
      <c r="FH3425" s="1628"/>
      <c r="FU3425" s="1678"/>
      <c r="FV3425" s="1680" t="s">
        <v>8122</v>
      </c>
      <c r="FW3425" s="1678"/>
    </row>
    <row r="3426" spans="1:180" s="1484" customFormat="1" ht="15" x14ac:dyDescent="0.25">
      <c r="A3426" s="1647"/>
      <c r="B3426" s="1631"/>
      <c r="C3426" s="2801" t="s">
        <v>8123</v>
      </c>
      <c r="D3426" s="2801"/>
      <c r="E3426" s="2801"/>
      <c r="F3426" s="2801"/>
      <c r="G3426" s="2801"/>
      <c r="H3426" s="2801"/>
      <c r="I3426" s="2801"/>
      <c r="J3426" s="2801"/>
      <c r="K3426" s="2801"/>
      <c r="L3426" s="2060">
        <v>0.78</v>
      </c>
      <c r="M3426" s="2057"/>
      <c r="N3426" s="2061">
        <v>27.89</v>
      </c>
      <c r="EW3426" s="2031"/>
      <c r="EX3426" s="1619"/>
      <c r="EY3426" s="1628"/>
      <c r="EZ3426" s="1628"/>
      <c r="FA3426" s="1628"/>
      <c r="FH3426" s="1628"/>
      <c r="FU3426" s="1678"/>
      <c r="FV3426" s="1680" t="s">
        <v>8123</v>
      </c>
      <c r="FW3426" s="1678"/>
    </row>
    <row r="3427" spans="1:180" s="1484" customFormat="1" ht="15" x14ac:dyDescent="0.25">
      <c r="A3427" s="1647"/>
      <c r="B3427" s="1631"/>
      <c r="C3427" s="2801" t="s">
        <v>8124</v>
      </c>
      <c r="D3427" s="2801"/>
      <c r="E3427" s="2801"/>
      <c r="F3427" s="2801"/>
      <c r="G3427" s="2801"/>
      <c r="H3427" s="2801"/>
      <c r="I3427" s="2801"/>
      <c r="J3427" s="2801"/>
      <c r="K3427" s="2801"/>
      <c r="L3427" s="2060">
        <v>0.19</v>
      </c>
      <c r="M3427" s="2057"/>
      <c r="N3427" s="2061">
        <v>6.79</v>
      </c>
      <c r="EW3427" s="2031"/>
      <c r="EX3427" s="1619"/>
      <c r="EY3427" s="1628"/>
      <c r="EZ3427" s="1628"/>
      <c r="FA3427" s="1628"/>
      <c r="FH3427" s="1628"/>
      <c r="FU3427" s="1678"/>
      <c r="FV3427" s="1680" t="s">
        <v>8124</v>
      </c>
      <c r="FW3427" s="1678"/>
    </row>
    <row r="3428" spans="1:180" s="1484" customFormat="1" ht="15" x14ac:dyDescent="0.25">
      <c r="A3428" s="1647"/>
      <c r="B3428" s="1631"/>
      <c r="C3428" s="2801" t="s">
        <v>6124</v>
      </c>
      <c r="D3428" s="2801"/>
      <c r="E3428" s="2801"/>
      <c r="F3428" s="2801"/>
      <c r="G3428" s="2801"/>
      <c r="H3428" s="2801"/>
      <c r="I3428" s="2801"/>
      <c r="J3428" s="2801"/>
      <c r="K3428" s="2801"/>
      <c r="L3428" s="2056">
        <v>6777.96</v>
      </c>
      <c r="M3428" s="2057"/>
      <c r="N3428" s="2058">
        <v>61950.55</v>
      </c>
      <c r="EW3428" s="2031"/>
      <c r="EX3428" s="1619"/>
      <c r="EY3428" s="1628"/>
      <c r="EZ3428" s="1628"/>
      <c r="FA3428" s="1628"/>
      <c r="FH3428" s="1628"/>
      <c r="FU3428" s="1678"/>
      <c r="FV3428" s="1680" t="s">
        <v>6124</v>
      </c>
      <c r="FW3428" s="1678"/>
    </row>
    <row r="3429" spans="1:180" s="1484" customFormat="1" ht="15" x14ac:dyDescent="0.25">
      <c r="A3429" s="1647"/>
      <c r="B3429" s="1631"/>
      <c r="C3429" s="2801" t="s">
        <v>6125</v>
      </c>
      <c r="D3429" s="2801"/>
      <c r="E3429" s="2801"/>
      <c r="F3429" s="2801"/>
      <c r="G3429" s="2801"/>
      <c r="H3429" s="2801"/>
      <c r="I3429" s="2801"/>
      <c r="J3429" s="2801"/>
      <c r="K3429" s="2801"/>
      <c r="L3429" s="2060">
        <v>106.82</v>
      </c>
      <c r="M3429" s="2057"/>
      <c r="N3429" s="2058">
        <v>3818.81</v>
      </c>
      <c r="EW3429" s="2031"/>
      <c r="EX3429" s="1619"/>
      <c r="EY3429" s="1628"/>
      <c r="EZ3429" s="1628"/>
      <c r="FA3429" s="1628"/>
      <c r="FH3429" s="1628"/>
      <c r="FU3429" s="1678"/>
      <c r="FV3429" s="1680" t="s">
        <v>6125</v>
      </c>
      <c r="FW3429" s="1678"/>
    </row>
    <row r="3430" spans="1:180" s="1484" customFormat="1" ht="15" x14ac:dyDescent="0.25">
      <c r="A3430" s="1647"/>
      <c r="B3430" s="1631"/>
      <c r="C3430" s="2801" t="s">
        <v>6126</v>
      </c>
      <c r="D3430" s="2801"/>
      <c r="E3430" s="2801"/>
      <c r="F3430" s="2801"/>
      <c r="G3430" s="2801"/>
      <c r="H3430" s="2801"/>
      <c r="I3430" s="2801"/>
      <c r="J3430" s="2801"/>
      <c r="K3430" s="2801"/>
      <c r="L3430" s="2060">
        <v>71.209999999999994</v>
      </c>
      <c r="M3430" s="2057"/>
      <c r="N3430" s="2058">
        <v>2545.88</v>
      </c>
      <c r="EW3430" s="2031"/>
      <c r="EX3430" s="1619"/>
      <c r="EY3430" s="1628"/>
      <c r="EZ3430" s="1628"/>
      <c r="FA3430" s="1628"/>
      <c r="FH3430" s="1628"/>
      <c r="FU3430" s="1678"/>
      <c r="FV3430" s="1680" t="s">
        <v>6126</v>
      </c>
      <c r="FW3430" s="1678"/>
    </row>
    <row r="3431" spans="1:180" s="1484" customFormat="1" ht="15" x14ac:dyDescent="0.25">
      <c r="A3431" s="1647"/>
      <c r="B3431" s="1631"/>
      <c r="C3431" s="2801" t="s">
        <v>923</v>
      </c>
      <c r="D3431" s="2801"/>
      <c r="E3431" s="2801"/>
      <c r="F3431" s="2801"/>
      <c r="G3431" s="2801"/>
      <c r="H3431" s="2801"/>
      <c r="I3431" s="2801"/>
      <c r="J3431" s="2801"/>
      <c r="K3431" s="2801"/>
      <c r="L3431" s="2060">
        <v>114.86</v>
      </c>
      <c r="M3431" s="2057"/>
      <c r="N3431" s="2058">
        <v>4106.25</v>
      </c>
      <c r="EW3431" s="2031"/>
      <c r="EX3431" s="1619"/>
      <c r="EY3431" s="1628"/>
      <c r="EZ3431" s="1628"/>
      <c r="FA3431" s="1628"/>
      <c r="FH3431" s="1628"/>
      <c r="FU3431" s="1678"/>
      <c r="FV3431" s="1680" t="s">
        <v>923</v>
      </c>
      <c r="FW3431" s="1678"/>
    </row>
    <row r="3432" spans="1:180" s="1484" customFormat="1" ht="15" x14ac:dyDescent="0.25">
      <c r="A3432" s="1647"/>
      <c r="B3432" s="1631"/>
      <c r="C3432" s="2801" t="s">
        <v>924</v>
      </c>
      <c r="D3432" s="2801"/>
      <c r="E3432" s="2801"/>
      <c r="F3432" s="2801"/>
      <c r="G3432" s="2801"/>
      <c r="H3432" s="2801"/>
      <c r="I3432" s="2801"/>
      <c r="J3432" s="2801"/>
      <c r="K3432" s="2801"/>
      <c r="L3432" s="2060">
        <v>106.82</v>
      </c>
      <c r="M3432" s="2057"/>
      <c r="N3432" s="2058">
        <v>3818.81</v>
      </c>
      <c r="EW3432" s="2031"/>
      <c r="EX3432" s="1619"/>
      <c r="EY3432" s="1628"/>
      <c r="EZ3432" s="1628"/>
      <c r="FA3432" s="1628"/>
      <c r="FH3432" s="1628"/>
      <c r="FU3432" s="1678"/>
      <c r="FV3432" s="1680" t="s">
        <v>924</v>
      </c>
      <c r="FW3432" s="1678"/>
    </row>
    <row r="3433" spans="1:180" s="1484" customFormat="1" ht="15" x14ac:dyDescent="0.25">
      <c r="A3433" s="1647"/>
      <c r="B3433" s="1631"/>
      <c r="C3433" s="2801" t="s">
        <v>925</v>
      </c>
      <c r="D3433" s="2801"/>
      <c r="E3433" s="2801"/>
      <c r="F3433" s="2801"/>
      <c r="G3433" s="2801"/>
      <c r="H3433" s="2801"/>
      <c r="I3433" s="2801"/>
      <c r="J3433" s="2801"/>
      <c r="K3433" s="2801"/>
      <c r="L3433" s="2060">
        <v>71.209999999999994</v>
      </c>
      <c r="M3433" s="2057"/>
      <c r="N3433" s="2058">
        <v>2545.88</v>
      </c>
      <c r="EW3433" s="2031"/>
      <c r="EX3433" s="1619"/>
      <c r="EY3433" s="1628"/>
      <c r="EZ3433" s="1628"/>
      <c r="FA3433" s="1628"/>
      <c r="FH3433" s="1628"/>
      <c r="FU3433" s="1678"/>
      <c r="FV3433" s="1680" t="s">
        <v>925</v>
      </c>
      <c r="FW3433" s="1678"/>
    </row>
    <row r="3434" spans="1:180" s="1484" customFormat="1" ht="15" x14ac:dyDescent="0.25">
      <c r="A3434" s="1647"/>
      <c r="B3434" s="1676"/>
      <c r="C3434" s="2802" t="s">
        <v>8550</v>
      </c>
      <c r="D3434" s="2802"/>
      <c r="E3434" s="2802"/>
      <c r="F3434" s="2802"/>
      <c r="G3434" s="2802"/>
      <c r="H3434" s="2802"/>
      <c r="I3434" s="2802"/>
      <c r="J3434" s="2802"/>
      <c r="K3434" s="2802"/>
      <c r="L3434" s="1705">
        <v>7073.55</v>
      </c>
      <c r="M3434" s="2054"/>
      <c r="N3434" s="2066">
        <v>72435.259999999995</v>
      </c>
      <c r="EW3434" s="2031"/>
      <c r="EX3434" s="1619"/>
      <c r="EY3434" s="1628"/>
      <c r="EZ3434" s="1628"/>
      <c r="FA3434" s="1628"/>
      <c r="FH3434" s="1628"/>
      <c r="FU3434" s="1678"/>
      <c r="FW3434" s="1678" t="s">
        <v>8550</v>
      </c>
    </row>
    <row r="3435" spans="1:180" s="1484" customFormat="1" ht="15" x14ac:dyDescent="0.25">
      <c r="A3435" s="1647"/>
      <c r="B3435" s="1631"/>
      <c r="C3435" s="2801" t="s">
        <v>6094</v>
      </c>
      <c r="D3435" s="2801"/>
      <c r="E3435" s="2801"/>
      <c r="F3435" s="2801"/>
      <c r="G3435" s="2801"/>
      <c r="H3435" s="2801"/>
      <c r="I3435" s="2801"/>
      <c r="J3435" s="2801"/>
      <c r="K3435" s="2801"/>
      <c r="L3435" s="1708"/>
      <c r="M3435" s="2057"/>
      <c r="N3435" s="2059"/>
      <c r="EW3435" s="2031"/>
      <c r="EX3435" s="1619"/>
      <c r="EY3435" s="1628"/>
      <c r="EZ3435" s="1628"/>
      <c r="FA3435" s="1628"/>
      <c r="FH3435" s="1628"/>
      <c r="FU3435" s="1678"/>
      <c r="FV3435" s="1680" t="s">
        <v>6094</v>
      </c>
      <c r="FW3435" s="1678"/>
    </row>
    <row r="3436" spans="1:180" s="1484" customFormat="1" ht="15" x14ac:dyDescent="0.25">
      <c r="A3436" s="1647"/>
      <c r="B3436" s="1631"/>
      <c r="C3436" s="2801" t="s">
        <v>6095</v>
      </c>
      <c r="D3436" s="2801"/>
      <c r="E3436" s="2801"/>
      <c r="F3436" s="2801"/>
      <c r="G3436" s="2801"/>
      <c r="H3436" s="2801"/>
      <c r="I3436" s="1683" t="s">
        <v>8551</v>
      </c>
      <c r="J3436" s="1860"/>
      <c r="K3436" s="1860"/>
      <c r="L3436" s="1708"/>
      <c r="M3436" s="2057"/>
      <c r="N3436" s="2059"/>
      <c r="EW3436" s="2031"/>
      <c r="EX3436" s="1619"/>
      <c r="EY3436" s="1628"/>
      <c r="EZ3436" s="1628"/>
      <c r="FA3436" s="1628"/>
      <c r="FH3436" s="1628"/>
      <c r="FU3436" s="1678"/>
      <c r="FW3436" s="1678"/>
      <c r="FX3436" s="1680" t="s">
        <v>6095</v>
      </c>
    </row>
    <row r="3437" spans="1:180" s="1484" customFormat="1" ht="15" x14ac:dyDescent="0.25">
      <c r="A3437" s="1647"/>
      <c r="B3437" s="1631"/>
      <c r="C3437" s="2801" t="s">
        <v>6096</v>
      </c>
      <c r="D3437" s="2801"/>
      <c r="E3437" s="2801"/>
      <c r="F3437" s="2801"/>
      <c r="G3437" s="2801"/>
      <c r="H3437" s="2801"/>
      <c r="I3437" s="1683" t="s">
        <v>8552</v>
      </c>
      <c r="J3437" s="1860"/>
      <c r="K3437" s="1860"/>
      <c r="L3437" s="1708"/>
      <c r="M3437" s="2057"/>
      <c r="N3437" s="2059"/>
      <c r="EW3437" s="2031"/>
      <c r="EX3437" s="1619"/>
      <c r="EY3437" s="1628"/>
      <c r="EZ3437" s="1628"/>
      <c r="FA3437" s="1628"/>
      <c r="FH3437" s="1628"/>
      <c r="FU3437" s="1678"/>
      <c r="FW3437" s="1678"/>
      <c r="FX3437" s="1680" t="s">
        <v>6096</v>
      </c>
    </row>
    <row r="3438" spans="1:180" s="1484" customFormat="1" ht="15" x14ac:dyDescent="0.25">
      <c r="A3438" s="2918" t="s">
        <v>8553</v>
      </c>
      <c r="B3438" s="2919"/>
      <c r="C3438" s="2919"/>
      <c r="D3438" s="2919"/>
      <c r="E3438" s="2919"/>
      <c r="F3438" s="2919"/>
      <c r="G3438" s="2919"/>
      <c r="H3438" s="2919"/>
      <c r="I3438" s="2919"/>
      <c r="J3438" s="2919"/>
      <c r="K3438" s="2919"/>
      <c r="L3438" s="2919"/>
      <c r="M3438" s="2919"/>
      <c r="N3438" s="2920"/>
      <c r="EW3438" s="2031" t="s">
        <v>8553</v>
      </c>
      <c r="EX3438" s="1619"/>
      <c r="EY3438" s="1628"/>
      <c r="EZ3438" s="1628"/>
      <c r="FA3438" s="1628"/>
      <c r="FH3438" s="1628"/>
      <c r="FU3438" s="1678"/>
      <c r="FW3438" s="1678"/>
    </row>
    <row r="3439" spans="1:180" s="1484" customFormat="1" ht="15" x14ac:dyDescent="0.25">
      <c r="A3439" s="2811" t="s">
        <v>8554</v>
      </c>
      <c r="B3439" s="2812"/>
      <c r="C3439" s="2812"/>
      <c r="D3439" s="2812"/>
      <c r="E3439" s="2812"/>
      <c r="F3439" s="2812"/>
      <c r="G3439" s="2812"/>
      <c r="H3439" s="2812"/>
      <c r="I3439" s="2812"/>
      <c r="J3439" s="2812"/>
      <c r="K3439" s="2812"/>
      <c r="L3439" s="2812"/>
      <c r="M3439" s="2812"/>
      <c r="N3439" s="2813"/>
      <c r="EW3439" s="2031"/>
      <c r="EX3439" s="1619" t="s">
        <v>8554</v>
      </c>
      <c r="EY3439" s="1628"/>
      <c r="EZ3439" s="1628"/>
      <c r="FA3439" s="1628"/>
      <c r="FH3439" s="1628"/>
      <c r="FU3439" s="1678"/>
      <c r="FW3439" s="1678"/>
    </row>
    <row r="3440" spans="1:180" s="1484" customFormat="1" ht="33.75" x14ac:dyDescent="0.25">
      <c r="A3440" s="1620" t="s">
        <v>8555</v>
      </c>
      <c r="B3440" s="1863" t="s">
        <v>8556</v>
      </c>
      <c r="C3440" s="2803" t="s">
        <v>8557</v>
      </c>
      <c r="D3440" s="2803"/>
      <c r="E3440" s="2803"/>
      <c r="F3440" s="1621" t="s">
        <v>2555</v>
      </c>
      <c r="G3440" s="1622">
        <v>0.18342</v>
      </c>
      <c r="H3440" s="1623">
        <v>1</v>
      </c>
      <c r="I3440" s="2048">
        <v>0.18342</v>
      </c>
      <c r="J3440" s="1625"/>
      <c r="K3440" s="1622"/>
      <c r="L3440" s="1625"/>
      <c r="M3440" s="1622"/>
      <c r="N3440" s="1627"/>
      <c r="EW3440" s="2031"/>
      <c r="EX3440" s="1619"/>
      <c r="EY3440" s="1628" t="s">
        <v>8557</v>
      </c>
      <c r="EZ3440" s="1628" t="s">
        <v>588</v>
      </c>
      <c r="FA3440" s="1628" t="s">
        <v>588</v>
      </c>
      <c r="FH3440" s="1628"/>
      <c r="FU3440" s="1678"/>
      <c r="FW3440" s="1678"/>
    </row>
    <row r="3441" spans="1:179" s="1484" customFormat="1" ht="22.5" x14ac:dyDescent="0.25">
      <c r="A3441" s="1629"/>
      <c r="B3441" s="1862"/>
      <c r="C3441" s="2805" t="s">
        <v>8682</v>
      </c>
      <c r="D3441" s="2805"/>
      <c r="E3441" s="2805"/>
      <c r="F3441" s="2805"/>
      <c r="G3441" s="2805"/>
      <c r="H3441" s="2805"/>
      <c r="I3441" s="2805"/>
      <c r="J3441" s="2805"/>
      <c r="K3441" s="2805"/>
      <c r="L3441" s="2805"/>
      <c r="M3441" s="2805"/>
      <c r="N3441" s="2806"/>
      <c r="EW3441" s="2031"/>
      <c r="EX3441" s="1619"/>
      <c r="EY3441" s="1628"/>
      <c r="EZ3441" s="1628"/>
      <c r="FA3441" s="1628"/>
      <c r="FB3441" s="1864" t="s">
        <v>8682</v>
      </c>
      <c r="FH3441" s="1628"/>
      <c r="FU3441" s="1678"/>
      <c r="FW3441" s="1678"/>
    </row>
    <row r="3442" spans="1:179" s="1484" customFormat="1" ht="22.5" x14ac:dyDescent="0.25">
      <c r="A3442" s="1630"/>
      <c r="B3442" s="1631" t="s">
        <v>6062</v>
      </c>
      <c r="C3442" s="2809" t="s">
        <v>6063</v>
      </c>
      <c r="D3442" s="2809"/>
      <c r="E3442" s="2809"/>
      <c r="F3442" s="2809"/>
      <c r="G3442" s="2809"/>
      <c r="H3442" s="2809"/>
      <c r="I3442" s="2809"/>
      <c r="J3442" s="2809"/>
      <c r="K3442" s="2809"/>
      <c r="L3442" s="2809"/>
      <c r="M3442" s="2809"/>
      <c r="N3442" s="2810"/>
      <c r="EW3442" s="2031"/>
      <c r="EX3442" s="1619"/>
      <c r="EY3442" s="1628"/>
      <c r="EZ3442" s="1628"/>
      <c r="FA3442" s="1628"/>
      <c r="FC3442" s="1864" t="s">
        <v>6063</v>
      </c>
      <c r="FH3442" s="1628"/>
      <c r="FU3442" s="1678"/>
      <c r="FW3442" s="1678"/>
    </row>
    <row r="3443" spans="1:179" s="1484" customFormat="1" ht="22.5" x14ac:dyDescent="0.25">
      <c r="A3443" s="2033"/>
      <c r="B3443" s="1631" t="s">
        <v>3260</v>
      </c>
      <c r="C3443" s="2805" t="s">
        <v>8636</v>
      </c>
      <c r="D3443" s="2805"/>
      <c r="E3443" s="2805"/>
      <c r="F3443" s="1683" t="s">
        <v>807</v>
      </c>
      <c r="G3443" s="1655">
        <v>89.53</v>
      </c>
      <c r="H3443" s="1641"/>
      <c r="I3443" s="2049">
        <v>16.4215926</v>
      </c>
      <c r="J3443" s="1654">
        <v>9.18</v>
      </c>
      <c r="K3443" s="1655">
        <v>1.25</v>
      </c>
      <c r="L3443" s="1654">
        <v>188.44</v>
      </c>
      <c r="M3443" s="1641"/>
      <c r="N3443" s="1681"/>
      <c r="EW3443" s="2031"/>
      <c r="EX3443" s="1619"/>
      <c r="EY3443" s="1628"/>
      <c r="EZ3443" s="1628"/>
      <c r="FA3443" s="1628"/>
      <c r="FD3443" s="1864" t="s">
        <v>8636</v>
      </c>
      <c r="FH3443" s="1628"/>
      <c r="FU3443" s="1678"/>
      <c r="FW3443" s="1678"/>
    </row>
    <row r="3444" spans="1:179" s="1484" customFormat="1" ht="15" x14ac:dyDescent="0.25">
      <c r="A3444" s="2033"/>
      <c r="B3444" s="1631" t="s">
        <v>1734</v>
      </c>
      <c r="C3444" s="2805" t="s">
        <v>5002</v>
      </c>
      <c r="D3444" s="2805"/>
      <c r="E3444" s="2805"/>
      <c r="F3444" s="1683" t="s">
        <v>4994</v>
      </c>
      <c r="G3444" s="1655">
        <v>9.69</v>
      </c>
      <c r="H3444" s="1641"/>
      <c r="I3444" s="2049">
        <v>1.7773398</v>
      </c>
      <c r="J3444" s="1654">
        <v>86.4</v>
      </c>
      <c r="K3444" s="1641"/>
      <c r="L3444" s="1654">
        <v>153.56</v>
      </c>
      <c r="M3444" s="1641"/>
      <c r="N3444" s="1681"/>
      <c r="EW3444" s="2031"/>
      <c r="EX3444" s="1619"/>
      <c r="EY3444" s="1628"/>
      <c r="EZ3444" s="1628"/>
      <c r="FA3444" s="1628"/>
      <c r="FD3444" s="1864" t="s">
        <v>5002</v>
      </c>
      <c r="FH3444" s="1628"/>
      <c r="FU3444" s="1678"/>
      <c r="FW3444" s="1678"/>
    </row>
    <row r="3445" spans="1:179" s="1484" customFormat="1" ht="22.5" x14ac:dyDescent="0.25">
      <c r="A3445" s="2033"/>
      <c r="B3445" s="1631" t="s">
        <v>817</v>
      </c>
      <c r="C3445" s="2805" t="s">
        <v>818</v>
      </c>
      <c r="D3445" s="2805"/>
      <c r="E3445" s="2805"/>
      <c r="F3445" s="1683" t="s">
        <v>4994</v>
      </c>
      <c r="G3445" s="1655">
        <v>1.52</v>
      </c>
      <c r="H3445" s="1641"/>
      <c r="I3445" s="2049">
        <v>0.2787984</v>
      </c>
      <c r="J3445" s="1654">
        <v>115.4</v>
      </c>
      <c r="K3445" s="1641"/>
      <c r="L3445" s="1654">
        <v>32.17</v>
      </c>
      <c r="M3445" s="1641"/>
      <c r="N3445" s="1681"/>
      <c r="EW3445" s="2031"/>
      <c r="EX3445" s="1619"/>
      <c r="EY3445" s="1628"/>
      <c r="EZ3445" s="1628"/>
      <c r="FA3445" s="1628"/>
      <c r="FD3445" s="1864" t="s">
        <v>818</v>
      </c>
      <c r="FH3445" s="1628"/>
      <c r="FU3445" s="1678"/>
      <c r="FW3445" s="1678"/>
    </row>
    <row r="3446" spans="1:179" s="1484" customFormat="1" ht="15" x14ac:dyDescent="0.25">
      <c r="A3446" s="2033"/>
      <c r="B3446" s="1631" t="s">
        <v>821</v>
      </c>
      <c r="C3446" s="2805" t="s">
        <v>822</v>
      </c>
      <c r="D3446" s="2805"/>
      <c r="E3446" s="2805"/>
      <c r="F3446" s="1683" t="s">
        <v>4994</v>
      </c>
      <c r="G3446" s="1655">
        <v>1.83</v>
      </c>
      <c r="H3446" s="1641"/>
      <c r="I3446" s="2049">
        <v>0.33565859999999997</v>
      </c>
      <c r="J3446" s="1654">
        <v>65.709999999999994</v>
      </c>
      <c r="K3446" s="1641"/>
      <c r="L3446" s="1654">
        <v>22.06</v>
      </c>
      <c r="M3446" s="1641"/>
      <c r="N3446" s="1681"/>
      <c r="EW3446" s="2031"/>
      <c r="EX3446" s="1619"/>
      <c r="EY3446" s="1628"/>
      <c r="EZ3446" s="1628"/>
      <c r="FA3446" s="1628"/>
      <c r="FD3446" s="1864" t="s">
        <v>822</v>
      </c>
      <c r="FH3446" s="1628"/>
      <c r="FU3446" s="1678"/>
      <c r="FW3446" s="1678"/>
    </row>
    <row r="3447" spans="1:179" s="1484" customFormat="1" ht="15" x14ac:dyDescent="0.25">
      <c r="A3447" s="2033"/>
      <c r="B3447" s="1631" t="s">
        <v>841</v>
      </c>
      <c r="C3447" s="2805" t="s">
        <v>842</v>
      </c>
      <c r="D3447" s="2805"/>
      <c r="E3447" s="2805"/>
      <c r="F3447" s="1683" t="s">
        <v>801</v>
      </c>
      <c r="G3447" s="2042">
        <v>4.13E-3</v>
      </c>
      <c r="H3447" s="1641"/>
      <c r="I3447" s="2049">
        <v>7.5750000000000004E-4</v>
      </c>
      <c r="J3447" s="1657">
        <v>11978</v>
      </c>
      <c r="K3447" s="1641"/>
      <c r="L3447" s="1654">
        <v>9.07</v>
      </c>
      <c r="M3447" s="1641"/>
      <c r="N3447" s="1681"/>
      <c r="EW3447" s="2031"/>
      <c r="EX3447" s="1619"/>
      <c r="EY3447" s="1628"/>
      <c r="EZ3447" s="1628"/>
      <c r="FA3447" s="1628"/>
      <c r="FD3447" s="1864" t="s">
        <v>842</v>
      </c>
      <c r="FH3447" s="1628"/>
      <c r="FU3447" s="1678"/>
      <c r="FW3447" s="1678"/>
    </row>
    <row r="3448" spans="1:179" s="1484" customFormat="1" ht="22.5" x14ac:dyDescent="0.25">
      <c r="A3448" s="2033"/>
      <c r="B3448" s="1631" t="s">
        <v>8681</v>
      </c>
      <c r="C3448" s="2805" t="s">
        <v>8680</v>
      </c>
      <c r="D3448" s="2805"/>
      <c r="E3448" s="2805"/>
      <c r="F3448" s="1683" t="s">
        <v>832</v>
      </c>
      <c r="G3448" s="2046">
        <v>0.105</v>
      </c>
      <c r="H3448" s="1641"/>
      <c r="I3448" s="2049">
        <v>1.9259100000000001E-2</v>
      </c>
      <c r="J3448" s="1654">
        <v>458</v>
      </c>
      <c r="K3448" s="1641"/>
      <c r="L3448" s="1654">
        <v>8.82</v>
      </c>
      <c r="M3448" s="1641"/>
      <c r="N3448" s="1681"/>
      <c r="EW3448" s="2031"/>
      <c r="EX3448" s="1619"/>
      <c r="EY3448" s="1628"/>
      <c r="EZ3448" s="1628"/>
      <c r="FA3448" s="1628"/>
      <c r="FD3448" s="1864" t="s">
        <v>8680</v>
      </c>
      <c r="FH3448" s="1628"/>
      <c r="FU3448" s="1678"/>
      <c r="FW3448" s="1678"/>
    </row>
    <row r="3449" spans="1:179" s="1484" customFormat="1" ht="15" x14ac:dyDescent="0.25">
      <c r="A3449" s="2033"/>
      <c r="B3449" s="1631" t="s">
        <v>8679</v>
      </c>
      <c r="C3449" s="2805" t="s">
        <v>8678</v>
      </c>
      <c r="D3449" s="2805"/>
      <c r="E3449" s="2805"/>
      <c r="F3449" s="1683" t="s">
        <v>835</v>
      </c>
      <c r="G3449" s="1953">
        <v>37.5</v>
      </c>
      <c r="H3449" s="1641"/>
      <c r="I3449" s="2042">
        <v>6.8782500000000004</v>
      </c>
      <c r="J3449" s="1654">
        <v>10.26</v>
      </c>
      <c r="K3449" s="1641"/>
      <c r="L3449" s="1654">
        <v>70.569999999999993</v>
      </c>
      <c r="M3449" s="1641"/>
      <c r="N3449" s="1681"/>
      <c r="EW3449" s="2031"/>
      <c r="EX3449" s="1619"/>
      <c r="EY3449" s="1628"/>
      <c r="EZ3449" s="1628"/>
      <c r="FA3449" s="1628"/>
      <c r="FD3449" s="1864" t="s">
        <v>8678</v>
      </c>
      <c r="FH3449" s="1628"/>
      <c r="FU3449" s="1678"/>
      <c r="FW3449" s="1678"/>
    </row>
    <row r="3450" spans="1:179" s="1484" customFormat="1" ht="22.5" x14ac:dyDescent="0.25">
      <c r="A3450" s="2033"/>
      <c r="B3450" s="1631" t="s">
        <v>8677</v>
      </c>
      <c r="C3450" s="2805" t="s">
        <v>8676</v>
      </c>
      <c r="D3450" s="2805"/>
      <c r="E3450" s="2805"/>
      <c r="F3450" s="1683" t="s">
        <v>832</v>
      </c>
      <c r="G3450" s="1655">
        <v>0.08</v>
      </c>
      <c r="H3450" s="1641"/>
      <c r="I3450" s="2049">
        <v>1.46736E-2</v>
      </c>
      <c r="J3450" s="1657">
        <v>1100</v>
      </c>
      <c r="K3450" s="1641"/>
      <c r="L3450" s="1654">
        <v>16.14</v>
      </c>
      <c r="M3450" s="1641"/>
      <c r="N3450" s="1681"/>
      <c r="EW3450" s="2031"/>
      <c r="EX3450" s="1619"/>
      <c r="EY3450" s="1628"/>
      <c r="EZ3450" s="1628"/>
      <c r="FA3450" s="1628"/>
      <c r="FD3450" s="1864" t="s">
        <v>8676</v>
      </c>
      <c r="FH3450" s="1628"/>
      <c r="FU3450" s="1678"/>
      <c r="FW3450" s="1678"/>
    </row>
    <row r="3451" spans="1:179" s="1484" customFormat="1" ht="15" x14ac:dyDescent="0.25">
      <c r="A3451" s="2033"/>
      <c r="B3451" s="1631" t="s">
        <v>8642</v>
      </c>
      <c r="C3451" s="2805" t="s">
        <v>8641</v>
      </c>
      <c r="D3451" s="2805"/>
      <c r="E3451" s="2805"/>
      <c r="F3451" s="1683" t="s">
        <v>4868</v>
      </c>
      <c r="G3451" s="1953">
        <v>32.4</v>
      </c>
      <c r="H3451" s="1641"/>
      <c r="I3451" s="2043">
        <v>5.9428080000000003</v>
      </c>
      <c r="J3451" s="1654">
        <v>46.86</v>
      </c>
      <c r="K3451" s="1641"/>
      <c r="L3451" s="1654">
        <v>278.48</v>
      </c>
      <c r="M3451" s="1641"/>
      <c r="N3451" s="1681"/>
      <c r="EW3451" s="2031"/>
      <c r="EX3451" s="1619"/>
      <c r="EY3451" s="1628"/>
      <c r="EZ3451" s="1628"/>
      <c r="FA3451" s="1628"/>
      <c r="FD3451" s="1864" t="s">
        <v>8641</v>
      </c>
      <c r="FH3451" s="1628"/>
      <c r="FU3451" s="1678"/>
      <c r="FW3451" s="1678"/>
    </row>
    <row r="3452" spans="1:179" s="1484" customFormat="1" ht="15" x14ac:dyDescent="0.25">
      <c r="A3452" s="2032"/>
      <c r="B3452" s="1631" t="s">
        <v>190</v>
      </c>
      <c r="C3452" s="2805" t="s">
        <v>2523</v>
      </c>
      <c r="D3452" s="2805"/>
      <c r="E3452" s="2805"/>
      <c r="F3452" s="1683"/>
      <c r="G3452" s="1641"/>
      <c r="H3452" s="1641"/>
      <c r="I3452" s="1641"/>
      <c r="J3452" s="1654">
        <v>821.89</v>
      </c>
      <c r="K3452" s="1655">
        <v>1.25</v>
      </c>
      <c r="L3452" s="1654">
        <v>188.44</v>
      </c>
      <c r="M3452" s="1655">
        <v>35.75</v>
      </c>
      <c r="N3452" s="1679">
        <v>6736.73</v>
      </c>
      <c r="EW3452" s="2031"/>
      <c r="EX3452" s="1619"/>
      <c r="EY3452" s="1628"/>
      <c r="EZ3452" s="1628"/>
      <c r="FA3452" s="1628"/>
      <c r="FE3452" s="1864" t="s">
        <v>2523</v>
      </c>
      <c r="FH3452" s="1628"/>
      <c r="FU3452" s="1678"/>
      <c r="FW3452" s="1678"/>
    </row>
    <row r="3453" spans="1:179" s="1484" customFormat="1" ht="15" x14ac:dyDescent="0.25">
      <c r="A3453" s="2032"/>
      <c r="B3453" s="1631" t="s">
        <v>639</v>
      </c>
      <c r="C3453" s="2805" t="s">
        <v>697</v>
      </c>
      <c r="D3453" s="2805"/>
      <c r="E3453" s="2805"/>
      <c r="F3453" s="1683"/>
      <c r="G3453" s="1641"/>
      <c r="H3453" s="1641"/>
      <c r="I3453" s="1641"/>
      <c r="J3453" s="1657">
        <v>1132.8800000000001</v>
      </c>
      <c r="K3453" s="1641"/>
      <c r="L3453" s="1654">
        <v>207.79</v>
      </c>
      <c r="M3453" s="1655">
        <v>11.97</v>
      </c>
      <c r="N3453" s="1679">
        <v>2487.25</v>
      </c>
      <c r="EW3453" s="2031"/>
      <c r="EX3453" s="1619"/>
      <c r="EY3453" s="1628"/>
      <c r="EZ3453" s="1628"/>
      <c r="FA3453" s="1628"/>
      <c r="FE3453" s="1864" t="s">
        <v>697</v>
      </c>
      <c r="FH3453" s="1628"/>
      <c r="FU3453" s="1678"/>
      <c r="FW3453" s="1678"/>
    </row>
    <row r="3454" spans="1:179" s="1484" customFormat="1" ht="15" x14ac:dyDescent="0.25">
      <c r="A3454" s="2032"/>
      <c r="B3454" s="1631" t="s">
        <v>640</v>
      </c>
      <c r="C3454" s="2805" t="s">
        <v>2500</v>
      </c>
      <c r="D3454" s="2805"/>
      <c r="E3454" s="2805"/>
      <c r="F3454" s="1683"/>
      <c r="G3454" s="1641"/>
      <c r="H3454" s="1641"/>
      <c r="I3454" s="1641"/>
      <c r="J3454" s="1654">
        <v>172.57</v>
      </c>
      <c r="K3454" s="1641"/>
      <c r="L3454" s="1654">
        <v>31.65</v>
      </c>
      <c r="M3454" s="1655">
        <v>35.75</v>
      </c>
      <c r="N3454" s="1679">
        <v>1131.49</v>
      </c>
      <c r="EW3454" s="2031"/>
      <c r="EX3454" s="1619"/>
      <c r="EY3454" s="1628"/>
      <c r="EZ3454" s="1628"/>
      <c r="FA3454" s="1628"/>
      <c r="FE3454" s="1864" t="s">
        <v>2500</v>
      </c>
      <c r="FH3454" s="1628"/>
      <c r="FU3454" s="1678"/>
      <c r="FW3454" s="1678"/>
    </row>
    <row r="3455" spans="1:179" s="1484" customFormat="1" ht="15" x14ac:dyDescent="0.25">
      <c r="A3455" s="2032"/>
      <c r="B3455" s="1631" t="s">
        <v>232</v>
      </c>
      <c r="C3455" s="2805" t="s">
        <v>829</v>
      </c>
      <c r="D3455" s="2805"/>
      <c r="E3455" s="2805"/>
      <c r="F3455" s="1683"/>
      <c r="G3455" s="1641"/>
      <c r="H3455" s="1641"/>
      <c r="I3455" s="1641"/>
      <c r="J3455" s="1657">
        <v>2088.5700000000002</v>
      </c>
      <c r="K3455" s="1641"/>
      <c r="L3455" s="1654">
        <v>383.09</v>
      </c>
      <c r="M3455" s="1655">
        <v>9.14</v>
      </c>
      <c r="N3455" s="1679">
        <v>3501.44</v>
      </c>
      <c r="EW3455" s="2031"/>
      <c r="EX3455" s="1619"/>
      <c r="EY3455" s="1628"/>
      <c r="EZ3455" s="1628"/>
      <c r="FA3455" s="1628"/>
      <c r="FE3455" s="1864" t="s">
        <v>829</v>
      </c>
      <c r="FH3455" s="1628"/>
      <c r="FU3455" s="1678"/>
      <c r="FW3455" s="1678"/>
    </row>
    <row r="3456" spans="1:179" s="1484" customFormat="1" ht="15" x14ac:dyDescent="0.25">
      <c r="A3456" s="2033"/>
      <c r="B3456" s="1631"/>
      <c r="C3456" s="2805" t="s">
        <v>2524</v>
      </c>
      <c r="D3456" s="2805"/>
      <c r="E3456" s="2805"/>
      <c r="F3456" s="1683" t="s">
        <v>807</v>
      </c>
      <c r="G3456" s="1655">
        <v>89.53</v>
      </c>
      <c r="H3456" s="1641"/>
      <c r="I3456" s="2049">
        <v>16.4215926</v>
      </c>
      <c r="J3456" s="1640"/>
      <c r="K3456" s="1641"/>
      <c r="L3456" s="1640"/>
      <c r="M3456" s="1641"/>
      <c r="N3456" s="1681"/>
      <c r="EW3456" s="2031"/>
      <c r="EX3456" s="1619"/>
      <c r="EY3456" s="1628"/>
      <c r="EZ3456" s="1628"/>
      <c r="FA3456" s="1628"/>
      <c r="FF3456" s="1864" t="s">
        <v>2524</v>
      </c>
      <c r="FH3456" s="1628"/>
      <c r="FU3456" s="1678"/>
      <c r="FW3456" s="1678"/>
    </row>
    <row r="3457" spans="1:179" s="1484" customFormat="1" ht="15" x14ac:dyDescent="0.25">
      <c r="A3457" s="2033"/>
      <c r="B3457" s="1631"/>
      <c r="C3457" s="2805" t="s">
        <v>2501</v>
      </c>
      <c r="D3457" s="2805"/>
      <c r="E3457" s="2805"/>
      <c r="F3457" s="1683" t="s">
        <v>807</v>
      </c>
      <c r="G3457" s="1655">
        <v>13.04</v>
      </c>
      <c r="H3457" s="1641"/>
      <c r="I3457" s="2049">
        <v>2.3917967999999998</v>
      </c>
      <c r="J3457" s="1640"/>
      <c r="K3457" s="1641"/>
      <c r="L3457" s="1640"/>
      <c r="M3457" s="1641"/>
      <c r="N3457" s="1681"/>
      <c r="EW3457" s="2031"/>
      <c r="EX3457" s="1619"/>
      <c r="EY3457" s="1628"/>
      <c r="EZ3457" s="1628"/>
      <c r="FA3457" s="1628"/>
      <c r="FF3457" s="1864" t="s">
        <v>2501</v>
      </c>
      <c r="FH3457" s="1628"/>
      <c r="FU3457" s="1678"/>
      <c r="FW3457" s="1678"/>
    </row>
    <row r="3458" spans="1:179" s="1484" customFormat="1" ht="15" x14ac:dyDescent="0.25">
      <c r="A3458" s="2032"/>
      <c r="B3458" s="1631"/>
      <c r="C3458" s="2917" t="s">
        <v>2502</v>
      </c>
      <c r="D3458" s="2917"/>
      <c r="E3458" s="2917"/>
      <c r="F3458" s="2036"/>
      <c r="G3458" s="2037"/>
      <c r="H3458" s="2037"/>
      <c r="I3458" s="2037"/>
      <c r="J3458" s="2038">
        <v>4043.34</v>
      </c>
      <c r="K3458" s="2037"/>
      <c r="L3458" s="2044">
        <v>779.32</v>
      </c>
      <c r="M3458" s="2037"/>
      <c r="N3458" s="2068">
        <v>12725.42</v>
      </c>
      <c r="EW3458" s="2031"/>
      <c r="EX3458" s="1619"/>
      <c r="EY3458" s="1628"/>
      <c r="EZ3458" s="1628"/>
      <c r="FA3458" s="1628"/>
      <c r="FG3458" s="1864" t="s">
        <v>2502</v>
      </c>
      <c r="FH3458" s="1628"/>
      <c r="FU3458" s="1678"/>
      <c r="FW3458" s="1678"/>
    </row>
    <row r="3459" spans="1:179" s="1484" customFormat="1" ht="15" x14ac:dyDescent="0.25">
      <c r="A3459" s="2033" t="s">
        <v>8558</v>
      </c>
      <c r="B3459" s="1631"/>
      <c r="C3459" s="2805" t="s">
        <v>7964</v>
      </c>
      <c r="D3459" s="2805"/>
      <c r="E3459" s="2805"/>
      <c r="F3459" s="1683" t="s">
        <v>5928</v>
      </c>
      <c r="G3459" s="1641"/>
      <c r="H3459" s="1641"/>
      <c r="I3459" s="1641"/>
      <c r="J3459" s="1640"/>
      <c r="K3459" s="1641"/>
      <c r="L3459" s="1654">
        <v>7.91</v>
      </c>
      <c r="M3459" s="1641"/>
      <c r="N3459" s="2039">
        <v>282.77999999999997</v>
      </c>
      <c r="EW3459" s="2031"/>
      <c r="EX3459" s="1619"/>
      <c r="EY3459" s="1628"/>
      <c r="EZ3459" s="1628"/>
      <c r="FA3459" s="1628"/>
      <c r="FF3459" s="1864" t="s">
        <v>7964</v>
      </c>
      <c r="FH3459" s="1628"/>
      <c r="FU3459" s="1678"/>
      <c r="FW3459" s="1678"/>
    </row>
    <row r="3460" spans="1:179" s="1484" customFormat="1" ht="15" x14ac:dyDescent="0.25">
      <c r="A3460" s="2033"/>
      <c r="B3460" s="1631"/>
      <c r="C3460" s="2805" t="s">
        <v>7965</v>
      </c>
      <c r="D3460" s="2805"/>
      <c r="E3460" s="2805"/>
      <c r="F3460" s="1683" t="s">
        <v>5928</v>
      </c>
      <c r="G3460" s="1641"/>
      <c r="H3460" s="1641"/>
      <c r="I3460" s="1641"/>
      <c r="J3460" s="1654">
        <v>172.57</v>
      </c>
      <c r="K3460" s="1655">
        <v>0.25</v>
      </c>
      <c r="L3460" s="1654">
        <v>7.91</v>
      </c>
      <c r="M3460" s="1655">
        <v>35.75</v>
      </c>
      <c r="N3460" s="2039">
        <v>282.77999999999997</v>
      </c>
      <c r="EW3460" s="2031"/>
      <c r="EX3460" s="1619"/>
      <c r="EY3460" s="1628"/>
      <c r="EZ3460" s="1628"/>
      <c r="FA3460" s="1628"/>
      <c r="FF3460" s="1864" t="s">
        <v>7965</v>
      </c>
      <c r="FH3460" s="1628"/>
      <c r="FU3460" s="1678"/>
      <c r="FW3460" s="1678"/>
    </row>
    <row r="3461" spans="1:179" s="1484" customFormat="1" ht="15" x14ac:dyDescent="0.25">
      <c r="A3461" s="2033"/>
      <c r="B3461" s="1631"/>
      <c r="C3461" s="2805" t="s">
        <v>867</v>
      </c>
      <c r="D3461" s="2805"/>
      <c r="E3461" s="2805"/>
      <c r="F3461" s="1683"/>
      <c r="G3461" s="1641"/>
      <c r="H3461" s="1641"/>
      <c r="I3461" s="1641"/>
      <c r="J3461" s="1640"/>
      <c r="K3461" s="1641"/>
      <c r="L3461" s="1654">
        <v>228</v>
      </c>
      <c r="M3461" s="1641"/>
      <c r="N3461" s="1679">
        <v>8151</v>
      </c>
      <c r="EW3461" s="2031"/>
      <c r="EX3461" s="1619"/>
      <c r="EY3461" s="1628"/>
      <c r="EZ3461" s="1628"/>
      <c r="FA3461" s="1628"/>
      <c r="FF3461" s="1864" t="s">
        <v>867</v>
      </c>
      <c r="FH3461" s="1628"/>
      <c r="FU3461" s="1678"/>
      <c r="FW3461" s="1678"/>
    </row>
    <row r="3462" spans="1:179" s="1484" customFormat="1" ht="15" x14ac:dyDescent="0.25">
      <c r="A3462" s="2033"/>
      <c r="B3462" s="1631" t="s">
        <v>8043</v>
      </c>
      <c r="C3462" s="2805" t="s">
        <v>8044</v>
      </c>
      <c r="D3462" s="2805"/>
      <c r="E3462" s="2805"/>
      <c r="F3462" s="1683" t="s">
        <v>636</v>
      </c>
      <c r="G3462" s="2034">
        <v>108</v>
      </c>
      <c r="H3462" s="1641"/>
      <c r="I3462" s="2034">
        <v>108</v>
      </c>
      <c r="J3462" s="1640"/>
      <c r="K3462" s="1641"/>
      <c r="L3462" s="1654">
        <v>246.24</v>
      </c>
      <c r="M3462" s="1641"/>
      <c r="N3462" s="1679">
        <v>8803.08</v>
      </c>
      <c r="EW3462" s="2031"/>
      <c r="EX3462" s="1619"/>
      <c r="EY3462" s="1628"/>
      <c r="EZ3462" s="1628"/>
      <c r="FA3462" s="1628"/>
      <c r="FF3462" s="1864" t="s">
        <v>8044</v>
      </c>
      <c r="FH3462" s="1628"/>
      <c r="FU3462" s="1678"/>
      <c r="FW3462" s="1678"/>
    </row>
    <row r="3463" spans="1:179" s="1484" customFormat="1" ht="15" x14ac:dyDescent="0.25">
      <c r="A3463" s="2033"/>
      <c r="B3463" s="1631" t="s">
        <v>8045</v>
      </c>
      <c r="C3463" s="2805" t="s">
        <v>8046</v>
      </c>
      <c r="D3463" s="2805"/>
      <c r="E3463" s="2805"/>
      <c r="F3463" s="1683" t="s">
        <v>636</v>
      </c>
      <c r="G3463" s="2034">
        <v>55</v>
      </c>
      <c r="H3463" s="1641"/>
      <c r="I3463" s="2034">
        <v>55</v>
      </c>
      <c r="J3463" s="1640"/>
      <c r="K3463" s="1641"/>
      <c r="L3463" s="1654">
        <v>125.4</v>
      </c>
      <c r="M3463" s="1641"/>
      <c r="N3463" s="1679">
        <v>4483.05</v>
      </c>
      <c r="EW3463" s="2031"/>
      <c r="EX3463" s="1619"/>
      <c r="EY3463" s="1628"/>
      <c r="EZ3463" s="1628"/>
      <c r="FA3463" s="1628"/>
      <c r="FF3463" s="1864" t="s">
        <v>8046</v>
      </c>
      <c r="FH3463" s="1628"/>
      <c r="FU3463" s="1678"/>
      <c r="FW3463" s="1678"/>
    </row>
    <row r="3464" spans="1:179" s="1484" customFormat="1" ht="15" x14ac:dyDescent="0.25">
      <c r="A3464" s="1650"/>
      <c r="B3464" s="1651"/>
      <c r="C3464" s="2803" t="s">
        <v>872</v>
      </c>
      <c r="D3464" s="2803"/>
      <c r="E3464" s="2803"/>
      <c r="F3464" s="1621"/>
      <c r="G3464" s="1622"/>
      <c r="H3464" s="1622"/>
      <c r="I3464" s="1622"/>
      <c r="J3464" s="1625"/>
      <c r="K3464" s="1622"/>
      <c r="L3464" s="1648">
        <v>1158.8699999999999</v>
      </c>
      <c r="M3464" s="2037"/>
      <c r="N3464" s="1649">
        <v>26294.33</v>
      </c>
      <c r="EW3464" s="2031"/>
      <c r="EX3464" s="1619"/>
      <c r="EY3464" s="1628"/>
      <c r="EZ3464" s="1628"/>
      <c r="FA3464" s="1628"/>
      <c r="FH3464" s="1628" t="s">
        <v>872</v>
      </c>
      <c r="FU3464" s="1678"/>
      <c r="FW3464" s="1678"/>
    </row>
    <row r="3465" spans="1:179" s="1484" customFormat="1" ht="56.25" x14ac:dyDescent="0.25">
      <c r="A3465" s="1620" t="s">
        <v>190</v>
      </c>
      <c r="B3465" s="1863" t="s">
        <v>8675</v>
      </c>
      <c r="C3465" s="2803" t="s">
        <v>8559</v>
      </c>
      <c r="D3465" s="2803"/>
      <c r="E3465" s="2803"/>
      <c r="F3465" s="1621" t="s">
        <v>269</v>
      </c>
      <c r="G3465" s="1622">
        <v>1</v>
      </c>
      <c r="H3465" s="1623">
        <v>1</v>
      </c>
      <c r="I3465" s="1623">
        <v>1</v>
      </c>
      <c r="J3465" s="1648">
        <v>151470</v>
      </c>
      <c r="K3465" s="1622"/>
      <c r="L3465" s="1648">
        <v>16572.21</v>
      </c>
      <c r="M3465" s="1687">
        <v>9.14</v>
      </c>
      <c r="N3465" s="1649">
        <v>151470</v>
      </c>
      <c r="EW3465" s="2031"/>
      <c r="EX3465" s="1619"/>
      <c r="EY3465" s="1628" t="s">
        <v>8559</v>
      </c>
      <c r="EZ3465" s="1628" t="s">
        <v>588</v>
      </c>
      <c r="FA3465" s="1628" t="s">
        <v>588</v>
      </c>
      <c r="FH3465" s="1628"/>
      <c r="FU3465" s="1678"/>
      <c r="FW3465" s="1678"/>
    </row>
    <row r="3466" spans="1:179" s="1484" customFormat="1" ht="15" x14ac:dyDescent="0.25">
      <c r="A3466" s="1650"/>
      <c r="B3466" s="1651"/>
      <c r="C3466" s="2805" t="s">
        <v>8660</v>
      </c>
      <c r="D3466" s="2805"/>
      <c r="E3466" s="2805"/>
      <c r="F3466" s="2805"/>
      <c r="G3466" s="2805"/>
      <c r="H3466" s="2805"/>
      <c r="I3466" s="2805"/>
      <c r="J3466" s="2805"/>
      <c r="K3466" s="2805"/>
      <c r="L3466" s="2805"/>
      <c r="M3466" s="2805"/>
      <c r="N3466" s="2806"/>
      <c r="EW3466" s="2031"/>
      <c r="EX3466" s="1619"/>
      <c r="EY3466" s="1628"/>
      <c r="EZ3466" s="1628"/>
      <c r="FA3466" s="1628"/>
      <c r="FH3466" s="1628"/>
      <c r="FI3466" s="1864" t="s">
        <v>8660</v>
      </c>
      <c r="FJ3466" s="1864" t="s">
        <v>588</v>
      </c>
      <c r="FK3466" s="1864" t="s">
        <v>588</v>
      </c>
      <c r="FL3466" s="1864" t="s">
        <v>588</v>
      </c>
      <c r="FM3466" s="1864" t="s">
        <v>588</v>
      </c>
      <c r="FN3466" s="1864" t="s">
        <v>588</v>
      </c>
      <c r="FO3466" s="1864" t="s">
        <v>588</v>
      </c>
      <c r="FP3466" s="1864" t="s">
        <v>588</v>
      </c>
      <c r="FQ3466" s="1864" t="s">
        <v>588</v>
      </c>
      <c r="FR3466" s="1864" t="s">
        <v>588</v>
      </c>
      <c r="FS3466" s="1864" t="s">
        <v>588</v>
      </c>
      <c r="FT3466" s="1864" t="s">
        <v>588</v>
      </c>
      <c r="FU3466" s="1678"/>
      <c r="FW3466" s="1678"/>
    </row>
    <row r="3467" spans="1:179" s="1484" customFormat="1" ht="15" x14ac:dyDescent="0.25">
      <c r="A3467" s="1629"/>
      <c r="B3467" s="1862"/>
      <c r="C3467" s="2805" t="s">
        <v>8659</v>
      </c>
      <c r="D3467" s="2805"/>
      <c r="E3467" s="2805"/>
      <c r="F3467" s="2805"/>
      <c r="G3467" s="2805"/>
      <c r="H3467" s="2805"/>
      <c r="I3467" s="2805"/>
      <c r="J3467" s="2805"/>
      <c r="K3467" s="2805"/>
      <c r="L3467" s="2805"/>
      <c r="M3467" s="2805"/>
      <c r="N3467" s="2806"/>
      <c r="EW3467" s="2031"/>
      <c r="EX3467" s="1619"/>
      <c r="EY3467" s="1628"/>
      <c r="EZ3467" s="1628"/>
      <c r="FA3467" s="1628"/>
      <c r="FB3467" s="1864" t="s">
        <v>8659</v>
      </c>
      <c r="FH3467" s="1628"/>
      <c r="FU3467" s="1678"/>
      <c r="FW3467" s="1678"/>
    </row>
    <row r="3468" spans="1:179" s="1484" customFormat="1" ht="15" x14ac:dyDescent="0.25">
      <c r="A3468" s="1650"/>
      <c r="B3468" s="1651"/>
      <c r="C3468" s="2803" t="s">
        <v>872</v>
      </c>
      <c r="D3468" s="2803"/>
      <c r="E3468" s="2803"/>
      <c r="F3468" s="1621"/>
      <c r="G3468" s="1622"/>
      <c r="H3468" s="1622"/>
      <c r="I3468" s="1622"/>
      <c r="J3468" s="1625"/>
      <c r="K3468" s="1622"/>
      <c r="L3468" s="1648">
        <v>16572.21</v>
      </c>
      <c r="M3468" s="2037"/>
      <c r="N3468" s="1649">
        <v>151470</v>
      </c>
      <c r="EW3468" s="2031"/>
      <c r="EX3468" s="1619"/>
      <c r="EY3468" s="1628"/>
      <c r="EZ3468" s="1628"/>
      <c r="FA3468" s="1628"/>
      <c r="FH3468" s="1628" t="s">
        <v>872</v>
      </c>
      <c r="FU3468" s="1678"/>
      <c r="FW3468" s="1678"/>
    </row>
    <row r="3469" spans="1:179" s="1484" customFormat="1" ht="56.25" x14ac:dyDescent="0.25">
      <c r="A3469" s="1620" t="s">
        <v>639</v>
      </c>
      <c r="B3469" s="1863" t="s">
        <v>8674</v>
      </c>
      <c r="C3469" s="2803" t="s">
        <v>8560</v>
      </c>
      <c r="D3469" s="2803"/>
      <c r="E3469" s="2803"/>
      <c r="F3469" s="1621" t="s">
        <v>269</v>
      </c>
      <c r="G3469" s="1622">
        <v>1</v>
      </c>
      <c r="H3469" s="1623">
        <v>1</v>
      </c>
      <c r="I3469" s="1623">
        <v>1</v>
      </c>
      <c r="J3469" s="1648">
        <v>151470</v>
      </c>
      <c r="K3469" s="1622"/>
      <c r="L3469" s="1648">
        <v>16572.21</v>
      </c>
      <c r="M3469" s="1687">
        <v>9.14</v>
      </c>
      <c r="N3469" s="1649">
        <v>151470</v>
      </c>
      <c r="EW3469" s="2031"/>
      <c r="EX3469" s="1619"/>
      <c r="EY3469" s="1628" t="s">
        <v>8560</v>
      </c>
      <c r="EZ3469" s="1628" t="s">
        <v>588</v>
      </c>
      <c r="FA3469" s="1628" t="s">
        <v>588</v>
      </c>
      <c r="FH3469" s="1628"/>
      <c r="FU3469" s="1678"/>
      <c r="FW3469" s="1678"/>
    </row>
    <row r="3470" spans="1:179" s="1484" customFormat="1" ht="15" x14ac:dyDescent="0.25">
      <c r="A3470" s="1650"/>
      <c r="B3470" s="1651"/>
      <c r="C3470" s="2805" t="s">
        <v>8660</v>
      </c>
      <c r="D3470" s="2805"/>
      <c r="E3470" s="2805"/>
      <c r="F3470" s="2805"/>
      <c r="G3470" s="2805"/>
      <c r="H3470" s="2805"/>
      <c r="I3470" s="2805"/>
      <c r="J3470" s="2805"/>
      <c r="K3470" s="2805"/>
      <c r="L3470" s="2805"/>
      <c r="M3470" s="2805"/>
      <c r="N3470" s="2806"/>
      <c r="EW3470" s="2031"/>
      <c r="EX3470" s="1619"/>
      <c r="EY3470" s="1628"/>
      <c r="EZ3470" s="1628"/>
      <c r="FA3470" s="1628"/>
      <c r="FH3470" s="1628"/>
      <c r="FI3470" s="1864" t="s">
        <v>8660</v>
      </c>
      <c r="FJ3470" s="1864" t="s">
        <v>588</v>
      </c>
      <c r="FK3470" s="1864" t="s">
        <v>588</v>
      </c>
      <c r="FL3470" s="1864" t="s">
        <v>588</v>
      </c>
      <c r="FM3470" s="1864" t="s">
        <v>588</v>
      </c>
      <c r="FN3470" s="1864" t="s">
        <v>588</v>
      </c>
      <c r="FO3470" s="1864" t="s">
        <v>588</v>
      </c>
      <c r="FP3470" s="1864" t="s">
        <v>588</v>
      </c>
      <c r="FQ3470" s="1864" t="s">
        <v>588</v>
      </c>
      <c r="FR3470" s="1864" t="s">
        <v>588</v>
      </c>
      <c r="FS3470" s="1864" t="s">
        <v>588</v>
      </c>
      <c r="FT3470" s="1864" t="s">
        <v>588</v>
      </c>
      <c r="FU3470" s="1678"/>
      <c r="FW3470" s="1678"/>
    </row>
    <row r="3471" spans="1:179" s="1484" customFormat="1" ht="15" x14ac:dyDescent="0.25">
      <c r="A3471" s="1629"/>
      <c r="B3471" s="1862"/>
      <c r="C3471" s="2805" t="s">
        <v>8659</v>
      </c>
      <c r="D3471" s="2805"/>
      <c r="E3471" s="2805"/>
      <c r="F3471" s="2805"/>
      <c r="G3471" s="2805"/>
      <c r="H3471" s="2805"/>
      <c r="I3471" s="2805"/>
      <c r="J3471" s="2805"/>
      <c r="K3471" s="2805"/>
      <c r="L3471" s="2805"/>
      <c r="M3471" s="2805"/>
      <c r="N3471" s="2806"/>
      <c r="EW3471" s="2031"/>
      <c r="EX3471" s="1619"/>
      <c r="EY3471" s="1628"/>
      <c r="EZ3471" s="1628"/>
      <c r="FA3471" s="1628"/>
      <c r="FB3471" s="1864" t="s">
        <v>8659</v>
      </c>
      <c r="FH3471" s="1628"/>
      <c r="FU3471" s="1678"/>
      <c r="FW3471" s="1678"/>
    </row>
    <row r="3472" spans="1:179" s="1484" customFormat="1" ht="15" x14ac:dyDescent="0.25">
      <c r="A3472" s="1650"/>
      <c r="B3472" s="1651"/>
      <c r="C3472" s="2803" t="s">
        <v>872</v>
      </c>
      <c r="D3472" s="2803"/>
      <c r="E3472" s="2803"/>
      <c r="F3472" s="1621"/>
      <c r="G3472" s="1622"/>
      <c r="H3472" s="1622"/>
      <c r="I3472" s="1622"/>
      <c r="J3472" s="1625"/>
      <c r="K3472" s="1622"/>
      <c r="L3472" s="1648">
        <v>16572.21</v>
      </c>
      <c r="M3472" s="2037"/>
      <c r="N3472" s="1649">
        <v>151470</v>
      </c>
      <c r="EW3472" s="2031"/>
      <c r="EX3472" s="1619"/>
      <c r="EY3472" s="1628"/>
      <c r="EZ3472" s="1628"/>
      <c r="FA3472" s="1628"/>
      <c r="FH3472" s="1628" t="s">
        <v>872</v>
      </c>
      <c r="FU3472" s="1678"/>
      <c r="FW3472" s="1678"/>
    </row>
    <row r="3473" spans="1:179" s="1484" customFormat="1" ht="56.25" x14ac:dyDescent="0.25">
      <c r="A3473" s="1620" t="s">
        <v>640</v>
      </c>
      <c r="B3473" s="1863" t="s">
        <v>8673</v>
      </c>
      <c r="C3473" s="2803" t="s">
        <v>8561</v>
      </c>
      <c r="D3473" s="2803"/>
      <c r="E3473" s="2803"/>
      <c r="F3473" s="1621" t="s">
        <v>269</v>
      </c>
      <c r="G3473" s="1622">
        <v>4</v>
      </c>
      <c r="H3473" s="1623">
        <v>1</v>
      </c>
      <c r="I3473" s="1623">
        <v>4</v>
      </c>
      <c r="J3473" s="1648">
        <v>151470</v>
      </c>
      <c r="K3473" s="1622"/>
      <c r="L3473" s="1648">
        <v>66288.84</v>
      </c>
      <c r="M3473" s="1687">
        <v>9.14</v>
      </c>
      <c r="N3473" s="1649">
        <v>605880</v>
      </c>
      <c r="EW3473" s="2031"/>
      <c r="EX3473" s="1619"/>
      <c r="EY3473" s="1628" t="s">
        <v>8561</v>
      </c>
      <c r="EZ3473" s="1628" t="s">
        <v>588</v>
      </c>
      <c r="FA3473" s="1628" t="s">
        <v>588</v>
      </c>
      <c r="FH3473" s="1628"/>
      <c r="FU3473" s="1678"/>
      <c r="FW3473" s="1678"/>
    </row>
    <row r="3474" spans="1:179" s="1484" customFormat="1" ht="15" x14ac:dyDescent="0.25">
      <c r="A3474" s="1650"/>
      <c r="B3474" s="1651"/>
      <c r="C3474" s="2805" t="s">
        <v>8660</v>
      </c>
      <c r="D3474" s="2805"/>
      <c r="E3474" s="2805"/>
      <c r="F3474" s="2805"/>
      <c r="G3474" s="2805"/>
      <c r="H3474" s="2805"/>
      <c r="I3474" s="2805"/>
      <c r="J3474" s="2805"/>
      <c r="K3474" s="2805"/>
      <c r="L3474" s="2805"/>
      <c r="M3474" s="2805"/>
      <c r="N3474" s="2806"/>
      <c r="EW3474" s="2031"/>
      <c r="EX3474" s="1619"/>
      <c r="EY3474" s="1628"/>
      <c r="EZ3474" s="1628"/>
      <c r="FA3474" s="1628"/>
      <c r="FH3474" s="1628"/>
      <c r="FI3474" s="1864" t="s">
        <v>8660</v>
      </c>
      <c r="FJ3474" s="1864" t="s">
        <v>588</v>
      </c>
      <c r="FK3474" s="1864" t="s">
        <v>588</v>
      </c>
      <c r="FL3474" s="1864" t="s">
        <v>588</v>
      </c>
      <c r="FM3474" s="1864" t="s">
        <v>588</v>
      </c>
      <c r="FN3474" s="1864" t="s">
        <v>588</v>
      </c>
      <c r="FO3474" s="1864" t="s">
        <v>588</v>
      </c>
      <c r="FP3474" s="1864" t="s">
        <v>588</v>
      </c>
      <c r="FQ3474" s="1864" t="s">
        <v>588</v>
      </c>
      <c r="FR3474" s="1864" t="s">
        <v>588</v>
      </c>
      <c r="FS3474" s="1864" t="s">
        <v>588</v>
      </c>
      <c r="FT3474" s="1864" t="s">
        <v>588</v>
      </c>
      <c r="FU3474" s="1678"/>
      <c r="FW3474" s="1678"/>
    </row>
    <row r="3475" spans="1:179" s="1484" customFormat="1" ht="15" x14ac:dyDescent="0.25">
      <c r="A3475" s="1629"/>
      <c r="B3475" s="1862"/>
      <c r="C3475" s="2805" t="s">
        <v>8672</v>
      </c>
      <c r="D3475" s="2805"/>
      <c r="E3475" s="2805"/>
      <c r="F3475" s="2805"/>
      <c r="G3475" s="2805"/>
      <c r="H3475" s="2805"/>
      <c r="I3475" s="2805"/>
      <c r="J3475" s="2805"/>
      <c r="K3475" s="2805"/>
      <c r="L3475" s="2805"/>
      <c r="M3475" s="2805"/>
      <c r="N3475" s="2806"/>
      <c r="EW3475" s="2031"/>
      <c r="EX3475" s="1619"/>
      <c r="EY3475" s="1628"/>
      <c r="EZ3475" s="1628"/>
      <c r="FA3475" s="1628"/>
      <c r="FB3475" s="1864" t="s">
        <v>8672</v>
      </c>
      <c r="FH3475" s="1628"/>
      <c r="FU3475" s="1678"/>
      <c r="FW3475" s="1678"/>
    </row>
    <row r="3476" spans="1:179" s="1484" customFormat="1" ht="15" x14ac:dyDescent="0.25">
      <c r="A3476" s="1650"/>
      <c r="B3476" s="1651"/>
      <c r="C3476" s="2803" t="s">
        <v>872</v>
      </c>
      <c r="D3476" s="2803"/>
      <c r="E3476" s="2803"/>
      <c r="F3476" s="1621"/>
      <c r="G3476" s="1622"/>
      <c r="H3476" s="1622"/>
      <c r="I3476" s="1622"/>
      <c r="J3476" s="1625"/>
      <c r="K3476" s="1622"/>
      <c r="L3476" s="1648">
        <v>66288.84</v>
      </c>
      <c r="M3476" s="2037"/>
      <c r="N3476" s="1649">
        <v>605880</v>
      </c>
      <c r="EW3476" s="2031"/>
      <c r="EX3476" s="1619"/>
      <c r="EY3476" s="1628"/>
      <c r="EZ3476" s="1628"/>
      <c r="FA3476" s="1628"/>
      <c r="FH3476" s="1628" t="s">
        <v>872</v>
      </c>
      <c r="FU3476" s="1678"/>
      <c r="FW3476" s="1678"/>
    </row>
    <row r="3477" spans="1:179" s="1484" customFormat="1" ht="56.25" x14ac:dyDescent="0.25">
      <c r="A3477" s="1620" t="s">
        <v>232</v>
      </c>
      <c r="B3477" s="1863" t="s">
        <v>8671</v>
      </c>
      <c r="C3477" s="2803" t="s">
        <v>8562</v>
      </c>
      <c r="D3477" s="2803"/>
      <c r="E3477" s="2803"/>
      <c r="F3477" s="1621" t="s">
        <v>269</v>
      </c>
      <c r="G3477" s="1622">
        <v>10</v>
      </c>
      <c r="H3477" s="1623">
        <v>1</v>
      </c>
      <c r="I3477" s="1623">
        <v>10</v>
      </c>
      <c r="J3477" s="1648">
        <v>151470</v>
      </c>
      <c r="K3477" s="1622"/>
      <c r="L3477" s="1648">
        <v>165722.1</v>
      </c>
      <c r="M3477" s="1687">
        <v>9.14</v>
      </c>
      <c r="N3477" s="1649">
        <v>1514700</v>
      </c>
      <c r="EW3477" s="2031"/>
      <c r="EX3477" s="1619"/>
      <c r="EY3477" s="1628" t="s">
        <v>8562</v>
      </c>
      <c r="EZ3477" s="1628" t="s">
        <v>588</v>
      </c>
      <c r="FA3477" s="1628" t="s">
        <v>588</v>
      </c>
      <c r="FH3477" s="1628"/>
      <c r="FU3477" s="1678"/>
      <c r="FW3477" s="1678"/>
    </row>
    <row r="3478" spans="1:179" s="1484" customFormat="1" ht="15" x14ac:dyDescent="0.25">
      <c r="A3478" s="1650"/>
      <c r="B3478" s="1651"/>
      <c r="C3478" s="2805" t="s">
        <v>8660</v>
      </c>
      <c r="D3478" s="2805"/>
      <c r="E3478" s="2805"/>
      <c r="F3478" s="2805"/>
      <c r="G3478" s="2805"/>
      <c r="H3478" s="2805"/>
      <c r="I3478" s="2805"/>
      <c r="J3478" s="2805"/>
      <c r="K3478" s="2805"/>
      <c r="L3478" s="2805"/>
      <c r="M3478" s="2805"/>
      <c r="N3478" s="2806"/>
      <c r="EW3478" s="2031"/>
      <c r="EX3478" s="1619"/>
      <c r="EY3478" s="1628"/>
      <c r="EZ3478" s="1628"/>
      <c r="FA3478" s="1628"/>
      <c r="FH3478" s="1628"/>
      <c r="FI3478" s="1864" t="s">
        <v>8660</v>
      </c>
      <c r="FJ3478" s="1864" t="s">
        <v>588</v>
      </c>
      <c r="FK3478" s="1864" t="s">
        <v>588</v>
      </c>
      <c r="FL3478" s="1864" t="s">
        <v>588</v>
      </c>
      <c r="FM3478" s="1864" t="s">
        <v>588</v>
      </c>
      <c r="FN3478" s="1864" t="s">
        <v>588</v>
      </c>
      <c r="FO3478" s="1864" t="s">
        <v>588</v>
      </c>
      <c r="FP3478" s="1864" t="s">
        <v>588</v>
      </c>
      <c r="FQ3478" s="1864" t="s">
        <v>588</v>
      </c>
      <c r="FR3478" s="1864" t="s">
        <v>588</v>
      </c>
      <c r="FS3478" s="1864" t="s">
        <v>588</v>
      </c>
      <c r="FT3478" s="1864" t="s">
        <v>588</v>
      </c>
      <c r="FU3478" s="1678"/>
      <c r="FW3478" s="1678"/>
    </row>
    <row r="3479" spans="1:179" s="1484" customFormat="1" ht="15" x14ac:dyDescent="0.25">
      <c r="A3479" s="1629"/>
      <c r="B3479" s="1862"/>
      <c r="C3479" s="2805" t="s">
        <v>8670</v>
      </c>
      <c r="D3479" s="2805"/>
      <c r="E3479" s="2805"/>
      <c r="F3479" s="2805"/>
      <c r="G3479" s="2805"/>
      <c r="H3479" s="2805"/>
      <c r="I3479" s="2805"/>
      <c r="J3479" s="2805"/>
      <c r="K3479" s="2805"/>
      <c r="L3479" s="2805"/>
      <c r="M3479" s="2805"/>
      <c r="N3479" s="2806"/>
      <c r="EW3479" s="2031"/>
      <c r="EX3479" s="1619"/>
      <c r="EY3479" s="1628"/>
      <c r="EZ3479" s="1628"/>
      <c r="FA3479" s="1628"/>
      <c r="FB3479" s="1864" t="s">
        <v>8670</v>
      </c>
      <c r="FH3479" s="1628"/>
      <c r="FU3479" s="1678"/>
      <c r="FW3479" s="1678"/>
    </row>
    <row r="3480" spans="1:179" s="1484" customFormat="1" ht="15" x14ac:dyDescent="0.25">
      <c r="A3480" s="1650"/>
      <c r="B3480" s="1651"/>
      <c r="C3480" s="2803" t="s">
        <v>872</v>
      </c>
      <c r="D3480" s="2803"/>
      <c r="E3480" s="2803"/>
      <c r="F3480" s="1621"/>
      <c r="G3480" s="1622"/>
      <c r="H3480" s="1622"/>
      <c r="I3480" s="1622"/>
      <c r="J3480" s="1625"/>
      <c r="K3480" s="1622"/>
      <c r="L3480" s="1648">
        <v>165722.1</v>
      </c>
      <c r="M3480" s="2037"/>
      <c r="N3480" s="1649">
        <v>1514700</v>
      </c>
      <c r="EW3480" s="2031"/>
      <c r="EX3480" s="1619"/>
      <c r="EY3480" s="1628"/>
      <c r="EZ3480" s="1628"/>
      <c r="FA3480" s="1628"/>
      <c r="FH3480" s="1628" t="s">
        <v>872</v>
      </c>
      <c r="FU3480" s="1678"/>
      <c r="FW3480" s="1678"/>
    </row>
    <row r="3481" spans="1:179" s="1484" customFormat="1" ht="56.25" x14ac:dyDescent="0.25">
      <c r="A3481" s="1620" t="s">
        <v>233</v>
      </c>
      <c r="B3481" s="1863" t="s">
        <v>8669</v>
      </c>
      <c r="C3481" s="2803" t="s">
        <v>8563</v>
      </c>
      <c r="D3481" s="2803"/>
      <c r="E3481" s="2803"/>
      <c r="F3481" s="1621" t="s">
        <v>269</v>
      </c>
      <c r="G3481" s="1622">
        <v>13</v>
      </c>
      <c r="H3481" s="1623">
        <v>1</v>
      </c>
      <c r="I3481" s="1623">
        <v>13</v>
      </c>
      <c r="J3481" s="1648">
        <v>151470</v>
      </c>
      <c r="K3481" s="1622"/>
      <c r="L3481" s="1648">
        <v>215438.73</v>
      </c>
      <c r="M3481" s="1687">
        <v>9.14</v>
      </c>
      <c r="N3481" s="1649">
        <v>1969110</v>
      </c>
      <c r="EW3481" s="2031"/>
      <c r="EX3481" s="1619"/>
      <c r="EY3481" s="1628" t="s">
        <v>8563</v>
      </c>
      <c r="EZ3481" s="1628" t="s">
        <v>588</v>
      </c>
      <c r="FA3481" s="1628" t="s">
        <v>588</v>
      </c>
      <c r="FH3481" s="1628"/>
      <c r="FU3481" s="1678"/>
      <c r="FW3481" s="1678"/>
    </row>
    <row r="3482" spans="1:179" s="1484" customFormat="1" ht="15" x14ac:dyDescent="0.25">
      <c r="A3482" s="1650"/>
      <c r="B3482" s="1651"/>
      <c r="C3482" s="2805" t="s">
        <v>8660</v>
      </c>
      <c r="D3482" s="2805"/>
      <c r="E3482" s="2805"/>
      <c r="F3482" s="2805"/>
      <c r="G3482" s="2805"/>
      <c r="H3482" s="2805"/>
      <c r="I3482" s="2805"/>
      <c r="J3482" s="2805"/>
      <c r="K3482" s="2805"/>
      <c r="L3482" s="2805"/>
      <c r="M3482" s="2805"/>
      <c r="N3482" s="2806"/>
      <c r="EW3482" s="2031"/>
      <c r="EX3482" s="1619"/>
      <c r="EY3482" s="1628"/>
      <c r="EZ3482" s="1628"/>
      <c r="FA3482" s="1628"/>
      <c r="FH3482" s="1628"/>
      <c r="FI3482" s="1864" t="s">
        <v>8660</v>
      </c>
      <c r="FJ3482" s="1864" t="s">
        <v>588</v>
      </c>
      <c r="FK3482" s="1864" t="s">
        <v>588</v>
      </c>
      <c r="FL3482" s="1864" t="s">
        <v>588</v>
      </c>
      <c r="FM3482" s="1864" t="s">
        <v>588</v>
      </c>
      <c r="FN3482" s="1864" t="s">
        <v>588</v>
      </c>
      <c r="FO3482" s="1864" t="s">
        <v>588</v>
      </c>
      <c r="FP3482" s="1864" t="s">
        <v>588</v>
      </c>
      <c r="FQ3482" s="1864" t="s">
        <v>588</v>
      </c>
      <c r="FR3482" s="1864" t="s">
        <v>588</v>
      </c>
      <c r="FS3482" s="1864" t="s">
        <v>588</v>
      </c>
      <c r="FT3482" s="1864" t="s">
        <v>588</v>
      </c>
      <c r="FU3482" s="1678"/>
      <c r="FW3482" s="1678"/>
    </row>
    <row r="3483" spans="1:179" s="1484" customFormat="1" ht="15" x14ac:dyDescent="0.25">
      <c r="A3483" s="1629"/>
      <c r="B3483" s="1862"/>
      <c r="C3483" s="2805" t="s">
        <v>8668</v>
      </c>
      <c r="D3483" s="2805"/>
      <c r="E3483" s="2805"/>
      <c r="F3483" s="2805"/>
      <c r="G3483" s="2805"/>
      <c r="H3483" s="2805"/>
      <c r="I3483" s="2805"/>
      <c r="J3483" s="2805"/>
      <c r="K3483" s="2805"/>
      <c r="L3483" s="2805"/>
      <c r="M3483" s="2805"/>
      <c r="N3483" s="2806"/>
      <c r="EW3483" s="2031"/>
      <c r="EX3483" s="1619"/>
      <c r="EY3483" s="1628"/>
      <c r="EZ3483" s="1628"/>
      <c r="FA3483" s="1628"/>
      <c r="FB3483" s="1864" t="s">
        <v>8668</v>
      </c>
      <c r="FH3483" s="1628"/>
      <c r="FU3483" s="1678"/>
      <c r="FW3483" s="1678"/>
    </row>
    <row r="3484" spans="1:179" s="1484" customFormat="1" ht="15" x14ac:dyDescent="0.25">
      <c r="A3484" s="1650"/>
      <c r="B3484" s="1651"/>
      <c r="C3484" s="2803" t="s">
        <v>872</v>
      </c>
      <c r="D3484" s="2803"/>
      <c r="E3484" s="2803"/>
      <c r="F3484" s="1621"/>
      <c r="G3484" s="1622"/>
      <c r="H3484" s="1622"/>
      <c r="I3484" s="1622"/>
      <c r="J3484" s="1625"/>
      <c r="K3484" s="1622"/>
      <c r="L3484" s="1648">
        <v>215438.73</v>
      </c>
      <c r="M3484" s="2037"/>
      <c r="N3484" s="1649">
        <v>1969110</v>
      </c>
      <c r="EW3484" s="2031"/>
      <c r="EX3484" s="1619"/>
      <c r="EY3484" s="1628"/>
      <c r="EZ3484" s="1628"/>
      <c r="FA3484" s="1628"/>
      <c r="FH3484" s="1628" t="s">
        <v>872</v>
      </c>
      <c r="FU3484" s="1678"/>
      <c r="FW3484" s="1678"/>
    </row>
    <row r="3485" spans="1:179" s="1484" customFormat="1" ht="56.25" x14ac:dyDescent="0.25">
      <c r="A3485" s="1620" t="s">
        <v>238</v>
      </c>
      <c r="B3485" s="1863" t="s">
        <v>8667</v>
      </c>
      <c r="C3485" s="2803" t="s">
        <v>8564</v>
      </c>
      <c r="D3485" s="2803"/>
      <c r="E3485" s="2803"/>
      <c r="F3485" s="1621" t="s">
        <v>269</v>
      </c>
      <c r="G3485" s="1622">
        <v>1</v>
      </c>
      <c r="H3485" s="1623">
        <v>1</v>
      </c>
      <c r="I3485" s="1623">
        <v>1</v>
      </c>
      <c r="J3485" s="1648">
        <v>151470</v>
      </c>
      <c r="K3485" s="1622"/>
      <c r="L3485" s="1648">
        <v>16572.21</v>
      </c>
      <c r="M3485" s="1687">
        <v>9.14</v>
      </c>
      <c r="N3485" s="1649">
        <v>151470</v>
      </c>
      <c r="EW3485" s="2031"/>
      <c r="EX3485" s="1619"/>
      <c r="EY3485" s="1628" t="s">
        <v>8564</v>
      </c>
      <c r="EZ3485" s="1628" t="s">
        <v>588</v>
      </c>
      <c r="FA3485" s="1628" t="s">
        <v>588</v>
      </c>
      <c r="FH3485" s="1628"/>
      <c r="FU3485" s="1678"/>
      <c r="FW3485" s="1678"/>
    </row>
    <row r="3486" spans="1:179" s="1484" customFormat="1" ht="15" x14ac:dyDescent="0.25">
      <c r="A3486" s="1650"/>
      <c r="B3486" s="1651"/>
      <c r="C3486" s="2805" t="s">
        <v>8660</v>
      </c>
      <c r="D3486" s="2805"/>
      <c r="E3486" s="2805"/>
      <c r="F3486" s="2805"/>
      <c r="G3486" s="2805"/>
      <c r="H3486" s="2805"/>
      <c r="I3486" s="2805"/>
      <c r="J3486" s="2805"/>
      <c r="K3486" s="2805"/>
      <c r="L3486" s="2805"/>
      <c r="M3486" s="2805"/>
      <c r="N3486" s="2806"/>
      <c r="EW3486" s="2031"/>
      <c r="EX3486" s="1619"/>
      <c r="EY3486" s="1628"/>
      <c r="EZ3486" s="1628"/>
      <c r="FA3486" s="1628"/>
      <c r="FH3486" s="1628"/>
      <c r="FI3486" s="1864" t="s">
        <v>8660</v>
      </c>
      <c r="FJ3486" s="1864" t="s">
        <v>588</v>
      </c>
      <c r="FK3486" s="1864" t="s">
        <v>588</v>
      </c>
      <c r="FL3486" s="1864" t="s">
        <v>588</v>
      </c>
      <c r="FM3486" s="1864" t="s">
        <v>588</v>
      </c>
      <c r="FN3486" s="1864" t="s">
        <v>588</v>
      </c>
      <c r="FO3486" s="1864" t="s">
        <v>588</v>
      </c>
      <c r="FP3486" s="1864" t="s">
        <v>588</v>
      </c>
      <c r="FQ3486" s="1864" t="s">
        <v>588</v>
      </c>
      <c r="FR3486" s="1864" t="s">
        <v>588</v>
      </c>
      <c r="FS3486" s="1864" t="s">
        <v>588</v>
      </c>
      <c r="FT3486" s="1864" t="s">
        <v>588</v>
      </c>
      <c r="FU3486" s="1678"/>
      <c r="FW3486" s="1678"/>
    </row>
    <row r="3487" spans="1:179" s="1484" customFormat="1" ht="15" x14ac:dyDescent="0.25">
      <c r="A3487" s="1629"/>
      <c r="B3487" s="1862"/>
      <c r="C3487" s="2805" t="s">
        <v>8659</v>
      </c>
      <c r="D3487" s="2805"/>
      <c r="E3487" s="2805"/>
      <c r="F3487" s="2805"/>
      <c r="G3487" s="2805"/>
      <c r="H3487" s="2805"/>
      <c r="I3487" s="2805"/>
      <c r="J3487" s="2805"/>
      <c r="K3487" s="2805"/>
      <c r="L3487" s="2805"/>
      <c r="M3487" s="2805"/>
      <c r="N3487" s="2806"/>
      <c r="EW3487" s="2031"/>
      <c r="EX3487" s="1619"/>
      <c r="EY3487" s="1628"/>
      <c r="EZ3487" s="1628"/>
      <c r="FA3487" s="1628"/>
      <c r="FB3487" s="1864" t="s">
        <v>8659</v>
      </c>
      <c r="FH3487" s="1628"/>
      <c r="FU3487" s="1678"/>
      <c r="FW3487" s="1678"/>
    </row>
    <row r="3488" spans="1:179" s="1484" customFormat="1" ht="15" x14ac:dyDescent="0.25">
      <c r="A3488" s="1650"/>
      <c r="B3488" s="1651"/>
      <c r="C3488" s="2803" t="s">
        <v>872</v>
      </c>
      <c r="D3488" s="2803"/>
      <c r="E3488" s="2803"/>
      <c r="F3488" s="1621"/>
      <c r="G3488" s="1622"/>
      <c r="H3488" s="1622"/>
      <c r="I3488" s="1622"/>
      <c r="J3488" s="1625"/>
      <c r="K3488" s="1622"/>
      <c r="L3488" s="1648">
        <v>16572.21</v>
      </c>
      <c r="M3488" s="2037"/>
      <c r="N3488" s="1649">
        <v>151470</v>
      </c>
      <c r="EW3488" s="2031"/>
      <c r="EX3488" s="1619"/>
      <c r="EY3488" s="1628"/>
      <c r="EZ3488" s="1628"/>
      <c r="FA3488" s="1628"/>
      <c r="FH3488" s="1628" t="s">
        <v>872</v>
      </c>
      <c r="FU3488" s="1678"/>
      <c r="FW3488" s="1678"/>
    </row>
    <row r="3489" spans="1:179" s="1484" customFormat="1" ht="56.25" x14ac:dyDescent="0.25">
      <c r="A3489" s="1620" t="s">
        <v>641</v>
      </c>
      <c r="B3489" s="1863" t="s">
        <v>8666</v>
      </c>
      <c r="C3489" s="2803" t="s">
        <v>8565</v>
      </c>
      <c r="D3489" s="2803"/>
      <c r="E3489" s="2803"/>
      <c r="F3489" s="1621" t="s">
        <v>269</v>
      </c>
      <c r="G3489" s="1622">
        <v>1</v>
      </c>
      <c r="H3489" s="1623">
        <v>1</v>
      </c>
      <c r="I3489" s="1623">
        <v>1</v>
      </c>
      <c r="J3489" s="1648">
        <v>151470</v>
      </c>
      <c r="K3489" s="1622"/>
      <c r="L3489" s="1648">
        <v>16572.21</v>
      </c>
      <c r="M3489" s="1687">
        <v>9.14</v>
      </c>
      <c r="N3489" s="1649">
        <v>151470</v>
      </c>
      <c r="EW3489" s="2031"/>
      <c r="EX3489" s="1619"/>
      <c r="EY3489" s="1628" t="s">
        <v>8565</v>
      </c>
      <c r="EZ3489" s="1628" t="s">
        <v>588</v>
      </c>
      <c r="FA3489" s="1628" t="s">
        <v>588</v>
      </c>
      <c r="FH3489" s="1628"/>
      <c r="FU3489" s="1678"/>
      <c r="FW3489" s="1678"/>
    </row>
    <row r="3490" spans="1:179" s="1484" customFormat="1" ht="15" x14ac:dyDescent="0.25">
      <c r="A3490" s="1650"/>
      <c r="B3490" s="1651"/>
      <c r="C3490" s="2805" t="s">
        <v>8660</v>
      </c>
      <c r="D3490" s="2805"/>
      <c r="E3490" s="2805"/>
      <c r="F3490" s="2805"/>
      <c r="G3490" s="2805"/>
      <c r="H3490" s="2805"/>
      <c r="I3490" s="2805"/>
      <c r="J3490" s="2805"/>
      <c r="K3490" s="2805"/>
      <c r="L3490" s="2805"/>
      <c r="M3490" s="2805"/>
      <c r="N3490" s="2806"/>
      <c r="EW3490" s="2031"/>
      <c r="EX3490" s="1619"/>
      <c r="EY3490" s="1628"/>
      <c r="EZ3490" s="1628"/>
      <c r="FA3490" s="1628"/>
      <c r="FH3490" s="1628"/>
      <c r="FI3490" s="1864" t="s">
        <v>8660</v>
      </c>
      <c r="FJ3490" s="1864" t="s">
        <v>588</v>
      </c>
      <c r="FK3490" s="1864" t="s">
        <v>588</v>
      </c>
      <c r="FL3490" s="1864" t="s">
        <v>588</v>
      </c>
      <c r="FM3490" s="1864" t="s">
        <v>588</v>
      </c>
      <c r="FN3490" s="1864" t="s">
        <v>588</v>
      </c>
      <c r="FO3490" s="1864" t="s">
        <v>588</v>
      </c>
      <c r="FP3490" s="1864" t="s">
        <v>588</v>
      </c>
      <c r="FQ3490" s="1864" t="s">
        <v>588</v>
      </c>
      <c r="FR3490" s="1864" t="s">
        <v>588</v>
      </c>
      <c r="FS3490" s="1864" t="s">
        <v>588</v>
      </c>
      <c r="FT3490" s="1864" t="s">
        <v>588</v>
      </c>
      <c r="FU3490" s="1678"/>
      <c r="FW3490" s="1678"/>
    </row>
    <row r="3491" spans="1:179" s="1484" customFormat="1" ht="15" x14ac:dyDescent="0.25">
      <c r="A3491" s="1629"/>
      <c r="B3491" s="1862"/>
      <c r="C3491" s="2805" t="s">
        <v>8659</v>
      </c>
      <c r="D3491" s="2805"/>
      <c r="E3491" s="2805"/>
      <c r="F3491" s="2805"/>
      <c r="G3491" s="2805"/>
      <c r="H3491" s="2805"/>
      <c r="I3491" s="2805"/>
      <c r="J3491" s="2805"/>
      <c r="K3491" s="2805"/>
      <c r="L3491" s="2805"/>
      <c r="M3491" s="2805"/>
      <c r="N3491" s="2806"/>
      <c r="EW3491" s="2031"/>
      <c r="EX3491" s="1619"/>
      <c r="EY3491" s="1628"/>
      <c r="EZ3491" s="1628"/>
      <c r="FA3491" s="1628"/>
      <c r="FB3491" s="1864" t="s">
        <v>8659</v>
      </c>
      <c r="FH3491" s="1628"/>
      <c r="FU3491" s="1678"/>
      <c r="FW3491" s="1678"/>
    </row>
    <row r="3492" spans="1:179" s="1484" customFormat="1" ht="15" x14ac:dyDescent="0.25">
      <c r="A3492" s="1650"/>
      <c r="B3492" s="1651"/>
      <c r="C3492" s="2803" t="s">
        <v>872</v>
      </c>
      <c r="D3492" s="2803"/>
      <c r="E3492" s="2803"/>
      <c r="F3492" s="1621"/>
      <c r="G3492" s="1622"/>
      <c r="H3492" s="1622"/>
      <c r="I3492" s="1622"/>
      <c r="J3492" s="1625"/>
      <c r="K3492" s="1622"/>
      <c r="L3492" s="1648">
        <v>16572.21</v>
      </c>
      <c r="M3492" s="2037"/>
      <c r="N3492" s="1649">
        <v>151470</v>
      </c>
      <c r="EW3492" s="2031"/>
      <c r="EX3492" s="1619"/>
      <c r="EY3492" s="1628"/>
      <c r="EZ3492" s="1628"/>
      <c r="FA3492" s="1628"/>
      <c r="FH3492" s="1628" t="s">
        <v>872</v>
      </c>
      <c r="FU3492" s="1678"/>
      <c r="FW3492" s="1678"/>
    </row>
    <row r="3493" spans="1:179" s="1484" customFormat="1" ht="56.25" x14ac:dyDescent="0.25">
      <c r="A3493" s="1620" t="s">
        <v>650</v>
      </c>
      <c r="B3493" s="1863" t="s">
        <v>8665</v>
      </c>
      <c r="C3493" s="2803" t="s">
        <v>8566</v>
      </c>
      <c r="D3493" s="2803"/>
      <c r="E3493" s="2803"/>
      <c r="F3493" s="1621" t="s">
        <v>269</v>
      </c>
      <c r="G3493" s="1622">
        <v>11</v>
      </c>
      <c r="H3493" s="1623">
        <v>1</v>
      </c>
      <c r="I3493" s="1623">
        <v>11</v>
      </c>
      <c r="J3493" s="1648">
        <v>151470</v>
      </c>
      <c r="K3493" s="1622"/>
      <c r="L3493" s="1648">
        <v>182294.31</v>
      </c>
      <c r="M3493" s="1687">
        <v>9.14</v>
      </c>
      <c r="N3493" s="1649">
        <v>1666170</v>
      </c>
      <c r="EW3493" s="2031"/>
      <c r="EX3493" s="1619"/>
      <c r="EY3493" s="1628" t="s">
        <v>8566</v>
      </c>
      <c r="EZ3493" s="1628" t="s">
        <v>588</v>
      </c>
      <c r="FA3493" s="1628" t="s">
        <v>588</v>
      </c>
      <c r="FH3493" s="1628"/>
      <c r="FU3493" s="1678"/>
      <c r="FW3493" s="1678"/>
    </row>
    <row r="3494" spans="1:179" s="1484" customFormat="1" ht="15" x14ac:dyDescent="0.25">
      <c r="A3494" s="1650"/>
      <c r="B3494" s="1651"/>
      <c r="C3494" s="2805" t="s">
        <v>8660</v>
      </c>
      <c r="D3494" s="2805"/>
      <c r="E3494" s="2805"/>
      <c r="F3494" s="2805"/>
      <c r="G3494" s="2805"/>
      <c r="H3494" s="2805"/>
      <c r="I3494" s="2805"/>
      <c r="J3494" s="2805"/>
      <c r="K3494" s="2805"/>
      <c r="L3494" s="2805"/>
      <c r="M3494" s="2805"/>
      <c r="N3494" s="2806"/>
      <c r="EW3494" s="2031"/>
      <c r="EX3494" s="1619"/>
      <c r="EY3494" s="1628"/>
      <c r="EZ3494" s="1628"/>
      <c r="FA3494" s="1628"/>
      <c r="FH3494" s="1628"/>
      <c r="FI3494" s="1864" t="s">
        <v>8660</v>
      </c>
      <c r="FJ3494" s="1864" t="s">
        <v>588</v>
      </c>
      <c r="FK3494" s="1864" t="s">
        <v>588</v>
      </c>
      <c r="FL3494" s="1864" t="s">
        <v>588</v>
      </c>
      <c r="FM3494" s="1864" t="s">
        <v>588</v>
      </c>
      <c r="FN3494" s="1864" t="s">
        <v>588</v>
      </c>
      <c r="FO3494" s="1864" t="s">
        <v>588</v>
      </c>
      <c r="FP3494" s="1864" t="s">
        <v>588</v>
      </c>
      <c r="FQ3494" s="1864" t="s">
        <v>588</v>
      </c>
      <c r="FR3494" s="1864" t="s">
        <v>588</v>
      </c>
      <c r="FS3494" s="1864" t="s">
        <v>588</v>
      </c>
      <c r="FT3494" s="1864" t="s">
        <v>588</v>
      </c>
      <c r="FU3494" s="1678"/>
      <c r="FW3494" s="1678"/>
    </row>
    <row r="3495" spans="1:179" s="1484" customFormat="1" ht="15" x14ac:dyDescent="0.25">
      <c r="A3495" s="1629"/>
      <c r="B3495" s="1862"/>
      <c r="C3495" s="2805" t="s">
        <v>8664</v>
      </c>
      <c r="D3495" s="2805"/>
      <c r="E3495" s="2805"/>
      <c r="F3495" s="2805"/>
      <c r="G3495" s="2805"/>
      <c r="H3495" s="2805"/>
      <c r="I3495" s="2805"/>
      <c r="J3495" s="2805"/>
      <c r="K3495" s="2805"/>
      <c r="L3495" s="2805"/>
      <c r="M3495" s="2805"/>
      <c r="N3495" s="2806"/>
      <c r="EW3495" s="2031"/>
      <c r="EX3495" s="1619"/>
      <c r="EY3495" s="1628"/>
      <c r="EZ3495" s="1628"/>
      <c r="FA3495" s="1628"/>
      <c r="FB3495" s="1864" t="s">
        <v>8664</v>
      </c>
      <c r="FH3495" s="1628"/>
      <c r="FU3495" s="1678"/>
      <c r="FW3495" s="1678"/>
    </row>
    <row r="3496" spans="1:179" s="1484" customFormat="1" ht="15" x14ac:dyDescent="0.25">
      <c r="A3496" s="1650"/>
      <c r="B3496" s="1651"/>
      <c r="C3496" s="2803" t="s">
        <v>872</v>
      </c>
      <c r="D3496" s="2803"/>
      <c r="E3496" s="2803"/>
      <c r="F3496" s="1621"/>
      <c r="G3496" s="1622"/>
      <c r="H3496" s="1622"/>
      <c r="I3496" s="1622"/>
      <c r="J3496" s="1625"/>
      <c r="K3496" s="1622"/>
      <c r="L3496" s="1648">
        <v>182294.31</v>
      </c>
      <c r="M3496" s="2037"/>
      <c r="N3496" s="1649">
        <v>1666170</v>
      </c>
      <c r="EW3496" s="2031"/>
      <c r="EX3496" s="1619"/>
      <c r="EY3496" s="1628"/>
      <c r="EZ3496" s="1628"/>
      <c r="FA3496" s="1628"/>
      <c r="FH3496" s="1628" t="s">
        <v>872</v>
      </c>
      <c r="FU3496" s="1678"/>
      <c r="FW3496" s="1678"/>
    </row>
    <row r="3497" spans="1:179" s="1484" customFormat="1" ht="56.25" x14ac:dyDescent="0.25">
      <c r="A3497" s="1620" t="s">
        <v>651</v>
      </c>
      <c r="B3497" s="1863" t="s">
        <v>8663</v>
      </c>
      <c r="C3497" s="2803" t="s">
        <v>8567</v>
      </c>
      <c r="D3497" s="2803"/>
      <c r="E3497" s="2803"/>
      <c r="F3497" s="1621" t="s">
        <v>269</v>
      </c>
      <c r="G3497" s="1622">
        <v>3</v>
      </c>
      <c r="H3497" s="1623">
        <v>1</v>
      </c>
      <c r="I3497" s="1623">
        <v>3</v>
      </c>
      <c r="J3497" s="1648">
        <v>151470</v>
      </c>
      <c r="K3497" s="1622"/>
      <c r="L3497" s="1648">
        <v>49716.63</v>
      </c>
      <c r="M3497" s="1687">
        <v>9.14</v>
      </c>
      <c r="N3497" s="1649">
        <v>454410</v>
      </c>
      <c r="EW3497" s="2031"/>
      <c r="EX3497" s="1619"/>
      <c r="EY3497" s="1628" t="s">
        <v>8567</v>
      </c>
      <c r="EZ3497" s="1628" t="s">
        <v>588</v>
      </c>
      <c r="FA3497" s="1628" t="s">
        <v>588</v>
      </c>
      <c r="FH3497" s="1628"/>
      <c r="FU3497" s="1678"/>
      <c r="FW3497" s="1678"/>
    </row>
    <row r="3498" spans="1:179" s="1484" customFormat="1" ht="15" x14ac:dyDescent="0.25">
      <c r="A3498" s="1650"/>
      <c r="B3498" s="1651"/>
      <c r="C3498" s="2805" t="s">
        <v>8660</v>
      </c>
      <c r="D3498" s="2805"/>
      <c r="E3498" s="2805"/>
      <c r="F3498" s="2805"/>
      <c r="G3498" s="2805"/>
      <c r="H3498" s="2805"/>
      <c r="I3498" s="2805"/>
      <c r="J3498" s="2805"/>
      <c r="K3498" s="2805"/>
      <c r="L3498" s="2805"/>
      <c r="M3498" s="2805"/>
      <c r="N3498" s="2806"/>
      <c r="EW3498" s="2031"/>
      <c r="EX3498" s="1619"/>
      <c r="EY3498" s="1628"/>
      <c r="EZ3498" s="1628"/>
      <c r="FA3498" s="1628"/>
      <c r="FH3498" s="1628"/>
      <c r="FI3498" s="1864" t="s">
        <v>8660</v>
      </c>
      <c r="FJ3498" s="1864" t="s">
        <v>588</v>
      </c>
      <c r="FK3498" s="1864" t="s">
        <v>588</v>
      </c>
      <c r="FL3498" s="1864" t="s">
        <v>588</v>
      </c>
      <c r="FM3498" s="1864" t="s">
        <v>588</v>
      </c>
      <c r="FN3498" s="1864" t="s">
        <v>588</v>
      </c>
      <c r="FO3498" s="1864" t="s">
        <v>588</v>
      </c>
      <c r="FP3498" s="1864" t="s">
        <v>588</v>
      </c>
      <c r="FQ3498" s="1864" t="s">
        <v>588</v>
      </c>
      <c r="FR3498" s="1864" t="s">
        <v>588</v>
      </c>
      <c r="FS3498" s="1864" t="s">
        <v>588</v>
      </c>
      <c r="FT3498" s="1864" t="s">
        <v>588</v>
      </c>
      <c r="FU3498" s="1678"/>
      <c r="FW3498" s="1678"/>
    </row>
    <row r="3499" spans="1:179" s="1484" customFormat="1" ht="15" x14ac:dyDescent="0.25">
      <c r="A3499" s="1629"/>
      <c r="B3499" s="1862"/>
      <c r="C3499" s="2805" t="s">
        <v>8662</v>
      </c>
      <c r="D3499" s="2805"/>
      <c r="E3499" s="2805"/>
      <c r="F3499" s="2805"/>
      <c r="G3499" s="2805"/>
      <c r="H3499" s="2805"/>
      <c r="I3499" s="2805"/>
      <c r="J3499" s="2805"/>
      <c r="K3499" s="2805"/>
      <c r="L3499" s="2805"/>
      <c r="M3499" s="2805"/>
      <c r="N3499" s="2806"/>
      <c r="EW3499" s="2031"/>
      <c r="EX3499" s="1619"/>
      <c r="EY3499" s="1628"/>
      <c r="EZ3499" s="1628"/>
      <c r="FA3499" s="1628"/>
      <c r="FB3499" s="1864" t="s">
        <v>8662</v>
      </c>
      <c r="FH3499" s="1628"/>
      <c r="FU3499" s="1678"/>
      <c r="FW3499" s="1678"/>
    </row>
    <row r="3500" spans="1:179" s="1484" customFormat="1" ht="15" x14ac:dyDescent="0.25">
      <c r="A3500" s="1650"/>
      <c r="B3500" s="1651"/>
      <c r="C3500" s="2803" t="s">
        <v>872</v>
      </c>
      <c r="D3500" s="2803"/>
      <c r="E3500" s="2803"/>
      <c r="F3500" s="1621"/>
      <c r="G3500" s="1622"/>
      <c r="H3500" s="1622"/>
      <c r="I3500" s="1622"/>
      <c r="J3500" s="1625"/>
      <c r="K3500" s="1622"/>
      <c r="L3500" s="1648">
        <v>49716.63</v>
      </c>
      <c r="M3500" s="2037"/>
      <c r="N3500" s="1649">
        <v>454410</v>
      </c>
      <c r="EW3500" s="2031"/>
      <c r="EX3500" s="1619"/>
      <c r="EY3500" s="1628"/>
      <c r="EZ3500" s="1628"/>
      <c r="FA3500" s="1628"/>
      <c r="FH3500" s="1628" t="s">
        <v>872</v>
      </c>
      <c r="FU3500" s="1678"/>
      <c r="FW3500" s="1678"/>
    </row>
    <row r="3501" spans="1:179" s="1484" customFormat="1" ht="56.25" x14ac:dyDescent="0.25">
      <c r="A3501" s="1620" t="s">
        <v>652</v>
      </c>
      <c r="B3501" s="1863" t="s">
        <v>8661</v>
      </c>
      <c r="C3501" s="2803" t="s">
        <v>8561</v>
      </c>
      <c r="D3501" s="2803"/>
      <c r="E3501" s="2803"/>
      <c r="F3501" s="1621" t="s">
        <v>269</v>
      </c>
      <c r="G3501" s="1622">
        <v>1</v>
      </c>
      <c r="H3501" s="1623">
        <v>1</v>
      </c>
      <c r="I3501" s="1623">
        <v>1</v>
      </c>
      <c r="J3501" s="1648">
        <v>151470</v>
      </c>
      <c r="K3501" s="1622"/>
      <c r="L3501" s="1648">
        <v>16572.21</v>
      </c>
      <c r="M3501" s="1687">
        <v>9.14</v>
      </c>
      <c r="N3501" s="1649">
        <v>151470</v>
      </c>
      <c r="EW3501" s="2031"/>
      <c r="EX3501" s="1619"/>
      <c r="EY3501" s="1628" t="s">
        <v>8561</v>
      </c>
      <c r="EZ3501" s="1628" t="s">
        <v>588</v>
      </c>
      <c r="FA3501" s="1628" t="s">
        <v>588</v>
      </c>
      <c r="FH3501" s="1628"/>
      <c r="FU3501" s="1678"/>
      <c r="FW3501" s="1678"/>
    </row>
    <row r="3502" spans="1:179" s="1484" customFormat="1" ht="15" x14ac:dyDescent="0.25">
      <c r="A3502" s="1650"/>
      <c r="B3502" s="1651"/>
      <c r="C3502" s="2805" t="s">
        <v>8660</v>
      </c>
      <c r="D3502" s="2805"/>
      <c r="E3502" s="2805"/>
      <c r="F3502" s="2805"/>
      <c r="G3502" s="2805"/>
      <c r="H3502" s="2805"/>
      <c r="I3502" s="2805"/>
      <c r="J3502" s="2805"/>
      <c r="K3502" s="2805"/>
      <c r="L3502" s="2805"/>
      <c r="M3502" s="2805"/>
      <c r="N3502" s="2806"/>
      <c r="EW3502" s="2031"/>
      <c r="EX3502" s="1619"/>
      <c r="EY3502" s="1628"/>
      <c r="EZ3502" s="1628"/>
      <c r="FA3502" s="1628"/>
      <c r="FH3502" s="1628"/>
      <c r="FI3502" s="1864" t="s">
        <v>8660</v>
      </c>
      <c r="FJ3502" s="1864" t="s">
        <v>588</v>
      </c>
      <c r="FK3502" s="1864" t="s">
        <v>588</v>
      </c>
      <c r="FL3502" s="1864" t="s">
        <v>588</v>
      </c>
      <c r="FM3502" s="1864" t="s">
        <v>588</v>
      </c>
      <c r="FN3502" s="1864" t="s">
        <v>588</v>
      </c>
      <c r="FO3502" s="1864" t="s">
        <v>588</v>
      </c>
      <c r="FP3502" s="1864" t="s">
        <v>588</v>
      </c>
      <c r="FQ3502" s="1864" t="s">
        <v>588</v>
      </c>
      <c r="FR3502" s="1864" t="s">
        <v>588</v>
      </c>
      <c r="FS3502" s="1864" t="s">
        <v>588</v>
      </c>
      <c r="FT3502" s="1864" t="s">
        <v>588</v>
      </c>
      <c r="FU3502" s="1678"/>
      <c r="FW3502" s="1678"/>
    </row>
    <row r="3503" spans="1:179" s="1484" customFormat="1" ht="15" x14ac:dyDescent="0.25">
      <c r="A3503" s="1629"/>
      <c r="B3503" s="1862"/>
      <c r="C3503" s="2805" t="s">
        <v>8659</v>
      </c>
      <c r="D3503" s="2805"/>
      <c r="E3503" s="2805"/>
      <c r="F3503" s="2805"/>
      <c r="G3503" s="2805"/>
      <c r="H3503" s="2805"/>
      <c r="I3503" s="2805"/>
      <c r="J3503" s="2805"/>
      <c r="K3503" s="2805"/>
      <c r="L3503" s="2805"/>
      <c r="M3503" s="2805"/>
      <c r="N3503" s="2806"/>
      <c r="EW3503" s="2031"/>
      <c r="EX3503" s="1619"/>
      <c r="EY3503" s="1628"/>
      <c r="EZ3503" s="1628"/>
      <c r="FA3503" s="1628"/>
      <c r="FB3503" s="1864" t="s">
        <v>8659</v>
      </c>
      <c r="FH3503" s="1628"/>
      <c r="FU3503" s="1678"/>
      <c r="FW3503" s="1678"/>
    </row>
    <row r="3504" spans="1:179" s="1484" customFormat="1" ht="15" x14ac:dyDescent="0.25">
      <c r="A3504" s="1650"/>
      <c r="B3504" s="1651"/>
      <c r="C3504" s="2803" t="s">
        <v>872</v>
      </c>
      <c r="D3504" s="2803"/>
      <c r="E3504" s="2803"/>
      <c r="F3504" s="1621"/>
      <c r="G3504" s="1622"/>
      <c r="H3504" s="1622"/>
      <c r="I3504" s="1622"/>
      <c r="J3504" s="1625"/>
      <c r="K3504" s="1622"/>
      <c r="L3504" s="1648">
        <v>16572.21</v>
      </c>
      <c r="M3504" s="2037"/>
      <c r="N3504" s="1649">
        <v>151470</v>
      </c>
      <c r="EW3504" s="2031"/>
      <c r="EX3504" s="1619"/>
      <c r="EY3504" s="1628"/>
      <c r="EZ3504" s="1628"/>
      <c r="FA3504" s="1628"/>
      <c r="FH3504" s="1628" t="s">
        <v>872</v>
      </c>
      <c r="FU3504" s="1678"/>
      <c r="FW3504" s="1678"/>
    </row>
    <row r="3505" spans="1:179" s="1484" customFormat="1" ht="22.5" x14ac:dyDescent="0.25">
      <c r="A3505" s="1620" t="s">
        <v>8568</v>
      </c>
      <c r="B3505" s="1863" t="s">
        <v>8569</v>
      </c>
      <c r="C3505" s="2803" t="s">
        <v>8570</v>
      </c>
      <c r="D3505" s="2803"/>
      <c r="E3505" s="2803"/>
      <c r="F3505" s="1621" t="s">
        <v>130</v>
      </c>
      <c r="G3505" s="1622">
        <v>3.6240000000000001</v>
      </c>
      <c r="H3505" s="1623">
        <v>1</v>
      </c>
      <c r="I3505" s="2045">
        <v>3.6240000000000001</v>
      </c>
      <c r="J3505" s="1625"/>
      <c r="K3505" s="1622"/>
      <c r="L3505" s="1625"/>
      <c r="M3505" s="1622"/>
      <c r="N3505" s="1627"/>
      <c r="EW3505" s="2031"/>
      <c r="EX3505" s="1619"/>
      <c r="EY3505" s="1628" t="s">
        <v>8570</v>
      </c>
      <c r="EZ3505" s="1628" t="s">
        <v>588</v>
      </c>
      <c r="FA3505" s="1628" t="s">
        <v>588</v>
      </c>
      <c r="FH3505" s="1628"/>
      <c r="FU3505" s="1678"/>
      <c r="FW3505" s="1678"/>
    </row>
    <row r="3506" spans="1:179" s="1484" customFormat="1" ht="15" x14ac:dyDescent="0.25">
      <c r="A3506" s="1629"/>
      <c r="B3506" s="1862"/>
      <c r="C3506" s="2805" t="s">
        <v>8658</v>
      </c>
      <c r="D3506" s="2805"/>
      <c r="E3506" s="2805"/>
      <c r="F3506" s="2805"/>
      <c r="G3506" s="2805"/>
      <c r="H3506" s="2805"/>
      <c r="I3506" s="2805"/>
      <c r="J3506" s="2805"/>
      <c r="K3506" s="2805"/>
      <c r="L3506" s="2805"/>
      <c r="M3506" s="2805"/>
      <c r="N3506" s="2806"/>
      <c r="EW3506" s="2031"/>
      <c r="EX3506" s="1619"/>
      <c r="EY3506" s="1628"/>
      <c r="EZ3506" s="1628"/>
      <c r="FA3506" s="1628"/>
      <c r="FB3506" s="1864" t="s">
        <v>8658</v>
      </c>
      <c r="FH3506" s="1628"/>
      <c r="FU3506" s="1678"/>
      <c r="FW3506" s="1678"/>
    </row>
    <row r="3507" spans="1:179" s="1484" customFormat="1" ht="22.5" x14ac:dyDescent="0.25">
      <c r="A3507" s="1630"/>
      <c r="B3507" s="1631" t="s">
        <v>6062</v>
      </c>
      <c r="C3507" s="2809" t="s">
        <v>6063</v>
      </c>
      <c r="D3507" s="2809"/>
      <c r="E3507" s="2809"/>
      <c r="F3507" s="2809"/>
      <c r="G3507" s="2809"/>
      <c r="H3507" s="2809"/>
      <c r="I3507" s="2809"/>
      <c r="J3507" s="2809"/>
      <c r="K3507" s="2809"/>
      <c r="L3507" s="2809"/>
      <c r="M3507" s="2809"/>
      <c r="N3507" s="2810"/>
      <c r="EW3507" s="2031"/>
      <c r="EX3507" s="1619"/>
      <c r="EY3507" s="1628"/>
      <c r="EZ3507" s="1628"/>
      <c r="FA3507" s="1628"/>
      <c r="FC3507" s="1864" t="s">
        <v>6063</v>
      </c>
      <c r="FH3507" s="1628"/>
      <c r="FU3507" s="1678"/>
      <c r="FW3507" s="1678"/>
    </row>
    <row r="3508" spans="1:179" s="1484" customFormat="1" ht="22.5" x14ac:dyDescent="0.25">
      <c r="A3508" s="2033"/>
      <c r="B3508" s="1631" t="s">
        <v>8657</v>
      </c>
      <c r="C3508" s="2805" t="s">
        <v>8656</v>
      </c>
      <c r="D3508" s="2805"/>
      <c r="E3508" s="2805"/>
      <c r="F3508" s="1683" t="s">
        <v>807</v>
      </c>
      <c r="G3508" s="1655">
        <v>2.36</v>
      </c>
      <c r="H3508" s="1641"/>
      <c r="I3508" s="2042">
        <v>8.5526400000000002</v>
      </c>
      <c r="J3508" s="1654">
        <v>10.06</v>
      </c>
      <c r="K3508" s="1655">
        <v>1.25</v>
      </c>
      <c r="L3508" s="1654">
        <v>107.55</v>
      </c>
      <c r="M3508" s="1641"/>
      <c r="N3508" s="1681"/>
      <c r="EW3508" s="2031"/>
      <c r="EX3508" s="1619"/>
      <c r="EY3508" s="1628"/>
      <c r="EZ3508" s="1628"/>
      <c r="FA3508" s="1628"/>
      <c r="FD3508" s="1864" t="s">
        <v>8656</v>
      </c>
      <c r="FH3508" s="1628"/>
      <c r="FU3508" s="1678"/>
      <c r="FW3508" s="1678"/>
    </row>
    <row r="3509" spans="1:179" s="1484" customFormat="1" ht="15" x14ac:dyDescent="0.25">
      <c r="A3509" s="2033"/>
      <c r="B3509" s="1631" t="s">
        <v>821</v>
      </c>
      <c r="C3509" s="2805" t="s">
        <v>822</v>
      </c>
      <c r="D3509" s="2805"/>
      <c r="E3509" s="2805"/>
      <c r="F3509" s="1683" t="s">
        <v>4994</v>
      </c>
      <c r="G3509" s="1655">
        <v>0.02</v>
      </c>
      <c r="H3509" s="1641"/>
      <c r="I3509" s="2042">
        <v>7.2480000000000003E-2</v>
      </c>
      <c r="J3509" s="1654">
        <v>65.709999999999994</v>
      </c>
      <c r="K3509" s="1641"/>
      <c r="L3509" s="1654">
        <v>4.76</v>
      </c>
      <c r="M3509" s="1641"/>
      <c r="N3509" s="1681"/>
      <c r="EW3509" s="2031"/>
      <c r="EX3509" s="1619"/>
      <c r="EY3509" s="1628"/>
      <c r="EZ3509" s="1628"/>
      <c r="FA3509" s="1628"/>
      <c r="FD3509" s="1864" t="s">
        <v>822</v>
      </c>
      <c r="FH3509" s="1628"/>
      <c r="FU3509" s="1678"/>
      <c r="FW3509" s="1678"/>
    </row>
    <row r="3510" spans="1:179" s="1484" customFormat="1" ht="22.5" x14ac:dyDescent="0.25">
      <c r="A3510" s="2033"/>
      <c r="B3510" s="1631" t="s">
        <v>5026</v>
      </c>
      <c r="C3510" s="2805" t="s">
        <v>8635</v>
      </c>
      <c r="D3510" s="2805"/>
      <c r="E3510" s="2805"/>
      <c r="F3510" s="1683" t="s">
        <v>4994</v>
      </c>
      <c r="G3510" s="1655">
        <v>0.53</v>
      </c>
      <c r="H3510" s="1641"/>
      <c r="I3510" s="2042">
        <v>1.92072</v>
      </c>
      <c r="J3510" s="1654">
        <v>8.1</v>
      </c>
      <c r="K3510" s="1641"/>
      <c r="L3510" s="1654">
        <v>15.56</v>
      </c>
      <c r="M3510" s="1641"/>
      <c r="N3510" s="1681"/>
      <c r="EW3510" s="2031"/>
      <c r="EX3510" s="1619"/>
      <c r="EY3510" s="1628"/>
      <c r="EZ3510" s="1628"/>
      <c r="FA3510" s="1628"/>
      <c r="FD3510" s="1864" t="s">
        <v>8635</v>
      </c>
      <c r="FH3510" s="1628"/>
      <c r="FU3510" s="1678"/>
      <c r="FW3510" s="1678"/>
    </row>
    <row r="3511" spans="1:179" s="1484" customFormat="1" ht="15" x14ac:dyDescent="0.25">
      <c r="A3511" s="2033"/>
      <c r="B3511" s="1631" t="s">
        <v>1904</v>
      </c>
      <c r="C3511" s="2805" t="s">
        <v>8655</v>
      </c>
      <c r="D3511" s="2805"/>
      <c r="E3511" s="2805"/>
      <c r="F3511" s="1683" t="s">
        <v>801</v>
      </c>
      <c r="G3511" s="2042">
        <v>8.0000000000000007E-5</v>
      </c>
      <c r="H3511" s="1641"/>
      <c r="I3511" s="2049">
        <v>2.899E-4</v>
      </c>
      <c r="J3511" s="1657">
        <v>10315.01</v>
      </c>
      <c r="K3511" s="1641"/>
      <c r="L3511" s="1654">
        <v>2.99</v>
      </c>
      <c r="M3511" s="1641"/>
      <c r="N3511" s="1681"/>
      <c r="EW3511" s="2031"/>
      <c r="EX3511" s="1619"/>
      <c r="EY3511" s="1628"/>
      <c r="EZ3511" s="1628"/>
      <c r="FA3511" s="1628"/>
      <c r="FD3511" s="1864" t="s">
        <v>8655</v>
      </c>
      <c r="FH3511" s="1628"/>
      <c r="FU3511" s="1678"/>
      <c r="FW3511" s="1678"/>
    </row>
    <row r="3512" spans="1:179" s="1484" customFormat="1" ht="15" x14ac:dyDescent="0.25">
      <c r="A3512" s="2033"/>
      <c r="B3512" s="1631" t="s">
        <v>4901</v>
      </c>
      <c r="C3512" s="2805" t="s">
        <v>4902</v>
      </c>
      <c r="D3512" s="2805"/>
      <c r="E3512" s="2805"/>
      <c r="F3512" s="1683" t="s">
        <v>801</v>
      </c>
      <c r="G3512" s="2046">
        <v>3.0000000000000001E-3</v>
      </c>
      <c r="H3512" s="1641"/>
      <c r="I3512" s="2043">
        <v>1.0872E-2</v>
      </c>
      <c r="J3512" s="1657">
        <v>10068</v>
      </c>
      <c r="K3512" s="1641"/>
      <c r="L3512" s="1654">
        <v>109.46</v>
      </c>
      <c r="M3512" s="1641"/>
      <c r="N3512" s="1681"/>
      <c r="EW3512" s="2031"/>
      <c r="EX3512" s="1619"/>
      <c r="EY3512" s="1628"/>
      <c r="EZ3512" s="1628"/>
      <c r="FA3512" s="1628"/>
      <c r="FD3512" s="1864" t="s">
        <v>4902</v>
      </c>
      <c r="FH3512" s="1628"/>
      <c r="FU3512" s="1678"/>
      <c r="FW3512" s="1678"/>
    </row>
    <row r="3513" spans="1:179" s="1484" customFormat="1" ht="67.5" x14ac:dyDescent="0.25">
      <c r="A3513" s="2033"/>
      <c r="B3513" s="1631" t="s">
        <v>8654</v>
      </c>
      <c r="C3513" s="2805" t="s">
        <v>8653</v>
      </c>
      <c r="D3513" s="2805"/>
      <c r="E3513" s="2805"/>
      <c r="F3513" s="1683" t="s">
        <v>269</v>
      </c>
      <c r="G3513" s="1655">
        <v>0.19</v>
      </c>
      <c r="H3513" s="1641"/>
      <c r="I3513" s="2042">
        <v>0.68855999999999995</v>
      </c>
      <c r="J3513" s="1654">
        <v>110.11</v>
      </c>
      <c r="K3513" s="1641"/>
      <c r="L3513" s="1654">
        <v>75.819999999999993</v>
      </c>
      <c r="M3513" s="1641"/>
      <c r="N3513" s="1681"/>
      <c r="EW3513" s="2031"/>
      <c r="EX3513" s="1619"/>
      <c r="EY3513" s="1628"/>
      <c r="EZ3513" s="1628"/>
      <c r="FA3513" s="1628"/>
      <c r="FD3513" s="1864" t="s">
        <v>8653</v>
      </c>
      <c r="FH3513" s="1628"/>
      <c r="FU3513" s="1678"/>
      <c r="FW3513" s="1678"/>
    </row>
    <row r="3514" spans="1:179" s="1484" customFormat="1" ht="15" x14ac:dyDescent="0.25">
      <c r="A3514" s="2032"/>
      <c r="B3514" s="1631" t="s">
        <v>190</v>
      </c>
      <c r="C3514" s="2805" t="s">
        <v>2523</v>
      </c>
      <c r="D3514" s="2805"/>
      <c r="E3514" s="2805"/>
      <c r="F3514" s="1683"/>
      <c r="G3514" s="1641"/>
      <c r="H3514" s="1641"/>
      <c r="I3514" s="1641"/>
      <c r="J3514" s="1654">
        <v>23.74</v>
      </c>
      <c r="K3514" s="1655">
        <v>1.25</v>
      </c>
      <c r="L3514" s="1654">
        <v>107.54</v>
      </c>
      <c r="M3514" s="1655">
        <v>35.75</v>
      </c>
      <c r="N3514" s="1679">
        <v>3844.56</v>
      </c>
      <c r="EW3514" s="2031"/>
      <c r="EX3514" s="1619"/>
      <c r="EY3514" s="1628"/>
      <c r="EZ3514" s="1628"/>
      <c r="FA3514" s="1628"/>
      <c r="FE3514" s="1864" t="s">
        <v>2523</v>
      </c>
      <c r="FH3514" s="1628"/>
      <c r="FU3514" s="1678"/>
      <c r="FW3514" s="1678"/>
    </row>
    <row r="3515" spans="1:179" s="1484" customFormat="1" ht="15" x14ac:dyDescent="0.25">
      <c r="A3515" s="2032"/>
      <c r="B3515" s="1631" t="s">
        <v>639</v>
      </c>
      <c r="C3515" s="2805" t="s">
        <v>697</v>
      </c>
      <c r="D3515" s="2805"/>
      <c r="E3515" s="2805"/>
      <c r="F3515" s="1683"/>
      <c r="G3515" s="1641"/>
      <c r="H3515" s="1641"/>
      <c r="I3515" s="1641"/>
      <c r="J3515" s="1654">
        <v>5.6</v>
      </c>
      <c r="K3515" s="1641"/>
      <c r="L3515" s="1654">
        <v>20.29</v>
      </c>
      <c r="M3515" s="1655">
        <v>11.97</v>
      </c>
      <c r="N3515" s="2039">
        <v>242.87</v>
      </c>
      <c r="EW3515" s="2031"/>
      <c r="EX3515" s="1619"/>
      <c r="EY3515" s="1628"/>
      <c r="EZ3515" s="1628"/>
      <c r="FA3515" s="1628"/>
      <c r="FE3515" s="1864" t="s">
        <v>697</v>
      </c>
      <c r="FH3515" s="1628"/>
      <c r="FU3515" s="1678"/>
      <c r="FW3515" s="1678"/>
    </row>
    <row r="3516" spans="1:179" s="1484" customFormat="1" ht="15" x14ac:dyDescent="0.25">
      <c r="A3516" s="2032"/>
      <c r="B3516" s="1631" t="s">
        <v>640</v>
      </c>
      <c r="C3516" s="2805" t="s">
        <v>2500</v>
      </c>
      <c r="D3516" s="2805"/>
      <c r="E3516" s="2805"/>
      <c r="F3516" s="1683"/>
      <c r="G3516" s="1641"/>
      <c r="H3516" s="1641"/>
      <c r="I3516" s="1641"/>
      <c r="J3516" s="1654">
        <v>0.23</v>
      </c>
      <c r="K3516" s="1641"/>
      <c r="L3516" s="1654">
        <v>0.83</v>
      </c>
      <c r="M3516" s="1655">
        <v>35.75</v>
      </c>
      <c r="N3516" s="2039">
        <v>29.67</v>
      </c>
      <c r="EW3516" s="2031"/>
      <c r="EX3516" s="1619"/>
      <c r="EY3516" s="1628"/>
      <c r="EZ3516" s="1628"/>
      <c r="FA3516" s="1628"/>
      <c r="FE3516" s="1864" t="s">
        <v>2500</v>
      </c>
      <c r="FH3516" s="1628"/>
      <c r="FU3516" s="1678"/>
      <c r="FW3516" s="1678"/>
    </row>
    <row r="3517" spans="1:179" s="1484" customFormat="1" ht="15" x14ac:dyDescent="0.25">
      <c r="A3517" s="2032"/>
      <c r="B3517" s="1631" t="s">
        <v>232</v>
      </c>
      <c r="C3517" s="2805" t="s">
        <v>829</v>
      </c>
      <c r="D3517" s="2805"/>
      <c r="E3517" s="2805"/>
      <c r="F3517" s="1683"/>
      <c r="G3517" s="1641"/>
      <c r="H3517" s="1641"/>
      <c r="I3517" s="1641"/>
      <c r="J3517" s="1654">
        <v>51.95</v>
      </c>
      <c r="K3517" s="1641"/>
      <c r="L3517" s="1654">
        <v>188.27</v>
      </c>
      <c r="M3517" s="1655">
        <v>9.14</v>
      </c>
      <c r="N3517" s="1679">
        <v>1720.79</v>
      </c>
      <c r="EW3517" s="2031"/>
      <c r="EX3517" s="1619"/>
      <c r="EY3517" s="1628"/>
      <c r="EZ3517" s="1628"/>
      <c r="FA3517" s="1628"/>
      <c r="FE3517" s="1864" t="s">
        <v>829</v>
      </c>
      <c r="FH3517" s="1628"/>
      <c r="FU3517" s="1678"/>
      <c r="FW3517" s="1678"/>
    </row>
    <row r="3518" spans="1:179" s="1484" customFormat="1" ht="15" x14ac:dyDescent="0.25">
      <c r="A3518" s="2033"/>
      <c r="B3518" s="1631"/>
      <c r="C3518" s="2805" t="s">
        <v>2524</v>
      </c>
      <c r="D3518" s="2805"/>
      <c r="E3518" s="2805"/>
      <c r="F3518" s="1683" t="s">
        <v>807</v>
      </c>
      <c r="G3518" s="1655">
        <v>2.36</v>
      </c>
      <c r="H3518" s="1641"/>
      <c r="I3518" s="2042">
        <v>8.5526400000000002</v>
      </c>
      <c r="J3518" s="1640"/>
      <c r="K3518" s="1641"/>
      <c r="L3518" s="1640"/>
      <c r="M3518" s="1641"/>
      <c r="N3518" s="1681"/>
      <c r="EW3518" s="2031"/>
      <c r="EX3518" s="1619"/>
      <c r="EY3518" s="1628"/>
      <c r="EZ3518" s="1628"/>
      <c r="FA3518" s="1628"/>
      <c r="FF3518" s="1864" t="s">
        <v>2524</v>
      </c>
      <c r="FH3518" s="1628"/>
      <c r="FU3518" s="1678"/>
      <c r="FW3518" s="1678"/>
    </row>
    <row r="3519" spans="1:179" s="1484" customFormat="1" ht="15" x14ac:dyDescent="0.25">
      <c r="A3519" s="2033"/>
      <c r="B3519" s="1631"/>
      <c r="C3519" s="2805" t="s">
        <v>2501</v>
      </c>
      <c r="D3519" s="2805"/>
      <c r="E3519" s="2805"/>
      <c r="F3519" s="1683" t="s">
        <v>807</v>
      </c>
      <c r="G3519" s="1655">
        <v>0.02</v>
      </c>
      <c r="H3519" s="1641"/>
      <c r="I3519" s="2042">
        <v>7.2480000000000003E-2</v>
      </c>
      <c r="J3519" s="1640"/>
      <c r="K3519" s="1641"/>
      <c r="L3519" s="1640"/>
      <c r="M3519" s="1641"/>
      <c r="N3519" s="1681"/>
      <c r="EW3519" s="2031"/>
      <c r="EX3519" s="1619"/>
      <c r="EY3519" s="1628"/>
      <c r="EZ3519" s="1628"/>
      <c r="FA3519" s="1628"/>
      <c r="FF3519" s="1864" t="s">
        <v>2501</v>
      </c>
      <c r="FH3519" s="1628"/>
      <c r="FU3519" s="1678"/>
      <c r="FW3519" s="1678"/>
    </row>
    <row r="3520" spans="1:179" s="1484" customFormat="1" ht="15" x14ac:dyDescent="0.25">
      <c r="A3520" s="2032"/>
      <c r="B3520" s="1631"/>
      <c r="C3520" s="2917" t="s">
        <v>2502</v>
      </c>
      <c r="D3520" s="2917"/>
      <c r="E3520" s="2917"/>
      <c r="F3520" s="2036"/>
      <c r="G3520" s="2037"/>
      <c r="H3520" s="2037"/>
      <c r="I3520" s="2037"/>
      <c r="J3520" s="2044">
        <v>81.290000000000006</v>
      </c>
      <c r="K3520" s="2037"/>
      <c r="L3520" s="2044">
        <v>316.10000000000002</v>
      </c>
      <c r="M3520" s="2037"/>
      <c r="N3520" s="2068">
        <v>5808.22</v>
      </c>
      <c r="EW3520" s="2031"/>
      <c r="EX3520" s="1619"/>
      <c r="EY3520" s="1628"/>
      <c r="EZ3520" s="1628"/>
      <c r="FA3520" s="1628"/>
      <c r="FG3520" s="1864" t="s">
        <v>2502</v>
      </c>
      <c r="FH3520" s="1628"/>
      <c r="FU3520" s="1678"/>
      <c r="FW3520" s="1678"/>
    </row>
    <row r="3521" spans="1:179" s="1484" customFormat="1" ht="15" x14ac:dyDescent="0.25">
      <c r="A3521" s="2033" t="s">
        <v>8571</v>
      </c>
      <c r="B3521" s="1631"/>
      <c r="C3521" s="2805" t="s">
        <v>7964</v>
      </c>
      <c r="D3521" s="2805"/>
      <c r="E3521" s="2805"/>
      <c r="F3521" s="1683" t="s">
        <v>5928</v>
      </c>
      <c r="G3521" s="1641"/>
      <c r="H3521" s="1641"/>
      <c r="I3521" s="1641"/>
      <c r="J3521" s="1640"/>
      <c r="K3521" s="1641"/>
      <c r="L3521" s="1654">
        <v>0.21</v>
      </c>
      <c r="M3521" s="1641"/>
      <c r="N3521" s="2039">
        <v>7.51</v>
      </c>
      <c r="EW3521" s="2031"/>
      <c r="EX3521" s="1619"/>
      <c r="EY3521" s="1628"/>
      <c r="EZ3521" s="1628"/>
      <c r="FA3521" s="1628"/>
      <c r="FF3521" s="1864" t="s">
        <v>7964</v>
      </c>
      <c r="FH3521" s="1628"/>
      <c r="FU3521" s="1678"/>
      <c r="FW3521" s="1678"/>
    </row>
    <row r="3522" spans="1:179" s="1484" customFormat="1" ht="15" x14ac:dyDescent="0.25">
      <c r="A3522" s="2033"/>
      <c r="B3522" s="1631"/>
      <c r="C3522" s="2805" t="s">
        <v>7965</v>
      </c>
      <c r="D3522" s="2805"/>
      <c r="E3522" s="2805"/>
      <c r="F3522" s="1683" t="s">
        <v>5928</v>
      </c>
      <c r="G3522" s="1641"/>
      <c r="H3522" s="1641"/>
      <c r="I3522" s="1641"/>
      <c r="J3522" s="1654">
        <v>0.23</v>
      </c>
      <c r="K3522" s="1655">
        <v>0.25</v>
      </c>
      <c r="L3522" s="1654">
        <v>0.21</v>
      </c>
      <c r="M3522" s="1655">
        <v>35.75</v>
      </c>
      <c r="N3522" s="2039">
        <v>7.51</v>
      </c>
      <c r="EW3522" s="2031"/>
      <c r="EX3522" s="1619"/>
      <c r="EY3522" s="1628"/>
      <c r="EZ3522" s="1628"/>
      <c r="FA3522" s="1628"/>
      <c r="FF3522" s="1864" t="s">
        <v>7965</v>
      </c>
      <c r="FH3522" s="1628"/>
      <c r="FU3522" s="1678"/>
      <c r="FW3522" s="1678"/>
    </row>
    <row r="3523" spans="1:179" s="1484" customFormat="1" ht="15" x14ac:dyDescent="0.25">
      <c r="A3523" s="2033"/>
      <c r="B3523" s="1631"/>
      <c r="C3523" s="2805" t="s">
        <v>867</v>
      </c>
      <c r="D3523" s="2805"/>
      <c r="E3523" s="2805"/>
      <c r="F3523" s="1683"/>
      <c r="G3523" s="1641"/>
      <c r="H3523" s="1641"/>
      <c r="I3523" s="1641"/>
      <c r="J3523" s="1640"/>
      <c r="K3523" s="1641"/>
      <c r="L3523" s="1654">
        <v>108.58</v>
      </c>
      <c r="M3523" s="1641"/>
      <c r="N3523" s="1679">
        <v>3881.74</v>
      </c>
      <c r="EW3523" s="2031"/>
      <c r="EX3523" s="1619"/>
      <c r="EY3523" s="1628"/>
      <c r="EZ3523" s="1628"/>
      <c r="FA3523" s="1628"/>
      <c r="FF3523" s="1864" t="s">
        <v>867</v>
      </c>
      <c r="FH3523" s="1628"/>
      <c r="FU3523" s="1678"/>
      <c r="FW3523" s="1678"/>
    </row>
    <row r="3524" spans="1:179" s="1484" customFormat="1" ht="15" x14ac:dyDescent="0.25">
      <c r="A3524" s="2033"/>
      <c r="B3524" s="1631" t="s">
        <v>868</v>
      </c>
      <c r="C3524" s="2805" t="s">
        <v>869</v>
      </c>
      <c r="D3524" s="2805"/>
      <c r="E3524" s="2805"/>
      <c r="F3524" s="1683" t="s">
        <v>636</v>
      </c>
      <c r="G3524" s="2034">
        <v>93</v>
      </c>
      <c r="H3524" s="1641"/>
      <c r="I3524" s="2034">
        <v>93</v>
      </c>
      <c r="J3524" s="1640"/>
      <c r="K3524" s="1641"/>
      <c r="L3524" s="1654">
        <v>100.98</v>
      </c>
      <c r="M3524" s="1641"/>
      <c r="N3524" s="1679">
        <v>3610.02</v>
      </c>
      <c r="EW3524" s="2031"/>
      <c r="EX3524" s="1619"/>
      <c r="EY3524" s="1628"/>
      <c r="EZ3524" s="1628"/>
      <c r="FA3524" s="1628"/>
      <c r="FF3524" s="1864" t="s">
        <v>869</v>
      </c>
      <c r="FH3524" s="1628"/>
      <c r="FU3524" s="1678"/>
      <c r="FW3524" s="1678"/>
    </row>
    <row r="3525" spans="1:179" s="1484" customFormat="1" ht="15" x14ac:dyDescent="0.25">
      <c r="A3525" s="2033"/>
      <c r="B3525" s="1631" t="s">
        <v>8087</v>
      </c>
      <c r="C3525" s="2805" t="s">
        <v>871</v>
      </c>
      <c r="D3525" s="2805"/>
      <c r="E3525" s="2805"/>
      <c r="F3525" s="1683" t="s">
        <v>636</v>
      </c>
      <c r="G3525" s="2034">
        <v>62</v>
      </c>
      <c r="H3525" s="1641"/>
      <c r="I3525" s="2034">
        <v>62</v>
      </c>
      <c r="J3525" s="1640"/>
      <c r="K3525" s="1641"/>
      <c r="L3525" s="1654">
        <v>67.319999999999993</v>
      </c>
      <c r="M3525" s="1641"/>
      <c r="N3525" s="1679">
        <v>2406.6799999999998</v>
      </c>
      <c r="EW3525" s="2031"/>
      <c r="EX3525" s="1619"/>
      <c r="EY3525" s="1628"/>
      <c r="EZ3525" s="1628"/>
      <c r="FA3525" s="1628"/>
      <c r="FF3525" s="1864" t="s">
        <v>871</v>
      </c>
      <c r="FH3525" s="1628"/>
      <c r="FU3525" s="1678"/>
      <c r="FW3525" s="1678"/>
    </row>
    <row r="3526" spans="1:179" s="1484" customFormat="1" ht="15" x14ac:dyDescent="0.25">
      <c r="A3526" s="1650"/>
      <c r="B3526" s="1651"/>
      <c r="C3526" s="2803" t="s">
        <v>872</v>
      </c>
      <c r="D3526" s="2803"/>
      <c r="E3526" s="2803"/>
      <c r="F3526" s="1621"/>
      <c r="G3526" s="1622"/>
      <c r="H3526" s="1622"/>
      <c r="I3526" s="1622"/>
      <c r="J3526" s="1625"/>
      <c r="K3526" s="1622"/>
      <c r="L3526" s="2040">
        <v>484.61</v>
      </c>
      <c r="M3526" s="2037"/>
      <c r="N3526" s="1649">
        <v>11832.43</v>
      </c>
      <c r="EW3526" s="2031"/>
      <c r="EX3526" s="1619"/>
      <c r="EY3526" s="1628"/>
      <c r="EZ3526" s="1628"/>
      <c r="FA3526" s="1628"/>
      <c r="FH3526" s="1628" t="s">
        <v>872</v>
      </c>
      <c r="FU3526" s="1678"/>
      <c r="FW3526" s="1678"/>
    </row>
    <row r="3527" spans="1:179" s="1484" customFormat="1" ht="33.75" x14ac:dyDescent="0.25">
      <c r="A3527" s="1620" t="s">
        <v>8572</v>
      </c>
      <c r="B3527" s="1863" t="s">
        <v>8573</v>
      </c>
      <c r="C3527" s="2803" t="s">
        <v>8574</v>
      </c>
      <c r="D3527" s="2803"/>
      <c r="E3527" s="2803"/>
      <c r="F3527" s="1621" t="s">
        <v>269</v>
      </c>
      <c r="G3527" s="1622">
        <v>1</v>
      </c>
      <c r="H3527" s="1623">
        <v>1</v>
      </c>
      <c r="I3527" s="1623">
        <v>1</v>
      </c>
      <c r="J3527" s="1648">
        <v>6025.88</v>
      </c>
      <c r="K3527" s="1622"/>
      <c r="L3527" s="1648">
        <v>6025.88</v>
      </c>
      <c r="M3527" s="1687">
        <v>9.14</v>
      </c>
      <c r="N3527" s="1649">
        <v>55076.54</v>
      </c>
      <c r="EW3527" s="2031"/>
      <c r="EX3527" s="1619"/>
      <c r="EY3527" s="1628" t="s">
        <v>8574</v>
      </c>
      <c r="EZ3527" s="1628" t="s">
        <v>588</v>
      </c>
      <c r="FA3527" s="1628" t="s">
        <v>588</v>
      </c>
      <c r="FH3527" s="1628"/>
      <c r="FU3527" s="1678"/>
      <c r="FW3527" s="1678"/>
    </row>
    <row r="3528" spans="1:179" s="1484" customFormat="1" ht="15" x14ac:dyDescent="0.25">
      <c r="A3528" s="1650"/>
      <c r="B3528" s="1651"/>
      <c r="C3528" s="2805" t="s">
        <v>8640</v>
      </c>
      <c r="D3528" s="2805"/>
      <c r="E3528" s="2805"/>
      <c r="F3528" s="2805"/>
      <c r="G3528" s="2805"/>
      <c r="H3528" s="2805"/>
      <c r="I3528" s="2805"/>
      <c r="J3528" s="2805"/>
      <c r="K3528" s="2805"/>
      <c r="L3528" s="2805"/>
      <c r="M3528" s="2805"/>
      <c r="N3528" s="2806"/>
      <c r="EW3528" s="2031"/>
      <c r="EX3528" s="1619"/>
      <c r="EY3528" s="1628"/>
      <c r="EZ3528" s="1628"/>
      <c r="FA3528" s="1628"/>
      <c r="FH3528" s="1628"/>
      <c r="FI3528" s="1864" t="s">
        <v>8640</v>
      </c>
      <c r="FJ3528" s="1864" t="s">
        <v>588</v>
      </c>
      <c r="FK3528" s="1864" t="s">
        <v>588</v>
      </c>
      <c r="FL3528" s="1864" t="s">
        <v>588</v>
      </c>
      <c r="FM3528" s="1864" t="s">
        <v>588</v>
      </c>
      <c r="FN3528" s="1864" t="s">
        <v>588</v>
      </c>
      <c r="FO3528" s="1864" t="s">
        <v>588</v>
      </c>
      <c r="FP3528" s="1864" t="s">
        <v>588</v>
      </c>
      <c r="FQ3528" s="1864" t="s">
        <v>588</v>
      </c>
      <c r="FR3528" s="1864" t="s">
        <v>588</v>
      </c>
      <c r="FS3528" s="1864" t="s">
        <v>588</v>
      </c>
      <c r="FT3528" s="1864" t="s">
        <v>588</v>
      </c>
      <c r="FU3528" s="1678"/>
      <c r="FW3528" s="1678"/>
    </row>
    <row r="3529" spans="1:179" s="1484" customFormat="1" ht="15" x14ac:dyDescent="0.25">
      <c r="A3529" s="1629"/>
      <c r="B3529" s="1862"/>
      <c r="C3529" s="2805" t="s">
        <v>8652</v>
      </c>
      <c r="D3529" s="2805"/>
      <c r="E3529" s="2805"/>
      <c r="F3529" s="2805"/>
      <c r="G3529" s="2805"/>
      <c r="H3529" s="2805"/>
      <c r="I3529" s="2805"/>
      <c r="J3529" s="2805"/>
      <c r="K3529" s="2805"/>
      <c r="L3529" s="2805"/>
      <c r="M3529" s="2805"/>
      <c r="N3529" s="2806"/>
      <c r="EW3529" s="2031"/>
      <c r="EX3529" s="1619"/>
      <c r="EY3529" s="1628"/>
      <c r="EZ3529" s="1628"/>
      <c r="FA3529" s="1628"/>
      <c r="FB3529" s="1864" t="s">
        <v>8652</v>
      </c>
      <c r="FH3529" s="1628"/>
      <c r="FU3529" s="1678"/>
      <c r="FW3529" s="1678"/>
    </row>
    <row r="3530" spans="1:179" s="1484" customFormat="1" ht="15" x14ac:dyDescent="0.25">
      <c r="A3530" s="1650"/>
      <c r="B3530" s="1651"/>
      <c r="C3530" s="2803" t="s">
        <v>872</v>
      </c>
      <c r="D3530" s="2803"/>
      <c r="E3530" s="2803"/>
      <c r="F3530" s="1621"/>
      <c r="G3530" s="1622"/>
      <c r="H3530" s="1622"/>
      <c r="I3530" s="1622"/>
      <c r="J3530" s="1625"/>
      <c r="K3530" s="1622"/>
      <c r="L3530" s="1648">
        <v>6025.88</v>
      </c>
      <c r="M3530" s="2037"/>
      <c r="N3530" s="1649">
        <v>55076.54</v>
      </c>
      <c r="EW3530" s="2031"/>
      <c r="EX3530" s="1619"/>
      <c r="EY3530" s="1628"/>
      <c r="EZ3530" s="1628"/>
      <c r="FA3530" s="1628"/>
      <c r="FH3530" s="1628" t="s">
        <v>872</v>
      </c>
      <c r="FU3530" s="1678"/>
      <c r="FW3530" s="1678"/>
    </row>
    <row r="3531" spans="1:179" s="1484" customFormat="1" ht="22.5" x14ac:dyDescent="0.25">
      <c r="A3531" s="1620" t="s">
        <v>8575</v>
      </c>
      <c r="B3531" s="1863" t="s">
        <v>8576</v>
      </c>
      <c r="C3531" s="2803" t="s">
        <v>8577</v>
      </c>
      <c r="D3531" s="2803"/>
      <c r="E3531" s="2803"/>
      <c r="F3531" s="1621" t="s">
        <v>269</v>
      </c>
      <c r="G3531" s="1622">
        <v>1</v>
      </c>
      <c r="H3531" s="1623">
        <v>1</v>
      </c>
      <c r="I3531" s="1623">
        <v>1</v>
      </c>
      <c r="J3531" s="2040">
        <v>371.2</v>
      </c>
      <c r="K3531" s="1622"/>
      <c r="L3531" s="2040">
        <v>371.2</v>
      </c>
      <c r="M3531" s="1687">
        <v>9.14</v>
      </c>
      <c r="N3531" s="1649">
        <v>3392.77</v>
      </c>
      <c r="EW3531" s="2031"/>
      <c r="EX3531" s="1619"/>
      <c r="EY3531" s="1628" t="s">
        <v>8577</v>
      </c>
      <c r="EZ3531" s="1628" t="s">
        <v>588</v>
      </c>
      <c r="FA3531" s="1628" t="s">
        <v>588</v>
      </c>
      <c r="FH3531" s="1628"/>
      <c r="FU3531" s="1678"/>
      <c r="FW3531" s="1678"/>
    </row>
    <row r="3532" spans="1:179" s="1484" customFormat="1" ht="15" x14ac:dyDescent="0.25">
      <c r="A3532" s="1650"/>
      <c r="B3532" s="1651"/>
      <c r="C3532" s="2805" t="s">
        <v>8640</v>
      </c>
      <c r="D3532" s="2805"/>
      <c r="E3532" s="2805"/>
      <c r="F3532" s="2805"/>
      <c r="G3532" s="2805"/>
      <c r="H3532" s="2805"/>
      <c r="I3532" s="2805"/>
      <c r="J3532" s="2805"/>
      <c r="K3532" s="2805"/>
      <c r="L3532" s="2805"/>
      <c r="M3532" s="2805"/>
      <c r="N3532" s="2806"/>
      <c r="EW3532" s="2031"/>
      <c r="EX3532" s="1619"/>
      <c r="EY3532" s="1628"/>
      <c r="EZ3532" s="1628"/>
      <c r="FA3532" s="1628"/>
      <c r="FH3532" s="1628"/>
      <c r="FI3532" s="1864" t="s">
        <v>8640</v>
      </c>
      <c r="FJ3532" s="1864" t="s">
        <v>588</v>
      </c>
      <c r="FK3532" s="1864" t="s">
        <v>588</v>
      </c>
      <c r="FL3532" s="1864" t="s">
        <v>588</v>
      </c>
      <c r="FM3532" s="1864" t="s">
        <v>588</v>
      </c>
      <c r="FN3532" s="1864" t="s">
        <v>588</v>
      </c>
      <c r="FO3532" s="1864" t="s">
        <v>588</v>
      </c>
      <c r="FP3532" s="1864" t="s">
        <v>588</v>
      </c>
      <c r="FQ3532" s="1864" t="s">
        <v>588</v>
      </c>
      <c r="FR3532" s="1864" t="s">
        <v>588</v>
      </c>
      <c r="FS3532" s="1864" t="s">
        <v>588</v>
      </c>
      <c r="FT3532" s="1864" t="s">
        <v>588</v>
      </c>
      <c r="FU3532" s="1678"/>
      <c r="FW3532" s="1678"/>
    </row>
    <row r="3533" spans="1:179" s="1484" customFormat="1" ht="15" x14ac:dyDescent="0.25">
      <c r="A3533" s="1629"/>
      <c r="B3533" s="1862"/>
      <c r="C3533" s="2805" t="s">
        <v>8652</v>
      </c>
      <c r="D3533" s="2805"/>
      <c r="E3533" s="2805"/>
      <c r="F3533" s="2805"/>
      <c r="G3533" s="2805"/>
      <c r="H3533" s="2805"/>
      <c r="I3533" s="2805"/>
      <c r="J3533" s="2805"/>
      <c r="K3533" s="2805"/>
      <c r="L3533" s="2805"/>
      <c r="M3533" s="2805"/>
      <c r="N3533" s="2806"/>
      <c r="EW3533" s="2031"/>
      <c r="EX3533" s="1619"/>
      <c r="EY3533" s="1628"/>
      <c r="EZ3533" s="1628"/>
      <c r="FA3533" s="1628"/>
      <c r="FB3533" s="1864" t="s">
        <v>8652</v>
      </c>
      <c r="FH3533" s="1628"/>
      <c r="FU3533" s="1678"/>
      <c r="FW3533" s="1678"/>
    </row>
    <row r="3534" spans="1:179" s="1484" customFormat="1" ht="15" x14ac:dyDescent="0.25">
      <c r="A3534" s="1650"/>
      <c r="B3534" s="1651"/>
      <c r="C3534" s="2803" t="s">
        <v>872</v>
      </c>
      <c r="D3534" s="2803"/>
      <c r="E3534" s="2803"/>
      <c r="F3534" s="1621"/>
      <c r="G3534" s="1622"/>
      <c r="H3534" s="1622"/>
      <c r="I3534" s="1622"/>
      <c r="J3534" s="1625"/>
      <c r="K3534" s="1622"/>
      <c r="L3534" s="2040">
        <v>371.2</v>
      </c>
      <c r="M3534" s="2037"/>
      <c r="N3534" s="1649">
        <v>3392.77</v>
      </c>
      <c r="EW3534" s="2031"/>
      <c r="EX3534" s="1619"/>
      <c r="EY3534" s="1628"/>
      <c r="EZ3534" s="1628"/>
      <c r="FA3534" s="1628"/>
      <c r="FH3534" s="1628" t="s">
        <v>872</v>
      </c>
      <c r="FU3534" s="1678"/>
      <c r="FW3534" s="1678"/>
    </row>
    <row r="3535" spans="1:179" s="1484" customFormat="1" ht="15" x14ac:dyDescent="0.25">
      <c r="A3535" s="2811" t="s">
        <v>8578</v>
      </c>
      <c r="B3535" s="2812"/>
      <c r="C3535" s="2812"/>
      <c r="D3535" s="2812"/>
      <c r="E3535" s="2812"/>
      <c r="F3535" s="2812"/>
      <c r="G3535" s="2812"/>
      <c r="H3535" s="2812"/>
      <c r="I3535" s="2812"/>
      <c r="J3535" s="2812"/>
      <c r="K3535" s="2812"/>
      <c r="L3535" s="2812"/>
      <c r="M3535" s="2812"/>
      <c r="N3535" s="2813"/>
      <c r="EW3535" s="2031"/>
      <c r="EX3535" s="1619" t="s">
        <v>8578</v>
      </c>
      <c r="EY3535" s="1628"/>
      <c r="EZ3535" s="1628"/>
      <c r="FA3535" s="1628"/>
      <c r="FH3535" s="1628"/>
      <c r="FU3535" s="1678"/>
      <c r="FW3535" s="1678"/>
    </row>
    <row r="3536" spans="1:179" s="1484" customFormat="1" ht="33.75" x14ac:dyDescent="0.25">
      <c r="A3536" s="1620" t="s">
        <v>8579</v>
      </c>
      <c r="B3536" s="1863" t="s">
        <v>8580</v>
      </c>
      <c r="C3536" s="2803" t="s">
        <v>8581</v>
      </c>
      <c r="D3536" s="2803"/>
      <c r="E3536" s="2803"/>
      <c r="F3536" s="1621" t="s">
        <v>2555</v>
      </c>
      <c r="G3536" s="1622">
        <v>0.11020000000000001</v>
      </c>
      <c r="H3536" s="1623">
        <v>1</v>
      </c>
      <c r="I3536" s="2041">
        <v>0.11020000000000001</v>
      </c>
      <c r="J3536" s="1625"/>
      <c r="K3536" s="1622"/>
      <c r="L3536" s="1625"/>
      <c r="M3536" s="1622"/>
      <c r="N3536" s="1627"/>
      <c r="EW3536" s="2031"/>
      <c r="EX3536" s="1619"/>
      <c r="EY3536" s="1628" t="s">
        <v>8581</v>
      </c>
      <c r="EZ3536" s="1628" t="s">
        <v>588</v>
      </c>
      <c r="FA3536" s="1628" t="s">
        <v>588</v>
      </c>
      <c r="FH3536" s="1628"/>
      <c r="FU3536" s="1678"/>
      <c r="FW3536" s="1678"/>
    </row>
    <row r="3537" spans="1:179" s="1484" customFormat="1" ht="15" x14ac:dyDescent="0.25">
      <c r="A3537" s="1629"/>
      <c r="B3537" s="1862"/>
      <c r="C3537" s="2805" t="s">
        <v>8651</v>
      </c>
      <c r="D3537" s="2805"/>
      <c r="E3537" s="2805"/>
      <c r="F3537" s="2805"/>
      <c r="G3537" s="2805"/>
      <c r="H3537" s="2805"/>
      <c r="I3537" s="2805"/>
      <c r="J3537" s="2805"/>
      <c r="K3537" s="2805"/>
      <c r="L3537" s="2805"/>
      <c r="M3537" s="2805"/>
      <c r="N3537" s="2806"/>
      <c r="EW3537" s="2031"/>
      <c r="EX3537" s="1619"/>
      <c r="EY3537" s="1628"/>
      <c r="EZ3537" s="1628"/>
      <c r="FA3537" s="1628"/>
      <c r="FB3537" s="1864" t="s">
        <v>8651</v>
      </c>
      <c r="FH3537" s="1628"/>
      <c r="FU3537" s="1678"/>
      <c r="FW3537" s="1678"/>
    </row>
    <row r="3538" spans="1:179" s="1484" customFormat="1" ht="22.5" x14ac:dyDescent="0.25">
      <c r="A3538" s="1630"/>
      <c r="B3538" s="1631" t="s">
        <v>6062</v>
      </c>
      <c r="C3538" s="2809" t="s">
        <v>6063</v>
      </c>
      <c r="D3538" s="2809"/>
      <c r="E3538" s="2809"/>
      <c r="F3538" s="2809"/>
      <c r="G3538" s="2809"/>
      <c r="H3538" s="2809"/>
      <c r="I3538" s="2809"/>
      <c r="J3538" s="2809"/>
      <c r="K3538" s="2809"/>
      <c r="L3538" s="2809"/>
      <c r="M3538" s="2809"/>
      <c r="N3538" s="2810"/>
      <c r="EW3538" s="2031"/>
      <c r="EX3538" s="1619"/>
      <c r="EY3538" s="1628"/>
      <c r="EZ3538" s="1628"/>
      <c r="FA3538" s="1628"/>
      <c r="FC3538" s="1864" t="s">
        <v>6063</v>
      </c>
      <c r="FH3538" s="1628"/>
      <c r="FU3538" s="1678"/>
      <c r="FW3538" s="1678"/>
    </row>
    <row r="3539" spans="1:179" s="1484" customFormat="1" ht="22.5" x14ac:dyDescent="0.25">
      <c r="A3539" s="2033"/>
      <c r="B3539" s="1631" t="s">
        <v>3204</v>
      </c>
      <c r="C3539" s="2805" t="s">
        <v>8647</v>
      </c>
      <c r="D3539" s="2805"/>
      <c r="E3539" s="2805"/>
      <c r="F3539" s="1683" t="s">
        <v>807</v>
      </c>
      <c r="G3539" s="1655">
        <v>122.57</v>
      </c>
      <c r="H3539" s="1641"/>
      <c r="I3539" s="2043">
        <v>13.507213999999999</v>
      </c>
      <c r="J3539" s="1654">
        <v>8.74</v>
      </c>
      <c r="K3539" s="1655">
        <v>1.25</v>
      </c>
      <c r="L3539" s="1654">
        <v>147.57</v>
      </c>
      <c r="M3539" s="1641"/>
      <c r="N3539" s="1681"/>
      <c r="EW3539" s="2031"/>
      <c r="EX3539" s="1619"/>
      <c r="EY3539" s="1628"/>
      <c r="EZ3539" s="1628"/>
      <c r="FA3539" s="1628"/>
      <c r="FD3539" s="1864" t="s">
        <v>8647</v>
      </c>
      <c r="FH3539" s="1628"/>
      <c r="FU3539" s="1678"/>
      <c r="FW3539" s="1678"/>
    </row>
    <row r="3540" spans="1:179" s="1484" customFormat="1" ht="22.5" x14ac:dyDescent="0.25">
      <c r="A3540" s="2033"/>
      <c r="B3540" s="1631" t="s">
        <v>5010</v>
      </c>
      <c r="C3540" s="2805" t="s">
        <v>5011</v>
      </c>
      <c r="D3540" s="2805"/>
      <c r="E3540" s="2805"/>
      <c r="F3540" s="1683" t="s">
        <v>4994</v>
      </c>
      <c r="G3540" s="1655">
        <v>0.52</v>
      </c>
      <c r="H3540" s="1641"/>
      <c r="I3540" s="2043">
        <v>5.7304000000000001E-2</v>
      </c>
      <c r="J3540" s="1654">
        <v>31.26</v>
      </c>
      <c r="K3540" s="1641"/>
      <c r="L3540" s="1654">
        <v>1.79</v>
      </c>
      <c r="M3540" s="1641"/>
      <c r="N3540" s="1681"/>
      <c r="EW3540" s="2031"/>
      <c r="EX3540" s="1619"/>
      <c r="EY3540" s="1628"/>
      <c r="EZ3540" s="1628"/>
      <c r="FA3540" s="1628"/>
      <c r="FD3540" s="1864" t="s">
        <v>5011</v>
      </c>
      <c r="FH3540" s="1628"/>
      <c r="FU3540" s="1678"/>
      <c r="FW3540" s="1678"/>
    </row>
    <row r="3541" spans="1:179" s="1484" customFormat="1" ht="15" x14ac:dyDescent="0.25">
      <c r="A3541" s="2033"/>
      <c r="B3541" s="1631" t="s">
        <v>821</v>
      </c>
      <c r="C3541" s="2805" t="s">
        <v>822</v>
      </c>
      <c r="D3541" s="2805"/>
      <c r="E3541" s="2805"/>
      <c r="F3541" s="1683" t="s">
        <v>4994</v>
      </c>
      <c r="G3541" s="1655">
        <v>3.28</v>
      </c>
      <c r="H3541" s="1641"/>
      <c r="I3541" s="2043">
        <v>0.361456</v>
      </c>
      <c r="J3541" s="1654">
        <v>65.709999999999994</v>
      </c>
      <c r="K3541" s="1641"/>
      <c r="L3541" s="1654">
        <v>23.75</v>
      </c>
      <c r="M3541" s="1641"/>
      <c r="N3541" s="1681"/>
      <c r="EW3541" s="2031"/>
      <c r="EX3541" s="1619"/>
      <c r="EY3541" s="1628"/>
      <c r="EZ3541" s="1628"/>
      <c r="FA3541" s="1628"/>
      <c r="FD3541" s="1864" t="s">
        <v>822</v>
      </c>
      <c r="FH3541" s="1628"/>
      <c r="FU3541" s="1678"/>
      <c r="FW3541" s="1678"/>
    </row>
    <row r="3542" spans="1:179" s="1484" customFormat="1" ht="15" x14ac:dyDescent="0.25">
      <c r="A3542" s="2033"/>
      <c r="B3542" s="1631" t="s">
        <v>4890</v>
      </c>
      <c r="C3542" s="2805" t="s">
        <v>8646</v>
      </c>
      <c r="D3542" s="2805"/>
      <c r="E3542" s="2805"/>
      <c r="F3542" s="1683" t="s">
        <v>2647</v>
      </c>
      <c r="G3542" s="2034">
        <v>218</v>
      </c>
      <c r="H3542" s="1641"/>
      <c r="I3542" s="2035">
        <v>24.023599999999998</v>
      </c>
      <c r="J3542" s="1654">
        <v>6.38</v>
      </c>
      <c r="K3542" s="1641"/>
      <c r="L3542" s="1654">
        <v>153.27000000000001</v>
      </c>
      <c r="M3542" s="1641"/>
      <c r="N3542" s="1681"/>
      <c r="EW3542" s="2031"/>
      <c r="EX3542" s="1619"/>
      <c r="EY3542" s="1628"/>
      <c r="EZ3542" s="1628"/>
      <c r="FA3542" s="1628"/>
      <c r="FD3542" s="1864" t="s">
        <v>8646</v>
      </c>
      <c r="FH3542" s="1628"/>
      <c r="FU3542" s="1678"/>
      <c r="FW3542" s="1678"/>
    </row>
    <row r="3543" spans="1:179" s="1484" customFormat="1" ht="15" x14ac:dyDescent="0.25">
      <c r="A3543" s="2033"/>
      <c r="B3543" s="1631" t="s">
        <v>8645</v>
      </c>
      <c r="C3543" s="2805" t="s">
        <v>8644</v>
      </c>
      <c r="D3543" s="2805"/>
      <c r="E3543" s="2805"/>
      <c r="F3543" s="1683" t="s">
        <v>2647</v>
      </c>
      <c r="G3543" s="2034">
        <v>40</v>
      </c>
      <c r="H3543" s="1641"/>
      <c r="I3543" s="2046">
        <v>4.4080000000000004</v>
      </c>
      <c r="J3543" s="1654">
        <v>7.95</v>
      </c>
      <c r="K3543" s="1641"/>
      <c r="L3543" s="1654">
        <v>35.04</v>
      </c>
      <c r="M3543" s="1641"/>
      <c r="N3543" s="1681"/>
      <c r="EW3543" s="2031"/>
      <c r="EX3543" s="1619"/>
      <c r="EY3543" s="1628"/>
      <c r="EZ3543" s="1628"/>
      <c r="FA3543" s="1628"/>
      <c r="FD3543" s="1864" t="s">
        <v>8644</v>
      </c>
      <c r="FH3543" s="1628"/>
      <c r="FU3543" s="1678"/>
      <c r="FW3543" s="1678"/>
    </row>
    <row r="3544" spans="1:179" s="1484" customFormat="1" ht="15" x14ac:dyDescent="0.25">
      <c r="A3544" s="2033"/>
      <c r="B3544" s="1631" t="s">
        <v>4892</v>
      </c>
      <c r="C3544" s="2805" t="s">
        <v>8633</v>
      </c>
      <c r="D3544" s="2805"/>
      <c r="E3544" s="2805"/>
      <c r="F3544" s="1683" t="s">
        <v>849</v>
      </c>
      <c r="G3544" s="1953">
        <v>15.1</v>
      </c>
      <c r="H3544" s="1641"/>
      <c r="I3544" s="2042">
        <v>1.6640200000000001</v>
      </c>
      <c r="J3544" s="1654">
        <v>64.099999999999994</v>
      </c>
      <c r="K3544" s="1641"/>
      <c r="L3544" s="1654">
        <v>106.66</v>
      </c>
      <c r="M3544" s="1641"/>
      <c r="N3544" s="1681"/>
      <c r="EW3544" s="2031"/>
      <c r="EX3544" s="1619"/>
      <c r="EY3544" s="1628"/>
      <c r="EZ3544" s="1628"/>
      <c r="FA3544" s="1628"/>
      <c r="FD3544" s="1864" t="s">
        <v>8633</v>
      </c>
      <c r="FH3544" s="1628"/>
      <c r="FU3544" s="1678"/>
      <c r="FW3544" s="1678"/>
    </row>
    <row r="3545" spans="1:179" s="1484" customFormat="1" ht="22.5" x14ac:dyDescent="0.25">
      <c r="A3545" s="2033"/>
      <c r="B3545" s="1631" t="s">
        <v>4906</v>
      </c>
      <c r="C3545" s="2805" t="s">
        <v>8643</v>
      </c>
      <c r="D3545" s="2805"/>
      <c r="E3545" s="2805"/>
      <c r="F3545" s="1683" t="s">
        <v>4897</v>
      </c>
      <c r="G3545" s="1953">
        <v>31.1</v>
      </c>
      <c r="H3545" s="1641"/>
      <c r="I3545" s="2042">
        <v>3.4272200000000002</v>
      </c>
      <c r="J3545" s="1654">
        <v>7.03</v>
      </c>
      <c r="K3545" s="1641"/>
      <c r="L3545" s="1654">
        <v>24.09</v>
      </c>
      <c r="M3545" s="1641"/>
      <c r="N3545" s="1681"/>
      <c r="EW3545" s="2031"/>
      <c r="EX3545" s="1619"/>
      <c r="EY3545" s="1628"/>
      <c r="EZ3545" s="1628"/>
      <c r="FA3545" s="1628"/>
      <c r="FD3545" s="1864" t="s">
        <v>8643</v>
      </c>
      <c r="FH3545" s="1628"/>
      <c r="FU3545" s="1678"/>
      <c r="FW3545" s="1678"/>
    </row>
    <row r="3546" spans="1:179" s="1484" customFormat="1" ht="15" x14ac:dyDescent="0.25">
      <c r="A3546" s="2033"/>
      <c r="B3546" s="1631" t="s">
        <v>4967</v>
      </c>
      <c r="C3546" s="2805" t="s">
        <v>4968</v>
      </c>
      <c r="D3546" s="2805"/>
      <c r="E3546" s="2805"/>
      <c r="F3546" s="1683" t="s">
        <v>4865</v>
      </c>
      <c r="G3546" s="2034">
        <v>8</v>
      </c>
      <c r="H3546" s="1641"/>
      <c r="I3546" s="2035">
        <v>0.88160000000000005</v>
      </c>
      <c r="J3546" s="1654">
        <v>50</v>
      </c>
      <c r="K3546" s="1641"/>
      <c r="L3546" s="1654">
        <v>44.08</v>
      </c>
      <c r="M3546" s="1641"/>
      <c r="N3546" s="1681"/>
      <c r="EW3546" s="2031"/>
      <c r="EX3546" s="1619"/>
      <c r="EY3546" s="1628"/>
      <c r="EZ3546" s="1628"/>
      <c r="FA3546" s="1628"/>
      <c r="FD3546" s="1864" t="s">
        <v>4968</v>
      </c>
      <c r="FH3546" s="1628"/>
      <c r="FU3546" s="1678"/>
      <c r="FW3546" s="1678"/>
    </row>
    <row r="3547" spans="1:179" s="1484" customFormat="1" ht="15" x14ac:dyDescent="0.25">
      <c r="A3547" s="2033"/>
      <c r="B3547" s="1631" t="s">
        <v>8642</v>
      </c>
      <c r="C3547" s="2805" t="s">
        <v>8641</v>
      </c>
      <c r="D3547" s="2805"/>
      <c r="E3547" s="2805"/>
      <c r="F3547" s="1683" t="s">
        <v>4868</v>
      </c>
      <c r="G3547" s="1655">
        <v>52.73</v>
      </c>
      <c r="H3547" s="1641"/>
      <c r="I3547" s="2043">
        <v>5.8108459999999997</v>
      </c>
      <c r="J3547" s="1654">
        <v>46.86</v>
      </c>
      <c r="K3547" s="1641"/>
      <c r="L3547" s="1654">
        <v>272.3</v>
      </c>
      <c r="M3547" s="1641"/>
      <c r="N3547" s="1681"/>
      <c r="EW3547" s="2031"/>
      <c r="EX3547" s="1619"/>
      <c r="EY3547" s="1628"/>
      <c r="EZ3547" s="1628"/>
      <c r="FA3547" s="1628"/>
      <c r="FD3547" s="1864" t="s">
        <v>8641</v>
      </c>
      <c r="FH3547" s="1628"/>
      <c r="FU3547" s="1678"/>
      <c r="FW3547" s="1678"/>
    </row>
    <row r="3548" spans="1:179" s="1484" customFormat="1" ht="15" x14ac:dyDescent="0.25">
      <c r="A3548" s="2032"/>
      <c r="B3548" s="1631" t="s">
        <v>190</v>
      </c>
      <c r="C3548" s="2805" t="s">
        <v>2523</v>
      </c>
      <c r="D3548" s="2805"/>
      <c r="E3548" s="2805"/>
      <c r="F3548" s="1683"/>
      <c r="G3548" s="1641"/>
      <c r="H3548" s="1641"/>
      <c r="I3548" s="1641"/>
      <c r="J3548" s="1657">
        <v>1071.26</v>
      </c>
      <c r="K3548" s="1655">
        <v>1.25</v>
      </c>
      <c r="L3548" s="1654">
        <v>147.57</v>
      </c>
      <c r="M3548" s="1655">
        <v>35.75</v>
      </c>
      <c r="N3548" s="1679">
        <v>5275.63</v>
      </c>
      <c r="EW3548" s="2031"/>
      <c r="EX3548" s="1619"/>
      <c r="EY3548" s="1628"/>
      <c r="EZ3548" s="1628"/>
      <c r="FA3548" s="1628"/>
      <c r="FE3548" s="1864" t="s">
        <v>2523</v>
      </c>
      <c r="FH3548" s="1628"/>
      <c r="FU3548" s="1678"/>
      <c r="FW3548" s="1678"/>
    </row>
    <row r="3549" spans="1:179" s="1484" customFormat="1" ht="15" x14ac:dyDescent="0.25">
      <c r="A3549" s="2032"/>
      <c r="B3549" s="1631" t="s">
        <v>639</v>
      </c>
      <c r="C3549" s="2805" t="s">
        <v>697</v>
      </c>
      <c r="D3549" s="2805"/>
      <c r="E3549" s="2805"/>
      <c r="F3549" s="1683"/>
      <c r="G3549" s="1641"/>
      <c r="H3549" s="1641"/>
      <c r="I3549" s="1641"/>
      <c r="J3549" s="1654">
        <v>231.79</v>
      </c>
      <c r="K3549" s="1641"/>
      <c r="L3549" s="1654">
        <v>25.54</v>
      </c>
      <c r="M3549" s="1655">
        <v>11.97</v>
      </c>
      <c r="N3549" s="2039">
        <v>305.70999999999998</v>
      </c>
      <c r="EW3549" s="2031"/>
      <c r="EX3549" s="1619"/>
      <c r="EY3549" s="1628"/>
      <c r="EZ3549" s="1628"/>
      <c r="FA3549" s="1628"/>
      <c r="FE3549" s="1864" t="s">
        <v>697</v>
      </c>
      <c r="FH3549" s="1628"/>
      <c r="FU3549" s="1678"/>
      <c r="FW3549" s="1678"/>
    </row>
    <row r="3550" spans="1:179" s="1484" customFormat="1" ht="15" x14ac:dyDescent="0.25">
      <c r="A3550" s="2032"/>
      <c r="B3550" s="1631" t="s">
        <v>640</v>
      </c>
      <c r="C3550" s="2805" t="s">
        <v>2500</v>
      </c>
      <c r="D3550" s="2805"/>
      <c r="E3550" s="2805"/>
      <c r="F3550" s="1683"/>
      <c r="G3550" s="1641"/>
      <c r="H3550" s="1641"/>
      <c r="I3550" s="1641"/>
      <c r="J3550" s="1654">
        <v>45.07</v>
      </c>
      <c r="K3550" s="1641"/>
      <c r="L3550" s="1654">
        <v>4.97</v>
      </c>
      <c r="M3550" s="1655">
        <v>35.75</v>
      </c>
      <c r="N3550" s="2039">
        <v>177.68</v>
      </c>
      <c r="EW3550" s="2031"/>
      <c r="EX3550" s="1619"/>
      <c r="EY3550" s="1628"/>
      <c r="EZ3550" s="1628"/>
      <c r="FA3550" s="1628"/>
      <c r="FE3550" s="1864" t="s">
        <v>2500</v>
      </c>
      <c r="FH3550" s="1628"/>
      <c r="FU3550" s="1678"/>
      <c r="FW3550" s="1678"/>
    </row>
    <row r="3551" spans="1:179" s="1484" customFormat="1" ht="15" x14ac:dyDescent="0.25">
      <c r="A3551" s="2032"/>
      <c r="B3551" s="1631" t="s">
        <v>232</v>
      </c>
      <c r="C3551" s="2805" t="s">
        <v>829</v>
      </c>
      <c r="D3551" s="2805"/>
      <c r="E3551" s="2805"/>
      <c r="F3551" s="1683"/>
      <c r="G3551" s="1641"/>
      <c r="H3551" s="1641"/>
      <c r="I3551" s="1641"/>
      <c r="J3551" s="1657">
        <v>5766.31</v>
      </c>
      <c r="K3551" s="1641"/>
      <c r="L3551" s="1654">
        <v>635.45000000000005</v>
      </c>
      <c r="M3551" s="1655">
        <v>9.14</v>
      </c>
      <c r="N3551" s="1679">
        <v>5808.01</v>
      </c>
      <c r="EW3551" s="2031"/>
      <c r="EX3551" s="1619"/>
      <c r="EY3551" s="1628"/>
      <c r="EZ3551" s="1628"/>
      <c r="FA3551" s="1628"/>
      <c r="FE3551" s="1864" t="s">
        <v>829</v>
      </c>
      <c r="FH3551" s="1628"/>
      <c r="FU3551" s="1678"/>
      <c r="FW3551" s="1678"/>
    </row>
    <row r="3552" spans="1:179" s="1484" customFormat="1" ht="15" x14ac:dyDescent="0.25">
      <c r="A3552" s="2033"/>
      <c r="B3552" s="1631"/>
      <c r="C3552" s="2805" t="s">
        <v>2524</v>
      </c>
      <c r="D3552" s="2805"/>
      <c r="E3552" s="2805"/>
      <c r="F3552" s="1683" t="s">
        <v>807</v>
      </c>
      <c r="G3552" s="1655">
        <v>122.57</v>
      </c>
      <c r="H3552" s="1641"/>
      <c r="I3552" s="2043">
        <v>13.507213999999999</v>
      </c>
      <c r="J3552" s="1640"/>
      <c r="K3552" s="1641"/>
      <c r="L3552" s="1640"/>
      <c r="M3552" s="1641"/>
      <c r="N3552" s="1681"/>
      <c r="EW3552" s="2031"/>
      <c r="EX3552" s="1619"/>
      <c r="EY3552" s="1628"/>
      <c r="EZ3552" s="1628"/>
      <c r="FA3552" s="1628"/>
      <c r="FF3552" s="1864" t="s">
        <v>2524</v>
      </c>
      <c r="FH3552" s="1628"/>
      <c r="FU3552" s="1678"/>
      <c r="FW3552" s="1678"/>
    </row>
    <row r="3553" spans="1:179" s="1484" customFormat="1" ht="15" x14ac:dyDescent="0.25">
      <c r="A3553" s="2033"/>
      <c r="B3553" s="1631"/>
      <c r="C3553" s="2805" t="s">
        <v>2501</v>
      </c>
      <c r="D3553" s="2805"/>
      <c r="E3553" s="2805"/>
      <c r="F3553" s="1683" t="s">
        <v>807</v>
      </c>
      <c r="G3553" s="1953">
        <v>3.8</v>
      </c>
      <c r="H3553" s="1641"/>
      <c r="I3553" s="2042">
        <v>0.41876000000000002</v>
      </c>
      <c r="J3553" s="1640"/>
      <c r="K3553" s="1641"/>
      <c r="L3553" s="1640"/>
      <c r="M3553" s="1641"/>
      <c r="N3553" s="1681"/>
      <c r="EW3553" s="2031"/>
      <c r="EX3553" s="1619"/>
      <c r="EY3553" s="1628"/>
      <c r="EZ3553" s="1628"/>
      <c r="FA3553" s="1628"/>
      <c r="FF3553" s="1864" t="s">
        <v>2501</v>
      </c>
      <c r="FH3553" s="1628"/>
      <c r="FU3553" s="1678"/>
      <c r="FW3553" s="1678"/>
    </row>
    <row r="3554" spans="1:179" s="1484" customFormat="1" ht="15" x14ac:dyDescent="0.25">
      <c r="A3554" s="2032"/>
      <c r="B3554" s="1631"/>
      <c r="C3554" s="2917" t="s">
        <v>2502</v>
      </c>
      <c r="D3554" s="2917"/>
      <c r="E3554" s="2917"/>
      <c r="F3554" s="2036"/>
      <c r="G3554" s="2037"/>
      <c r="H3554" s="2037"/>
      <c r="I3554" s="2037"/>
      <c r="J3554" s="2038">
        <v>7069.36</v>
      </c>
      <c r="K3554" s="2037"/>
      <c r="L3554" s="2044">
        <v>808.56</v>
      </c>
      <c r="M3554" s="2037"/>
      <c r="N3554" s="2068">
        <v>11389.35</v>
      </c>
      <c r="EW3554" s="2031"/>
      <c r="EX3554" s="1619"/>
      <c r="EY3554" s="1628"/>
      <c r="EZ3554" s="1628"/>
      <c r="FA3554" s="1628"/>
      <c r="FG3554" s="1864" t="s">
        <v>2502</v>
      </c>
      <c r="FH3554" s="1628"/>
      <c r="FU3554" s="1678"/>
      <c r="FW3554" s="1678"/>
    </row>
    <row r="3555" spans="1:179" s="1484" customFormat="1" ht="15" x14ac:dyDescent="0.25">
      <c r="A3555" s="2033" t="s">
        <v>8582</v>
      </c>
      <c r="B3555" s="1631"/>
      <c r="C3555" s="2805" t="s">
        <v>7964</v>
      </c>
      <c r="D3555" s="2805"/>
      <c r="E3555" s="2805"/>
      <c r="F3555" s="1683" t="s">
        <v>5928</v>
      </c>
      <c r="G3555" s="1641"/>
      <c r="H3555" s="1641"/>
      <c r="I3555" s="1641"/>
      <c r="J3555" s="1640"/>
      <c r="K3555" s="1641"/>
      <c r="L3555" s="1654">
        <v>1.24</v>
      </c>
      <c r="M3555" s="1641"/>
      <c r="N3555" s="2039">
        <v>44.33</v>
      </c>
      <c r="EW3555" s="2031"/>
      <c r="EX3555" s="1619"/>
      <c r="EY3555" s="1628"/>
      <c r="EZ3555" s="1628"/>
      <c r="FA3555" s="1628"/>
      <c r="FF3555" s="1864" t="s">
        <v>7964</v>
      </c>
      <c r="FH3555" s="1628"/>
      <c r="FU3555" s="1678"/>
      <c r="FW3555" s="1678"/>
    </row>
    <row r="3556" spans="1:179" s="1484" customFormat="1" ht="15" x14ac:dyDescent="0.25">
      <c r="A3556" s="2033"/>
      <c r="B3556" s="1631"/>
      <c r="C3556" s="2805" t="s">
        <v>7965</v>
      </c>
      <c r="D3556" s="2805"/>
      <c r="E3556" s="2805"/>
      <c r="F3556" s="1683" t="s">
        <v>5928</v>
      </c>
      <c r="G3556" s="1641"/>
      <c r="H3556" s="1641"/>
      <c r="I3556" s="1641"/>
      <c r="J3556" s="1654">
        <v>45.07</v>
      </c>
      <c r="K3556" s="1655">
        <v>0.25</v>
      </c>
      <c r="L3556" s="1654">
        <v>1.24</v>
      </c>
      <c r="M3556" s="1655">
        <v>35.75</v>
      </c>
      <c r="N3556" s="2039">
        <v>44.33</v>
      </c>
      <c r="EW3556" s="2031"/>
      <c r="EX3556" s="1619"/>
      <c r="EY3556" s="1628"/>
      <c r="EZ3556" s="1628"/>
      <c r="FA3556" s="1628"/>
      <c r="FF3556" s="1864" t="s">
        <v>7965</v>
      </c>
      <c r="FH3556" s="1628"/>
      <c r="FU3556" s="1678"/>
      <c r="FW3556" s="1678"/>
    </row>
    <row r="3557" spans="1:179" s="1484" customFormat="1" ht="15" x14ac:dyDescent="0.25">
      <c r="A3557" s="2033"/>
      <c r="B3557" s="1631"/>
      <c r="C3557" s="2805" t="s">
        <v>867</v>
      </c>
      <c r="D3557" s="2805"/>
      <c r="E3557" s="2805"/>
      <c r="F3557" s="1683"/>
      <c r="G3557" s="1641"/>
      <c r="H3557" s="1641"/>
      <c r="I3557" s="1641"/>
      <c r="J3557" s="1640"/>
      <c r="K3557" s="1641"/>
      <c r="L3557" s="1654">
        <v>153.78</v>
      </c>
      <c r="M3557" s="1641"/>
      <c r="N3557" s="1679">
        <v>5497.64</v>
      </c>
      <c r="EW3557" s="2031"/>
      <c r="EX3557" s="1619"/>
      <c r="EY3557" s="1628"/>
      <c r="EZ3557" s="1628"/>
      <c r="FA3557" s="1628"/>
      <c r="FF3557" s="1864" t="s">
        <v>867</v>
      </c>
      <c r="FH3557" s="1628"/>
      <c r="FU3557" s="1678"/>
      <c r="FW3557" s="1678"/>
    </row>
    <row r="3558" spans="1:179" s="1484" customFormat="1" ht="15" x14ac:dyDescent="0.25">
      <c r="A3558" s="2033"/>
      <c r="B3558" s="1631" t="s">
        <v>8043</v>
      </c>
      <c r="C3558" s="2805" t="s">
        <v>8044</v>
      </c>
      <c r="D3558" s="2805"/>
      <c r="E3558" s="2805"/>
      <c r="F3558" s="1683" t="s">
        <v>636</v>
      </c>
      <c r="G3558" s="2034">
        <v>108</v>
      </c>
      <c r="H3558" s="1641"/>
      <c r="I3558" s="2034">
        <v>108</v>
      </c>
      <c r="J3558" s="1640"/>
      <c r="K3558" s="1641"/>
      <c r="L3558" s="1654">
        <v>166.08</v>
      </c>
      <c r="M3558" s="1641"/>
      <c r="N3558" s="1679">
        <v>5937.45</v>
      </c>
      <c r="EW3558" s="2031"/>
      <c r="EX3558" s="1619"/>
      <c r="EY3558" s="1628"/>
      <c r="EZ3558" s="1628"/>
      <c r="FA3558" s="1628"/>
      <c r="FF3558" s="1864" t="s">
        <v>8044</v>
      </c>
      <c r="FH3558" s="1628"/>
      <c r="FU3558" s="1678"/>
      <c r="FW3558" s="1678"/>
    </row>
    <row r="3559" spans="1:179" s="1484" customFormat="1" ht="15" x14ac:dyDescent="0.25">
      <c r="A3559" s="2033"/>
      <c r="B3559" s="1631" t="s">
        <v>8045</v>
      </c>
      <c r="C3559" s="2805" t="s">
        <v>8046</v>
      </c>
      <c r="D3559" s="2805"/>
      <c r="E3559" s="2805"/>
      <c r="F3559" s="1683" t="s">
        <v>636</v>
      </c>
      <c r="G3559" s="2034">
        <v>55</v>
      </c>
      <c r="H3559" s="1641"/>
      <c r="I3559" s="2034">
        <v>55</v>
      </c>
      <c r="J3559" s="1640"/>
      <c r="K3559" s="1641"/>
      <c r="L3559" s="1654">
        <v>84.58</v>
      </c>
      <c r="M3559" s="1641"/>
      <c r="N3559" s="1679">
        <v>3023.7</v>
      </c>
      <c r="EW3559" s="2031"/>
      <c r="EX3559" s="1619"/>
      <c r="EY3559" s="1628"/>
      <c r="EZ3559" s="1628"/>
      <c r="FA3559" s="1628"/>
      <c r="FF3559" s="1864" t="s">
        <v>8046</v>
      </c>
      <c r="FH3559" s="1628"/>
      <c r="FU3559" s="1678"/>
      <c r="FW3559" s="1678"/>
    </row>
    <row r="3560" spans="1:179" s="1484" customFormat="1" ht="15" x14ac:dyDescent="0.25">
      <c r="A3560" s="1650"/>
      <c r="B3560" s="1651"/>
      <c r="C3560" s="2803" t="s">
        <v>872</v>
      </c>
      <c r="D3560" s="2803"/>
      <c r="E3560" s="2803"/>
      <c r="F3560" s="1621"/>
      <c r="G3560" s="1622"/>
      <c r="H3560" s="1622"/>
      <c r="I3560" s="1622"/>
      <c r="J3560" s="1625"/>
      <c r="K3560" s="1622"/>
      <c r="L3560" s="1648">
        <v>1060.46</v>
      </c>
      <c r="M3560" s="2037"/>
      <c r="N3560" s="1649">
        <v>20394.830000000002</v>
      </c>
      <c r="EW3560" s="2031"/>
      <c r="EX3560" s="1619"/>
      <c r="EY3560" s="1628"/>
      <c r="EZ3560" s="1628"/>
      <c r="FA3560" s="1628"/>
      <c r="FH3560" s="1628" t="s">
        <v>872</v>
      </c>
      <c r="FU3560" s="1678"/>
      <c r="FW3560" s="1678"/>
    </row>
    <row r="3561" spans="1:179" s="1484" customFormat="1" ht="67.5" x14ac:dyDescent="0.25">
      <c r="A3561" s="1620" t="s">
        <v>8583</v>
      </c>
      <c r="B3561" s="1863" t="s">
        <v>8650</v>
      </c>
      <c r="C3561" s="2803" t="s">
        <v>8584</v>
      </c>
      <c r="D3561" s="2803"/>
      <c r="E3561" s="2803"/>
      <c r="F3561" s="1621" t="s">
        <v>130</v>
      </c>
      <c r="G3561" s="1622">
        <v>11.03</v>
      </c>
      <c r="H3561" s="1623">
        <v>1</v>
      </c>
      <c r="I3561" s="1687">
        <v>11.03</v>
      </c>
      <c r="J3561" s="1648">
        <v>1529.15</v>
      </c>
      <c r="K3561" s="1622"/>
      <c r="L3561" s="1648">
        <v>16866.52</v>
      </c>
      <c r="M3561" s="1687">
        <v>9.14</v>
      </c>
      <c r="N3561" s="1649">
        <v>154159.99</v>
      </c>
      <c r="EW3561" s="2031"/>
      <c r="EX3561" s="1619"/>
      <c r="EY3561" s="1628" t="s">
        <v>8584</v>
      </c>
      <c r="EZ3561" s="1628" t="s">
        <v>588</v>
      </c>
      <c r="FA3561" s="1628" t="s">
        <v>588</v>
      </c>
      <c r="FH3561" s="1628"/>
      <c r="FU3561" s="1678"/>
      <c r="FW3561" s="1678"/>
    </row>
    <row r="3562" spans="1:179" s="1484" customFormat="1" ht="15" x14ac:dyDescent="0.25">
      <c r="A3562" s="1650"/>
      <c r="B3562" s="1651"/>
      <c r="C3562" s="2805" t="s">
        <v>8640</v>
      </c>
      <c r="D3562" s="2805"/>
      <c r="E3562" s="2805"/>
      <c r="F3562" s="2805"/>
      <c r="G3562" s="2805"/>
      <c r="H3562" s="2805"/>
      <c r="I3562" s="2805"/>
      <c r="J3562" s="2805"/>
      <c r="K3562" s="2805"/>
      <c r="L3562" s="2805"/>
      <c r="M3562" s="2805"/>
      <c r="N3562" s="2806"/>
      <c r="EW3562" s="2031"/>
      <c r="EX3562" s="1619"/>
      <c r="EY3562" s="1628"/>
      <c r="EZ3562" s="1628"/>
      <c r="FA3562" s="1628"/>
      <c r="FH3562" s="1628"/>
      <c r="FI3562" s="1864" t="s">
        <v>8640</v>
      </c>
      <c r="FJ3562" s="1864" t="s">
        <v>588</v>
      </c>
      <c r="FK3562" s="1864" t="s">
        <v>588</v>
      </c>
      <c r="FL3562" s="1864" t="s">
        <v>588</v>
      </c>
      <c r="FM3562" s="1864" t="s">
        <v>588</v>
      </c>
      <c r="FN3562" s="1864" t="s">
        <v>588</v>
      </c>
      <c r="FO3562" s="1864" t="s">
        <v>588</v>
      </c>
      <c r="FP3562" s="1864" t="s">
        <v>588</v>
      </c>
      <c r="FQ3562" s="1864" t="s">
        <v>588</v>
      </c>
      <c r="FR3562" s="1864" t="s">
        <v>588</v>
      </c>
      <c r="FS3562" s="1864" t="s">
        <v>588</v>
      </c>
      <c r="FT3562" s="1864" t="s">
        <v>588</v>
      </c>
      <c r="FU3562" s="1678"/>
      <c r="FW3562" s="1678"/>
    </row>
    <row r="3563" spans="1:179" s="1484" customFormat="1" ht="15" x14ac:dyDescent="0.25">
      <c r="A3563" s="1629"/>
      <c r="B3563" s="1862"/>
      <c r="C3563" s="2805" t="s">
        <v>8649</v>
      </c>
      <c r="D3563" s="2805"/>
      <c r="E3563" s="2805"/>
      <c r="F3563" s="2805"/>
      <c r="G3563" s="2805"/>
      <c r="H3563" s="2805"/>
      <c r="I3563" s="2805"/>
      <c r="J3563" s="2805"/>
      <c r="K3563" s="2805"/>
      <c r="L3563" s="2805"/>
      <c r="M3563" s="2805"/>
      <c r="N3563" s="2806"/>
      <c r="EW3563" s="2031"/>
      <c r="EX3563" s="1619"/>
      <c r="EY3563" s="1628"/>
      <c r="EZ3563" s="1628"/>
      <c r="FA3563" s="1628"/>
      <c r="FB3563" s="1864" t="s">
        <v>8649</v>
      </c>
      <c r="FH3563" s="1628"/>
      <c r="FU3563" s="1678"/>
      <c r="FW3563" s="1678"/>
    </row>
    <row r="3564" spans="1:179" s="1484" customFormat="1" ht="15" x14ac:dyDescent="0.25">
      <c r="A3564" s="1650"/>
      <c r="B3564" s="1651"/>
      <c r="C3564" s="2803" t="s">
        <v>872</v>
      </c>
      <c r="D3564" s="2803"/>
      <c r="E3564" s="2803"/>
      <c r="F3564" s="1621"/>
      <c r="G3564" s="1622"/>
      <c r="H3564" s="1622"/>
      <c r="I3564" s="1622"/>
      <c r="J3564" s="1625"/>
      <c r="K3564" s="1622"/>
      <c r="L3564" s="1648">
        <v>16866.52</v>
      </c>
      <c r="M3564" s="2037"/>
      <c r="N3564" s="1649">
        <v>154159.99</v>
      </c>
      <c r="EW3564" s="2031"/>
      <c r="EX3564" s="1619"/>
      <c r="EY3564" s="1628"/>
      <c r="EZ3564" s="1628"/>
      <c r="FA3564" s="1628"/>
      <c r="FH3564" s="1628" t="s">
        <v>872</v>
      </c>
      <c r="FU3564" s="1678"/>
      <c r="FW3564" s="1678"/>
    </row>
    <row r="3565" spans="1:179" s="1484" customFormat="1" ht="15" x14ac:dyDescent="0.25">
      <c r="A3565" s="2811"/>
      <c r="B3565" s="2812"/>
      <c r="C3565" s="2812"/>
      <c r="D3565" s="2812"/>
      <c r="E3565" s="2812"/>
      <c r="F3565" s="2812"/>
      <c r="G3565" s="2812"/>
      <c r="H3565" s="2812"/>
      <c r="I3565" s="2812"/>
      <c r="J3565" s="2812"/>
      <c r="K3565" s="2812"/>
      <c r="L3565" s="2812"/>
      <c r="M3565" s="2812"/>
      <c r="N3565" s="2813"/>
      <c r="EW3565" s="2031"/>
      <c r="EX3565" s="1619" t="s">
        <v>588</v>
      </c>
      <c r="EY3565" s="1628"/>
      <c r="EZ3565" s="1628"/>
      <c r="FA3565" s="1628"/>
      <c r="FH3565" s="1628"/>
      <c r="FU3565" s="1678"/>
      <c r="FW3565" s="1678"/>
    </row>
    <row r="3566" spans="1:179" s="1484" customFormat="1" ht="15" x14ac:dyDescent="0.25">
      <c r="A3566" s="2811"/>
      <c r="B3566" s="2812"/>
      <c r="C3566" s="2812"/>
      <c r="D3566" s="2812"/>
      <c r="E3566" s="2812"/>
      <c r="F3566" s="2812"/>
      <c r="G3566" s="2812"/>
      <c r="H3566" s="2812"/>
      <c r="I3566" s="2812"/>
      <c r="J3566" s="2812"/>
      <c r="K3566" s="2812"/>
      <c r="L3566" s="2812"/>
      <c r="M3566" s="2812"/>
      <c r="N3566" s="2813"/>
      <c r="EW3566" s="2031"/>
      <c r="EX3566" s="1619" t="s">
        <v>588</v>
      </c>
      <c r="EY3566" s="1628"/>
      <c r="EZ3566" s="1628"/>
      <c r="FA3566" s="1628"/>
      <c r="FH3566" s="1628"/>
      <c r="FU3566" s="1678"/>
      <c r="FW3566" s="1678"/>
    </row>
    <row r="3567" spans="1:179" s="1484" customFormat="1" ht="33.75" x14ac:dyDescent="0.25">
      <c r="A3567" s="1620" t="s">
        <v>8585</v>
      </c>
      <c r="B3567" s="1863" t="s">
        <v>8586</v>
      </c>
      <c r="C3567" s="2803" t="s">
        <v>8587</v>
      </c>
      <c r="D3567" s="2803"/>
      <c r="E3567" s="2803"/>
      <c r="F3567" s="1621" t="s">
        <v>2555</v>
      </c>
      <c r="G3567" s="1622">
        <v>0.26010699999999998</v>
      </c>
      <c r="H3567" s="1623">
        <v>1</v>
      </c>
      <c r="I3567" s="2047">
        <v>0.26010699999999998</v>
      </c>
      <c r="J3567" s="1625"/>
      <c r="K3567" s="1622"/>
      <c r="L3567" s="1625"/>
      <c r="M3567" s="1622"/>
      <c r="N3567" s="1627"/>
      <c r="EW3567" s="2031"/>
      <c r="EX3567" s="1619"/>
      <c r="EY3567" s="1628" t="s">
        <v>8587</v>
      </c>
      <c r="EZ3567" s="1628" t="s">
        <v>588</v>
      </c>
      <c r="FA3567" s="1628" t="s">
        <v>588</v>
      </c>
      <c r="FH3567" s="1628"/>
      <c r="FU3567" s="1678"/>
      <c r="FW3567" s="1678"/>
    </row>
    <row r="3568" spans="1:179" s="1484" customFormat="1" ht="15" x14ac:dyDescent="0.25">
      <c r="A3568" s="1629"/>
      <c r="B3568" s="1862"/>
      <c r="C3568" s="2805" t="s">
        <v>8648</v>
      </c>
      <c r="D3568" s="2805"/>
      <c r="E3568" s="2805"/>
      <c r="F3568" s="2805"/>
      <c r="G3568" s="2805"/>
      <c r="H3568" s="2805"/>
      <c r="I3568" s="2805"/>
      <c r="J3568" s="2805"/>
      <c r="K3568" s="2805"/>
      <c r="L3568" s="2805"/>
      <c r="M3568" s="2805"/>
      <c r="N3568" s="2806"/>
      <c r="EW3568" s="2031"/>
      <c r="EX3568" s="1619"/>
      <c r="EY3568" s="1628"/>
      <c r="EZ3568" s="1628"/>
      <c r="FA3568" s="1628"/>
      <c r="FB3568" s="1864" t="s">
        <v>8648</v>
      </c>
      <c r="FH3568" s="1628"/>
      <c r="FU3568" s="1678"/>
      <c r="FW3568" s="1678"/>
    </row>
    <row r="3569" spans="1:179" s="1484" customFormat="1" ht="22.5" x14ac:dyDescent="0.25">
      <c r="A3569" s="1630"/>
      <c r="B3569" s="1631" t="s">
        <v>6062</v>
      </c>
      <c r="C3569" s="2809" t="s">
        <v>6063</v>
      </c>
      <c r="D3569" s="2809"/>
      <c r="E3569" s="2809"/>
      <c r="F3569" s="2809"/>
      <c r="G3569" s="2809"/>
      <c r="H3569" s="2809"/>
      <c r="I3569" s="2809"/>
      <c r="J3569" s="2809"/>
      <c r="K3569" s="2809"/>
      <c r="L3569" s="2809"/>
      <c r="M3569" s="2809"/>
      <c r="N3569" s="2810"/>
      <c r="EW3569" s="2031"/>
      <c r="EX3569" s="1619"/>
      <c r="EY3569" s="1628"/>
      <c r="EZ3569" s="1628"/>
      <c r="FA3569" s="1628"/>
      <c r="FC3569" s="1864" t="s">
        <v>6063</v>
      </c>
      <c r="FH3569" s="1628"/>
      <c r="FU3569" s="1678"/>
      <c r="FW3569" s="1678"/>
    </row>
    <row r="3570" spans="1:179" s="1484" customFormat="1" ht="22.5" x14ac:dyDescent="0.25">
      <c r="A3570" s="2033"/>
      <c r="B3570" s="1631" t="s">
        <v>3204</v>
      </c>
      <c r="C3570" s="2805" t="s">
        <v>8647</v>
      </c>
      <c r="D3570" s="2805"/>
      <c r="E3570" s="2805"/>
      <c r="F3570" s="1683" t="s">
        <v>807</v>
      </c>
      <c r="G3570" s="1655">
        <v>220.04</v>
      </c>
      <c r="H3570" s="1641"/>
      <c r="I3570" s="2049">
        <v>57.233944299999997</v>
      </c>
      <c r="J3570" s="1654">
        <v>8.74</v>
      </c>
      <c r="K3570" s="1655">
        <v>1.25</v>
      </c>
      <c r="L3570" s="1654">
        <v>625.28</v>
      </c>
      <c r="M3570" s="1641"/>
      <c r="N3570" s="1681"/>
      <c r="EW3570" s="2031"/>
      <c r="EX3570" s="1619"/>
      <c r="EY3570" s="1628"/>
      <c r="EZ3570" s="1628"/>
      <c r="FA3570" s="1628"/>
      <c r="FD3570" s="1864" t="s">
        <v>8647</v>
      </c>
      <c r="FH3570" s="1628"/>
      <c r="FU3570" s="1678"/>
      <c r="FW3570" s="1678"/>
    </row>
    <row r="3571" spans="1:179" s="1484" customFormat="1" ht="22.5" x14ac:dyDescent="0.25">
      <c r="A3571" s="2033"/>
      <c r="B3571" s="1631" t="s">
        <v>5010</v>
      </c>
      <c r="C3571" s="2805" t="s">
        <v>5011</v>
      </c>
      <c r="D3571" s="2805"/>
      <c r="E3571" s="2805"/>
      <c r="F3571" s="1683" t="s">
        <v>4994</v>
      </c>
      <c r="G3571" s="1655">
        <v>1.66</v>
      </c>
      <c r="H3571" s="1641"/>
      <c r="I3571" s="2049">
        <v>0.43177759999999998</v>
      </c>
      <c r="J3571" s="1654">
        <v>31.26</v>
      </c>
      <c r="K3571" s="1641"/>
      <c r="L3571" s="1654">
        <v>13.5</v>
      </c>
      <c r="M3571" s="1641"/>
      <c r="N3571" s="1681"/>
      <c r="EW3571" s="2031"/>
      <c r="EX3571" s="1619"/>
      <c r="EY3571" s="1628"/>
      <c r="EZ3571" s="1628"/>
      <c r="FA3571" s="1628"/>
      <c r="FD3571" s="1864" t="s">
        <v>5011</v>
      </c>
      <c r="FH3571" s="1628"/>
      <c r="FU3571" s="1678"/>
      <c r="FW3571" s="1678"/>
    </row>
    <row r="3572" spans="1:179" s="1484" customFormat="1" ht="15" x14ac:dyDescent="0.25">
      <c r="A3572" s="2033"/>
      <c r="B3572" s="1631" t="s">
        <v>821</v>
      </c>
      <c r="C3572" s="2805" t="s">
        <v>822</v>
      </c>
      <c r="D3572" s="2805"/>
      <c r="E3572" s="2805"/>
      <c r="F3572" s="1683" t="s">
        <v>4994</v>
      </c>
      <c r="G3572" s="1655">
        <v>3.57</v>
      </c>
      <c r="H3572" s="1641"/>
      <c r="I3572" s="2043">
        <v>0.92858200000000002</v>
      </c>
      <c r="J3572" s="1654">
        <v>65.709999999999994</v>
      </c>
      <c r="K3572" s="1641"/>
      <c r="L3572" s="1654">
        <v>61.02</v>
      </c>
      <c r="M3572" s="1641"/>
      <c r="N3572" s="1681"/>
      <c r="EW3572" s="2031"/>
      <c r="EX3572" s="1619"/>
      <c r="EY3572" s="1628"/>
      <c r="EZ3572" s="1628"/>
      <c r="FA3572" s="1628"/>
      <c r="FD3572" s="1864" t="s">
        <v>822</v>
      </c>
      <c r="FH3572" s="1628"/>
      <c r="FU3572" s="1678"/>
      <c r="FW3572" s="1678"/>
    </row>
    <row r="3573" spans="1:179" s="1484" customFormat="1" ht="15" x14ac:dyDescent="0.25">
      <c r="A3573" s="2033"/>
      <c r="B3573" s="1631" t="s">
        <v>4890</v>
      </c>
      <c r="C3573" s="2805" t="s">
        <v>8646</v>
      </c>
      <c r="D3573" s="2805"/>
      <c r="E3573" s="2805"/>
      <c r="F3573" s="1683" t="s">
        <v>2647</v>
      </c>
      <c r="G3573" s="2034">
        <v>402</v>
      </c>
      <c r="H3573" s="1641"/>
      <c r="I3573" s="2043">
        <v>104.563014</v>
      </c>
      <c r="J3573" s="1654">
        <v>6.38</v>
      </c>
      <c r="K3573" s="1641"/>
      <c r="L3573" s="1654">
        <v>667.11</v>
      </c>
      <c r="M3573" s="1641"/>
      <c r="N3573" s="1681"/>
      <c r="EW3573" s="2031"/>
      <c r="EX3573" s="1619"/>
      <c r="EY3573" s="1628"/>
      <c r="EZ3573" s="1628"/>
      <c r="FA3573" s="1628"/>
      <c r="FD3573" s="1864" t="s">
        <v>8646</v>
      </c>
      <c r="FH3573" s="1628"/>
      <c r="FU3573" s="1678"/>
      <c r="FW3573" s="1678"/>
    </row>
    <row r="3574" spans="1:179" s="1484" customFormat="1" ht="15" x14ac:dyDescent="0.25">
      <c r="A3574" s="2033"/>
      <c r="B3574" s="1631" t="s">
        <v>8645</v>
      </c>
      <c r="C3574" s="2805" t="s">
        <v>8644</v>
      </c>
      <c r="D3574" s="2805"/>
      <c r="E3574" s="2805"/>
      <c r="F3574" s="1683" t="s">
        <v>2647</v>
      </c>
      <c r="G3574" s="2034">
        <v>43</v>
      </c>
      <c r="H3574" s="1641"/>
      <c r="I3574" s="2043">
        <v>11.184601000000001</v>
      </c>
      <c r="J3574" s="1654">
        <v>7.95</v>
      </c>
      <c r="K3574" s="1641"/>
      <c r="L3574" s="1654">
        <v>88.92</v>
      </c>
      <c r="M3574" s="1641"/>
      <c r="N3574" s="1681"/>
      <c r="EW3574" s="2031"/>
      <c r="EX3574" s="1619"/>
      <c r="EY3574" s="1628"/>
      <c r="EZ3574" s="1628"/>
      <c r="FA3574" s="1628"/>
      <c r="FD3574" s="1864" t="s">
        <v>8644</v>
      </c>
      <c r="FH3574" s="1628"/>
      <c r="FU3574" s="1678"/>
      <c r="FW3574" s="1678"/>
    </row>
    <row r="3575" spans="1:179" s="1484" customFormat="1" ht="15" x14ac:dyDescent="0.25">
      <c r="A3575" s="2033"/>
      <c r="B3575" s="1631" t="s">
        <v>4892</v>
      </c>
      <c r="C3575" s="2805" t="s">
        <v>8633</v>
      </c>
      <c r="D3575" s="2805"/>
      <c r="E3575" s="2805"/>
      <c r="F3575" s="1683" t="s">
        <v>849</v>
      </c>
      <c r="G3575" s="1953">
        <v>29.3</v>
      </c>
      <c r="H3575" s="1641"/>
      <c r="I3575" s="2049">
        <v>7.6211351000000001</v>
      </c>
      <c r="J3575" s="1654">
        <v>64.099999999999994</v>
      </c>
      <c r="K3575" s="1641"/>
      <c r="L3575" s="1654">
        <v>488.51</v>
      </c>
      <c r="M3575" s="1641"/>
      <c r="N3575" s="1681"/>
      <c r="EW3575" s="2031"/>
      <c r="EX3575" s="1619"/>
      <c r="EY3575" s="1628"/>
      <c r="EZ3575" s="1628"/>
      <c r="FA3575" s="1628"/>
      <c r="FD3575" s="1864" t="s">
        <v>8633</v>
      </c>
      <c r="FH3575" s="1628"/>
      <c r="FU3575" s="1678"/>
      <c r="FW3575" s="1678"/>
    </row>
    <row r="3576" spans="1:179" s="1484" customFormat="1" ht="22.5" x14ac:dyDescent="0.25">
      <c r="A3576" s="2033"/>
      <c r="B3576" s="1631" t="s">
        <v>4906</v>
      </c>
      <c r="C3576" s="2805" t="s">
        <v>8643</v>
      </c>
      <c r="D3576" s="2805"/>
      <c r="E3576" s="2805"/>
      <c r="F3576" s="1683" t="s">
        <v>4897</v>
      </c>
      <c r="G3576" s="1953">
        <v>65.2</v>
      </c>
      <c r="H3576" s="1641"/>
      <c r="I3576" s="2049">
        <v>16.958976400000001</v>
      </c>
      <c r="J3576" s="1654">
        <v>7.03</v>
      </c>
      <c r="K3576" s="1641"/>
      <c r="L3576" s="1654">
        <v>119.22</v>
      </c>
      <c r="M3576" s="1641"/>
      <c r="N3576" s="1681"/>
      <c r="EW3576" s="2031"/>
      <c r="EX3576" s="1619"/>
      <c r="EY3576" s="1628"/>
      <c r="EZ3576" s="1628"/>
      <c r="FA3576" s="1628"/>
      <c r="FD3576" s="1864" t="s">
        <v>8643</v>
      </c>
      <c r="FH3576" s="1628"/>
      <c r="FU3576" s="1678"/>
      <c r="FW3576" s="1678"/>
    </row>
    <row r="3577" spans="1:179" s="1484" customFormat="1" ht="15" x14ac:dyDescent="0.25">
      <c r="A3577" s="2033"/>
      <c r="B3577" s="1631" t="s">
        <v>4967</v>
      </c>
      <c r="C3577" s="2805" t="s">
        <v>4968</v>
      </c>
      <c r="D3577" s="2805"/>
      <c r="E3577" s="2805"/>
      <c r="F3577" s="1683" t="s">
        <v>4865</v>
      </c>
      <c r="G3577" s="2034">
        <v>8</v>
      </c>
      <c r="H3577" s="1641"/>
      <c r="I3577" s="2043">
        <v>2.0808559999999998</v>
      </c>
      <c r="J3577" s="1654">
        <v>50</v>
      </c>
      <c r="K3577" s="1641"/>
      <c r="L3577" s="1654">
        <v>104.04</v>
      </c>
      <c r="M3577" s="1641"/>
      <c r="N3577" s="1681"/>
      <c r="EW3577" s="2031"/>
      <c r="EX3577" s="1619"/>
      <c r="EY3577" s="1628"/>
      <c r="EZ3577" s="1628"/>
      <c r="FA3577" s="1628"/>
      <c r="FD3577" s="1864" t="s">
        <v>4968</v>
      </c>
      <c r="FH3577" s="1628"/>
      <c r="FU3577" s="1678"/>
      <c r="FW3577" s="1678"/>
    </row>
    <row r="3578" spans="1:179" s="1484" customFormat="1" ht="15" x14ac:dyDescent="0.25">
      <c r="A3578" s="2033"/>
      <c r="B3578" s="1631" t="s">
        <v>8642</v>
      </c>
      <c r="C3578" s="2805" t="s">
        <v>8641</v>
      </c>
      <c r="D3578" s="2805"/>
      <c r="E3578" s="2805"/>
      <c r="F3578" s="1683" t="s">
        <v>4868</v>
      </c>
      <c r="G3578" s="1953">
        <v>92.6</v>
      </c>
      <c r="H3578" s="1641"/>
      <c r="I3578" s="2049">
        <v>24.085908199999999</v>
      </c>
      <c r="J3578" s="1654">
        <v>46.86</v>
      </c>
      <c r="K3578" s="1641"/>
      <c r="L3578" s="1657">
        <v>1128.67</v>
      </c>
      <c r="M3578" s="1641"/>
      <c r="N3578" s="1681"/>
      <c r="EW3578" s="2031"/>
      <c r="EX3578" s="1619"/>
      <c r="EY3578" s="1628"/>
      <c r="EZ3578" s="1628"/>
      <c r="FA3578" s="1628"/>
      <c r="FD3578" s="1864" t="s">
        <v>8641</v>
      </c>
      <c r="FH3578" s="1628"/>
      <c r="FU3578" s="1678"/>
      <c r="FW3578" s="1678"/>
    </row>
    <row r="3579" spans="1:179" s="1484" customFormat="1" ht="15" x14ac:dyDescent="0.25">
      <c r="A3579" s="2032"/>
      <c r="B3579" s="1631" t="s">
        <v>190</v>
      </c>
      <c r="C3579" s="2805" t="s">
        <v>2523</v>
      </c>
      <c r="D3579" s="2805"/>
      <c r="E3579" s="2805"/>
      <c r="F3579" s="1683"/>
      <c r="G3579" s="1641"/>
      <c r="H3579" s="1641"/>
      <c r="I3579" s="1641"/>
      <c r="J3579" s="1657">
        <v>1923.15</v>
      </c>
      <c r="K3579" s="1655">
        <v>1.25</v>
      </c>
      <c r="L3579" s="1654">
        <v>625.28</v>
      </c>
      <c r="M3579" s="1655">
        <v>35.75</v>
      </c>
      <c r="N3579" s="1679">
        <v>22353.759999999998</v>
      </c>
      <c r="EW3579" s="2031"/>
      <c r="EX3579" s="1619"/>
      <c r="EY3579" s="1628"/>
      <c r="EZ3579" s="1628"/>
      <c r="FA3579" s="1628"/>
      <c r="FE3579" s="1864" t="s">
        <v>2523</v>
      </c>
      <c r="FH3579" s="1628"/>
      <c r="FU3579" s="1678"/>
      <c r="FW3579" s="1678"/>
    </row>
    <row r="3580" spans="1:179" s="1484" customFormat="1" ht="15" x14ac:dyDescent="0.25">
      <c r="A3580" s="2032"/>
      <c r="B3580" s="1631" t="s">
        <v>639</v>
      </c>
      <c r="C3580" s="2805" t="s">
        <v>697</v>
      </c>
      <c r="D3580" s="2805"/>
      <c r="E3580" s="2805"/>
      <c r="F3580" s="1683"/>
      <c r="G3580" s="1641"/>
      <c r="H3580" s="1641"/>
      <c r="I3580" s="1641"/>
      <c r="J3580" s="1654">
        <v>286.47000000000003</v>
      </c>
      <c r="K3580" s="1641"/>
      <c r="L3580" s="1654">
        <v>74.510000000000005</v>
      </c>
      <c r="M3580" s="1655">
        <v>11.97</v>
      </c>
      <c r="N3580" s="2039">
        <v>891.88</v>
      </c>
      <c r="EW3580" s="2031"/>
      <c r="EX3580" s="1619"/>
      <c r="EY3580" s="1628"/>
      <c r="EZ3580" s="1628"/>
      <c r="FA3580" s="1628"/>
      <c r="FE3580" s="1864" t="s">
        <v>697</v>
      </c>
      <c r="FH3580" s="1628"/>
      <c r="FU3580" s="1678"/>
      <c r="FW3580" s="1678"/>
    </row>
    <row r="3581" spans="1:179" s="1484" customFormat="1" ht="15" x14ac:dyDescent="0.25">
      <c r="A3581" s="2032"/>
      <c r="B3581" s="1631" t="s">
        <v>640</v>
      </c>
      <c r="C3581" s="2805" t="s">
        <v>2500</v>
      </c>
      <c r="D3581" s="2805"/>
      <c r="E3581" s="2805"/>
      <c r="F3581" s="1683"/>
      <c r="G3581" s="1641"/>
      <c r="H3581" s="1641"/>
      <c r="I3581" s="1641"/>
      <c r="J3581" s="1654">
        <v>63.82</v>
      </c>
      <c r="K3581" s="1641"/>
      <c r="L3581" s="1654">
        <v>16.600000000000001</v>
      </c>
      <c r="M3581" s="1655">
        <v>35.75</v>
      </c>
      <c r="N3581" s="2039">
        <v>593.45000000000005</v>
      </c>
      <c r="EW3581" s="2031"/>
      <c r="EX3581" s="1619"/>
      <c r="EY3581" s="1628"/>
      <c r="EZ3581" s="1628"/>
      <c r="FA3581" s="1628"/>
      <c r="FE3581" s="1864" t="s">
        <v>2500</v>
      </c>
      <c r="FH3581" s="1628"/>
      <c r="FU3581" s="1678"/>
      <c r="FW3581" s="1678"/>
    </row>
    <row r="3582" spans="1:179" s="1484" customFormat="1" ht="15" x14ac:dyDescent="0.25">
      <c r="A3582" s="2032"/>
      <c r="B3582" s="1631" t="s">
        <v>232</v>
      </c>
      <c r="C3582" s="2805" t="s">
        <v>829</v>
      </c>
      <c r="D3582" s="2805"/>
      <c r="E3582" s="2805"/>
      <c r="F3582" s="1683"/>
      <c r="G3582" s="1641"/>
      <c r="H3582" s="1641"/>
      <c r="I3582" s="1641"/>
      <c r="J3582" s="1657">
        <v>9982.34</v>
      </c>
      <c r="K3582" s="1641"/>
      <c r="L3582" s="1657">
        <v>2596.48</v>
      </c>
      <c r="M3582" s="1655">
        <v>9.14</v>
      </c>
      <c r="N3582" s="1679">
        <v>23731.83</v>
      </c>
      <c r="EW3582" s="2031"/>
      <c r="EX3582" s="1619"/>
      <c r="EY3582" s="1628"/>
      <c r="EZ3582" s="1628"/>
      <c r="FA3582" s="1628"/>
      <c r="FE3582" s="1864" t="s">
        <v>829</v>
      </c>
      <c r="FH3582" s="1628"/>
      <c r="FU3582" s="1678"/>
      <c r="FW3582" s="1678"/>
    </row>
    <row r="3583" spans="1:179" s="1484" customFormat="1" ht="15" x14ac:dyDescent="0.25">
      <c r="A3583" s="2033"/>
      <c r="B3583" s="1631"/>
      <c r="C3583" s="2805" t="s">
        <v>2524</v>
      </c>
      <c r="D3583" s="2805"/>
      <c r="E3583" s="2805"/>
      <c r="F3583" s="1683" t="s">
        <v>807</v>
      </c>
      <c r="G3583" s="1655">
        <v>220.04</v>
      </c>
      <c r="H3583" s="1641"/>
      <c r="I3583" s="2049">
        <v>57.233944299999997</v>
      </c>
      <c r="J3583" s="1640"/>
      <c r="K3583" s="1641"/>
      <c r="L3583" s="1640"/>
      <c r="M3583" s="1641"/>
      <c r="N3583" s="1681"/>
      <c r="EW3583" s="2031"/>
      <c r="EX3583" s="1619"/>
      <c r="EY3583" s="1628"/>
      <c r="EZ3583" s="1628"/>
      <c r="FA3583" s="1628"/>
      <c r="FF3583" s="1864" t="s">
        <v>2524</v>
      </c>
      <c r="FH3583" s="1628"/>
      <c r="FU3583" s="1678"/>
      <c r="FW3583" s="1678"/>
    </row>
    <row r="3584" spans="1:179" s="1484" customFormat="1" ht="15" x14ac:dyDescent="0.25">
      <c r="A3584" s="2033"/>
      <c r="B3584" s="1631"/>
      <c r="C3584" s="2805" t="s">
        <v>2501</v>
      </c>
      <c r="D3584" s="2805"/>
      <c r="E3584" s="2805"/>
      <c r="F3584" s="1683" t="s">
        <v>807</v>
      </c>
      <c r="G3584" s="1655">
        <v>5.23</v>
      </c>
      <c r="H3584" s="1641"/>
      <c r="I3584" s="2049">
        <v>1.3603596</v>
      </c>
      <c r="J3584" s="1640"/>
      <c r="K3584" s="1641"/>
      <c r="L3584" s="1640"/>
      <c r="M3584" s="1641"/>
      <c r="N3584" s="1681"/>
      <c r="EW3584" s="2031"/>
      <c r="EX3584" s="1619"/>
      <c r="EY3584" s="1628"/>
      <c r="EZ3584" s="1628"/>
      <c r="FA3584" s="1628"/>
      <c r="FF3584" s="1864" t="s">
        <v>2501</v>
      </c>
      <c r="FH3584" s="1628"/>
      <c r="FU3584" s="1678"/>
      <c r="FW3584" s="1678"/>
    </row>
    <row r="3585" spans="1:179" s="1484" customFormat="1" ht="15" x14ac:dyDescent="0.25">
      <c r="A3585" s="2032"/>
      <c r="B3585" s="1631"/>
      <c r="C3585" s="2917" t="s">
        <v>2502</v>
      </c>
      <c r="D3585" s="2917"/>
      <c r="E3585" s="2917"/>
      <c r="F3585" s="2036"/>
      <c r="G3585" s="2037"/>
      <c r="H3585" s="2037"/>
      <c r="I3585" s="2037"/>
      <c r="J3585" s="2038">
        <v>12191.96</v>
      </c>
      <c r="K3585" s="2037"/>
      <c r="L3585" s="2038">
        <v>3296.27</v>
      </c>
      <c r="M3585" s="2037"/>
      <c r="N3585" s="2068">
        <v>46977.47</v>
      </c>
      <c r="EW3585" s="2031"/>
      <c r="EX3585" s="1619"/>
      <c r="EY3585" s="1628"/>
      <c r="EZ3585" s="1628"/>
      <c r="FA3585" s="1628"/>
      <c r="FG3585" s="1864" t="s">
        <v>2502</v>
      </c>
      <c r="FH3585" s="1628"/>
      <c r="FU3585" s="1678"/>
      <c r="FW3585" s="1678"/>
    </row>
    <row r="3586" spans="1:179" s="1484" customFormat="1" ht="15" x14ac:dyDescent="0.25">
      <c r="A3586" s="2033" t="s">
        <v>8588</v>
      </c>
      <c r="B3586" s="1631"/>
      <c r="C3586" s="2805" t="s">
        <v>7964</v>
      </c>
      <c r="D3586" s="2805"/>
      <c r="E3586" s="2805"/>
      <c r="F3586" s="1683" t="s">
        <v>5928</v>
      </c>
      <c r="G3586" s="1641"/>
      <c r="H3586" s="1641"/>
      <c r="I3586" s="1641"/>
      <c r="J3586" s="1640"/>
      <c r="K3586" s="1641"/>
      <c r="L3586" s="1654">
        <v>4.1500000000000004</v>
      </c>
      <c r="M3586" s="1641"/>
      <c r="N3586" s="2039">
        <v>148.36000000000001</v>
      </c>
      <c r="EW3586" s="2031"/>
      <c r="EX3586" s="1619"/>
      <c r="EY3586" s="1628"/>
      <c r="EZ3586" s="1628"/>
      <c r="FA3586" s="1628"/>
      <c r="FF3586" s="1864" t="s">
        <v>7964</v>
      </c>
      <c r="FH3586" s="1628"/>
      <c r="FU3586" s="1678"/>
      <c r="FW3586" s="1678"/>
    </row>
    <row r="3587" spans="1:179" s="1484" customFormat="1" ht="15" x14ac:dyDescent="0.25">
      <c r="A3587" s="2033"/>
      <c r="B3587" s="1631"/>
      <c r="C3587" s="2805" t="s">
        <v>7965</v>
      </c>
      <c r="D3587" s="2805"/>
      <c r="E3587" s="2805"/>
      <c r="F3587" s="1683" t="s">
        <v>5928</v>
      </c>
      <c r="G3587" s="1641"/>
      <c r="H3587" s="1641"/>
      <c r="I3587" s="1641"/>
      <c r="J3587" s="1654">
        <v>63.82</v>
      </c>
      <c r="K3587" s="1655">
        <v>0.25</v>
      </c>
      <c r="L3587" s="1654">
        <v>4.1500000000000004</v>
      </c>
      <c r="M3587" s="1655">
        <v>35.75</v>
      </c>
      <c r="N3587" s="2039">
        <v>148.36000000000001</v>
      </c>
      <c r="EW3587" s="2031"/>
      <c r="EX3587" s="1619"/>
      <c r="EY3587" s="1628"/>
      <c r="EZ3587" s="1628"/>
      <c r="FA3587" s="1628"/>
      <c r="FF3587" s="1864" t="s">
        <v>7965</v>
      </c>
      <c r="FH3587" s="1628"/>
      <c r="FU3587" s="1678"/>
      <c r="FW3587" s="1678"/>
    </row>
    <row r="3588" spans="1:179" s="1484" customFormat="1" ht="15" x14ac:dyDescent="0.25">
      <c r="A3588" s="2033"/>
      <c r="B3588" s="1631"/>
      <c r="C3588" s="2805" t="s">
        <v>867</v>
      </c>
      <c r="D3588" s="2805"/>
      <c r="E3588" s="2805"/>
      <c r="F3588" s="1683"/>
      <c r="G3588" s="1641"/>
      <c r="H3588" s="1641"/>
      <c r="I3588" s="1641"/>
      <c r="J3588" s="1640"/>
      <c r="K3588" s="1641"/>
      <c r="L3588" s="1654">
        <v>646.03</v>
      </c>
      <c r="M3588" s="1641"/>
      <c r="N3588" s="1679">
        <v>23095.57</v>
      </c>
      <c r="EW3588" s="2031"/>
      <c r="EX3588" s="1619"/>
      <c r="EY3588" s="1628"/>
      <c r="EZ3588" s="1628"/>
      <c r="FA3588" s="1628"/>
      <c r="FF3588" s="1864" t="s">
        <v>867</v>
      </c>
      <c r="FH3588" s="1628"/>
      <c r="FU3588" s="1678"/>
      <c r="FW3588" s="1678"/>
    </row>
    <row r="3589" spans="1:179" s="1484" customFormat="1" ht="15" x14ac:dyDescent="0.25">
      <c r="A3589" s="2033"/>
      <c r="B3589" s="1631" t="s">
        <v>8043</v>
      </c>
      <c r="C3589" s="2805" t="s">
        <v>8044</v>
      </c>
      <c r="D3589" s="2805"/>
      <c r="E3589" s="2805"/>
      <c r="F3589" s="1683" t="s">
        <v>636</v>
      </c>
      <c r="G3589" s="2034">
        <v>108</v>
      </c>
      <c r="H3589" s="1641"/>
      <c r="I3589" s="2034">
        <v>108</v>
      </c>
      <c r="J3589" s="1640"/>
      <c r="K3589" s="1641"/>
      <c r="L3589" s="1654">
        <v>697.71</v>
      </c>
      <c r="M3589" s="1641"/>
      <c r="N3589" s="1679">
        <v>24943.22</v>
      </c>
      <c r="EW3589" s="2031"/>
      <c r="EX3589" s="1619"/>
      <c r="EY3589" s="1628"/>
      <c r="EZ3589" s="1628"/>
      <c r="FA3589" s="1628"/>
      <c r="FF3589" s="1864" t="s">
        <v>8044</v>
      </c>
      <c r="FH3589" s="1628"/>
      <c r="FU3589" s="1678"/>
      <c r="FW3589" s="1678"/>
    </row>
    <row r="3590" spans="1:179" s="1484" customFormat="1" ht="15" x14ac:dyDescent="0.25">
      <c r="A3590" s="2033"/>
      <c r="B3590" s="1631" t="s">
        <v>8045</v>
      </c>
      <c r="C3590" s="2805" t="s">
        <v>8046</v>
      </c>
      <c r="D3590" s="2805"/>
      <c r="E3590" s="2805"/>
      <c r="F3590" s="1683" t="s">
        <v>636</v>
      </c>
      <c r="G3590" s="2034">
        <v>55</v>
      </c>
      <c r="H3590" s="1641"/>
      <c r="I3590" s="2034">
        <v>55</v>
      </c>
      <c r="J3590" s="1640"/>
      <c r="K3590" s="1641"/>
      <c r="L3590" s="1654">
        <v>355.32</v>
      </c>
      <c r="M3590" s="1641"/>
      <c r="N3590" s="1679">
        <v>12702.56</v>
      </c>
      <c r="EW3590" s="2031"/>
      <c r="EX3590" s="1619"/>
      <c r="EY3590" s="1628"/>
      <c r="EZ3590" s="1628"/>
      <c r="FA3590" s="1628"/>
      <c r="FF3590" s="1864" t="s">
        <v>8046</v>
      </c>
      <c r="FH3590" s="1628"/>
      <c r="FU3590" s="1678"/>
      <c r="FW3590" s="1678"/>
    </row>
    <row r="3591" spans="1:179" s="1484" customFormat="1" ht="15" x14ac:dyDescent="0.25">
      <c r="A3591" s="1650"/>
      <c r="B3591" s="1651"/>
      <c r="C3591" s="2803" t="s">
        <v>872</v>
      </c>
      <c r="D3591" s="2803"/>
      <c r="E3591" s="2803"/>
      <c r="F3591" s="1621"/>
      <c r="G3591" s="1622"/>
      <c r="H3591" s="1622"/>
      <c r="I3591" s="1622"/>
      <c r="J3591" s="1625"/>
      <c r="K3591" s="1622"/>
      <c r="L3591" s="1648">
        <v>4353.45</v>
      </c>
      <c r="M3591" s="2037"/>
      <c r="N3591" s="1649">
        <v>84771.61</v>
      </c>
      <c r="EW3591" s="2031"/>
      <c r="EX3591" s="1619"/>
      <c r="EY3591" s="1628"/>
      <c r="EZ3591" s="1628"/>
      <c r="FA3591" s="1628"/>
      <c r="FH3591" s="1628" t="s">
        <v>872</v>
      </c>
      <c r="FU3591" s="1678"/>
      <c r="FW3591" s="1678"/>
    </row>
    <row r="3592" spans="1:179" s="1484" customFormat="1" ht="33.75" x14ac:dyDescent="0.25">
      <c r="A3592" s="1620" t="s">
        <v>8589</v>
      </c>
      <c r="B3592" s="1863" t="s">
        <v>8590</v>
      </c>
      <c r="C3592" s="2803" t="s">
        <v>8591</v>
      </c>
      <c r="D3592" s="2803"/>
      <c r="E3592" s="2803"/>
      <c r="F3592" s="1621" t="s">
        <v>130</v>
      </c>
      <c r="G3592" s="1622">
        <v>27.922000000000001</v>
      </c>
      <c r="H3592" s="1623">
        <v>1</v>
      </c>
      <c r="I3592" s="2045">
        <v>27.922000000000001</v>
      </c>
      <c r="J3592" s="1648">
        <v>1008.96</v>
      </c>
      <c r="K3592" s="1622"/>
      <c r="L3592" s="1648">
        <v>28172.18</v>
      </c>
      <c r="M3592" s="1687">
        <v>9.14</v>
      </c>
      <c r="N3592" s="1649">
        <v>257493.73</v>
      </c>
      <c r="EW3592" s="2031"/>
      <c r="EX3592" s="1619"/>
      <c r="EY3592" s="1628" t="s">
        <v>8591</v>
      </c>
      <c r="EZ3592" s="1628" t="s">
        <v>588</v>
      </c>
      <c r="FA3592" s="1628" t="s">
        <v>588</v>
      </c>
      <c r="FH3592" s="1628"/>
      <c r="FU3592" s="1678"/>
      <c r="FW3592" s="1678"/>
    </row>
    <row r="3593" spans="1:179" s="1484" customFormat="1" ht="15" x14ac:dyDescent="0.25">
      <c r="A3593" s="1650"/>
      <c r="B3593" s="1651"/>
      <c r="C3593" s="2805" t="s">
        <v>8640</v>
      </c>
      <c r="D3593" s="2805"/>
      <c r="E3593" s="2805"/>
      <c r="F3593" s="2805"/>
      <c r="G3593" s="2805"/>
      <c r="H3593" s="2805"/>
      <c r="I3593" s="2805"/>
      <c r="J3593" s="2805"/>
      <c r="K3593" s="2805"/>
      <c r="L3593" s="2805"/>
      <c r="M3593" s="2805"/>
      <c r="N3593" s="2806"/>
      <c r="EW3593" s="2031"/>
      <c r="EX3593" s="1619"/>
      <c r="EY3593" s="1628"/>
      <c r="EZ3593" s="1628"/>
      <c r="FA3593" s="1628"/>
      <c r="FH3593" s="1628"/>
      <c r="FI3593" s="1864" t="s">
        <v>8640</v>
      </c>
      <c r="FJ3593" s="1864" t="s">
        <v>588</v>
      </c>
      <c r="FK3593" s="1864" t="s">
        <v>588</v>
      </c>
      <c r="FL3593" s="1864" t="s">
        <v>588</v>
      </c>
      <c r="FM3593" s="1864" t="s">
        <v>588</v>
      </c>
      <c r="FN3593" s="1864" t="s">
        <v>588</v>
      </c>
      <c r="FO3593" s="1864" t="s">
        <v>588</v>
      </c>
      <c r="FP3593" s="1864" t="s">
        <v>588</v>
      </c>
      <c r="FQ3593" s="1864" t="s">
        <v>588</v>
      </c>
      <c r="FR3593" s="1864" t="s">
        <v>588</v>
      </c>
      <c r="FS3593" s="1864" t="s">
        <v>588</v>
      </c>
      <c r="FT3593" s="1864" t="s">
        <v>588</v>
      </c>
      <c r="FU3593" s="1678"/>
      <c r="FW3593" s="1678"/>
    </row>
    <row r="3594" spans="1:179" s="1484" customFormat="1" ht="15" x14ac:dyDescent="0.25">
      <c r="A3594" s="1629"/>
      <c r="B3594" s="1862"/>
      <c r="C3594" s="2805" t="s">
        <v>8639</v>
      </c>
      <c r="D3594" s="2805"/>
      <c r="E3594" s="2805"/>
      <c r="F3594" s="2805"/>
      <c r="G3594" s="2805"/>
      <c r="H3594" s="2805"/>
      <c r="I3594" s="2805"/>
      <c r="J3594" s="2805"/>
      <c r="K3594" s="2805"/>
      <c r="L3594" s="2805"/>
      <c r="M3594" s="2805"/>
      <c r="N3594" s="2806"/>
      <c r="EW3594" s="2031"/>
      <c r="EX3594" s="1619"/>
      <c r="EY3594" s="1628"/>
      <c r="EZ3594" s="1628"/>
      <c r="FA3594" s="1628"/>
      <c r="FB3594" s="1864" t="s">
        <v>8639</v>
      </c>
      <c r="FH3594" s="1628"/>
      <c r="FU3594" s="1678"/>
      <c r="FW3594" s="1678"/>
    </row>
    <row r="3595" spans="1:179" s="1484" customFormat="1" ht="15" x14ac:dyDescent="0.25">
      <c r="A3595" s="1650"/>
      <c r="B3595" s="1651"/>
      <c r="C3595" s="2803" t="s">
        <v>872</v>
      </c>
      <c r="D3595" s="2803"/>
      <c r="E3595" s="2803"/>
      <c r="F3595" s="1621"/>
      <c r="G3595" s="1622"/>
      <c r="H3595" s="1622"/>
      <c r="I3595" s="1622"/>
      <c r="J3595" s="1625"/>
      <c r="K3595" s="1622"/>
      <c r="L3595" s="1648">
        <v>28172.18</v>
      </c>
      <c r="M3595" s="2037"/>
      <c r="N3595" s="1649">
        <v>257493.73</v>
      </c>
      <c r="EW3595" s="2031"/>
      <c r="EX3595" s="1619"/>
      <c r="EY3595" s="1628"/>
      <c r="EZ3595" s="1628"/>
      <c r="FA3595" s="1628"/>
      <c r="FH3595" s="1628" t="s">
        <v>872</v>
      </c>
      <c r="FU3595" s="1678"/>
      <c r="FW3595" s="1678"/>
    </row>
    <row r="3596" spans="1:179" s="1484" customFormat="1" ht="1.5" customHeight="1" x14ac:dyDescent="0.25">
      <c r="A3596" s="2050"/>
      <c r="B3596" s="2051"/>
      <c r="C3596" s="1668"/>
      <c r="D3596" s="1668"/>
      <c r="E3596" s="1668"/>
      <c r="F3596" s="1668"/>
      <c r="G3596" s="1669"/>
      <c r="H3596" s="1669"/>
      <c r="I3596" s="1669"/>
      <c r="J3596" s="1669"/>
      <c r="K3596" s="1670"/>
      <c r="L3596" s="1669"/>
      <c r="M3596" s="1670"/>
      <c r="N3596" s="2052"/>
      <c r="EW3596" s="2031"/>
      <c r="EX3596" s="1619"/>
      <c r="EY3596" s="1628"/>
      <c r="EZ3596" s="1628"/>
      <c r="FA3596" s="1628"/>
      <c r="FH3596" s="1628"/>
      <c r="FU3596" s="1678"/>
      <c r="FW3596" s="1678"/>
    </row>
    <row r="3597" spans="1:179" s="1484" customFormat="1" ht="15" x14ac:dyDescent="0.25">
      <c r="A3597" s="1650"/>
      <c r="B3597" s="1676"/>
      <c r="C3597" s="2802" t="s">
        <v>8592</v>
      </c>
      <c r="D3597" s="2802"/>
      <c r="E3597" s="2802"/>
      <c r="F3597" s="2802"/>
      <c r="G3597" s="2802"/>
      <c r="H3597" s="2802"/>
      <c r="I3597" s="2802"/>
      <c r="J3597" s="2802"/>
      <c r="K3597" s="2802"/>
      <c r="L3597" s="2053"/>
      <c r="M3597" s="2054"/>
      <c r="N3597" s="2055"/>
      <c r="EW3597" s="2031"/>
      <c r="EX3597" s="1619"/>
      <c r="EY3597" s="1628"/>
      <c r="EZ3597" s="1628"/>
      <c r="FA3597" s="1628"/>
      <c r="FH3597" s="1628"/>
      <c r="FU3597" s="1678" t="s">
        <v>8592</v>
      </c>
      <c r="FW3597" s="1678"/>
    </row>
    <row r="3598" spans="1:179" s="1484" customFormat="1" ht="15" x14ac:dyDescent="0.25">
      <c r="A3598" s="1647"/>
      <c r="B3598" s="1631"/>
      <c r="C3598" s="2801" t="s">
        <v>922</v>
      </c>
      <c r="D3598" s="2801"/>
      <c r="E3598" s="2801"/>
      <c r="F3598" s="2801"/>
      <c r="G3598" s="2801"/>
      <c r="H3598" s="2801"/>
      <c r="I3598" s="2801"/>
      <c r="J3598" s="2801"/>
      <c r="K3598" s="2801"/>
      <c r="L3598" s="2056">
        <v>818971.2</v>
      </c>
      <c r="M3598" s="2057"/>
      <c r="N3598" s="2058">
        <v>7515126.4699999997</v>
      </c>
      <c r="EW3598" s="2031"/>
      <c r="EX3598" s="1619"/>
      <c r="EY3598" s="1628"/>
      <c r="EZ3598" s="1628"/>
      <c r="FA3598" s="1628"/>
      <c r="FH3598" s="1628"/>
      <c r="FU3598" s="1678"/>
      <c r="FV3598" s="1680" t="s">
        <v>922</v>
      </c>
      <c r="FW3598" s="1678"/>
    </row>
    <row r="3599" spans="1:179" s="1484" customFormat="1" ht="15" x14ac:dyDescent="0.25">
      <c r="A3599" s="1647"/>
      <c r="B3599" s="1631"/>
      <c r="C3599" s="2801" t="s">
        <v>891</v>
      </c>
      <c r="D3599" s="2801"/>
      <c r="E3599" s="2801"/>
      <c r="F3599" s="2801"/>
      <c r="G3599" s="2801"/>
      <c r="H3599" s="2801"/>
      <c r="I3599" s="2801"/>
      <c r="J3599" s="2801"/>
      <c r="K3599" s="2801"/>
      <c r="L3599" s="1708"/>
      <c r="M3599" s="2057"/>
      <c r="N3599" s="2059"/>
      <c r="EW3599" s="2031"/>
      <c r="EX3599" s="1619"/>
      <c r="EY3599" s="1628"/>
      <c r="EZ3599" s="1628"/>
      <c r="FA3599" s="1628"/>
      <c r="FH3599" s="1628"/>
      <c r="FU3599" s="1678"/>
      <c r="FV3599" s="1680" t="s">
        <v>891</v>
      </c>
      <c r="FW3599" s="1678"/>
    </row>
    <row r="3600" spans="1:179" s="1484" customFormat="1" ht="15" x14ac:dyDescent="0.25">
      <c r="A3600" s="1647"/>
      <c r="B3600" s="1631"/>
      <c r="C3600" s="2801" t="s">
        <v>892</v>
      </c>
      <c r="D3600" s="2801"/>
      <c r="E3600" s="2801"/>
      <c r="F3600" s="2801"/>
      <c r="G3600" s="2801"/>
      <c r="H3600" s="2801"/>
      <c r="I3600" s="2801"/>
      <c r="J3600" s="2801"/>
      <c r="K3600" s="2801"/>
      <c r="L3600" s="2056">
        <v>1068.83</v>
      </c>
      <c r="M3600" s="2057"/>
      <c r="N3600" s="2058">
        <v>38210.68</v>
      </c>
      <c r="EW3600" s="2031"/>
      <c r="EX3600" s="1619"/>
      <c r="EY3600" s="1628"/>
      <c r="EZ3600" s="1628"/>
      <c r="FA3600" s="1628"/>
      <c r="FH3600" s="1628"/>
      <c r="FU3600" s="1678"/>
      <c r="FV3600" s="1680" t="s">
        <v>892</v>
      </c>
      <c r="FW3600" s="1678"/>
    </row>
    <row r="3601" spans="1:179" s="1484" customFormat="1" ht="15" x14ac:dyDescent="0.25">
      <c r="A3601" s="1647"/>
      <c r="B3601" s="1631"/>
      <c r="C3601" s="2801" t="s">
        <v>893</v>
      </c>
      <c r="D3601" s="2801"/>
      <c r="E3601" s="2801"/>
      <c r="F3601" s="2801"/>
      <c r="G3601" s="2801"/>
      <c r="H3601" s="2801"/>
      <c r="I3601" s="2801"/>
      <c r="J3601" s="2801"/>
      <c r="K3601" s="2801"/>
      <c r="L3601" s="2060">
        <v>341.64</v>
      </c>
      <c r="M3601" s="2057"/>
      <c r="N3601" s="2058">
        <v>4410.6899999999996</v>
      </c>
      <c r="EW3601" s="2031"/>
      <c r="EX3601" s="1619"/>
      <c r="EY3601" s="1628"/>
      <c r="EZ3601" s="1628"/>
      <c r="FA3601" s="1628"/>
      <c r="FH3601" s="1628"/>
      <c r="FU3601" s="1678"/>
      <c r="FV3601" s="1680" t="s">
        <v>893</v>
      </c>
      <c r="FW3601" s="1678"/>
    </row>
    <row r="3602" spans="1:179" s="1484" customFormat="1" ht="15" x14ac:dyDescent="0.25">
      <c r="A3602" s="1647"/>
      <c r="B3602" s="1631"/>
      <c r="C3602" s="2801" t="s">
        <v>2578</v>
      </c>
      <c r="D3602" s="2801"/>
      <c r="E3602" s="2801"/>
      <c r="F3602" s="2801"/>
      <c r="G3602" s="2801"/>
      <c r="H3602" s="2801"/>
      <c r="I3602" s="2801"/>
      <c r="J3602" s="2801"/>
      <c r="K3602" s="2801"/>
      <c r="L3602" s="2060">
        <v>67.56</v>
      </c>
      <c r="M3602" s="2057"/>
      <c r="N3602" s="2058">
        <v>2415.27</v>
      </c>
      <c r="EW3602" s="2031"/>
      <c r="EX3602" s="1619"/>
      <c r="EY3602" s="1628"/>
      <c r="EZ3602" s="1628"/>
      <c r="FA3602" s="1628"/>
      <c r="FH3602" s="1628"/>
      <c r="FU3602" s="1678"/>
      <c r="FV3602" s="1680" t="s">
        <v>2578</v>
      </c>
      <c r="FW3602" s="1678"/>
    </row>
    <row r="3603" spans="1:179" s="1484" customFormat="1" ht="15" x14ac:dyDescent="0.25">
      <c r="A3603" s="1647"/>
      <c r="B3603" s="1631"/>
      <c r="C3603" s="2801" t="s">
        <v>895</v>
      </c>
      <c r="D3603" s="2801"/>
      <c r="E3603" s="2801"/>
      <c r="F3603" s="2801"/>
      <c r="G3603" s="2801"/>
      <c r="H3603" s="2801"/>
      <c r="I3603" s="2801"/>
      <c r="J3603" s="2801"/>
      <c r="K3603" s="2801"/>
      <c r="L3603" s="2056">
        <v>817560.73</v>
      </c>
      <c r="M3603" s="2057"/>
      <c r="N3603" s="2058">
        <v>7472505.0999999996</v>
      </c>
      <c r="EW3603" s="2031"/>
      <c r="EX3603" s="1619"/>
      <c r="EY3603" s="1628"/>
      <c r="EZ3603" s="1628"/>
      <c r="FA3603" s="1628"/>
      <c r="FH3603" s="1628"/>
      <c r="FU3603" s="1678"/>
      <c r="FV3603" s="1680" t="s">
        <v>895</v>
      </c>
      <c r="FW3603" s="1678"/>
    </row>
    <row r="3604" spans="1:179" s="1484" customFormat="1" ht="15" x14ac:dyDescent="0.25">
      <c r="A3604" s="1647"/>
      <c r="B3604" s="1631"/>
      <c r="C3604" s="2801" t="s">
        <v>897</v>
      </c>
      <c r="D3604" s="2801"/>
      <c r="E3604" s="2801"/>
      <c r="F3604" s="2801"/>
      <c r="G3604" s="2801"/>
      <c r="H3604" s="2801"/>
      <c r="I3604" s="2801"/>
      <c r="J3604" s="2801"/>
      <c r="K3604" s="2801"/>
      <c r="L3604" s="2056">
        <v>820814.83</v>
      </c>
      <c r="M3604" s="2057"/>
      <c r="N3604" s="2058">
        <v>7581036.2300000004</v>
      </c>
      <c r="EW3604" s="2031"/>
      <c r="EX3604" s="1619"/>
      <c r="EY3604" s="1628"/>
      <c r="EZ3604" s="1628"/>
      <c r="FA3604" s="1628"/>
      <c r="FH3604" s="1628"/>
      <c r="FU3604" s="1678"/>
      <c r="FV3604" s="1680" t="s">
        <v>897</v>
      </c>
      <c r="FW3604" s="1678"/>
    </row>
    <row r="3605" spans="1:179" s="1484" customFormat="1" ht="15" x14ac:dyDescent="0.25">
      <c r="A3605" s="1647"/>
      <c r="B3605" s="1631"/>
      <c r="C3605" s="2801" t="s">
        <v>891</v>
      </c>
      <c r="D3605" s="2801"/>
      <c r="E3605" s="2801"/>
      <c r="F3605" s="2801"/>
      <c r="G3605" s="2801"/>
      <c r="H3605" s="2801"/>
      <c r="I3605" s="2801"/>
      <c r="J3605" s="2801"/>
      <c r="K3605" s="2801"/>
      <c r="L3605" s="1708"/>
      <c r="M3605" s="2057"/>
      <c r="N3605" s="2059"/>
      <c r="EW3605" s="2031"/>
      <c r="EX3605" s="1619"/>
      <c r="EY3605" s="1628"/>
      <c r="EZ3605" s="1628"/>
      <c r="FA3605" s="1628"/>
      <c r="FH3605" s="1628"/>
      <c r="FU3605" s="1678"/>
      <c r="FV3605" s="1680" t="s">
        <v>891</v>
      </c>
      <c r="FW3605" s="1678"/>
    </row>
    <row r="3606" spans="1:179" s="1484" customFormat="1" ht="15" x14ac:dyDescent="0.25">
      <c r="A3606" s="1647"/>
      <c r="B3606" s="1631"/>
      <c r="C3606" s="2801" t="s">
        <v>6121</v>
      </c>
      <c r="D3606" s="2801"/>
      <c r="E3606" s="2801"/>
      <c r="F3606" s="2801"/>
      <c r="G3606" s="2801"/>
      <c r="H3606" s="2801"/>
      <c r="I3606" s="2801"/>
      <c r="J3606" s="2801"/>
      <c r="K3606" s="2801"/>
      <c r="L3606" s="2056">
        <v>1068.83</v>
      </c>
      <c r="M3606" s="2057"/>
      <c r="N3606" s="2058">
        <v>38210.68</v>
      </c>
      <c r="EW3606" s="2031"/>
      <c r="EX3606" s="1619"/>
      <c r="EY3606" s="1628"/>
      <c r="EZ3606" s="1628"/>
      <c r="FA3606" s="1628"/>
      <c r="FH3606" s="1628"/>
      <c r="FU3606" s="1678"/>
      <c r="FV3606" s="1680" t="s">
        <v>6121</v>
      </c>
      <c r="FW3606" s="1678"/>
    </row>
    <row r="3607" spans="1:179" s="1484" customFormat="1" ht="15" x14ac:dyDescent="0.25">
      <c r="A3607" s="1647"/>
      <c r="B3607" s="1631"/>
      <c r="C3607" s="2801" t="s">
        <v>6122</v>
      </c>
      <c r="D3607" s="2801"/>
      <c r="E3607" s="2801"/>
      <c r="F3607" s="2801"/>
      <c r="G3607" s="2801"/>
      <c r="H3607" s="2801"/>
      <c r="I3607" s="2801"/>
      <c r="J3607" s="2801"/>
      <c r="K3607" s="2801"/>
      <c r="L3607" s="2060">
        <v>341.64</v>
      </c>
      <c r="M3607" s="2057"/>
      <c r="N3607" s="2058">
        <v>4410.6899999999996</v>
      </c>
      <c r="EW3607" s="2031"/>
      <c r="EX3607" s="1619"/>
      <c r="EY3607" s="1628"/>
      <c r="EZ3607" s="1628"/>
      <c r="FA3607" s="1628"/>
      <c r="FH3607" s="1628"/>
      <c r="FU3607" s="1678"/>
      <c r="FV3607" s="1680" t="s">
        <v>6122</v>
      </c>
      <c r="FW3607" s="1678"/>
    </row>
    <row r="3608" spans="1:179" s="1484" customFormat="1" ht="15" x14ac:dyDescent="0.25">
      <c r="A3608" s="1647"/>
      <c r="B3608" s="1631"/>
      <c r="C3608" s="2801" t="s">
        <v>8121</v>
      </c>
      <c r="D3608" s="2801"/>
      <c r="E3608" s="2801"/>
      <c r="F3608" s="2801"/>
      <c r="G3608" s="2801"/>
      <c r="H3608" s="2801"/>
      <c r="I3608" s="2801"/>
      <c r="J3608" s="2801"/>
      <c r="K3608" s="2801"/>
      <c r="L3608" s="1708"/>
      <c r="M3608" s="2057"/>
      <c r="N3608" s="2059"/>
      <c r="EW3608" s="2031"/>
      <c r="EX3608" s="1619"/>
      <c r="EY3608" s="1628"/>
      <c r="EZ3608" s="1628"/>
      <c r="FA3608" s="1628"/>
      <c r="FH3608" s="1628"/>
      <c r="FU3608" s="1678"/>
      <c r="FV3608" s="1680" t="s">
        <v>8121</v>
      </c>
      <c r="FW3608" s="1678"/>
    </row>
    <row r="3609" spans="1:179" s="1484" customFormat="1" ht="15" x14ac:dyDescent="0.25">
      <c r="A3609" s="1647"/>
      <c r="B3609" s="1631"/>
      <c r="C3609" s="2801" t="s">
        <v>8122</v>
      </c>
      <c r="D3609" s="2801"/>
      <c r="E3609" s="2801"/>
      <c r="F3609" s="2801"/>
      <c r="G3609" s="2801"/>
      <c r="H3609" s="2801"/>
      <c r="I3609" s="2801"/>
      <c r="J3609" s="2801"/>
      <c r="K3609" s="2801"/>
      <c r="L3609" s="2060">
        <v>328.13</v>
      </c>
      <c r="M3609" s="2057"/>
      <c r="N3609" s="2058">
        <v>3927.71</v>
      </c>
      <c r="EW3609" s="2031"/>
      <c r="EX3609" s="1619"/>
      <c r="EY3609" s="1628"/>
      <c r="EZ3609" s="1628"/>
      <c r="FA3609" s="1628"/>
      <c r="FH3609" s="1628"/>
      <c r="FU3609" s="1678"/>
      <c r="FV3609" s="1680" t="s">
        <v>8122</v>
      </c>
      <c r="FW3609" s="1678"/>
    </row>
    <row r="3610" spans="1:179" s="1484" customFormat="1" ht="15" x14ac:dyDescent="0.25">
      <c r="A3610" s="1647"/>
      <c r="B3610" s="1631"/>
      <c r="C3610" s="2801" t="s">
        <v>8123</v>
      </c>
      <c r="D3610" s="2801"/>
      <c r="E3610" s="2801"/>
      <c r="F3610" s="2801"/>
      <c r="G3610" s="2801"/>
      <c r="H3610" s="2801"/>
      <c r="I3610" s="2801"/>
      <c r="J3610" s="2801"/>
      <c r="K3610" s="2801"/>
      <c r="L3610" s="2060">
        <v>54.05</v>
      </c>
      <c r="M3610" s="2057"/>
      <c r="N3610" s="2058">
        <v>1932.29</v>
      </c>
      <c r="EW3610" s="2031"/>
      <c r="EX3610" s="1619"/>
      <c r="EY3610" s="1628"/>
      <c r="EZ3610" s="1628"/>
      <c r="FA3610" s="1628"/>
      <c r="FH3610" s="1628"/>
      <c r="FU3610" s="1678"/>
      <c r="FV3610" s="1680" t="s">
        <v>8123</v>
      </c>
      <c r="FW3610" s="1678"/>
    </row>
    <row r="3611" spans="1:179" s="1484" customFormat="1" ht="15" x14ac:dyDescent="0.25">
      <c r="A3611" s="1647"/>
      <c r="B3611" s="1631"/>
      <c r="C3611" s="2801" t="s">
        <v>8124</v>
      </c>
      <c r="D3611" s="2801"/>
      <c r="E3611" s="2801"/>
      <c r="F3611" s="2801"/>
      <c r="G3611" s="2801"/>
      <c r="H3611" s="2801"/>
      <c r="I3611" s="2801"/>
      <c r="J3611" s="2801"/>
      <c r="K3611" s="2801"/>
      <c r="L3611" s="2060">
        <v>13.51</v>
      </c>
      <c r="M3611" s="2057"/>
      <c r="N3611" s="2061">
        <v>482.98</v>
      </c>
      <c r="EW3611" s="2031"/>
      <c r="EX3611" s="1619"/>
      <c r="EY3611" s="1628"/>
      <c r="EZ3611" s="1628"/>
      <c r="FA3611" s="1628"/>
      <c r="FH3611" s="1628"/>
      <c r="FU3611" s="1678"/>
      <c r="FV3611" s="1680" t="s">
        <v>8124</v>
      </c>
      <c r="FW3611" s="1678"/>
    </row>
    <row r="3612" spans="1:179" s="1484" customFormat="1" ht="15" x14ac:dyDescent="0.25">
      <c r="A3612" s="1647"/>
      <c r="B3612" s="1631"/>
      <c r="C3612" s="2801" t="s">
        <v>6124</v>
      </c>
      <c r="D3612" s="2801"/>
      <c r="E3612" s="2801"/>
      <c r="F3612" s="2801"/>
      <c r="G3612" s="2801"/>
      <c r="H3612" s="2801"/>
      <c r="I3612" s="2801"/>
      <c r="J3612" s="2801"/>
      <c r="K3612" s="2801"/>
      <c r="L3612" s="2056">
        <v>817560.73</v>
      </c>
      <c r="M3612" s="2057"/>
      <c r="N3612" s="2058">
        <v>7472505.0999999996</v>
      </c>
      <c r="EW3612" s="2031"/>
      <c r="EX3612" s="1619"/>
      <c r="EY3612" s="1628"/>
      <c r="EZ3612" s="1628"/>
      <c r="FA3612" s="1628"/>
      <c r="FH3612" s="1628"/>
      <c r="FU3612" s="1678"/>
      <c r="FV3612" s="1680" t="s">
        <v>6124</v>
      </c>
      <c r="FW3612" s="1678"/>
    </row>
    <row r="3613" spans="1:179" s="1484" customFormat="1" ht="15" x14ac:dyDescent="0.25">
      <c r="A3613" s="1647"/>
      <c r="B3613" s="1631"/>
      <c r="C3613" s="2801" t="s">
        <v>6125</v>
      </c>
      <c r="D3613" s="2801"/>
      <c r="E3613" s="2801"/>
      <c r="F3613" s="2801"/>
      <c r="G3613" s="2801"/>
      <c r="H3613" s="2801"/>
      <c r="I3613" s="2801"/>
      <c r="J3613" s="2801"/>
      <c r="K3613" s="2801"/>
      <c r="L3613" s="2056">
        <v>1211.01</v>
      </c>
      <c r="M3613" s="2057"/>
      <c r="N3613" s="2058">
        <v>43293.77</v>
      </c>
      <c r="EW3613" s="2031"/>
      <c r="EX3613" s="1619"/>
      <c r="EY3613" s="1628"/>
      <c r="EZ3613" s="1628"/>
      <c r="FA3613" s="1628"/>
      <c r="FH3613" s="1628"/>
      <c r="FU3613" s="1678"/>
      <c r="FV3613" s="1680" t="s">
        <v>6125</v>
      </c>
      <c r="FW3613" s="1678"/>
    </row>
    <row r="3614" spans="1:179" s="1484" customFormat="1" ht="15" x14ac:dyDescent="0.25">
      <c r="A3614" s="1647"/>
      <c r="B3614" s="1631"/>
      <c r="C3614" s="2801" t="s">
        <v>6126</v>
      </c>
      <c r="D3614" s="2801"/>
      <c r="E3614" s="2801"/>
      <c r="F3614" s="2801"/>
      <c r="G3614" s="2801"/>
      <c r="H3614" s="2801"/>
      <c r="I3614" s="2801"/>
      <c r="J3614" s="2801"/>
      <c r="K3614" s="2801"/>
      <c r="L3614" s="2060">
        <v>632.62</v>
      </c>
      <c r="M3614" s="2057"/>
      <c r="N3614" s="2058">
        <v>22615.99</v>
      </c>
      <c r="EW3614" s="2031"/>
      <c r="EX3614" s="1619"/>
      <c r="EY3614" s="1628"/>
      <c r="EZ3614" s="1628"/>
      <c r="FA3614" s="1628"/>
      <c r="FH3614" s="1628"/>
      <c r="FU3614" s="1678"/>
      <c r="FV3614" s="1680" t="s">
        <v>6126</v>
      </c>
      <c r="FW3614" s="1678"/>
    </row>
    <row r="3615" spans="1:179" s="1484" customFormat="1" ht="15" x14ac:dyDescent="0.25">
      <c r="A3615" s="1647"/>
      <c r="B3615" s="1631"/>
      <c r="C3615" s="2801" t="s">
        <v>923</v>
      </c>
      <c r="D3615" s="2801"/>
      <c r="E3615" s="2801"/>
      <c r="F3615" s="2801"/>
      <c r="G3615" s="2801"/>
      <c r="H3615" s="2801"/>
      <c r="I3615" s="2801"/>
      <c r="J3615" s="2801"/>
      <c r="K3615" s="2801"/>
      <c r="L3615" s="2056">
        <v>1136.3900000000001</v>
      </c>
      <c r="M3615" s="2057"/>
      <c r="N3615" s="2058">
        <v>40625.949999999997</v>
      </c>
      <c r="EW3615" s="2031"/>
      <c r="EX3615" s="1619"/>
      <c r="EY3615" s="1628"/>
      <c r="EZ3615" s="1628"/>
      <c r="FA3615" s="1628"/>
      <c r="FH3615" s="1628"/>
      <c r="FU3615" s="1678"/>
      <c r="FV3615" s="1680" t="s">
        <v>923</v>
      </c>
      <c r="FW3615" s="1678"/>
    </row>
    <row r="3616" spans="1:179" s="1484" customFormat="1" ht="15" x14ac:dyDescent="0.25">
      <c r="A3616" s="1647"/>
      <c r="B3616" s="1631"/>
      <c r="C3616" s="2801" t="s">
        <v>924</v>
      </c>
      <c r="D3616" s="2801"/>
      <c r="E3616" s="2801"/>
      <c r="F3616" s="2801"/>
      <c r="G3616" s="2801"/>
      <c r="H3616" s="2801"/>
      <c r="I3616" s="2801"/>
      <c r="J3616" s="2801"/>
      <c r="K3616" s="2801"/>
      <c r="L3616" s="2056">
        <v>1211.01</v>
      </c>
      <c r="M3616" s="2057"/>
      <c r="N3616" s="2058">
        <v>43293.77</v>
      </c>
      <c r="EW3616" s="2031"/>
      <c r="EX3616" s="1619"/>
      <c r="EY3616" s="1628"/>
      <c r="EZ3616" s="1628"/>
      <c r="FA3616" s="1628"/>
      <c r="FH3616" s="1628"/>
      <c r="FU3616" s="1678"/>
      <c r="FV3616" s="1680" t="s">
        <v>924</v>
      </c>
      <c r="FW3616" s="1678"/>
    </row>
    <row r="3617" spans="1:180" s="1484" customFormat="1" ht="15" x14ac:dyDescent="0.25">
      <c r="A3617" s="1647"/>
      <c r="B3617" s="1631"/>
      <c r="C3617" s="2801" t="s">
        <v>925</v>
      </c>
      <c r="D3617" s="2801"/>
      <c r="E3617" s="2801"/>
      <c r="F3617" s="2801"/>
      <c r="G3617" s="2801"/>
      <c r="H3617" s="2801"/>
      <c r="I3617" s="2801"/>
      <c r="J3617" s="2801"/>
      <c r="K3617" s="2801"/>
      <c r="L3617" s="2060">
        <v>632.62</v>
      </c>
      <c r="M3617" s="2057"/>
      <c r="N3617" s="2058">
        <v>22615.99</v>
      </c>
      <c r="EW3617" s="2031"/>
      <c r="EX3617" s="1619"/>
      <c r="EY3617" s="1628"/>
      <c r="EZ3617" s="1628"/>
      <c r="FA3617" s="1628"/>
      <c r="FH3617" s="1628"/>
      <c r="FU3617" s="1678"/>
      <c r="FV3617" s="1680" t="s">
        <v>925</v>
      </c>
      <c r="FW3617" s="1678"/>
    </row>
    <row r="3618" spans="1:180" s="1484" customFormat="1" ht="15" x14ac:dyDescent="0.25">
      <c r="A3618" s="1647"/>
      <c r="B3618" s="1676"/>
      <c r="C3618" s="2802" t="s">
        <v>8593</v>
      </c>
      <c r="D3618" s="2802"/>
      <c r="E3618" s="2802"/>
      <c r="F3618" s="2802"/>
      <c r="G3618" s="2802"/>
      <c r="H3618" s="2802"/>
      <c r="I3618" s="2802"/>
      <c r="J3618" s="2802"/>
      <c r="K3618" s="2802"/>
      <c r="L3618" s="1705">
        <v>820814.83</v>
      </c>
      <c r="M3618" s="2054"/>
      <c r="N3618" s="2066">
        <v>7581036.2300000004</v>
      </c>
      <c r="EW3618" s="2031"/>
      <c r="EX3618" s="1619"/>
      <c r="EY3618" s="1628"/>
      <c r="EZ3618" s="1628"/>
      <c r="FA3618" s="1628"/>
      <c r="FH3618" s="1628"/>
      <c r="FU3618" s="1678"/>
      <c r="FW3618" s="1678" t="s">
        <v>8593</v>
      </c>
    </row>
    <row r="3619" spans="1:180" s="1484" customFormat="1" ht="15" x14ac:dyDescent="0.25">
      <c r="A3619" s="1647"/>
      <c r="B3619" s="1631"/>
      <c r="C3619" s="2801" t="s">
        <v>6094</v>
      </c>
      <c r="D3619" s="2801"/>
      <c r="E3619" s="2801"/>
      <c r="F3619" s="2801"/>
      <c r="G3619" s="2801"/>
      <c r="H3619" s="2801"/>
      <c r="I3619" s="2801"/>
      <c r="J3619" s="2801"/>
      <c r="K3619" s="2801"/>
      <c r="L3619" s="1708"/>
      <c r="M3619" s="2057"/>
      <c r="N3619" s="2059"/>
      <c r="EW3619" s="2031"/>
      <c r="EX3619" s="1619"/>
      <c r="EY3619" s="1628"/>
      <c r="EZ3619" s="1628"/>
      <c r="FA3619" s="1628"/>
      <c r="FH3619" s="1628"/>
      <c r="FU3619" s="1678"/>
      <c r="FV3619" s="1680" t="s">
        <v>6094</v>
      </c>
      <c r="FW3619" s="1678"/>
    </row>
    <row r="3620" spans="1:180" s="1484" customFormat="1" ht="15" x14ac:dyDescent="0.25">
      <c r="A3620" s="1647"/>
      <c r="B3620" s="1631"/>
      <c r="C3620" s="2801" t="s">
        <v>8127</v>
      </c>
      <c r="D3620" s="2801"/>
      <c r="E3620" s="2801"/>
      <c r="F3620" s="2801"/>
      <c r="G3620" s="2801"/>
      <c r="H3620" s="2801"/>
      <c r="I3620" s="2801"/>
      <c r="J3620" s="2801"/>
      <c r="K3620" s="2801"/>
      <c r="L3620" s="2056">
        <v>762321.66</v>
      </c>
      <c r="M3620" s="2057"/>
      <c r="N3620" s="2058">
        <v>6967620</v>
      </c>
      <c r="EW3620" s="2031"/>
      <c r="EX3620" s="1619"/>
      <c r="EY3620" s="1628"/>
      <c r="EZ3620" s="1628"/>
      <c r="FA3620" s="1628"/>
      <c r="FH3620" s="1628"/>
      <c r="FU3620" s="1678"/>
      <c r="FV3620" s="1680" t="s">
        <v>8127</v>
      </c>
      <c r="FW3620" s="1678"/>
    </row>
    <row r="3621" spans="1:180" s="1484" customFormat="1" ht="15" x14ac:dyDescent="0.25">
      <c r="A3621" s="1647"/>
      <c r="B3621" s="1631"/>
      <c r="C3621" s="2801" t="s">
        <v>6095</v>
      </c>
      <c r="D3621" s="2801"/>
      <c r="E3621" s="2801"/>
      <c r="F3621" s="2801"/>
      <c r="G3621" s="2801"/>
      <c r="H3621" s="2801"/>
      <c r="I3621" s="1683" t="s">
        <v>8594</v>
      </c>
      <c r="J3621" s="1860"/>
      <c r="K3621" s="1860"/>
      <c r="L3621" s="1708"/>
      <c r="M3621" s="2057"/>
      <c r="N3621" s="2059"/>
      <c r="EW3621" s="2031"/>
      <c r="EX3621" s="1619"/>
      <c r="EY3621" s="1628"/>
      <c r="EZ3621" s="1628"/>
      <c r="FA3621" s="1628"/>
      <c r="FH3621" s="1628"/>
      <c r="FU3621" s="1678"/>
      <c r="FW3621" s="1678"/>
      <c r="FX3621" s="1680" t="s">
        <v>6095</v>
      </c>
    </row>
    <row r="3622" spans="1:180" s="1484" customFormat="1" ht="15" x14ac:dyDescent="0.25">
      <c r="A3622" s="1647"/>
      <c r="B3622" s="1631"/>
      <c r="C3622" s="2801" t="s">
        <v>6096</v>
      </c>
      <c r="D3622" s="2801"/>
      <c r="E3622" s="2801"/>
      <c r="F3622" s="2801"/>
      <c r="G3622" s="2801"/>
      <c r="H3622" s="2801"/>
      <c r="I3622" s="1683" t="s">
        <v>8595</v>
      </c>
      <c r="J3622" s="1860"/>
      <c r="K3622" s="1860"/>
      <c r="L3622" s="1708"/>
      <c r="M3622" s="2057"/>
      <c r="N3622" s="2059"/>
      <c r="EW3622" s="2031"/>
      <c r="EX3622" s="1619"/>
      <c r="EY3622" s="1628"/>
      <c r="EZ3622" s="1628"/>
      <c r="FA3622" s="1628"/>
      <c r="FH3622" s="1628"/>
      <c r="FU3622" s="1678"/>
      <c r="FW3622" s="1678"/>
      <c r="FX3622" s="1680" t="s">
        <v>6096</v>
      </c>
    </row>
    <row r="3623" spans="1:180" s="1484" customFormat="1" ht="15" x14ac:dyDescent="0.25">
      <c r="A3623" s="2918" t="s">
        <v>8596</v>
      </c>
      <c r="B3623" s="2919"/>
      <c r="C3623" s="2919"/>
      <c r="D3623" s="2919"/>
      <c r="E3623" s="2919"/>
      <c r="F3623" s="2919"/>
      <c r="G3623" s="2919"/>
      <c r="H3623" s="2919"/>
      <c r="I3623" s="2919"/>
      <c r="J3623" s="2919"/>
      <c r="K3623" s="2919"/>
      <c r="L3623" s="2919"/>
      <c r="M3623" s="2919"/>
      <c r="N3623" s="2920"/>
      <c r="EW3623" s="2031" t="s">
        <v>8596</v>
      </c>
      <c r="EX3623" s="1619"/>
      <c r="EY3623" s="1628"/>
      <c r="EZ3623" s="1628"/>
      <c r="FA3623" s="1628"/>
      <c r="FH3623" s="1628"/>
      <c r="FU3623" s="1678"/>
      <c r="FW3623" s="1678"/>
    </row>
    <row r="3624" spans="1:180" s="1484" customFormat="1" ht="45" x14ac:dyDescent="0.25">
      <c r="A3624" s="1620" t="s">
        <v>8597</v>
      </c>
      <c r="B3624" s="1863" t="s">
        <v>8638</v>
      </c>
      <c r="C3624" s="2803" t="s">
        <v>8103</v>
      </c>
      <c r="D3624" s="2803"/>
      <c r="E3624" s="2803"/>
      <c r="F3624" s="1621" t="s">
        <v>4886</v>
      </c>
      <c r="G3624" s="1622">
        <v>0.89</v>
      </c>
      <c r="H3624" s="1623">
        <v>1</v>
      </c>
      <c r="I3624" s="1687">
        <v>0.89</v>
      </c>
      <c r="J3624" s="1625"/>
      <c r="K3624" s="1622"/>
      <c r="L3624" s="1625"/>
      <c r="M3624" s="1622"/>
      <c r="N3624" s="1627"/>
      <c r="EW3624" s="2031"/>
      <c r="EX3624" s="1619"/>
      <c r="EY3624" s="1628" t="s">
        <v>8103</v>
      </c>
      <c r="EZ3624" s="1628" t="s">
        <v>588</v>
      </c>
      <c r="FA3624" s="1628" t="s">
        <v>588</v>
      </c>
      <c r="FH3624" s="1628"/>
      <c r="FU3624" s="1678"/>
      <c r="FW3624" s="1678"/>
    </row>
    <row r="3625" spans="1:180" s="1484" customFormat="1" ht="15" x14ac:dyDescent="0.25">
      <c r="A3625" s="1629"/>
      <c r="B3625" s="1862"/>
      <c r="C3625" s="2805" t="s">
        <v>8637</v>
      </c>
      <c r="D3625" s="2805"/>
      <c r="E3625" s="2805"/>
      <c r="F3625" s="2805"/>
      <c r="G3625" s="2805"/>
      <c r="H3625" s="2805"/>
      <c r="I3625" s="2805"/>
      <c r="J3625" s="2805"/>
      <c r="K3625" s="2805"/>
      <c r="L3625" s="2805"/>
      <c r="M3625" s="2805"/>
      <c r="N3625" s="2806"/>
      <c r="EW3625" s="2031"/>
      <c r="EX3625" s="1619"/>
      <c r="EY3625" s="1628"/>
      <c r="EZ3625" s="1628"/>
      <c r="FA3625" s="1628"/>
      <c r="FB3625" s="1864" t="s">
        <v>8637</v>
      </c>
      <c r="FH3625" s="1628"/>
      <c r="FU3625" s="1678"/>
      <c r="FW3625" s="1678"/>
    </row>
    <row r="3626" spans="1:180" s="1484" customFormat="1" ht="22.5" x14ac:dyDescent="0.25">
      <c r="A3626" s="1630"/>
      <c r="B3626" s="1631" t="s">
        <v>6062</v>
      </c>
      <c r="C3626" s="2809" t="s">
        <v>6063</v>
      </c>
      <c r="D3626" s="2809"/>
      <c r="E3626" s="2809"/>
      <c r="F3626" s="2809"/>
      <c r="G3626" s="2809"/>
      <c r="H3626" s="2809"/>
      <c r="I3626" s="2809"/>
      <c r="J3626" s="2809"/>
      <c r="K3626" s="2809"/>
      <c r="L3626" s="2809"/>
      <c r="M3626" s="2809"/>
      <c r="N3626" s="2810"/>
      <c r="EW3626" s="2031"/>
      <c r="EX3626" s="1619"/>
      <c r="EY3626" s="1628"/>
      <c r="EZ3626" s="1628"/>
      <c r="FA3626" s="1628"/>
      <c r="FC3626" s="1864" t="s">
        <v>6063</v>
      </c>
      <c r="FH3626" s="1628"/>
      <c r="FU3626" s="1678"/>
      <c r="FW3626" s="1678"/>
    </row>
    <row r="3627" spans="1:180" s="1484" customFormat="1" ht="22.5" x14ac:dyDescent="0.25">
      <c r="A3627" s="2033"/>
      <c r="B3627" s="1631" t="s">
        <v>3260</v>
      </c>
      <c r="C3627" s="2805" t="s">
        <v>8636</v>
      </c>
      <c r="D3627" s="2805"/>
      <c r="E3627" s="2805"/>
      <c r="F3627" s="1683" t="s">
        <v>807</v>
      </c>
      <c r="G3627" s="1655">
        <v>27.14</v>
      </c>
      <c r="H3627" s="1641"/>
      <c r="I3627" s="2035">
        <v>24.154599999999999</v>
      </c>
      <c r="J3627" s="1654">
        <v>9.18</v>
      </c>
      <c r="K3627" s="1655">
        <v>1.25</v>
      </c>
      <c r="L3627" s="1654">
        <v>277.17</v>
      </c>
      <c r="M3627" s="1641"/>
      <c r="N3627" s="1681"/>
      <c r="EW3627" s="2031"/>
      <c r="EX3627" s="1619"/>
      <c r="EY3627" s="1628"/>
      <c r="EZ3627" s="1628"/>
      <c r="FA3627" s="1628"/>
      <c r="FD3627" s="1864" t="s">
        <v>8636</v>
      </c>
      <c r="FH3627" s="1628"/>
      <c r="FU3627" s="1678"/>
      <c r="FW3627" s="1678"/>
    </row>
    <row r="3628" spans="1:180" s="1484" customFormat="1" ht="22.5" x14ac:dyDescent="0.25">
      <c r="A3628" s="2033"/>
      <c r="B3628" s="1631" t="s">
        <v>5003</v>
      </c>
      <c r="C3628" s="2805" t="s">
        <v>5004</v>
      </c>
      <c r="D3628" s="2805"/>
      <c r="E3628" s="2805"/>
      <c r="F3628" s="1683" t="s">
        <v>4994</v>
      </c>
      <c r="G3628" s="1655">
        <v>0.76</v>
      </c>
      <c r="H3628" s="1641"/>
      <c r="I3628" s="2035">
        <v>0.6764</v>
      </c>
      <c r="J3628" s="1654">
        <v>3.28</v>
      </c>
      <c r="K3628" s="1641"/>
      <c r="L3628" s="1654">
        <v>2.2200000000000002</v>
      </c>
      <c r="M3628" s="1641"/>
      <c r="N3628" s="1681"/>
      <c r="EW3628" s="2031"/>
      <c r="EX3628" s="1619"/>
      <c r="EY3628" s="1628"/>
      <c r="EZ3628" s="1628"/>
      <c r="FA3628" s="1628"/>
      <c r="FD3628" s="1864" t="s">
        <v>5004</v>
      </c>
      <c r="FH3628" s="1628"/>
      <c r="FU3628" s="1678"/>
      <c r="FW3628" s="1678"/>
    </row>
    <row r="3629" spans="1:180" s="1484" customFormat="1" ht="22.5" x14ac:dyDescent="0.25">
      <c r="A3629" s="2033"/>
      <c r="B3629" s="1631" t="s">
        <v>5026</v>
      </c>
      <c r="C3629" s="2805" t="s">
        <v>8635</v>
      </c>
      <c r="D3629" s="2805"/>
      <c r="E3629" s="2805"/>
      <c r="F3629" s="1683" t="s">
        <v>4994</v>
      </c>
      <c r="G3629" s="1655">
        <v>2.44</v>
      </c>
      <c r="H3629" s="1641"/>
      <c r="I3629" s="2035">
        <v>2.1716000000000002</v>
      </c>
      <c r="J3629" s="1654">
        <v>8.1</v>
      </c>
      <c r="K3629" s="1641"/>
      <c r="L3629" s="1654">
        <v>17.59</v>
      </c>
      <c r="M3629" s="1641"/>
      <c r="N3629" s="1681"/>
      <c r="EW3629" s="2031"/>
      <c r="EX3629" s="1619"/>
      <c r="EY3629" s="1628"/>
      <c r="EZ3629" s="1628"/>
      <c r="FA3629" s="1628"/>
      <c r="FD3629" s="1864" t="s">
        <v>8635</v>
      </c>
      <c r="FH3629" s="1628"/>
      <c r="FU3629" s="1678"/>
      <c r="FW3629" s="1678"/>
    </row>
    <row r="3630" spans="1:180" s="1484" customFormat="1" ht="22.5" x14ac:dyDescent="0.25">
      <c r="A3630" s="2033"/>
      <c r="B3630" s="1631" t="s">
        <v>4885</v>
      </c>
      <c r="C3630" s="2805" t="s">
        <v>8634</v>
      </c>
      <c r="D3630" s="2805"/>
      <c r="E3630" s="2805"/>
      <c r="F3630" s="1683" t="s">
        <v>130</v>
      </c>
      <c r="G3630" s="1655">
        <v>3.97</v>
      </c>
      <c r="H3630" s="1641"/>
      <c r="I3630" s="2035">
        <v>3.5333000000000001</v>
      </c>
      <c r="J3630" s="1654">
        <v>86.74</v>
      </c>
      <c r="K3630" s="1641"/>
      <c r="L3630" s="1654">
        <v>306.48</v>
      </c>
      <c r="M3630" s="1641"/>
      <c r="N3630" s="1681"/>
      <c r="EW3630" s="2031"/>
      <c r="EX3630" s="1619"/>
      <c r="EY3630" s="1628"/>
      <c r="EZ3630" s="1628"/>
      <c r="FA3630" s="1628"/>
      <c r="FD3630" s="1864" t="s">
        <v>8634</v>
      </c>
      <c r="FH3630" s="1628"/>
      <c r="FU3630" s="1678"/>
      <c r="FW3630" s="1678"/>
    </row>
    <row r="3631" spans="1:180" s="1484" customFormat="1" ht="15" x14ac:dyDescent="0.25">
      <c r="A3631" s="2033"/>
      <c r="B3631" s="1631" t="s">
        <v>4892</v>
      </c>
      <c r="C3631" s="2805" t="s">
        <v>8633</v>
      </c>
      <c r="D3631" s="2805"/>
      <c r="E3631" s="2805"/>
      <c r="F3631" s="1683" t="s">
        <v>849</v>
      </c>
      <c r="G3631" s="2046">
        <v>0.27700000000000002</v>
      </c>
      <c r="H3631" s="1641"/>
      <c r="I3631" s="2042">
        <v>0.24653</v>
      </c>
      <c r="J3631" s="1654">
        <v>64.099999999999994</v>
      </c>
      <c r="K3631" s="1641"/>
      <c r="L3631" s="1654">
        <v>15.8</v>
      </c>
      <c r="M3631" s="1641"/>
      <c r="N3631" s="1681"/>
      <c r="EW3631" s="2031"/>
      <c r="EX3631" s="1619"/>
      <c r="EY3631" s="1628"/>
      <c r="EZ3631" s="1628"/>
      <c r="FA3631" s="1628"/>
      <c r="FD3631" s="1864" t="s">
        <v>8633</v>
      </c>
      <c r="FH3631" s="1628"/>
      <c r="FU3631" s="1678"/>
      <c r="FW3631" s="1678"/>
    </row>
    <row r="3632" spans="1:180" s="1484" customFormat="1" ht="15" x14ac:dyDescent="0.25">
      <c r="A3632" s="2033"/>
      <c r="B3632" s="1631" t="s">
        <v>839</v>
      </c>
      <c r="C3632" s="2805" t="s">
        <v>8632</v>
      </c>
      <c r="D3632" s="2805"/>
      <c r="E3632" s="2805"/>
      <c r="F3632" s="1683" t="s">
        <v>835</v>
      </c>
      <c r="G3632" s="2035">
        <v>0.94130000000000003</v>
      </c>
      <c r="H3632" s="1641"/>
      <c r="I3632" s="2043">
        <v>0.83775699999999997</v>
      </c>
      <c r="J3632" s="1654">
        <v>10.75</v>
      </c>
      <c r="K3632" s="1641"/>
      <c r="L3632" s="1654">
        <v>9.01</v>
      </c>
      <c r="M3632" s="1641"/>
      <c r="N3632" s="1681"/>
      <c r="EW3632" s="2031"/>
      <c r="EX3632" s="1619"/>
      <c r="EY3632" s="1628"/>
      <c r="EZ3632" s="1628"/>
      <c r="FA3632" s="1628"/>
      <c r="FD3632" s="1864" t="s">
        <v>8632</v>
      </c>
      <c r="FH3632" s="1628"/>
      <c r="FU3632" s="1678"/>
      <c r="FW3632" s="1678"/>
    </row>
    <row r="3633" spans="1:179" s="1484" customFormat="1" ht="15" x14ac:dyDescent="0.25">
      <c r="A3633" s="2033"/>
      <c r="B3633" s="1631" t="s">
        <v>4903</v>
      </c>
      <c r="C3633" s="2805" t="s">
        <v>8631</v>
      </c>
      <c r="D3633" s="2805"/>
      <c r="E3633" s="2805"/>
      <c r="F3633" s="1683" t="s">
        <v>269</v>
      </c>
      <c r="G3633" s="2034">
        <v>5</v>
      </c>
      <c r="H3633" s="1641"/>
      <c r="I3633" s="1655">
        <v>4.45</v>
      </c>
      <c r="J3633" s="1654">
        <v>3.23</v>
      </c>
      <c r="K3633" s="1641"/>
      <c r="L3633" s="1654">
        <v>14.37</v>
      </c>
      <c r="M3633" s="1641"/>
      <c r="N3633" s="1681"/>
      <c r="EW3633" s="2031"/>
      <c r="EX3633" s="1619"/>
      <c r="EY3633" s="1628"/>
      <c r="EZ3633" s="1628"/>
      <c r="FA3633" s="1628"/>
      <c r="FD3633" s="1864" t="s">
        <v>8631</v>
      </c>
      <c r="FH3633" s="1628"/>
      <c r="FU3633" s="1678"/>
      <c r="FW3633" s="1678"/>
    </row>
    <row r="3634" spans="1:179" s="1484" customFormat="1" ht="45" x14ac:dyDescent="0.25">
      <c r="A3634" s="2033"/>
      <c r="B3634" s="1631" t="s">
        <v>8630</v>
      </c>
      <c r="C3634" s="2805" t="s">
        <v>8629</v>
      </c>
      <c r="D3634" s="2805"/>
      <c r="E3634" s="2805"/>
      <c r="F3634" s="1683" t="s">
        <v>4865</v>
      </c>
      <c r="G3634" s="1655">
        <v>0.16</v>
      </c>
      <c r="H3634" s="1641"/>
      <c r="I3634" s="2035">
        <v>0.1424</v>
      </c>
      <c r="J3634" s="1654">
        <v>40</v>
      </c>
      <c r="K3634" s="1641"/>
      <c r="L3634" s="1654">
        <v>5.7</v>
      </c>
      <c r="M3634" s="1641"/>
      <c r="N3634" s="1681"/>
      <c r="EW3634" s="2031"/>
      <c r="EX3634" s="1619"/>
      <c r="EY3634" s="1628"/>
      <c r="EZ3634" s="1628"/>
      <c r="FA3634" s="1628"/>
      <c r="FD3634" s="1864" t="s">
        <v>8629</v>
      </c>
      <c r="FH3634" s="1628"/>
      <c r="FU3634" s="1678"/>
      <c r="FW3634" s="1678"/>
    </row>
    <row r="3635" spans="1:179" s="1484" customFormat="1" ht="15" x14ac:dyDescent="0.25">
      <c r="A3635" s="2033"/>
      <c r="B3635" s="1631" t="s">
        <v>4908</v>
      </c>
      <c r="C3635" s="2805" t="s">
        <v>8628</v>
      </c>
      <c r="D3635" s="2805"/>
      <c r="E3635" s="2805"/>
      <c r="F3635" s="1683" t="s">
        <v>4865</v>
      </c>
      <c r="G3635" s="1655">
        <v>0.16</v>
      </c>
      <c r="H3635" s="1641"/>
      <c r="I3635" s="2035">
        <v>0.1424</v>
      </c>
      <c r="J3635" s="1654">
        <v>11</v>
      </c>
      <c r="K3635" s="1641"/>
      <c r="L3635" s="1654">
        <v>1.57</v>
      </c>
      <c r="M3635" s="1641"/>
      <c r="N3635" s="1681"/>
      <c r="EW3635" s="2031"/>
      <c r="EX3635" s="1619"/>
      <c r="EY3635" s="1628"/>
      <c r="EZ3635" s="1628"/>
      <c r="FA3635" s="1628"/>
      <c r="FD3635" s="1864" t="s">
        <v>8628</v>
      </c>
      <c r="FH3635" s="1628"/>
      <c r="FU3635" s="1678"/>
      <c r="FW3635" s="1678"/>
    </row>
    <row r="3636" spans="1:179" s="1484" customFormat="1" ht="22.5" x14ac:dyDescent="0.25">
      <c r="A3636" s="2033"/>
      <c r="B3636" s="1631" t="s">
        <v>4909</v>
      </c>
      <c r="C3636" s="2805" t="s">
        <v>8627</v>
      </c>
      <c r="D3636" s="2805"/>
      <c r="E3636" s="2805"/>
      <c r="F3636" s="1683" t="s">
        <v>4865</v>
      </c>
      <c r="G3636" s="1655">
        <v>0.39</v>
      </c>
      <c r="H3636" s="1641"/>
      <c r="I3636" s="2035">
        <v>0.34710000000000002</v>
      </c>
      <c r="J3636" s="1654">
        <v>24</v>
      </c>
      <c r="K3636" s="1641"/>
      <c r="L3636" s="1654">
        <v>8.33</v>
      </c>
      <c r="M3636" s="1641"/>
      <c r="N3636" s="1681"/>
      <c r="EW3636" s="2031"/>
      <c r="EX3636" s="1619"/>
      <c r="EY3636" s="1628"/>
      <c r="EZ3636" s="1628"/>
      <c r="FA3636" s="1628"/>
      <c r="FD3636" s="1864" t="s">
        <v>8627</v>
      </c>
      <c r="FH3636" s="1628"/>
      <c r="FU3636" s="1678"/>
      <c r="FW3636" s="1678"/>
    </row>
    <row r="3637" spans="1:179" s="1484" customFormat="1" ht="15" x14ac:dyDescent="0.25">
      <c r="A3637" s="2033"/>
      <c r="B3637" s="1631" t="s">
        <v>4920</v>
      </c>
      <c r="C3637" s="2805" t="s">
        <v>4921</v>
      </c>
      <c r="D3637" s="2805"/>
      <c r="E3637" s="2805"/>
      <c r="F3637" s="1683" t="s">
        <v>849</v>
      </c>
      <c r="G3637" s="1655">
        <v>0.28000000000000003</v>
      </c>
      <c r="H3637" s="1641"/>
      <c r="I3637" s="2035">
        <v>0.2492</v>
      </c>
      <c r="J3637" s="1654">
        <v>228.4</v>
      </c>
      <c r="K3637" s="1641"/>
      <c r="L3637" s="1654">
        <v>56.92</v>
      </c>
      <c r="M3637" s="1641"/>
      <c r="N3637" s="1681"/>
      <c r="EW3637" s="2031"/>
      <c r="EX3637" s="1619"/>
      <c r="EY3637" s="1628"/>
      <c r="EZ3637" s="1628"/>
      <c r="FA3637" s="1628"/>
      <c r="FD3637" s="1864" t="s">
        <v>4921</v>
      </c>
      <c r="FH3637" s="1628"/>
      <c r="FU3637" s="1678"/>
      <c r="FW3637" s="1678"/>
    </row>
    <row r="3638" spans="1:179" s="1484" customFormat="1" ht="15" x14ac:dyDescent="0.25">
      <c r="A3638" s="2033"/>
      <c r="B3638" s="1631" t="s">
        <v>8626</v>
      </c>
      <c r="C3638" s="2805" t="s">
        <v>8625</v>
      </c>
      <c r="D3638" s="2805"/>
      <c r="E3638" s="2805"/>
      <c r="F3638" s="1683" t="s">
        <v>4865</v>
      </c>
      <c r="G3638" s="1655">
        <v>0.03</v>
      </c>
      <c r="H3638" s="1641"/>
      <c r="I3638" s="2035">
        <v>2.6700000000000002E-2</v>
      </c>
      <c r="J3638" s="1657">
        <v>2007</v>
      </c>
      <c r="K3638" s="1641"/>
      <c r="L3638" s="1654">
        <v>53.59</v>
      </c>
      <c r="M3638" s="1641"/>
      <c r="N3638" s="1681"/>
      <c r="EW3638" s="2031"/>
      <c r="EX3638" s="1619"/>
      <c r="EY3638" s="1628"/>
      <c r="EZ3638" s="1628"/>
      <c r="FA3638" s="1628"/>
      <c r="FD3638" s="1864" t="s">
        <v>8625</v>
      </c>
      <c r="FH3638" s="1628"/>
      <c r="FU3638" s="1678"/>
      <c r="FW3638" s="1678"/>
    </row>
    <row r="3639" spans="1:179" s="1484" customFormat="1" ht="15" x14ac:dyDescent="0.25">
      <c r="A3639" s="2033"/>
      <c r="B3639" s="1631" t="s">
        <v>8624</v>
      </c>
      <c r="C3639" s="2805" t="s">
        <v>8623</v>
      </c>
      <c r="D3639" s="2805"/>
      <c r="E3639" s="2805"/>
      <c r="F3639" s="1683" t="s">
        <v>4865</v>
      </c>
      <c r="G3639" s="1655">
        <v>0.02</v>
      </c>
      <c r="H3639" s="1641"/>
      <c r="I3639" s="2035">
        <v>1.78E-2</v>
      </c>
      <c r="J3639" s="1657">
        <v>2456</v>
      </c>
      <c r="K3639" s="1641"/>
      <c r="L3639" s="1654">
        <v>43.72</v>
      </c>
      <c r="M3639" s="1641"/>
      <c r="N3639" s="1681"/>
      <c r="EW3639" s="2031"/>
      <c r="EX3639" s="1619"/>
      <c r="EY3639" s="1628"/>
      <c r="EZ3639" s="1628"/>
      <c r="FA3639" s="1628"/>
      <c r="FD3639" s="1864" t="s">
        <v>8623</v>
      </c>
      <c r="FH3639" s="1628"/>
      <c r="FU3639" s="1678"/>
      <c r="FW3639" s="1678"/>
    </row>
    <row r="3640" spans="1:179" s="1484" customFormat="1" ht="15" x14ac:dyDescent="0.25">
      <c r="A3640" s="2033"/>
      <c r="B3640" s="1631" t="s">
        <v>4944</v>
      </c>
      <c r="C3640" s="2805" t="s">
        <v>8622</v>
      </c>
      <c r="D3640" s="2805"/>
      <c r="E3640" s="2805"/>
      <c r="F3640" s="1683" t="s">
        <v>4865</v>
      </c>
      <c r="G3640" s="1655">
        <v>7.0000000000000007E-2</v>
      </c>
      <c r="H3640" s="1641"/>
      <c r="I3640" s="2035">
        <v>6.2300000000000001E-2</v>
      </c>
      <c r="J3640" s="1657">
        <v>1888</v>
      </c>
      <c r="K3640" s="1641"/>
      <c r="L3640" s="1654">
        <v>117.62</v>
      </c>
      <c r="M3640" s="1641"/>
      <c r="N3640" s="1681"/>
      <c r="EW3640" s="2031"/>
      <c r="EX3640" s="1619"/>
      <c r="EY3640" s="1628"/>
      <c r="EZ3640" s="1628"/>
      <c r="FA3640" s="1628"/>
      <c r="FD3640" s="1864" t="s">
        <v>8622</v>
      </c>
      <c r="FH3640" s="1628"/>
      <c r="FU3640" s="1678"/>
      <c r="FW3640" s="1678"/>
    </row>
    <row r="3641" spans="1:179" s="1484" customFormat="1" ht="15" x14ac:dyDescent="0.25">
      <c r="A3641" s="2033"/>
      <c r="B3641" s="1631" t="s">
        <v>4945</v>
      </c>
      <c r="C3641" s="2805" t="s">
        <v>8621</v>
      </c>
      <c r="D3641" s="2805"/>
      <c r="E3641" s="2805"/>
      <c r="F3641" s="1683" t="s">
        <v>2647</v>
      </c>
      <c r="G3641" s="1655">
        <v>7.22</v>
      </c>
      <c r="H3641" s="1641"/>
      <c r="I3641" s="2035">
        <v>6.4257999999999997</v>
      </c>
      <c r="J3641" s="1654">
        <v>6.99</v>
      </c>
      <c r="K3641" s="1641"/>
      <c r="L3641" s="1654">
        <v>44.92</v>
      </c>
      <c r="M3641" s="1641"/>
      <c r="N3641" s="1681"/>
      <c r="EW3641" s="2031"/>
      <c r="EX3641" s="1619"/>
      <c r="EY3641" s="1628"/>
      <c r="EZ3641" s="1628"/>
      <c r="FA3641" s="1628"/>
      <c r="FD3641" s="1864" t="s">
        <v>8621</v>
      </c>
      <c r="FH3641" s="1628"/>
      <c r="FU3641" s="1678"/>
      <c r="FW3641" s="1678"/>
    </row>
    <row r="3642" spans="1:179" s="1484" customFormat="1" ht="15" x14ac:dyDescent="0.25">
      <c r="A3642" s="2033"/>
      <c r="B3642" s="1631" t="s">
        <v>4946</v>
      </c>
      <c r="C3642" s="2805" t="s">
        <v>8620</v>
      </c>
      <c r="D3642" s="2805"/>
      <c r="E3642" s="2805"/>
      <c r="F3642" s="1683" t="s">
        <v>2647</v>
      </c>
      <c r="G3642" s="1953">
        <v>2.8</v>
      </c>
      <c r="H3642" s="1641"/>
      <c r="I3642" s="2046">
        <v>2.492</v>
      </c>
      <c r="J3642" s="1654">
        <v>57.43</v>
      </c>
      <c r="K3642" s="1641"/>
      <c r="L3642" s="1654">
        <v>143.12</v>
      </c>
      <c r="M3642" s="1641"/>
      <c r="N3642" s="1681"/>
      <c r="EW3642" s="2031"/>
      <c r="EX3642" s="1619"/>
      <c r="EY3642" s="1628"/>
      <c r="EZ3642" s="1628"/>
      <c r="FA3642" s="1628"/>
      <c r="FD3642" s="1864" t="s">
        <v>8620</v>
      </c>
      <c r="FH3642" s="1628"/>
      <c r="FU3642" s="1678"/>
      <c r="FW3642" s="1678"/>
    </row>
    <row r="3643" spans="1:179" s="1484" customFormat="1" ht="15" x14ac:dyDescent="0.25">
      <c r="A3643" s="2033"/>
      <c r="B3643" s="1631" t="s">
        <v>4947</v>
      </c>
      <c r="C3643" s="2805" t="s">
        <v>8619</v>
      </c>
      <c r="D3643" s="2805"/>
      <c r="E3643" s="2805"/>
      <c r="F3643" s="1683" t="s">
        <v>4865</v>
      </c>
      <c r="G3643" s="1655">
        <v>0.06</v>
      </c>
      <c r="H3643" s="1641"/>
      <c r="I3643" s="2035">
        <v>5.3400000000000003E-2</v>
      </c>
      <c r="J3643" s="1654">
        <v>425</v>
      </c>
      <c r="K3643" s="1641"/>
      <c r="L3643" s="1654">
        <v>22.7</v>
      </c>
      <c r="M3643" s="1641"/>
      <c r="N3643" s="1681"/>
      <c r="EW3643" s="2031"/>
      <c r="EX3643" s="1619"/>
      <c r="EY3643" s="1628"/>
      <c r="EZ3643" s="1628"/>
      <c r="FA3643" s="1628"/>
      <c r="FD3643" s="1864" t="s">
        <v>8619</v>
      </c>
      <c r="FH3643" s="1628"/>
      <c r="FU3643" s="1678"/>
      <c r="FW3643" s="1678"/>
    </row>
    <row r="3644" spans="1:179" s="1484" customFormat="1" ht="22.5" x14ac:dyDescent="0.25">
      <c r="A3644" s="2033"/>
      <c r="B3644" s="1631" t="s">
        <v>4956</v>
      </c>
      <c r="C3644" s="2805" t="s">
        <v>8618</v>
      </c>
      <c r="D3644" s="2805"/>
      <c r="E3644" s="2805"/>
      <c r="F3644" s="1683" t="s">
        <v>130</v>
      </c>
      <c r="G3644" s="1655">
        <v>1.19</v>
      </c>
      <c r="H3644" s="1641"/>
      <c r="I3644" s="2035">
        <v>1.0590999999999999</v>
      </c>
      <c r="J3644" s="1654">
        <v>33.46</v>
      </c>
      <c r="K3644" s="1641"/>
      <c r="L3644" s="1654">
        <v>35.44</v>
      </c>
      <c r="M3644" s="1641"/>
      <c r="N3644" s="1681"/>
      <c r="EW3644" s="2031"/>
      <c r="EX3644" s="1619"/>
      <c r="EY3644" s="1628"/>
      <c r="EZ3644" s="1628"/>
      <c r="FA3644" s="1628"/>
      <c r="FD3644" s="1864" t="s">
        <v>8618</v>
      </c>
      <c r="FH3644" s="1628"/>
      <c r="FU3644" s="1678"/>
      <c r="FW3644" s="1678"/>
    </row>
    <row r="3645" spans="1:179" s="1484" customFormat="1" ht="22.5" x14ac:dyDescent="0.25">
      <c r="A3645" s="2033"/>
      <c r="B3645" s="1631" t="s">
        <v>8617</v>
      </c>
      <c r="C3645" s="2805" t="s">
        <v>8616</v>
      </c>
      <c r="D3645" s="2805"/>
      <c r="E3645" s="2805"/>
      <c r="F3645" s="1683" t="s">
        <v>801</v>
      </c>
      <c r="G3645" s="2035">
        <v>9.4000000000000004E-3</v>
      </c>
      <c r="H3645" s="1641"/>
      <c r="I3645" s="2043">
        <v>8.3660000000000002E-3</v>
      </c>
      <c r="J3645" s="1657">
        <v>6100</v>
      </c>
      <c r="K3645" s="1641"/>
      <c r="L3645" s="1654">
        <v>51.03</v>
      </c>
      <c r="M3645" s="1641"/>
      <c r="N3645" s="1681"/>
      <c r="EW3645" s="2031"/>
      <c r="EX3645" s="1619"/>
      <c r="EY3645" s="1628"/>
      <c r="EZ3645" s="1628"/>
      <c r="FA3645" s="1628"/>
      <c r="FD3645" s="1864" t="s">
        <v>8616</v>
      </c>
      <c r="FH3645" s="1628"/>
      <c r="FU3645" s="1678"/>
      <c r="FW3645" s="1678"/>
    </row>
    <row r="3646" spans="1:179" s="1484" customFormat="1" ht="22.5" x14ac:dyDescent="0.25">
      <c r="A3646" s="2033"/>
      <c r="B3646" s="1631" t="s">
        <v>8615</v>
      </c>
      <c r="C3646" s="2805" t="s">
        <v>8614</v>
      </c>
      <c r="D3646" s="2805"/>
      <c r="E3646" s="2805"/>
      <c r="F3646" s="1683" t="s">
        <v>801</v>
      </c>
      <c r="G3646" s="2035">
        <v>1.61E-2</v>
      </c>
      <c r="H3646" s="1641"/>
      <c r="I3646" s="2043">
        <v>1.4329E-2</v>
      </c>
      <c r="J3646" s="1657">
        <v>5995.55</v>
      </c>
      <c r="K3646" s="1641"/>
      <c r="L3646" s="1654">
        <v>85.91</v>
      </c>
      <c r="M3646" s="1641"/>
      <c r="N3646" s="1681"/>
      <c r="EW3646" s="2031"/>
      <c r="EX3646" s="1619"/>
      <c r="EY3646" s="1628"/>
      <c r="EZ3646" s="1628"/>
      <c r="FA3646" s="1628"/>
      <c r="FD3646" s="1864" t="s">
        <v>8614</v>
      </c>
      <c r="FH3646" s="1628"/>
      <c r="FU3646" s="1678"/>
      <c r="FW3646" s="1678"/>
    </row>
    <row r="3647" spans="1:179" s="1484" customFormat="1" ht="33.75" x14ac:dyDescent="0.25">
      <c r="A3647" s="2033"/>
      <c r="B3647" s="1631" t="s">
        <v>4958</v>
      </c>
      <c r="C3647" s="2805" t="s">
        <v>8613</v>
      </c>
      <c r="D3647" s="2805"/>
      <c r="E3647" s="2805"/>
      <c r="F3647" s="1683" t="s">
        <v>801</v>
      </c>
      <c r="G3647" s="2035">
        <v>2.3999999999999998E-3</v>
      </c>
      <c r="H3647" s="1641"/>
      <c r="I3647" s="2043">
        <v>2.1359999999999999E-3</v>
      </c>
      <c r="J3647" s="1657">
        <v>8014.15</v>
      </c>
      <c r="K3647" s="1641"/>
      <c r="L3647" s="1654">
        <v>17.12</v>
      </c>
      <c r="M3647" s="1641"/>
      <c r="N3647" s="1681"/>
      <c r="EW3647" s="2031"/>
      <c r="EX3647" s="1619"/>
      <c r="EY3647" s="1628"/>
      <c r="EZ3647" s="1628"/>
      <c r="FA3647" s="1628"/>
      <c r="FD3647" s="1864" t="s">
        <v>8613</v>
      </c>
      <c r="FH3647" s="1628"/>
      <c r="FU3647" s="1678"/>
      <c r="FW3647" s="1678"/>
    </row>
    <row r="3648" spans="1:179" s="1484" customFormat="1" ht="22.5" x14ac:dyDescent="0.25">
      <c r="A3648" s="2033"/>
      <c r="B3648" s="1631" t="s">
        <v>4976</v>
      </c>
      <c r="C3648" s="2805" t="s">
        <v>8612</v>
      </c>
      <c r="D3648" s="2805"/>
      <c r="E3648" s="2805"/>
      <c r="F3648" s="1683" t="s">
        <v>835</v>
      </c>
      <c r="G3648" s="1655">
        <v>7.0000000000000007E-2</v>
      </c>
      <c r="H3648" s="1641"/>
      <c r="I3648" s="2035">
        <v>6.2300000000000001E-2</v>
      </c>
      <c r="J3648" s="1654">
        <v>13.4</v>
      </c>
      <c r="K3648" s="1641"/>
      <c r="L3648" s="1654">
        <v>0.83</v>
      </c>
      <c r="M3648" s="1641"/>
      <c r="N3648" s="1681"/>
      <c r="EW3648" s="2031"/>
      <c r="EX3648" s="1619"/>
      <c r="EY3648" s="1628"/>
      <c r="EZ3648" s="1628"/>
      <c r="FA3648" s="1628"/>
      <c r="FD3648" s="1864" t="s">
        <v>8612</v>
      </c>
      <c r="FH3648" s="1628"/>
      <c r="FU3648" s="1678"/>
      <c r="FW3648" s="1678"/>
    </row>
    <row r="3649" spans="1:179" s="1484" customFormat="1" ht="22.5" x14ac:dyDescent="0.25">
      <c r="A3649" s="2033"/>
      <c r="B3649" s="1631" t="s">
        <v>4979</v>
      </c>
      <c r="C3649" s="2805" t="s">
        <v>4980</v>
      </c>
      <c r="D3649" s="2805"/>
      <c r="E3649" s="2805"/>
      <c r="F3649" s="1683" t="s">
        <v>835</v>
      </c>
      <c r="G3649" s="1655">
        <v>0.15</v>
      </c>
      <c r="H3649" s="1641"/>
      <c r="I3649" s="2035">
        <v>0.13350000000000001</v>
      </c>
      <c r="J3649" s="1654">
        <v>18.05</v>
      </c>
      <c r="K3649" s="1641"/>
      <c r="L3649" s="1654">
        <v>2.41</v>
      </c>
      <c r="M3649" s="1641"/>
      <c r="N3649" s="1681"/>
      <c r="EW3649" s="2031"/>
      <c r="EX3649" s="1619"/>
      <c r="EY3649" s="1628"/>
      <c r="EZ3649" s="1628"/>
      <c r="FA3649" s="1628"/>
      <c r="FD3649" s="1864" t="s">
        <v>4980</v>
      </c>
      <c r="FH3649" s="1628"/>
      <c r="FU3649" s="1678"/>
      <c r="FW3649" s="1678"/>
    </row>
    <row r="3650" spans="1:179" s="1484" customFormat="1" ht="45" x14ac:dyDescent="0.25">
      <c r="A3650" s="2033"/>
      <c r="B3650" s="1631" t="s">
        <v>4981</v>
      </c>
      <c r="C3650" s="2805" t="s">
        <v>8611</v>
      </c>
      <c r="D3650" s="2805"/>
      <c r="E3650" s="2805"/>
      <c r="F3650" s="1683" t="s">
        <v>4868</v>
      </c>
      <c r="G3650" s="1655">
        <v>0.43</v>
      </c>
      <c r="H3650" s="1641"/>
      <c r="I3650" s="2035">
        <v>0.38269999999999998</v>
      </c>
      <c r="J3650" s="1654">
        <v>45.91</v>
      </c>
      <c r="K3650" s="1641"/>
      <c r="L3650" s="1654">
        <v>17.57</v>
      </c>
      <c r="M3650" s="1641"/>
      <c r="N3650" s="1681"/>
      <c r="EW3650" s="2031"/>
      <c r="EX3650" s="1619"/>
      <c r="EY3650" s="1628"/>
      <c r="EZ3650" s="1628"/>
      <c r="FA3650" s="1628"/>
      <c r="FD3650" s="1864" t="s">
        <v>8611</v>
      </c>
      <c r="FH3650" s="1628"/>
      <c r="FU3650" s="1678"/>
      <c r="FW3650" s="1678"/>
    </row>
    <row r="3651" spans="1:179" s="1484" customFormat="1" ht="33.75" x14ac:dyDescent="0.25">
      <c r="A3651" s="2033"/>
      <c r="B3651" s="1631" t="s">
        <v>4982</v>
      </c>
      <c r="C3651" s="2805" t="s">
        <v>8610</v>
      </c>
      <c r="D3651" s="2805"/>
      <c r="E3651" s="2805"/>
      <c r="F3651" s="1683" t="s">
        <v>4868</v>
      </c>
      <c r="G3651" s="1655">
        <v>0.34</v>
      </c>
      <c r="H3651" s="1641"/>
      <c r="I3651" s="2035">
        <v>0.30259999999999998</v>
      </c>
      <c r="J3651" s="1654">
        <v>39.229999999999997</v>
      </c>
      <c r="K3651" s="1641"/>
      <c r="L3651" s="1654">
        <v>11.87</v>
      </c>
      <c r="M3651" s="1641"/>
      <c r="N3651" s="1681"/>
      <c r="EW3651" s="2031"/>
      <c r="EX3651" s="1619"/>
      <c r="EY3651" s="1628"/>
      <c r="EZ3651" s="1628"/>
      <c r="FA3651" s="1628"/>
      <c r="FD3651" s="1864" t="s">
        <v>8610</v>
      </c>
      <c r="FH3651" s="1628"/>
      <c r="FU3651" s="1678"/>
      <c r="FW3651" s="1678"/>
    </row>
    <row r="3652" spans="1:179" s="1484" customFormat="1" ht="56.25" x14ac:dyDescent="0.25">
      <c r="A3652" s="2033"/>
      <c r="B3652" s="1631" t="s">
        <v>4993</v>
      </c>
      <c r="C3652" s="2805" t="s">
        <v>8609</v>
      </c>
      <c r="D3652" s="2805"/>
      <c r="E3652" s="2805"/>
      <c r="F3652" s="1683" t="s">
        <v>801</v>
      </c>
      <c r="G3652" s="2035">
        <v>1.2699999999999999E-2</v>
      </c>
      <c r="H3652" s="1641"/>
      <c r="I3652" s="2043">
        <v>1.1303000000000001E-2</v>
      </c>
      <c r="J3652" s="1657">
        <v>6673.16</v>
      </c>
      <c r="K3652" s="1641"/>
      <c r="L3652" s="1654">
        <v>75.430000000000007</v>
      </c>
      <c r="M3652" s="1641"/>
      <c r="N3652" s="1681"/>
      <c r="EW3652" s="2031"/>
      <c r="EX3652" s="1619"/>
      <c r="EY3652" s="1628"/>
      <c r="EZ3652" s="1628"/>
      <c r="FA3652" s="1628"/>
      <c r="FD3652" s="1864" t="s">
        <v>8609</v>
      </c>
      <c r="FH3652" s="1628"/>
      <c r="FU3652" s="1678"/>
      <c r="FW3652" s="1678"/>
    </row>
    <row r="3653" spans="1:179" s="1484" customFormat="1" ht="15" x14ac:dyDescent="0.25">
      <c r="A3653" s="2032"/>
      <c r="B3653" s="1631" t="s">
        <v>190</v>
      </c>
      <c r="C3653" s="2805" t="s">
        <v>2523</v>
      </c>
      <c r="D3653" s="2805"/>
      <c r="E3653" s="2805"/>
      <c r="F3653" s="1683"/>
      <c r="G3653" s="1641"/>
      <c r="H3653" s="1641"/>
      <c r="I3653" s="1641"/>
      <c r="J3653" s="1654">
        <v>249.15</v>
      </c>
      <c r="K3653" s="1655">
        <v>1.25</v>
      </c>
      <c r="L3653" s="1654">
        <v>277.18</v>
      </c>
      <c r="M3653" s="1655">
        <v>35.75</v>
      </c>
      <c r="N3653" s="1679">
        <v>9909.19</v>
      </c>
      <c r="EW3653" s="2031"/>
      <c r="EX3653" s="1619"/>
      <c r="EY3653" s="1628"/>
      <c r="EZ3653" s="1628"/>
      <c r="FA3653" s="1628"/>
      <c r="FE3653" s="1864" t="s">
        <v>2523</v>
      </c>
      <c r="FH3653" s="1628"/>
      <c r="FU3653" s="1678"/>
      <c r="FW3653" s="1678"/>
    </row>
    <row r="3654" spans="1:179" s="1484" customFormat="1" ht="15" x14ac:dyDescent="0.25">
      <c r="A3654" s="2032"/>
      <c r="B3654" s="1631" t="s">
        <v>639</v>
      </c>
      <c r="C3654" s="2805" t="s">
        <v>697</v>
      </c>
      <c r="D3654" s="2805"/>
      <c r="E3654" s="2805"/>
      <c r="F3654" s="1683"/>
      <c r="G3654" s="1641"/>
      <c r="H3654" s="1641"/>
      <c r="I3654" s="1641"/>
      <c r="J3654" s="1654">
        <v>22.25</v>
      </c>
      <c r="K3654" s="1641"/>
      <c r="L3654" s="1654">
        <v>19.8</v>
      </c>
      <c r="M3654" s="1655">
        <v>11.97</v>
      </c>
      <c r="N3654" s="2039">
        <v>237.01</v>
      </c>
      <c r="EW3654" s="2031"/>
      <c r="EX3654" s="1619"/>
      <c r="EY3654" s="1628"/>
      <c r="EZ3654" s="1628"/>
      <c r="FA3654" s="1628"/>
      <c r="FE3654" s="1864" t="s">
        <v>697</v>
      </c>
      <c r="FH3654" s="1628"/>
      <c r="FU3654" s="1678"/>
      <c r="FW3654" s="1678"/>
    </row>
    <row r="3655" spans="1:179" s="1484" customFormat="1" ht="15" x14ac:dyDescent="0.25">
      <c r="A3655" s="2032"/>
      <c r="B3655" s="1631" t="s">
        <v>232</v>
      </c>
      <c r="C3655" s="2805" t="s">
        <v>829</v>
      </c>
      <c r="D3655" s="2805"/>
      <c r="E3655" s="2805"/>
      <c r="F3655" s="1683"/>
      <c r="G3655" s="1641"/>
      <c r="H3655" s="1641"/>
      <c r="I3655" s="1641"/>
      <c r="J3655" s="1657">
        <v>1282.52</v>
      </c>
      <c r="K3655" s="1641"/>
      <c r="L3655" s="1657">
        <v>1141.44</v>
      </c>
      <c r="M3655" s="1655">
        <v>9.14</v>
      </c>
      <c r="N3655" s="1679">
        <v>10432.76</v>
      </c>
      <c r="EW3655" s="2031"/>
      <c r="EX3655" s="1619"/>
      <c r="EY3655" s="1628"/>
      <c r="EZ3655" s="1628"/>
      <c r="FA3655" s="1628"/>
      <c r="FE3655" s="1864" t="s">
        <v>829</v>
      </c>
      <c r="FH3655" s="1628"/>
      <c r="FU3655" s="1678"/>
      <c r="FW3655" s="1678"/>
    </row>
    <row r="3656" spans="1:179" s="1484" customFormat="1" ht="15" x14ac:dyDescent="0.25">
      <c r="A3656" s="2033"/>
      <c r="B3656" s="1631"/>
      <c r="C3656" s="2805" t="s">
        <v>2524</v>
      </c>
      <c r="D3656" s="2805"/>
      <c r="E3656" s="2805"/>
      <c r="F3656" s="1683" t="s">
        <v>807</v>
      </c>
      <c r="G3656" s="1655">
        <v>27.14</v>
      </c>
      <c r="H3656" s="1641"/>
      <c r="I3656" s="2035">
        <v>24.154599999999999</v>
      </c>
      <c r="J3656" s="1640"/>
      <c r="K3656" s="1641"/>
      <c r="L3656" s="1640"/>
      <c r="M3656" s="1641"/>
      <c r="N3656" s="1681"/>
      <c r="EW3656" s="2031"/>
      <c r="EX3656" s="1619"/>
      <c r="EY3656" s="1628"/>
      <c r="EZ3656" s="1628"/>
      <c r="FA3656" s="1628"/>
      <c r="FF3656" s="1864" t="s">
        <v>2524</v>
      </c>
      <c r="FH3656" s="1628"/>
      <c r="FU3656" s="1678"/>
      <c r="FW3656" s="1678"/>
    </row>
    <row r="3657" spans="1:179" s="1484" customFormat="1" ht="15" x14ac:dyDescent="0.25">
      <c r="A3657" s="2032"/>
      <c r="B3657" s="1631"/>
      <c r="C3657" s="2917" t="s">
        <v>2502</v>
      </c>
      <c r="D3657" s="2917"/>
      <c r="E3657" s="2917"/>
      <c r="F3657" s="2036"/>
      <c r="G3657" s="2037"/>
      <c r="H3657" s="2037"/>
      <c r="I3657" s="2037"/>
      <c r="J3657" s="2038">
        <v>1553.92</v>
      </c>
      <c r="K3657" s="2037"/>
      <c r="L3657" s="2038">
        <v>1438.42</v>
      </c>
      <c r="M3657" s="2037"/>
      <c r="N3657" s="2068">
        <v>20578.96</v>
      </c>
      <c r="EW3657" s="2031"/>
      <c r="EX3657" s="1619"/>
      <c r="EY3657" s="1628"/>
      <c r="EZ3657" s="1628"/>
      <c r="FA3657" s="1628"/>
      <c r="FG3657" s="1864" t="s">
        <v>2502</v>
      </c>
      <c r="FH3657" s="1628"/>
      <c r="FU3657" s="1678"/>
      <c r="FW3657" s="1678"/>
    </row>
    <row r="3658" spans="1:179" s="1484" customFormat="1" ht="15" x14ac:dyDescent="0.25">
      <c r="A3658" s="2033"/>
      <c r="B3658" s="1631"/>
      <c r="C3658" s="2805" t="s">
        <v>867</v>
      </c>
      <c r="D3658" s="2805"/>
      <c r="E3658" s="2805"/>
      <c r="F3658" s="1683"/>
      <c r="G3658" s="1641"/>
      <c r="H3658" s="1641"/>
      <c r="I3658" s="1641"/>
      <c r="J3658" s="1640"/>
      <c r="K3658" s="1641"/>
      <c r="L3658" s="1654">
        <v>277.18</v>
      </c>
      <c r="M3658" s="1641"/>
      <c r="N3658" s="1679">
        <v>9909.19</v>
      </c>
      <c r="EW3658" s="2031"/>
      <c r="EX3658" s="1619"/>
      <c r="EY3658" s="1628"/>
      <c r="EZ3658" s="1628"/>
      <c r="FA3658" s="1628"/>
      <c r="FF3658" s="1864" t="s">
        <v>867</v>
      </c>
      <c r="FH3658" s="1628"/>
      <c r="FU3658" s="1678"/>
      <c r="FW3658" s="1678"/>
    </row>
    <row r="3659" spans="1:179" s="1484" customFormat="1" ht="15" x14ac:dyDescent="0.25">
      <c r="A3659" s="2033"/>
      <c r="B3659" s="1631" t="s">
        <v>868</v>
      </c>
      <c r="C3659" s="2805" t="s">
        <v>869</v>
      </c>
      <c r="D3659" s="2805"/>
      <c r="E3659" s="2805"/>
      <c r="F3659" s="1683" t="s">
        <v>636</v>
      </c>
      <c r="G3659" s="2034">
        <v>93</v>
      </c>
      <c r="H3659" s="1641"/>
      <c r="I3659" s="2034">
        <v>93</v>
      </c>
      <c r="J3659" s="1640"/>
      <c r="K3659" s="1641"/>
      <c r="L3659" s="1654">
        <v>257.77999999999997</v>
      </c>
      <c r="M3659" s="1641"/>
      <c r="N3659" s="1679">
        <v>9215.5499999999993</v>
      </c>
      <c r="EW3659" s="2031"/>
      <c r="EX3659" s="1619"/>
      <c r="EY3659" s="1628"/>
      <c r="EZ3659" s="1628"/>
      <c r="FA3659" s="1628"/>
      <c r="FF3659" s="1864" t="s">
        <v>869</v>
      </c>
      <c r="FH3659" s="1628"/>
      <c r="FU3659" s="1678"/>
      <c r="FW3659" s="1678"/>
    </row>
    <row r="3660" spans="1:179" s="1484" customFormat="1" ht="15" x14ac:dyDescent="0.25">
      <c r="A3660" s="2033"/>
      <c r="B3660" s="1631" t="s">
        <v>8087</v>
      </c>
      <c r="C3660" s="2805" t="s">
        <v>871</v>
      </c>
      <c r="D3660" s="2805"/>
      <c r="E3660" s="2805"/>
      <c r="F3660" s="1683" t="s">
        <v>636</v>
      </c>
      <c r="G3660" s="2034">
        <v>62</v>
      </c>
      <c r="H3660" s="1641"/>
      <c r="I3660" s="2034">
        <v>62</v>
      </c>
      <c r="J3660" s="1640"/>
      <c r="K3660" s="1641"/>
      <c r="L3660" s="1654">
        <v>171.85</v>
      </c>
      <c r="M3660" s="1641"/>
      <c r="N3660" s="1679">
        <v>6143.7</v>
      </c>
      <c r="EW3660" s="2031"/>
      <c r="EX3660" s="1619"/>
      <c r="EY3660" s="1628"/>
      <c r="EZ3660" s="1628"/>
      <c r="FA3660" s="1628"/>
      <c r="FF3660" s="1864" t="s">
        <v>871</v>
      </c>
      <c r="FH3660" s="1628"/>
      <c r="FU3660" s="1678"/>
      <c r="FW3660" s="1678"/>
    </row>
    <row r="3661" spans="1:179" s="1484" customFormat="1" ht="15" x14ac:dyDescent="0.25">
      <c r="A3661" s="1650"/>
      <c r="B3661" s="1651"/>
      <c r="C3661" s="2803" t="s">
        <v>872</v>
      </c>
      <c r="D3661" s="2803"/>
      <c r="E3661" s="2803"/>
      <c r="F3661" s="1621"/>
      <c r="G3661" s="1622"/>
      <c r="H3661" s="1622"/>
      <c r="I3661" s="1622"/>
      <c r="J3661" s="1625"/>
      <c r="K3661" s="1622"/>
      <c r="L3661" s="1648">
        <v>1868.05</v>
      </c>
      <c r="M3661" s="2037"/>
      <c r="N3661" s="1649">
        <v>35938.21</v>
      </c>
      <c r="EW3661" s="2031"/>
      <c r="EX3661" s="1619"/>
      <c r="EY3661" s="1628"/>
      <c r="EZ3661" s="1628"/>
      <c r="FA3661" s="1628"/>
      <c r="FH3661" s="1628" t="s">
        <v>872</v>
      </c>
      <c r="FU3661" s="1678"/>
      <c r="FW3661" s="1678"/>
    </row>
    <row r="3662" spans="1:179" s="1484" customFormat="1" ht="45" x14ac:dyDescent="0.25">
      <c r="A3662" s="1620" t="s">
        <v>8598</v>
      </c>
      <c r="B3662" s="1863" t="s">
        <v>8608</v>
      </c>
      <c r="C3662" s="2803" t="s">
        <v>8599</v>
      </c>
      <c r="D3662" s="2803"/>
      <c r="E3662" s="2803"/>
      <c r="F3662" s="1621" t="s">
        <v>4883</v>
      </c>
      <c r="G3662" s="1622">
        <v>1</v>
      </c>
      <c r="H3662" s="1623">
        <v>1</v>
      </c>
      <c r="I3662" s="1623">
        <v>1</v>
      </c>
      <c r="J3662" s="1648">
        <v>440880.85</v>
      </c>
      <c r="K3662" s="1622"/>
      <c r="L3662" s="1648">
        <v>48236.42</v>
      </c>
      <c r="M3662" s="1687">
        <v>9.14</v>
      </c>
      <c r="N3662" s="1649">
        <v>440880.85</v>
      </c>
      <c r="EW3662" s="2031"/>
      <c r="EX3662" s="1619"/>
      <c r="EY3662" s="1628" t="s">
        <v>8599</v>
      </c>
      <c r="EZ3662" s="1628" t="s">
        <v>588</v>
      </c>
      <c r="FA3662" s="1628" t="s">
        <v>588</v>
      </c>
      <c r="FH3662" s="1628"/>
      <c r="FU3662" s="1678"/>
      <c r="FW3662" s="1678"/>
    </row>
    <row r="3663" spans="1:179" s="1484" customFormat="1" ht="15" x14ac:dyDescent="0.25">
      <c r="A3663" s="1650"/>
      <c r="B3663" s="1651"/>
      <c r="C3663" s="2805" t="s">
        <v>882</v>
      </c>
      <c r="D3663" s="2805"/>
      <c r="E3663" s="2805"/>
      <c r="F3663" s="2805"/>
      <c r="G3663" s="2805"/>
      <c r="H3663" s="2805"/>
      <c r="I3663" s="2805"/>
      <c r="J3663" s="2805"/>
      <c r="K3663" s="2805"/>
      <c r="L3663" s="2805"/>
      <c r="M3663" s="2805"/>
      <c r="N3663" s="2806"/>
      <c r="EW3663" s="2031"/>
      <c r="EX3663" s="1619"/>
      <c r="EY3663" s="1628"/>
      <c r="EZ3663" s="1628"/>
      <c r="FA3663" s="1628"/>
      <c r="FH3663" s="1628"/>
      <c r="FI3663" s="1864" t="s">
        <v>882</v>
      </c>
      <c r="FJ3663" s="1864" t="s">
        <v>588</v>
      </c>
      <c r="FK3663" s="1864" t="s">
        <v>588</v>
      </c>
      <c r="FL3663" s="1864" t="s">
        <v>588</v>
      </c>
      <c r="FM3663" s="1864" t="s">
        <v>588</v>
      </c>
      <c r="FN3663" s="1864" t="s">
        <v>588</v>
      </c>
      <c r="FO3663" s="1864" t="s">
        <v>588</v>
      </c>
      <c r="FP3663" s="1864" t="s">
        <v>588</v>
      </c>
      <c r="FQ3663" s="1864" t="s">
        <v>588</v>
      </c>
      <c r="FR3663" s="1864" t="s">
        <v>588</v>
      </c>
      <c r="FS3663" s="1864" t="s">
        <v>588</v>
      </c>
      <c r="FT3663" s="1864" t="s">
        <v>588</v>
      </c>
      <c r="FU3663" s="1678"/>
      <c r="FW3663" s="1678"/>
    </row>
    <row r="3664" spans="1:179" s="1484" customFormat="1" ht="15" x14ac:dyDescent="0.25">
      <c r="A3664" s="1650"/>
      <c r="B3664" s="1651"/>
      <c r="C3664" s="2803" t="s">
        <v>872</v>
      </c>
      <c r="D3664" s="2803"/>
      <c r="E3664" s="2803"/>
      <c r="F3664" s="1621"/>
      <c r="G3664" s="1622"/>
      <c r="H3664" s="1622"/>
      <c r="I3664" s="1622"/>
      <c r="J3664" s="1625"/>
      <c r="K3664" s="1622"/>
      <c r="L3664" s="1648">
        <v>48236.42</v>
      </c>
      <c r="M3664" s="2037"/>
      <c r="N3664" s="1649">
        <v>440880.85</v>
      </c>
      <c r="EW3664" s="2031"/>
      <c r="EX3664" s="1619"/>
      <c r="EY3664" s="1628"/>
      <c r="EZ3664" s="1628"/>
      <c r="FA3664" s="1628"/>
      <c r="FH3664" s="1628" t="s">
        <v>872</v>
      </c>
      <c r="FU3664" s="1678"/>
      <c r="FW3664" s="1678"/>
    </row>
    <row r="3665" spans="1:179" s="1484" customFormat="1" ht="1.5" customHeight="1" x14ac:dyDescent="0.25">
      <c r="A3665" s="2050"/>
      <c r="B3665" s="2051"/>
      <c r="C3665" s="1668"/>
      <c r="D3665" s="1668"/>
      <c r="E3665" s="1668"/>
      <c r="F3665" s="1668"/>
      <c r="G3665" s="1669"/>
      <c r="H3665" s="1669"/>
      <c r="I3665" s="1669"/>
      <c r="J3665" s="1669"/>
      <c r="K3665" s="1670"/>
      <c r="L3665" s="1669"/>
      <c r="M3665" s="1670"/>
      <c r="N3665" s="2052"/>
      <c r="EW3665" s="2031"/>
      <c r="EX3665" s="1619"/>
      <c r="EY3665" s="1628"/>
      <c r="EZ3665" s="1628"/>
      <c r="FA3665" s="1628"/>
      <c r="FH3665" s="1628"/>
      <c r="FU3665" s="1678"/>
      <c r="FW3665" s="1678"/>
    </row>
    <row r="3666" spans="1:179" s="1484" customFormat="1" ht="15" x14ac:dyDescent="0.25">
      <c r="A3666" s="1650"/>
      <c r="B3666" s="1676"/>
      <c r="C3666" s="2802" t="s">
        <v>8600</v>
      </c>
      <c r="D3666" s="2802"/>
      <c r="E3666" s="2802"/>
      <c r="F3666" s="2802"/>
      <c r="G3666" s="2802"/>
      <c r="H3666" s="2802"/>
      <c r="I3666" s="2802"/>
      <c r="J3666" s="2802"/>
      <c r="K3666" s="2802"/>
      <c r="L3666" s="2053"/>
      <c r="M3666" s="2054"/>
      <c r="N3666" s="2055"/>
      <c r="EW3666" s="2031"/>
      <c r="EX3666" s="1619"/>
      <c r="EY3666" s="1628"/>
      <c r="EZ3666" s="1628"/>
      <c r="FA3666" s="1628"/>
      <c r="FH3666" s="1628"/>
      <c r="FU3666" s="1678" t="s">
        <v>8600</v>
      </c>
      <c r="FW3666" s="1678"/>
    </row>
    <row r="3667" spans="1:179" s="1484" customFormat="1" ht="15" x14ac:dyDescent="0.25">
      <c r="A3667" s="1647"/>
      <c r="B3667" s="1631"/>
      <c r="C3667" s="2801" t="s">
        <v>922</v>
      </c>
      <c r="D3667" s="2801"/>
      <c r="E3667" s="2801"/>
      <c r="F3667" s="2801"/>
      <c r="G3667" s="2801"/>
      <c r="H3667" s="2801"/>
      <c r="I3667" s="2801"/>
      <c r="J3667" s="2801"/>
      <c r="K3667" s="2801"/>
      <c r="L3667" s="2056">
        <v>49674.84</v>
      </c>
      <c r="M3667" s="2057"/>
      <c r="N3667" s="2058">
        <v>461459.81</v>
      </c>
      <c r="EW3667" s="2031"/>
      <c r="EX3667" s="1619"/>
      <c r="EY3667" s="1628"/>
      <c r="EZ3667" s="1628"/>
      <c r="FA3667" s="1628"/>
      <c r="FH3667" s="1628"/>
      <c r="FU3667" s="1678"/>
      <c r="FV3667" s="1680" t="s">
        <v>922</v>
      </c>
      <c r="FW3667" s="1678"/>
    </row>
    <row r="3668" spans="1:179" s="1484" customFormat="1" ht="15" x14ac:dyDescent="0.25">
      <c r="A3668" s="1647"/>
      <c r="B3668" s="1631"/>
      <c r="C3668" s="2801" t="s">
        <v>891</v>
      </c>
      <c r="D3668" s="2801"/>
      <c r="E3668" s="2801"/>
      <c r="F3668" s="2801"/>
      <c r="G3668" s="2801"/>
      <c r="H3668" s="2801"/>
      <c r="I3668" s="2801"/>
      <c r="J3668" s="2801"/>
      <c r="K3668" s="2801"/>
      <c r="L3668" s="1708"/>
      <c r="M3668" s="2057"/>
      <c r="N3668" s="2059"/>
      <c r="EW3668" s="2031"/>
      <c r="EX3668" s="1619"/>
      <c r="EY3668" s="1628"/>
      <c r="EZ3668" s="1628"/>
      <c r="FA3668" s="1628"/>
      <c r="FH3668" s="1628"/>
      <c r="FU3668" s="1678"/>
      <c r="FV3668" s="1680" t="s">
        <v>891</v>
      </c>
      <c r="FW3668" s="1678"/>
    </row>
    <row r="3669" spans="1:179" s="1484" customFormat="1" ht="15" x14ac:dyDescent="0.25">
      <c r="A3669" s="1647"/>
      <c r="B3669" s="1631"/>
      <c r="C3669" s="2801" t="s">
        <v>892</v>
      </c>
      <c r="D3669" s="2801"/>
      <c r="E3669" s="2801"/>
      <c r="F3669" s="2801"/>
      <c r="G3669" s="2801"/>
      <c r="H3669" s="2801"/>
      <c r="I3669" s="2801"/>
      <c r="J3669" s="2801"/>
      <c r="K3669" s="2801"/>
      <c r="L3669" s="2060">
        <v>277.18</v>
      </c>
      <c r="M3669" s="2057"/>
      <c r="N3669" s="2058">
        <v>9909.19</v>
      </c>
      <c r="EW3669" s="2031"/>
      <c r="EX3669" s="1619"/>
      <c r="EY3669" s="1628"/>
      <c r="EZ3669" s="1628"/>
      <c r="FA3669" s="1628"/>
      <c r="FH3669" s="1628"/>
      <c r="FU3669" s="1678"/>
      <c r="FV3669" s="1680" t="s">
        <v>892</v>
      </c>
      <c r="FW3669" s="1678"/>
    </row>
    <row r="3670" spans="1:179" s="1484" customFormat="1" ht="15" x14ac:dyDescent="0.25">
      <c r="A3670" s="1647"/>
      <c r="B3670" s="1631"/>
      <c r="C3670" s="2801" t="s">
        <v>893</v>
      </c>
      <c r="D3670" s="2801"/>
      <c r="E3670" s="2801"/>
      <c r="F3670" s="2801"/>
      <c r="G3670" s="2801"/>
      <c r="H3670" s="2801"/>
      <c r="I3670" s="2801"/>
      <c r="J3670" s="2801"/>
      <c r="K3670" s="2801"/>
      <c r="L3670" s="2060">
        <v>19.8</v>
      </c>
      <c r="M3670" s="2057"/>
      <c r="N3670" s="2061">
        <v>237.01</v>
      </c>
      <c r="EW3670" s="2031"/>
      <c r="EX3670" s="1619"/>
      <c r="EY3670" s="1628"/>
      <c r="EZ3670" s="1628"/>
      <c r="FA3670" s="1628"/>
      <c r="FH3670" s="1628"/>
      <c r="FU3670" s="1678"/>
      <c r="FV3670" s="1680" t="s">
        <v>893</v>
      </c>
      <c r="FW3670" s="1678"/>
    </row>
    <row r="3671" spans="1:179" s="1484" customFormat="1" ht="15" x14ac:dyDescent="0.25">
      <c r="A3671" s="1647"/>
      <c r="B3671" s="1631"/>
      <c r="C3671" s="2801" t="s">
        <v>895</v>
      </c>
      <c r="D3671" s="2801"/>
      <c r="E3671" s="2801"/>
      <c r="F3671" s="2801"/>
      <c r="G3671" s="2801"/>
      <c r="H3671" s="2801"/>
      <c r="I3671" s="2801"/>
      <c r="J3671" s="2801"/>
      <c r="K3671" s="2801"/>
      <c r="L3671" s="2056">
        <v>49377.86</v>
      </c>
      <c r="M3671" s="2057"/>
      <c r="N3671" s="2058">
        <v>451313.61</v>
      </c>
      <c r="EW3671" s="2031"/>
      <c r="EX3671" s="1619"/>
      <c r="EY3671" s="1628"/>
      <c r="EZ3671" s="1628"/>
      <c r="FA3671" s="1628"/>
      <c r="FH3671" s="1628"/>
      <c r="FU3671" s="1678"/>
      <c r="FV3671" s="1680" t="s">
        <v>895</v>
      </c>
      <c r="FW3671" s="1678"/>
    </row>
    <row r="3672" spans="1:179" s="1484" customFormat="1" ht="15" x14ac:dyDescent="0.25">
      <c r="A3672" s="1647"/>
      <c r="B3672" s="1631"/>
      <c r="C3672" s="2801" t="s">
        <v>897</v>
      </c>
      <c r="D3672" s="2801"/>
      <c r="E3672" s="2801"/>
      <c r="F3672" s="2801"/>
      <c r="G3672" s="2801"/>
      <c r="H3672" s="2801"/>
      <c r="I3672" s="2801"/>
      <c r="J3672" s="2801"/>
      <c r="K3672" s="2801"/>
      <c r="L3672" s="2056">
        <v>50104.47</v>
      </c>
      <c r="M3672" s="2057"/>
      <c r="N3672" s="2058">
        <v>476819.06</v>
      </c>
      <c r="EW3672" s="2031"/>
      <c r="EX3672" s="1619"/>
      <c r="EY3672" s="1628"/>
      <c r="EZ3672" s="1628"/>
      <c r="FA3672" s="1628"/>
      <c r="FH3672" s="1628"/>
      <c r="FU3672" s="1678"/>
      <c r="FV3672" s="1680" t="s">
        <v>897</v>
      </c>
      <c r="FW3672" s="1678"/>
    </row>
    <row r="3673" spans="1:179" s="1484" customFormat="1" ht="15" x14ac:dyDescent="0.25">
      <c r="A3673" s="1647"/>
      <c r="B3673" s="1631"/>
      <c r="C3673" s="2801" t="s">
        <v>891</v>
      </c>
      <c r="D3673" s="2801"/>
      <c r="E3673" s="2801"/>
      <c r="F3673" s="2801"/>
      <c r="G3673" s="2801"/>
      <c r="H3673" s="2801"/>
      <c r="I3673" s="2801"/>
      <c r="J3673" s="2801"/>
      <c r="K3673" s="2801"/>
      <c r="L3673" s="1708"/>
      <c r="M3673" s="2057"/>
      <c r="N3673" s="2059"/>
      <c r="EW3673" s="2031"/>
      <c r="EX3673" s="1619"/>
      <c r="EY3673" s="1628"/>
      <c r="EZ3673" s="1628"/>
      <c r="FA3673" s="1628"/>
      <c r="FH3673" s="1628"/>
      <c r="FU3673" s="1678"/>
      <c r="FV3673" s="1680" t="s">
        <v>891</v>
      </c>
      <c r="FW3673" s="1678"/>
    </row>
    <row r="3674" spans="1:179" s="1484" customFormat="1" ht="15" x14ac:dyDescent="0.25">
      <c r="A3674" s="1647"/>
      <c r="B3674" s="1631"/>
      <c r="C3674" s="2801" t="s">
        <v>6121</v>
      </c>
      <c r="D3674" s="2801"/>
      <c r="E3674" s="2801"/>
      <c r="F3674" s="2801"/>
      <c r="G3674" s="2801"/>
      <c r="H3674" s="2801"/>
      <c r="I3674" s="2801"/>
      <c r="J3674" s="2801"/>
      <c r="K3674" s="2801"/>
      <c r="L3674" s="2060">
        <v>277.18</v>
      </c>
      <c r="M3674" s="2057"/>
      <c r="N3674" s="2058">
        <v>9909.19</v>
      </c>
      <c r="EW3674" s="2031"/>
      <c r="EX3674" s="1619"/>
      <c r="EY3674" s="1628"/>
      <c r="EZ3674" s="1628"/>
      <c r="FA3674" s="1628"/>
      <c r="FH3674" s="1628"/>
      <c r="FU3674" s="1678"/>
      <c r="FV3674" s="1680" t="s">
        <v>6121</v>
      </c>
      <c r="FW3674" s="1678"/>
    </row>
    <row r="3675" spans="1:179" s="1484" customFormat="1" ht="15" x14ac:dyDescent="0.25">
      <c r="A3675" s="1647"/>
      <c r="B3675" s="1631"/>
      <c r="C3675" s="2801" t="s">
        <v>6122</v>
      </c>
      <c r="D3675" s="2801"/>
      <c r="E3675" s="2801"/>
      <c r="F3675" s="2801"/>
      <c r="G3675" s="2801"/>
      <c r="H3675" s="2801"/>
      <c r="I3675" s="2801"/>
      <c r="J3675" s="2801"/>
      <c r="K3675" s="2801"/>
      <c r="L3675" s="2060">
        <v>19.8</v>
      </c>
      <c r="M3675" s="2057"/>
      <c r="N3675" s="2061">
        <v>237.01</v>
      </c>
      <c r="EW3675" s="2031"/>
      <c r="EX3675" s="1619"/>
      <c r="EY3675" s="1628"/>
      <c r="EZ3675" s="1628"/>
      <c r="FA3675" s="1628"/>
      <c r="FH3675" s="1628"/>
      <c r="FU3675" s="1678"/>
      <c r="FV3675" s="1680" t="s">
        <v>6122</v>
      </c>
      <c r="FW3675" s="1678"/>
    </row>
    <row r="3676" spans="1:179" s="1484" customFormat="1" ht="15" x14ac:dyDescent="0.25">
      <c r="A3676" s="1647"/>
      <c r="B3676" s="1631"/>
      <c r="C3676" s="2801" t="s">
        <v>6124</v>
      </c>
      <c r="D3676" s="2801"/>
      <c r="E3676" s="2801"/>
      <c r="F3676" s="2801"/>
      <c r="G3676" s="2801"/>
      <c r="H3676" s="2801"/>
      <c r="I3676" s="2801"/>
      <c r="J3676" s="2801"/>
      <c r="K3676" s="2801"/>
      <c r="L3676" s="2056">
        <v>49377.86</v>
      </c>
      <c r="M3676" s="2057"/>
      <c r="N3676" s="2058">
        <v>451313.61</v>
      </c>
      <c r="EW3676" s="2031"/>
      <c r="EX3676" s="1619"/>
      <c r="EY3676" s="1628"/>
      <c r="EZ3676" s="1628"/>
      <c r="FA3676" s="1628"/>
      <c r="FH3676" s="1628"/>
      <c r="FU3676" s="1678"/>
      <c r="FV3676" s="1680" t="s">
        <v>6124</v>
      </c>
      <c r="FW3676" s="1678"/>
    </row>
    <row r="3677" spans="1:179" s="1484" customFormat="1" ht="15" x14ac:dyDescent="0.25">
      <c r="A3677" s="1647"/>
      <c r="B3677" s="1631"/>
      <c r="C3677" s="2801" t="s">
        <v>6125</v>
      </c>
      <c r="D3677" s="2801"/>
      <c r="E3677" s="2801"/>
      <c r="F3677" s="2801"/>
      <c r="G3677" s="2801"/>
      <c r="H3677" s="2801"/>
      <c r="I3677" s="2801"/>
      <c r="J3677" s="2801"/>
      <c r="K3677" s="2801"/>
      <c r="L3677" s="2060">
        <v>257.77999999999997</v>
      </c>
      <c r="M3677" s="2057"/>
      <c r="N3677" s="2058">
        <v>9215.5499999999993</v>
      </c>
      <c r="EW3677" s="2031"/>
      <c r="EX3677" s="1619"/>
      <c r="EY3677" s="1628"/>
      <c r="EZ3677" s="1628"/>
      <c r="FA3677" s="1628"/>
      <c r="FH3677" s="1628"/>
      <c r="FU3677" s="1678"/>
      <c r="FV3677" s="1680" t="s">
        <v>6125</v>
      </c>
      <c r="FW3677" s="1678"/>
    </row>
    <row r="3678" spans="1:179" s="1484" customFormat="1" ht="15" x14ac:dyDescent="0.25">
      <c r="A3678" s="1647"/>
      <c r="B3678" s="1631"/>
      <c r="C3678" s="2801" t="s">
        <v>6126</v>
      </c>
      <c r="D3678" s="2801"/>
      <c r="E3678" s="2801"/>
      <c r="F3678" s="2801"/>
      <c r="G3678" s="2801"/>
      <c r="H3678" s="2801"/>
      <c r="I3678" s="2801"/>
      <c r="J3678" s="2801"/>
      <c r="K3678" s="2801"/>
      <c r="L3678" s="2060">
        <v>171.85</v>
      </c>
      <c r="M3678" s="2057"/>
      <c r="N3678" s="2058">
        <v>6143.7</v>
      </c>
      <c r="EW3678" s="2031"/>
      <c r="EX3678" s="1619"/>
      <c r="EY3678" s="1628"/>
      <c r="EZ3678" s="1628"/>
      <c r="FA3678" s="1628"/>
      <c r="FH3678" s="1628"/>
      <c r="FU3678" s="1678"/>
      <c r="FV3678" s="1680" t="s">
        <v>6126</v>
      </c>
      <c r="FW3678" s="1678"/>
    </row>
    <row r="3679" spans="1:179" s="1484" customFormat="1" ht="15" x14ac:dyDescent="0.25">
      <c r="A3679" s="1647"/>
      <c r="B3679" s="1631"/>
      <c r="C3679" s="2801" t="s">
        <v>923</v>
      </c>
      <c r="D3679" s="2801"/>
      <c r="E3679" s="2801"/>
      <c r="F3679" s="2801"/>
      <c r="G3679" s="2801"/>
      <c r="H3679" s="2801"/>
      <c r="I3679" s="2801"/>
      <c r="J3679" s="2801"/>
      <c r="K3679" s="2801"/>
      <c r="L3679" s="2060">
        <v>277.18</v>
      </c>
      <c r="M3679" s="2057"/>
      <c r="N3679" s="2058">
        <v>9909.19</v>
      </c>
      <c r="EW3679" s="2031"/>
      <c r="EX3679" s="1619"/>
      <c r="EY3679" s="1628"/>
      <c r="EZ3679" s="1628"/>
      <c r="FA3679" s="1628"/>
      <c r="FH3679" s="1628"/>
      <c r="FU3679" s="1678"/>
      <c r="FV3679" s="1680" t="s">
        <v>923</v>
      </c>
      <c r="FW3679" s="1678"/>
    </row>
    <row r="3680" spans="1:179" s="1484" customFormat="1" ht="15" x14ac:dyDescent="0.25">
      <c r="A3680" s="1647"/>
      <c r="B3680" s="1631"/>
      <c r="C3680" s="2801" t="s">
        <v>924</v>
      </c>
      <c r="D3680" s="2801"/>
      <c r="E3680" s="2801"/>
      <c r="F3680" s="2801"/>
      <c r="G3680" s="2801"/>
      <c r="H3680" s="2801"/>
      <c r="I3680" s="2801"/>
      <c r="J3680" s="2801"/>
      <c r="K3680" s="2801"/>
      <c r="L3680" s="2060">
        <v>257.77999999999997</v>
      </c>
      <c r="M3680" s="2057"/>
      <c r="N3680" s="2058">
        <v>9215.5499999999993</v>
      </c>
      <c r="EW3680" s="2031"/>
      <c r="EX3680" s="1619"/>
      <c r="EY3680" s="1628"/>
      <c r="EZ3680" s="1628"/>
      <c r="FA3680" s="1628"/>
      <c r="FH3680" s="1628"/>
      <c r="FU3680" s="1678"/>
      <c r="FV3680" s="1680" t="s">
        <v>924</v>
      </c>
      <c r="FW3680" s="1678"/>
    </row>
    <row r="3681" spans="1:182" s="1484" customFormat="1" ht="15" x14ac:dyDescent="0.25">
      <c r="A3681" s="1647"/>
      <c r="B3681" s="1631"/>
      <c r="C3681" s="2801" t="s">
        <v>925</v>
      </c>
      <c r="D3681" s="2801"/>
      <c r="E3681" s="2801"/>
      <c r="F3681" s="2801"/>
      <c r="G3681" s="2801"/>
      <c r="H3681" s="2801"/>
      <c r="I3681" s="2801"/>
      <c r="J3681" s="2801"/>
      <c r="K3681" s="2801"/>
      <c r="L3681" s="2060">
        <v>171.85</v>
      </c>
      <c r="M3681" s="2057"/>
      <c r="N3681" s="2058">
        <v>6143.7</v>
      </c>
      <c r="EW3681" s="2031"/>
      <c r="EX3681" s="1619"/>
      <c r="EY3681" s="1628"/>
      <c r="EZ3681" s="1628"/>
      <c r="FA3681" s="1628"/>
      <c r="FH3681" s="1628"/>
      <c r="FU3681" s="1678"/>
      <c r="FV3681" s="1680" t="s">
        <v>925</v>
      </c>
      <c r="FW3681" s="1678"/>
    </row>
    <row r="3682" spans="1:182" s="1484" customFormat="1" ht="15" x14ac:dyDescent="0.25">
      <c r="A3682" s="1647"/>
      <c r="B3682" s="1676"/>
      <c r="C3682" s="2802" t="s">
        <v>8601</v>
      </c>
      <c r="D3682" s="2802"/>
      <c r="E3682" s="2802"/>
      <c r="F3682" s="2802"/>
      <c r="G3682" s="2802"/>
      <c r="H3682" s="2802"/>
      <c r="I3682" s="2802"/>
      <c r="J3682" s="2802"/>
      <c r="K3682" s="2802"/>
      <c r="L3682" s="1705">
        <v>50104.47</v>
      </c>
      <c r="M3682" s="2054"/>
      <c r="N3682" s="2066">
        <v>476819.06</v>
      </c>
      <c r="EW3682" s="2031"/>
      <c r="EX3682" s="1619"/>
      <c r="EY3682" s="1628"/>
      <c r="EZ3682" s="1628"/>
      <c r="FA3682" s="1628"/>
      <c r="FH3682" s="1628"/>
      <c r="FU3682" s="1678"/>
      <c r="FW3682" s="1678" t="s">
        <v>8601</v>
      </c>
    </row>
    <row r="3683" spans="1:182" s="1484" customFormat="1" ht="15" x14ac:dyDescent="0.25">
      <c r="A3683" s="1647"/>
      <c r="B3683" s="1631"/>
      <c r="C3683" s="2801" t="s">
        <v>6094</v>
      </c>
      <c r="D3683" s="2801"/>
      <c r="E3683" s="2801"/>
      <c r="F3683" s="2801"/>
      <c r="G3683" s="2801"/>
      <c r="H3683" s="2801"/>
      <c r="I3683" s="2801"/>
      <c r="J3683" s="2801"/>
      <c r="K3683" s="2801"/>
      <c r="L3683" s="1708"/>
      <c r="M3683" s="2057"/>
      <c r="N3683" s="2059"/>
      <c r="EW3683" s="2031"/>
      <c r="EX3683" s="1619"/>
      <c r="EY3683" s="1628"/>
      <c r="EZ3683" s="1628"/>
      <c r="FA3683" s="1628"/>
      <c r="FH3683" s="1628"/>
      <c r="FU3683" s="1678"/>
      <c r="FV3683" s="1680" t="s">
        <v>6094</v>
      </c>
      <c r="FW3683" s="1678"/>
    </row>
    <row r="3684" spans="1:182" s="1484" customFormat="1" ht="15" x14ac:dyDescent="0.25">
      <c r="A3684" s="1647"/>
      <c r="B3684" s="1631"/>
      <c r="C3684" s="2801" t="s">
        <v>8127</v>
      </c>
      <c r="D3684" s="2801"/>
      <c r="E3684" s="2801"/>
      <c r="F3684" s="2801"/>
      <c r="G3684" s="2801"/>
      <c r="H3684" s="2801"/>
      <c r="I3684" s="2801"/>
      <c r="J3684" s="2801"/>
      <c r="K3684" s="2801"/>
      <c r="L3684" s="2056">
        <v>48236.42</v>
      </c>
      <c r="M3684" s="2057"/>
      <c r="N3684" s="2058">
        <v>440880.85</v>
      </c>
      <c r="EW3684" s="2031"/>
      <c r="EX3684" s="1619"/>
      <c r="EY3684" s="1628"/>
      <c r="EZ3684" s="1628"/>
      <c r="FA3684" s="1628"/>
      <c r="FH3684" s="1628"/>
      <c r="FU3684" s="1678"/>
      <c r="FV3684" s="1680" t="s">
        <v>8127</v>
      </c>
      <c r="FW3684" s="1678"/>
    </row>
    <row r="3685" spans="1:182" s="1484" customFormat="1" ht="15" x14ac:dyDescent="0.25">
      <c r="A3685" s="1647"/>
      <c r="B3685" s="1631"/>
      <c r="C3685" s="2801" t="s">
        <v>6095</v>
      </c>
      <c r="D3685" s="2801"/>
      <c r="E3685" s="2801"/>
      <c r="F3685" s="2801"/>
      <c r="G3685" s="2801"/>
      <c r="H3685" s="2801"/>
      <c r="I3685" s="1683" t="s">
        <v>8602</v>
      </c>
      <c r="J3685" s="1860"/>
      <c r="K3685" s="1860"/>
      <c r="L3685" s="1708"/>
      <c r="M3685" s="2057"/>
      <c r="N3685" s="2059"/>
      <c r="EW3685" s="2031"/>
      <c r="EX3685" s="1619"/>
      <c r="EY3685" s="1628"/>
      <c r="EZ3685" s="1628"/>
      <c r="FA3685" s="1628"/>
      <c r="FH3685" s="1628"/>
      <c r="FU3685" s="1678"/>
      <c r="FW3685" s="1678"/>
      <c r="FX3685" s="1680" t="s">
        <v>6095</v>
      </c>
    </row>
    <row r="3686" spans="1:182" s="1484" customFormat="1" ht="1.5" customHeight="1" x14ac:dyDescent="0.25">
      <c r="A3686" s="1688"/>
      <c r="B3686" s="1689"/>
      <c r="C3686" s="1689"/>
      <c r="D3686" s="1689"/>
      <c r="E3686" s="1689"/>
      <c r="F3686" s="1689"/>
      <c r="G3686" s="1689"/>
      <c r="H3686" s="1689"/>
      <c r="I3686" s="1689"/>
      <c r="J3686" s="1689"/>
      <c r="K3686" s="1689"/>
      <c r="L3686" s="2063"/>
      <c r="M3686" s="2063"/>
      <c r="N3686" s="2064"/>
    </row>
    <row r="3687" spans="1:182" s="1484" customFormat="1" ht="15" x14ac:dyDescent="0.25">
      <c r="A3687" s="2065"/>
      <c r="B3687" s="1676"/>
      <c r="C3687" s="2802" t="s">
        <v>921</v>
      </c>
      <c r="D3687" s="2802"/>
      <c r="E3687" s="2802"/>
      <c r="F3687" s="2802"/>
      <c r="G3687" s="2802"/>
      <c r="H3687" s="2802"/>
      <c r="I3687" s="2802"/>
      <c r="J3687" s="2802"/>
      <c r="K3687" s="2802"/>
      <c r="L3687" s="2053"/>
      <c r="M3687" s="2054"/>
      <c r="N3687" s="2055"/>
      <c r="FY3687" s="1678" t="s">
        <v>921</v>
      </c>
    </row>
    <row r="3688" spans="1:182" s="1484" customFormat="1" ht="15" x14ac:dyDescent="0.25">
      <c r="A3688" s="1647"/>
      <c r="B3688" s="1631"/>
      <c r="C3688" s="2801" t="s">
        <v>922</v>
      </c>
      <c r="D3688" s="2801"/>
      <c r="E3688" s="2801"/>
      <c r="F3688" s="2801"/>
      <c r="G3688" s="2801"/>
      <c r="H3688" s="2801"/>
      <c r="I3688" s="2801"/>
      <c r="J3688" s="2801"/>
      <c r="K3688" s="2801"/>
      <c r="L3688" s="2056">
        <v>15684302.23</v>
      </c>
      <c r="M3688" s="2057"/>
      <c r="N3688" s="2058">
        <v>152542148.13999999</v>
      </c>
      <c r="FY3688" s="1678"/>
      <c r="FZ3688" s="1680" t="s">
        <v>922</v>
      </c>
    </row>
    <row r="3689" spans="1:182" s="1484" customFormat="1" ht="15" x14ac:dyDescent="0.25">
      <c r="A3689" s="1647"/>
      <c r="B3689" s="1631"/>
      <c r="C3689" s="2801" t="s">
        <v>891</v>
      </c>
      <c r="D3689" s="2801"/>
      <c r="E3689" s="2801"/>
      <c r="F3689" s="2801"/>
      <c r="G3689" s="2801"/>
      <c r="H3689" s="2801"/>
      <c r="I3689" s="2801"/>
      <c r="J3689" s="2801"/>
      <c r="K3689" s="2801"/>
      <c r="L3689" s="1708"/>
      <c r="M3689" s="2057"/>
      <c r="N3689" s="2059"/>
      <c r="FY3689" s="1678"/>
      <c r="FZ3689" s="1680" t="s">
        <v>891</v>
      </c>
    </row>
    <row r="3690" spans="1:182" s="1484" customFormat="1" ht="15" x14ac:dyDescent="0.25">
      <c r="A3690" s="1647"/>
      <c r="B3690" s="1631"/>
      <c r="C3690" s="2801" t="s">
        <v>892</v>
      </c>
      <c r="D3690" s="2801"/>
      <c r="E3690" s="2801"/>
      <c r="F3690" s="2801"/>
      <c r="G3690" s="2801"/>
      <c r="H3690" s="2801"/>
      <c r="I3690" s="2801"/>
      <c r="J3690" s="2801"/>
      <c r="K3690" s="2801"/>
      <c r="L3690" s="2056">
        <v>342346.81</v>
      </c>
      <c r="M3690" s="2057"/>
      <c r="N3690" s="2058">
        <v>12238898.630000001</v>
      </c>
      <c r="FY3690" s="1678"/>
      <c r="FZ3690" s="1680" t="s">
        <v>892</v>
      </c>
    </row>
    <row r="3691" spans="1:182" s="1484" customFormat="1" ht="15" x14ac:dyDescent="0.25">
      <c r="A3691" s="1647"/>
      <c r="B3691" s="1631"/>
      <c r="C3691" s="2801" t="s">
        <v>893</v>
      </c>
      <c r="D3691" s="2801"/>
      <c r="E3691" s="2801"/>
      <c r="F3691" s="2801"/>
      <c r="G3691" s="2801"/>
      <c r="H3691" s="2801"/>
      <c r="I3691" s="2801"/>
      <c r="J3691" s="2801"/>
      <c r="K3691" s="2801"/>
      <c r="L3691" s="2056">
        <v>19174.3</v>
      </c>
      <c r="M3691" s="2057"/>
      <c r="N3691" s="2058">
        <v>253030.19</v>
      </c>
      <c r="FY3691" s="1678"/>
      <c r="FZ3691" s="1680" t="s">
        <v>893</v>
      </c>
    </row>
    <row r="3692" spans="1:182" s="1484" customFormat="1" ht="15" x14ac:dyDescent="0.25">
      <c r="A3692" s="1647"/>
      <c r="B3692" s="1631"/>
      <c r="C3692" s="2801" t="s">
        <v>2578</v>
      </c>
      <c r="D3692" s="2801"/>
      <c r="E3692" s="2801"/>
      <c r="F3692" s="2801"/>
      <c r="G3692" s="2801"/>
      <c r="H3692" s="2801"/>
      <c r="I3692" s="2801"/>
      <c r="J3692" s="2801"/>
      <c r="K3692" s="2801"/>
      <c r="L3692" s="2056">
        <v>4944.04</v>
      </c>
      <c r="M3692" s="2057"/>
      <c r="N3692" s="2058">
        <v>176749.78</v>
      </c>
      <c r="FY3692" s="1678"/>
      <c r="FZ3692" s="1680" t="s">
        <v>2578</v>
      </c>
    </row>
    <row r="3693" spans="1:182" s="1484" customFormat="1" ht="15" x14ac:dyDescent="0.25">
      <c r="A3693" s="1647"/>
      <c r="B3693" s="1631"/>
      <c r="C3693" s="2801" t="s">
        <v>895</v>
      </c>
      <c r="D3693" s="2801"/>
      <c r="E3693" s="2801"/>
      <c r="F3693" s="2801"/>
      <c r="G3693" s="2801"/>
      <c r="H3693" s="2801"/>
      <c r="I3693" s="2801"/>
      <c r="J3693" s="2801"/>
      <c r="K3693" s="2801"/>
      <c r="L3693" s="2056">
        <v>15322781.119999999</v>
      </c>
      <c r="M3693" s="2057"/>
      <c r="N3693" s="2058">
        <v>140050219.31999999</v>
      </c>
      <c r="FY3693" s="1678"/>
      <c r="FZ3693" s="1680" t="s">
        <v>895</v>
      </c>
    </row>
    <row r="3694" spans="1:182" s="1484" customFormat="1" ht="15" x14ac:dyDescent="0.25">
      <c r="A3694" s="1647"/>
      <c r="B3694" s="1631"/>
      <c r="C3694" s="2801" t="s">
        <v>897</v>
      </c>
      <c r="D3694" s="2801"/>
      <c r="E3694" s="2801"/>
      <c r="F3694" s="2801"/>
      <c r="G3694" s="2801"/>
      <c r="H3694" s="2801"/>
      <c r="I3694" s="2801"/>
      <c r="J3694" s="2801"/>
      <c r="K3694" s="2801"/>
      <c r="L3694" s="2056">
        <v>16206306.41</v>
      </c>
      <c r="M3694" s="2057"/>
      <c r="N3694" s="2058">
        <v>171206475.62</v>
      </c>
      <c r="FY3694" s="1678"/>
      <c r="FZ3694" s="1680" t="s">
        <v>897</v>
      </c>
    </row>
    <row r="3695" spans="1:182" s="1484" customFormat="1" ht="15" x14ac:dyDescent="0.25">
      <c r="A3695" s="1647"/>
      <c r="B3695" s="1631"/>
      <c r="C3695" s="2801" t="s">
        <v>891</v>
      </c>
      <c r="D3695" s="2801"/>
      <c r="E3695" s="2801"/>
      <c r="F3695" s="2801"/>
      <c r="G3695" s="2801"/>
      <c r="H3695" s="2801"/>
      <c r="I3695" s="2801"/>
      <c r="J3695" s="2801"/>
      <c r="K3695" s="2801"/>
      <c r="L3695" s="1708"/>
      <c r="M3695" s="2057"/>
      <c r="N3695" s="2059"/>
      <c r="FY3695" s="1678"/>
      <c r="FZ3695" s="1680" t="s">
        <v>891</v>
      </c>
    </row>
    <row r="3696" spans="1:182" s="1484" customFormat="1" ht="15" x14ac:dyDescent="0.25">
      <c r="A3696" s="1647"/>
      <c r="B3696" s="1631"/>
      <c r="C3696" s="2801" t="s">
        <v>6121</v>
      </c>
      <c r="D3696" s="2801"/>
      <c r="E3696" s="2801"/>
      <c r="F3696" s="2801"/>
      <c r="G3696" s="2801"/>
      <c r="H3696" s="2801"/>
      <c r="I3696" s="2801"/>
      <c r="J3696" s="2801"/>
      <c r="K3696" s="2801"/>
      <c r="L3696" s="2056">
        <v>336081.71</v>
      </c>
      <c r="M3696" s="2057"/>
      <c r="N3696" s="2058">
        <v>12014921.300000001</v>
      </c>
      <c r="FY3696" s="1678"/>
      <c r="FZ3696" s="1680" t="s">
        <v>6121</v>
      </c>
    </row>
    <row r="3697" spans="1:182" s="1484" customFormat="1" ht="15" x14ac:dyDescent="0.25">
      <c r="A3697" s="1647"/>
      <c r="B3697" s="1631"/>
      <c r="C3697" s="2801" t="s">
        <v>6122</v>
      </c>
      <c r="D3697" s="2801"/>
      <c r="E3697" s="2801"/>
      <c r="F3697" s="2801"/>
      <c r="G3697" s="2801"/>
      <c r="H3697" s="2801"/>
      <c r="I3697" s="2801"/>
      <c r="J3697" s="2801"/>
      <c r="K3697" s="2801"/>
      <c r="L3697" s="2056">
        <v>19174.3</v>
      </c>
      <c r="M3697" s="2057"/>
      <c r="N3697" s="2058">
        <v>253030.19</v>
      </c>
      <c r="FY3697" s="1678"/>
      <c r="FZ3697" s="1680" t="s">
        <v>6122</v>
      </c>
    </row>
    <row r="3698" spans="1:182" s="1484" customFormat="1" ht="15" x14ac:dyDescent="0.25">
      <c r="A3698" s="1647"/>
      <c r="B3698" s="1631"/>
      <c r="C3698" s="2801" t="s">
        <v>8121</v>
      </c>
      <c r="D3698" s="2801"/>
      <c r="E3698" s="2801"/>
      <c r="F3698" s="2801"/>
      <c r="G3698" s="2801"/>
      <c r="H3698" s="2801"/>
      <c r="I3698" s="2801"/>
      <c r="J3698" s="2801"/>
      <c r="K3698" s="2801"/>
      <c r="L3698" s="1708"/>
      <c r="M3698" s="2057"/>
      <c r="N3698" s="2059"/>
      <c r="FY3698" s="1678"/>
      <c r="FZ3698" s="1680" t="s">
        <v>8121</v>
      </c>
    </row>
    <row r="3699" spans="1:182" s="1484" customFormat="1" ht="15" x14ac:dyDescent="0.25">
      <c r="A3699" s="1647"/>
      <c r="B3699" s="1631"/>
      <c r="C3699" s="2801" t="s">
        <v>8122</v>
      </c>
      <c r="D3699" s="2801"/>
      <c r="E3699" s="2801"/>
      <c r="F3699" s="2801"/>
      <c r="G3699" s="2801"/>
      <c r="H3699" s="2801"/>
      <c r="I3699" s="2801"/>
      <c r="J3699" s="2801"/>
      <c r="K3699" s="2801"/>
      <c r="L3699" s="2056">
        <v>18185.5</v>
      </c>
      <c r="M3699" s="2057"/>
      <c r="N3699" s="2058">
        <v>217680.39</v>
      </c>
      <c r="FY3699" s="1678"/>
      <c r="FZ3699" s="1680" t="s">
        <v>8122</v>
      </c>
    </row>
    <row r="3700" spans="1:182" s="1484" customFormat="1" ht="15" x14ac:dyDescent="0.25">
      <c r="A3700" s="1647"/>
      <c r="B3700" s="1631"/>
      <c r="C3700" s="2801" t="s">
        <v>8123</v>
      </c>
      <c r="D3700" s="2801"/>
      <c r="E3700" s="2801"/>
      <c r="F3700" s="2801"/>
      <c r="G3700" s="2801"/>
      <c r="H3700" s="2801"/>
      <c r="I3700" s="2801"/>
      <c r="J3700" s="2801"/>
      <c r="K3700" s="2801"/>
      <c r="L3700" s="2056">
        <v>3955.24</v>
      </c>
      <c r="M3700" s="2057"/>
      <c r="N3700" s="2058">
        <v>141399.98000000001</v>
      </c>
      <c r="FY3700" s="1678"/>
      <c r="FZ3700" s="1680" t="s">
        <v>8123</v>
      </c>
    </row>
    <row r="3701" spans="1:182" s="1484" customFormat="1" ht="15" x14ac:dyDescent="0.25">
      <c r="A3701" s="1647"/>
      <c r="B3701" s="1631"/>
      <c r="C3701" s="2801" t="s">
        <v>8124</v>
      </c>
      <c r="D3701" s="2801"/>
      <c r="E3701" s="2801"/>
      <c r="F3701" s="2801"/>
      <c r="G3701" s="2801"/>
      <c r="H3701" s="2801"/>
      <c r="I3701" s="2801"/>
      <c r="J3701" s="2801"/>
      <c r="K3701" s="2801"/>
      <c r="L3701" s="2060">
        <v>988.8</v>
      </c>
      <c r="M3701" s="2057"/>
      <c r="N3701" s="2058">
        <v>35349.800000000003</v>
      </c>
      <c r="FY3701" s="1678"/>
      <c r="FZ3701" s="1680" t="s">
        <v>8124</v>
      </c>
    </row>
    <row r="3702" spans="1:182" s="1484" customFormat="1" ht="15" x14ac:dyDescent="0.25">
      <c r="A3702" s="1647"/>
      <c r="B3702" s="1631"/>
      <c r="C3702" s="2801" t="s">
        <v>6124</v>
      </c>
      <c r="D3702" s="2801"/>
      <c r="E3702" s="2801"/>
      <c r="F3702" s="2801"/>
      <c r="G3702" s="2801"/>
      <c r="H3702" s="2801"/>
      <c r="I3702" s="2801"/>
      <c r="J3702" s="2801"/>
      <c r="K3702" s="2801"/>
      <c r="L3702" s="2056">
        <v>15322680.5</v>
      </c>
      <c r="M3702" s="2057"/>
      <c r="N3702" s="2058">
        <v>140049299.65000001</v>
      </c>
      <c r="FY3702" s="1678"/>
      <c r="FZ3702" s="1680" t="s">
        <v>6124</v>
      </c>
    </row>
    <row r="3703" spans="1:182" s="1484" customFormat="1" ht="15" x14ac:dyDescent="0.25">
      <c r="A3703" s="1647"/>
      <c r="B3703" s="1631"/>
      <c r="C3703" s="2801" t="s">
        <v>6125</v>
      </c>
      <c r="D3703" s="2801"/>
      <c r="E3703" s="2801"/>
      <c r="F3703" s="2801"/>
      <c r="G3703" s="2801"/>
      <c r="H3703" s="2801"/>
      <c r="I3703" s="2801"/>
      <c r="J3703" s="2801"/>
      <c r="K3703" s="2801"/>
      <c r="L3703" s="2056">
        <v>346949.18</v>
      </c>
      <c r="M3703" s="2057"/>
      <c r="N3703" s="2058">
        <v>12403433.300000001</v>
      </c>
      <c r="FY3703" s="1678"/>
      <c r="FZ3703" s="1680" t="s">
        <v>6125</v>
      </c>
    </row>
    <row r="3704" spans="1:182" s="1484" customFormat="1" ht="15" x14ac:dyDescent="0.25">
      <c r="A3704" s="1647"/>
      <c r="B3704" s="1631"/>
      <c r="C3704" s="2801" t="s">
        <v>6126</v>
      </c>
      <c r="D3704" s="2801"/>
      <c r="E3704" s="2801"/>
      <c r="F3704" s="2801"/>
      <c r="G3704" s="2801"/>
      <c r="H3704" s="2801"/>
      <c r="I3704" s="2801"/>
      <c r="J3704" s="2801"/>
      <c r="K3704" s="2801"/>
      <c r="L3704" s="2056">
        <v>181420.72</v>
      </c>
      <c r="M3704" s="2057"/>
      <c r="N3704" s="2058">
        <v>6485791.1799999997</v>
      </c>
      <c r="FY3704" s="1678"/>
      <c r="FZ3704" s="1680" t="s">
        <v>6126</v>
      </c>
    </row>
    <row r="3705" spans="1:182" s="1484" customFormat="1" ht="15" x14ac:dyDescent="0.25">
      <c r="A3705" s="1647"/>
      <c r="B3705" s="1631"/>
      <c r="C3705" s="2801" t="s">
        <v>8125</v>
      </c>
      <c r="D3705" s="2801"/>
      <c r="E3705" s="2801"/>
      <c r="F3705" s="2801"/>
      <c r="G3705" s="2801"/>
      <c r="H3705" s="2801"/>
      <c r="I3705" s="2801"/>
      <c r="J3705" s="2801"/>
      <c r="K3705" s="2801"/>
      <c r="L3705" s="2056">
        <v>14573</v>
      </c>
      <c r="M3705" s="2057"/>
      <c r="N3705" s="2058">
        <v>518307.31</v>
      </c>
      <c r="FY3705" s="1678"/>
      <c r="FZ3705" s="1680" t="s">
        <v>8125</v>
      </c>
    </row>
    <row r="3706" spans="1:182" s="1484" customFormat="1" ht="15" x14ac:dyDescent="0.25">
      <c r="A3706" s="1647"/>
      <c r="B3706" s="1631"/>
      <c r="C3706" s="2801" t="s">
        <v>891</v>
      </c>
      <c r="D3706" s="2801"/>
      <c r="E3706" s="2801"/>
      <c r="F3706" s="2801"/>
      <c r="G3706" s="2801"/>
      <c r="H3706" s="2801"/>
      <c r="I3706" s="2801"/>
      <c r="J3706" s="2801"/>
      <c r="K3706" s="2801"/>
      <c r="L3706" s="1708"/>
      <c r="M3706" s="2057"/>
      <c r="N3706" s="2059"/>
      <c r="FY3706" s="1678"/>
      <c r="FZ3706" s="1680" t="s">
        <v>891</v>
      </c>
    </row>
    <row r="3707" spans="1:182" s="1484" customFormat="1" ht="15" x14ac:dyDescent="0.25">
      <c r="A3707" s="1647"/>
      <c r="B3707" s="1631"/>
      <c r="C3707" s="2801" t="s">
        <v>6121</v>
      </c>
      <c r="D3707" s="2801"/>
      <c r="E3707" s="2801"/>
      <c r="F3707" s="2801"/>
      <c r="G3707" s="2801"/>
      <c r="H3707" s="2801"/>
      <c r="I3707" s="2801"/>
      <c r="J3707" s="2801"/>
      <c r="K3707" s="2801"/>
      <c r="L3707" s="2056">
        <v>6265.1</v>
      </c>
      <c r="M3707" s="2057"/>
      <c r="N3707" s="2058">
        <v>223977.33</v>
      </c>
      <c r="FY3707" s="1678"/>
      <c r="FZ3707" s="1680" t="s">
        <v>6121</v>
      </c>
    </row>
    <row r="3708" spans="1:182" s="1484" customFormat="1" ht="15" x14ac:dyDescent="0.25">
      <c r="A3708" s="1647"/>
      <c r="B3708" s="1631"/>
      <c r="C3708" s="2801" t="s">
        <v>6124</v>
      </c>
      <c r="D3708" s="2801"/>
      <c r="E3708" s="2801"/>
      <c r="F3708" s="2801"/>
      <c r="G3708" s="2801"/>
      <c r="H3708" s="2801"/>
      <c r="I3708" s="2801"/>
      <c r="J3708" s="2801"/>
      <c r="K3708" s="2801"/>
      <c r="L3708" s="2060">
        <v>100.62</v>
      </c>
      <c r="M3708" s="2057"/>
      <c r="N3708" s="2061">
        <v>919.67</v>
      </c>
      <c r="FY3708" s="1678"/>
      <c r="FZ3708" s="1680" t="s">
        <v>6124</v>
      </c>
    </row>
    <row r="3709" spans="1:182" s="1484" customFormat="1" ht="15" x14ac:dyDescent="0.25">
      <c r="A3709" s="1647"/>
      <c r="B3709" s="1631"/>
      <c r="C3709" s="2801" t="s">
        <v>6125</v>
      </c>
      <c r="D3709" s="2801"/>
      <c r="E3709" s="2801"/>
      <c r="F3709" s="2801"/>
      <c r="G3709" s="2801"/>
      <c r="H3709" s="2801"/>
      <c r="I3709" s="2801"/>
      <c r="J3709" s="2801"/>
      <c r="K3709" s="2801"/>
      <c r="L3709" s="2056">
        <v>5450.64</v>
      </c>
      <c r="M3709" s="2057"/>
      <c r="N3709" s="2058">
        <v>194860.28</v>
      </c>
      <c r="FY3709" s="1678"/>
      <c r="FZ3709" s="1680" t="s">
        <v>6125</v>
      </c>
    </row>
    <row r="3710" spans="1:182" s="1484" customFormat="1" ht="15" x14ac:dyDescent="0.25">
      <c r="A3710" s="1647"/>
      <c r="B3710" s="1631"/>
      <c r="C3710" s="2801" t="s">
        <v>6126</v>
      </c>
      <c r="D3710" s="2801"/>
      <c r="E3710" s="2801"/>
      <c r="F3710" s="2801"/>
      <c r="G3710" s="2801"/>
      <c r="H3710" s="2801"/>
      <c r="I3710" s="2801"/>
      <c r="J3710" s="2801"/>
      <c r="K3710" s="2801"/>
      <c r="L3710" s="2056">
        <v>2756.64</v>
      </c>
      <c r="M3710" s="2057"/>
      <c r="N3710" s="2058">
        <v>98550.03</v>
      </c>
      <c r="FY3710" s="1678"/>
      <c r="FZ3710" s="1680" t="s">
        <v>6126</v>
      </c>
    </row>
    <row r="3711" spans="1:182" s="1484" customFormat="1" ht="15" x14ac:dyDescent="0.25">
      <c r="A3711" s="1647"/>
      <c r="B3711" s="1631"/>
      <c r="C3711" s="2801" t="s">
        <v>923</v>
      </c>
      <c r="D3711" s="2801"/>
      <c r="E3711" s="2801"/>
      <c r="F3711" s="2801"/>
      <c r="G3711" s="2801"/>
      <c r="H3711" s="2801"/>
      <c r="I3711" s="2801"/>
      <c r="J3711" s="2801"/>
      <c r="K3711" s="2801"/>
      <c r="L3711" s="2056">
        <v>347290.85</v>
      </c>
      <c r="M3711" s="2057"/>
      <c r="N3711" s="2058">
        <v>12415648.41</v>
      </c>
      <c r="FY3711" s="1678"/>
      <c r="FZ3711" s="1680" t="s">
        <v>923</v>
      </c>
    </row>
    <row r="3712" spans="1:182" s="1484" customFormat="1" ht="15" x14ac:dyDescent="0.25">
      <c r="A3712" s="1647"/>
      <c r="B3712" s="1631"/>
      <c r="C3712" s="2801" t="s">
        <v>924</v>
      </c>
      <c r="D3712" s="2801"/>
      <c r="E3712" s="2801"/>
      <c r="F3712" s="2801"/>
      <c r="G3712" s="2801"/>
      <c r="H3712" s="2801"/>
      <c r="I3712" s="2801"/>
      <c r="J3712" s="2801"/>
      <c r="K3712" s="2801"/>
      <c r="L3712" s="2056">
        <v>352399.82</v>
      </c>
      <c r="M3712" s="2057"/>
      <c r="N3712" s="2058">
        <v>12598293.58</v>
      </c>
      <c r="FY3712" s="1678"/>
      <c r="FZ3712" s="1680" t="s">
        <v>924</v>
      </c>
    </row>
    <row r="3713" spans="1:204" s="1484" customFormat="1" ht="15" x14ac:dyDescent="0.25">
      <c r="A3713" s="1647"/>
      <c r="B3713" s="1631"/>
      <c r="C3713" s="2801" t="s">
        <v>925</v>
      </c>
      <c r="D3713" s="2801"/>
      <c r="E3713" s="2801"/>
      <c r="F3713" s="2801"/>
      <c r="G3713" s="2801"/>
      <c r="H3713" s="2801"/>
      <c r="I3713" s="2801"/>
      <c r="J3713" s="2801"/>
      <c r="K3713" s="2801"/>
      <c r="L3713" s="2056">
        <v>184177.36</v>
      </c>
      <c r="M3713" s="2057"/>
      <c r="N3713" s="2058">
        <v>6584341.21</v>
      </c>
      <c r="FY3713" s="1678"/>
      <c r="FZ3713" s="1680" t="s">
        <v>925</v>
      </c>
    </row>
    <row r="3714" spans="1:204" s="1484" customFormat="1" ht="15" x14ac:dyDescent="0.25">
      <c r="A3714" s="1647"/>
      <c r="B3714" s="1676"/>
      <c r="C3714" s="2802" t="s">
        <v>8603</v>
      </c>
      <c r="D3714" s="2802"/>
      <c r="E3714" s="2802"/>
      <c r="F3714" s="2802"/>
      <c r="G3714" s="2802"/>
      <c r="H3714" s="2802"/>
      <c r="I3714" s="2802"/>
      <c r="J3714" s="2802"/>
      <c r="K3714" s="2802"/>
      <c r="L3714" s="1705">
        <v>16220879.41</v>
      </c>
      <c r="M3714" s="2054"/>
      <c r="N3714" s="2066">
        <v>171724782.93000001</v>
      </c>
      <c r="FY3714" s="1678"/>
      <c r="GA3714" s="1678" t="s">
        <v>8603</v>
      </c>
    </row>
    <row r="3715" spans="1:204" s="1484" customFormat="1" ht="15" x14ac:dyDescent="0.25">
      <c r="A3715" s="1647"/>
      <c r="B3715" s="1631"/>
      <c r="C3715" s="2801" t="s">
        <v>6094</v>
      </c>
      <c r="D3715" s="2801"/>
      <c r="E3715" s="2801"/>
      <c r="F3715" s="2801"/>
      <c r="G3715" s="2801"/>
      <c r="H3715" s="2801"/>
      <c r="I3715" s="2801"/>
      <c r="J3715" s="2801"/>
      <c r="K3715" s="2801"/>
      <c r="L3715" s="1708"/>
      <c r="M3715" s="2057"/>
      <c r="N3715" s="2059"/>
      <c r="FY3715" s="1678"/>
      <c r="FZ3715" s="1680" t="s">
        <v>6094</v>
      </c>
      <c r="GA3715" s="1678"/>
    </row>
    <row r="3716" spans="1:204" s="1484" customFormat="1" ht="15" x14ac:dyDescent="0.25">
      <c r="A3716" s="1647"/>
      <c r="B3716" s="1631"/>
      <c r="C3716" s="2801" t="s">
        <v>8127</v>
      </c>
      <c r="D3716" s="2801"/>
      <c r="E3716" s="2801"/>
      <c r="F3716" s="2801"/>
      <c r="G3716" s="2801"/>
      <c r="H3716" s="2801"/>
      <c r="I3716" s="2801"/>
      <c r="J3716" s="2801"/>
      <c r="K3716" s="2801"/>
      <c r="L3716" s="2056">
        <v>9405912.8599999994</v>
      </c>
      <c r="M3716" s="2057"/>
      <c r="N3716" s="2058">
        <v>85970043.400000006</v>
      </c>
      <c r="FY3716" s="1678"/>
      <c r="FZ3716" s="1680" t="s">
        <v>8127</v>
      </c>
      <c r="GA3716" s="1678"/>
    </row>
    <row r="3717" spans="1:204" s="1484" customFormat="1" ht="15" x14ac:dyDescent="0.25">
      <c r="A3717" s="1647"/>
      <c r="B3717" s="1631"/>
      <c r="C3717" s="2801" t="s">
        <v>6095</v>
      </c>
      <c r="D3717" s="2801"/>
      <c r="E3717" s="2801"/>
      <c r="F3717" s="2801"/>
      <c r="G3717" s="2801"/>
      <c r="H3717" s="2801"/>
      <c r="I3717" s="1683" t="s">
        <v>8604</v>
      </c>
      <c r="J3717" s="1860"/>
      <c r="K3717" s="1860"/>
      <c r="L3717" s="1708"/>
      <c r="M3717" s="2057"/>
      <c r="N3717" s="2059"/>
      <c r="FY3717" s="1678"/>
      <c r="GA3717" s="1678"/>
      <c r="GB3717" s="1680" t="s">
        <v>6095</v>
      </c>
    </row>
    <row r="3718" spans="1:204" s="1484" customFormat="1" ht="15" x14ac:dyDescent="0.25">
      <c r="A3718" s="1647"/>
      <c r="B3718" s="1631"/>
      <c r="C3718" s="2801" t="s">
        <v>6096</v>
      </c>
      <c r="D3718" s="2801"/>
      <c r="E3718" s="2801"/>
      <c r="F3718" s="2801"/>
      <c r="G3718" s="2801"/>
      <c r="H3718" s="2801"/>
      <c r="I3718" s="1683" t="s">
        <v>8605</v>
      </c>
      <c r="J3718" s="1860"/>
      <c r="K3718" s="1860"/>
      <c r="L3718" s="1708"/>
      <c r="M3718" s="2057"/>
      <c r="N3718" s="2059"/>
      <c r="FY3718" s="1678"/>
      <c r="GA3718" s="1678"/>
      <c r="GB3718" s="1680" t="s">
        <v>6096</v>
      </c>
    </row>
    <row r="3719" spans="1:204" s="1484" customFormat="1" ht="1.5" customHeight="1" x14ac:dyDescent="0.25">
      <c r="A3719" s="1688"/>
      <c r="B3719" s="1670"/>
      <c r="C3719" s="1668"/>
      <c r="D3719" s="1668"/>
      <c r="E3719" s="1668"/>
      <c r="F3719" s="1668"/>
      <c r="G3719" s="1668"/>
      <c r="H3719" s="1668"/>
      <c r="I3719" s="1668"/>
      <c r="J3719" s="1668"/>
      <c r="K3719" s="1668"/>
      <c r="L3719" s="1695"/>
      <c r="M3719" s="1696"/>
      <c r="N3719" s="1699"/>
    </row>
    <row r="3720" spans="1:204" s="1484" customFormat="1" ht="26.25" customHeight="1" x14ac:dyDescent="0.25"/>
    <row r="3721" spans="1:204" s="1601" customFormat="1" ht="15" x14ac:dyDescent="0.25">
      <c r="A3721" s="1584"/>
      <c r="B3721" s="1708" t="s">
        <v>926</v>
      </c>
      <c r="C3721" s="2797"/>
      <c r="D3721" s="2797"/>
      <c r="E3721" s="2797"/>
      <c r="F3721" s="2797"/>
      <c r="G3721" s="2797"/>
      <c r="H3721" s="2798" t="s">
        <v>8606</v>
      </c>
      <c r="I3721" s="2798"/>
      <c r="J3721" s="2798"/>
      <c r="K3721" s="2798"/>
      <c r="L3721" s="2798"/>
      <c r="M3721" s="1484"/>
      <c r="N3721" s="1484"/>
      <c r="O3721" s="1484"/>
      <c r="P3721" s="1484"/>
      <c r="Q3721" s="1484"/>
      <c r="R3721" s="1484"/>
      <c r="S3721" s="1484"/>
      <c r="T3721" s="1484"/>
      <c r="U3721" s="1484"/>
      <c r="V3721" s="1585"/>
      <c r="W3721" s="1585"/>
      <c r="X3721" s="1585"/>
      <c r="Y3721" s="1585"/>
      <c r="Z3721" s="1585"/>
      <c r="AA3721" s="1585"/>
      <c r="AB3721" s="1585"/>
      <c r="AC3721" s="1585"/>
      <c r="AD3721" s="1585"/>
      <c r="AE3721" s="1585"/>
      <c r="AF3721" s="1585"/>
      <c r="AG3721" s="1585"/>
      <c r="AH3721" s="1585"/>
      <c r="AI3721" s="1585"/>
      <c r="AJ3721" s="1585"/>
      <c r="AK3721" s="1585"/>
      <c r="AL3721" s="1867"/>
      <c r="AM3721" s="1867"/>
      <c r="AN3721" s="1867"/>
      <c r="AO3721" s="1867"/>
      <c r="AP3721" s="1867"/>
      <c r="AQ3721" s="1867"/>
      <c r="AR3721" s="1585"/>
      <c r="AS3721" s="1585"/>
      <c r="AT3721" s="1585"/>
      <c r="AU3721" s="1585"/>
      <c r="AV3721" s="1585"/>
      <c r="AW3721" s="1585"/>
      <c r="AX3721" s="1585"/>
      <c r="AY3721" s="1585"/>
      <c r="AZ3721" s="1867"/>
      <c r="BA3721" s="1867"/>
      <c r="BB3721" s="1867"/>
      <c r="BC3721" s="1867"/>
      <c r="BD3721" s="1867"/>
      <c r="BE3721" s="1867"/>
      <c r="BF3721" s="1585"/>
      <c r="BG3721" s="1585"/>
      <c r="BH3721" s="1585"/>
      <c r="BI3721" s="1585"/>
      <c r="BJ3721" s="1585"/>
      <c r="BK3721" s="1585"/>
      <c r="BL3721" s="1585"/>
      <c r="BM3721" s="1585"/>
      <c r="BN3721" s="1867"/>
      <c r="BO3721" s="1867"/>
      <c r="BP3721" s="1867"/>
      <c r="BQ3721" s="1867"/>
      <c r="BR3721" s="1867"/>
      <c r="BS3721" s="1867"/>
      <c r="BT3721" s="1585"/>
      <c r="BU3721" s="1585"/>
      <c r="BV3721" s="1585"/>
      <c r="BW3721" s="1585"/>
      <c r="BX3721" s="1585"/>
      <c r="BY3721" s="1585"/>
      <c r="BZ3721" s="1585"/>
      <c r="CA3721" s="1585"/>
      <c r="CB3721" s="1867"/>
      <c r="CC3721" s="1867"/>
      <c r="CD3721" s="1867"/>
      <c r="CE3721" s="1867"/>
      <c r="CF3721" s="1867"/>
      <c r="CG3721" s="1867"/>
      <c r="CH3721" s="1585"/>
      <c r="CI3721" s="1585"/>
      <c r="CJ3721" s="1585"/>
      <c r="CK3721" s="1585"/>
      <c r="CL3721" s="1585"/>
      <c r="CM3721" s="1585"/>
      <c r="CN3721" s="1585"/>
      <c r="CO3721" s="1585"/>
      <c r="CP3721" s="1867"/>
      <c r="CQ3721" s="1867"/>
      <c r="CR3721" s="1867"/>
      <c r="CS3721" s="1867"/>
      <c r="CT3721" s="1867"/>
      <c r="CU3721" s="1867"/>
      <c r="CV3721" s="1585"/>
      <c r="CW3721" s="1585"/>
      <c r="CX3721" s="1585"/>
      <c r="CY3721" s="1585"/>
      <c r="CZ3721" s="1585"/>
      <c r="DA3721" s="1585"/>
      <c r="DB3721" s="1585"/>
      <c r="DC3721" s="1585"/>
      <c r="DD3721" s="1593"/>
      <c r="DE3721" s="1593"/>
      <c r="DF3721" s="1593"/>
      <c r="DG3721" s="1593"/>
      <c r="DH3721" s="1593"/>
      <c r="DI3721" s="1593"/>
      <c r="DJ3721" s="1593"/>
      <c r="DK3721" s="1593"/>
      <c r="DL3721" s="1593"/>
      <c r="DM3721" s="1593"/>
      <c r="DN3721" s="1593"/>
      <c r="DO3721" s="1593"/>
      <c r="DP3721" s="1593"/>
      <c r="DQ3721" s="1593"/>
      <c r="DR3721" s="1593"/>
      <c r="DS3721" s="1593"/>
      <c r="DT3721" s="1593"/>
      <c r="DU3721" s="1593"/>
      <c r="DV3721" s="1593"/>
      <c r="DW3721" s="1593"/>
      <c r="DX3721" s="1593"/>
      <c r="DY3721" s="1593"/>
      <c r="DZ3721" s="1593"/>
      <c r="EA3721" s="1593"/>
      <c r="EB3721" s="1593"/>
      <c r="EC3721" s="1593"/>
      <c r="ED3721" s="1593"/>
      <c r="EE3721" s="1593"/>
      <c r="EF3721" s="1593"/>
      <c r="EG3721" s="1593"/>
      <c r="EH3721" s="1593"/>
      <c r="EI3721" s="1593"/>
      <c r="EJ3721" s="1593"/>
      <c r="EK3721" s="1593"/>
      <c r="EL3721" s="1593"/>
      <c r="EM3721" s="1593"/>
      <c r="EN3721" s="1593"/>
      <c r="EO3721" s="1593"/>
      <c r="EP3721" s="1593"/>
      <c r="EQ3721" s="1593"/>
      <c r="ER3721" s="1593"/>
      <c r="ES3721" s="1593"/>
      <c r="ET3721" s="1588"/>
      <c r="EU3721" s="1588"/>
      <c r="EV3721" s="1588"/>
      <c r="EW3721" s="1709"/>
      <c r="EX3721" s="1709"/>
      <c r="EY3721" s="1867"/>
      <c r="EZ3721" s="1867"/>
      <c r="FA3721" s="1867"/>
      <c r="FB3721" s="1867"/>
      <c r="FC3721" s="1867"/>
      <c r="FD3721" s="1867"/>
      <c r="FE3721" s="1867"/>
      <c r="FF3721" s="1867"/>
      <c r="FG3721" s="1867"/>
      <c r="FH3721" s="1867"/>
      <c r="FI3721" s="1867"/>
      <c r="FJ3721" s="1867"/>
      <c r="FK3721" s="1867"/>
      <c r="FL3721" s="1867"/>
      <c r="FM3721" s="1867"/>
      <c r="FN3721" s="1867"/>
      <c r="FO3721" s="1867"/>
      <c r="FP3721" s="1867"/>
      <c r="FQ3721" s="1867"/>
      <c r="FR3721" s="1867"/>
      <c r="FS3721" s="1867"/>
      <c r="FT3721" s="1867"/>
      <c r="FU3721" s="1710"/>
      <c r="FV3721" s="1710"/>
      <c r="FW3721" s="1710"/>
      <c r="FX3721" s="1710"/>
      <c r="FY3721" s="1710"/>
      <c r="FZ3721" s="1710"/>
      <c r="GA3721" s="1710"/>
      <c r="GB3721" s="1710"/>
      <c r="GC3721" s="1710" t="s">
        <v>588</v>
      </c>
      <c r="GD3721" s="1710" t="s">
        <v>588</v>
      </c>
      <c r="GE3721" s="1710" t="s">
        <v>588</v>
      </c>
      <c r="GF3721" s="1710" t="s">
        <v>588</v>
      </c>
      <c r="GG3721" s="1710" t="s">
        <v>588</v>
      </c>
      <c r="GH3721" s="1635" t="s">
        <v>8606</v>
      </c>
      <c r="GI3721" s="1635" t="s">
        <v>588</v>
      </c>
      <c r="GJ3721" s="1635" t="s">
        <v>588</v>
      </c>
      <c r="GK3721" s="1635" t="s">
        <v>588</v>
      </c>
      <c r="GL3721" s="1635" t="s">
        <v>588</v>
      </c>
      <c r="GM3721" s="1710"/>
      <c r="GN3721" s="1710"/>
      <c r="GO3721" s="1710"/>
      <c r="GP3721" s="1710"/>
      <c r="GQ3721" s="1710"/>
      <c r="GR3721" s="1635"/>
      <c r="GS3721" s="1635"/>
      <c r="GT3721" s="1635"/>
      <c r="GU3721" s="1635"/>
      <c r="GV3721" s="1635"/>
    </row>
    <row r="3722" spans="1:204" s="1711" customFormat="1" ht="16.5" customHeight="1" x14ac:dyDescent="0.25">
      <c r="A3722" s="1591"/>
      <c r="B3722" s="1708"/>
      <c r="C3722" s="2799" t="s">
        <v>929</v>
      </c>
      <c r="D3722" s="2799"/>
      <c r="E3722" s="2799"/>
      <c r="F3722" s="2799"/>
      <c r="G3722" s="2799"/>
      <c r="H3722" s="2799"/>
      <c r="I3722" s="2799"/>
      <c r="J3722" s="2799"/>
      <c r="K3722" s="2799"/>
      <c r="L3722" s="2799"/>
      <c r="V3722" s="1867"/>
      <c r="W3722" s="1867"/>
      <c r="X3722" s="1867"/>
      <c r="Y3722" s="1867"/>
      <c r="Z3722" s="1867"/>
      <c r="AA3722" s="1867"/>
      <c r="AB3722" s="1867"/>
      <c r="AC3722" s="1867"/>
      <c r="AD3722" s="1867"/>
      <c r="AE3722" s="1867"/>
      <c r="AF3722" s="1867"/>
      <c r="AG3722" s="1867"/>
      <c r="AH3722" s="1867"/>
      <c r="AI3722" s="1867"/>
      <c r="AJ3722" s="1867"/>
      <c r="AK3722" s="1867"/>
      <c r="AL3722" s="1867"/>
      <c r="AM3722" s="1867"/>
      <c r="AN3722" s="1867"/>
      <c r="AO3722" s="1867"/>
      <c r="AP3722" s="1867"/>
      <c r="AQ3722" s="1867"/>
      <c r="AR3722" s="1867"/>
      <c r="AS3722" s="1867"/>
      <c r="AT3722" s="1867"/>
      <c r="AU3722" s="1867"/>
      <c r="AV3722" s="1867"/>
      <c r="AW3722" s="1867"/>
      <c r="AX3722" s="1867"/>
      <c r="AY3722" s="1867"/>
      <c r="AZ3722" s="1867"/>
      <c r="BA3722" s="1867"/>
      <c r="BB3722" s="1867"/>
      <c r="BC3722" s="1867"/>
      <c r="BD3722" s="1867"/>
      <c r="BE3722" s="1867"/>
      <c r="BF3722" s="1867"/>
      <c r="BG3722" s="1867"/>
      <c r="BH3722" s="1867"/>
      <c r="BI3722" s="1867"/>
      <c r="BJ3722" s="1867"/>
      <c r="BK3722" s="1867"/>
      <c r="BL3722" s="1867"/>
      <c r="BM3722" s="1867"/>
      <c r="BN3722" s="1867"/>
      <c r="BO3722" s="1867"/>
      <c r="BP3722" s="1867"/>
      <c r="BQ3722" s="1867"/>
      <c r="BR3722" s="1867"/>
      <c r="BS3722" s="1867"/>
      <c r="BT3722" s="1867"/>
      <c r="BU3722" s="1867"/>
      <c r="BV3722" s="1867"/>
      <c r="BW3722" s="1867"/>
      <c r="BX3722" s="1867"/>
      <c r="BY3722" s="1867"/>
      <c r="BZ3722" s="1867"/>
      <c r="CA3722" s="1867"/>
      <c r="CB3722" s="1867"/>
      <c r="CC3722" s="1867"/>
      <c r="CD3722" s="1867"/>
      <c r="CE3722" s="1867"/>
      <c r="CF3722" s="1867"/>
      <c r="CG3722" s="1867"/>
      <c r="CH3722" s="1867"/>
      <c r="CI3722" s="1867"/>
      <c r="CJ3722" s="1867"/>
      <c r="CK3722" s="1867"/>
      <c r="CL3722" s="1867"/>
      <c r="CM3722" s="1867"/>
      <c r="CN3722" s="1867"/>
      <c r="CO3722" s="1867"/>
      <c r="CP3722" s="1867"/>
      <c r="CQ3722" s="1867"/>
      <c r="CR3722" s="1867"/>
      <c r="CS3722" s="1867"/>
      <c r="CT3722" s="1867"/>
      <c r="CU3722" s="1867"/>
      <c r="CV3722" s="1867"/>
      <c r="CW3722" s="1867"/>
      <c r="CX3722" s="1867"/>
      <c r="CY3722" s="1867"/>
      <c r="CZ3722" s="1867"/>
      <c r="DA3722" s="1867"/>
      <c r="DB3722" s="1867"/>
      <c r="DC3722" s="1867"/>
      <c r="DD3722" s="1855"/>
      <c r="DE3722" s="1855"/>
      <c r="DF3722" s="1855"/>
      <c r="DG3722" s="1855"/>
      <c r="DH3722" s="1855"/>
      <c r="DI3722" s="1855"/>
      <c r="DJ3722" s="1855"/>
      <c r="DK3722" s="1855"/>
      <c r="DL3722" s="1855"/>
      <c r="DM3722" s="1855"/>
      <c r="DN3722" s="1855"/>
      <c r="DO3722" s="1855"/>
      <c r="DP3722" s="1855"/>
      <c r="DQ3722" s="1855"/>
      <c r="DR3722" s="1855"/>
      <c r="DS3722" s="1855"/>
      <c r="DT3722" s="1855"/>
      <c r="DU3722" s="1855"/>
      <c r="DV3722" s="1855"/>
      <c r="DW3722" s="1855"/>
      <c r="DX3722" s="1855"/>
      <c r="DY3722" s="1855"/>
      <c r="DZ3722" s="1855"/>
      <c r="EA3722" s="1855"/>
      <c r="EB3722" s="1855"/>
      <c r="EC3722" s="1855"/>
      <c r="ED3722" s="1855"/>
      <c r="EE3722" s="1855"/>
      <c r="EF3722" s="1855"/>
      <c r="EG3722" s="1855"/>
      <c r="EH3722" s="1855"/>
      <c r="EI3722" s="1855"/>
      <c r="EJ3722" s="1855"/>
      <c r="EK3722" s="1855"/>
      <c r="EL3722" s="1855"/>
      <c r="EM3722" s="1855"/>
      <c r="EN3722" s="1855"/>
      <c r="EO3722" s="1855"/>
      <c r="EP3722" s="1855"/>
      <c r="EQ3722" s="1855"/>
      <c r="ER3722" s="1855"/>
      <c r="ES3722" s="1855"/>
      <c r="ET3722" s="1710"/>
      <c r="EU3722" s="1710"/>
      <c r="EV3722" s="1710"/>
      <c r="EW3722" s="1709"/>
      <c r="EX3722" s="1709"/>
      <c r="EY3722" s="1867"/>
      <c r="EZ3722" s="1867"/>
      <c r="FA3722" s="1867"/>
      <c r="FB3722" s="1867"/>
      <c r="FC3722" s="1867"/>
      <c r="FD3722" s="1867"/>
      <c r="FE3722" s="1867"/>
      <c r="FF3722" s="1867"/>
      <c r="FG3722" s="1867"/>
      <c r="FH3722" s="1867"/>
      <c r="FI3722" s="1867"/>
      <c r="FJ3722" s="1867"/>
      <c r="FK3722" s="1867"/>
      <c r="FL3722" s="1867"/>
      <c r="FM3722" s="1867"/>
      <c r="FN3722" s="1867"/>
      <c r="FO3722" s="1867"/>
      <c r="FP3722" s="1867"/>
      <c r="FQ3722" s="1867"/>
      <c r="FR3722" s="1867"/>
      <c r="FS3722" s="1867"/>
      <c r="FT3722" s="1867"/>
      <c r="FU3722" s="1710"/>
      <c r="FV3722" s="1710"/>
      <c r="FW3722" s="1710"/>
      <c r="FX3722" s="1710"/>
      <c r="FY3722" s="1710"/>
      <c r="FZ3722" s="1710"/>
      <c r="GA3722" s="1710"/>
      <c r="GB3722" s="1710"/>
      <c r="GC3722" s="1710"/>
      <c r="GD3722" s="1710"/>
      <c r="GE3722" s="1710"/>
      <c r="GF3722" s="1710"/>
      <c r="GG3722" s="1710"/>
      <c r="GH3722" s="1635"/>
      <c r="GI3722" s="1635"/>
      <c r="GJ3722" s="1635"/>
      <c r="GK3722" s="1635"/>
      <c r="GL3722" s="1635"/>
      <c r="GM3722" s="1710"/>
      <c r="GN3722" s="1710"/>
      <c r="GO3722" s="1710"/>
      <c r="GP3722" s="1710"/>
      <c r="GQ3722" s="1710"/>
      <c r="GR3722" s="1635"/>
      <c r="GS3722" s="1635"/>
      <c r="GT3722" s="1635"/>
      <c r="GU3722" s="1635"/>
      <c r="GV3722" s="1635"/>
    </row>
    <row r="3723" spans="1:204" s="1601" customFormat="1" ht="15" x14ac:dyDescent="0.25">
      <c r="A3723" s="1584"/>
      <c r="B3723" s="1708" t="s">
        <v>930</v>
      </c>
      <c r="C3723" s="2797"/>
      <c r="D3723" s="2797"/>
      <c r="E3723" s="2797"/>
      <c r="F3723" s="2797"/>
      <c r="G3723" s="2797"/>
      <c r="H3723" s="2798" t="s">
        <v>8607</v>
      </c>
      <c r="I3723" s="2798"/>
      <c r="J3723" s="2798"/>
      <c r="K3723" s="2798"/>
      <c r="L3723" s="2798"/>
      <c r="M3723" s="1484"/>
      <c r="N3723" s="1484"/>
      <c r="O3723" s="1484"/>
      <c r="P3723" s="1484"/>
      <c r="Q3723" s="1484"/>
      <c r="R3723" s="1484"/>
      <c r="S3723" s="1484"/>
      <c r="T3723" s="1484"/>
      <c r="U3723" s="1484"/>
      <c r="V3723" s="1585"/>
      <c r="W3723" s="1585"/>
      <c r="X3723" s="1585"/>
      <c r="Y3723" s="1585"/>
      <c r="Z3723" s="1585"/>
      <c r="AA3723" s="1585"/>
      <c r="AB3723" s="1585"/>
      <c r="AC3723" s="1585"/>
      <c r="AD3723" s="1585"/>
      <c r="AE3723" s="1585"/>
      <c r="AF3723" s="1585"/>
      <c r="AG3723" s="1585"/>
      <c r="AH3723" s="1585"/>
      <c r="AI3723" s="1585"/>
      <c r="AJ3723" s="1585"/>
      <c r="AK3723" s="1585"/>
      <c r="AL3723" s="1867"/>
      <c r="AM3723" s="1867"/>
      <c r="AN3723" s="1867"/>
      <c r="AO3723" s="1867"/>
      <c r="AP3723" s="1867"/>
      <c r="AQ3723" s="1867"/>
      <c r="AR3723" s="1585"/>
      <c r="AS3723" s="1585"/>
      <c r="AT3723" s="1585"/>
      <c r="AU3723" s="1585"/>
      <c r="AV3723" s="1585"/>
      <c r="AW3723" s="1585"/>
      <c r="AX3723" s="1585"/>
      <c r="AY3723" s="1585"/>
      <c r="AZ3723" s="1867"/>
      <c r="BA3723" s="1867"/>
      <c r="BB3723" s="1867"/>
      <c r="BC3723" s="1867"/>
      <c r="BD3723" s="1867"/>
      <c r="BE3723" s="1867"/>
      <c r="BF3723" s="1585"/>
      <c r="BG3723" s="1585"/>
      <c r="BH3723" s="1585"/>
      <c r="BI3723" s="1585"/>
      <c r="BJ3723" s="1585"/>
      <c r="BK3723" s="1585"/>
      <c r="BL3723" s="1585"/>
      <c r="BM3723" s="1585"/>
      <c r="BN3723" s="1867"/>
      <c r="BO3723" s="1867"/>
      <c r="BP3723" s="1867"/>
      <c r="BQ3723" s="1867"/>
      <c r="BR3723" s="1867"/>
      <c r="BS3723" s="1867"/>
      <c r="BT3723" s="1585"/>
      <c r="BU3723" s="1585"/>
      <c r="BV3723" s="1585"/>
      <c r="BW3723" s="1585"/>
      <c r="BX3723" s="1585"/>
      <c r="BY3723" s="1585"/>
      <c r="BZ3723" s="1585"/>
      <c r="CA3723" s="1585"/>
      <c r="CB3723" s="1867"/>
      <c r="CC3723" s="1867"/>
      <c r="CD3723" s="1867"/>
      <c r="CE3723" s="1867"/>
      <c r="CF3723" s="1867"/>
      <c r="CG3723" s="1867"/>
      <c r="CH3723" s="1585"/>
      <c r="CI3723" s="1585"/>
      <c r="CJ3723" s="1585"/>
      <c r="CK3723" s="1585"/>
      <c r="CL3723" s="1585"/>
      <c r="CM3723" s="1585"/>
      <c r="CN3723" s="1585"/>
      <c r="CO3723" s="1585"/>
      <c r="CP3723" s="1867"/>
      <c r="CQ3723" s="1867"/>
      <c r="CR3723" s="1867"/>
      <c r="CS3723" s="1867"/>
      <c r="CT3723" s="1867"/>
      <c r="CU3723" s="1867"/>
      <c r="CV3723" s="1585"/>
      <c r="CW3723" s="1585"/>
      <c r="CX3723" s="1585"/>
      <c r="CY3723" s="1585"/>
      <c r="CZ3723" s="1585"/>
      <c r="DA3723" s="1585"/>
      <c r="DB3723" s="1585"/>
      <c r="DC3723" s="1585"/>
      <c r="DD3723" s="1593"/>
      <c r="DE3723" s="1593"/>
      <c r="DF3723" s="1593"/>
      <c r="DG3723" s="1593"/>
      <c r="DH3723" s="1593"/>
      <c r="DI3723" s="1593"/>
      <c r="DJ3723" s="1593"/>
      <c r="DK3723" s="1593"/>
      <c r="DL3723" s="1593"/>
      <c r="DM3723" s="1593"/>
      <c r="DN3723" s="1593"/>
      <c r="DO3723" s="1593"/>
      <c r="DP3723" s="1593"/>
      <c r="DQ3723" s="1593"/>
      <c r="DR3723" s="1593"/>
      <c r="DS3723" s="1593"/>
      <c r="DT3723" s="1593"/>
      <c r="DU3723" s="1593"/>
      <c r="DV3723" s="1593"/>
      <c r="DW3723" s="1593"/>
      <c r="DX3723" s="1593"/>
      <c r="DY3723" s="1593"/>
      <c r="DZ3723" s="1593"/>
      <c r="EA3723" s="1593"/>
      <c r="EB3723" s="1593"/>
      <c r="EC3723" s="1593"/>
      <c r="ED3723" s="1593"/>
      <c r="EE3723" s="1593"/>
      <c r="EF3723" s="1593"/>
      <c r="EG3723" s="1593"/>
      <c r="EH3723" s="1593"/>
      <c r="EI3723" s="1593"/>
      <c r="EJ3723" s="1593"/>
      <c r="EK3723" s="1593"/>
      <c r="EL3723" s="1593"/>
      <c r="EM3723" s="1593"/>
      <c r="EN3723" s="1593"/>
      <c r="EO3723" s="1593"/>
      <c r="EP3723" s="1593"/>
      <c r="EQ3723" s="1593"/>
      <c r="ER3723" s="1593"/>
      <c r="ES3723" s="1593"/>
      <c r="ET3723" s="1588"/>
      <c r="EU3723" s="1588"/>
      <c r="EV3723" s="1588"/>
      <c r="EW3723" s="1709"/>
      <c r="EX3723" s="1709"/>
      <c r="EY3723" s="1867"/>
      <c r="EZ3723" s="1867"/>
      <c r="FA3723" s="1867"/>
      <c r="FB3723" s="1867"/>
      <c r="FC3723" s="1867"/>
      <c r="FD3723" s="1867"/>
      <c r="FE3723" s="1867"/>
      <c r="FF3723" s="1867"/>
      <c r="FG3723" s="1867"/>
      <c r="FH3723" s="1867"/>
      <c r="FI3723" s="1867"/>
      <c r="FJ3723" s="1867"/>
      <c r="FK3723" s="1867"/>
      <c r="FL3723" s="1867"/>
      <c r="FM3723" s="1867"/>
      <c r="FN3723" s="1867"/>
      <c r="FO3723" s="1867"/>
      <c r="FP3723" s="1867"/>
      <c r="FQ3723" s="1867"/>
      <c r="FR3723" s="1867"/>
      <c r="FS3723" s="1867"/>
      <c r="FT3723" s="1867"/>
      <c r="FU3723" s="1710"/>
      <c r="FV3723" s="1710"/>
      <c r="FW3723" s="1710"/>
      <c r="FX3723" s="1710"/>
      <c r="FY3723" s="1710"/>
      <c r="FZ3723" s="1710"/>
      <c r="GA3723" s="1710"/>
      <c r="GB3723" s="1710"/>
      <c r="GC3723" s="1710"/>
      <c r="GD3723" s="1710"/>
      <c r="GE3723" s="1710"/>
      <c r="GF3723" s="1710"/>
      <c r="GG3723" s="1710"/>
      <c r="GH3723" s="1635"/>
      <c r="GI3723" s="1635"/>
      <c r="GJ3723" s="1635"/>
      <c r="GK3723" s="1635"/>
      <c r="GL3723" s="1635"/>
      <c r="GM3723" s="1710" t="s">
        <v>588</v>
      </c>
      <c r="GN3723" s="1710" t="s">
        <v>588</v>
      </c>
      <c r="GO3723" s="1710" t="s">
        <v>588</v>
      </c>
      <c r="GP3723" s="1710" t="s">
        <v>588</v>
      </c>
      <c r="GQ3723" s="1710" t="s">
        <v>588</v>
      </c>
      <c r="GR3723" s="1635" t="s">
        <v>8607</v>
      </c>
      <c r="GS3723" s="1635" t="s">
        <v>588</v>
      </c>
      <c r="GT3723" s="1635" t="s">
        <v>588</v>
      </c>
      <c r="GU3723" s="1635" t="s">
        <v>588</v>
      </c>
      <c r="GV3723" s="1635" t="s">
        <v>588</v>
      </c>
    </row>
    <row r="3724" spans="1:204" s="1711" customFormat="1" ht="16.5" customHeight="1" x14ac:dyDescent="0.25">
      <c r="A3724" s="1591"/>
      <c r="C3724" s="2799" t="s">
        <v>929</v>
      </c>
      <c r="D3724" s="2799"/>
      <c r="E3724" s="2799"/>
      <c r="F3724" s="2799"/>
      <c r="G3724" s="2799"/>
      <c r="H3724" s="2799"/>
      <c r="I3724" s="2799"/>
      <c r="J3724" s="2799"/>
      <c r="K3724" s="2799"/>
      <c r="L3724" s="2799"/>
      <c r="V3724" s="1867"/>
      <c r="W3724" s="1867"/>
      <c r="X3724" s="1867"/>
      <c r="Y3724" s="1867"/>
      <c r="Z3724" s="1867"/>
      <c r="AA3724" s="1867"/>
      <c r="AB3724" s="1867"/>
      <c r="AC3724" s="1867"/>
      <c r="AD3724" s="1867"/>
      <c r="AE3724" s="1867"/>
      <c r="AF3724" s="1867"/>
      <c r="AG3724" s="1867"/>
      <c r="AH3724" s="1867"/>
      <c r="AI3724" s="1867"/>
      <c r="AJ3724" s="1867"/>
      <c r="AK3724" s="1867"/>
      <c r="AL3724" s="1867"/>
      <c r="AM3724" s="1867"/>
      <c r="AN3724" s="1867"/>
      <c r="AO3724" s="1867"/>
      <c r="AP3724" s="1867"/>
      <c r="AQ3724" s="1867"/>
      <c r="AR3724" s="1867"/>
      <c r="AS3724" s="1867"/>
      <c r="AT3724" s="1867"/>
      <c r="AU3724" s="1867"/>
      <c r="AV3724" s="1867"/>
      <c r="AW3724" s="1867"/>
      <c r="AX3724" s="1867"/>
      <c r="AY3724" s="1867"/>
      <c r="AZ3724" s="1867"/>
      <c r="BA3724" s="1867"/>
      <c r="BB3724" s="1867"/>
      <c r="BC3724" s="1867"/>
      <c r="BD3724" s="1867"/>
      <c r="BE3724" s="1867"/>
      <c r="BF3724" s="1867"/>
      <c r="BG3724" s="1867"/>
      <c r="BH3724" s="1867"/>
      <c r="BI3724" s="1867"/>
      <c r="BJ3724" s="1867"/>
      <c r="BK3724" s="1867"/>
      <c r="BL3724" s="1867"/>
      <c r="BM3724" s="1867"/>
      <c r="BN3724" s="1867"/>
      <c r="BO3724" s="1867"/>
      <c r="BP3724" s="1867"/>
      <c r="BQ3724" s="1867"/>
      <c r="BR3724" s="1867"/>
      <c r="BS3724" s="1867"/>
      <c r="BT3724" s="1867"/>
      <c r="BU3724" s="1867"/>
      <c r="BV3724" s="1867"/>
      <c r="BW3724" s="1867"/>
      <c r="BX3724" s="1867"/>
      <c r="BY3724" s="1867"/>
      <c r="BZ3724" s="1867"/>
      <c r="CA3724" s="1867"/>
      <c r="CB3724" s="1867"/>
      <c r="CC3724" s="1867"/>
      <c r="CD3724" s="1867"/>
      <c r="CE3724" s="1867"/>
      <c r="CF3724" s="1867"/>
      <c r="CG3724" s="1867"/>
      <c r="CH3724" s="1867"/>
      <c r="CI3724" s="1867"/>
      <c r="CJ3724" s="1867"/>
      <c r="CK3724" s="1867"/>
      <c r="CL3724" s="1867"/>
      <c r="CM3724" s="1867"/>
      <c r="CN3724" s="1867"/>
      <c r="CO3724" s="1867"/>
      <c r="CP3724" s="1867"/>
      <c r="CQ3724" s="1867"/>
      <c r="CR3724" s="1867"/>
      <c r="CS3724" s="1867"/>
      <c r="CT3724" s="1867"/>
      <c r="CU3724" s="1867"/>
      <c r="CV3724" s="1867"/>
      <c r="CW3724" s="1867"/>
      <c r="CX3724" s="1867"/>
      <c r="CY3724" s="1867"/>
      <c r="CZ3724" s="1867"/>
      <c r="DA3724" s="1867"/>
      <c r="DB3724" s="1867"/>
      <c r="DC3724" s="1867"/>
      <c r="DD3724" s="1855"/>
      <c r="DE3724" s="1855"/>
      <c r="DF3724" s="1855"/>
      <c r="DG3724" s="1855"/>
      <c r="DH3724" s="1855"/>
      <c r="DI3724" s="1855"/>
      <c r="DJ3724" s="1855"/>
      <c r="DK3724" s="1855"/>
      <c r="DL3724" s="1855"/>
      <c r="DM3724" s="1855"/>
      <c r="DN3724" s="1855"/>
      <c r="DO3724" s="1855"/>
      <c r="DP3724" s="1855"/>
      <c r="DQ3724" s="1855"/>
      <c r="DR3724" s="1855"/>
      <c r="DS3724" s="1855"/>
      <c r="DT3724" s="1855"/>
      <c r="DU3724" s="1855"/>
      <c r="DV3724" s="1855"/>
      <c r="DW3724" s="1855"/>
      <c r="DX3724" s="1855"/>
      <c r="DY3724" s="1855"/>
      <c r="DZ3724" s="1855"/>
      <c r="EA3724" s="1855"/>
      <c r="EB3724" s="1855"/>
      <c r="EC3724" s="1855"/>
      <c r="ED3724" s="1855"/>
      <c r="EE3724" s="1855"/>
      <c r="EF3724" s="1855"/>
      <c r="EG3724" s="1855"/>
      <c r="EH3724" s="1855"/>
      <c r="EI3724" s="1855"/>
      <c r="EJ3724" s="1855"/>
      <c r="EK3724" s="1855"/>
      <c r="EL3724" s="1855"/>
      <c r="EM3724" s="1855"/>
      <c r="EN3724" s="1855"/>
      <c r="EO3724" s="1855"/>
      <c r="EP3724" s="1855"/>
      <c r="EQ3724" s="1855"/>
      <c r="ER3724" s="1855"/>
      <c r="ES3724" s="1855"/>
      <c r="ET3724" s="1710"/>
      <c r="EU3724" s="1710"/>
      <c r="EV3724" s="1710"/>
      <c r="EW3724" s="1709"/>
      <c r="EX3724" s="1709"/>
      <c r="EY3724" s="1867"/>
      <c r="EZ3724" s="1867"/>
      <c r="FA3724" s="1867"/>
      <c r="FB3724" s="1867"/>
      <c r="FC3724" s="1867"/>
      <c r="FD3724" s="1867"/>
      <c r="FE3724" s="1867"/>
      <c r="FF3724" s="1867"/>
      <c r="FG3724" s="1867"/>
      <c r="FH3724" s="1867"/>
      <c r="FI3724" s="1867"/>
      <c r="FJ3724" s="1867"/>
      <c r="FK3724" s="1867"/>
      <c r="FL3724" s="1867"/>
      <c r="FM3724" s="1867"/>
      <c r="FN3724" s="1867"/>
      <c r="FO3724" s="1867"/>
      <c r="FP3724" s="1867"/>
      <c r="FQ3724" s="1867"/>
      <c r="FR3724" s="1867"/>
      <c r="FS3724" s="1867"/>
      <c r="FT3724" s="1867"/>
      <c r="FU3724" s="1710"/>
      <c r="FV3724" s="1710"/>
      <c r="FW3724" s="1710"/>
      <c r="FX3724" s="1710"/>
      <c r="FY3724" s="1710"/>
      <c r="FZ3724" s="1710"/>
      <c r="GA3724" s="1710"/>
      <c r="GB3724" s="1710"/>
      <c r="GC3724" s="1710"/>
      <c r="GD3724" s="1710"/>
      <c r="GE3724" s="1710"/>
      <c r="GF3724" s="1710"/>
      <c r="GG3724" s="1710"/>
      <c r="GH3724" s="1635"/>
      <c r="GI3724" s="1635"/>
      <c r="GJ3724" s="1635"/>
      <c r="GK3724" s="1635"/>
      <c r="GL3724" s="1635"/>
      <c r="GM3724" s="1710"/>
      <c r="GN3724" s="1710"/>
      <c r="GO3724" s="1710"/>
      <c r="GP3724" s="1710"/>
      <c r="GQ3724" s="1710"/>
      <c r="GR3724" s="1635"/>
      <c r="GS3724" s="1635"/>
      <c r="GT3724" s="1635"/>
      <c r="GU3724" s="1635"/>
      <c r="GV3724" s="1635"/>
    </row>
    <row r="3725" spans="1:204" s="1601" customFormat="1" x14ac:dyDescent="0.2">
      <c r="A3725" s="1584"/>
      <c r="C3725" s="2067"/>
      <c r="D3725" s="2067"/>
      <c r="E3725" s="2067"/>
      <c r="F3725" s="2067"/>
      <c r="G3725" s="2067"/>
      <c r="H3725" s="2067"/>
      <c r="I3725" s="2067"/>
      <c r="J3725" s="2067"/>
      <c r="K3725" s="2067"/>
      <c r="L3725" s="2067"/>
      <c r="V3725" s="1585"/>
      <c r="W3725" s="1585"/>
      <c r="X3725" s="1585"/>
      <c r="Y3725" s="1585"/>
      <c r="Z3725" s="1585"/>
      <c r="AA3725" s="1585"/>
      <c r="AB3725" s="1585"/>
      <c r="AC3725" s="1585"/>
      <c r="AD3725" s="1585"/>
      <c r="AE3725" s="1585"/>
      <c r="AF3725" s="1585"/>
      <c r="AG3725" s="1585"/>
      <c r="AH3725" s="1585"/>
      <c r="AI3725" s="1585"/>
      <c r="AJ3725" s="1585"/>
      <c r="AK3725" s="1585"/>
      <c r="AL3725" s="1867"/>
      <c r="AM3725" s="1867"/>
      <c r="AN3725" s="1867"/>
      <c r="AO3725" s="1867"/>
      <c r="AP3725" s="1867"/>
      <c r="AQ3725" s="1867"/>
      <c r="AR3725" s="1585"/>
      <c r="AS3725" s="1585"/>
      <c r="AT3725" s="1585"/>
      <c r="AU3725" s="1585"/>
      <c r="AV3725" s="1585"/>
      <c r="AW3725" s="1585"/>
      <c r="AX3725" s="1585"/>
      <c r="AY3725" s="1585"/>
      <c r="AZ3725" s="1867"/>
      <c r="BA3725" s="1867"/>
      <c r="BB3725" s="1867"/>
      <c r="BC3725" s="1867"/>
      <c r="BD3725" s="1867"/>
      <c r="BE3725" s="1867"/>
      <c r="BF3725" s="1585"/>
      <c r="BG3725" s="1585"/>
      <c r="BH3725" s="1585"/>
      <c r="BI3725" s="1585"/>
      <c r="BJ3725" s="1585"/>
      <c r="BK3725" s="1585"/>
      <c r="BL3725" s="1585"/>
      <c r="BM3725" s="1585"/>
      <c r="BN3725" s="1867"/>
      <c r="BO3725" s="1867"/>
      <c r="BP3725" s="1867"/>
      <c r="BQ3725" s="1867"/>
      <c r="BR3725" s="1867"/>
      <c r="BS3725" s="1867"/>
      <c r="BT3725" s="1585"/>
      <c r="BU3725" s="1585"/>
      <c r="BV3725" s="1585"/>
      <c r="BW3725" s="1585"/>
      <c r="BX3725" s="1585"/>
      <c r="BY3725" s="1585"/>
      <c r="BZ3725" s="1585"/>
      <c r="CA3725" s="1585"/>
      <c r="CB3725" s="1867"/>
      <c r="CC3725" s="1867"/>
      <c r="CD3725" s="1867"/>
      <c r="CE3725" s="1867"/>
      <c r="CF3725" s="1867"/>
      <c r="CG3725" s="1867"/>
      <c r="CH3725" s="1585"/>
      <c r="CI3725" s="1585"/>
      <c r="CJ3725" s="1585"/>
      <c r="CK3725" s="1585"/>
      <c r="CL3725" s="1585"/>
      <c r="CM3725" s="1585"/>
      <c r="CN3725" s="1585"/>
      <c r="CO3725" s="1585"/>
      <c r="CP3725" s="1867"/>
      <c r="CQ3725" s="1867"/>
      <c r="CR3725" s="1867"/>
      <c r="CS3725" s="1867"/>
      <c r="CT3725" s="1867"/>
      <c r="CU3725" s="1867"/>
      <c r="CV3725" s="1585"/>
      <c r="CW3725" s="1585"/>
      <c r="CX3725" s="1585"/>
      <c r="CY3725" s="1585"/>
      <c r="CZ3725" s="1585"/>
      <c r="DA3725" s="1585"/>
      <c r="DB3725" s="1585"/>
      <c r="DC3725" s="1585"/>
      <c r="DD3725" s="1593"/>
      <c r="DE3725" s="1593"/>
      <c r="DF3725" s="1593"/>
      <c r="DG3725" s="1593"/>
      <c r="DH3725" s="1593"/>
      <c r="DI3725" s="1593"/>
      <c r="DJ3725" s="1593"/>
      <c r="DK3725" s="1593"/>
      <c r="DL3725" s="1593"/>
      <c r="DM3725" s="1593"/>
      <c r="DN3725" s="1593"/>
      <c r="DO3725" s="1593"/>
      <c r="DP3725" s="1593"/>
      <c r="DQ3725" s="1593"/>
      <c r="DR3725" s="1593"/>
      <c r="DS3725" s="1593"/>
      <c r="DT3725" s="1593"/>
      <c r="DU3725" s="1593"/>
      <c r="DV3725" s="1593"/>
      <c r="DW3725" s="1593"/>
      <c r="DX3725" s="1593"/>
      <c r="DY3725" s="1593"/>
      <c r="DZ3725" s="1593"/>
      <c r="EA3725" s="1593"/>
      <c r="EB3725" s="1593"/>
      <c r="EC3725" s="1593"/>
      <c r="ED3725" s="1593"/>
      <c r="EE3725" s="1593"/>
      <c r="EF3725" s="1593"/>
      <c r="EG3725" s="1593"/>
      <c r="EH3725" s="1593"/>
      <c r="EI3725" s="1593"/>
      <c r="EJ3725" s="1593"/>
      <c r="EK3725" s="1593"/>
      <c r="EL3725" s="1593"/>
      <c r="EM3725" s="1593"/>
      <c r="EN3725" s="1593"/>
      <c r="EO3725" s="1593"/>
      <c r="EP3725" s="1593"/>
      <c r="EQ3725" s="1593"/>
      <c r="ER3725" s="1593"/>
      <c r="ES3725" s="1593"/>
      <c r="ET3725" s="1588"/>
      <c r="EU3725" s="1588"/>
      <c r="EV3725" s="1588"/>
      <c r="EW3725" s="1709"/>
      <c r="EX3725" s="1709"/>
      <c r="EY3725" s="1867"/>
      <c r="EZ3725" s="1867"/>
      <c r="FA3725" s="1867"/>
      <c r="FB3725" s="1867"/>
      <c r="FC3725" s="1867"/>
      <c r="FD3725" s="1867"/>
      <c r="FE3725" s="1867"/>
      <c r="FF3725" s="1867"/>
      <c r="FG3725" s="1867"/>
      <c r="FH3725" s="1867"/>
      <c r="FI3725" s="1867"/>
      <c r="FJ3725" s="1867"/>
      <c r="FK3725" s="1867"/>
      <c r="FL3725" s="1867"/>
      <c r="FM3725" s="1867"/>
      <c r="FN3725" s="1867"/>
      <c r="FO3725" s="1867"/>
      <c r="FP3725" s="1867"/>
      <c r="FQ3725" s="1867"/>
      <c r="FR3725" s="1867"/>
      <c r="FS3725" s="1867"/>
      <c r="FT3725" s="1867"/>
      <c r="FU3725" s="1710"/>
      <c r="FV3725" s="1710"/>
      <c r="FW3725" s="1710"/>
      <c r="FX3725" s="1710"/>
      <c r="FY3725" s="1710"/>
      <c r="FZ3725" s="1710"/>
      <c r="GA3725" s="1710"/>
      <c r="GB3725" s="1710"/>
      <c r="GC3725" s="1710"/>
      <c r="GD3725" s="1710"/>
      <c r="GE3725" s="1710"/>
      <c r="GF3725" s="1710"/>
      <c r="GG3725" s="1710"/>
      <c r="GH3725" s="1635"/>
      <c r="GI3725" s="1635"/>
      <c r="GJ3725" s="1635"/>
      <c r="GK3725" s="1635"/>
      <c r="GL3725" s="1635"/>
      <c r="GM3725" s="1710"/>
      <c r="GN3725" s="1710"/>
      <c r="GO3725" s="1710"/>
      <c r="GP3725" s="1710"/>
      <c r="GQ3725" s="1710"/>
      <c r="GR3725" s="1635"/>
      <c r="GS3725" s="1635"/>
      <c r="GT3725" s="1635"/>
      <c r="GU3725" s="1635"/>
      <c r="GV3725" s="1635"/>
    </row>
    <row r="3726" spans="1:204" s="1484" customFormat="1" ht="15" x14ac:dyDescent="0.25">
      <c r="B3726" s="1678"/>
      <c r="D3726" s="1678"/>
      <c r="F3726" s="1678"/>
    </row>
  </sheetData>
  <mergeCells count="3712">
    <mergeCell ref="G5:N5"/>
    <mergeCell ref="G6:N6"/>
    <mergeCell ref="A7:F7"/>
    <mergeCell ref="G7:N7"/>
    <mergeCell ref="A8:F8"/>
    <mergeCell ref="G8:N8"/>
    <mergeCell ref="A9:F9"/>
    <mergeCell ref="G9:N9"/>
    <mergeCell ref="A10:F10"/>
    <mergeCell ref="G10:N10"/>
    <mergeCell ref="A11:F11"/>
    <mergeCell ref="G11:N11"/>
    <mergeCell ref="A20:N20"/>
    <mergeCell ref="A21:N21"/>
    <mergeCell ref="B23:F23"/>
    <mergeCell ref="B24:F24"/>
    <mergeCell ref="D26:F26"/>
    <mergeCell ref="A13:N13"/>
    <mergeCell ref="A14:N14"/>
    <mergeCell ref="A16:N16"/>
    <mergeCell ref="A17:N17"/>
    <mergeCell ref="A18:N18"/>
    <mergeCell ref="L31:M31"/>
    <mergeCell ref="L32:M32"/>
    <mergeCell ref="L33:M33"/>
    <mergeCell ref="A35:A37"/>
    <mergeCell ref="B35:B37"/>
    <mergeCell ref="C35:E37"/>
    <mergeCell ref="F35:F37"/>
    <mergeCell ref="G35:I36"/>
    <mergeCell ref="J35:L36"/>
    <mergeCell ref="M35:M37"/>
    <mergeCell ref="C42:N42"/>
    <mergeCell ref="C43:N43"/>
    <mergeCell ref="C44:E44"/>
    <mergeCell ref="C45:E45"/>
    <mergeCell ref="C46:E46"/>
    <mergeCell ref="N35:N37"/>
    <mergeCell ref="C38:E38"/>
    <mergeCell ref="A39:N39"/>
    <mergeCell ref="A40:N40"/>
    <mergeCell ref="C41:E41"/>
    <mergeCell ref="C52:E52"/>
    <mergeCell ref="C53:E53"/>
    <mergeCell ref="C54:E54"/>
    <mergeCell ref="C55:E55"/>
    <mergeCell ref="C56:E56"/>
    <mergeCell ref="C47:E47"/>
    <mergeCell ref="C48:E48"/>
    <mergeCell ref="C49:E49"/>
    <mergeCell ref="C50:E50"/>
    <mergeCell ref="C51:E51"/>
    <mergeCell ref="C62:E62"/>
    <mergeCell ref="C63:E63"/>
    <mergeCell ref="C64:E64"/>
    <mergeCell ref="C65:E65"/>
    <mergeCell ref="C66:E66"/>
    <mergeCell ref="C57:E57"/>
    <mergeCell ref="C58:E58"/>
    <mergeCell ref="C59:E59"/>
    <mergeCell ref="C60:E60"/>
    <mergeCell ref="C61:E61"/>
    <mergeCell ref="C72:N72"/>
    <mergeCell ref="C73:N73"/>
    <mergeCell ref="C74:E74"/>
    <mergeCell ref="C75:E75"/>
    <mergeCell ref="C76:E76"/>
    <mergeCell ref="C67:E67"/>
    <mergeCell ref="C68:N68"/>
    <mergeCell ref="C69:N69"/>
    <mergeCell ref="C70:E70"/>
    <mergeCell ref="C71:E71"/>
    <mergeCell ref="C82:E82"/>
    <mergeCell ref="C83:E83"/>
    <mergeCell ref="C84:E84"/>
    <mergeCell ref="C85:E85"/>
    <mergeCell ref="C86:E86"/>
    <mergeCell ref="C77:E77"/>
    <mergeCell ref="C78:E78"/>
    <mergeCell ref="C79:E79"/>
    <mergeCell ref="C80:E80"/>
    <mergeCell ref="C81:E81"/>
    <mergeCell ref="C92:E92"/>
    <mergeCell ref="C93:E93"/>
    <mergeCell ref="C94:N94"/>
    <mergeCell ref="C95:N95"/>
    <mergeCell ref="C96:E96"/>
    <mergeCell ref="C87:E87"/>
    <mergeCell ref="C88:E88"/>
    <mergeCell ref="C89:E89"/>
    <mergeCell ref="C90:N90"/>
    <mergeCell ref="C91:N91"/>
    <mergeCell ref="C102:E102"/>
    <mergeCell ref="C103:E103"/>
    <mergeCell ref="C104:E104"/>
    <mergeCell ref="C105:E105"/>
    <mergeCell ref="C106:E106"/>
    <mergeCell ref="C97:E97"/>
    <mergeCell ref="C98:E98"/>
    <mergeCell ref="C99:E99"/>
    <mergeCell ref="C100:E100"/>
    <mergeCell ref="C101:E101"/>
    <mergeCell ref="C112:E112"/>
    <mergeCell ref="C113:E113"/>
    <mergeCell ref="C114:E114"/>
    <mergeCell ref="C115:N115"/>
    <mergeCell ref="C116:N116"/>
    <mergeCell ref="C107:E107"/>
    <mergeCell ref="C108:E108"/>
    <mergeCell ref="C109:E109"/>
    <mergeCell ref="C110:E110"/>
    <mergeCell ref="C111:E111"/>
    <mergeCell ref="C122:E122"/>
    <mergeCell ref="C123:E123"/>
    <mergeCell ref="C124:E124"/>
    <mergeCell ref="C125:E125"/>
    <mergeCell ref="C126:E126"/>
    <mergeCell ref="C117:E117"/>
    <mergeCell ref="A118:N118"/>
    <mergeCell ref="C119:E119"/>
    <mergeCell ref="C120:N120"/>
    <mergeCell ref="C121:N121"/>
    <mergeCell ref="C132:E132"/>
    <mergeCell ref="C133:E133"/>
    <mergeCell ref="C134:E134"/>
    <mergeCell ref="C135:E135"/>
    <mergeCell ref="C136:E136"/>
    <mergeCell ref="C127:E127"/>
    <mergeCell ref="C128:E128"/>
    <mergeCell ref="C129:E129"/>
    <mergeCell ref="C130:E130"/>
    <mergeCell ref="C131:E131"/>
    <mergeCell ref="C142:E142"/>
    <mergeCell ref="C143:E143"/>
    <mergeCell ref="C144:E144"/>
    <mergeCell ref="C145:E145"/>
    <mergeCell ref="C146:N146"/>
    <mergeCell ref="C137:E137"/>
    <mergeCell ref="C138:E138"/>
    <mergeCell ref="C139:E139"/>
    <mergeCell ref="C140:E140"/>
    <mergeCell ref="C141:E141"/>
    <mergeCell ref="C152:E152"/>
    <mergeCell ref="C153:E153"/>
    <mergeCell ref="C154:E154"/>
    <mergeCell ref="C155:E155"/>
    <mergeCell ref="C156:E156"/>
    <mergeCell ref="C147:E147"/>
    <mergeCell ref="C148:E148"/>
    <mergeCell ref="C149:N149"/>
    <mergeCell ref="C150:N150"/>
    <mergeCell ref="C151:E151"/>
    <mergeCell ref="C162:E162"/>
    <mergeCell ref="C163:E163"/>
    <mergeCell ref="C164:E164"/>
    <mergeCell ref="C165:E165"/>
    <mergeCell ref="C166:E166"/>
    <mergeCell ref="C157:E157"/>
    <mergeCell ref="C158:E158"/>
    <mergeCell ref="C159:E159"/>
    <mergeCell ref="C160:E160"/>
    <mergeCell ref="C161:E161"/>
    <mergeCell ref="C172:E172"/>
    <mergeCell ref="C173:N173"/>
    <mergeCell ref="C174:N174"/>
    <mergeCell ref="C175:E175"/>
    <mergeCell ref="C176:E176"/>
    <mergeCell ref="C167:E167"/>
    <mergeCell ref="C168:E168"/>
    <mergeCell ref="C169:N169"/>
    <mergeCell ref="C170:N170"/>
    <mergeCell ref="C171:E171"/>
    <mergeCell ref="C182:E182"/>
    <mergeCell ref="C183:E183"/>
    <mergeCell ref="C184:E184"/>
    <mergeCell ref="C185:E185"/>
    <mergeCell ref="C186:E186"/>
    <mergeCell ref="C177:E177"/>
    <mergeCell ref="C178:E178"/>
    <mergeCell ref="C179:E179"/>
    <mergeCell ref="C180:E180"/>
    <mergeCell ref="C181:E181"/>
    <mergeCell ref="C192:E192"/>
    <mergeCell ref="C193:E193"/>
    <mergeCell ref="C194:N194"/>
    <mergeCell ref="C195:N195"/>
    <mergeCell ref="C196:E196"/>
    <mergeCell ref="C187:E187"/>
    <mergeCell ref="C188:E188"/>
    <mergeCell ref="C189:E189"/>
    <mergeCell ref="C190:E190"/>
    <mergeCell ref="C191:E191"/>
    <mergeCell ref="C202:E202"/>
    <mergeCell ref="C203:E203"/>
    <mergeCell ref="C204:E204"/>
    <mergeCell ref="C205:E205"/>
    <mergeCell ref="C206:E206"/>
    <mergeCell ref="A197:N197"/>
    <mergeCell ref="C198:E198"/>
    <mergeCell ref="C199:N199"/>
    <mergeCell ref="C200:N200"/>
    <mergeCell ref="C201:E201"/>
    <mergeCell ref="C212:E212"/>
    <mergeCell ref="C213:E213"/>
    <mergeCell ref="C214:E214"/>
    <mergeCell ref="C215:E215"/>
    <mergeCell ref="C216:E216"/>
    <mergeCell ref="C207:E207"/>
    <mergeCell ref="C208:E208"/>
    <mergeCell ref="C209:E209"/>
    <mergeCell ref="C210:E210"/>
    <mergeCell ref="C211:E211"/>
    <mergeCell ref="C222:N222"/>
    <mergeCell ref="C223:E223"/>
    <mergeCell ref="C224:E224"/>
    <mergeCell ref="C225:N225"/>
    <mergeCell ref="C226:N226"/>
    <mergeCell ref="C217:E217"/>
    <mergeCell ref="C218:E218"/>
    <mergeCell ref="C219:E219"/>
    <mergeCell ref="C220:E220"/>
    <mergeCell ref="C221:N221"/>
    <mergeCell ref="C232:E232"/>
    <mergeCell ref="C233:E233"/>
    <mergeCell ref="C234:E234"/>
    <mergeCell ref="C235:E235"/>
    <mergeCell ref="C236:E236"/>
    <mergeCell ref="C227:E227"/>
    <mergeCell ref="C228:E228"/>
    <mergeCell ref="C229:E229"/>
    <mergeCell ref="C230:E230"/>
    <mergeCell ref="C231:E231"/>
    <mergeCell ref="C242:E242"/>
    <mergeCell ref="C243:E243"/>
    <mergeCell ref="C244:E244"/>
    <mergeCell ref="C245:E245"/>
    <mergeCell ref="C246:N246"/>
    <mergeCell ref="C237:E237"/>
    <mergeCell ref="C238:E238"/>
    <mergeCell ref="C239:E239"/>
    <mergeCell ref="C240:E240"/>
    <mergeCell ref="C241:E241"/>
    <mergeCell ref="C252:E252"/>
    <mergeCell ref="C253:E253"/>
    <mergeCell ref="C254:E254"/>
    <mergeCell ref="C255:E255"/>
    <mergeCell ref="C256:E256"/>
    <mergeCell ref="C247:E247"/>
    <mergeCell ref="A248:N248"/>
    <mergeCell ref="C249:E249"/>
    <mergeCell ref="C250:N250"/>
    <mergeCell ref="C251:N251"/>
    <mergeCell ref="C262:E262"/>
    <mergeCell ref="C263:E263"/>
    <mergeCell ref="C264:E264"/>
    <mergeCell ref="C265:E265"/>
    <mergeCell ref="C266:E266"/>
    <mergeCell ref="C257:E257"/>
    <mergeCell ref="C258:E258"/>
    <mergeCell ref="C259:E259"/>
    <mergeCell ref="C260:E260"/>
    <mergeCell ref="C261:E261"/>
    <mergeCell ref="C272:E272"/>
    <mergeCell ref="C273:E273"/>
    <mergeCell ref="C274:E274"/>
    <mergeCell ref="C275:E275"/>
    <mergeCell ref="C276:N276"/>
    <mergeCell ref="C267:E267"/>
    <mergeCell ref="C268:E268"/>
    <mergeCell ref="C269:E269"/>
    <mergeCell ref="C270:E270"/>
    <mergeCell ref="C271:E271"/>
    <mergeCell ref="C282:E282"/>
    <mergeCell ref="C283:E283"/>
    <mergeCell ref="C284:E284"/>
    <mergeCell ref="C285:E285"/>
    <mergeCell ref="C286:E286"/>
    <mergeCell ref="C277:N277"/>
    <mergeCell ref="C278:E278"/>
    <mergeCell ref="C279:E279"/>
    <mergeCell ref="C280:N280"/>
    <mergeCell ref="C281:N281"/>
    <mergeCell ref="C292:E292"/>
    <mergeCell ref="C293:E293"/>
    <mergeCell ref="C294:E294"/>
    <mergeCell ref="C295:E295"/>
    <mergeCell ref="C296:E296"/>
    <mergeCell ref="C287:E287"/>
    <mergeCell ref="C288:E288"/>
    <mergeCell ref="C289:E289"/>
    <mergeCell ref="C290:E290"/>
    <mergeCell ref="C291:E291"/>
    <mergeCell ref="C302:E302"/>
    <mergeCell ref="C303:E303"/>
    <mergeCell ref="C304:N304"/>
    <mergeCell ref="C305:N305"/>
    <mergeCell ref="C306:E306"/>
    <mergeCell ref="C297:E297"/>
    <mergeCell ref="C298:E298"/>
    <mergeCell ref="C299:E299"/>
    <mergeCell ref="C300:N300"/>
    <mergeCell ref="C301:N301"/>
    <mergeCell ref="C312:E312"/>
    <mergeCell ref="C313:E313"/>
    <mergeCell ref="C314:E314"/>
    <mergeCell ref="C315:E315"/>
    <mergeCell ref="C316:E316"/>
    <mergeCell ref="C307:E307"/>
    <mergeCell ref="C308:E308"/>
    <mergeCell ref="C309:E309"/>
    <mergeCell ref="C310:E310"/>
    <mergeCell ref="C311:E311"/>
    <mergeCell ref="C322:E322"/>
    <mergeCell ref="C323:E323"/>
    <mergeCell ref="C324:E324"/>
    <mergeCell ref="C325:N325"/>
    <mergeCell ref="C326:N326"/>
    <mergeCell ref="C317:E317"/>
    <mergeCell ref="C318:E318"/>
    <mergeCell ref="C319:E319"/>
    <mergeCell ref="C320:E320"/>
    <mergeCell ref="C321:E321"/>
    <mergeCell ref="C332:E332"/>
    <mergeCell ref="C333:E333"/>
    <mergeCell ref="C334:E334"/>
    <mergeCell ref="C335:E335"/>
    <mergeCell ref="C336:E336"/>
    <mergeCell ref="C327:E327"/>
    <mergeCell ref="A328:N328"/>
    <mergeCell ref="C329:E329"/>
    <mergeCell ref="C330:N330"/>
    <mergeCell ref="C331:N331"/>
    <mergeCell ref="C342:E342"/>
    <mergeCell ref="C343:E343"/>
    <mergeCell ref="C344:E344"/>
    <mergeCell ref="C345:E345"/>
    <mergeCell ref="C346:E346"/>
    <mergeCell ref="C337:E337"/>
    <mergeCell ref="C338:E338"/>
    <mergeCell ref="C339:E339"/>
    <mergeCell ref="C340:E340"/>
    <mergeCell ref="C341:E341"/>
    <mergeCell ref="C352:E352"/>
    <mergeCell ref="C353:E353"/>
    <mergeCell ref="C354:E354"/>
    <mergeCell ref="C355:E355"/>
    <mergeCell ref="C356:N356"/>
    <mergeCell ref="C347:E347"/>
    <mergeCell ref="C348:E348"/>
    <mergeCell ref="C349:E349"/>
    <mergeCell ref="C350:E350"/>
    <mergeCell ref="C351:E351"/>
    <mergeCell ref="C362:E362"/>
    <mergeCell ref="C363:E363"/>
    <mergeCell ref="C364:E364"/>
    <mergeCell ref="C365:E365"/>
    <mergeCell ref="C366:E366"/>
    <mergeCell ref="C357:E357"/>
    <mergeCell ref="A358:N358"/>
    <mergeCell ref="C359:E359"/>
    <mergeCell ref="C360:N360"/>
    <mergeCell ref="C361:N361"/>
    <mergeCell ref="C372:E372"/>
    <mergeCell ref="C373:E373"/>
    <mergeCell ref="C374:E374"/>
    <mergeCell ref="C375:E375"/>
    <mergeCell ref="C376:E376"/>
    <mergeCell ref="C367:E367"/>
    <mergeCell ref="C368:E368"/>
    <mergeCell ref="C369:E369"/>
    <mergeCell ref="C370:E370"/>
    <mergeCell ref="C371:E371"/>
    <mergeCell ref="C382:E382"/>
    <mergeCell ref="C383:E383"/>
    <mergeCell ref="C384:E384"/>
    <mergeCell ref="C385:E385"/>
    <mergeCell ref="C386:N386"/>
    <mergeCell ref="C377:E377"/>
    <mergeCell ref="C378:E378"/>
    <mergeCell ref="C379:E379"/>
    <mergeCell ref="C380:E380"/>
    <mergeCell ref="C381:E381"/>
    <mergeCell ref="C392:E392"/>
    <mergeCell ref="C393:E393"/>
    <mergeCell ref="C394:E394"/>
    <mergeCell ref="C395:E395"/>
    <mergeCell ref="C396:E396"/>
    <mergeCell ref="C387:E387"/>
    <mergeCell ref="A388:N388"/>
    <mergeCell ref="C389:E389"/>
    <mergeCell ref="C390:N390"/>
    <mergeCell ref="C391:N391"/>
    <mergeCell ref="C402:E402"/>
    <mergeCell ref="C403:E403"/>
    <mergeCell ref="C404:E404"/>
    <mergeCell ref="C405:E405"/>
    <mergeCell ref="C406:E406"/>
    <mergeCell ref="C397:E397"/>
    <mergeCell ref="C398:E398"/>
    <mergeCell ref="C399:E399"/>
    <mergeCell ref="C400:E400"/>
    <mergeCell ref="C401:E401"/>
    <mergeCell ref="C412:E412"/>
    <mergeCell ref="C413:E413"/>
    <mergeCell ref="C414:E414"/>
    <mergeCell ref="C415:E415"/>
    <mergeCell ref="C416:E416"/>
    <mergeCell ref="C407:E407"/>
    <mergeCell ref="C408:E408"/>
    <mergeCell ref="C409:E409"/>
    <mergeCell ref="C410:E410"/>
    <mergeCell ref="C411:E411"/>
    <mergeCell ref="A422:N422"/>
    <mergeCell ref="C423:E423"/>
    <mergeCell ref="C424:N424"/>
    <mergeCell ref="C425:N425"/>
    <mergeCell ref="C426:E426"/>
    <mergeCell ref="C417:E417"/>
    <mergeCell ref="C418:E418"/>
    <mergeCell ref="C419:N419"/>
    <mergeCell ref="C420:N420"/>
    <mergeCell ref="C421:E421"/>
    <mergeCell ref="C432:E432"/>
    <mergeCell ref="C433:E433"/>
    <mergeCell ref="C434:E434"/>
    <mergeCell ref="C435:E435"/>
    <mergeCell ref="C436:E436"/>
    <mergeCell ref="C427:E427"/>
    <mergeCell ref="C428:E428"/>
    <mergeCell ref="C429:E429"/>
    <mergeCell ref="C430:E430"/>
    <mergeCell ref="C431:E431"/>
    <mergeCell ref="C442:E442"/>
    <mergeCell ref="C443:E443"/>
    <mergeCell ref="C444:E444"/>
    <mergeCell ref="C445:E445"/>
    <mergeCell ref="C446:E446"/>
    <mergeCell ref="C437:E437"/>
    <mergeCell ref="C438:E438"/>
    <mergeCell ref="C439:E439"/>
    <mergeCell ref="C440:E440"/>
    <mergeCell ref="C441:E441"/>
    <mergeCell ref="A452:N452"/>
    <mergeCell ref="C453:E453"/>
    <mergeCell ref="C454:N454"/>
    <mergeCell ref="C455:N455"/>
    <mergeCell ref="C456:E456"/>
    <mergeCell ref="C447:E447"/>
    <mergeCell ref="C448:E448"/>
    <mergeCell ref="C449:E449"/>
    <mergeCell ref="C450:N450"/>
    <mergeCell ref="C451:E451"/>
    <mergeCell ref="C462:E462"/>
    <mergeCell ref="C463:E463"/>
    <mergeCell ref="C464:E464"/>
    <mergeCell ref="C465:E465"/>
    <mergeCell ref="C466:E466"/>
    <mergeCell ref="C457:E457"/>
    <mergeCell ref="C458:E458"/>
    <mergeCell ref="C459:E459"/>
    <mergeCell ref="C460:E460"/>
    <mergeCell ref="C461:E461"/>
    <mergeCell ref="C472:E472"/>
    <mergeCell ref="C473:E473"/>
    <mergeCell ref="C474:E474"/>
    <mergeCell ref="C475:E475"/>
    <mergeCell ref="C476:E476"/>
    <mergeCell ref="C467:E467"/>
    <mergeCell ref="C468:E468"/>
    <mergeCell ref="C469:E469"/>
    <mergeCell ref="C470:E470"/>
    <mergeCell ref="C471:E471"/>
    <mergeCell ref="A482:N482"/>
    <mergeCell ref="C483:E483"/>
    <mergeCell ref="C484:N484"/>
    <mergeCell ref="C485:N485"/>
    <mergeCell ref="C486:E486"/>
    <mergeCell ref="C477:E477"/>
    <mergeCell ref="C478:E478"/>
    <mergeCell ref="C479:E479"/>
    <mergeCell ref="C480:N480"/>
    <mergeCell ref="C481:E481"/>
    <mergeCell ref="C492:E492"/>
    <mergeCell ref="C493:E493"/>
    <mergeCell ref="C494:E494"/>
    <mergeCell ref="C495:E495"/>
    <mergeCell ref="C496:E496"/>
    <mergeCell ref="C487:E487"/>
    <mergeCell ref="C488:E488"/>
    <mergeCell ref="C489:E489"/>
    <mergeCell ref="C490:E490"/>
    <mergeCell ref="C491:E491"/>
    <mergeCell ref="C502:E502"/>
    <mergeCell ref="C503:E503"/>
    <mergeCell ref="C504:E504"/>
    <mergeCell ref="C505:E505"/>
    <mergeCell ref="C506:E506"/>
    <mergeCell ref="C497:E497"/>
    <mergeCell ref="C498:E498"/>
    <mergeCell ref="C499:E499"/>
    <mergeCell ref="C500:E500"/>
    <mergeCell ref="C501:E501"/>
    <mergeCell ref="C512:E512"/>
    <mergeCell ref="C513:E513"/>
    <mergeCell ref="C514:E514"/>
    <mergeCell ref="C515:E515"/>
    <mergeCell ref="C516:E516"/>
    <mergeCell ref="C507:N507"/>
    <mergeCell ref="C508:E508"/>
    <mergeCell ref="C509:E509"/>
    <mergeCell ref="C510:N510"/>
    <mergeCell ref="C511:N511"/>
    <mergeCell ref="C522:E522"/>
    <mergeCell ref="C523:E523"/>
    <mergeCell ref="C524:E524"/>
    <mergeCell ref="C525:E525"/>
    <mergeCell ref="C526:E526"/>
    <mergeCell ref="C517:E517"/>
    <mergeCell ref="C518:E518"/>
    <mergeCell ref="C519:E519"/>
    <mergeCell ref="C520:E520"/>
    <mergeCell ref="C521:E521"/>
    <mergeCell ref="C532:N532"/>
    <mergeCell ref="C533:N533"/>
    <mergeCell ref="C534:E534"/>
    <mergeCell ref="C535:E535"/>
    <mergeCell ref="C536:N536"/>
    <mergeCell ref="C527:E527"/>
    <mergeCell ref="C528:E528"/>
    <mergeCell ref="C529:E529"/>
    <mergeCell ref="C530:E530"/>
    <mergeCell ref="C531:E531"/>
    <mergeCell ref="C542:E542"/>
    <mergeCell ref="C543:E543"/>
    <mergeCell ref="C544:E544"/>
    <mergeCell ref="C545:E545"/>
    <mergeCell ref="C546:E546"/>
    <mergeCell ref="C537:N537"/>
    <mergeCell ref="C538:E538"/>
    <mergeCell ref="C539:E539"/>
    <mergeCell ref="C540:E540"/>
    <mergeCell ref="C541:E541"/>
    <mergeCell ref="C552:E552"/>
    <mergeCell ref="C553:E553"/>
    <mergeCell ref="C554:E554"/>
    <mergeCell ref="C555:E555"/>
    <mergeCell ref="C556:E556"/>
    <mergeCell ref="C547:E547"/>
    <mergeCell ref="C548:E548"/>
    <mergeCell ref="C549:E549"/>
    <mergeCell ref="C550:E550"/>
    <mergeCell ref="C551:E551"/>
    <mergeCell ref="C562:N562"/>
    <mergeCell ref="C563:E563"/>
    <mergeCell ref="A564:N564"/>
    <mergeCell ref="C565:E565"/>
    <mergeCell ref="C566:N566"/>
    <mergeCell ref="C557:E557"/>
    <mergeCell ref="C558:E558"/>
    <mergeCell ref="C559:E559"/>
    <mergeCell ref="C560:E560"/>
    <mergeCell ref="C561:E561"/>
    <mergeCell ref="C572:E572"/>
    <mergeCell ref="C573:E573"/>
    <mergeCell ref="C574:E574"/>
    <mergeCell ref="C575:E575"/>
    <mergeCell ref="C576:E576"/>
    <mergeCell ref="C567:N567"/>
    <mergeCell ref="C568:E568"/>
    <mergeCell ref="C569:E569"/>
    <mergeCell ref="C570:E570"/>
    <mergeCell ref="C571:E571"/>
    <mergeCell ref="C582:E582"/>
    <mergeCell ref="C583:E583"/>
    <mergeCell ref="C584:E584"/>
    <mergeCell ref="C585:E585"/>
    <mergeCell ref="C586:E586"/>
    <mergeCell ref="C577:E577"/>
    <mergeCell ref="C578:E578"/>
    <mergeCell ref="C579:E579"/>
    <mergeCell ref="C580:E580"/>
    <mergeCell ref="C581:E581"/>
    <mergeCell ref="C592:E592"/>
    <mergeCell ref="C593:N593"/>
    <mergeCell ref="C594:N594"/>
    <mergeCell ref="C595:E595"/>
    <mergeCell ref="C596:E596"/>
    <mergeCell ref="C587:E587"/>
    <mergeCell ref="C588:E588"/>
    <mergeCell ref="C589:N589"/>
    <mergeCell ref="C590:N590"/>
    <mergeCell ref="C591:E591"/>
    <mergeCell ref="C602:N602"/>
    <mergeCell ref="C603:N603"/>
    <mergeCell ref="C604:E604"/>
    <mergeCell ref="C605:E605"/>
    <mergeCell ref="C606:E606"/>
    <mergeCell ref="C597:N597"/>
    <mergeCell ref="C598:N598"/>
    <mergeCell ref="C599:E599"/>
    <mergeCell ref="A600:N600"/>
    <mergeCell ref="C601:E601"/>
    <mergeCell ref="C612:E612"/>
    <mergeCell ref="C613:E613"/>
    <mergeCell ref="C614:E614"/>
    <mergeCell ref="C615:E615"/>
    <mergeCell ref="C616:E616"/>
    <mergeCell ref="C607:E607"/>
    <mergeCell ref="C608:E608"/>
    <mergeCell ref="C609:E609"/>
    <mergeCell ref="C610:E610"/>
    <mergeCell ref="C611:E611"/>
    <mergeCell ref="C622:E622"/>
    <mergeCell ref="C623:E623"/>
    <mergeCell ref="C624:E624"/>
    <mergeCell ref="C625:E625"/>
    <mergeCell ref="C626:E626"/>
    <mergeCell ref="C617:E617"/>
    <mergeCell ref="C618:E618"/>
    <mergeCell ref="C619:E619"/>
    <mergeCell ref="C620:E620"/>
    <mergeCell ref="C621:E621"/>
    <mergeCell ref="C632:E632"/>
    <mergeCell ref="C633:N633"/>
    <mergeCell ref="C634:N634"/>
    <mergeCell ref="C635:E635"/>
    <mergeCell ref="C636:E636"/>
    <mergeCell ref="C627:E627"/>
    <mergeCell ref="C628:N628"/>
    <mergeCell ref="C629:N629"/>
    <mergeCell ref="C630:E630"/>
    <mergeCell ref="A631:N631"/>
    <mergeCell ref="C642:E642"/>
    <mergeCell ref="C643:E643"/>
    <mergeCell ref="C644:E644"/>
    <mergeCell ref="C645:E645"/>
    <mergeCell ref="C646:E646"/>
    <mergeCell ref="C637:E637"/>
    <mergeCell ref="C638:E638"/>
    <mergeCell ref="C639:E639"/>
    <mergeCell ref="C640:E640"/>
    <mergeCell ref="C641:E641"/>
    <mergeCell ref="C652:E652"/>
    <mergeCell ref="C653:E653"/>
    <mergeCell ref="C654:E654"/>
    <mergeCell ref="C655:E655"/>
    <mergeCell ref="C656:E656"/>
    <mergeCell ref="C647:E647"/>
    <mergeCell ref="C648:E648"/>
    <mergeCell ref="C649:E649"/>
    <mergeCell ref="C650:E650"/>
    <mergeCell ref="C651:E651"/>
    <mergeCell ref="A662:N662"/>
    <mergeCell ref="C663:E663"/>
    <mergeCell ref="C664:N664"/>
    <mergeCell ref="C665:N665"/>
    <mergeCell ref="C666:E666"/>
    <mergeCell ref="C657:E657"/>
    <mergeCell ref="C658:E658"/>
    <mergeCell ref="C659:N659"/>
    <mergeCell ref="C660:N660"/>
    <mergeCell ref="C661:E661"/>
    <mergeCell ref="C672:E672"/>
    <mergeCell ref="C673:E673"/>
    <mergeCell ref="C674:E674"/>
    <mergeCell ref="C675:N675"/>
    <mergeCell ref="C676:N676"/>
    <mergeCell ref="C667:E667"/>
    <mergeCell ref="C668:E668"/>
    <mergeCell ref="C669:E669"/>
    <mergeCell ref="C670:E670"/>
    <mergeCell ref="C671:E671"/>
    <mergeCell ref="C682:E682"/>
    <mergeCell ref="C683:E683"/>
    <mergeCell ref="C684:E684"/>
    <mergeCell ref="C685:E685"/>
    <mergeCell ref="C686:E686"/>
    <mergeCell ref="C677:E677"/>
    <mergeCell ref="C678:E678"/>
    <mergeCell ref="C679:E679"/>
    <mergeCell ref="C680:E680"/>
    <mergeCell ref="C681:E681"/>
    <mergeCell ref="C692:E692"/>
    <mergeCell ref="C693:E693"/>
    <mergeCell ref="C694:E694"/>
    <mergeCell ref="C695:E695"/>
    <mergeCell ref="C696:E696"/>
    <mergeCell ref="C687:E687"/>
    <mergeCell ref="C688:E688"/>
    <mergeCell ref="C689:E689"/>
    <mergeCell ref="C690:E690"/>
    <mergeCell ref="C691:E691"/>
    <mergeCell ref="C702:E702"/>
    <mergeCell ref="C703:E703"/>
    <mergeCell ref="C704:N704"/>
    <mergeCell ref="C705:N705"/>
    <mergeCell ref="C706:E706"/>
    <mergeCell ref="C697:E697"/>
    <mergeCell ref="C698:E698"/>
    <mergeCell ref="C699:E699"/>
    <mergeCell ref="C700:N700"/>
    <mergeCell ref="C701:N701"/>
    <mergeCell ref="C712:E712"/>
    <mergeCell ref="C713:E713"/>
    <mergeCell ref="C714:E714"/>
    <mergeCell ref="C715:E715"/>
    <mergeCell ref="C716:E716"/>
    <mergeCell ref="C707:E707"/>
    <mergeCell ref="C708:E708"/>
    <mergeCell ref="C709:E709"/>
    <mergeCell ref="C710:E710"/>
    <mergeCell ref="C711:E711"/>
    <mergeCell ref="C722:E722"/>
    <mergeCell ref="C723:E723"/>
    <mergeCell ref="C724:E724"/>
    <mergeCell ref="C725:E725"/>
    <mergeCell ref="C726:E726"/>
    <mergeCell ref="C717:N717"/>
    <mergeCell ref="C718:N718"/>
    <mergeCell ref="C719:E719"/>
    <mergeCell ref="C720:E720"/>
    <mergeCell ref="C721:E721"/>
    <mergeCell ref="C732:E732"/>
    <mergeCell ref="C733:E733"/>
    <mergeCell ref="C734:E734"/>
    <mergeCell ref="C735:E735"/>
    <mergeCell ref="C736:E736"/>
    <mergeCell ref="C727:E727"/>
    <mergeCell ref="C728:E728"/>
    <mergeCell ref="C729:E729"/>
    <mergeCell ref="C730:E730"/>
    <mergeCell ref="C731:E731"/>
    <mergeCell ref="C742:E742"/>
    <mergeCell ref="C743:E743"/>
    <mergeCell ref="C744:E744"/>
    <mergeCell ref="C745:E745"/>
    <mergeCell ref="C746:E746"/>
    <mergeCell ref="C737:E737"/>
    <mergeCell ref="C738:E738"/>
    <mergeCell ref="C739:E739"/>
    <mergeCell ref="C740:E740"/>
    <mergeCell ref="C741:E741"/>
    <mergeCell ref="C752:E752"/>
    <mergeCell ref="C753:E753"/>
    <mergeCell ref="C754:N754"/>
    <mergeCell ref="C755:N755"/>
    <mergeCell ref="C756:E756"/>
    <mergeCell ref="C747:E747"/>
    <mergeCell ref="C748:E748"/>
    <mergeCell ref="C749:E749"/>
    <mergeCell ref="C750:E750"/>
    <mergeCell ref="C751:E751"/>
    <mergeCell ref="C762:E762"/>
    <mergeCell ref="C763:E763"/>
    <mergeCell ref="C764:E764"/>
    <mergeCell ref="C765:E765"/>
    <mergeCell ref="C766:E766"/>
    <mergeCell ref="A757:N757"/>
    <mergeCell ref="C758:E758"/>
    <mergeCell ref="C759:N759"/>
    <mergeCell ref="C760:N760"/>
    <mergeCell ref="C761:E761"/>
    <mergeCell ref="C772:E772"/>
    <mergeCell ref="C773:E773"/>
    <mergeCell ref="C774:E774"/>
    <mergeCell ref="C775:E775"/>
    <mergeCell ref="C776:E776"/>
    <mergeCell ref="C767:E767"/>
    <mergeCell ref="C768:E768"/>
    <mergeCell ref="C769:E769"/>
    <mergeCell ref="C770:E770"/>
    <mergeCell ref="C771:E771"/>
    <mergeCell ref="C782:E782"/>
    <mergeCell ref="C783:E783"/>
    <mergeCell ref="C784:E784"/>
    <mergeCell ref="C785:E785"/>
    <mergeCell ref="C786:E786"/>
    <mergeCell ref="C777:E777"/>
    <mergeCell ref="C778:E778"/>
    <mergeCell ref="C779:E779"/>
    <mergeCell ref="C780:E780"/>
    <mergeCell ref="C781:E781"/>
    <mergeCell ref="C792:E792"/>
    <mergeCell ref="C793:E793"/>
    <mergeCell ref="C794:E794"/>
    <mergeCell ref="C795:E795"/>
    <mergeCell ref="C796:E796"/>
    <mergeCell ref="C787:E787"/>
    <mergeCell ref="C788:E788"/>
    <mergeCell ref="C789:E789"/>
    <mergeCell ref="C790:E790"/>
    <mergeCell ref="C791:E791"/>
    <mergeCell ref="C802:N802"/>
    <mergeCell ref="C803:E803"/>
    <mergeCell ref="C804:E804"/>
    <mergeCell ref="C805:E805"/>
    <mergeCell ref="C806:E806"/>
    <mergeCell ref="C797:N797"/>
    <mergeCell ref="C798:E798"/>
    <mergeCell ref="A799:N799"/>
    <mergeCell ref="C800:E800"/>
    <mergeCell ref="C801:N801"/>
    <mergeCell ref="C812:E812"/>
    <mergeCell ref="C813:E813"/>
    <mergeCell ref="C814:E814"/>
    <mergeCell ref="C815:E815"/>
    <mergeCell ref="C816:E816"/>
    <mergeCell ref="C807:E807"/>
    <mergeCell ref="C808:E808"/>
    <mergeCell ref="C809:E809"/>
    <mergeCell ref="C810:E810"/>
    <mergeCell ref="C811:E811"/>
    <mergeCell ref="C822:E822"/>
    <mergeCell ref="A823:N823"/>
    <mergeCell ref="C824:E824"/>
    <mergeCell ref="C825:N825"/>
    <mergeCell ref="C826:N826"/>
    <mergeCell ref="C817:E817"/>
    <mergeCell ref="C818:E818"/>
    <mergeCell ref="C819:E819"/>
    <mergeCell ref="C820:N820"/>
    <mergeCell ref="C821:N821"/>
    <mergeCell ref="C832:E832"/>
    <mergeCell ref="C833:E833"/>
    <mergeCell ref="C834:E834"/>
    <mergeCell ref="C835:E835"/>
    <mergeCell ref="C836:E836"/>
    <mergeCell ref="C827:E827"/>
    <mergeCell ref="C828:E828"/>
    <mergeCell ref="C829:E829"/>
    <mergeCell ref="C830:E830"/>
    <mergeCell ref="C831:E831"/>
    <mergeCell ref="C843:K843"/>
    <mergeCell ref="C844:K844"/>
    <mergeCell ref="C845:K845"/>
    <mergeCell ref="C846:K846"/>
    <mergeCell ref="C847:K847"/>
    <mergeCell ref="C838:K838"/>
    <mergeCell ref="C839:K839"/>
    <mergeCell ref="C840:K840"/>
    <mergeCell ref="C841:K841"/>
    <mergeCell ref="C842:K842"/>
    <mergeCell ref="C853:K853"/>
    <mergeCell ref="C854:K854"/>
    <mergeCell ref="C855:K855"/>
    <mergeCell ref="C856:K856"/>
    <mergeCell ref="C857:K857"/>
    <mergeCell ref="C848:K848"/>
    <mergeCell ref="C849:K849"/>
    <mergeCell ref="C850:K850"/>
    <mergeCell ref="C851:K851"/>
    <mergeCell ref="C852:K852"/>
    <mergeCell ref="C863:K863"/>
    <mergeCell ref="C864:K864"/>
    <mergeCell ref="C865:K865"/>
    <mergeCell ref="C866:K866"/>
    <mergeCell ref="C867:K867"/>
    <mergeCell ref="C858:K858"/>
    <mergeCell ref="C859:K859"/>
    <mergeCell ref="C860:K860"/>
    <mergeCell ref="C861:K861"/>
    <mergeCell ref="C862:K862"/>
    <mergeCell ref="C873:E873"/>
    <mergeCell ref="C874:N874"/>
    <mergeCell ref="C875:N875"/>
    <mergeCell ref="C876:N876"/>
    <mergeCell ref="C877:E877"/>
    <mergeCell ref="C868:H868"/>
    <mergeCell ref="C869:H869"/>
    <mergeCell ref="A870:N870"/>
    <mergeCell ref="A871:N871"/>
    <mergeCell ref="A872:N872"/>
    <mergeCell ref="C883:E883"/>
    <mergeCell ref="C884:E884"/>
    <mergeCell ref="C885:E885"/>
    <mergeCell ref="C886:E886"/>
    <mergeCell ref="C887:E887"/>
    <mergeCell ref="C878:E878"/>
    <mergeCell ref="C879:E879"/>
    <mergeCell ref="C880:E880"/>
    <mergeCell ref="C881:E881"/>
    <mergeCell ref="C882:E882"/>
    <mergeCell ref="C893:N893"/>
    <mergeCell ref="C894:N894"/>
    <mergeCell ref="C895:E895"/>
    <mergeCell ref="C896:E896"/>
    <mergeCell ref="C897:E897"/>
    <mergeCell ref="C888:E888"/>
    <mergeCell ref="C889:E889"/>
    <mergeCell ref="C890:E890"/>
    <mergeCell ref="C891:E891"/>
    <mergeCell ref="C892:E892"/>
    <mergeCell ref="C903:E903"/>
    <mergeCell ref="C904:E904"/>
    <mergeCell ref="C905:E905"/>
    <mergeCell ref="C906:E906"/>
    <mergeCell ref="C907:E907"/>
    <mergeCell ref="C898:E898"/>
    <mergeCell ref="C899:E899"/>
    <mergeCell ref="C900:E900"/>
    <mergeCell ref="C901:E901"/>
    <mergeCell ref="C902:E902"/>
    <mergeCell ref="C913:N913"/>
    <mergeCell ref="C914:E914"/>
    <mergeCell ref="C915:E915"/>
    <mergeCell ref="C916:E916"/>
    <mergeCell ref="C917:E917"/>
    <mergeCell ref="C908:E908"/>
    <mergeCell ref="C909:E909"/>
    <mergeCell ref="C910:E910"/>
    <mergeCell ref="C911:E911"/>
    <mergeCell ref="C912:N912"/>
    <mergeCell ref="C923:E923"/>
    <mergeCell ref="C924:E924"/>
    <mergeCell ref="C925:E925"/>
    <mergeCell ref="C926:E926"/>
    <mergeCell ref="C927:E927"/>
    <mergeCell ref="C918:E918"/>
    <mergeCell ref="C919:E919"/>
    <mergeCell ref="C920:E920"/>
    <mergeCell ref="C921:E921"/>
    <mergeCell ref="C922:E922"/>
    <mergeCell ref="C933:N933"/>
    <mergeCell ref="C934:N934"/>
    <mergeCell ref="C935:E935"/>
    <mergeCell ref="C936:E936"/>
    <mergeCell ref="C937:E937"/>
    <mergeCell ref="C928:E928"/>
    <mergeCell ref="C929:E929"/>
    <mergeCell ref="C930:E930"/>
    <mergeCell ref="C931:E931"/>
    <mergeCell ref="C932:N932"/>
    <mergeCell ref="C943:E943"/>
    <mergeCell ref="C944:E944"/>
    <mergeCell ref="C945:E945"/>
    <mergeCell ref="C946:E946"/>
    <mergeCell ref="C947:E947"/>
    <mergeCell ref="C938:E938"/>
    <mergeCell ref="C939:E939"/>
    <mergeCell ref="C940:E940"/>
    <mergeCell ref="C941:E941"/>
    <mergeCell ref="C942:E942"/>
    <mergeCell ref="C953:E953"/>
    <mergeCell ref="C954:E954"/>
    <mergeCell ref="C955:N955"/>
    <mergeCell ref="C956:N956"/>
    <mergeCell ref="C957:E957"/>
    <mergeCell ref="C948:E948"/>
    <mergeCell ref="C949:E949"/>
    <mergeCell ref="C950:E950"/>
    <mergeCell ref="C951:N951"/>
    <mergeCell ref="C952:N952"/>
    <mergeCell ref="C963:E963"/>
    <mergeCell ref="C964:E964"/>
    <mergeCell ref="C965:E965"/>
    <mergeCell ref="C966:E966"/>
    <mergeCell ref="C967:E967"/>
    <mergeCell ref="C958:E958"/>
    <mergeCell ref="C959:E959"/>
    <mergeCell ref="C960:E960"/>
    <mergeCell ref="C961:E961"/>
    <mergeCell ref="C962:E962"/>
    <mergeCell ref="C973:E973"/>
    <mergeCell ref="C974:E974"/>
    <mergeCell ref="C975:E975"/>
    <mergeCell ref="C976:E976"/>
    <mergeCell ref="C977:N977"/>
    <mergeCell ref="C968:E968"/>
    <mergeCell ref="C969:E969"/>
    <mergeCell ref="C970:E970"/>
    <mergeCell ref="C971:E971"/>
    <mergeCell ref="C972:E972"/>
    <mergeCell ref="C983:E983"/>
    <mergeCell ref="C984:E984"/>
    <mergeCell ref="C985:E985"/>
    <mergeCell ref="C986:E986"/>
    <mergeCell ref="C987:E987"/>
    <mergeCell ref="C978:E978"/>
    <mergeCell ref="C979:E979"/>
    <mergeCell ref="C980:N980"/>
    <mergeCell ref="C981:N981"/>
    <mergeCell ref="C982:E982"/>
    <mergeCell ref="C993:E993"/>
    <mergeCell ref="C994:E994"/>
    <mergeCell ref="C995:E995"/>
    <mergeCell ref="C996:E996"/>
    <mergeCell ref="C997:E997"/>
    <mergeCell ref="C988:E988"/>
    <mergeCell ref="C989:E989"/>
    <mergeCell ref="C990:E990"/>
    <mergeCell ref="C991:E991"/>
    <mergeCell ref="C992:E992"/>
    <mergeCell ref="C1003:N1003"/>
    <mergeCell ref="C1004:N1004"/>
    <mergeCell ref="C1005:E1005"/>
    <mergeCell ref="C1006:E1006"/>
    <mergeCell ref="C1007:N1007"/>
    <mergeCell ref="C998:E998"/>
    <mergeCell ref="C999:E999"/>
    <mergeCell ref="C1000:E1000"/>
    <mergeCell ref="C1001:E1001"/>
    <mergeCell ref="C1002:E1002"/>
    <mergeCell ref="C1013:E1013"/>
    <mergeCell ref="A1014:N1014"/>
    <mergeCell ref="C1015:E1015"/>
    <mergeCell ref="C1016:N1016"/>
    <mergeCell ref="C1017:N1017"/>
    <mergeCell ref="C1008:N1008"/>
    <mergeCell ref="C1009:E1009"/>
    <mergeCell ref="C1010:E1010"/>
    <mergeCell ref="C1011:N1011"/>
    <mergeCell ref="C1012:N1012"/>
    <mergeCell ref="C1023:E1023"/>
    <mergeCell ref="C1024:E1024"/>
    <mergeCell ref="C1025:E1025"/>
    <mergeCell ref="C1026:E1026"/>
    <mergeCell ref="C1027:E1027"/>
    <mergeCell ref="C1018:E1018"/>
    <mergeCell ref="C1019:E1019"/>
    <mergeCell ref="C1020:E1020"/>
    <mergeCell ref="C1021:E1021"/>
    <mergeCell ref="C1022:E1022"/>
    <mergeCell ref="C1033:E1033"/>
    <mergeCell ref="C1034:E1034"/>
    <mergeCell ref="C1035:E1035"/>
    <mergeCell ref="C1036:E1036"/>
    <mergeCell ref="C1037:E1037"/>
    <mergeCell ref="C1028:E1028"/>
    <mergeCell ref="C1029:E1029"/>
    <mergeCell ref="C1030:E1030"/>
    <mergeCell ref="C1031:E1031"/>
    <mergeCell ref="C1032:E1032"/>
    <mergeCell ref="C1043:E1043"/>
    <mergeCell ref="C1044:E1044"/>
    <mergeCell ref="C1045:N1045"/>
    <mergeCell ref="C1046:N1046"/>
    <mergeCell ref="C1047:E1047"/>
    <mergeCell ref="C1038:E1038"/>
    <mergeCell ref="C1039:E1039"/>
    <mergeCell ref="C1040:E1040"/>
    <mergeCell ref="C1041:N1041"/>
    <mergeCell ref="C1042:N1042"/>
    <mergeCell ref="C1053:E1053"/>
    <mergeCell ref="C1054:E1054"/>
    <mergeCell ref="C1055:E1055"/>
    <mergeCell ref="C1056:E1056"/>
    <mergeCell ref="C1057:E1057"/>
    <mergeCell ref="C1048:E1048"/>
    <mergeCell ref="C1049:E1049"/>
    <mergeCell ref="C1050:E1050"/>
    <mergeCell ref="C1051:E1051"/>
    <mergeCell ref="C1052:E1052"/>
    <mergeCell ref="C1063:E1063"/>
    <mergeCell ref="C1064:E1064"/>
    <mergeCell ref="C1065:E1065"/>
    <mergeCell ref="C1066:E1066"/>
    <mergeCell ref="C1067:E1067"/>
    <mergeCell ref="C1058:E1058"/>
    <mergeCell ref="C1059:E1059"/>
    <mergeCell ref="C1060:E1060"/>
    <mergeCell ref="C1061:E1061"/>
    <mergeCell ref="C1062:E1062"/>
    <mergeCell ref="C1073:N1073"/>
    <mergeCell ref="C1074:N1074"/>
    <mergeCell ref="C1075:N1075"/>
    <mergeCell ref="C1076:E1076"/>
    <mergeCell ref="C1077:E1077"/>
    <mergeCell ref="C1068:E1068"/>
    <mergeCell ref="C1069:N1069"/>
    <mergeCell ref="C1070:N1070"/>
    <mergeCell ref="C1071:E1071"/>
    <mergeCell ref="C1072:E1072"/>
    <mergeCell ref="C1083:E1083"/>
    <mergeCell ref="C1084:E1084"/>
    <mergeCell ref="C1085:E1085"/>
    <mergeCell ref="C1086:E1086"/>
    <mergeCell ref="C1087:E1087"/>
    <mergeCell ref="C1078:E1078"/>
    <mergeCell ref="C1079:E1079"/>
    <mergeCell ref="C1080:E1080"/>
    <mergeCell ref="C1081:E1081"/>
    <mergeCell ref="C1082:E1082"/>
    <mergeCell ref="C1093:N1093"/>
    <mergeCell ref="C1094:E1094"/>
    <mergeCell ref="C1095:E1095"/>
    <mergeCell ref="C1096:N1096"/>
    <mergeCell ref="C1097:N1097"/>
    <mergeCell ref="C1088:E1088"/>
    <mergeCell ref="C1089:E1089"/>
    <mergeCell ref="C1090:E1090"/>
    <mergeCell ref="C1091:E1091"/>
    <mergeCell ref="C1092:N1092"/>
    <mergeCell ref="C1103:E1103"/>
    <mergeCell ref="C1104:E1104"/>
    <mergeCell ref="C1105:E1105"/>
    <mergeCell ref="C1106:E1106"/>
    <mergeCell ref="C1107:E1107"/>
    <mergeCell ref="C1098:E1098"/>
    <mergeCell ref="C1099:E1099"/>
    <mergeCell ref="C1100:E1100"/>
    <mergeCell ref="C1101:E1101"/>
    <mergeCell ref="C1102:E1102"/>
    <mergeCell ref="C1113:N1113"/>
    <mergeCell ref="C1114:N1114"/>
    <mergeCell ref="C1115:E1115"/>
    <mergeCell ref="C1116:E1116"/>
    <mergeCell ref="C1117:E1117"/>
    <mergeCell ref="C1108:E1108"/>
    <mergeCell ref="C1109:E1109"/>
    <mergeCell ref="C1110:E1110"/>
    <mergeCell ref="C1111:E1111"/>
    <mergeCell ref="C1112:E1112"/>
    <mergeCell ref="C1123:E1123"/>
    <mergeCell ref="C1124:E1124"/>
    <mergeCell ref="C1125:E1125"/>
    <mergeCell ref="C1126:E1126"/>
    <mergeCell ref="C1127:E1127"/>
    <mergeCell ref="C1118:E1118"/>
    <mergeCell ref="C1119:E1119"/>
    <mergeCell ref="C1120:E1120"/>
    <mergeCell ref="C1121:E1121"/>
    <mergeCell ref="C1122:E1122"/>
    <mergeCell ref="C1133:N1133"/>
    <mergeCell ref="C1134:N1134"/>
    <mergeCell ref="C1135:N1135"/>
    <mergeCell ref="C1136:E1136"/>
    <mergeCell ref="C1137:E1137"/>
    <mergeCell ref="C1128:E1128"/>
    <mergeCell ref="C1129:E1129"/>
    <mergeCell ref="C1130:E1130"/>
    <mergeCell ref="C1131:E1131"/>
    <mergeCell ref="C1132:E1132"/>
    <mergeCell ref="C1143:E1143"/>
    <mergeCell ref="C1144:E1144"/>
    <mergeCell ref="C1145:E1145"/>
    <mergeCell ref="C1146:E1146"/>
    <mergeCell ref="C1147:E1147"/>
    <mergeCell ref="C1138:E1138"/>
    <mergeCell ref="C1139:E1139"/>
    <mergeCell ref="C1140:E1140"/>
    <mergeCell ref="C1141:E1141"/>
    <mergeCell ref="C1142:E1142"/>
    <mergeCell ref="C1153:N1153"/>
    <mergeCell ref="C1154:E1154"/>
    <mergeCell ref="C1155:E1155"/>
    <mergeCell ref="C1156:N1156"/>
    <mergeCell ref="C1157:N1157"/>
    <mergeCell ref="C1148:E1148"/>
    <mergeCell ref="C1149:E1149"/>
    <mergeCell ref="C1150:E1150"/>
    <mergeCell ref="C1151:E1151"/>
    <mergeCell ref="C1152:N1152"/>
    <mergeCell ref="C1163:E1163"/>
    <mergeCell ref="C1164:E1164"/>
    <mergeCell ref="C1165:E1165"/>
    <mergeCell ref="C1166:E1166"/>
    <mergeCell ref="C1167:E1167"/>
    <mergeCell ref="C1158:E1158"/>
    <mergeCell ref="C1159:E1159"/>
    <mergeCell ref="C1160:E1160"/>
    <mergeCell ref="C1161:E1161"/>
    <mergeCell ref="C1162:E1162"/>
    <mergeCell ref="C1173:E1173"/>
    <mergeCell ref="C1174:E1174"/>
    <mergeCell ref="C1175:E1175"/>
    <mergeCell ref="C1176:E1176"/>
    <mergeCell ref="C1177:E1177"/>
    <mergeCell ref="C1168:E1168"/>
    <mergeCell ref="C1169:E1169"/>
    <mergeCell ref="C1170:E1170"/>
    <mergeCell ref="C1171:E1171"/>
    <mergeCell ref="C1172:E1172"/>
    <mergeCell ref="C1183:E1183"/>
    <mergeCell ref="C1184:E1184"/>
    <mergeCell ref="C1185:E1185"/>
    <mergeCell ref="C1186:E1186"/>
    <mergeCell ref="C1187:E1187"/>
    <mergeCell ref="C1178:N1178"/>
    <mergeCell ref="C1179:E1179"/>
    <mergeCell ref="C1180:E1180"/>
    <mergeCell ref="C1181:N1181"/>
    <mergeCell ref="C1182:N1182"/>
    <mergeCell ref="C1193:E1193"/>
    <mergeCell ref="C1194:E1194"/>
    <mergeCell ref="C1195:E1195"/>
    <mergeCell ref="C1196:E1196"/>
    <mergeCell ref="C1197:E1197"/>
    <mergeCell ref="C1188:E1188"/>
    <mergeCell ref="C1189:E1189"/>
    <mergeCell ref="C1190:E1190"/>
    <mergeCell ref="C1191:E1191"/>
    <mergeCell ref="C1192:E1192"/>
    <mergeCell ref="C1203:E1203"/>
    <mergeCell ref="C1204:E1204"/>
    <mergeCell ref="C1205:E1205"/>
    <mergeCell ref="A1206:N1206"/>
    <mergeCell ref="C1207:E1207"/>
    <mergeCell ref="C1198:E1198"/>
    <mergeCell ref="C1199:E1199"/>
    <mergeCell ref="C1200:E1200"/>
    <mergeCell ref="C1201:E1201"/>
    <mergeCell ref="C1202:E1202"/>
    <mergeCell ref="C1213:N1213"/>
    <mergeCell ref="C1214:E1214"/>
    <mergeCell ref="C1215:E1215"/>
    <mergeCell ref="C1216:E1216"/>
    <mergeCell ref="C1217:E1217"/>
    <mergeCell ref="C1208:N1208"/>
    <mergeCell ref="C1209:N1209"/>
    <mergeCell ref="C1210:E1210"/>
    <mergeCell ref="C1211:E1211"/>
    <mergeCell ref="C1212:N1212"/>
    <mergeCell ref="C1223:E1223"/>
    <mergeCell ref="C1224:E1224"/>
    <mergeCell ref="C1225:E1225"/>
    <mergeCell ref="C1226:E1226"/>
    <mergeCell ref="C1227:E1227"/>
    <mergeCell ref="C1218:E1218"/>
    <mergeCell ref="C1219:E1219"/>
    <mergeCell ref="C1220:E1220"/>
    <mergeCell ref="C1221:E1221"/>
    <mergeCell ref="C1222:E1222"/>
    <mergeCell ref="C1233:E1233"/>
    <mergeCell ref="C1234:N1234"/>
    <mergeCell ref="C1235:E1235"/>
    <mergeCell ref="A1236:N1236"/>
    <mergeCell ref="C1237:E1237"/>
    <mergeCell ref="C1228:E1228"/>
    <mergeCell ref="C1229:E1229"/>
    <mergeCell ref="C1230:E1230"/>
    <mergeCell ref="C1231:E1231"/>
    <mergeCell ref="C1232:E1232"/>
    <mergeCell ref="C1243:N1243"/>
    <mergeCell ref="C1244:E1244"/>
    <mergeCell ref="C1245:E1245"/>
    <mergeCell ref="C1246:E1246"/>
    <mergeCell ref="C1247:E1247"/>
    <mergeCell ref="C1238:N1238"/>
    <mergeCell ref="C1239:N1239"/>
    <mergeCell ref="C1240:E1240"/>
    <mergeCell ref="C1241:E1241"/>
    <mergeCell ref="C1242:N1242"/>
    <mergeCell ref="C1253:E1253"/>
    <mergeCell ref="C1254:E1254"/>
    <mergeCell ref="C1255:E1255"/>
    <mergeCell ref="C1256:E1256"/>
    <mergeCell ref="C1257:E1257"/>
    <mergeCell ref="C1248:E1248"/>
    <mergeCell ref="C1249:E1249"/>
    <mergeCell ref="C1250:E1250"/>
    <mergeCell ref="C1251:E1251"/>
    <mergeCell ref="C1252:E1252"/>
    <mergeCell ref="C1263:E1263"/>
    <mergeCell ref="C1264:N1264"/>
    <mergeCell ref="C1265:E1265"/>
    <mergeCell ref="C1266:E1266"/>
    <mergeCell ref="C1267:N1267"/>
    <mergeCell ref="C1258:E1258"/>
    <mergeCell ref="C1259:E1259"/>
    <mergeCell ref="C1260:E1260"/>
    <mergeCell ref="C1261:E1261"/>
    <mergeCell ref="C1262:E1262"/>
    <mergeCell ref="C1273:E1273"/>
    <mergeCell ref="C1274:E1274"/>
    <mergeCell ref="C1275:E1275"/>
    <mergeCell ref="C1276:E1276"/>
    <mergeCell ref="C1277:E1277"/>
    <mergeCell ref="C1268:N1268"/>
    <mergeCell ref="C1269:E1269"/>
    <mergeCell ref="C1270:E1270"/>
    <mergeCell ref="C1271:E1271"/>
    <mergeCell ref="C1272:E1272"/>
    <mergeCell ref="C1283:E1283"/>
    <mergeCell ref="C1284:E1284"/>
    <mergeCell ref="C1285:E1285"/>
    <mergeCell ref="C1286:N1286"/>
    <mergeCell ref="C1287:N1287"/>
    <mergeCell ref="C1278:E1278"/>
    <mergeCell ref="C1279:E1279"/>
    <mergeCell ref="C1280:E1280"/>
    <mergeCell ref="C1281:E1281"/>
    <mergeCell ref="C1282:E1282"/>
    <mergeCell ref="A1293:N1293"/>
    <mergeCell ref="C1294:E1294"/>
    <mergeCell ref="C1295:N1295"/>
    <mergeCell ref="C1296:N1296"/>
    <mergeCell ref="C1297:E1297"/>
    <mergeCell ref="C1288:E1288"/>
    <mergeCell ref="C1289:E1289"/>
    <mergeCell ref="C1290:N1290"/>
    <mergeCell ref="C1291:N1291"/>
    <mergeCell ref="C1292:E1292"/>
    <mergeCell ref="C1303:E1303"/>
    <mergeCell ref="C1304:E1304"/>
    <mergeCell ref="C1305:E1305"/>
    <mergeCell ref="C1306:E1306"/>
    <mergeCell ref="C1307:E1307"/>
    <mergeCell ref="C1298:E1298"/>
    <mergeCell ref="C1299:N1299"/>
    <mergeCell ref="C1300:N1300"/>
    <mergeCell ref="C1301:E1301"/>
    <mergeCell ref="C1302:E1302"/>
    <mergeCell ref="C1313:E1313"/>
    <mergeCell ref="C1314:E1314"/>
    <mergeCell ref="C1315:E1315"/>
    <mergeCell ref="C1316:E1316"/>
    <mergeCell ref="C1317:E1317"/>
    <mergeCell ref="C1308:E1308"/>
    <mergeCell ref="C1309:E1309"/>
    <mergeCell ref="C1310:E1310"/>
    <mergeCell ref="C1311:E1311"/>
    <mergeCell ref="C1312:E1312"/>
    <mergeCell ref="A1323:N1323"/>
    <mergeCell ref="C1324:E1324"/>
    <mergeCell ref="C1325:N1325"/>
    <mergeCell ref="C1326:N1326"/>
    <mergeCell ref="C1327:E1327"/>
    <mergeCell ref="C1318:E1318"/>
    <mergeCell ref="C1319:E1319"/>
    <mergeCell ref="C1320:E1320"/>
    <mergeCell ref="C1321:N1321"/>
    <mergeCell ref="C1322:E1322"/>
    <mergeCell ref="C1333:E1333"/>
    <mergeCell ref="C1334:E1334"/>
    <mergeCell ref="C1335:E1335"/>
    <mergeCell ref="C1336:E1336"/>
    <mergeCell ref="C1337:E1337"/>
    <mergeCell ref="C1328:E1328"/>
    <mergeCell ref="C1329:N1329"/>
    <mergeCell ref="C1330:N1330"/>
    <mergeCell ref="C1331:E1331"/>
    <mergeCell ref="C1332:E1332"/>
    <mergeCell ref="C1343:E1343"/>
    <mergeCell ref="C1344:E1344"/>
    <mergeCell ref="C1345:E1345"/>
    <mergeCell ref="C1346:E1346"/>
    <mergeCell ref="C1347:E1347"/>
    <mergeCell ref="C1338:E1338"/>
    <mergeCell ref="C1339:E1339"/>
    <mergeCell ref="C1340:E1340"/>
    <mergeCell ref="C1341:E1341"/>
    <mergeCell ref="C1342:E1342"/>
    <mergeCell ref="A1353:N1353"/>
    <mergeCell ref="A1354:N1354"/>
    <mergeCell ref="C1355:E1355"/>
    <mergeCell ref="C1356:N1356"/>
    <mergeCell ref="C1357:N1357"/>
    <mergeCell ref="C1348:E1348"/>
    <mergeCell ref="C1349:E1349"/>
    <mergeCell ref="C1350:E1350"/>
    <mergeCell ref="C1351:N1351"/>
    <mergeCell ref="C1352:E1352"/>
    <mergeCell ref="C1363:E1363"/>
    <mergeCell ref="C1364:E1364"/>
    <mergeCell ref="C1365:E1365"/>
    <mergeCell ref="C1366:E1366"/>
    <mergeCell ref="C1367:E1367"/>
    <mergeCell ref="C1358:E1358"/>
    <mergeCell ref="C1359:E1359"/>
    <mergeCell ref="C1360:E1360"/>
    <mergeCell ref="C1361:E1361"/>
    <mergeCell ref="C1362:E1362"/>
    <mergeCell ref="C1373:E1373"/>
    <mergeCell ref="C1374:E1374"/>
    <mergeCell ref="C1375:E1375"/>
    <mergeCell ref="C1376:E1376"/>
    <mergeCell ref="C1377:N1377"/>
    <mergeCell ref="C1368:E1368"/>
    <mergeCell ref="C1369:E1369"/>
    <mergeCell ref="C1370:E1370"/>
    <mergeCell ref="C1371:E1371"/>
    <mergeCell ref="C1372:E1372"/>
    <mergeCell ref="C1383:N1383"/>
    <mergeCell ref="C1384:N1384"/>
    <mergeCell ref="C1385:N1385"/>
    <mergeCell ref="C1386:E1386"/>
    <mergeCell ref="C1387:E1387"/>
    <mergeCell ref="C1378:E1378"/>
    <mergeCell ref="C1379:E1379"/>
    <mergeCell ref="C1380:N1380"/>
    <mergeCell ref="C1381:E1381"/>
    <mergeCell ref="C1382:E1382"/>
    <mergeCell ref="C1393:E1393"/>
    <mergeCell ref="C1394:E1394"/>
    <mergeCell ref="C1395:E1395"/>
    <mergeCell ref="C1396:E1396"/>
    <mergeCell ref="C1397:E1397"/>
    <mergeCell ref="C1388:E1388"/>
    <mergeCell ref="C1389:E1389"/>
    <mergeCell ref="C1390:E1390"/>
    <mergeCell ref="C1391:E1391"/>
    <mergeCell ref="C1392:E1392"/>
    <mergeCell ref="A1403:N1403"/>
    <mergeCell ref="C1404:E1404"/>
    <mergeCell ref="C1405:N1405"/>
    <mergeCell ref="C1406:N1406"/>
    <mergeCell ref="C1407:E1407"/>
    <mergeCell ref="C1398:E1398"/>
    <mergeCell ref="C1399:E1399"/>
    <mergeCell ref="C1400:E1400"/>
    <mergeCell ref="C1401:E1401"/>
    <mergeCell ref="C1402:E1402"/>
    <mergeCell ref="C1413:E1413"/>
    <mergeCell ref="C1414:E1414"/>
    <mergeCell ref="C1415:E1415"/>
    <mergeCell ref="C1416:E1416"/>
    <mergeCell ref="C1417:E1417"/>
    <mergeCell ref="C1408:E1408"/>
    <mergeCell ref="C1409:E1409"/>
    <mergeCell ref="C1410:E1410"/>
    <mergeCell ref="C1411:E1411"/>
    <mergeCell ref="C1412:E1412"/>
    <mergeCell ref="C1423:E1423"/>
    <mergeCell ref="C1424:E1424"/>
    <mergeCell ref="C1425:E1425"/>
    <mergeCell ref="C1426:E1426"/>
    <mergeCell ref="C1427:E1427"/>
    <mergeCell ref="C1418:E1418"/>
    <mergeCell ref="C1419:E1419"/>
    <mergeCell ref="C1420:E1420"/>
    <mergeCell ref="C1421:E1421"/>
    <mergeCell ref="C1422:E1422"/>
    <mergeCell ref="C1433:E1433"/>
    <mergeCell ref="C1434:N1434"/>
    <mergeCell ref="C1435:N1435"/>
    <mergeCell ref="C1436:E1436"/>
    <mergeCell ref="C1437:E1437"/>
    <mergeCell ref="C1428:E1428"/>
    <mergeCell ref="C1429:E1429"/>
    <mergeCell ref="C1430:N1430"/>
    <mergeCell ref="C1431:N1431"/>
    <mergeCell ref="C1432:E1432"/>
    <mergeCell ref="C1443:E1443"/>
    <mergeCell ref="C1444:E1444"/>
    <mergeCell ref="C1445:E1445"/>
    <mergeCell ref="C1446:E1446"/>
    <mergeCell ref="C1447:E1447"/>
    <mergeCell ref="C1438:E1438"/>
    <mergeCell ref="C1439:E1439"/>
    <mergeCell ref="C1440:E1440"/>
    <mergeCell ref="C1441:E1441"/>
    <mergeCell ref="C1442:E1442"/>
    <mergeCell ref="C1453:E1453"/>
    <mergeCell ref="C1454:E1454"/>
    <mergeCell ref="C1455:N1455"/>
    <mergeCell ref="C1456:E1456"/>
    <mergeCell ref="C1457:E1457"/>
    <mergeCell ref="C1448:E1448"/>
    <mergeCell ref="C1449:E1449"/>
    <mergeCell ref="C1450:E1450"/>
    <mergeCell ref="C1451:E1451"/>
    <mergeCell ref="C1452:E1452"/>
    <mergeCell ref="C1463:N1463"/>
    <mergeCell ref="C1464:E1464"/>
    <mergeCell ref="C1465:E1465"/>
    <mergeCell ref="C1466:E1466"/>
    <mergeCell ref="C1467:E1467"/>
    <mergeCell ref="C1458:N1458"/>
    <mergeCell ref="C1459:E1459"/>
    <mergeCell ref="C1460:E1460"/>
    <mergeCell ref="C1461:N1461"/>
    <mergeCell ref="C1462:N1462"/>
    <mergeCell ref="C1473:E1473"/>
    <mergeCell ref="C1474:E1474"/>
    <mergeCell ref="C1475:E1475"/>
    <mergeCell ref="C1476:E1476"/>
    <mergeCell ref="C1477:E1477"/>
    <mergeCell ref="C1468:E1468"/>
    <mergeCell ref="C1469:E1469"/>
    <mergeCell ref="C1470:E1470"/>
    <mergeCell ref="C1471:E1471"/>
    <mergeCell ref="C1472:E1472"/>
    <mergeCell ref="C1483:N1483"/>
    <mergeCell ref="C1484:E1484"/>
    <mergeCell ref="C1485:E1485"/>
    <mergeCell ref="C1486:E1486"/>
    <mergeCell ref="C1487:E1487"/>
    <mergeCell ref="C1478:E1478"/>
    <mergeCell ref="C1479:E1479"/>
    <mergeCell ref="C1480:E1480"/>
    <mergeCell ref="C1481:E1481"/>
    <mergeCell ref="C1482:N1482"/>
    <mergeCell ref="C1493:E1493"/>
    <mergeCell ref="C1494:E1494"/>
    <mergeCell ref="C1495:E1495"/>
    <mergeCell ref="C1496:E1496"/>
    <mergeCell ref="C1497:E1497"/>
    <mergeCell ref="C1488:E1488"/>
    <mergeCell ref="C1489:E1489"/>
    <mergeCell ref="C1490:E1490"/>
    <mergeCell ref="C1491:E1491"/>
    <mergeCell ref="C1492:E1492"/>
    <mergeCell ref="C1503:E1503"/>
    <mergeCell ref="C1504:E1504"/>
    <mergeCell ref="C1505:E1505"/>
    <mergeCell ref="C1506:E1506"/>
    <mergeCell ref="A1507:N1507"/>
    <mergeCell ref="C1498:E1498"/>
    <mergeCell ref="C1499:E1499"/>
    <mergeCell ref="C1500:E1500"/>
    <mergeCell ref="C1501:E1501"/>
    <mergeCell ref="C1502:E1502"/>
    <mergeCell ref="C1513:E1513"/>
    <mergeCell ref="C1514:E1514"/>
    <mergeCell ref="C1515:E1515"/>
    <mergeCell ref="C1516:E1516"/>
    <mergeCell ref="C1517:E1517"/>
    <mergeCell ref="C1508:E1508"/>
    <mergeCell ref="C1509:N1509"/>
    <mergeCell ref="C1510:N1510"/>
    <mergeCell ref="C1511:E1511"/>
    <mergeCell ref="C1512:E1512"/>
    <mergeCell ref="C1523:E1523"/>
    <mergeCell ref="C1524:E1524"/>
    <mergeCell ref="C1525:E1525"/>
    <mergeCell ref="C1526:E1526"/>
    <mergeCell ref="C1527:E1527"/>
    <mergeCell ref="C1518:E1518"/>
    <mergeCell ref="C1519:E1519"/>
    <mergeCell ref="C1520:E1520"/>
    <mergeCell ref="C1521:E1521"/>
    <mergeCell ref="C1522:E1522"/>
    <mergeCell ref="C1533:N1533"/>
    <mergeCell ref="C1534:E1534"/>
    <mergeCell ref="C1535:E1535"/>
    <mergeCell ref="C1536:N1536"/>
    <mergeCell ref="C1537:N1537"/>
    <mergeCell ref="C1528:E1528"/>
    <mergeCell ref="C1529:E1529"/>
    <mergeCell ref="C1530:N1530"/>
    <mergeCell ref="C1531:E1531"/>
    <mergeCell ref="C1532:E1532"/>
    <mergeCell ref="C1543:E1543"/>
    <mergeCell ref="C1544:E1544"/>
    <mergeCell ref="C1545:E1545"/>
    <mergeCell ref="C1546:E1546"/>
    <mergeCell ref="C1547:E1547"/>
    <mergeCell ref="C1538:N1538"/>
    <mergeCell ref="C1539:E1539"/>
    <mergeCell ref="C1540:E1540"/>
    <mergeCell ref="C1541:E1541"/>
    <mergeCell ref="C1542:E1542"/>
    <mergeCell ref="C1553:E1553"/>
    <mergeCell ref="C1554:E1554"/>
    <mergeCell ref="C1555:E1555"/>
    <mergeCell ref="A1556:N1556"/>
    <mergeCell ref="C1557:E1557"/>
    <mergeCell ref="C1548:E1548"/>
    <mergeCell ref="C1549:E1549"/>
    <mergeCell ref="C1550:E1550"/>
    <mergeCell ref="C1551:E1551"/>
    <mergeCell ref="C1552:E1552"/>
    <mergeCell ref="C1563:E1563"/>
    <mergeCell ref="C1564:E1564"/>
    <mergeCell ref="C1565:E1565"/>
    <mergeCell ref="C1566:E1566"/>
    <mergeCell ref="C1567:E1567"/>
    <mergeCell ref="C1558:N1558"/>
    <mergeCell ref="C1559:N1559"/>
    <mergeCell ref="C1560:E1560"/>
    <mergeCell ref="C1561:E1561"/>
    <mergeCell ref="C1562:E1562"/>
    <mergeCell ref="C1573:E1573"/>
    <mergeCell ref="C1574:E1574"/>
    <mergeCell ref="C1575:E1575"/>
    <mergeCell ref="C1576:E1576"/>
    <mergeCell ref="C1577:E1577"/>
    <mergeCell ref="C1568:E1568"/>
    <mergeCell ref="C1569:E1569"/>
    <mergeCell ref="C1570:E1570"/>
    <mergeCell ref="C1571:E1571"/>
    <mergeCell ref="C1572:E1572"/>
    <mergeCell ref="C1583:E1583"/>
    <mergeCell ref="C1584:E1584"/>
    <mergeCell ref="C1585:N1585"/>
    <mergeCell ref="C1586:N1586"/>
    <mergeCell ref="C1587:N1587"/>
    <mergeCell ref="C1578:E1578"/>
    <mergeCell ref="C1579:N1579"/>
    <mergeCell ref="C1580:E1580"/>
    <mergeCell ref="C1581:E1581"/>
    <mergeCell ref="C1582:N1582"/>
    <mergeCell ref="C1593:E1593"/>
    <mergeCell ref="C1594:E1594"/>
    <mergeCell ref="C1595:E1595"/>
    <mergeCell ref="C1596:E1596"/>
    <mergeCell ref="C1597:E1597"/>
    <mergeCell ref="C1588:E1588"/>
    <mergeCell ref="C1589:E1589"/>
    <mergeCell ref="C1590:E1590"/>
    <mergeCell ref="C1591:E1591"/>
    <mergeCell ref="C1592:E1592"/>
    <mergeCell ref="C1603:E1603"/>
    <mergeCell ref="C1604:E1604"/>
    <mergeCell ref="C1605:E1605"/>
    <mergeCell ref="C1606:N1606"/>
    <mergeCell ref="C1607:N1607"/>
    <mergeCell ref="C1598:E1598"/>
    <mergeCell ref="C1599:E1599"/>
    <mergeCell ref="C1600:E1600"/>
    <mergeCell ref="C1601:E1601"/>
    <mergeCell ref="C1602:E1602"/>
    <mergeCell ref="C1613:E1613"/>
    <mergeCell ref="C1614:E1614"/>
    <mergeCell ref="C1615:E1615"/>
    <mergeCell ref="C1616:E1616"/>
    <mergeCell ref="C1617:E1617"/>
    <mergeCell ref="C1608:E1608"/>
    <mergeCell ref="C1609:E1609"/>
    <mergeCell ref="C1610:E1610"/>
    <mergeCell ref="C1611:E1611"/>
    <mergeCell ref="C1612:E1612"/>
    <mergeCell ref="C1623:E1623"/>
    <mergeCell ref="C1624:E1624"/>
    <mergeCell ref="C1625:E1625"/>
    <mergeCell ref="C1626:E1626"/>
    <mergeCell ref="C1627:N1627"/>
    <mergeCell ref="C1618:E1618"/>
    <mergeCell ref="C1619:E1619"/>
    <mergeCell ref="C1620:E1620"/>
    <mergeCell ref="C1621:E1621"/>
    <mergeCell ref="C1622:E1622"/>
    <mergeCell ref="C1633:N1633"/>
    <mergeCell ref="C1634:N1634"/>
    <mergeCell ref="C1635:N1635"/>
    <mergeCell ref="C1636:E1636"/>
    <mergeCell ref="C1637:E1637"/>
    <mergeCell ref="C1628:E1628"/>
    <mergeCell ref="C1629:E1629"/>
    <mergeCell ref="C1630:N1630"/>
    <mergeCell ref="C1631:E1631"/>
    <mergeCell ref="C1632:E1632"/>
    <mergeCell ref="C1643:E1643"/>
    <mergeCell ref="C1644:E1644"/>
    <mergeCell ref="C1645:E1645"/>
    <mergeCell ref="C1646:E1646"/>
    <mergeCell ref="C1647:E1647"/>
    <mergeCell ref="C1638:E1638"/>
    <mergeCell ref="C1639:E1639"/>
    <mergeCell ref="C1640:E1640"/>
    <mergeCell ref="C1641:E1641"/>
    <mergeCell ref="C1642:E1642"/>
    <mergeCell ref="A1653:N1653"/>
    <mergeCell ref="C1654:E1654"/>
    <mergeCell ref="C1655:N1655"/>
    <mergeCell ref="C1656:N1656"/>
    <mergeCell ref="C1657:E1657"/>
    <mergeCell ref="C1648:E1648"/>
    <mergeCell ref="C1649:E1649"/>
    <mergeCell ref="C1650:E1650"/>
    <mergeCell ref="C1651:E1651"/>
    <mergeCell ref="C1652:E1652"/>
    <mergeCell ref="C1663:E1663"/>
    <mergeCell ref="C1664:E1664"/>
    <mergeCell ref="C1665:E1665"/>
    <mergeCell ref="C1666:E1666"/>
    <mergeCell ref="C1667:E1667"/>
    <mergeCell ref="C1658:E1658"/>
    <mergeCell ref="C1659:N1659"/>
    <mergeCell ref="C1660:N1660"/>
    <mergeCell ref="C1661:E1661"/>
    <mergeCell ref="C1662:E1662"/>
    <mergeCell ref="C1673:E1673"/>
    <mergeCell ref="C1674:E1674"/>
    <mergeCell ref="C1675:E1675"/>
    <mergeCell ref="C1676:E1676"/>
    <mergeCell ref="C1677:E1677"/>
    <mergeCell ref="C1668:E1668"/>
    <mergeCell ref="C1669:E1669"/>
    <mergeCell ref="C1670:E1670"/>
    <mergeCell ref="C1671:E1671"/>
    <mergeCell ref="C1672:E1672"/>
    <mergeCell ref="A1683:N1683"/>
    <mergeCell ref="A1684:N1684"/>
    <mergeCell ref="C1685:E1685"/>
    <mergeCell ref="C1686:N1686"/>
    <mergeCell ref="C1687:N1687"/>
    <mergeCell ref="C1678:E1678"/>
    <mergeCell ref="C1679:E1679"/>
    <mergeCell ref="C1680:E1680"/>
    <mergeCell ref="C1681:N1681"/>
    <mergeCell ref="C1682:E1682"/>
    <mergeCell ref="C1693:E1693"/>
    <mergeCell ref="C1694:E1694"/>
    <mergeCell ref="C1695:E1695"/>
    <mergeCell ref="C1696:E1696"/>
    <mergeCell ref="C1697:E1697"/>
    <mergeCell ref="C1688:E1688"/>
    <mergeCell ref="C1689:E1689"/>
    <mergeCell ref="C1690:E1690"/>
    <mergeCell ref="C1691:E1691"/>
    <mergeCell ref="C1692:E1692"/>
    <mergeCell ref="C1703:E1703"/>
    <mergeCell ref="C1704:E1704"/>
    <mergeCell ref="C1705:E1705"/>
    <mergeCell ref="C1706:N1706"/>
    <mergeCell ref="C1707:N1707"/>
    <mergeCell ref="C1698:E1698"/>
    <mergeCell ref="C1699:E1699"/>
    <mergeCell ref="C1700:E1700"/>
    <mergeCell ref="C1701:E1701"/>
    <mergeCell ref="C1702:E1702"/>
    <mergeCell ref="C1713:E1713"/>
    <mergeCell ref="C1714:E1714"/>
    <mergeCell ref="C1715:E1715"/>
    <mergeCell ref="C1716:E1716"/>
    <mergeCell ref="C1717:E1717"/>
    <mergeCell ref="C1708:N1708"/>
    <mergeCell ref="C1709:E1709"/>
    <mergeCell ref="C1710:E1710"/>
    <mergeCell ref="C1711:E1711"/>
    <mergeCell ref="C1712:E1712"/>
    <mergeCell ref="C1723:E1723"/>
    <mergeCell ref="C1724:E1724"/>
    <mergeCell ref="C1725:N1725"/>
    <mergeCell ref="C1726:N1726"/>
    <mergeCell ref="C1727:E1727"/>
    <mergeCell ref="C1718:E1718"/>
    <mergeCell ref="C1719:E1719"/>
    <mergeCell ref="C1720:E1720"/>
    <mergeCell ref="C1721:E1721"/>
    <mergeCell ref="C1722:E1722"/>
    <mergeCell ref="C1733:E1733"/>
    <mergeCell ref="C1734:E1734"/>
    <mergeCell ref="C1735:E1735"/>
    <mergeCell ref="C1736:E1736"/>
    <mergeCell ref="C1737:E1737"/>
    <mergeCell ref="C1728:E1728"/>
    <mergeCell ref="C1729:N1729"/>
    <mergeCell ref="C1730:N1730"/>
    <mergeCell ref="C1731:E1731"/>
    <mergeCell ref="C1732:E1732"/>
    <mergeCell ref="C1743:E1743"/>
    <mergeCell ref="C1744:E1744"/>
    <mergeCell ref="C1745:E1745"/>
    <mergeCell ref="C1746:E1746"/>
    <mergeCell ref="C1747:E1747"/>
    <mergeCell ref="C1738:E1738"/>
    <mergeCell ref="C1739:E1739"/>
    <mergeCell ref="C1740:E1740"/>
    <mergeCell ref="C1741:E1741"/>
    <mergeCell ref="C1742:E1742"/>
    <mergeCell ref="C1753:E1753"/>
    <mergeCell ref="C1754:N1754"/>
    <mergeCell ref="C1755:N1755"/>
    <mergeCell ref="C1756:E1756"/>
    <mergeCell ref="C1757:E1757"/>
    <mergeCell ref="C1748:E1748"/>
    <mergeCell ref="C1749:E1749"/>
    <mergeCell ref="C1750:E1750"/>
    <mergeCell ref="C1751:N1751"/>
    <mergeCell ref="C1752:E1752"/>
    <mergeCell ref="C1763:E1763"/>
    <mergeCell ref="C1764:E1764"/>
    <mergeCell ref="C1765:E1765"/>
    <mergeCell ref="C1766:E1766"/>
    <mergeCell ref="C1767:E1767"/>
    <mergeCell ref="C1758:E1758"/>
    <mergeCell ref="C1759:E1759"/>
    <mergeCell ref="C1760:E1760"/>
    <mergeCell ref="C1761:E1761"/>
    <mergeCell ref="C1762:E1762"/>
    <mergeCell ref="C1773:E1773"/>
    <mergeCell ref="C1774:E1774"/>
    <mergeCell ref="C1775:E1775"/>
    <mergeCell ref="C1776:E1776"/>
    <mergeCell ref="C1777:E1777"/>
    <mergeCell ref="C1768:E1768"/>
    <mergeCell ref="C1769:E1769"/>
    <mergeCell ref="C1770:E1770"/>
    <mergeCell ref="C1771:E1771"/>
    <mergeCell ref="C1772:E1772"/>
    <mergeCell ref="C1783:E1783"/>
    <mergeCell ref="C1784:E1784"/>
    <mergeCell ref="C1785:E1785"/>
    <mergeCell ref="C1786:E1786"/>
    <mergeCell ref="C1787:E1787"/>
    <mergeCell ref="C1778:E1778"/>
    <mergeCell ref="A1779:N1779"/>
    <mergeCell ref="C1780:E1780"/>
    <mergeCell ref="C1781:N1781"/>
    <mergeCell ref="C1782:N1782"/>
    <mergeCell ref="C1793:E1793"/>
    <mergeCell ref="C1794:E1794"/>
    <mergeCell ref="C1795:E1795"/>
    <mergeCell ref="C1796:E1796"/>
    <mergeCell ref="C1797:E1797"/>
    <mergeCell ref="C1788:E1788"/>
    <mergeCell ref="C1789:E1789"/>
    <mergeCell ref="C1790:E1790"/>
    <mergeCell ref="C1791:E1791"/>
    <mergeCell ref="C1792:E1792"/>
    <mergeCell ref="C1803:E1803"/>
    <mergeCell ref="C1804:E1804"/>
    <mergeCell ref="C1805:E1805"/>
    <mergeCell ref="C1806:N1806"/>
    <mergeCell ref="C1807:N1807"/>
    <mergeCell ref="C1798:E1798"/>
    <mergeCell ref="C1799:E1799"/>
    <mergeCell ref="C1800:E1800"/>
    <mergeCell ref="C1801:E1801"/>
    <mergeCell ref="C1802:E1802"/>
    <mergeCell ref="C1813:E1813"/>
    <mergeCell ref="C1814:E1814"/>
    <mergeCell ref="C1815:E1815"/>
    <mergeCell ref="C1816:E1816"/>
    <mergeCell ref="C1817:E1817"/>
    <mergeCell ref="C1808:E1808"/>
    <mergeCell ref="C1809:E1809"/>
    <mergeCell ref="C1810:N1810"/>
    <mergeCell ref="C1811:N1811"/>
    <mergeCell ref="C1812:E1812"/>
    <mergeCell ref="C1823:E1823"/>
    <mergeCell ref="C1824:E1824"/>
    <mergeCell ref="C1825:E1825"/>
    <mergeCell ref="C1826:E1826"/>
    <mergeCell ref="C1827:E1827"/>
    <mergeCell ref="C1818:E1818"/>
    <mergeCell ref="C1819:E1819"/>
    <mergeCell ref="C1820:E1820"/>
    <mergeCell ref="C1821:E1821"/>
    <mergeCell ref="C1822:E1822"/>
    <mergeCell ref="C1833:E1833"/>
    <mergeCell ref="C1834:E1834"/>
    <mergeCell ref="C1835:E1835"/>
    <mergeCell ref="C1836:E1836"/>
    <mergeCell ref="C1837:E1837"/>
    <mergeCell ref="C1828:E1828"/>
    <mergeCell ref="C1829:E1829"/>
    <mergeCell ref="C1830:N1830"/>
    <mergeCell ref="C1831:N1831"/>
    <mergeCell ref="C1832:N1832"/>
    <mergeCell ref="C1843:E1843"/>
    <mergeCell ref="C1844:E1844"/>
    <mergeCell ref="C1845:E1845"/>
    <mergeCell ref="C1846:E1846"/>
    <mergeCell ref="C1847:E1847"/>
    <mergeCell ref="C1838:E1838"/>
    <mergeCell ref="C1839:E1839"/>
    <mergeCell ref="C1840:E1840"/>
    <mergeCell ref="C1841:E1841"/>
    <mergeCell ref="C1842:E1842"/>
    <mergeCell ref="C1853:N1853"/>
    <mergeCell ref="C1854:N1854"/>
    <mergeCell ref="C1855:E1855"/>
    <mergeCell ref="C1856:E1856"/>
    <mergeCell ref="C1857:E1857"/>
    <mergeCell ref="C1848:E1848"/>
    <mergeCell ref="C1849:N1849"/>
    <mergeCell ref="C1850:N1850"/>
    <mergeCell ref="C1851:E1851"/>
    <mergeCell ref="C1852:E1852"/>
    <mergeCell ref="C1863:E1863"/>
    <mergeCell ref="C1864:E1864"/>
    <mergeCell ref="C1865:E1865"/>
    <mergeCell ref="C1866:E1866"/>
    <mergeCell ref="C1867:E1867"/>
    <mergeCell ref="C1858:E1858"/>
    <mergeCell ref="C1859:E1859"/>
    <mergeCell ref="C1860:E1860"/>
    <mergeCell ref="C1861:E1861"/>
    <mergeCell ref="C1862:E1862"/>
    <mergeCell ref="C1873:E1873"/>
    <mergeCell ref="C1874:E1874"/>
    <mergeCell ref="C1875:N1875"/>
    <mergeCell ref="C1876:E1876"/>
    <mergeCell ref="C1877:E1877"/>
    <mergeCell ref="C1868:E1868"/>
    <mergeCell ref="C1869:E1869"/>
    <mergeCell ref="C1870:E1870"/>
    <mergeCell ref="C1871:E1871"/>
    <mergeCell ref="C1872:E1872"/>
    <mergeCell ref="C1883:E1883"/>
    <mergeCell ref="C1884:E1884"/>
    <mergeCell ref="C1885:E1885"/>
    <mergeCell ref="C1886:E1886"/>
    <mergeCell ref="C1887:E1887"/>
    <mergeCell ref="C1878:N1878"/>
    <mergeCell ref="C1879:N1879"/>
    <mergeCell ref="C1880:E1880"/>
    <mergeCell ref="C1881:E1881"/>
    <mergeCell ref="C1882:E1882"/>
    <mergeCell ref="C1893:E1893"/>
    <mergeCell ref="C1894:E1894"/>
    <mergeCell ref="C1895:E1895"/>
    <mergeCell ref="C1896:E1896"/>
    <mergeCell ref="C1897:E1897"/>
    <mergeCell ref="C1888:E1888"/>
    <mergeCell ref="C1889:E1889"/>
    <mergeCell ref="C1890:E1890"/>
    <mergeCell ref="C1891:E1891"/>
    <mergeCell ref="C1892:E1892"/>
    <mergeCell ref="A1903:N1903"/>
    <mergeCell ref="C1904:E1904"/>
    <mergeCell ref="C1905:N1905"/>
    <mergeCell ref="C1906:N1906"/>
    <mergeCell ref="C1907:N1907"/>
    <mergeCell ref="C1898:E1898"/>
    <mergeCell ref="C1899:E1899"/>
    <mergeCell ref="C1900:E1900"/>
    <mergeCell ref="C1901:E1901"/>
    <mergeCell ref="C1902:E1902"/>
    <mergeCell ref="C1913:E1913"/>
    <mergeCell ref="C1914:E1914"/>
    <mergeCell ref="C1915:E1915"/>
    <mergeCell ref="C1916:E1916"/>
    <mergeCell ref="C1917:E1917"/>
    <mergeCell ref="C1908:E1908"/>
    <mergeCell ref="C1909:E1909"/>
    <mergeCell ref="C1910:E1910"/>
    <mergeCell ref="C1911:E1911"/>
    <mergeCell ref="C1912:E1912"/>
    <mergeCell ref="C1923:E1923"/>
    <mergeCell ref="C1924:N1924"/>
    <mergeCell ref="C1925:N1925"/>
    <mergeCell ref="C1926:E1926"/>
    <mergeCell ref="C1927:E1927"/>
    <mergeCell ref="C1918:E1918"/>
    <mergeCell ref="C1919:E1919"/>
    <mergeCell ref="C1920:E1920"/>
    <mergeCell ref="C1921:E1921"/>
    <mergeCell ref="C1922:E1922"/>
    <mergeCell ref="C1933:E1933"/>
    <mergeCell ref="C1934:E1934"/>
    <mergeCell ref="C1935:E1935"/>
    <mergeCell ref="C1936:E1936"/>
    <mergeCell ref="C1937:E1937"/>
    <mergeCell ref="C1928:N1928"/>
    <mergeCell ref="C1929:N1929"/>
    <mergeCell ref="C1930:E1930"/>
    <mergeCell ref="C1931:E1931"/>
    <mergeCell ref="C1932:E1932"/>
    <mergeCell ref="C1943:E1943"/>
    <mergeCell ref="C1944:E1944"/>
    <mergeCell ref="C1945:E1945"/>
    <mergeCell ref="C1946:E1946"/>
    <mergeCell ref="C1947:E1947"/>
    <mergeCell ref="C1938:E1938"/>
    <mergeCell ref="C1939:E1939"/>
    <mergeCell ref="C1940:E1940"/>
    <mergeCell ref="C1941:E1941"/>
    <mergeCell ref="C1942:E1942"/>
    <mergeCell ref="C1953:E1953"/>
    <mergeCell ref="C1954:N1954"/>
    <mergeCell ref="C1955:N1955"/>
    <mergeCell ref="C1956:E1956"/>
    <mergeCell ref="C1957:E1957"/>
    <mergeCell ref="C1948:E1948"/>
    <mergeCell ref="C1949:E1949"/>
    <mergeCell ref="C1950:N1950"/>
    <mergeCell ref="C1951:E1951"/>
    <mergeCell ref="A1952:N1952"/>
    <mergeCell ref="C1963:E1963"/>
    <mergeCell ref="C1964:E1964"/>
    <mergeCell ref="C1965:E1965"/>
    <mergeCell ref="C1966:E1966"/>
    <mergeCell ref="C1967:E1967"/>
    <mergeCell ref="C1958:E1958"/>
    <mergeCell ref="C1959:E1959"/>
    <mergeCell ref="C1960:E1960"/>
    <mergeCell ref="C1961:E1961"/>
    <mergeCell ref="C1962:E1962"/>
    <mergeCell ref="C1973:N1973"/>
    <mergeCell ref="C1974:E1974"/>
    <mergeCell ref="C1975:E1975"/>
    <mergeCell ref="C1976:N1976"/>
    <mergeCell ref="C1977:N1977"/>
    <mergeCell ref="C1968:E1968"/>
    <mergeCell ref="C1969:E1969"/>
    <mergeCell ref="C1970:E1970"/>
    <mergeCell ref="C1971:E1971"/>
    <mergeCell ref="C1972:N1972"/>
    <mergeCell ref="C1983:E1983"/>
    <mergeCell ref="C1984:E1984"/>
    <mergeCell ref="C1985:E1985"/>
    <mergeCell ref="C1986:E1986"/>
    <mergeCell ref="C1987:E1987"/>
    <mergeCell ref="C1978:E1978"/>
    <mergeCell ref="C1979:E1979"/>
    <mergeCell ref="C1980:E1980"/>
    <mergeCell ref="C1981:E1981"/>
    <mergeCell ref="C1982:E1982"/>
    <mergeCell ref="C1993:E1993"/>
    <mergeCell ref="C1994:E1994"/>
    <mergeCell ref="C1995:E1995"/>
    <mergeCell ref="C1996:N1996"/>
    <mergeCell ref="C1997:N1997"/>
    <mergeCell ref="C1988:E1988"/>
    <mergeCell ref="C1989:E1989"/>
    <mergeCell ref="C1990:E1990"/>
    <mergeCell ref="C1991:E1991"/>
    <mergeCell ref="C1992:E1992"/>
    <mergeCell ref="C2003:E2003"/>
    <mergeCell ref="C2004:E2004"/>
    <mergeCell ref="C2005:E2005"/>
    <mergeCell ref="C2006:E2006"/>
    <mergeCell ref="C2007:E2007"/>
    <mergeCell ref="C1998:E1998"/>
    <mergeCell ref="C1999:E1999"/>
    <mergeCell ref="C2000:N2000"/>
    <mergeCell ref="C2001:N2001"/>
    <mergeCell ref="C2002:E2002"/>
    <mergeCell ref="C2013:E2013"/>
    <mergeCell ref="C2014:E2014"/>
    <mergeCell ref="C2015:E2015"/>
    <mergeCell ref="C2016:E2016"/>
    <mergeCell ref="C2017:E2017"/>
    <mergeCell ref="C2008:E2008"/>
    <mergeCell ref="C2009:E2009"/>
    <mergeCell ref="C2010:E2010"/>
    <mergeCell ref="C2011:E2011"/>
    <mergeCell ref="C2012:E2012"/>
    <mergeCell ref="C2023:E2023"/>
    <mergeCell ref="C2024:N2024"/>
    <mergeCell ref="C2025:N2025"/>
    <mergeCell ref="C2026:N2026"/>
    <mergeCell ref="C2027:E2027"/>
    <mergeCell ref="C2018:E2018"/>
    <mergeCell ref="C2019:E2019"/>
    <mergeCell ref="C2020:N2020"/>
    <mergeCell ref="C2021:N2021"/>
    <mergeCell ref="C2022:E2022"/>
    <mergeCell ref="C2033:E2033"/>
    <mergeCell ref="C2034:E2034"/>
    <mergeCell ref="C2035:E2035"/>
    <mergeCell ref="C2036:E2036"/>
    <mergeCell ref="C2037:E2037"/>
    <mergeCell ref="C2028:E2028"/>
    <mergeCell ref="C2029:E2029"/>
    <mergeCell ref="C2030:E2030"/>
    <mergeCell ref="C2031:E2031"/>
    <mergeCell ref="C2032:E2032"/>
    <mergeCell ref="C2043:N2043"/>
    <mergeCell ref="C2044:N2044"/>
    <mergeCell ref="C2045:E2045"/>
    <mergeCell ref="C2046:E2046"/>
    <mergeCell ref="C2047:N2047"/>
    <mergeCell ref="C2038:E2038"/>
    <mergeCell ref="C2039:E2039"/>
    <mergeCell ref="C2040:E2040"/>
    <mergeCell ref="C2041:E2041"/>
    <mergeCell ref="C2042:E2042"/>
    <mergeCell ref="C2053:E2053"/>
    <mergeCell ref="C2054:E2054"/>
    <mergeCell ref="C2055:E2055"/>
    <mergeCell ref="C2056:E2056"/>
    <mergeCell ref="C2057:E2057"/>
    <mergeCell ref="C2048:N2048"/>
    <mergeCell ref="C2049:E2049"/>
    <mergeCell ref="C2050:E2050"/>
    <mergeCell ref="C2051:E2051"/>
    <mergeCell ref="C2052:E2052"/>
    <mergeCell ref="C2063:E2063"/>
    <mergeCell ref="C2064:E2064"/>
    <mergeCell ref="C2065:E2065"/>
    <mergeCell ref="C2066:E2066"/>
    <mergeCell ref="C2067:E2067"/>
    <mergeCell ref="C2058:E2058"/>
    <mergeCell ref="C2059:E2059"/>
    <mergeCell ref="C2060:E2060"/>
    <mergeCell ref="C2061:E2061"/>
    <mergeCell ref="C2062:E2062"/>
    <mergeCell ref="C2073:E2073"/>
    <mergeCell ref="C2074:E2074"/>
    <mergeCell ref="C2075:E2075"/>
    <mergeCell ref="C2076:E2076"/>
    <mergeCell ref="C2077:E2077"/>
    <mergeCell ref="C2068:E2068"/>
    <mergeCell ref="C2069:E2069"/>
    <mergeCell ref="C2070:E2070"/>
    <mergeCell ref="C2071:N2071"/>
    <mergeCell ref="C2072:N2072"/>
    <mergeCell ref="C2083:E2083"/>
    <mergeCell ref="C2084:E2084"/>
    <mergeCell ref="C2085:E2085"/>
    <mergeCell ref="C2086:E2086"/>
    <mergeCell ref="C2087:E2087"/>
    <mergeCell ref="C2078:E2078"/>
    <mergeCell ref="C2079:E2079"/>
    <mergeCell ref="C2080:E2080"/>
    <mergeCell ref="C2081:E2081"/>
    <mergeCell ref="C2082:E2082"/>
    <mergeCell ref="C2093:E2093"/>
    <mergeCell ref="C2094:E2094"/>
    <mergeCell ref="C2095:E2095"/>
    <mergeCell ref="C2096:N2096"/>
    <mergeCell ref="C2097:N2097"/>
    <mergeCell ref="C2088:E2088"/>
    <mergeCell ref="C2089:E2089"/>
    <mergeCell ref="C2090:E2090"/>
    <mergeCell ref="C2091:E2091"/>
    <mergeCell ref="C2092:E2092"/>
    <mergeCell ref="C2103:E2103"/>
    <mergeCell ref="C2104:E2104"/>
    <mergeCell ref="C2105:E2105"/>
    <mergeCell ref="C2106:E2106"/>
    <mergeCell ref="C2107:E2107"/>
    <mergeCell ref="C2098:E2098"/>
    <mergeCell ref="C2099:E2099"/>
    <mergeCell ref="C2100:N2100"/>
    <mergeCell ref="C2101:N2101"/>
    <mergeCell ref="C2102:E2102"/>
    <mergeCell ref="C2113:E2113"/>
    <mergeCell ref="C2114:E2114"/>
    <mergeCell ref="C2115:E2115"/>
    <mergeCell ref="C2116:E2116"/>
    <mergeCell ref="C2117:E2117"/>
    <mergeCell ref="C2108:E2108"/>
    <mergeCell ref="C2109:E2109"/>
    <mergeCell ref="C2110:E2110"/>
    <mergeCell ref="C2111:E2111"/>
    <mergeCell ref="C2112:E2112"/>
    <mergeCell ref="C2123:E2123"/>
    <mergeCell ref="C2124:N2124"/>
    <mergeCell ref="C2125:N2125"/>
    <mergeCell ref="C2126:E2126"/>
    <mergeCell ref="C2127:E2127"/>
    <mergeCell ref="C2118:E2118"/>
    <mergeCell ref="C2119:E2119"/>
    <mergeCell ref="C2120:E2120"/>
    <mergeCell ref="C2121:E2121"/>
    <mergeCell ref="C2122:E2122"/>
    <mergeCell ref="C2133:E2133"/>
    <mergeCell ref="C2134:E2134"/>
    <mergeCell ref="C2135:E2135"/>
    <mergeCell ref="C2136:E2136"/>
    <mergeCell ref="C2137:E2137"/>
    <mergeCell ref="C2128:N2128"/>
    <mergeCell ref="C2129:N2129"/>
    <mergeCell ref="C2130:E2130"/>
    <mergeCell ref="C2131:E2131"/>
    <mergeCell ref="C2132:E2132"/>
    <mergeCell ref="C2143:E2143"/>
    <mergeCell ref="C2144:E2144"/>
    <mergeCell ref="C2145:E2145"/>
    <mergeCell ref="C2146:E2146"/>
    <mergeCell ref="C2147:N2147"/>
    <mergeCell ref="C2138:E2138"/>
    <mergeCell ref="C2139:E2139"/>
    <mergeCell ref="C2140:E2140"/>
    <mergeCell ref="C2141:E2141"/>
    <mergeCell ref="C2142:E2142"/>
    <mergeCell ref="C2153:E2153"/>
    <mergeCell ref="C2154:E2154"/>
    <mergeCell ref="C2155:E2155"/>
    <mergeCell ref="C2156:E2156"/>
    <mergeCell ref="C2157:E2157"/>
    <mergeCell ref="C2148:N2148"/>
    <mergeCell ref="C2149:E2149"/>
    <mergeCell ref="C2150:E2150"/>
    <mergeCell ref="C2151:N2151"/>
    <mergeCell ref="C2152:N2152"/>
    <mergeCell ref="C2163:E2163"/>
    <mergeCell ref="C2164:E2164"/>
    <mergeCell ref="C2165:E2165"/>
    <mergeCell ref="C2166:E2166"/>
    <mergeCell ref="C2167:E2167"/>
    <mergeCell ref="C2158:E2158"/>
    <mergeCell ref="C2159:E2159"/>
    <mergeCell ref="C2160:E2160"/>
    <mergeCell ref="C2161:E2161"/>
    <mergeCell ref="C2162:E2162"/>
    <mergeCell ref="C2173:N2173"/>
    <mergeCell ref="C2174:N2174"/>
    <mergeCell ref="C2175:E2175"/>
    <mergeCell ref="C2176:E2176"/>
    <mergeCell ref="C2177:E2177"/>
    <mergeCell ref="C2168:E2168"/>
    <mergeCell ref="C2169:N2169"/>
    <mergeCell ref="C2170:N2170"/>
    <mergeCell ref="C2171:E2171"/>
    <mergeCell ref="C2172:E2172"/>
    <mergeCell ref="C2183:E2183"/>
    <mergeCell ref="C2184:E2184"/>
    <mergeCell ref="C2185:E2185"/>
    <mergeCell ref="C2186:E2186"/>
    <mergeCell ref="C2187:E2187"/>
    <mergeCell ref="C2178:E2178"/>
    <mergeCell ref="C2179:E2179"/>
    <mergeCell ref="C2180:E2180"/>
    <mergeCell ref="C2181:E2181"/>
    <mergeCell ref="C2182:E2182"/>
    <mergeCell ref="C2193:N2193"/>
    <mergeCell ref="C2194:E2194"/>
    <mergeCell ref="C2195:E2195"/>
    <mergeCell ref="C2196:N2196"/>
    <mergeCell ref="C2197:N2197"/>
    <mergeCell ref="C2188:E2188"/>
    <mergeCell ref="C2189:E2189"/>
    <mergeCell ref="C2190:E2190"/>
    <mergeCell ref="C2191:E2191"/>
    <mergeCell ref="C2192:N2192"/>
    <mergeCell ref="C2203:E2203"/>
    <mergeCell ref="C2204:E2204"/>
    <mergeCell ref="C2205:E2205"/>
    <mergeCell ref="C2206:E2206"/>
    <mergeCell ref="C2207:E2207"/>
    <mergeCell ref="C2198:E2198"/>
    <mergeCell ref="C2199:E2199"/>
    <mergeCell ref="C2200:E2200"/>
    <mergeCell ref="C2201:E2201"/>
    <mergeCell ref="C2202:E2202"/>
    <mergeCell ref="C2213:E2213"/>
    <mergeCell ref="C2214:E2214"/>
    <mergeCell ref="C2215:E2215"/>
    <mergeCell ref="C2216:E2216"/>
    <mergeCell ref="C2217:N2217"/>
    <mergeCell ref="C2208:E2208"/>
    <mergeCell ref="C2209:E2209"/>
    <mergeCell ref="C2210:E2210"/>
    <mergeCell ref="C2211:E2211"/>
    <mergeCell ref="C2212:E2212"/>
    <mergeCell ref="C2223:E2223"/>
    <mergeCell ref="C2224:E2224"/>
    <mergeCell ref="C2225:E2225"/>
    <mergeCell ref="C2226:E2226"/>
    <mergeCell ref="C2227:E2227"/>
    <mergeCell ref="C2218:N2218"/>
    <mergeCell ref="C2219:E2219"/>
    <mergeCell ref="C2220:E2220"/>
    <mergeCell ref="C2221:N2221"/>
    <mergeCell ref="C2222:N2222"/>
    <mergeCell ref="C2233:E2233"/>
    <mergeCell ref="C2234:E2234"/>
    <mergeCell ref="C2235:E2235"/>
    <mergeCell ref="C2236:E2236"/>
    <mergeCell ref="C2237:E2237"/>
    <mergeCell ref="C2228:E2228"/>
    <mergeCell ref="C2229:E2229"/>
    <mergeCell ref="C2230:E2230"/>
    <mergeCell ref="C2231:E2231"/>
    <mergeCell ref="C2232:E2232"/>
    <mergeCell ref="C2243:E2243"/>
    <mergeCell ref="C2244:N2244"/>
    <mergeCell ref="C2245:N2245"/>
    <mergeCell ref="C2246:E2246"/>
    <mergeCell ref="C2247:E2247"/>
    <mergeCell ref="C2238:E2238"/>
    <mergeCell ref="C2239:E2239"/>
    <mergeCell ref="C2240:N2240"/>
    <mergeCell ref="C2241:N2241"/>
    <mergeCell ref="C2242:E2242"/>
    <mergeCell ref="C2253:E2253"/>
    <mergeCell ref="C2254:E2254"/>
    <mergeCell ref="C2255:E2255"/>
    <mergeCell ref="C2256:E2256"/>
    <mergeCell ref="C2257:E2257"/>
    <mergeCell ref="C2248:E2248"/>
    <mergeCell ref="C2249:E2249"/>
    <mergeCell ref="C2250:E2250"/>
    <mergeCell ref="C2251:E2251"/>
    <mergeCell ref="C2252:E2252"/>
    <mergeCell ref="C2263:E2263"/>
    <mergeCell ref="C2264:N2264"/>
    <mergeCell ref="C2265:N2265"/>
    <mergeCell ref="C2266:E2266"/>
    <mergeCell ref="C2267:E2267"/>
    <mergeCell ref="C2258:E2258"/>
    <mergeCell ref="C2259:E2259"/>
    <mergeCell ref="C2260:E2260"/>
    <mergeCell ref="C2261:E2261"/>
    <mergeCell ref="C2262:E2262"/>
    <mergeCell ref="C2273:E2273"/>
    <mergeCell ref="C2274:E2274"/>
    <mergeCell ref="C2275:E2275"/>
    <mergeCell ref="C2276:E2276"/>
    <mergeCell ref="C2277:E2277"/>
    <mergeCell ref="C2268:N2268"/>
    <mergeCell ref="C2269:N2269"/>
    <mergeCell ref="C2270:N2270"/>
    <mergeCell ref="C2271:E2271"/>
    <mergeCell ref="C2272:E2272"/>
    <mergeCell ref="C2283:E2283"/>
    <mergeCell ref="C2284:E2284"/>
    <mergeCell ref="C2285:E2285"/>
    <mergeCell ref="C2286:E2286"/>
    <mergeCell ref="C2287:N2287"/>
    <mergeCell ref="C2278:E2278"/>
    <mergeCell ref="C2279:E2279"/>
    <mergeCell ref="C2280:E2280"/>
    <mergeCell ref="C2281:E2281"/>
    <mergeCell ref="C2282:E2282"/>
    <mergeCell ref="C2293:E2293"/>
    <mergeCell ref="C2294:E2294"/>
    <mergeCell ref="C2295:E2295"/>
    <mergeCell ref="C2296:E2296"/>
    <mergeCell ref="C2297:E2297"/>
    <mergeCell ref="C2288:N2288"/>
    <mergeCell ref="C2289:E2289"/>
    <mergeCell ref="C2290:E2290"/>
    <mergeCell ref="C2291:N2291"/>
    <mergeCell ref="C2292:N2292"/>
    <mergeCell ref="C2303:E2303"/>
    <mergeCell ref="C2304:E2304"/>
    <mergeCell ref="C2305:E2305"/>
    <mergeCell ref="C2306:E2306"/>
    <mergeCell ref="C2307:E2307"/>
    <mergeCell ref="C2298:E2298"/>
    <mergeCell ref="C2299:E2299"/>
    <mergeCell ref="C2300:E2300"/>
    <mergeCell ref="C2301:E2301"/>
    <mergeCell ref="C2302:E2302"/>
    <mergeCell ref="C2313:N2313"/>
    <mergeCell ref="C2314:N2314"/>
    <mergeCell ref="C2315:E2315"/>
    <mergeCell ref="A2316:N2316"/>
    <mergeCell ref="C2317:E2317"/>
    <mergeCell ref="C2308:E2308"/>
    <mergeCell ref="C2309:E2309"/>
    <mergeCell ref="C2310:E2310"/>
    <mergeCell ref="C2311:E2311"/>
    <mergeCell ref="C2312:E2312"/>
    <mergeCell ref="C2323:E2323"/>
    <mergeCell ref="C2324:E2324"/>
    <mergeCell ref="C2325:E2325"/>
    <mergeCell ref="C2326:E2326"/>
    <mergeCell ref="C2327:E2327"/>
    <mergeCell ref="C2318:N2318"/>
    <mergeCell ref="C2319:N2319"/>
    <mergeCell ref="C2320:N2320"/>
    <mergeCell ref="C2321:E2321"/>
    <mergeCell ref="C2322:E2322"/>
    <mergeCell ref="C2333:E2333"/>
    <mergeCell ref="C2334:E2334"/>
    <mergeCell ref="C2335:E2335"/>
    <mergeCell ref="C2336:E2336"/>
    <mergeCell ref="C2337:N2337"/>
    <mergeCell ref="C2328:E2328"/>
    <mergeCell ref="C2329:E2329"/>
    <mergeCell ref="C2330:E2330"/>
    <mergeCell ref="C2331:E2331"/>
    <mergeCell ref="C2332:E2332"/>
    <mergeCell ref="C2343:E2343"/>
    <mergeCell ref="C2344:E2344"/>
    <mergeCell ref="C2345:E2345"/>
    <mergeCell ref="C2346:E2346"/>
    <mergeCell ref="C2347:E2347"/>
    <mergeCell ref="C2338:N2338"/>
    <mergeCell ref="C2339:E2339"/>
    <mergeCell ref="C2340:E2340"/>
    <mergeCell ref="C2341:N2341"/>
    <mergeCell ref="C2342:N2342"/>
    <mergeCell ref="C2353:E2353"/>
    <mergeCell ref="C2354:E2354"/>
    <mergeCell ref="C2355:E2355"/>
    <mergeCell ref="C2356:E2356"/>
    <mergeCell ref="C2357:E2357"/>
    <mergeCell ref="C2348:E2348"/>
    <mergeCell ref="C2349:E2349"/>
    <mergeCell ref="C2350:E2350"/>
    <mergeCell ref="C2351:E2351"/>
    <mergeCell ref="C2352:E2352"/>
    <mergeCell ref="C2363:N2363"/>
    <mergeCell ref="C2364:E2364"/>
    <mergeCell ref="C2365:E2365"/>
    <mergeCell ref="C2366:N2366"/>
    <mergeCell ref="C2367:N2367"/>
    <mergeCell ref="C2358:E2358"/>
    <mergeCell ref="C2359:E2359"/>
    <mergeCell ref="C2360:E2360"/>
    <mergeCell ref="C2361:E2361"/>
    <mergeCell ref="C2362:E2362"/>
    <mergeCell ref="C2373:E2373"/>
    <mergeCell ref="C2374:E2374"/>
    <mergeCell ref="C2375:E2375"/>
    <mergeCell ref="C2376:E2376"/>
    <mergeCell ref="C2377:E2377"/>
    <mergeCell ref="C2368:E2368"/>
    <mergeCell ref="C2369:E2369"/>
    <mergeCell ref="C2370:E2370"/>
    <mergeCell ref="C2371:E2371"/>
    <mergeCell ref="C2372:E2372"/>
    <mergeCell ref="C2383:E2383"/>
    <mergeCell ref="C2384:E2384"/>
    <mergeCell ref="C2385:N2385"/>
    <mergeCell ref="C2386:N2386"/>
    <mergeCell ref="C2387:E2387"/>
    <mergeCell ref="C2378:E2378"/>
    <mergeCell ref="C2379:E2379"/>
    <mergeCell ref="C2380:E2380"/>
    <mergeCell ref="C2381:E2381"/>
    <mergeCell ref="C2382:E2382"/>
    <mergeCell ref="C2393:E2393"/>
    <mergeCell ref="C2394:E2394"/>
    <mergeCell ref="C2395:E2395"/>
    <mergeCell ref="C2396:E2396"/>
    <mergeCell ref="C2397:E2397"/>
    <mergeCell ref="C2388:E2388"/>
    <mergeCell ref="C2389:E2389"/>
    <mergeCell ref="C2390:E2390"/>
    <mergeCell ref="C2391:E2391"/>
    <mergeCell ref="C2392:E2392"/>
    <mergeCell ref="C2403:E2403"/>
    <mergeCell ref="C2404:E2404"/>
    <mergeCell ref="C2405:N2405"/>
    <mergeCell ref="C2406:E2406"/>
    <mergeCell ref="C2407:E2407"/>
    <mergeCell ref="C2398:E2398"/>
    <mergeCell ref="C2399:E2399"/>
    <mergeCell ref="C2400:E2400"/>
    <mergeCell ref="C2401:E2401"/>
    <mergeCell ref="C2402:E2402"/>
    <mergeCell ref="C2413:N2413"/>
    <mergeCell ref="C2414:E2414"/>
    <mergeCell ref="C2415:E2415"/>
    <mergeCell ref="C2416:E2416"/>
    <mergeCell ref="C2417:E2417"/>
    <mergeCell ref="C2408:N2408"/>
    <mergeCell ref="C2409:E2409"/>
    <mergeCell ref="A2410:N2410"/>
    <mergeCell ref="C2411:E2411"/>
    <mergeCell ref="C2412:N2412"/>
    <mergeCell ref="C2423:E2423"/>
    <mergeCell ref="C2424:E2424"/>
    <mergeCell ref="C2425:E2425"/>
    <mergeCell ref="C2426:E2426"/>
    <mergeCell ref="C2427:E2427"/>
    <mergeCell ref="C2418:E2418"/>
    <mergeCell ref="C2419:E2419"/>
    <mergeCell ref="C2420:E2420"/>
    <mergeCell ref="C2421:E2421"/>
    <mergeCell ref="C2422:E2422"/>
    <mergeCell ref="C2433:E2433"/>
    <mergeCell ref="C2434:E2434"/>
    <mergeCell ref="C2435:E2435"/>
    <mergeCell ref="C2436:E2436"/>
    <mergeCell ref="C2437:N2437"/>
    <mergeCell ref="C2428:E2428"/>
    <mergeCell ref="C2429:E2429"/>
    <mergeCell ref="C2430:E2430"/>
    <mergeCell ref="C2431:E2431"/>
    <mergeCell ref="C2432:E2432"/>
    <mergeCell ref="C2443:E2443"/>
    <mergeCell ref="C2444:E2444"/>
    <mergeCell ref="C2445:E2445"/>
    <mergeCell ref="C2446:E2446"/>
    <mergeCell ref="C2447:E2447"/>
    <mergeCell ref="C2438:N2438"/>
    <mergeCell ref="C2439:E2439"/>
    <mergeCell ref="C2440:E2440"/>
    <mergeCell ref="C2441:N2441"/>
    <mergeCell ref="C2442:N2442"/>
    <mergeCell ref="C2453:E2453"/>
    <mergeCell ref="C2454:E2454"/>
    <mergeCell ref="C2455:E2455"/>
    <mergeCell ref="C2456:E2456"/>
    <mergeCell ref="C2457:E2457"/>
    <mergeCell ref="C2448:E2448"/>
    <mergeCell ref="C2449:E2449"/>
    <mergeCell ref="C2450:E2450"/>
    <mergeCell ref="C2451:E2451"/>
    <mergeCell ref="C2452:E2452"/>
    <mergeCell ref="C2463:N2463"/>
    <mergeCell ref="C2464:E2464"/>
    <mergeCell ref="C2465:E2465"/>
    <mergeCell ref="C2466:E2466"/>
    <mergeCell ref="C2467:E2467"/>
    <mergeCell ref="C2458:E2458"/>
    <mergeCell ref="C2459:E2459"/>
    <mergeCell ref="C2460:E2460"/>
    <mergeCell ref="C2461:N2461"/>
    <mergeCell ref="C2462:N2462"/>
    <mergeCell ref="C2473:E2473"/>
    <mergeCell ref="C2474:E2474"/>
    <mergeCell ref="C2475:E2475"/>
    <mergeCell ref="C2476:E2476"/>
    <mergeCell ref="C2477:E2477"/>
    <mergeCell ref="C2468:E2468"/>
    <mergeCell ref="C2469:E2469"/>
    <mergeCell ref="C2470:E2470"/>
    <mergeCell ref="C2471:E2471"/>
    <mergeCell ref="C2472:E2472"/>
    <mergeCell ref="C2483:E2483"/>
    <mergeCell ref="C2484:N2484"/>
    <mergeCell ref="C2485:N2485"/>
    <mergeCell ref="C2486:E2486"/>
    <mergeCell ref="C2487:E2487"/>
    <mergeCell ref="C2478:E2478"/>
    <mergeCell ref="C2479:E2479"/>
    <mergeCell ref="C2480:N2480"/>
    <mergeCell ref="C2481:N2481"/>
    <mergeCell ref="C2482:E2482"/>
    <mergeCell ref="C2493:E2493"/>
    <mergeCell ref="C2494:E2494"/>
    <mergeCell ref="C2495:E2495"/>
    <mergeCell ref="C2496:E2496"/>
    <mergeCell ref="C2497:E2497"/>
    <mergeCell ref="C2488:E2488"/>
    <mergeCell ref="C2489:E2489"/>
    <mergeCell ref="C2490:E2490"/>
    <mergeCell ref="C2491:E2491"/>
    <mergeCell ref="C2492:E2492"/>
    <mergeCell ref="C2503:E2503"/>
    <mergeCell ref="C2504:E2504"/>
    <mergeCell ref="C2505:E2505"/>
    <mergeCell ref="C2506:N2506"/>
    <mergeCell ref="C2507:E2507"/>
    <mergeCell ref="C2498:E2498"/>
    <mergeCell ref="C2499:E2499"/>
    <mergeCell ref="C2500:E2500"/>
    <mergeCell ref="C2501:E2501"/>
    <mergeCell ref="C2502:E2502"/>
    <mergeCell ref="C2513:E2513"/>
    <mergeCell ref="C2514:E2514"/>
    <mergeCell ref="C2515:E2515"/>
    <mergeCell ref="C2516:E2516"/>
    <mergeCell ref="C2517:E2517"/>
    <mergeCell ref="C2508:E2508"/>
    <mergeCell ref="C2509:N2509"/>
    <mergeCell ref="C2510:N2510"/>
    <mergeCell ref="C2511:E2511"/>
    <mergeCell ref="C2512:E2512"/>
    <mergeCell ref="C2523:E2523"/>
    <mergeCell ref="C2524:E2524"/>
    <mergeCell ref="C2525:E2525"/>
    <mergeCell ref="C2526:E2526"/>
    <mergeCell ref="C2527:E2527"/>
    <mergeCell ref="C2518:E2518"/>
    <mergeCell ref="C2519:E2519"/>
    <mergeCell ref="C2520:E2520"/>
    <mergeCell ref="C2521:E2521"/>
    <mergeCell ref="C2522:E2522"/>
    <mergeCell ref="C2533:N2533"/>
    <mergeCell ref="C2534:E2534"/>
    <mergeCell ref="C2535:E2535"/>
    <mergeCell ref="C2536:N2536"/>
    <mergeCell ref="C2537:N2537"/>
    <mergeCell ref="C2528:E2528"/>
    <mergeCell ref="C2529:E2529"/>
    <mergeCell ref="C2530:E2530"/>
    <mergeCell ref="C2531:E2531"/>
    <mergeCell ref="C2532:N2532"/>
    <mergeCell ref="A2543:N2543"/>
    <mergeCell ref="C2544:E2544"/>
    <mergeCell ref="C2545:N2545"/>
    <mergeCell ref="C2546:N2546"/>
    <mergeCell ref="C2547:N2547"/>
    <mergeCell ref="C2538:E2538"/>
    <mergeCell ref="C2539:E2539"/>
    <mergeCell ref="C2540:N2540"/>
    <mergeCell ref="C2541:N2541"/>
    <mergeCell ref="C2542:E2542"/>
    <mergeCell ref="C2553:E2553"/>
    <mergeCell ref="C2554:E2554"/>
    <mergeCell ref="C2555:E2555"/>
    <mergeCell ref="C2556:E2556"/>
    <mergeCell ref="C2557:E2557"/>
    <mergeCell ref="C2548:E2548"/>
    <mergeCell ref="C2549:E2549"/>
    <mergeCell ref="C2550:E2550"/>
    <mergeCell ref="C2551:E2551"/>
    <mergeCell ref="C2552:E2552"/>
    <mergeCell ref="C2563:E2563"/>
    <mergeCell ref="C2564:N2564"/>
    <mergeCell ref="C2565:N2565"/>
    <mergeCell ref="C2566:E2566"/>
    <mergeCell ref="C2567:E2567"/>
    <mergeCell ref="C2558:E2558"/>
    <mergeCell ref="C2559:E2559"/>
    <mergeCell ref="C2560:E2560"/>
    <mergeCell ref="C2561:E2561"/>
    <mergeCell ref="C2562:E2562"/>
    <mergeCell ref="C2573:E2573"/>
    <mergeCell ref="C2574:E2574"/>
    <mergeCell ref="C2575:E2575"/>
    <mergeCell ref="C2576:E2576"/>
    <mergeCell ref="C2577:E2577"/>
    <mergeCell ref="C2568:N2568"/>
    <mergeCell ref="C2569:N2569"/>
    <mergeCell ref="C2570:E2570"/>
    <mergeCell ref="C2571:E2571"/>
    <mergeCell ref="C2572:E2572"/>
    <mergeCell ref="C2583:E2583"/>
    <mergeCell ref="C2584:E2584"/>
    <mergeCell ref="C2585:E2585"/>
    <mergeCell ref="C2586:E2586"/>
    <mergeCell ref="C2587:E2587"/>
    <mergeCell ref="C2578:E2578"/>
    <mergeCell ref="C2579:E2579"/>
    <mergeCell ref="C2580:E2580"/>
    <mergeCell ref="C2581:E2581"/>
    <mergeCell ref="C2582:E2582"/>
    <mergeCell ref="A2593:N2593"/>
    <mergeCell ref="C2594:E2594"/>
    <mergeCell ref="C2595:N2595"/>
    <mergeCell ref="C2596:N2596"/>
    <mergeCell ref="C2597:E2597"/>
    <mergeCell ref="C2588:E2588"/>
    <mergeCell ref="C2589:E2589"/>
    <mergeCell ref="C2590:N2590"/>
    <mergeCell ref="C2591:E2591"/>
    <mergeCell ref="A2592:N2592"/>
    <mergeCell ref="C2603:E2603"/>
    <mergeCell ref="C2604:N2604"/>
    <mergeCell ref="C2605:N2605"/>
    <mergeCell ref="C2606:E2606"/>
    <mergeCell ref="C2607:E2607"/>
    <mergeCell ref="A2598:N2598"/>
    <mergeCell ref="C2599:E2599"/>
    <mergeCell ref="C2600:N2600"/>
    <mergeCell ref="C2601:N2601"/>
    <mergeCell ref="C2602:E2602"/>
    <mergeCell ref="C2613:E2613"/>
    <mergeCell ref="C2614:E2614"/>
    <mergeCell ref="C2615:E2615"/>
    <mergeCell ref="C2616:E2616"/>
    <mergeCell ref="C2617:E2617"/>
    <mergeCell ref="C2608:E2608"/>
    <mergeCell ref="C2609:E2609"/>
    <mergeCell ref="C2610:E2610"/>
    <mergeCell ref="C2611:E2611"/>
    <mergeCell ref="C2612:E2612"/>
    <mergeCell ref="C2623:E2623"/>
    <mergeCell ref="C2624:E2624"/>
    <mergeCell ref="C2625:E2625"/>
    <mergeCell ref="C2626:N2626"/>
    <mergeCell ref="C2627:E2627"/>
    <mergeCell ref="C2618:E2618"/>
    <mergeCell ref="C2619:E2619"/>
    <mergeCell ref="C2620:E2620"/>
    <mergeCell ref="C2621:E2621"/>
    <mergeCell ref="C2622:E2622"/>
    <mergeCell ref="C2633:E2633"/>
    <mergeCell ref="C2634:E2634"/>
    <mergeCell ref="C2635:E2635"/>
    <mergeCell ref="C2636:E2636"/>
    <mergeCell ref="C2637:E2637"/>
    <mergeCell ref="A2628:N2628"/>
    <mergeCell ref="C2629:E2629"/>
    <mergeCell ref="C2630:N2630"/>
    <mergeCell ref="C2631:N2631"/>
    <mergeCell ref="C2632:E2632"/>
    <mergeCell ref="C2643:E2643"/>
    <mergeCell ref="C2644:E2644"/>
    <mergeCell ref="C2645:E2645"/>
    <mergeCell ref="C2646:E2646"/>
    <mergeCell ref="C2647:E2647"/>
    <mergeCell ref="C2638:E2638"/>
    <mergeCell ref="C2639:E2639"/>
    <mergeCell ref="C2640:E2640"/>
    <mergeCell ref="C2641:E2641"/>
    <mergeCell ref="C2642:E2642"/>
    <mergeCell ref="C2653:E2653"/>
    <mergeCell ref="C2654:E2654"/>
    <mergeCell ref="C2655:E2655"/>
    <mergeCell ref="C2656:E2656"/>
    <mergeCell ref="C2657:E2657"/>
    <mergeCell ref="C2648:E2648"/>
    <mergeCell ref="C2649:N2649"/>
    <mergeCell ref="C2650:N2650"/>
    <mergeCell ref="C2651:N2651"/>
    <mergeCell ref="C2652:E2652"/>
    <mergeCell ref="C2663:E2663"/>
    <mergeCell ref="C2664:E2664"/>
    <mergeCell ref="C2665:E2665"/>
    <mergeCell ref="C2666:E2666"/>
    <mergeCell ref="C2667:E2667"/>
    <mergeCell ref="C2658:E2658"/>
    <mergeCell ref="C2659:E2659"/>
    <mergeCell ref="C2660:E2660"/>
    <mergeCell ref="C2661:E2661"/>
    <mergeCell ref="C2662:E2662"/>
    <mergeCell ref="C2673:N2673"/>
    <mergeCell ref="C2674:E2674"/>
    <mergeCell ref="C2675:E2675"/>
    <mergeCell ref="C2676:N2676"/>
    <mergeCell ref="C2677:N2677"/>
    <mergeCell ref="C2668:N2668"/>
    <mergeCell ref="C2669:N2669"/>
    <mergeCell ref="C2670:E2670"/>
    <mergeCell ref="C2671:E2671"/>
    <mergeCell ref="C2672:N2672"/>
    <mergeCell ref="C2683:E2683"/>
    <mergeCell ref="C2684:E2684"/>
    <mergeCell ref="C2685:E2685"/>
    <mergeCell ref="C2686:E2686"/>
    <mergeCell ref="C2687:E2687"/>
    <mergeCell ref="C2678:E2678"/>
    <mergeCell ref="C2679:E2679"/>
    <mergeCell ref="C2680:E2680"/>
    <mergeCell ref="C2681:E2681"/>
    <mergeCell ref="C2682:E2682"/>
    <mergeCell ref="C2693:E2693"/>
    <mergeCell ref="C2694:E2694"/>
    <mergeCell ref="C2695:N2695"/>
    <mergeCell ref="C2696:N2696"/>
    <mergeCell ref="C2697:E2697"/>
    <mergeCell ref="C2688:E2688"/>
    <mergeCell ref="C2689:E2689"/>
    <mergeCell ref="C2690:E2690"/>
    <mergeCell ref="C2691:E2691"/>
    <mergeCell ref="C2692:E2692"/>
    <mergeCell ref="C2703:E2703"/>
    <mergeCell ref="C2704:E2704"/>
    <mergeCell ref="C2705:E2705"/>
    <mergeCell ref="C2706:E2706"/>
    <mergeCell ref="C2707:E2707"/>
    <mergeCell ref="C2698:E2698"/>
    <mergeCell ref="C2699:N2699"/>
    <mergeCell ref="C2700:N2700"/>
    <mergeCell ref="C2701:E2701"/>
    <mergeCell ref="C2702:E2702"/>
    <mergeCell ref="C2713:E2713"/>
    <mergeCell ref="C2714:E2714"/>
    <mergeCell ref="C2715:E2715"/>
    <mergeCell ref="C2716:E2716"/>
    <mergeCell ref="C2717:E2717"/>
    <mergeCell ref="C2708:E2708"/>
    <mergeCell ref="C2709:E2709"/>
    <mergeCell ref="C2710:E2710"/>
    <mergeCell ref="C2711:E2711"/>
    <mergeCell ref="C2712:E2712"/>
    <mergeCell ref="C2723:E2723"/>
    <mergeCell ref="C2724:E2724"/>
    <mergeCell ref="C2725:E2725"/>
    <mergeCell ref="C2726:E2726"/>
    <mergeCell ref="C2727:E2727"/>
    <mergeCell ref="C2718:E2718"/>
    <mergeCell ref="C2719:N2719"/>
    <mergeCell ref="C2720:N2720"/>
    <mergeCell ref="C2721:N2721"/>
    <mergeCell ref="C2722:E2722"/>
    <mergeCell ref="C2733:E2733"/>
    <mergeCell ref="C2734:E2734"/>
    <mergeCell ref="C2735:E2735"/>
    <mergeCell ref="C2736:E2736"/>
    <mergeCell ref="C2737:E2737"/>
    <mergeCell ref="C2728:E2728"/>
    <mergeCell ref="C2729:E2729"/>
    <mergeCell ref="C2730:E2730"/>
    <mergeCell ref="C2731:E2731"/>
    <mergeCell ref="C2732:E2732"/>
    <mergeCell ref="C2743:N2743"/>
    <mergeCell ref="C2744:E2744"/>
    <mergeCell ref="C2745:E2745"/>
    <mergeCell ref="C2746:E2746"/>
    <mergeCell ref="C2747:E2747"/>
    <mergeCell ref="C2738:N2738"/>
    <mergeCell ref="C2739:N2739"/>
    <mergeCell ref="C2740:E2740"/>
    <mergeCell ref="C2741:E2741"/>
    <mergeCell ref="C2742:N2742"/>
    <mergeCell ref="C2753:E2753"/>
    <mergeCell ref="C2754:E2754"/>
    <mergeCell ref="C2755:E2755"/>
    <mergeCell ref="C2756:E2756"/>
    <mergeCell ref="C2757:E2757"/>
    <mergeCell ref="C2748:E2748"/>
    <mergeCell ref="C2749:E2749"/>
    <mergeCell ref="C2750:E2750"/>
    <mergeCell ref="C2751:E2751"/>
    <mergeCell ref="C2752:E2752"/>
    <mergeCell ref="C2763:E2763"/>
    <mergeCell ref="C2764:E2764"/>
    <mergeCell ref="C2765:E2765"/>
    <mergeCell ref="C2766:E2766"/>
    <mergeCell ref="A2767:N2767"/>
    <mergeCell ref="C2758:E2758"/>
    <mergeCell ref="C2759:E2759"/>
    <mergeCell ref="C2760:E2760"/>
    <mergeCell ref="C2761:E2761"/>
    <mergeCell ref="C2762:E2762"/>
    <mergeCell ref="C2773:E2773"/>
    <mergeCell ref="C2774:E2774"/>
    <mergeCell ref="C2775:E2775"/>
    <mergeCell ref="C2776:E2776"/>
    <mergeCell ref="C2777:E2777"/>
    <mergeCell ref="A2768:N2768"/>
    <mergeCell ref="C2769:E2769"/>
    <mergeCell ref="C2770:N2770"/>
    <mergeCell ref="C2771:N2771"/>
    <mergeCell ref="C2772:E2772"/>
    <mergeCell ref="C2783:E2783"/>
    <mergeCell ref="C2784:E2784"/>
    <mergeCell ref="C2785:E2785"/>
    <mergeCell ref="C2786:E2786"/>
    <mergeCell ref="C2787:E2787"/>
    <mergeCell ref="C2778:E2778"/>
    <mergeCell ref="C2779:E2779"/>
    <mergeCell ref="C2780:E2780"/>
    <mergeCell ref="C2781:E2781"/>
    <mergeCell ref="C2782:E2782"/>
    <mergeCell ref="C2794:K2794"/>
    <mergeCell ref="C2795:K2795"/>
    <mergeCell ref="C2796:K2796"/>
    <mergeCell ref="C2797:K2797"/>
    <mergeCell ref="C2798:K2798"/>
    <mergeCell ref="C2788:E2788"/>
    <mergeCell ref="C2789:E2789"/>
    <mergeCell ref="C2790:N2790"/>
    <mergeCell ref="C2791:N2791"/>
    <mergeCell ref="C2792:E2792"/>
    <mergeCell ref="C2804:K2804"/>
    <mergeCell ref="C2805:K2805"/>
    <mergeCell ref="C2806:K2806"/>
    <mergeCell ref="C2807:K2807"/>
    <mergeCell ref="C2808:K2808"/>
    <mergeCell ref="C2799:K2799"/>
    <mergeCell ref="C2800:K2800"/>
    <mergeCell ref="C2801:K2801"/>
    <mergeCell ref="C2802:K2802"/>
    <mergeCell ref="C2803:K2803"/>
    <mergeCell ref="C2814:K2814"/>
    <mergeCell ref="C2815:K2815"/>
    <mergeCell ref="C2816:K2816"/>
    <mergeCell ref="C2817:K2817"/>
    <mergeCell ref="C2818:H2818"/>
    <mergeCell ref="C2809:K2809"/>
    <mergeCell ref="C2810:K2810"/>
    <mergeCell ref="C2811:K2811"/>
    <mergeCell ref="C2812:K2812"/>
    <mergeCell ref="C2813:K2813"/>
    <mergeCell ref="C2824:E2824"/>
    <mergeCell ref="C2825:E2825"/>
    <mergeCell ref="C2826:E2826"/>
    <mergeCell ref="C2827:E2827"/>
    <mergeCell ref="C2828:E2828"/>
    <mergeCell ref="C2819:H2819"/>
    <mergeCell ref="A2820:N2820"/>
    <mergeCell ref="C2821:E2821"/>
    <mergeCell ref="C2822:N2822"/>
    <mergeCell ref="C2823:N2823"/>
    <mergeCell ref="C2834:E2834"/>
    <mergeCell ref="C2835:E2835"/>
    <mergeCell ref="C2836:E2836"/>
    <mergeCell ref="C2837:E2837"/>
    <mergeCell ref="C2838:E2838"/>
    <mergeCell ref="C2829:E2829"/>
    <mergeCell ref="C2830:E2830"/>
    <mergeCell ref="C2831:E2831"/>
    <mergeCell ref="C2832:E2832"/>
    <mergeCell ref="C2833:E2833"/>
    <mergeCell ref="C2844:N2844"/>
    <mergeCell ref="C2845:E2845"/>
    <mergeCell ref="C2846:E2846"/>
    <mergeCell ref="C2847:E2847"/>
    <mergeCell ref="C2848:E2848"/>
    <mergeCell ref="C2839:E2839"/>
    <mergeCell ref="C2840:E2840"/>
    <mergeCell ref="A2841:N2841"/>
    <mergeCell ref="C2842:E2842"/>
    <mergeCell ref="C2843:N2843"/>
    <mergeCell ref="C2854:E2854"/>
    <mergeCell ref="C2855:E2855"/>
    <mergeCell ref="C2856:E2856"/>
    <mergeCell ref="C2857:E2857"/>
    <mergeCell ref="C2858:N2858"/>
    <mergeCell ref="C2849:E2849"/>
    <mergeCell ref="C2850:E2850"/>
    <mergeCell ref="C2851:E2851"/>
    <mergeCell ref="C2852:E2852"/>
    <mergeCell ref="C2853:E2853"/>
    <mergeCell ref="C2864:E2864"/>
    <mergeCell ref="C2865:E2865"/>
    <mergeCell ref="C2866:E2866"/>
    <mergeCell ref="C2867:E2867"/>
    <mergeCell ref="C2868:E2868"/>
    <mergeCell ref="C2859:N2859"/>
    <mergeCell ref="C2860:E2860"/>
    <mergeCell ref="C2861:E2861"/>
    <mergeCell ref="C2862:N2862"/>
    <mergeCell ref="C2863:N2863"/>
    <mergeCell ref="C2874:E2874"/>
    <mergeCell ref="C2875:E2875"/>
    <mergeCell ref="C2876:E2876"/>
    <mergeCell ref="C2877:E2877"/>
    <mergeCell ref="C2878:E2878"/>
    <mergeCell ref="C2869:E2869"/>
    <mergeCell ref="C2870:E2870"/>
    <mergeCell ref="C2871:E2871"/>
    <mergeCell ref="C2872:E2872"/>
    <mergeCell ref="C2873:E2873"/>
    <mergeCell ref="C2884:N2884"/>
    <mergeCell ref="C2885:N2885"/>
    <mergeCell ref="C2886:E2886"/>
    <mergeCell ref="C2887:E2887"/>
    <mergeCell ref="C2888:N2888"/>
    <mergeCell ref="C2879:E2879"/>
    <mergeCell ref="C2880:E2880"/>
    <mergeCell ref="C2881:E2881"/>
    <mergeCell ref="C2882:E2882"/>
    <mergeCell ref="C2883:E2883"/>
    <mergeCell ref="C2894:E2894"/>
    <mergeCell ref="C2895:E2895"/>
    <mergeCell ref="C2896:E2896"/>
    <mergeCell ref="C2897:E2897"/>
    <mergeCell ref="C2898:E2898"/>
    <mergeCell ref="C2889:N2889"/>
    <mergeCell ref="C2890:E2890"/>
    <mergeCell ref="C2891:E2891"/>
    <mergeCell ref="C2892:N2892"/>
    <mergeCell ref="C2893:N2893"/>
    <mergeCell ref="C2904:E2904"/>
    <mergeCell ref="C2905:E2905"/>
    <mergeCell ref="C2906:E2906"/>
    <mergeCell ref="C2907:E2907"/>
    <mergeCell ref="C2908:E2908"/>
    <mergeCell ref="C2899:E2899"/>
    <mergeCell ref="C2900:E2900"/>
    <mergeCell ref="C2901:E2901"/>
    <mergeCell ref="C2902:E2902"/>
    <mergeCell ref="C2903:E2903"/>
    <mergeCell ref="C2914:N2914"/>
    <mergeCell ref="C2915:N2915"/>
    <mergeCell ref="C2916:E2916"/>
    <mergeCell ref="C2917:E2917"/>
    <mergeCell ref="C2918:N2918"/>
    <mergeCell ref="C2909:E2909"/>
    <mergeCell ref="C2910:E2910"/>
    <mergeCell ref="C2911:E2911"/>
    <mergeCell ref="C2912:E2912"/>
    <mergeCell ref="C2913:E2913"/>
    <mergeCell ref="C2924:E2924"/>
    <mergeCell ref="C2925:E2925"/>
    <mergeCell ref="C2926:E2926"/>
    <mergeCell ref="C2927:E2927"/>
    <mergeCell ref="C2928:E2928"/>
    <mergeCell ref="C2919:N2919"/>
    <mergeCell ref="C2920:E2920"/>
    <mergeCell ref="C2921:E2921"/>
    <mergeCell ref="C2922:N2922"/>
    <mergeCell ref="C2923:N2923"/>
    <mergeCell ref="C2934:E2934"/>
    <mergeCell ref="C2935:E2935"/>
    <mergeCell ref="C2936:E2936"/>
    <mergeCell ref="C2937:E2937"/>
    <mergeCell ref="C2938:E2938"/>
    <mergeCell ref="C2929:E2929"/>
    <mergeCell ref="C2930:E2930"/>
    <mergeCell ref="C2931:E2931"/>
    <mergeCell ref="C2932:E2932"/>
    <mergeCell ref="C2933:E2933"/>
    <mergeCell ref="C2944:N2944"/>
    <mergeCell ref="C2945:E2945"/>
    <mergeCell ref="A2946:N2946"/>
    <mergeCell ref="C2947:E2947"/>
    <mergeCell ref="C2948:N2948"/>
    <mergeCell ref="C2939:E2939"/>
    <mergeCell ref="C2940:E2940"/>
    <mergeCell ref="C2941:E2941"/>
    <mergeCell ref="C2942:E2942"/>
    <mergeCell ref="C2943:E2943"/>
    <mergeCell ref="C2954:E2954"/>
    <mergeCell ref="C2955:E2955"/>
    <mergeCell ref="C2956:E2956"/>
    <mergeCell ref="C2957:E2957"/>
    <mergeCell ref="C2958:E2958"/>
    <mergeCell ref="C2949:N2949"/>
    <mergeCell ref="C2950:E2950"/>
    <mergeCell ref="C2951:E2951"/>
    <mergeCell ref="C2952:E2952"/>
    <mergeCell ref="C2953:E2953"/>
    <mergeCell ref="C2964:E2964"/>
    <mergeCell ref="C2965:E2965"/>
    <mergeCell ref="C2966:N2966"/>
    <mergeCell ref="C2967:E2967"/>
    <mergeCell ref="C2969:K2969"/>
    <mergeCell ref="C2959:E2959"/>
    <mergeCell ref="C2960:E2960"/>
    <mergeCell ref="C2961:E2961"/>
    <mergeCell ref="C2962:E2962"/>
    <mergeCell ref="C2963:E2963"/>
    <mergeCell ref="C2975:K2975"/>
    <mergeCell ref="C2976:K2976"/>
    <mergeCell ref="C2977:K2977"/>
    <mergeCell ref="C2978:K2978"/>
    <mergeCell ref="C2979:K2979"/>
    <mergeCell ref="C2970:K2970"/>
    <mergeCell ref="C2971:K2971"/>
    <mergeCell ref="C2972:K2972"/>
    <mergeCell ref="C2973:K2973"/>
    <mergeCell ref="C2974:K2974"/>
    <mergeCell ref="C2985:K2985"/>
    <mergeCell ref="C2986:K2986"/>
    <mergeCell ref="C2987:K2987"/>
    <mergeCell ref="C2988:K2988"/>
    <mergeCell ref="C2989:K2989"/>
    <mergeCell ref="C2980:K2980"/>
    <mergeCell ref="C2981:K2981"/>
    <mergeCell ref="C2982:K2982"/>
    <mergeCell ref="C2983:K2983"/>
    <mergeCell ref="C2984:K2984"/>
    <mergeCell ref="C2995:E2995"/>
    <mergeCell ref="C2996:N2996"/>
    <mergeCell ref="C2997:N2997"/>
    <mergeCell ref="C2998:E2998"/>
    <mergeCell ref="C2999:E2999"/>
    <mergeCell ref="C2990:K2990"/>
    <mergeCell ref="C2991:K2991"/>
    <mergeCell ref="C2992:H2992"/>
    <mergeCell ref="C2993:H2993"/>
    <mergeCell ref="A2994:N2994"/>
    <mergeCell ref="C3005:E3005"/>
    <mergeCell ref="C3006:E3006"/>
    <mergeCell ref="C3007:E3007"/>
    <mergeCell ref="C3008:E3008"/>
    <mergeCell ref="C3009:E3009"/>
    <mergeCell ref="C3000:E3000"/>
    <mergeCell ref="C3001:E3001"/>
    <mergeCell ref="C3002:E3002"/>
    <mergeCell ref="C3003:E3003"/>
    <mergeCell ref="C3004:E3004"/>
    <mergeCell ref="C3015:E3015"/>
    <mergeCell ref="C3016:E3016"/>
    <mergeCell ref="C3017:E3017"/>
    <mergeCell ref="C3018:N3018"/>
    <mergeCell ref="C3019:N3019"/>
    <mergeCell ref="C3010:E3010"/>
    <mergeCell ref="C3011:E3011"/>
    <mergeCell ref="C3012:E3012"/>
    <mergeCell ref="C3013:E3013"/>
    <mergeCell ref="C3014:E3014"/>
    <mergeCell ref="C3025:E3025"/>
    <mergeCell ref="C3026:N3026"/>
    <mergeCell ref="C3027:N3027"/>
    <mergeCell ref="C3028:E3028"/>
    <mergeCell ref="C3029:E3029"/>
    <mergeCell ref="C3020:E3020"/>
    <mergeCell ref="C3021:E3021"/>
    <mergeCell ref="C3022:N3022"/>
    <mergeCell ref="C3023:N3023"/>
    <mergeCell ref="C3024:E3024"/>
    <mergeCell ref="C3035:E3035"/>
    <mergeCell ref="C3036:E3036"/>
    <mergeCell ref="C3037:E3037"/>
    <mergeCell ref="C3038:E3038"/>
    <mergeCell ref="C3039:E3039"/>
    <mergeCell ref="C3030:E3030"/>
    <mergeCell ref="C3031:E3031"/>
    <mergeCell ref="C3032:E3032"/>
    <mergeCell ref="C3033:E3033"/>
    <mergeCell ref="C3034:E3034"/>
    <mergeCell ref="C3045:E3045"/>
    <mergeCell ref="C3046:N3046"/>
    <mergeCell ref="C3047:E3047"/>
    <mergeCell ref="C3048:E3048"/>
    <mergeCell ref="C3049:N3049"/>
    <mergeCell ref="C3040:E3040"/>
    <mergeCell ref="C3041:E3041"/>
    <mergeCell ref="C3042:E3042"/>
    <mergeCell ref="C3043:E3043"/>
    <mergeCell ref="C3044:E3044"/>
    <mergeCell ref="C3055:E3055"/>
    <mergeCell ref="C3056:E3056"/>
    <mergeCell ref="C3057:E3057"/>
    <mergeCell ref="C3058:E3058"/>
    <mergeCell ref="C3059:E3059"/>
    <mergeCell ref="C3050:N3050"/>
    <mergeCell ref="C3051:E3051"/>
    <mergeCell ref="C3052:E3052"/>
    <mergeCell ref="C3053:E3053"/>
    <mergeCell ref="C3054:E3054"/>
    <mergeCell ref="C3065:E3065"/>
    <mergeCell ref="C3066:E3066"/>
    <mergeCell ref="C3067:E3067"/>
    <mergeCell ref="C3068:E3068"/>
    <mergeCell ref="C3069:E3069"/>
    <mergeCell ref="C3060:E3060"/>
    <mergeCell ref="C3061:E3061"/>
    <mergeCell ref="C3062:E3062"/>
    <mergeCell ref="C3063:E3063"/>
    <mergeCell ref="C3064:E3064"/>
    <mergeCell ref="C3075:N3075"/>
    <mergeCell ref="C3076:E3076"/>
    <mergeCell ref="C3077:E3077"/>
    <mergeCell ref="C3078:E3078"/>
    <mergeCell ref="C3079:E3079"/>
    <mergeCell ref="C3070:N3070"/>
    <mergeCell ref="C3071:N3071"/>
    <mergeCell ref="C3072:E3072"/>
    <mergeCell ref="C3073:E3073"/>
    <mergeCell ref="C3074:N3074"/>
    <mergeCell ref="C3085:E3085"/>
    <mergeCell ref="C3086:E3086"/>
    <mergeCell ref="C3087:E3087"/>
    <mergeCell ref="C3088:E3088"/>
    <mergeCell ref="C3089:E3089"/>
    <mergeCell ref="C3080:E3080"/>
    <mergeCell ref="C3081:E3081"/>
    <mergeCell ref="C3082:E3082"/>
    <mergeCell ref="C3083:E3083"/>
    <mergeCell ref="C3084:E3084"/>
    <mergeCell ref="C3095:E3095"/>
    <mergeCell ref="C3096:E3096"/>
    <mergeCell ref="C3097:N3097"/>
    <mergeCell ref="C3098:N3098"/>
    <mergeCell ref="C3099:E3099"/>
    <mergeCell ref="C3090:E3090"/>
    <mergeCell ref="C3091:E3091"/>
    <mergeCell ref="C3092:E3092"/>
    <mergeCell ref="C3093:E3093"/>
    <mergeCell ref="C3094:N3094"/>
    <mergeCell ref="C3105:E3105"/>
    <mergeCell ref="C3106:E3106"/>
    <mergeCell ref="C3107:E3107"/>
    <mergeCell ref="C3108:E3108"/>
    <mergeCell ref="C3109:E3109"/>
    <mergeCell ref="C3100:E3100"/>
    <mergeCell ref="C3101:E3101"/>
    <mergeCell ref="C3102:E3102"/>
    <mergeCell ref="C3103:E3103"/>
    <mergeCell ref="C3104:E3104"/>
    <mergeCell ref="C3115:E3115"/>
    <mergeCell ref="C3116:E3116"/>
    <mergeCell ref="C3117:E3117"/>
    <mergeCell ref="C3118:E3118"/>
    <mergeCell ref="C3119:E3119"/>
    <mergeCell ref="C3110:E3110"/>
    <mergeCell ref="C3111:E3111"/>
    <mergeCell ref="C3112:E3112"/>
    <mergeCell ref="C3113:E3113"/>
    <mergeCell ref="C3114:E3114"/>
    <mergeCell ref="C3125:E3125"/>
    <mergeCell ref="C3126:E3126"/>
    <mergeCell ref="C3127:E3127"/>
    <mergeCell ref="C3128:E3128"/>
    <mergeCell ref="C3129:E3129"/>
    <mergeCell ref="C3120:N3120"/>
    <mergeCell ref="C3121:N3121"/>
    <mergeCell ref="C3122:E3122"/>
    <mergeCell ref="C3123:E3123"/>
    <mergeCell ref="C3124:E3124"/>
    <mergeCell ref="C3135:E3135"/>
    <mergeCell ref="C3136:E3136"/>
    <mergeCell ref="C3137:E3137"/>
    <mergeCell ref="C3138:E3138"/>
    <mergeCell ref="C3139:E3139"/>
    <mergeCell ref="C3130:E3130"/>
    <mergeCell ref="C3131:E3131"/>
    <mergeCell ref="C3132:E3132"/>
    <mergeCell ref="C3133:E3133"/>
    <mergeCell ref="C3134:E3134"/>
    <mergeCell ref="C3145:N3145"/>
    <mergeCell ref="C3146:N3146"/>
    <mergeCell ref="C3147:E3147"/>
    <mergeCell ref="C3148:E3148"/>
    <mergeCell ref="C3149:E3149"/>
    <mergeCell ref="C3140:E3140"/>
    <mergeCell ref="C3141:N3141"/>
    <mergeCell ref="C3142:N3142"/>
    <mergeCell ref="C3143:E3143"/>
    <mergeCell ref="C3144:E3144"/>
    <mergeCell ref="C3155:E3155"/>
    <mergeCell ref="C3156:E3156"/>
    <mergeCell ref="C3157:E3157"/>
    <mergeCell ref="C3158:E3158"/>
    <mergeCell ref="C3159:E3159"/>
    <mergeCell ref="C3150:E3150"/>
    <mergeCell ref="C3151:E3151"/>
    <mergeCell ref="C3152:E3152"/>
    <mergeCell ref="C3153:E3153"/>
    <mergeCell ref="C3154:E3154"/>
    <mergeCell ref="C3165:E3165"/>
    <mergeCell ref="C3166:E3166"/>
    <mergeCell ref="C3167:N3167"/>
    <mergeCell ref="C3168:N3168"/>
    <mergeCell ref="C3169:E3169"/>
    <mergeCell ref="C3160:E3160"/>
    <mergeCell ref="C3161:E3161"/>
    <mergeCell ref="C3162:E3162"/>
    <mergeCell ref="C3163:E3163"/>
    <mergeCell ref="C3164:E3164"/>
    <mergeCell ref="C3175:N3175"/>
    <mergeCell ref="C3176:N3176"/>
    <mergeCell ref="C3177:E3177"/>
    <mergeCell ref="C3178:E3178"/>
    <mergeCell ref="C3179:E3179"/>
    <mergeCell ref="C3170:E3170"/>
    <mergeCell ref="C3171:N3171"/>
    <mergeCell ref="C3172:E3172"/>
    <mergeCell ref="A3173:N3173"/>
    <mergeCell ref="C3174:E3174"/>
    <mergeCell ref="C3185:E3185"/>
    <mergeCell ref="C3186:E3186"/>
    <mergeCell ref="C3187:E3187"/>
    <mergeCell ref="C3188:E3188"/>
    <mergeCell ref="C3189:E3189"/>
    <mergeCell ref="C3180:E3180"/>
    <mergeCell ref="C3181:E3181"/>
    <mergeCell ref="C3182:E3182"/>
    <mergeCell ref="C3183:E3183"/>
    <mergeCell ref="C3184:E3184"/>
    <mergeCell ref="C3195:N3195"/>
    <mergeCell ref="C3196:E3196"/>
    <mergeCell ref="C3197:E3197"/>
    <mergeCell ref="C3198:N3198"/>
    <mergeCell ref="C3199:N3199"/>
    <mergeCell ref="C3190:E3190"/>
    <mergeCell ref="C3191:E3191"/>
    <mergeCell ref="C3192:E3192"/>
    <mergeCell ref="C3193:E3193"/>
    <mergeCell ref="C3194:E3194"/>
    <mergeCell ref="C3205:E3205"/>
    <mergeCell ref="C3206:E3206"/>
    <mergeCell ref="C3207:E3207"/>
    <mergeCell ref="C3208:E3208"/>
    <mergeCell ref="C3209:E3209"/>
    <mergeCell ref="C3200:E3200"/>
    <mergeCell ref="C3201:E3201"/>
    <mergeCell ref="C3202:E3202"/>
    <mergeCell ref="C3203:E3203"/>
    <mergeCell ref="C3204:E3204"/>
    <mergeCell ref="C3215:E3215"/>
    <mergeCell ref="C3216:E3216"/>
    <mergeCell ref="C3217:E3217"/>
    <mergeCell ref="C3218:E3218"/>
    <mergeCell ref="C3219:N3219"/>
    <mergeCell ref="C3210:E3210"/>
    <mergeCell ref="C3211:E3211"/>
    <mergeCell ref="C3212:E3212"/>
    <mergeCell ref="C3213:E3213"/>
    <mergeCell ref="C3214:E3214"/>
    <mergeCell ref="C3225:E3225"/>
    <mergeCell ref="C3226:E3226"/>
    <mergeCell ref="C3227:E3227"/>
    <mergeCell ref="C3228:E3228"/>
    <mergeCell ref="C3229:E3229"/>
    <mergeCell ref="C3220:N3220"/>
    <mergeCell ref="C3221:E3221"/>
    <mergeCell ref="C3222:E3222"/>
    <mergeCell ref="C3223:N3223"/>
    <mergeCell ref="C3224:N3224"/>
    <mergeCell ref="C3235:E3235"/>
    <mergeCell ref="C3236:E3236"/>
    <mergeCell ref="C3237:E3237"/>
    <mergeCell ref="C3238:E3238"/>
    <mergeCell ref="C3239:E3239"/>
    <mergeCell ref="C3230:E3230"/>
    <mergeCell ref="C3231:E3231"/>
    <mergeCell ref="C3232:E3232"/>
    <mergeCell ref="C3233:E3233"/>
    <mergeCell ref="C3234:E3234"/>
    <mergeCell ref="C3245:N3245"/>
    <mergeCell ref="C3246:N3246"/>
    <mergeCell ref="C3247:E3247"/>
    <mergeCell ref="C3248:E3248"/>
    <mergeCell ref="C3249:N3249"/>
    <mergeCell ref="C3240:E3240"/>
    <mergeCell ref="C3241:E3241"/>
    <mergeCell ref="C3242:E3242"/>
    <mergeCell ref="C3243:E3243"/>
    <mergeCell ref="C3244:E3244"/>
    <mergeCell ref="C3255:E3255"/>
    <mergeCell ref="C3256:E3256"/>
    <mergeCell ref="C3257:E3257"/>
    <mergeCell ref="C3258:E3258"/>
    <mergeCell ref="C3259:E3259"/>
    <mergeCell ref="C3250:E3250"/>
    <mergeCell ref="A3251:N3251"/>
    <mergeCell ref="C3252:E3252"/>
    <mergeCell ref="C3253:N3253"/>
    <mergeCell ref="C3254:N3254"/>
    <mergeCell ref="C3265:E3265"/>
    <mergeCell ref="C3266:E3266"/>
    <mergeCell ref="C3267:E3267"/>
    <mergeCell ref="C3268:E3268"/>
    <mergeCell ref="C3269:E3269"/>
    <mergeCell ref="C3260:E3260"/>
    <mergeCell ref="C3261:E3261"/>
    <mergeCell ref="C3262:E3262"/>
    <mergeCell ref="C3263:E3263"/>
    <mergeCell ref="C3264:E3264"/>
    <mergeCell ref="C3275:E3275"/>
    <mergeCell ref="C3276:N3276"/>
    <mergeCell ref="C3277:N3277"/>
    <mergeCell ref="C3278:E3278"/>
    <mergeCell ref="C3279:E3279"/>
    <mergeCell ref="C3270:E3270"/>
    <mergeCell ref="C3271:E3271"/>
    <mergeCell ref="C3272:E3272"/>
    <mergeCell ref="C3273:N3273"/>
    <mergeCell ref="C3274:E3274"/>
    <mergeCell ref="C3285:E3285"/>
    <mergeCell ref="C3286:E3286"/>
    <mergeCell ref="C3287:E3287"/>
    <mergeCell ref="C3288:E3288"/>
    <mergeCell ref="C3289:E3289"/>
    <mergeCell ref="C3280:E3280"/>
    <mergeCell ref="C3281:E3281"/>
    <mergeCell ref="C3282:E3282"/>
    <mergeCell ref="C3283:E3283"/>
    <mergeCell ref="C3284:E3284"/>
    <mergeCell ref="C3295:E3295"/>
    <mergeCell ref="C3296:N3296"/>
    <mergeCell ref="C3297:N3297"/>
    <mergeCell ref="C3298:E3298"/>
    <mergeCell ref="C3299:E3299"/>
    <mergeCell ref="C3290:E3290"/>
    <mergeCell ref="C3291:E3291"/>
    <mergeCell ref="C3292:E3292"/>
    <mergeCell ref="C3293:E3293"/>
    <mergeCell ref="C3294:E3294"/>
    <mergeCell ref="C3305:E3305"/>
    <mergeCell ref="C3306:E3306"/>
    <mergeCell ref="C3307:E3307"/>
    <mergeCell ref="C3308:E3308"/>
    <mergeCell ref="C3309:E3309"/>
    <mergeCell ref="C3300:N3300"/>
    <mergeCell ref="C3301:N3301"/>
    <mergeCell ref="C3302:E3302"/>
    <mergeCell ref="C3303:E3303"/>
    <mergeCell ref="C3304:E3304"/>
    <mergeCell ref="C3315:E3315"/>
    <mergeCell ref="C3316:E3316"/>
    <mergeCell ref="C3317:E3317"/>
    <mergeCell ref="C3318:E3318"/>
    <mergeCell ref="C3319:E3319"/>
    <mergeCell ref="C3310:E3310"/>
    <mergeCell ref="C3311:E3311"/>
    <mergeCell ref="C3312:E3312"/>
    <mergeCell ref="C3313:E3313"/>
    <mergeCell ref="C3314:E3314"/>
    <mergeCell ref="C3325:E3325"/>
    <mergeCell ref="C3326:E3326"/>
    <mergeCell ref="C3327:E3327"/>
    <mergeCell ref="C3328:E3328"/>
    <mergeCell ref="C3329:E3329"/>
    <mergeCell ref="C3320:E3320"/>
    <mergeCell ref="C3321:E3321"/>
    <mergeCell ref="C3322:E3322"/>
    <mergeCell ref="C3323:N3323"/>
    <mergeCell ref="C3324:N3324"/>
    <mergeCell ref="C3335:E3335"/>
    <mergeCell ref="C3336:E3336"/>
    <mergeCell ref="C3337:E3337"/>
    <mergeCell ref="C3338:E3338"/>
    <mergeCell ref="C3339:E3339"/>
    <mergeCell ref="C3330:E3330"/>
    <mergeCell ref="C3331:E3331"/>
    <mergeCell ref="C3332:E3332"/>
    <mergeCell ref="C3333:E3333"/>
    <mergeCell ref="C3334:E3334"/>
    <mergeCell ref="C3345:E3345"/>
    <mergeCell ref="C3346:E3346"/>
    <mergeCell ref="C3347:E3347"/>
    <mergeCell ref="C3348:E3348"/>
    <mergeCell ref="C3349:E3349"/>
    <mergeCell ref="C3340:E3340"/>
    <mergeCell ref="C3341:E3341"/>
    <mergeCell ref="C3342:E3342"/>
    <mergeCell ref="C3343:E3343"/>
    <mergeCell ref="C3344:E3344"/>
    <mergeCell ref="C3356:K3356"/>
    <mergeCell ref="C3357:K3357"/>
    <mergeCell ref="C3358:K3358"/>
    <mergeCell ref="C3359:K3359"/>
    <mergeCell ref="C3360:K3360"/>
    <mergeCell ref="C3350:E3350"/>
    <mergeCell ref="C3351:E3351"/>
    <mergeCell ref="C3352:E3352"/>
    <mergeCell ref="C3353:N3353"/>
    <mergeCell ref="C3354:E3354"/>
    <mergeCell ref="C3366:K3366"/>
    <mergeCell ref="C3367:K3367"/>
    <mergeCell ref="C3368:K3368"/>
    <mergeCell ref="C3369:K3369"/>
    <mergeCell ref="C3370:K3370"/>
    <mergeCell ref="C3361:K3361"/>
    <mergeCell ref="C3362:K3362"/>
    <mergeCell ref="C3363:K3363"/>
    <mergeCell ref="C3364:K3364"/>
    <mergeCell ref="C3365:K3365"/>
    <mergeCell ref="C3376:K3376"/>
    <mergeCell ref="C3377:K3377"/>
    <mergeCell ref="C3378:K3378"/>
    <mergeCell ref="C3379:H3379"/>
    <mergeCell ref="C3380:H3380"/>
    <mergeCell ref="C3371:K3371"/>
    <mergeCell ref="C3372:K3372"/>
    <mergeCell ref="C3373:K3373"/>
    <mergeCell ref="C3374:K3374"/>
    <mergeCell ref="C3375:K3375"/>
    <mergeCell ref="C3386:E3386"/>
    <mergeCell ref="C3387:E3387"/>
    <mergeCell ref="C3388:E3388"/>
    <mergeCell ref="C3389:E3389"/>
    <mergeCell ref="C3390:E3390"/>
    <mergeCell ref="A3381:N3381"/>
    <mergeCell ref="A3382:N3382"/>
    <mergeCell ref="C3383:E3383"/>
    <mergeCell ref="C3384:N3384"/>
    <mergeCell ref="C3385:N3385"/>
    <mergeCell ref="C3396:E3396"/>
    <mergeCell ref="C3397:E3397"/>
    <mergeCell ref="C3398:E3398"/>
    <mergeCell ref="C3399:E3399"/>
    <mergeCell ref="C3400:E3400"/>
    <mergeCell ref="C3391:E3391"/>
    <mergeCell ref="C3392:E3392"/>
    <mergeCell ref="C3393:E3393"/>
    <mergeCell ref="C3394:E3394"/>
    <mergeCell ref="C3395:E3395"/>
    <mergeCell ref="C3406:E3406"/>
    <mergeCell ref="C3407:E3407"/>
    <mergeCell ref="C3408:E3408"/>
    <mergeCell ref="C3409:N3409"/>
    <mergeCell ref="C3410:N3410"/>
    <mergeCell ref="C3401:E3401"/>
    <mergeCell ref="C3402:E3402"/>
    <mergeCell ref="C3403:E3403"/>
    <mergeCell ref="C3404:E3404"/>
    <mergeCell ref="C3405:E3405"/>
    <mergeCell ref="C3417:K3417"/>
    <mergeCell ref="C3418:K3418"/>
    <mergeCell ref="C3419:K3419"/>
    <mergeCell ref="C3420:K3420"/>
    <mergeCell ref="C3421:K3421"/>
    <mergeCell ref="C3411:E3411"/>
    <mergeCell ref="C3413:K3413"/>
    <mergeCell ref="C3414:K3414"/>
    <mergeCell ref="C3415:K3415"/>
    <mergeCell ref="C3416:K3416"/>
    <mergeCell ref="C3427:K3427"/>
    <mergeCell ref="C3428:K3428"/>
    <mergeCell ref="C3429:K3429"/>
    <mergeCell ref="C3430:K3430"/>
    <mergeCell ref="C3431:K3431"/>
    <mergeCell ref="C3422:K3422"/>
    <mergeCell ref="C3423:K3423"/>
    <mergeCell ref="C3424:K3424"/>
    <mergeCell ref="C3425:K3425"/>
    <mergeCell ref="C3426:K3426"/>
    <mergeCell ref="C3437:H3437"/>
    <mergeCell ref="A3438:N3438"/>
    <mergeCell ref="A3439:N3439"/>
    <mergeCell ref="C3440:E3440"/>
    <mergeCell ref="C3441:N3441"/>
    <mergeCell ref="C3432:K3432"/>
    <mergeCell ref="C3433:K3433"/>
    <mergeCell ref="C3434:K3434"/>
    <mergeCell ref="C3435:K3435"/>
    <mergeCell ref="C3436:H3436"/>
    <mergeCell ref="C3447:E3447"/>
    <mergeCell ref="C3448:E3448"/>
    <mergeCell ref="C3449:E3449"/>
    <mergeCell ref="C3450:E3450"/>
    <mergeCell ref="C3451:E3451"/>
    <mergeCell ref="C3442:N3442"/>
    <mergeCell ref="C3443:E3443"/>
    <mergeCell ref="C3444:E3444"/>
    <mergeCell ref="C3445:E3445"/>
    <mergeCell ref="C3446:E3446"/>
    <mergeCell ref="C3457:E3457"/>
    <mergeCell ref="C3458:E3458"/>
    <mergeCell ref="C3459:E3459"/>
    <mergeCell ref="C3460:E3460"/>
    <mergeCell ref="C3461:E3461"/>
    <mergeCell ref="C3452:E3452"/>
    <mergeCell ref="C3453:E3453"/>
    <mergeCell ref="C3454:E3454"/>
    <mergeCell ref="C3455:E3455"/>
    <mergeCell ref="C3456:E3456"/>
    <mergeCell ref="C3467:N3467"/>
    <mergeCell ref="C3468:E3468"/>
    <mergeCell ref="C3469:E3469"/>
    <mergeCell ref="C3470:N3470"/>
    <mergeCell ref="C3471:N3471"/>
    <mergeCell ref="C3462:E3462"/>
    <mergeCell ref="C3463:E3463"/>
    <mergeCell ref="C3464:E3464"/>
    <mergeCell ref="C3465:E3465"/>
    <mergeCell ref="C3466:N3466"/>
    <mergeCell ref="C3477:E3477"/>
    <mergeCell ref="C3478:N3478"/>
    <mergeCell ref="C3479:N3479"/>
    <mergeCell ref="C3480:E3480"/>
    <mergeCell ref="C3481:E3481"/>
    <mergeCell ref="C3472:E3472"/>
    <mergeCell ref="C3473:E3473"/>
    <mergeCell ref="C3474:N3474"/>
    <mergeCell ref="C3475:N3475"/>
    <mergeCell ref="C3476:E3476"/>
    <mergeCell ref="C3487:N3487"/>
    <mergeCell ref="C3488:E3488"/>
    <mergeCell ref="C3489:E3489"/>
    <mergeCell ref="C3490:N3490"/>
    <mergeCell ref="C3491:N3491"/>
    <mergeCell ref="C3482:N3482"/>
    <mergeCell ref="C3483:N3483"/>
    <mergeCell ref="C3484:E3484"/>
    <mergeCell ref="C3485:E3485"/>
    <mergeCell ref="C3486:N3486"/>
    <mergeCell ref="C3497:E3497"/>
    <mergeCell ref="C3498:N3498"/>
    <mergeCell ref="C3499:N3499"/>
    <mergeCell ref="C3500:E3500"/>
    <mergeCell ref="C3501:E3501"/>
    <mergeCell ref="C3492:E3492"/>
    <mergeCell ref="C3493:E3493"/>
    <mergeCell ref="C3494:N3494"/>
    <mergeCell ref="C3495:N3495"/>
    <mergeCell ref="C3496:E3496"/>
    <mergeCell ref="C3507:N3507"/>
    <mergeCell ref="C3508:E3508"/>
    <mergeCell ref="C3509:E3509"/>
    <mergeCell ref="C3510:E3510"/>
    <mergeCell ref="C3511:E3511"/>
    <mergeCell ref="C3502:N3502"/>
    <mergeCell ref="C3503:N3503"/>
    <mergeCell ref="C3504:E3504"/>
    <mergeCell ref="C3505:E3505"/>
    <mergeCell ref="C3506:N3506"/>
    <mergeCell ref="C3517:E3517"/>
    <mergeCell ref="C3518:E3518"/>
    <mergeCell ref="C3519:E3519"/>
    <mergeCell ref="C3520:E3520"/>
    <mergeCell ref="C3521:E3521"/>
    <mergeCell ref="C3512:E3512"/>
    <mergeCell ref="C3513:E3513"/>
    <mergeCell ref="C3514:E3514"/>
    <mergeCell ref="C3515:E3515"/>
    <mergeCell ref="C3516:E3516"/>
    <mergeCell ref="C3527:E3527"/>
    <mergeCell ref="C3528:N3528"/>
    <mergeCell ref="C3529:N3529"/>
    <mergeCell ref="C3530:E3530"/>
    <mergeCell ref="C3531:E3531"/>
    <mergeCell ref="C3522:E3522"/>
    <mergeCell ref="C3523:E3523"/>
    <mergeCell ref="C3524:E3524"/>
    <mergeCell ref="C3525:E3525"/>
    <mergeCell ref="C3526:E3526"/>
    <mergeCell ref="C3537:N3537"/>
    <mergeCell ref="C3538:N3538"/>
    <mergeCell ref="C3539:E3539"/>
    <mergeCell ref="C3540:E3540"/>
    <mergeCell ref="C3541:E3541"/>
    <mergeCell ref="C3532:N3532"/>
    <mergeCell ref="C3533:N3533"/>
    <mergeCell ref="C3534:E3534"/>
    <mergeCell ref="A3535:N3535"/>
    <mergeCell ref="C3536:E3536"/>
    <mergeCell ref="C3547:E3547"/>
    <mergeCell ref="C3548:E3548"/>
    <mergeCell ref="C3549:E3549"/>
    <mergeCell ref="C3550:E3550"/>
    <mergeCell ref="C3551:E3551"/>
    <mergeCell ref="C3542:E3542"/>
    <mergeCell ref="C3543:E3543"/>
    <mergeCell ref="C3544:E3544"/>
    <mergeCell ref="C3545:E3545"/>
    <mergeCell ref="C3546:E3546"/>
    <mergeCell ref="C3557:E3557"/>
    <mergeCell ref="C3558:E3558"/>
    <mergeCell ref="C3559:E3559"/>
    <mergeCell ref="C3560:E3560"/>
    <mergeCell ref="C3561:E3561"/>
    <mergeCell ref="C3552:E3552"/>
    <mergeCell ref="C3553:E3553"/>
    <mergeCell ref="C3554:E3554"/>
    <mergeCell ref="C3555:E3555"/>
    <mergeCell ref="C3556:E3556"/>
    <mergeCell ref="C3567:E3567"/>
    <mergeCell ref="C3568:N3568"/>
    <mergeCell ref="C3569:N3569"/>
    <mergeCell ref="C3570:E3570"/>
    <mergeCell ref="C3571:E3571"/>
    <mergeCell ref="C3562:N3562"/>
    <mergeCell ref="C3563:N3563"/>
    <mergeCell ref="C3564:E3564"/>
    <mergeCell ref="A3565:N3565"/>
    <mergeCell ref="A3566:N3566"/>
    <mergeCell ref="C3577:E3577"/>
    <mergeCell ref="C3578:E3578"/>
    <mergeCell ref="C3579:E3579"/>
    <mergeCell ref="C3580:E3580"/>
    <mergeCell ref="C3581:E3581"/>
    <mergeCell ref="C3572:E3572"/>
    <mergeCell ref="C3573:E3573"/>
    <mergeCell ref="C3574:E3574"/>
    <mergeCell ref="C3575:E3575"/>
    <mergeCell ref="C3576:E3576"/>
    <mergeCell ref="C3587:E3587"/>
    <mergeCell ref="C3588:E3588"/>
    <mergeCell ref="C3589:E3589"/>
    <mergeCell ref="C3590:E3590"/>
    <mergeCell ref="C3591:E3591"/>
    <mergeCell ref="C3582:E3582"/>
    <mergeCell ref="C3583:E3583"/>
    <mergeCell ref="C3584:E3584"/>
    <mergeCell ref="C3585:E3585"/>
    <mergeCell ref="C3586:E3586"/>
    <mergeCell ref="C3598:K3598"/>
    <mergeCell ref="C3599:K3599"/>
    <mergeCell ref="C3600:K3600"/>
    <mergeCell ref="C3601:K3601"/>
    <mergeCell ref="C3602:K3602"/>
    <mergeCell ref="C3592:E3592"/>
    <mergeCell ref="C3593:N3593"/>
    <mergeCell ref="C3594:N3594"/>
    <mergeCell ref="C3595:E3595"/>
    <mergeCell ref="C3597:K3597"/>
    <mergeCell ref="C3608:K3608"/>
    <mergeCell ref="C3609:K3609"/>
    <mergeCell ref="C3610:K3610"/>
    <mergeCell ref="C3611:K3611"/>
    <mergeCell ref="C3612:K3612"/>
    <mergeCell ref="C3603:K3603"/>
    <mergeCell ref="C3604:K3604"/>
    <mergeCell ref="C3605:K3605"/>
    <mergeCell ref="C3606:K3606"/>
    <mergeCell ref="C3607:K3607"/>
    <mergeCell ref="C3618:K3618"/>
    <mergeCell ref="C3619:K3619"/>
    <mergeCell ref="C3620:K3620"/>
    <mergeCell ref="C3621:H3621"/>
    <mergeCell ref="C3622:H3622"/>
    <mergeCell ref="C3613:K3613"/>
    <mergeCell ref="C3614:K3614"/>
    <mergeCell ref="C3615:K3615"/>
    <mergeCell ref="C3616:K3616"/>
    <mergeCell ref="C3617:K3617"/>
    <mergeCell ref="C3628:E3628"/>
    <mergeCell ref="C3629:E3629"/>
    <mergeCell ref="C3630:E3630"/>
    <mergeCell ref="C3631:E3631"/>
    <mergeCell ref="C3632:E3632"/>
    <mergeCell ref="A3623:N3623"/>
    <mergeCell ref="C3624:E3624"/>
    <mergeCell ref="C3625:N3625"/>
    <mergeCell ref="C3626:N3626"/>
    <mergeCell ref="C3627:E3627"/>
    <mergeCell ref="C3638:E3638"/>
    <mergeCell ref="C3639:E3639"/>
    <mergeCell ref="C3640:E3640"/>
    <mergeCell ref="C3641:E3641"/>
    <mergeCell ref="C3642:E3642"/>
    <mergeCell ref="C3633:E3633"/>
    <mergeCell ref="C3634:E3634"/>
    <mergeCell ref="C3635:E3635"/>
    <mergeCell ref="C3636:E3636"/>
    <mergeCell ref="C3637:E3637"/>
    <mergeCell ref="C3648:E3648"/>
    <mergeCell ref="C3649:E3649"/>
    <mergeCell ref="C3650:E3650"/>
    <mergeCell ref="C3651:E3651"/>
    <mergeCell ref="C3652:E3652"/>
    <mergeCell ref="C3643:E3643"/>
    <mergeCell ref="C3644:E3644"/>
    <mergeCell ref="C3645:E3645"/>
    <mergeCell ref="C3646:E3646"/>
    <mergeCell ref="C3647:E3647"/>
    <mergeCell ref="C3658:E3658"/>
    <mergeCell ref="C3659:E3659"/>
    <mergeCell ref="C3660:E3660"/>
    <mergeCell ref="C3661:E3661"/>
    <mergeCell ref="C3662:E3662"/>
    <mergeCell ref="C3653:E3653"/>
    <mergeCell ref="C3654:E3654"/>
    <mergeCell ref="C3655:E3655"/>
    <mergeCell ref="C3656:E3656"/>
    <mergeCell ref="C3657:E3657"/>
    <mergeCell ref="C3669:K3669"/>
    <mergeCell ref="C3670:K3670"/>
    <mergeCell ref="C3671:K3671"/>
    <mergeCell ref="C3672:K3672"/>
    <mergeCell ref="C3673:K3673"/>
    <mergeCell ref="C3663:N3663"/>
    <mergeCell ref="C3664:E3664"/>
    <mergeCell ref="C3666:K3666"/>
    <mergeCell ref="C3667:K3667"/>
    <mergeCell ref="C3668:K3668"/>
    <mergeCell ref="C3679:K3679"/>
    <mergeCell ref="C3680:K3680"/>
    <mergeCell ref="C3681:K3681"/>
    <mergeCell ref="C3682:K3682"/>
    <mergeCell ref="C3683:K3683"/>
    <mergeCell ref="C3674:K3674"/>
    <mergeCell ref="C3675:K3675"/>
    <mergeCell ref="C3676:K3676"/>
    <mergeCell ref="C3677:K3677"/>
    <mergeCell ref="C3678:K3678"/>
    <mergeCell ref="C3690:K3690"/>
    <mergeCell ref="C3691:K3691"/>
    <mergeCell ref="C3692:K3692"/>
    <mergeCell ref="C3693:K3693"/>
    <mergeCell ref="C3694:K3694"/>
    <mergeCell ref="C3684:K3684"/>
    <mergeCell ref="C3685:H3685"/>
    <mergeCell ref="C3687:K3687"/>
    <mergeCell ref="C3688:K3688"/>
    <mergeCell ref="C3689:K3689"/>
    <mergeCell ref="C3722:L3722"/>
    <mergeCell ref="C3723:G3723"/>
    <mergeCell ref="H3723:L3723"/>
    <mergeCell ref="C3724:L3724"/>
    <mergeCell ref="C3715:K3715"/>
    <mergeCell ref="C3716:K3716"/>
    <mergeCell ref="C3717:H3717"/>
    <mergeCell ref="C3718:H3718"/>
    <mergeCell ref="C3721:G3721"/>
    <mergeCell ref="H3721:L3721"/>
    <mergeCell ref="C3700:K3700"/>
    <mergeCell ref="C3701:K3701"/>
    <mergeCell ref="C3702:K3702"/>
    <mergeCell ref="C3703:K3703"/>
    <mergeCell ref="C3704:K3704"/>
    <mergeCell ref="C3695:K3695"/>
    <mergeCell ref="C3696:K3696"/>
    <mergeCell ref="C3697:K3697"/>
    <mergeCell ref="C3698:K3698"/>
    <mergeCell ref="C3699:K3699"/>
    <mergeCell ref="C3710:K3710"/>
    <mergeCell ref="C3711:K3711"/>
    <mergeCell ref="C3712:K3712"/>
    <mergeCell ref="C3713:K3713"/>
    <mergeCell ref="C3714:K3714"/>
    <mergeCell ref="C3705:K3705"/>
    <mergeCell ref="C3706:K3706"/>
    <mergeCell ref="C3707:K3707"/>
    <mergeCell ref="C3708:K3708"/>
    <mergeCell ref="C3709:K3709"/>
  </mergeCells>
  <printOptions horizontalCentered="1"/>
  <pageMargins left="0.31496062874794001" right="0.31496062874794001" top="0.78740155696868896" bottom="0.31496062874794001" header="0.19685038924217199" footer="0.19685038924217199"/>
  <pageSetup paperSize="9" fitToHeight="0" orientation="landscape"/>
  <headerFooter>
    <oddFooter>&amp;RСтраница &amp;P</oddFooter>
  </headerFooter>
  <rowBreaks count="1" manualBreakCount="1">
    <brk id="34" max="3725"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pageSetUpPr fitToPage="1"/>
  </sheetPr>
  <dimension ref="A1:CJ122"/>
  <sheetViews>
    <sheetView topLeftCell="BD26" zoomScaleNormal="100" zoomScaleSheetLayoutView="80" workbookViewId="0">
      <selection activeCell="AT21" sqref="AT21"/>
    </sheetView>
  </sheetViews>
  <sheetFormatPr defaultColWidth="9.140625" defaultRowHeight="11.25" customHeight="1" outlineLevelCol="1" x14ac:dyDescent="0.2"/>
  <cols>
    <col min="1" max="1" width="6.7109375" style="1713" customWidth="1"/>
    <col min="2" max="2" width="22.28515625" style="1713" customWidth="1"/>
    <col min="3" max="3" width="34.28515625" style="1713" customWidth="1"/>
    <col min="4" max="8" width="19.85546875" style="1713" customWidth="1"/>
    <col min="9" max="13" width="113.7109375" style="1716" hidden="1" customWidth="1"/>
    <col min="14" max="19" width="136" style="1716" hidden="1" customWidth="1"/>
    <col min="20" max="26" width="155.85546875" style="1716" hidden="1" customWidth="1"/>
    <col min="27" max="27" width="162.5703125" style="1716" hidden="1" customWidth="1"/>
    <col min="28" max="30" width="56.5703125" style="1716" hidden="1" customWidth="1"/>
    <col min="31" max="32" width="54.140625" style="1716" hidden="1" customWidth="1"/>
    <col min="33" max="40" width="79.42578125" style="1716" hidden="1" customWidth="1"/>
    <col min="41" max="44" width="83.140625" style="1716" hidden="1" customWidth="1"/>
    <col min="45" max="48" width="79.42578125" style="1716" hidden="1" customWidth="1"/>
    <col min="49" max="50" width="54.140625" style="1716" hidden="1" customWidth="1"/>
    <col min="51" max="54" width="79.42578125" style="1716" hidden="1" customWidth="1"/>
    <col min="55" max="55" width="9.140625" style="1713"/>
    <col min="56" max="56" width="19.85546875" style="1713" customWidth="1"/>
    <col min="57" max="57" width="37.140625" style="1713" customWidth="1"/>
    <col min="58" max="58" width="11.28515625" style="1713" customWidth="1" outlineLevel="1"/>
    <col min="59" max="59" width="11.5703125" style="1713" customWidth="1" outlineLevel="1"/>
    <col min="60" max="60" width="12.140625" style="1713" customWidth="1" outlineLevel="1"/>
    <col min="61" max="61" width="9.140625" style="1713" customWidth="1" outlineLevel="1"/>
    <col min="62" max="62" width="11.140625" style="1713" customWidth="1" outlineLevel="1"/>
    <col min="63" max="70" width="9.140625" style="1713" customWidth="1" outlineLevel="1"/>
    <col min="71" max="71" width="11.140625" style="1713" customWidth="1" outlineLevel="1"/>
    <col min="72" max="72" width="11.28515625" style="1713" customWidth="1"/>
    <col min="73" max="75" width="9.140625" style="1713"/>
    <col min="76" max="76" width="18" style="1713" customWidth="1"/>
    <col min="77" max="16384" width="9.140625" style="1713"/>
  </cols>
  <sheetData>
    <row r="1" spans="1:19" x14ac:dyDescent="0.2">
      <c r="H1" s="2021" t="s">
        <v>666</v>
      </c>
    </row>
    <row r="2" spans="1:19" x14ac:dyDescent="0.2">
      <c r="A2" s="1601"/>
      <c r="B2" s="1601"/>
      <c r="C2" s="1601"/>
      <c r="D2" s="1601"/>
      <c r="E2" s="1601"/>
      <c r="F2" s="1601"/>
      <c r="G2" s="1601"/>
      <c r="H2" s="1583" t="s">
        <v>758</v>
      </c>
    </row>
    <row r="3" spans="1:19" x14ac:dyDescent="0.2">
      <c r="A3" s="1601"/>
      <c r="B3" s="1601"/>
      <c r="C3" s="1601"/>
      <c r="D3" s="1601"/>
      <c r="E3" s="1601"/>
      <c r="F3" s="1601"/>
      <c r="G3" s="1601"/>
      <c r="H3" s="2021"/>
    </row>
    <row r="4" spans="1:19" x14ac:dyDescent="0.2">
      <c r="A4" s="1601"/>
      <c r="B4" s="1601" t="s">
        <v>668</v>
      </c>
      <c r="C4" s="2836" t="s">
        <v>9003</v>
      </c>
      <c r="D4" s="2836"/>
      <c r="E4" s="2836"/>
      <c r="F4" s="2836"/>
      <c r="G4" s="2836"/>
      <c r="H4" s="1601"/>
      <c r="I4" s="1588" t="s">
        <v>9003</v>
      </c>
      <c r="J4" s="1588" t="s">
        <v>588</v>
      </c>
      <c r="K4" s="1588" t="s">
        <v>588</v>
      </c>
      <c r="L4" s="1588" t="s">
        <v>588</v>
      </c>
      <c r="M4" s="1588" t="s">
        <v>588</v>
      </c>
    </row>
    <row r="5" spans="1:19" ht="10.5" customHeight="1" x14ac:dyDescent="0.2">
      <c r="A5" s="1601"/>
      <c r="B5" s="1601"/>
      <c r="C5" s="2928" t="s">
        <v>182</v>
      </c>
      <c r="D5" s="2928"/>
      <c r="E5" s="2928"/>
      <c r="F5" s="2928"/>
      <c r="G5" s="2928"/>
      <c r="H5" s="1601"/>
    </row>
    <row r="6" spans="1:19" ht="17.25" customHeight="1" x14ac:dyDescent="0.2">
      <c r="A6" s="1601"/>
      <c r="B6" s="1601" t="s">
        <v>9004</v>
      </c>
      <c r="C6" s="1604"/>
      <c r="D6" s="1604"/>
      <c r="E6" s="1604"/>
      <c r="F6" s="1604"/>
      <c r="G6" s="1604"/>
      <c r="H6" s="1601"/>
    </row>
    <row r="7" spans="1:19" ht="17.25" customHeight="1" x14ac:dyDescent="0.2">
      <c r="A7" s="1601"/>
      <c r="B7" s="1601"/>
      <c r="C7" s="1604"/>
      <c r="D7" s="1604"/>
      <c r="E7" s="1604"/>
      <c r="F7" s="1604"/>
      <c r="G7" s="1604"/>
      <c r="H7" s="1601"/>
    </row>
    <row r="8" spans="1:19" ht="17.25" customHeight="1" x14ac:dyDescent="0.2">
      <c r="A8" s="1601"/>
      <c r="B8" s="1612" t="s">
        <v>9005</v>
      </c>
      <c r="C8" s="1604"/>
      <c r="D8" s="1604"/>
      <c r="E8" s="1604"/>
      <c r="F8" s="1604"/>
      <c r="G8" s="1604"/>
      <c r="H8" s="1601"/>
    </row>
    <row r="9" spans="1:19" ht="17.25" customHeight="1" x14ac:dyDescent="0.2">
      <c r="A9" s="1601"/>
      <c r="B9" s="1601"/>
      <c r="C9" s="2929"/>
      <c r="D9" s="2929"/>
      <c r="E9" s="2929"/>
      <c r="F9" s="2929"/>
      <c r="G9" s="2929"/>
      <c r="H9" s="1601"/>
    </row>
    <row r="10" spans="1:19" ht="11.25" customHeight="1" x14ac:dyDescent="0.25">
      <c r="A10" s="2120"/>
      <c r="B10" s="2120"/>
      <c r="C10" s="2928" t="s">
        <v>673</v>
      </c>
      <c r="D10" s="2928"/>
      <c r="E10" s="2928"/>
      <c r="F10" s="2928"/>
      <c r="G10" s="2928"/>
      <c r="H10" s="2120"/>
    </row>
    <row r="11" spans="1:19" ht="11.25" customHeight="1" x14ac:dyDescent="0.25">
      <c r="A11" s="2120"/>
      <c r="B11" s="2120"/>
      <c r="C11" s="1604"/>
      <c r="D11" s="1604"/>
      <c r="E11" s="1604"/>
      <c r="F11" s="1604"/>
      <c r="G11" s="1604"/>
      <c r="H11" s="2120"/>
    </row>
    <row r="12" spans="1:19" ht="18" x14ac:dyDescent="0.25">
      <c r="A12" s="2120"/>
      <c r="B12" s="2930" t="s">
        <v>9006</v>
      </c>
      <c r="C12" s="2930"/>
      <c r="D12" s="2930"/>
      <c r="E12" s="2930"/>
      <c r="F12" s="2930"/>
      <c r="G12" s="2930"/>
      <c r="H12" s="2120"/>
    </row>
    <row r="13" spans="1:19" ht="11.25" customHeight="1" x14ac:dyDescent="0.25">
      <c r="A13" s="2120"/>
      <c r="B13" s="2120"/>
      <c r="C13" s="1604"/>
      <c r="D13" s="1604"/>
      <c r="E13" s="1604"/>
      <c r="F13" s="1604"/>
      <c r="G13" s="1604"/>
      <c r="H13" s="2120"/>
    </row>
    <row r="14" spans="1:19" ht="11.25" customHeight="1" x14ac:dyDescent="0.25">
      <c r="A14" s="2120"/>
      <c r="B14" s="2120"/>
      <c r="C14" s="1604"/>
      <c r="D14" s="1604"/>
      <c r="E14" s="1604"/>
      <c r="F14" s="1604"/>
      <c r="G14" s="1604"/>
      <c r="H14" s="2120"/>
    </row>
    <row r="15" spans="1:19" ht="11.25" customHeight="1" x14ac:dyDescent="0.25">
      <c r="A15" s="2120"/>
      <c r="B15" s="2120"/>
      <c r="C15" s="1604"/>
      <c r="D15" s="1604"/>
      <c r="E15" s="1604"/>
      <c r="F15" s="1604"/>
      <c r="G15" s="1604"/>
      <c r="H15" s="2120"/>
    </row>
    <row r="16" spans="1:19" x14ac:dyDescent="0.2">
      <c r="A16" s="1588"/>
      <c r="B16" s="2927" t="s">
        <v>9007</v>
      </c>
      <c r="C16" s="2927"/>
      <c r="D16" s="2927"/>
      <c r="E16" s="2927"/>
      <c r="F16" s="2927"/>
      <c r="G16" s="2927"/>
      <c r="H16" s="1588"/>
      <c r="N16" s="1588" t="s">
        <v>9007</v>
      </c>
      <c r="O16" s="1588" t="s">
        <v>588</v>
      </c>
      <c r="P16" s="1588" t="s">
        <v>588</v>
      </c>
      <c r="Q16" s="1588" t="s">
        <v>588</v>
      </c>
      <c r="R16" s="1588" t="s">
        <v>588</v>
      </c>
      <c r="S16" s="1588" t="s">
        <v>588</v>
      </c>
    </row>
    <row r="17" spans="1:88" ht="13.5" customHeight="1" x14ac:dyDescent="0.2">
      <c r="A17" s="2121"/>
      <c r="B17" s="2799" t="s">
        <v>675</v>
      </c>
      <c r="C17" s="2799"/>
      <c r="D17" s="2799"/>
      <c r="E17" s="2799"/>
      <c r="F17" s="2799"/>
      <c r="G17" s="2799"/>
      <c r="H17" s="2121"/>
    </row>
    <row r="18" spans="1:88" ht="9.75" customHeight="1" x14ac:dyDescent="0.2">
      <c r="A18" s="1601"/>
      <c r="B18" s="1601"/>
      <c r="C18" s="1601"/>
      <c r="D18" s="2122"/>
      <c r="E18" s="2122"/>
      <c r="F18" s="2122"/>
      <c r="G18" s="1609"/>
      <c r="H18" s="1609"/>
    </row>
    <row r="19" spans="1:88" x14ac:dyDescent="0.2">
      <c r="A19" s="2123"/>
      <c r="B19" s="2931" t="s">
        <v>9008</v>
      </c>
      <c r="C19" s="2931"/>
      <c r="D19" s="2931"/>
      <c r="E19" s="2931"/>
      <c r="F19" s="2931"/>
      <c r="G19" s="2931"/>
      <c r="H19" s="2931"/>
      <c r="T19" s="1588" t="s">
        <v>9008</v>
      </c>
      <c r="U19" s="1588" t="s">
        <v>588</v>
      </c>
      <c r="V19" s="1588" t="s">
        <v>588</v>
      </c>
      <c r="W19" s="1588" t="s">
        <v>588</v>
      </c>
      <c r="X19" s="1588" t="s">
        <v>588</v>
      </c>
      <c r="Y19" s="1588" t="s">
        <v>588</v>
      </c>
      <c r="Z19" s="1588" t="s">
        <v>588</v>
      </c>
    </row>
    <row r="20" spans="1:88" ht="9.75" customHeight="1" x14ac:dyDescent="0.2">
      <c r="A20" s="1601"/>
      <c r="B20" s="1601"/>
      <c r="C20" s="1601"/>
      <c r="D20" s="1604"/>
      <c r="E20" s="1604"/>
      <c r="F20" s="1604"/>
      <c r="G20" s="1604"/>
      <c r="H20" s="1604"/>
    </row>
    <row r="21" spans="1:88" ht="16.5" customHeight="1" x14ac:dyDescent="0.2">
      <c r="A21" s="2932" t="s">
        <v>5</v>
      </c>
      <c r="B21" s="2932" t="s">
        <v>665</v>
      </c>
      <c r="C21" s="2932" t="s">
        <v>677</v>
      </c>
      <c r="D21" s="2935" t="s">
        <v>678</v>
      </c>
      <c r="E21" s="2936"/>
      <c r="F21" s="2936"/>
      <c r="G21" s="2936"/>
      <c r="H21" s="2937"/>
      <c r="I21" s="2124"/>
    </row>
    <row r="22" spans="1:88" ht="58.5" customHeight="1" x14ac:dyDescent="0.2">
      <c r="A22" s="2933"/>
      <c r="B22" s="2933"/>
      <c r="C22" s="2933"/>
      <c r="D22" s="2932" t="s">
        <v>9009</v>
      </c>
      <c r="E22" s="2932" t="s">
        <v>680</v>
      </c>
      <c r="F22" s="2932" t="s">
        <v>681</v>
      </c>
      <c r="G22" s="2932" t="s">
        <v>682</v>
      </c>
      <c r="H22" s="2932" t="s">
        <v>683</v>
      </c>
      <c r="I22" s="2124"/>
    </row>
    <row r="23" spans="1:88" ht="3.75" customHeight="1" x14ac:dyDescent="0.2">
      <c r="A23" s="2934"/>
      <c r="B23" s="2934"/>
      <c r="C23" s="2934"/>
      <c r="D23" s="2934"/>
      <c r="E23" s="2934"/>
      <c r="F23" s="2934"/>
      <c r="G23" s="2934"/>
      <c r="H23" s="2934"/>
      <c r="I23" s="2124"/>
    </row>
    <row r="24" spans="1:88" x14ac:dyDescent="0.2">
      <c r="A24" s="2125">
        <v>1</v>
      </c>
      <c r="B24" s="2125">
        <v>2</v>
      </c>
      <c r="C24" s="2125">
        <v>3</v>
      </c>
      <c r="D24" s="2125">
        <v>4</v>
      </c>
      <c r="E24" s="2125">
        <v>5</v>
      </c>
      <c r="F24" s="2125">
        <v>6</v>
      </c>
      <c r="G24" s="2125">
        <v>7</v>
      </c>
      <c r="H24" s="2125">
        <v>8</v>
      </c>
      <c r="I24" s="2124"/>
    </row>
    <row r="25" spans="1:88" s="2128" customFormat="1" ht="14.25" x14ac:dyDescent="0.2">
      <c r="A25" s="2944" t="s">
        <v>684</v>
      </c>
      <c r="B25" s="2945"/>
      <c r="C25" s="2945"/>
      <c r="D25" s="2945"/>
      <c r="E25" s="2945"/>
      <c r="F25" s="2945"/>
      <c r="G25" s="2945"/>
      <c r="H25" s="2946"/>
      <c r="I25" s="2126"/>
      <c r="J25" s="2126"/>
      <c r="K25" s="2126"/>
      <c r="L25" s="2126"/>
      <c r="M25" s="2126"/>
      <c r="N25" s="2126"/>
      <c r="O25" s="2126"/>
      <c r="P25" s="2126"/>
      <c r="Q25" s="2126"/>
      <c r="R25" s="2126"/>
      <c r="S25" s="2126"/>
      <c r="T25" s="2126"/>
      <c r="U25" s="2126"/>
      <c r="V25" s="2126"/>
      <c r="W25" s="2126"/>
      <c r="X25" s="2126"/>
      <c r="Y25" s="2126"/>
      <c r="Z25" s="2126"/>
      <c r="AA25" s="2127" t="s">
        <v>684</v>
      </c>
      <c r="AB25" s="2126"/>
      <c r="AC25" s="2126"/>
      <c r="AD25" s="2126"/>
      <c r="AE25" s="2126"/>
      <c r="AF25" s="2126"/>
      <c r="AG25" s="2126"/>
      <c r="AH25" s="2126"/>
      <c r="AI25" s="2126"/>
      <c r="AJ25" s="2126"/>
      <c r="AK25" s="2126"/>
      <c r="AL25" s="2126"/>
      <c r="AM25" s="2126"/>
      <c r="AN25" s="2126"/>
      <c r="AO25" s="2126"/>
      <c r="AP25" s="2126"/>
      <c r="AQ25" s="2126"/>
      <c r="AR25" s="2126"/>
      <c r="AS25" s="2126"/>
      <c r="AT25" s="2126"/>
      <c r="AU25" s="2126"/>
      <c r="AV25" s="2126"/>
      <c r="AW25" s="2126"/>
      <c r="AX25" s="2126"/>
      <c r="AY25" s="2126"/>
      <c r="AZ25" s="2126"/>
      <c r="BA25" s="2126"/>
      <c r="BB25" s="2126"/>
    </row>
    <row r="26" spans="1:88" s="2128" customFormat="1" ht="22.5" x14ac:dyDescent="0.2">
      <c r="A26" s="2129" t="s">
        <v>190</v>
      </c>
      <c r="B26" s="2130" t="s">
        <v>9010</v>
      </c>
      <c r="C26" s="2130" t="s">
        <v>9011</v>
      </c>
      <c r="D26" s="2131"/>
      <c r="E26" s="2131"/>
      <c r="F26" s="2131"/>
      <c r="G26" s="2131">
        <v>228.55</v>
      </c>
      <c r="H26" s="2131">
        <v>228.55</v>
      </c>
      <c r="I26" s="2126"/>
      <c r="J26" s="2126"/>
      <c r="K26" s="2126"/>
      <c r="L26" s="2126"/>
      <c r="M26" s="2126"/>
      <c r="N26" s="2126"/>
      <c r="O26" s="2126"/>
      <c r="P26" s="2126"/>
      <c r="Q26" s="2126"/>
      <c r="R26" s="2126"/>
      <c r="S26" s="2126"/>
      <c r="T26" s="2126"/>
      <c r="U26" s="2126"/>
      <c r="V26" s="2126"/>
      <c r="W26" s="2126"/>
      <c r="X26" s="2126"/>
      <c r="Y26" s="2126"/>
      <c r="Z26" s="2126"/>
      <c r="AA26" s="2127"/>
      <c r="AB26" s="2126"/>
      <c r="AC26" s="2126"/>
      <c r="AD26" s="2126"/>
      <c r="AE26" s="2126"/>
      <c r="AF26" s="2126"/>
      <c r="AG26" s="2126"/>
      <c r="AH26" s="2126"/>
      <c r="AI26" s="2126"/>
      <c r="AJ26" s="2126"/>
      <c r="AK26" s="2126"/>
      <c r="AL26" s="2126"/>
      <c r="AM26" s="2126"/>
      <c r="AN26" s="2126"/>
      <c r="AO26" s="2126"/>
      <c r="AP26" s="2126"/>
      <c r="AQ26" s="2126"/>
      <c r="AR26" s="2126"/>
      <c r="AS26" s="2126"/>
      <c r="AT26" s="2126"/>
      <c r="AU26" s="2126"/>
      <c r="AV26" s="2126"/>
      <c r="AW26" s="2126"/>
      <c r="AX26" s="2126"/>
      <c r="AY26" s="2126"/>
      <c r="AZ26" s="2126"/>
      <c r="BA26" s="2126"/>
      <c r="BB26" s="2126"/>
      <c r="BD26" s="2947" t="s">
        <v>665</v>
      </c>
      <c r="BE26" s="2947" t="s">
        <v>677</v>
      </c>
      <c r="BF26" s="2947" t="s">
        <v>678</v>
      </c>
      <c r="BG26" s="2947"/>
      <c r="BH26" s="2947"/>
      <c r="BI26" s="2947"/>
      <c r="BJ26" s="2947"/>
      <c r="BK26" s="2948" t="s">
        <v>9011</v>
      </c>
      <c r="BL26" s="2938" t="s">
        <v>9012</v>
      </c>
      <c r="BM26" s="2938" t="s">
        <v>5970</v>
      </c>
      <c r="BN26" s="2938" t="s">
        <v>9013</v>
      </c>
      <c r="BO26" s="2941" t="s">
        <v>5263</v>
      </c>
      <c r="BP26" s="2938" t="s">
        <v>9014</v>
      </c>
      <c r="BQ26" s="2938" t="s">
        <v>9015</v>
      </c>
      <c r="BR26" s="2938" t="s">
        <v>193</v>
      </c>
      <c r="BS26" s="2938" t="s">
        <v>9016</v>
      </c>
      <c r="BT26" s="2938" t="s">
        <v>7838</v>
      </c>
      <c r="BU26" s="2938" t="s">
        <v>7</v>
      </c>
      <c r="BV26" s="2938" t="s">
        <v>188</v>
      </c>
      <c r="BW26" s="2938" t="s">
        <v>9017</v>
      </c>
      <c r="BX26" s="2938" t="s">
        <v>4130</v>
      </c>
      <c r="BY26" s="1713"/>
      <c r="BZ26" s="1713"/>
      <c r="CA26" s="1713"/>
      <c r="CB26" s="1713"/>
      <c r="CC26" s="1713"/>
      <c r="CD26" s="1713"/>
      <c r="CE26" s="1713"/>
      <c r="CF26" s="1713"/>
      <c r="CG26" s="1713"/>
      <c r="CH26" s="1713"/>
      <c r="CI26" s="1713"/>
      <c r="CJ26" s="1713"/>
    </row>
    <row r="27" spans="1:88" s="2128" customFormat="1" ht="86.25" customHeight="1" x14ac:dyDescent="0.2">
      <c r="A27" s="2132"/>
      <c r="B27" s="2951" t="s">
        <v>688</v>
      </c>
      <c r="C27" s="2952"/>
      <c r="D27" s="2133"/>
      <c r="E27" s="2133"/>
      <c r="F27" s="2134"/>
      <c r="G27" s="2134">
        <v>228.55</v>
      </c>
      <c r="H27" s="2134">
        <v>228.55</v>
      </c>
      <c r="I27" s="2126"/>
      <c r="J27" s="2126"/>
      <c r="K27" s="2126"/>
      <c r="L27" s="2126"/>
      <c r="M27" s="2126"/>
      <c r="N27" s="2126"/>
      <c r="O27" s="2126"/>
      <c r="P27" s="2126"/>
      <c r="Q27" s="2126"/>
      <c r="R27" s="2126"/>
      <c r="S27" s="2126"/>
      <c r="T27" s="2126"/>
      <c r="U27" s="2126"/>
      <c r="V27" s="2126"/>
      <c r="W27" s="2126"/>
      <c r="X27" s="2126"/>
      <c r="Y27" s="2126"/>
      <c r="Z27" s="2126"/>
      <c r="AA27" s="2127"/>
      <c r="AB27" s="2135" t="s">
        <v>688</v>
      </c>
      <c r="AC27" s="2126"/>
      <c r="AD27" s="2126"/>
      <c r="AE27" s="2126"/>
      <c r="AF27" s="2126"/>
      <c r="AG27" s="2126"/>
      <c r="AH27" s="2126"/>
      <c r="AI27" s="2126"/>
      <c r="AJ27" s="2126"/>
      <c r="AK27" s="2126"/>
      <c r="AL27" s="2126"/>
      <c r="AM27" s="2126"/>
      <c r="AN27" s="2126"/>
      <c r="AO27" s="2126"/>
      <c r="AP27" s="2126"/>
      <c r="AQ27" s="2126"/>
      <c r="AR27" s="2126"/>
      <c r="AS27" s="2126"/>
      <c r="AT27" s="2126"/>
      <c r="AU27" s="2126"/>
      <c r="AV27" s="2126"/>
      <c r="AW27" s="2126"/>
      <c r="AX27" s="2126"/>
      <c r="AY27" s="2126"/>
      <c r="AZ27" s="2126"/>
      <c r="BA27" s="2126"/>
      <c r="BB27" s="2126"/>
      <c r="BD27" s="2947"/>
      <c r="BE27" s="2947"/>
      <c r="BF27" s="2947" t="s">
        <v>9009</v>
      </c>
      <c r="BG27" s="2947" t="s">
        <v>680</v>
      </c>
      <c r="BH27" s="2947" t="s">
        <v>681</v>
      </c>
      <c r="BI27" s="2947" t="s">
        <v>682</v>
      </c>
      <c r="BJ27" s="2947" t="s">
        <v>683</v>
      </c>
      <c r="BK27" s="2949"/>
      <c r="BL27" s="2939"/>
      <c r="BM27" s="2939"/>
      <c r="BN27" s="2939"/>
      <c r="BO27" s="2942"/>
      <c r="BP27" s="2939"/>
      <c r="BQ27" s="2939"/>
      <c r="BR27" s="2939"/>
      <c r="BS27" s="2939"/>
      <c r="BT27" s="2939"/>
      <c r="BU27" s="2939"/>
      <c r="BV27" s="2939"/>
      <c r="BW27" s="2939"/>
      <c r="BX27" s="2939"/>
      <c r="BY27" s="1713"/>
      <c r="BZ27" s="1713"/>
      <c r="CA27" s="1713"/>
      <c r="CB27" s="1713"/>
      <c r="CC27" s="1713"/>
      <c r="CD27" s="1713"/>
      <c r="CE27" s="1713"/>
      <c r="CF27" s="1713"/>
      <c r="CG27" s="1713"/>
      <c r="CH27" s="1713"/>
      <c r="CI27" s="1713"/>
      <c r="CJ27" s="1713"/>
    </row>
    <row r="28" spans="1:88" s="2128" customFormat="1" ht="14.25" x14ac:dyDescent="0.2">
      <c r="A28" s="2953" t="s">
        <v>693</v>
      </c>
      <c r="B28" s="2954"/>
      <c r="C28" s="2954"/>
      <c r="D28" s="2954"/>
      <c r="E28" s="2954"/>
      <c r="F28" s="2954"/>
      <c r="G28" s="2954"/>
      <c r="H28" s="2955"/>
      <c r="I28" s="2126"/>
      <c r="J28" s="2126"/>
      <c r="K28" s="2126"/>
      <c r="L28" s="2126"/>
      <c r="M28" s="2126"/>
      <c r="N28" s="2126"/>
      <c r="O28" s="2126"/>
      <c r="P28" s="2126"/>
      <c r="Q28" s="2126"/>
      <c r="R28" s="2126"/>
      <c r="S28" s="2126"/>
      <c r="T28" s="2126"/>
      <c r="U28" s="2126"/>
      <c r="V28" s="2126"/>
      <c r="W28" s="2126"/>
      <c r="X28" s="2126"/>
      <c r="Y28" s="2126"/>
      <c r="Z28" s="2126"/>
      <c r="AA28" s="2127" t="s">
        <v>693</v>
      </c>
      <c r="AB28" s="2135"/>
      <c r="AC28" s="2126"/>
      <c r="AD28" s="2126"/>
      <c r="AE28" s="2126"/>
      <c r="AF28" s="2126"/>
      <c r="AG28" s="2126"/>
      <c r="AH28" s="2126"/>
      <c r="AI28" s="2126"/>
      <c r="AJ28" s="2126"/>
      <c r="AK28" s="2126"/>
      <c r="AL28" s="2126"/>
      <c r="AM28" s="2126"/>
      <c r="AN28" s="2126"/>
      <c r="AO28" s="2126"/>
      <c r="AP28" s="2126"/>
      <c r="AQ28" s="2126"/>
      <c r="AR28" s="2126"/>
      <c r="AS28" s="2126"/>
      <c r="AT28" s="2126"/>
      <c r="AU28" s="2126"/>
      <c r="AV28" s="2126"/>
      <c r="AW28" s="2126"/>
      <c r="AX28" s="2126"/>
      <c r="AY28" s="2126"/>
      <c r="AZ28" s="2126"/>
      <c r="BA28" s="2126"/>
      <c r="BB28" s="2126"/>
      <c r="BD28" s="2947"/>
      <c r="BE28" s="2947"/>
      <c r="BF28" s="2947"/>
      <c r="BG28" s="2947"/>
      <c r="BH28" s="2947"/>
      <c r="BI28" s="2947"/>
      <c r="BJ28" s="2947"/>
      <c r="BK28" s="2950"/>
      <c r="BL28" s="2940"/>
      <c r="BM28" s="2940"/>
      <c r="BN28" s="2940"/>
      <c r="BO28" s="2943"/>
      <c r="BP28" s="2940"/>
      <c r="BQ28" s="2940"/>
      <c r="BR28" s="2940"/>
      <c r="BS28" s="2940"/>
      <c r="BT28" s="2940"/>
      <c r="BU28" s="2940"/>
      <c r="BV28" s="2940"/>
      <c r="BW28" s="2940"/>
      <c r="BX28" s="2940"/>
      <c r="BY28" s="1713"/>
      <c r="BZ28" s="1713"/>
      <c r="CA28" s="1713"/>
      <c r="CB28" s="1713"/>
      <c r="CC28" s="1713"/>
      <c r="CD28" s="1713"/>
      <c r="CE28" s="1713"/>
      <c r="CF28" s="1713"/>
      <c r="CG28" s="1713"/>
      <c r="CH28" s="1713"/>
      <c r="CI28" s="1713"/>
      <c r="CJ28" s="1713"/>
    </row>
    <row r="29" spans="1:88" s="2128" customFormat="1" ht="22.5" x14ac:dyDescent="0.2">
      <c r="A29" s="2129" t="s">
        <v>639</v>
      </c>
      <c r="B29" s="2130" t="s">
        <v>5287</v>
      </c>
      <c r="C29" s="2130" t="s">
        <v>9018</v>
      </c>
      <c r="D29" s="2131">
        <v>449541</v>
      </c>
      <c r="E29" s="2131">
        <v>59254.73</v>
      </c>
      <c r="F29" s="2131">
        <v>272956.48</v>
      </c>
      <c r="G29" s="2131"/>
      <c r="H29" s="2131">
        <v>781752.21</v>
      </c>
      <c r="I29" s="2126"/>
      <c r="J29" s="2126"/>
      <c r="K29" s="2126"/>
      <c r="L29" s="2126"/>
      <c r="M29" s="2126"/>
      <c r="N29" s="2126"/>
      <c r="O29" s="2126"/>
      <c r="P29" s="2126"/>
      <c r="Q29" s="2126"/>
      <c r="R29" s="2126"/>
      <c r="S29" s="2126"/>
      <c r="T29" s="2126"/>
      <c r="U29" s="2126"/>
      <c r="V29" s="2126"/>
      <c r="W29" s="2126"/>
      <c r="X29" s="2126"/>
      <c r="Y29" s="2126"/>
      <c r="Z29" s="2126"/>
      <c r="AA29" s="2127"/>
      <c r="AB29" s="2135"/>
      <c r="AC29" s="2126"/>
      <c r="AD29" s="2126"/>
      <c r="AE29" s="2126"/>
      <c r="AF29" s="2126"/>
      <c r="AG29" s="2126"/>
      <c r="AH29" s="2126"/>
      <c r="AI29" s="2126"/>
      <c r="AJ29" s="2126"/>
      <c r="AK29" s="2126"/>
      <c r="AL29" s="2126"/>
      <c r="AM29" s="2126"/>
      <c r="AN29" s="2126"/>
      <c r="AO29" s="2126"/>
      <c r="AP29" s="2126"/>
      <c r="AQ29" s="2126"/>
      <c r="AR29" s="2126"/>
      <c r="AS29" s="2126"/>
      <c r="AT29" s="2126"/>
      <c r="AU29" s="2126"/>
      <c r="AV29" s="2126"/>
      <c r="AW29" s="2126"/>
      <c r="AX29" s="2126"/>
      <c r="AY29" s="2126"/>
      <c r="AZ29" s="2126"/>
      <c r="BA29" s="2126"/>
      <c r="BB29" s="2126"/>
      <c r="BD29" s="2136" t="s">
        <v>5287</v>
      </c>
      <c r="BE29" s="2136" t="s">
        <v>9018</v>
      </c>
      <c r="BF29" s="2137">
        <v>449541</v>
      </c>
      <c r="BG29" s="2137">
        <v>59254.73</v>
      </c>
      <c r="BH29" s="2137">
        <v>272956.48</v>
      </c>
      <c r="BI29" s="2137"/>
      <c r="BJ29" s="2137">
        <v>781752.21</v>
      </c>
      <c r="BK29" s="2138">
        <f>BK72</f>
        <v>228.55</v>
      </c>
      <c r="BL29" s="2139">
        <f t="shared" ref="BL29:BL69" si="0">$BL$72/($BF$72+$BG$72)*(BF29+BG29)</f>
        <v>9382.35</v>
      </c>
      <c r="BM29" s="2140">
        <f>BM72</f>
        <v>28107.07</v>
      </c>
      <c r="BN29" s="2140">
        <f t="shared" ref="BN29:BN69" si="1">$BN$72/($BF$72+$BG$72)*(BF29+BG29)</f>
        <v>19983.330000000002</v>
      </c>
      <c r="BO29" s="2140">
        <f>BO72-BO63</f>
        <v>13578.19</v>
      </c>
      <c r="BP29" s="2139">
        <f t="shared" ref="BP29:BP69" si="2">$BP$72/($BF$72+$BG$72)*(BF29+BG29)</f>
        <v>4654.92</v>
      </c>
      <c r="BQ29" s="2139">
        <f t="shared" ref="BQ29:BQ69" si="3">$BQ$72/($BF$72+$BG$72)*(BF29+BG29)</f>
        <v>83876.039999999994</v>
      </c>
      <c r="BR29" s="2139">
        <f>BJ29+BK29+BL29+BM29+BN29+BO29+BP29+BQ29</f>
        <v>941562.66</v>
      </c>
      <c r="BS29" s="2139">
        <f>BR29*1.02</f>
        <v>960393.91</v>
      </c>
      <c r="BT29" s="2139">
        <f>BS29*1.2</f>
        <v>1152472.69</v>
      </c>
      <c r="BU29" s="1956" t="s">
        <v>9019</v>
      </c>
      <c r="BV29" s="1954">
        <v>7491.6</v>
      </c>
      <c r="BW29" s="2141">
        <f>BT29/BV29</f>
        <v>153.84</v>
      </c>
      <c r="BX29" s="1956" t="s">
        <v>9020</v>
      </c>
      <c r="BY29" s="1713"/>
      <c r="BZ29" s="1713"/>
      <c r="CA29" s="1713"/>
      <c r="CB29" s="1713"/>
      <c r="CC29" s="1713"/>
      <c r="CD29" s="1713"/>
      <c r="CE29" s="1713"/>
      <c r="CF29" s="1713"/>
      <c r="CG29" s="1713"/>
      <c r="CH29" s="1713"/>
      <c r="CI29" s="1713"/>
      <c r="CJ29" s="1713"/>
    </row>
    <row r="30" spans="1:88" s="2128" customFormat="1" ht="14.25" x14ac:dyDescent="0.2">
      <c r="A30" s="2129" t="s">
        <v>640</v>
      </c>
      <c r="B30" s="2130" t="s">
        <v>9021</v>
      </c>
      <c r="C30" s="2130" t="s">
        <v>9022</v>
      </c>
      <c r="D30" s="2131">
        <v>2098.5</v>
      </c>
      <c r="E30" s="2131"/>
      <c r="F30" s="2131"/>
      <c r="G30" s="2131"/>
      <c r="H30" s="2131">
        <v>2098.5</v>
      </c>
      <c r="I30" s="2126"/>
      <c r="J30" s="2126"/>
      <c r="K30" s="2126"/>
      <c r="L30" s="2126"/>
      <c r="M30" s="2126"/>
      <c r="N30" s="2126"/>
      <c r="O30" s="2126"/>
      <c r="P30" s="2126"/>
      <c r="Q30" s="2126"/>
      <c r="R30" s="2126"/>
      <c r="S30" s="2126"/>
      <c r="T30" s="2126"/>
      <c r="U30" s="2126"/>
      <c r="V30" s="2126"/>
      <c r="W30" s="2126"/>
      <c r="X30" s="2126"/>
      <c r="Y30" s="2126"/>
      <c r="Z30" s="2126"/>
      <c r="AA30" s="2127"/>
      <c r="AB30" s="2135"/>
      <c r="AC30" s="2126"/>
      <c r="AD30" s="2126"/>
      <c r="AE30" s="2126"/>
      <c r="AF30" s="2126"/>
      <c r="AG30" s="2126"/>
      <c r="AH30" s="2126"/>
      <c r="AI30" s="2126"/>
      <c r="AJ30" s="2126"/>
      <c r="AK30" s="2126"/>
      <c r="AL30" s="2126"/>
      <c r="AM30" s="2126"/>
      <c r="AN30" s="2126"/>
      <c r="AO30" s="2126"/>
      <c r="AP30" s="2126"/>
      <c r="AQ30" s="2126"/>
      <c r="AR30" s="2126"/>
      <c r="AS30" s="2126"/>
      <c r="AT30" s="2126"/>
      <c r="AU30" s="2126"/>
      <c r="AV30" s="2126"/>
      <c r="AW30" s="2126"/>
      <c r="AX30" s="2126"/>
      <c r="AY30" s="2126"/>
      <c r="AZ30" s="2126"/>
      <c r="BA30" s="2126"/>
      <c r="BB30" s="2126"/>
      <c r="BD30" s="2142" t="s">
        <v>5289</v>
      </c>
      <c r="BE30" s="2142" t="s">
        <v>5728</v>
      </c>
      <c r="BF30" s="2143">
        <v>139896.85</v>
      </c>
      <c r="BG30" s="2143"/>
      <c r="BH30" s="2143"/>
      <c r="BI30" s="2143"/>
      <c r="BJ30" s="2143">
        <v>139896.85</v>
      </c>
      <c r="BK30" s="2144">
        <f>BK29</f>
        <v>228.55</v>
      </c>
      <c r="BL30" s="2144">
        <f t="shared" si="0"/>
        <v>2579.7399999999998</v>
      </c>
      <c r="BM30" s="2145">
        <f>BM29</f>
        <v>28107.07</v>
      </c>
      <c r="BN30" s="2145">
        <f t="shared" si="1"/>
        <v>5494.55</v>
      </c>
      <c r="BO30" s="2145">
        <v>0</v>
      </c>
      <c r="BP30" s="2144">
        <f t="shared" si="2"/>
        <v>1279.9000000000001</v>
      </c>
      <c r="BQ30" s="2144">
        <f t="shared" si="3"/>
        <v>23062.29</v>
      </c>
      <c r="BR30" s="2144">
        <f t="shared" ref="BR30:BR65" si="4">BJ30+BK30+BL30+BM30+BN30+BO30+BP30+BQ30</f>
        <v>200648.95</v>
      </c>
      <c r="BS30" s="2144">
        <f t="shared" ref="BS30:BS65" si="5">BR30*1.02</f>
        <v>204661.93</v>
      </c>
      <c r="BT30" s="2144">
        <f t="shared" ref="BT30:BT65" si="6">BS30*1.2</f>
        <v>245594.32</v>
      </c>
      <c r="BU30" s="2146"/>
      <c r="BV30" s="2147"/>
      <c r="BW30" s="2147"/>
      <c r="BX30" s="2147"/>
      <c r="BY30" s="1713"/>
      <c r="BZ30" s="1713"/>
      <c r="CA30" s="1713"/>
      <c r="CB30" s="1713"/>
      <c r="CC30" s="1713"/>
      <c r="CD30" s="1713"/>
      <c r="CE30" s="1713"/>
      <c r="CF30" s="1713"/>
      <c r="CG30" s="1713"/>
      <c r="CH30" s="1713"/>
      <c r="CI30" s="1713"/>
      <c r="CJ30" s="1713"/>
    </row>
    <row r="31" spans="1:88" s="2128" customFormat="1" ht="45" x14ac:dyDescent="0.2">
      <c r="A31" s="2129" t="s">
        <v>232</v>
      </c>
      <c r="B31" s="2130" t="s">
        <v>9023</v>
      </c>
      <c r="C31" s="2130" t="s">
        <v>9012</v>
      </c>
      <c r="D31" s="2131">
        <v>9841.3799999999992</v>
      </c>
      <c r="E31" s="2131"/>
      <c r="F31" s="2131"/>
      <c r="G31" s="2131"/>
      <c r="H31" s="2131">
        <v>9841.3799999999992</v>
      </c>
      <c r="I31" s="2126"/>
      <c r="J31" s="2126"/>
      <c r="K31" s="2126"/>
      <c r="L31" s="2126"/>
      <c r="M31" s="2126"/>
      <c r="N31" s="2126"/>
      <c r="O31" s="2126"/>
      <c r="P31" s="2126"/>
      <c r="Q31" s="2126"/>
      <c r="R31" s="2126"/>
      <c r="S31" s="2126"/>
      <c r="T31" s="2126"/>
      <c r="U31" s="2126"/>
      <c r="V31" s="2126"/>
      <c r="W31" s="2126"/>
      <c r="X31" s="2126"/>
      <c r="Y31" s="2126"/>
      <c r="Z31" s="2126"/>
      <c r="AA31" s="2127"/>
      <c r="AB31" s="2135"/>
      <c r="AC31" s="2126"/>
      <c r="AD31" s="2126"/>
      <c r="AE31" s="2126"/>
      <c r="AF31" s="2126"/>
      <c r="AG31" s="2126"/>
      <c r="AH31" s="2126"/>
      <c r="AI31" s="2126"/>
      <c r="AJ31" s="2126"/>
      <c r="AK31" s="2126"/>
      <c r="AL31" s="2126"/>
      <c r="AM31" s="2126"/>
      <c r="AN31" s="2126"/>
      <c r="AO31" s="2126"/>
      <c r="AP31" s="2126"/>
      <c r="AQ31" s="2126"/>
      <c r="AR31" s="2126"/>
      <c r="AS31" s="2126"/>
      <c r="AT31" s="2126"/>
      <c r="AU31" s="2126"/>
      <c r="AV31" s="2126"/>
      <c r="AW31" s="2126"/>
      <c r="AX31" s="2126"/>
      <c r="AY31" s="2126"/>
      <c r="AZ31" s="2126"/>
      <c r="BA31" s="2126"/>
      <c r="BB31" s="2126"/>
      <c r="BD31" s="2142" t="s">
        <v>5291</v>
      </c>
      <c r="BE31" s="2142" t="s">
        <v>5729</v>
      </c>
      <c r="BF31" s="2143">
        <v>245206.76</v>
      </c>
      <c r="BG31" s="2143"/>
      <c r="BH31" s="2143"/>
      <c r="BI31" s="2143"/>
      <c r="BJ31" s="2143">
        <v>245206.76</v>
      </c>
      <c r="BK31" s="2144"/>
      <c r="BL31" s="2144">
        <f t="shared" si="0"/>
        <v>4521.6899999999996</v>
      </c>
      <c r="BM31" s="2145">
        <f t="shared" ref="BM31:BM42" si="7">BM73</f>
        <v>0</v>
      </c>
      <c r="BN31" s="2145">
        <f t="shared" si="1"/>
        <v>9630.68</v>
      </c>
      <c r="BO31" s="2145">
        <f>BO73-BO67</f>
        <v>0</v>
      </c>
      <c r="BP31" s="2144">
        <f t="shared" si="2"/>
        <v>2243.37</v>
      </c>
      <c r="BQ31" s="2144">
        <f t="shared" si="3"/>
        <v>40422.85</v>
      </c>
      <c r="BR31" s="2144">
        <f t="shared" si="4"/>
        <v>302025.34999999998</v>
      </c>
      <c r="BS31" s="2144">
        <f t="shared" si="5"/>
        <v>308065.86</v>
      </c>
      <c r="BT31" s="2144">
        <f t="shared" si="6"/>
        <v>369679.03</v>
      </c>
      <c r="BU31" s="2146"/>
      <c r="BV31" s="2147"/>
      <c r="BW31" s="2147"/>
      <c r="BX31" s="2147"/>
      <c r="BY31" s="1713"/>
      <c r="BZ31" s="1713"/>
      <c r="CA31" s="1713"/>
      <c r="CB31" s="1713"/>
      <c r="CC31" s="1713"/>
      <c r="CD31" s="1713"/>
      <c r="CE31" s="1713"/>
      <c r="CF31" s="1713"/>
      <c r="CG31" s="1713"/>
      <c r="CH31" s="1713"/>
      <c r="CI31" s="1713"/>
      <c r="CJ31" s="1713"/>
    </row>
    <row r="32" spans="1:88" s="2128" customFormat="1" ht="22.5" x14ac:dyDescent="0.2">
      <c r="A32" s="2132"/>
      <c r="B32" s="2951" t="s">
        <v>705</v>
      </c>
      <c r="C32" s="2952"/>
      <c r="D32" s="2133">
        <v>461480.88</v>
      </c>
      <c r="E32" s="2133">
        <v>59254.73</v>
      </c>
      <c r="F32" s="2134">
        <v>272956.48</v>
      </c>
      <c r="G32" s="2134"/>
      <c r="H32" s="2134">
        <v>793692.09</v>
      </c>
      <c r="I32" s="2126"/>
      <c r="J32" s="2126"/>
      <c r="K32" s="2126"/>
      <c r="L32" s="2126"/>
      <c r="M32" s="2126"/>
      <c r="N32" s="2126"/>
      <c r="O32" s="2126"/>
      <c r="P32" s="2126"/>
      <c r="Q32" s="2126"/>
      <c r="R32" s="2126"/>
      <c r="S32" s="2126"/>
      <c r="T32" s="2126"/>
      <c r="U32" s="2126"/>
      <c r="V32" s="2126"/>
      <c r="W32" s="2126"/>
      <c r="X32" s="2126"/>
      <c r="Y32" s="2126"/>
      <c r="Z32" s="2126"/>
      <c r="AA32" s="2127"/>
      <c r="AB32" s="2135" t="s">
        <v>705</v>
      </c>
      <c r="AC32" s="2126"/>
      <c r="AD32" s="2126"/>
      <c r="AE32" s="2126"/>
      <c r="AF32" s="2126"/>
      <c r="AG32" s="2126"/>
      <c r="AH32" s="2126"/>
      <c r="AI32" s="2126"/>
      <c r="AJ32" s="2126"/>
      <c r="AK32" s="2126"/>
      <c r="AL32" s="2126"/>
      <c r="AM32" s="2126"/>
      <c r="AN32" s="2126"/>
      <c r="AO32" s="2126"/>
      <c r="AP32" s="2126"/>
      <c r="AQ32" s="2126"/>
      <c r="AR32" s="2126"/>
      <c r="AS32" s="2126"/>
      <c r="AT32" s="2126"/>
      <c r="AU32" s="2126"/>
      <c r="AV32" s="2126"/>
      <c r="AW32" s="2126"/>
      <c r="AX32" s="2126"/>
      <c r="AY32" s="2126"/>
      <c r="AZ32" s="2126"/>
      <c r="BA32" s="2126"/>
      <c r="BB32" s="2126"/>
      <c r="BD32" s="2142" t="s">
        <v>5293</v>
      </c>
      <c r="BE32" s="2142" t="s">
        <v>9024</v>
      </c>
      <c r="BF32" s="2143">
        <v>32.32</v>
      </c>
      <c r="BG32" s="2143">
        <v>21479.59</v>
      </c>
      <c r="BH32" s="2143">
        <v>7041.75</v>
      </c>
      <c r="BI32" s="2143"/>
      <c r="BJ32" s="2143">
        <v>28553.66</v>
      </c>
      <c r="BK32" s="2144"/>
      <c r="BL32" s="2144">
        <f t="shared" si="0"/>
        <v>396.69</v>
      </c>
      <c r="BM32" s="2145">
        <f t="shared" si="7"/>
        <v>0</v>
      </c>
      <c r="BN32" s="2145">
        <f t="shared" si="1"/>
        <v>844.9</v>
      </c>
      <c r="BO32" s="2145">
        <v>1331.82</v>
      </c>
      <c r="BP32" s="2144">
        <f t="shared" si="2"/>
        <v>196.81</v>
      </c>
      <c r="BQ32" s="2144">
        <f t="shared" si="3"/>
        <v>3546.28</v>
      </c>
      <c r="BR32" s="2144">
        <f t="shared" si="4"/>
        <v>34870.160000000003</v>
      </c>
      <c r="BS32" s="2144">
        <f t="shared" si="5"/>
        <v>35567.56</v>
      </c>
      <c r="BT32" s="2144">
        <f t="shared" si="6"/>
        <v>42681.07</v>
      </c>
      <c r="BU32" s="2146"/>
      <c r="BV32" s="2147"/>
      <c r="BW32" s="2147"/>
      <c r="BX32" s="2147"/>
      <c r="BY32" s="1713"/>
      <c r="BZ32" s="1713"/>
      <c r="CA32" s="1713"/>
      <c r="CB32" s="1713"/>
      <c r="CC32" s="1713"/>
      <c r="CD32" s="1713"/>
      <c r="CE32" s="1713"/>
      <c r="CF32" s="1713"/>
      <c r="CG32" s="1713"/>
      <c r="CH32" s="1713"/>
      <c r="CI32" s="1713"/>
      <c r="CJ32" s="1713"/>
    </row>
    <row r="33" spans="1:88" s="2128" customFormat="1" ht="14.25" x14ac:dyDescent="0.2">
      <c r="A33" s="2953" t="s">
        <v>706</v>
      </c>
      <c r="B33" s="2954"/>
      <c r="C33" s="2954"/>
      <c r="D33" s="2954"/>
      <c r="E33" s="2954"/>
      <c r="F33" s="2954"/>
      <c r="G33" s="2954"/>
      <c r="H33" s="2955"/>
      <c r="I33" s="2126"/>
      <c r="J33" s="2126"/>
      <c r="K33" s="2126"/>
      <c r="L33" s="2126"/>
      <c r="M33" s="2126"/>
      <c r="N33" s="2126"/>
      <c r="O33" s="2126"/>
      <c r="P33" s="2126"/>
      <c r="Q33" s="2126"/>
      <c r="R33" s="2126"/>
      <c r="S33" s="2126"/>
      <c r="T33" s="2126"/>
      <c r="U33" s="2126"/>
      <c r="V33" s="2126"/>
      <c r="W33" s="2126"/>
      <c r="X33" s="2126"/>
      <c r="Y33" s="2126"/>
      <c r="Z33" s="2126"/>
      <c r="AA33" s="2127" t="s">
        <v>706</v>
      </c>
      <c r="AB33" s="2135"/>
      <c r="AC33" s="2126"/>
      <c r="AD33" s="2126"/>
      <c r="AE33" s="2126"/>
      <c r="AF33" s="2126"/>
      <c r="AG33" s="2126"/>
      <c r="AH33" s="2126"/>
      <c r="AI33" s="2126"/>
      <c r="AJ33" s="2126"/>
      <c r="AK33" s="2126"/>
      <c r="AL33" s="2126"/>
      <c r="AM33" s="2126"/>
      <c r="AN33" s="2126"/>
      <c r="AO33" s="2126"/>
      <c r="AP33" s="2126"/>
      <c r="AQ33" s="2126"/>
      <c r="AR33" s="2126"/>
      <c r="AS33" s="2126"/>
      <c r="AT33" s="2126"/>
      <c r="AU33" s="2126"/>
      <c r="AV33" s="2126"/>
      <c r="AW33" s="2126"/>
      <c r="AX33" s="2126"/>
      <c r="AY33" s="2126"/>
      <c r="AZ33" s="2126"/>
      <c r="BA33" s="2126"/>
      <c r="BB33" s="2126"/>
      <c r="BD33" s="2142" t="s">
        <v>5295</v>
      </c>
      <c r="BE33" s="2142" t="s">
        <v>9025</v>
      </c>
      <c r="BF33" s="2143">
        <v>2229.2800000000002</v>
      </c>
      <c r="BG33" s="2143">
        <v>33.520000000000003</v>
      </c>
      <c r="BH33" s="2143">
        <v>1097.6400000000001</v>
      </c>
      <c r="BI33" s="2143"/>
      <c r="BJ33" s="2143">
        <v>3360.44</v>
      </c>
      <c r="BK33" s="2144"/>
      <c r="BL33" s="2144">
        <f t="shared" si="0"/>
        <v>41.73</v>
      </c>
      <c r="BM33" s="2145">
        <f t="shared" si="7"/>
        <v>0</v>
      </c>
      <c r="BN33" s="2145">
        <f t="shared" si="1"/>
        <v>88.87</v>
      </c>
      <c r="BO33" s="2145">
        <f>BO75-BO71</f>
        <v>0</v>
      </c>
      <c r="BP33" s="2144">
        <f t="shared" si="2"/>
        <v>20.7</v>
      </c>
      <c r="BQ33" s="2144">
        <f t="shared" si="3"/>
        <v>373.03</v>
      </c>
      <c r="BR33" s="2144">
        <f t="shared" si="4"/>
        <v>3884.77</v>
      </c>
      <c r="BS33" s="2144">
        <f t="shared" si="5"/>
        <v>3962.47</v>
      </c>
      <c r="BT33" s="2144">
        <f t="shared" si="6"/>
        <v>4754.96</v>
      </c>
      <c r="BU33" s="2146"/>
      <c r="BV33" s="2147"/>
      <c r="BW33" s="2147"/>
      <c r="BX33" s="2147"/>
      <c r="BY33" s="1713"/>
      <c r="BZ33" s="1713"/>
      <c r="CA33" s="1713"/>
      <c r="CB33" s="1713"/>
      <c r="CC33" s="1713"/>
      <c r="CD33" s="1713"/>
      <c r="CE33" s="1713"/>
      <c r="CF33" s="1713"/>
      <c r="CG33" s="1713"/>
      <c r="CH33" s="1713"/>
      <c r="CI33" s="1713"/>
      <c r="CJ33" s="1713"/>
    </row>
    <row r="34" spans="1:88" s="2128" customFormat="1" ht="33.75" x14ac:dyDescent="0.2">
      <c r="A34" s="2129" t="s">
        <v>233</v>
      </c>
      <c r="B34" s="2130" t="s">
        <v>5698</v>
      </c>
      <c r="C34" s="2130" t="s">
        <v>9026</v>
      </c>
      <c r="D34" s="2131">
        <v>347.44</v>
      </c>
      <c r="E34" s="2131">
        <v>5077.6499999999996</v>
      </c>
      <c r="F34" s="2131">
        <v>1179.02</v>
      </c>
      <c r="G34" s="2131"/>
      <c r="H34" s="2131">
        <v>6604.11</v>
      </c>
      <c r="I34" s="2126"/>
      <c r="J34" s="2126"/>
      <c r="K34" s="2126"/>
      <c r="L34" s="2126"/>
      <c r="M34" s="2126"/>
      <c r="N34" s="2126"/>
      <c r="O34" s="2126"/>
      <c r="P34" s="2126"/>
      <c r="Q34" s="2126"/>
      <c r="R34" s="2126"/>
      <c r="S34" s="2126"/>
      <c r="T34" s="2126"/>
      <c r="U34" s="2126"/>
      <c r="V34" s="2126"/>
      <c r="W34" s="2126"/>
      <c r="X34" s="2126"/>
      <c r="Y34" s="2126"/>
      <c r="Z34" s="2126"/>
      <c r="AA34" s="2127"/>
      <c r="AB34" s="2135"/>
      <c r="AC34" s="2126"/>
      <c r="AD34" s="2126"/>
      <c r="AE34" s="2126"/>
      <c r="AF34" s="2126"/>
      <c r="AG34" s="2126"/>
      <c r="AH34" s="2126"/>
      <c r="AI34" s="2126"/>
      <c r="AJ34" s="2126"/>
      <c r="AK34" s="2126"/>
      <c r="AL34" s="2126"/>
      <c r="AM34" s="2126"/>
      <c r="AN34" s="2126"/>
      <c r="AO34" s="2126"/>
      <c r="AP34" s="2126"/>
      <c r="AQ34" s="2126"/>
      <c r="AR34" s="2126"/>
      <c r="AS34" s="2126"/>
      <c r="AT34" s="2126"/>
      <c r="AU34" s="2126"/>
      <c r="AV34" s="2126"/>
      <c r="AW34" s="2126"/>
      <c r="AX34" s="2126"/>
      <c r="AY34" s="2126"/>
      <c r="AZ34" s="2126"/>
      <c r="BA34" s="2126"/>
      <c r="BB34" s="2126"/>
      <c r="BD34" s="2142" t="s">
        <v>5297</v>
      </c>
      <c r="BE34" s="2142" t="s">
        <v>9027</v>
      </c>
      <c r="BF34" s="2143">
        <v>5073.1000000000004</v>
      </c>
      <c r="BG34" s="2143">
        <v>1059.1400000000001</v>
      </c>
      <c r="BH34" s="2143">
        <v>703.87</v>
      </c>
      <c r="BI34" s="2143"/>
      <c r="BJ34" s="2143">
        <v>6836.11</v>
      </c>
      <c r="BK34" s="2144"/>
      <c r="BL34" s="2144">
        <f t="shared" si="0"/>
        <v>113.08</v>
      </c>
      <c r="BM34" s="2145">
        <f t="shared" si="7"/>
        <v>0</v>
      </c>
      <c r="BN34" s="2145">
        <f t="shared" si="1"/>
        <v>240.85</v>
      </c>
      <c r="BO34" s="2145">
        <v>0</v>
      </c>
      <c r="BP34" s="2144">
        <f t="shared" si="2"/>
        <v>56.1</v>
      </c>
      <c r="BQ34" s="2144">
        <f t="shared" si="3"/>
        <v>1010.91</v>
      </c>
      <c r="BR34" s="2144">
        <f t="shared" si="4"/>
        <v>8257.0499999999993</v>
      </c>
      <c r="BS34" s="2144">
        <f t="shared" si="5"/>
        <v>8422.19</v>
      </c>
      <c r="BT34" s="2144">
        <f t="shared" si="6"/>
        <v>10106.629999999999</v>
      </c>
      <c r="BU34" s="2146"/>
      <c r="BV34" s="2147"/>
      <c r="BW34" s="2147"/>
      <c r="BX34" s="2147"/>
      <c r="BY34" s="1713"/>
      <c r="BZ34" s="1713"/>
      <c r="CA34" s="1713"/>
      <c r="CB34" s="1713"/>
      <c r="CC34" s="1713"/>
      <c r="CD34" s="1713"/>
      <c r="CE34" s="1713"/>
      <c r="CF34" s="1713"/>
      <c r="CG34" s="1713"/>
      <c r="CH34" s="1713"/>
      <c r="CI34" s="1713"/>
      <c r="CJ34" s="1713"/>
    </row>
    <row r="35" spans="1:88" s="2128" customFormat="1" ht="14.25" x14ac:dyDescent="0.2">
      <c r="A35" s="2132"/>
      <c r="B35" s="2951" t="s">
        <v>707</v>
      </c>
      <c r="C35" s="2952"/>
      <c r="D35" s="2133">
        <v>347.44</v>
      </c>
      <c r="E35" s="2133">
        <v>5077.6499999999996</v>
      </c>
      <c r="F35" s="2134">
        <v>1179.02</v>
      </c>
      <c r="G35" s="2134"/>
      <c r="H35" s="2134">
        <v>6604.11</v>
      </c>
      <c r="I35" s="2126"/>
      <c r="J35" s="2126"/>
      <c r="K35" s="2126"/>
      <c r="L35" s="2126"/>
      <c r="M35" s="2126"/>
      <c r="N35" s="2126"/>
      <c r="O35" s="2126"/>
      <c r="P35" s="2126"/>
      <c r="Q35" s="2126"/>
      <c r="R35" s="2126"/>
      <c r="S35" s="2126"/>
      <c r="T35" s="2126"/>
      <c r="U35" s="2126"/>
      <c r="V35" s="2126"/>
      <c r="W35" s="2126"/>
      <c r="X35" s="2126"/>
      <c r="Y35" s="2126"/>
      <c r="Z35" s="2126"/>
      <c r="AA35" s="2127"/>
      <c r="AB35" s="2135" t="s">
        <v>707</v>
      </c>
      <c r="AC35" s="2126"/>
      <c r="AD35" s="2126"/>
      <c r="AE35" s="2126"/>
      <c r="AF35" s="2126"/>
      <c r="AG35" s="2126"/>
      <c r="AH35" s="2126"/>
      <c r="AI35" s="2126"/>
      <c r="AJ35" s="2126"/>
      <c r="AK35" s="2126"/>
      <c r="AL35" s="2126"/>
      <c r="AM35" s="2126"/>
      <c r="AN35" s="2126"/>
      <c r="AO35" s="2126"/>
      <c r="AP35" s="2126"/>
      <c r="AQ35" s="2126"/>
      <c r="AR35" s="2126"/>
      <c r="AS35" s="2126"/>
      <c r="AT35" s="2126"/>
      <c r="AU35" s="2126"/>
      <c r="AV35" s="2126"/>
      <c r="AW35" s="2126"/>
      <c r="AX35" s="2126"/>
      <c r="AY35" s="2126"/>
      <c r="AZ35" s="2126"/>
      <c r="BA35" s="2126"/>
      <c r="BB35" s="2126"/>
      <c r="BD35" s="2142" t="s">
        <v>5300</v>
      </c>
      <c r="BE35" s="2142" t="s">
        <v>9028</v>
      </c>
      <c r="BF35" s="2143">
        <v>2977.42</v>
      </c>
      <c r="BG35" s="2143"/>
      <c r="BH35" s="2143"/>
      <c r="BI35" s="2143"/>
      <c r="BJ35" s="2143">
        <v>2977.42</v>
      </c>
      <c r="BK35" s="2144"/>
      <c r="BL35" s="2144">
        <f t="shared" si="0"/>
        <v>54.9</v>
      </c>
      <c r="BM35" s="2145">
        <f t="shared" si="7"/>
        <v>0</v>
      </c>
      <c r="BN35" s="2145">
        <f t="shared" si="1"/>
        <v>116.94</v>
      </c>
      <c r="BO35" s="2145">
        <v>0</v>
      </c>
      <c r="BP35" s="2144">
        <f t="shared" si="2"/>
        <v>27.24</v>
      </c>
      <c r="BQ35" s="2144">
        <f t="shared" si="3"/>
        <v>490.83</v>
      </c>
      <c r="BR35" s="2144">
        <f t="shared" si="4"/>
        <v>3667.33</v>
      </c>
      <c r="BS35" s="2144">
        <f t="shared" si="5"/>
        <v>3740.68</v>
      </c>
      <c r="BT35" s="2144">
        <f t="shared" si="6"/>
        <v>4488.82</v>
      </c>
      <c r="BU35" s="2146"/>
      <c r="BV35" s="2147"/>
      <c r="BW35" s="2147"/>
      <c r="BX35" s="2147"/>
      <c r="BY35" s="1713"/>
      <c r="BZ35" s="1713"/>
      <c r="CA35" s="1713"/>
      <c r="CB35" s="1713"/>
      <c r="CC35" s="1713"/>
      <c r="CD35" s="1713"/>
      <c r="CE35" s="1713"/>
      <c r="CF35" s="1713"/>
      <c r="CG35" s="1713"/>
      <c r="CH35" s="1713"/>
      <c r="CI35" s="1713"/>
      <c r="CJ35" s="1713"/>
    </row>
    <row r="36" spans="1:88" s="2128" customFormat="1" ht="22.5" x14ac:dyDescent="0.2">
      <c r="A36" s="2953" t="s">
        <v>708</v>
      </c>
      <c r="B36" s="2954"/>
      <c r="C36" s="2954"/>
      <c r="D36" s="2954"/>
      <c r="E36" s="2954"/>
      <c r="F36" s="2954"/>
      <c r="G36" s="2954"/>
      <c r="H36" s="2955"/>
      <c r="I36" s="2126"/>
      <c r="J36" s="2126"/>
      <c r="K36" s="2126"/>
      <c r="L36" s="2126"/>
      <c r="M36" s="2126"/>
      <c r="N36" s="2126"/>
      <c r="O36" s="2126"/>
      <c r="P36" s="2126"/>
      <c r="Q36" s="2126"/>
      <c r="R36" s="2126"/>
      <c r="S36" s="2126"/>
      <c r="T36" s="2126"/>
      <c r="U36" s="2126"/>
      <c r="V36" s="2126"/>
      <c r="W36" s="2126"/>
      <c r="X36" s="2126"/>
      <c r="Y36" s="2126"/>
      <c r="Z36" s="2126"/>
      <c r="AA36" s="2127" t="s">
        <v>708</v>
      </c>
      <c r="AB36" s="2135"/>
      <c r="AC36" s="2126"/>
      <c r="AD36" s="2126"/>
      <c r="AE36" s="2126"/>
      <c r="AF36" s="2126"/>
      <c r="AG36" s="2126"/>
      <c r="AH36" s="2126"/>
      <c r="AI36" s="2126"/>
      <c r="AJ36" s="2126"/>
      <c r="AK36" s="2126"/>
      <c r="AL36" s="2126"/>
      <c r="AM36" s="2126"/>
      <c r="AN36" s="2126"/>
      <c r="AO36" s="2126"/>
      <c r="AP36" s="2126"/>
      <c r="AQ36" s="2126"/>
      <c r="AR36" s="2126"/>
      <c r="AS36" s="2126"/>
      <c r="AT36" s="2126"/>
      <c r="AU36" s="2126"/>
      <c r="AV36" s="2126"/>
      <c r="AW36" s="2126"/>
      <c r="AX36" s="2126"/>
      <c r="AY36" s="2126"/>
      <c r="AZ36" s="2126"/>
      <c r="BA36" s="2126"/>
      <c r="BB36" s="2126"/>
      <c r="BD36" s="2142" t="s">
        <v>5303</v>
      </c>
      <c r="BE36" s="2142" t="s">
        <v>9029</v>
      </c>
      <c r="BF36" s="2143">
        <v>51872.66</v>
      </c>
      <c r="BG36" s="2143">
        <v>1044.03</v>
      </c>
      <c r="BH36" s="2143">
        <v>117613.04</v>
      </c>
      <c r="BI36" s="2143"/>
      <c r="BJ36" s="2143">
        <v>170529.73</v>
      </c>
      <c r="BK36" s="2144"/>
      <c r="BL36" s="2144">
        <f t="shared" si="0"/>
        <v>975.8</v>
      </c>
      <c r="BM36" s="2145">
        <f t="shared" si="7"/>
        <v>0</v>
      </c>
      <c r="BN36" s="2145">
        <f t="shared" si="1"/>
        <v>2078.34</v>
      </c>
      <c r="BO36" s="2145">
        <v>2356.6999999999998</v>
      </c>
      <c r="BP36" s="2144">
        <f t="shared" si="2"/>
        <v>484.13</v>
      </c>
      <c r="BQ36" s="2144">
        <f t="shared" si="3"/>
        <v>8723.43</v>
      </c>
      <c r="BR36" s="2144">
        <f t="shared" si="4"/>
        <v>185148.13</v>
      </c>
      <c r="BS36" s="2144">
        <f t="shared" si="5"/>
        <v>188851.09</v>
      </c>
      <c r="BT36" s="2144">
        <f t="shared" si="6"/>
        <v>226621.31</v>
      </c>
      <c r="BU36" s="2146"/>
      <c r="BV36" s="2147"/>
      <c r="BW36" s="2147"/>
      <c r="BX36" s="2147"/>
      <c r="BY36" s="1713"/>
      <c r="BZ36" s="1713"/>
      <c r="CA36" s="1713"/>
      <c r="CB36" s="1713"/>
      <c r="CC36" s="1713"/>
      <c r="CD36" s="1713"/>
      <c r="CE36" s="1713"/>
      <c r="CF36" s="1713"/>
      <c r="CG36" s="1713"/>
      <c r="CH36" s="1713"/>
      <c r="CI36" s="1713"/>
      <c r="CJ36" s="1713"/>
    </row>
    <row r="37" spans="1:88" s="2128" customFormat="1" ht="14.25" x14ac:dyDescent="0.2">
      <c r="A37" s="2129" t="s">
        <v>238</v>
      </c>
      <c r="B37" s="2130" t="s">
        <v>9030</v>
      </c>
      <c r="C37" s="2130" t="s">
        <v>9031</v>
      </c>
      <c r="D37" s="2131">
        <v>2214.65</v>
      </c>
      <c r="E37" s="2131">
        <v>231.45</v>
      </c>
      <c r="F37" s="2131">
        <v>10.87</v>
      </c>
      <c r="G37" s="2131"/>
      <c r="H37" s="2131">
        <v>2456.9699999999998</v>
      </c>
      <c r="I37" s="2126"/>
      <c r="J37" s="2126"/>
      <c r="K37" s="2126"/>
      <c r="L37" s="2126"/>
      <c r="M37" s="2126"/>
      <c r="N37" s="2126"/>
      <c r="O37" s="2126"/>
      <c r="P37" s="2126"/>
      <c r="Q37" s="2126"/>
      <c r="R37" s="2126"/>
      <c r="S37" s="2126"/>
      <c r="T37" s="2126"/>
      <c r="U37" s="2126"/>
      <c r="V37" s="2126"/>
      <c r="W37" s="2126"/>
      <c r="X37" s="2126"/>
      <c r="Y37" s="2126"/>
      <c r="Z37" s="2126"/>
      <c r="AA37" s="2127"/>
      <c r="AB37" s="2135"/>
      <c r="AC37" s="2126"/>
      <c r="AD37" s="2126"/>
      <c r="AE37" s="2126"/>
      <c r="AF37" s="2126"/>
      <c r="AG37" s="2126"/>
      <c r="AH37" s="2126"/>
      <c r="AI37" s="2126"/>
      <c r="AJ37" s="2126"/>
      <c r="AK37" s="2126"/>
      <c r="AL37" s="2126"/>
      <c r="AM37" s="2126"/>
      <c r="AN37" s="2126"/>
      <c r="AO37" s="2126"/>
      <c r="AP37" s="2126"/>
      <c r="AQ37" s="2126"/>
      <c r="AR37" s="2126"/>
      <c r="AS37" s="2126"/>
      <c r="AT37" s="2126"/>
      <c r="AU37" s="2126"/>
      <c r="AV37" s="2126"/>
      <c r="AW37" s="2126"/>
      <c r="AX37" s="2126"/>
      <c r="AY37" s="2126"/>
      <c r="AZ37" s="2126"/>
      <c r="BA37" s="2126"/>
      <c r="BB37" s="2126"/>
      <c r="BD37" s="2142" t="s">
        <v>5307</v>
      </c>
      <c r="BE37" s="2142" t="s">
        <v>9032</v>
      </c>
      <c r="BF37" s="2143">
        <v>29.75</v>
      </c>
      <c r="BG37" s="2143">
        <v>14840.15</v>
      </c>
      <c r="BH37" s="2143">
        <v>48075.86</v>
      </c>
      <c r="BI37" s="2143"/>
      <c r="BJ37" s="2143">
        <v>62945.760000000002</v>
      </c>
      <c r="BK37" s="2144"/>
      <c r="BL37" s="2144">
        <f t="shared" si="0"/>
        <v>274.20999999999998</v>
      </c>
      <c r="BM37" s="2145">
        <f t="shared" si="7"/>
        <v>0</v>
      </c>
      <c r="BN37" s="2145">
        <f t="shared" si="1"/>
        <v>584.03</v>
      </c>
      <c r="BO37" s="2145">
        <v>57.72</v>
      </c>
      <c r="BP37" s="2144">
        <f t="shared" si="2"/>
        <v>136.04</v>
      </c>
      <c r="BQ37" s="2144">
        <f t="shared" si="3"/>
        <v>2451.33</v>
      </c>
      <c r="BR37" s="2144">
        <f t="shared" si="4"/>
        <v>66449.09</v>
      </c>
      <c r="BS37" s="2144">
        <f t="shared" si="5"/>
        <v>67778.070000000007</v>
      </c>
      <c r="BT37" s="2144">
        <f t="shared" si="6"/>
        <v>81333.679999999993</v>
      </c>
      <c r="BU37" s="2146"/>
      <c r="BV37" s="2147"/>
      <c r="BW37" s="2147"/>
      <c r="BX37" s="2147"/>
      <c r="BY37" s="1713"/>
      <c r="BZ37" s="1713"/>
      <c r="CA37" s="1713"/>
      <c r="CB37" s="1713"/>
      <c r="CC37" s="1713"/>
      <c r="CD37" s="1713"/>
      <c r="CE37" s="1713"/>
      <c r="CF37" s="1713"/>
      <c r="CG37" s="1713"/>
      <c r="CH37" s="1713"/>
      <c r="CI37" s="1713"/>
      <c r="CJ37" s="1713"/>
    </row>
    <row r="38" spans="1:88" s="2128" customFormat="1" ht="22.5" x14ac:dyDescent="0.2">
      <c r="A38" s="2132"/>
      <c r="B38" s="2951" t="s">
        <v>709</v>
      </c>
      <c r="C38" s="2952"/>
      <c r="D38" s="2133">
        <v>2214.65</v>
      </c>
      <c r="E38" s="2133">
        <v>231.45</v>
      </c>
      <c r="F38" s="2134">
        <v>10.87</v>
      </c>
      <c r="G38" s="2134"/>
      <c r="H38" s="2134">
        <v>2456.9699999999998</v>
      </c>
      <c r="I38" s="2126"/>
      <c r="J38" s="2126"/>
      <c r="K38" s="2126"/>
      <c r="L38" s="2126"/>
      <c r="M38" s="2126"/>
      <c r="N38" s="2126"/>
      <c r="O38" s="2126"/>
      <c r="P38" s="2126"/>
      <c r="Q38" s="2126"/>
      <c r="R38" s="2126"/>
      <c r="S38" s="2126"/>
      <c r="T38" s="2126"/>
      <c r="U38" s="2126"/>
      <c r="V38" s="2126"/>
      <c r="W38" s="2126"/>
      <c r="X38" s="2126"/>
      <c r="Y38" s="2126"/>
      <c r="Z38" s="2126"/>
      <c r="AA38" s="2127"/>
      <c r="AB38" s="2135" t="s">
        <v>709</v>
      </c>
      <c r="AC38" s="2126"/>
      <c r="AD38" s="2126"/>
      <c r="AE38" s="2126"/>
      <c r="AF38" s="2126"/>
      <c r="AG38" s="2126"/>
      <c r="AH38" s="2126"/>
      <c r="AI38" s="2126"/>
      <c r="AJ38" s="2126"/>
      <c r="AK38" s="2126"/>
      <c r="AL38" s="2126"/>
      <c r="AM38" s="2126"/>
      <c r="AN38" s="2126"/>
      <c r="AO38" s="2126"/>
      <c r="AP38" s="2126"/>
      <c r="AQ38" s="2126"/>
      <c r="AR38" s="2126"/>
      <c r="AS38" s="2126"/>
      <c r="AT38" s="2126"/>
      <c r="AU38" s="2126"/>
      <c r="AV38" s="2126"/>
      <c r="AW38" s="2126"/>
      <c r="AX38" s="2126"/>
      <c r="AY38" s="2126"/>
      <c r="AZ38" s="2126"/>
      <c r="BA38" s="2126"/>
      <c r="BB38" s="2126"/>
      <c r="BD38" s="2142" t="s">
        <v>5311</v>
      </c>
      <c r="BE38" s="2142" t="s">
        <v>5754</v>
      </c>
      <c r="BF38" s="2143"/>
      <c r="BG38" s="2143">
        <v>439.31</v>
      </c>
      <c r="BH38" s="2143">
        <v>1811.21</v>
      </c>
      <c r="BI38" s="2143"/>
      <c r="BJ38" s="2143">
        <v>2250.52</v>
      </c>
      <c r="BK38" s="2144"/>
      <c r="BL38" s="2144">
        <f t="shared" si="0"/>
        <v>8.1</v>
      </c>
      <c r="BM38" s="2145">
        <f t="shared" si="7"/>
        <v>0</v>
      </c>
      <c r="BN38" s="2145">
        <f t="shared" si="1"/>
        <v>17.25</v>
      </c>
      <c r="BO38" s="2145">
        <v>4536.26</v>
      </c>
      <c r="BP38" s="2144">
        <f t="shared" si="2"/>
        <v>4.0199999999999996</v>
      </c>
      <c r="BQ38" s="2144">
        <f t="shared" si="3"/>
        <v>72.42</v>
      </c>
      <c r="BR38" s="2144">
        <f t="shared" si="4"/>
        <v>6888.57</v>
      </c>
      <c r="BS38" s="2144">
        <f t="shared" si="5"/>
        <v>7026.34</v>
      </c>
      <c r="BT38" s="2144">
        <f t="shared" si="6"/>
        <v>8431.61</v>
      </c>
      <c r="BU38" s="2146"/>
      <c r="BV38" s="2147"/>
      <c r="BW38" s="2147"/>
      <c r="BX38" s="2147"/>
      <c r="BY38" s="1713"/>
      <c r="BZ38" s="1713"/>
      <c r="CA38" s="1713"/>
      <c r="CB38" s="1713"/>
      <c r="CC38" s="1713"/>
      <c r="CD38" s="1713"/>
      <c r="CE38" s="1713"/>
      <c r="CF38" s="1713"/>
      <c r="CG38" s="1713"/>
      <c r="CH38" s="1713"/>
      <c r="CI38" s="1713"/>
      <c r="CJ38" s="1713"/>
    </row>
    <row r="39" spans="1:88" s="2128" customFormat="1" ht="14.25" x14ac:dyDescent="0.2">
      <c r="A39" s="2953" t="s">
        <v>710</v>
      </c>
      <c r="B39" s="2954"/>
      <c r="C39" s="2954"/>
      <c r="D39" s="2954"/>
      <c r="E39" s="2954"/>
      <c r="F39" s="2954"/>
      <c r="G39" s="2954"/>
      <c r="H39" s="2955"/>
      <c r="I39" s="2126"/>
      <c r="J39" s="2126"/>
      <c r="K39" s="2126"/>
      <c r="L39" s="2126"/>
      <c r="M39" s="2126"/>
      <c r="N39" s="2126"/>
      <c r="O39" s="2126"/>
      <c r="P39" s="2126"/>
      <c r="Q39" s="2126"/>
      <c r="R39" s="2126"/>
      <c r="S39" s="2126"/>
      <c r="T39" s="2126"/>
      <c r="U39" s="2126"/>
      <c r="V39" s="2126"/>
      <c r="W39" s="2126"/>
      <c r="X39" s="2126"/>
      <c r="Y39" s="2126"/>
      <c r="Z39" s="2126"/>
      <c r="AA39" s="2127" t="s">
        <v>710</v>
      </c>
      <c r="AB39" s="2135"/>
      <c r="AC39" s="2126"/>
      <c r="AD39" s="2126"/>
      <c r="AE39" s="2126"/>
      <c r="AF39" s="2126"/>
      <c r="AG39" s="2126"/>
      <c r="AH39" s="2126"/>
      <c r="AI39" s="2126"/>
      <c r="AJ39" s="2126"/>
      <c r="AK39" s="2126"/>
      <c r="AL39" s="2126"/>
      <c r="AM39" s="2126"/>
      <c r="AN39" s="2126"/>
      <c r="AO39" s="2126"/>
      <c r="AP39" s="2126"/>
      <c r="AQ39" s="2126"/>
      <c r="AR39" s="2126"/>
      <c r="AS39" s="2126"/>
      <c r="AT39" s="2126"/>
      <c r="AU39" s="2126"/>
      <c r="AV39" s="2126"/>
      <c r="AW39" s="2126"/>
      <c r="AX39" s="2126"/>
      <c r="AY39" s="2126"/>
      <c r="AZ39" s="2126"/>
      <c r="BA39" s="2126"/>
      <c r="BB39" s="2126"/>
      <c r="BD39" s="2142" t="s">
        <v>5314</v>
      </c>
      <c r="BE39" s="2142" t="s">
        <v>6936</v>
      </c>
      <c r="BF39" s="2143">
        <v>566.57000000000005</v>
      </c>
      <c r="BG39" s="2143">
        <v>5678.37</v>
      </c>
      <c r="BH39" s="2143">
        <v>20453.849999999999</v>
      </c>
      <c r="BI39" s="2143"/>
      <c r="BJ39" s="2143">
        <v>26698.79</v>
      </c>
      <c r="BK39" s="2144"/>
      <c r="BL39" s="2144">
        <f t="shared" si="0"/>
        <v>115.16</v>
      </c>
      <c r="BM39" s="2145">
        <f t="shared" si="7"/>
        <v>0</v>
      </c>
      <c r="BN39" s="2145">
        <f t="shared" si="1"/>
        <v>245.27</v>
      </c>
      <c r="BO39" s="2145">
        <v>1420.83</v>
      </c>
      <c r="BP39" s="2144">
        <f t="shared" si="2"/>
        <v>57.13</v>
      </c>
      <c r="BQ39" s="2144">
        <f t="shared" si="3"/>
        <v>1029.49</v>
      </c>
      <c r="BR39" s="2144">
        <f t="shared" si="4"/>
        <v>29566.67</v>
      </c>
      <c r="BS39" s="2144">
        <f t="shared" si="5"/>
        <v>30158</v>
      </c>
      <c r="BT39" s="2144">
        <f t="shared" si="6"/>
        <v>36189.599999999999</v>
      </c>
      <c r="BU39" s="2146"/>
      <c r="BV39" s="2147"/>
      <c r="BW39" s="2147"/>
      <c r="BX39" s="2147"/>
      <c r="BY39" s="1713"/>
      <c r="BZ39" s="1713"/>
      <c r="CA39" s="1713"/>
      <c r="CB39" s="1713"/>
      <c r="CC39" s="1713"/>
      <c r="CD39" s="1713"/>
      <c r="CE39" s="1713"/>
      <c r="CF39" s="1713"/>
      <c r="CG39" s="1713"/>
      <c r="CH39" s="1713"/>
      <c r="CI39" s="1713"/>
      <c r="CJ39" s="1713"/>
    </row>
    <row r="40" spans="1:88" s="2128" customFormat="1" ht="14.25" x14ac:dyDescent="0.2">
      <c r="A40" s="2148"/>
      <c r="B40" s="2149"/>
      <c r="C40" s="2149"/>
      <c r="D40" s="2149"/>
      <c r="E40" s="2149"/>
      <c r="F40" s="2149"/>
      <c r="G40" s="2149"/>
      <c r="H40" s="2150"/>
      <c r="I40" s="2126"/>
      <c r="J40" s="2126"/>
      <c r="K40" s="2126"/>
      <c r="L40" s="2126"/>
      <c r="M40" s="2126"/>
      <c r="N40" s="2126"/>
      <c r="O40" s="2126"/>
      <c r="P40" s="2126"/>
      <c r="Q40" s="2126"/>
      <c r="R40" s="2126"/>
      <c r="S40" s="2126"/>
      <c r="T40" s="2126"/>
      <c r="U40" s="2126"/>
      <c r="V40" s="2126"/>
      <c r="W40" s="2126"/>
      <c r="X40" s="2126"/>
      <c r="Y40" s="2126"/>
      <c r="Z40" s="2126"/>
      <c r="AA40" s="2127"/>
      <c r="AB40" s="2135"/>
      <c r="AC40" s="2126"/>
      <c r="AD40" s="2126"/>
      <c r="AE40" s="2126"/>
      <c r="AF40" s="2126"/>
      <c r="AG40" s="2126"/>
      <c r="AH40" s="2126"/>
      <c r="AI40" s="2126"/>
      <c r="AJ40" s="2126"/>
      <c r="AK40" s="2126"/>
      <c r="AL40" s="2126"/>
      <c r="AM40" s="2126"/>
      <c r="AN40" s="2126"/>
      <c r="AO40" s="2126"/>
      <c r="AP40" s="2126"/>
      <c r="AQ40" s="2126"/>
      <c r="AR40" s="2126"/>
      <c r="AS40" s="2126"/>
      <c r="AT40" s="2126"/>
      <c r="AU40" s="2126"/>
      <c r="AV40" s="2126"/>
      <c r="AW40" s="2126"/>
      <c r="AX40" s="2126"/>
      <c r="AY40" s="2126"/>
      <c r="AZ40" s="2126"/>
      <c r="BA40" s="2126"/>
      <c r="BB40" s="2126"/>
      <c r="BD40" s="2142" t="s">
        <v>9033</v>
      </c>
      <c r="BE40" s="2142" t="s">
        <v>307</v>
      </c>
      <c r="BF40" s="2143"/>
      <c r="BG40" s="2143">
        <f>236098.71/1000</f>
        <v>236.1</v>
      </c>
      <c r="BH40" s="2143">
        <f>1262455.66/1000</f>
        <v>1262.46</v>
      </c>
      <c r="BI40" s="2143"/>
      <c r="BJ40" s="2143">
        <f>SUM(BF40:BI40)</f>
        <v>1498.56</v>
      </c>
      <c r="BK40" s="2144"/>
      <c r="BL40" s="2144">
        <f t="shared" si="0"/>
        <v>4.3499999999999996</v>
      </c>
      <c r="BM40" s="2145">
        <f t="shared" si="7"/>
        <v>0</v>
      </c>
      <c r="BN40" s="2145">
        <f t="shared" si="1"/>
        <v>9.27</v>
      </c>
      <c r="BO40" s="2145"/>
      <c r="BP40" s="2144">
        <f t="shared" si="2"/>
        <v>2.16</v>
      </c>
      <c r="BQ40" s="2144">
        <f t="shared" si="3"/>
        <v>38.92</v>
      </c>
      <c r="BR40" s="2144">
        <f t="shared" si="4"/>
        <v>1553.26</v>
      </c>
      <c r="BS40" s="2144">
        <f t="shared" si="5"/>
        <v>1584.33</v>
      </c>
      <c r="BT40" s="2144">
        <f t="shared" si="6"/>
        <v>1901.2</v>
      </c>
      <c r="BU40" s="2146" t="s">
        <v>5309</v>
      </c>
      <c r="BV40" s="2151"/>
      <c r="BW40" s="2141" t="e">
        <f>BT40/BV40</f>
        <v>#DIV/0!</v>
      </c>
      <c r="BX40" s="2147"/>
      <c r="BY40" s="1713"/>
      <c r="BZ40" s="1713"/>
      <c r="CA40" s="1713"/>
      <c r="CB40" s="1713"/>
      <c r="CC40" s="1713"/>
      <c r="CD40" s="1713"/>
      <c r="CE40" s="1713"/>
      <c r="CF40" s="1713"/>
      <c r="CG40" s="1713"/>
      <c r="CH40" s="1713"/>
      <c r="CI40" s="1713"/>
      <c r="CJ40" s="1713"/>
    </row>
    <row r="41" spans="1:88" s="2128" customFormat="1" ht="14.25" x14ac:dyDescent="0.2">
      <c r="A41" s="2148"/>
      <c r="B41" s="2149"/>
      <c r="C41" s="2149"/>
      <c r="D41" s="2149"/>
      <c r="E41" s="2149"/>
      <c r="F41" s="2149"/>
      <c r="G41" s="2149"/>
      <c r="H41" s="2150"/>
      <c r="I41" s="2126"/>
      <c r="J41" s="2126"/>
      <c r="K41" s="2126"/>
      <c r="L41" s="2126"/>
      <c r="M41" s="2126"/>
      <c r="N41" s="2126"/>
      <c r="O41" s="2126"/>
      <c r="P41" s="2126"/>
      <c r="Q41" s="2126"/>
      <c r="R41" s="2126"/>
      <c r="S41" s="2126"/>
      <c r="T41" s="2126"/>
      <c r="U41" s="2126"/>
      <c r="V41" s="2126"/>
      <c r="W41" s="2126"/>
      <c r="X41" s="2126"/>
      <c r="Y41" s="2126"/>
      <c r="Z41" s="2126"/>
      <c r="AA41" s="2127"/>
      <c r="AB41" s="2135"/>
      <c r="AC41" s="2126"/>
      <c r="AD41" s="2126"/>
      <c r="AE41" s="2126"/>
      <c r="AF41" s="2126"/>
      <c r="AG41" s="2126"/>
      <c r="AH41" s="2126"/>
      <c r="AI41" s="2126"/>
      <c r="AJ41" s="2126"/>
      <c r="AK41" s="2126"/>
      <c r="AL41" s="2126"/>
      <c r="AM41" s="2126"/>
      <c r="AN41" s="2126"/>
      <c r="AO41" s="2126"/>
      <c r="AP41" s="2126"/>
      <c r="AQ41" s="2126"/>
      <c r="AR41" s="2126"/>
      <c r="AS41" s="2126"/>
      <c r="AT41" s="2126"/>
      <c r="AU41" s="2126"/>
      <c r="AV41" s="2126"/>
      <c r="AW41" s="2126"/>
      <c r="AX41" s="2126"/>
      <c r="AY41" s="2126"/>
      <c r="AZ41" s="2126"/>
      <c r="BA41" s="2126"/>
      <c r="BB41" s="2126"/>
      <c r="BD41" s="2142" t="s">
        <v>9034</v>
      </c>
      <c r="BE41" s="2142" t="s">
        <v>9035</v>
      </c>
      <c r="BF41" s="2143">
        <f>24674.73/1000</f>
        <v>24.67</v>
      </c>
      <c r="BG41" s="2143">
        <f>1299556.32/1000</f>
        <v>1299.56</v>
      </c>
      <c r="BH41" s="2143">
        <f>4807089.75/1000</f>
        <v>4807.09</v>
      </c>
      <c r="BI41" s="2143"/>
      <c r="BJ41" s="2143">
        <f>SUM(BF41:BI41)</f>
        <v>6131.32</v>
      </c>
      <c r="BK41" s="2144"/>
      <c r="BL41" s="2144">
        <f t="shared" si="0"/>
        <v>24.42</v>
      </c>
      <c r="BM41" s="2145">
        <f t="shared" si="7"/>
        <v>0</v>
      </c>
      <c r="BN41" s="2145">
        <f t="shared" si="1"/>
        <v>52.01</v>
      </c>
      <c r="BO41" s="2145"/>
      <c r="BP41" s="2144">
        <f t="shared" si="2"/>
        <v>12.12</v>
      </c>
      <c r="BQ41" s="2144">
        <f t="shared" si="3"/>
        <v>218.3</v>
      </c>
      <c r="BR41" s="2144">
        <f t="shared" si="4"/>
        <v>6438.17</v>
      </c>
      <c r="BS41" s="2144">
        <f t="shared" si="5"/>
        <v>6566.93</v>
      </c>
      <c r="BT41" s="2144">
        <f t="shared" si="6"/>
        <v>7880.32</v>
      </c>
      <c r="BU41" s="2146" t="s">
        <v>5302</v>
      </c>
      <c r="BV41" s="2147">
        <v>61</v>
      </c>
      <c r="BW41" s="2141">
        <f>BT41/BV41</f>
        <v>129.19</v>
      </c>
      <c r="BX41" s="2147"/>
      <c r="BY41" s="1713"/>
      <c r="BZ41" s="1713"/>
      <c r="CA41" s="1713"/>
      <c r="CB41" s="1713"/>
      <c r="CC41" s="1713"/>
      <c r="CD41" s="1713"/>
      <c r="CE41" s="1713"/>
      <c r="CF41" s="1713"/>
      <c r="CG41" s="1713"/>
      <c r="CH41" s="1713"/>
      <c r="CI41" s="1713"/>
      <c r="CJ41" s="1713"/>
    </row>
    <row r="42" spans="1:88" s="2128" customFormat="1" ht="22.5" x14ac:dyDescent="0.2">
      <c r="A42" s="2148"/>
      <c r="B42" s="2149"/>
      <c r="C42" s="2149"/>
      <c r="D42" s="2149"/>
      <c r="E42" s="2149"/>
      <c r="F42" s="2149"/>
      <c r="G42" s="2149"/>
      <c r="H42" s="2150"/>
      <c r="I42" s="2126"/>
      <c r="J42" s="2126"/>
      <c r="K42" s="2126"/>
      <c r="L42" s="2126"/>
      <c r="M42" s="2126"/>
      <c r="N42" s="2126"/>
      <c r="O42" s="2126"/>
      <c r="P42" s="2126"/>
      <c r="Q42" s="2126"/>
      <c r="R42" s="2126"/>
      <c r="S42" s="2126"/>
      <c r="T42" s="2126"/>
      <c r="U42" s="2126"/>
      <c r="V42" s="2126"/>
      <c r="W42" s="2126"/>
      <c r="X42" s="2126"/>
      <c r="Y42" s="2126"/>
      <c r="Z42" s="2126"/>
      <c r="AA42" s="2127"/>
      <c r="AB42" s="2135"/>
      <c r="AC42" s="2126"/>
      <c r="AD42" s="2126"/>
      <c r="AE42" s="2126"/>
      <c r="AF42" s="2126"/>
      <c r="AG42" s="2126"/>
      <c r="AH42" s="2126"/>
      <c r="AI42" s="2126"/>
      <c r="AJ42" s="2126"/>
      <c r="AK42" s="2126"/>
      <c r="AL42" s="2126"/>
      <c r="AM42" s="2126"/>
      <c r="AN42" s="2126"/>
      <c r="AO42" s="2126"/>
      <c r="AP42" s="2126"/>
      <c r="AQ42" s="2126"/>
      <c r="AR42" s="2126"/>
      <c r="AS42" s="2126"/>
      <c r="AT42" s="2126"/>
      <c r="AU42" s="2126"/>
      <c r="AV42" s="2126"/>
      <c r="AW42" s="2126"/>
      <c r="AX42" s="2126"/>
      <c r="AY42" s="2126"/>
      <c r="AZ42" s="2126"/>
      <c r="BA42" s="2126"/>
      <c r="BB42" s="2126"/>
      <c r="BD42" s="2142" t="s">
        <v>9036</v>
      </c>
      <c r="BE42" s="2142" t="s">
        <v>9037</v>
      </c>
      <c r="BF42" s="2143">
        <f>24344.78/1000</f>
        <v>24.34</v>
      </c>
      <c r="BG42" s="2143">
        <f>1248103.32/1000</f>
        <v>1248.0999999999999</v>
      </c>
      <c r="BH42" s="2143">
        <f>696813.3/1000</f>
        <v>696.81</v>
      </c>
      <c r="BI42" s="2143"/>
      <c r="BJ42" s="2143">
        <f>SUM(BF42:BI42)</f>
        <v>1969.25</v>
      </c>
      <c r="BK42" s="2144"/>
      <c r="BL42" s="2144">
        <f t="shared" si="0"/>
        <v>23.46</v>
      </c>
      <c r="BM42" s="2145">
        <f t="shared" si="7"/>
        <v>0</v>
      </c>
      <c r="BN42" s="2145">
        <f t="shared" si="1"/>
        <v>49.98</v>
      </c>
      <c r="BO42" s="2145"/>
      <c r="BP42" s="2144">
        <f t="shared" si="2"/>
        <v>11.64</v>
      </c>
      <c r="BQ42" s="2144">
        <f t="shared" si="3"/>
        <v>209.76</v>
      </c>
      <c r="BR42" s="2144">
        <f t="shared" si="4"/>
        <v>2264.09</v>
      </c>
      <c r="BS42" s="2144">
        <f t="shared" si="5"/>
        <v>2309.37</v>
      </c>
      <c r="BT42" s="2144">
        <f t="shared" si="6"/>
        <v>2771.24</v>
      </c>
      <c r="BU42" s="2152" t="s">
        <v>9019</v>
      </c>
      <c r="BV42" s="1954">
        <v>7491.6</v>
      </c>
      <c r="BW42" s="2141">
        <f>BT42/BV42</f>
        <v>0.37</v>
      </c>
      <c r="BX42" s="2147"/>
      <c r="BY42" s="1713"/>
      <c r="BZ42" s="1713"/>
      <c r="CA42" s="1713"/>
      <c r="CB42" s="1713"/>
      <c r="CC42" s="1713"/>
      <c r="CD42" s="1713"/>
      <c r="CE42" s="1713"/>
      <c r="CF42" s="1713"/>
      <c r="CG42" s="1713"/>
      <c r="CH42" s="1713"/>
      <c r="CI42" s="1713"/>
      <c r="CJ42" s="1713"/>
    </row>
    <row r="43" spans="1:88" s="2128" customFormat="1" ht="14.25" x14ac:dyDescent="0.2">
      <c r="A43" s="2148"/>
      <c r="B43" s="2149"/>
      <c r="C43" s="2149"/>
      <c r="D43" s="2149"/>
      <c r="E43" s="2149"/>
      <c r="F43" s="2149"/>
      <c r="G43" s="2149"/>
      <c r="H43" s="2150"/>
      <c r="I43" s="2126"/>
      <c r="J43" s="2126"/>
      <c r="K43" s="2126"/>
      <c r="L43" s="2126"/>
      <c r="M43" s="2126"/>
      <c r="N43" s="2126"/>
      <c r="O43" s="2126"/>
      <c r="P43" s="2126"/>
      <c r="Q43" s="2126"/>
      <c r="R43" s="2126"/>
      <c r="S43" s="2126"/>
      <c r="T43" s="2126"/>
      <c r="U43" s="2126"/>
      <c r="V43" s="2126"/>
      <c r="W43" s="2126"/>
      <c r="X43" s="2126"/>
      <c r="Y43" s="2126"/>
      <c r="Z43" s="2126"/>
      <c r="AA43" s="2127"/>
      <c r="AB43" s="2135"/>
      <c r="AC43" s="2126"/>
      <c r="AD43" s="2126"/>
      <c r="AE43" s="2126"/>
      <c r="AF43" s="2126"/>
      <c r="AG43" s="2126"/>
      <c r="AH43" s="2126"/>
      <c r="AI43" s="2126"/>
      <c r="AJ43" s="2126"/>
      <c r="AK43" s="2126"/>
      <c r="AL43" s="2126"/>
      <c r="AM43" s="2126"/>
      <c r="AN43" s="2126"/>
      <c r="AO43" s="2126"/>
      <c r="AP43" s="2126"/>
      <c r="AQ43" s="2126"/>
      <c r="AR43" s="2126"/>
      <c r="AS43" s="2126"/>
      <c r="AT43" s="2126"/>
      <c r="AU43" s="2126"/>
      <c r="AV43" s="2126"/>
      <c r="AW43" s="2126"/>
      <c r="AX43" s="2126"/>
      <c r="AY43" s="2126"/>
      <c r="AZ43" s="2126"/>
      <c r="BA43" s="2126"/>
      <c r="BB43" s="2126"/>
      <c r="BD43" s="2142"/>
      <c r="BE43" s="2142"/>
      <c r="BF43" s="2143"/>
      <c r="BG43" s="2143"/>
      <c r="BH43" s="2143"/>
      <c r="BI43" s="2143"/>
      <c r="BJ43" s="2143"/>
      <c r="BK43" s="2144"/>
      <c r="BL43" s="2144"/>
      <c r="BM43" s="2145"/>
      <c r="BN43" s="2145"/>
      <c r="BO43" s="2145"/>
      <c r="BP43" s="2144"/>
      <c r="BQ43" s="2144"/>
      <c r="BR43" s="2144"/>
      <c r="BS43" s="2144"/>
      <c r="BT43" s="2144"/>
      <c r="BU43" s="2146"/>
      <c r="BV43" s="2147"/>
      <c r="BW43" s="2147"/>
      <c r="BX43" s="2147"/>
      <c r="BY43" s="1713"/>
      <c r="BZ43" s="1713"/>
      <c r="CA43" s="1713"/>
      <c r="CB43" s="1713"/>
      <c r="CC43" s="1713"/>
      <c r="CD43" s="1713"/>
      <c r="CE43" s="1713"/>
      <c r="CF43" s="1713"/>
      <c r="CG43" s="1713"/>
      <c r="CH43" s="1713"/>
      <c r="CI43" s="1713"/>
      <c r="CJ43" s="1713"/>
    </row>
    <row r="44" spans="1:88" s="2128" customFormat="1" ht="14.25" x14ac:dyDescent="0.2">
      <c r="A44" s="2148"/>
      <c r="B44" s="2149"/>
      <c r="C44" s="2149"/>
      <c r="D44" s="2149"/>
      <c r="E44" s="2149"/>
      <c r="F44" s="2149"/>
      <c r="G44" s="2149"/>
      <c r="H44" s="2150"/>
      <c r="I44" s="2126"/>
      <c r="J44" s="2126"/>
      <c r="K44" s="2126"/>
      <c r="L44" s="2126"/>
      <c r="M44" s="2126"/>
      <c r="N44" s="2126"/>
      <c r="O44" s="2126"/>
      <c r="P44" s="2126"/>
      <c r="Q44" s="2126"/>
      <c r="R44" s="2126"/>
      <c r="S44" s="2126"/>
      <c r="T44" s="2126"/>
      <c r="U44" s="2126"/>
      <c r="V44" s="2126"/>
      <c r="W44" s="2126"/>
      <c r="X44" s="2126"/>
      <c r="Y44" s="2126"/>
      <c r="Z44" s="2126"/>
      <c r="AA44" s="2127"/>
      <c r="AB44" s="2135"/>
      <c r="AC44" s="2126"/>
      <c r="AD44" s="2126"/>
      <c r="AE44" s="2126"/>
      <c r="AF44" s="2126"/>
      <c r="AG44" s="2126"/>
      <c r="AH44" s="2126"/>
      <c r="AI44" s="2126"/>
      <c r="AJ44" s="2126"/>
      <c r="AK44" s="2126"/>
      <c r="AL44" s="2126"/>
      <c r="AM44" s="2126"/>
      <c r="AN44" s="2126"/>
      <c r="AO44" s="2126"/>
      <c r="AP44" s="2126"/>
      <c r="AQ44" s="2126"/>
      <c r="AR44" s="2126"/>
      <c r="AS44" s="2126"/>
      <c r="AT44" s="2126"/>
      <c r="AU44" s="2126"/>
      <c r="AV44" s="2126"/>
      <c r="AW44" s="2126"/>
      <c r="AX44" s="2126"/>
      <c r="AY44" s="2126"/>
      <c r="AZ44" s="2126"/>
      <c r="BA44" s="2126"/>
      <c r="BB44" s="2126"/>
      <c r="BD44" s="2142"/>
      <c r="BE44" s="2142"/>
      <c r="BF44" s="2143"/>
      <c r="BG44" s="2143"/>
      <c r="BH44" s="2143"/>
      <c r="BI44" s="2143"/>
      <c r="BJ44" s="2143"/>
      <c r="BK44" s="2144"/>
      <c r="BL44" s="2144"/>
      <c r="BM44" s="2145"/>
      <c r="BN44" s="2145"/>
      <c r="BO44" s="2145"/>
      <c r="BP44" s="2144"/>
      <c r="BQ44" s="2144"/>
      <c r="BR44" s="2144"/>
      <c r="BS44" s="2144"/>
      <c r="BT44" s="2144"/>
      <c r="BU44" s="2146"/>
      <c r="BV44" s="2147"/>
      <c r="BW44" s="2147"/>
      <c r="BX44" s="2147"/>
      <c r="BY44" s="1713"/>
      <c r="BZ44" s="1713"/>
      <c r="CA44" s="1713"/>
      <c r="CB44" s="1713"/>
      <c r="CC44" s="1713"/>
      <c r="CD44" s="1713"/>
      <c r="CE44" s="1713"/>
      <c r="CF44" s="1713"/>
      <c r="CG44" s="1713"/>
      <c r="CH44" s="1713"/>
      <c r="CI44" s="1713"/>
      <c r="CJ44" s="1713"/>
    </row>
    <row r="45" spans="1:88" s="2128" customFormat="1" ht="14.25" x14ac:dyDescent="0.2">
      <c r="A45" s="2148"/>
      <c r="B45" s="2149"/>
      <c r="C45" s="2149"/>
      <c r="D45" s="2149"/>
      <c r="E45" s="2149"/>
      <c r="F45" s="2149"/>
      <c r="G45" s="2149"/>
      <c r="H45" s="2150"/>
      <c r="I45" s="2126"/>
      <c r="J45" s="2126"/>
      <c r="K45" s="2126"/>
      <c r="L45" s="2126"/>
      <c r="M45" s="2126"/>
      <c r="N45" s="2126"/>
      <c r="O45" s="2126"/>
      <c r="P45" s="2126"/>
      <c r="Q45" s="2126"/>
      <c r="R45" s="2126"/>
      <c r="S45" s="2126"/>
      <c r="T45" s="2126"/>
      <c r="U45" s="2126"/>
      <c r="V45" s="2126"/>
      <c r="W45" s="2126"/>
      <c r="X45" s="2126"/>
      <c r="Y45" s="2126"/>
      <c r="Z45" s="2126"/>
      <c r="AA45" s="2127"/>
      <c r="AB45" s="2135"/>
      <c r="AC45" s="2126"/>
      <c r="AD45" s="2126"/>
      <c r="AE45" s="2126"/>
      <c r="AF45" s="2126"/>
      <c r="AG45" s="2126"/>
      <c r="AH45" s="2126"/>
      <c r="AI45" s="2126"/>
      <c r="AJ45" s="2126"/>
      <c r="AK45" s="2126"/>
      <c r="AL45" s="2126"/>
      <c r="AM45" s="2126"/>
      <c r="AN45" s="2126"/>
      <c r="AO45" s="2126"/>
      <c r="AP45" s="2126"/>
      <c r="AQ45" s="2126"/>
      <c r="AR45" s="2126"/>
      <c r="AS45" s="2126"/>
      <c r="AT45" s="2126"/>
      <c r="AU45" s="2126"/>
      <c r="AV45" s="2126"/>
      <c r="AW45" s="2126"/>
      <c r="AX45" s="2126"/>
      <c r="AY45" s="2126"/>
      <c r="AZ45" s="2126"/>
      <c r="BA45" s="2126"/>
      <c r="BB45" s="2126"/>
      <c r="BD45" s="2142"/>
      <c r="BE45" s="2142"/>
      <c r="BF45" s="2143"/>
      <c r="BG45" s="2143"/>
      <c r="BH45" s="2143"/>
      <c r="BI45" s="2143"/>
      <c r="BJ45" s="2143"/>
      <c r="BK45" s="2144"/>
      <c r="BL45" s="2144"/>
      <c r="BM45" s="2145"/>
      <c r="BN45" s="2145"/>
      <c r="BO45" s="2145"/>
      <c r="BP45" s="2144"/>
      <c r="BQ45" s="2144"/>
      <c r="BR45" s="2144"/>
      <c r="BS45" s="2144"/>
      <c r="BT45" s="2144"/>
      <c r="BU45" s="2146"/>
      <c r="BV45" s="2147"/>
      <c r="BW45" s="2147"/>
      <c r="BX45" s="2147"/>
      <c r="BY45" s="1713"/>
      <c r="BZ45" s="1713"/>
      <c r="CA45" s="1713"/>
      <c r="CB45" s="1713"/>
      <c r="CC45" s="1713"/>
      <c r="CD45" s="1713"/>
      <c r="CE45" s="1713"/>
      <c r="CF45" s="1713"/>
      <c r="CG45" s="1713"/>
      <c r="CH45" s="1713"/>
      <c r="CI45" s="1713"/>
      <c r="CJ45" s="1713"/>
    </row>
    <row r="46" spans="1:88" s="2128" customFormat="1" ht="14.25" x14ac:dyDescent="0.2">
      <c r="A46" s="2148"/>
      <c r="B46" s="2149"/>
      <c r="C46" s="2149"/>
      <c r="D46" s="2149"/>
      <c r="E46" s="2149"/>
      <c r="F46" s="2149"/>
      <c r="G46" s="2149"/>
      <c r="H46" s="2150"/>
      <c r="I46" s="2126"/>
      <c r="J46" s="2126"/>
      <c r="K46" s="2126"/>
      <c r="L46" s="2126"/>
      <c r="M46" s="2126"/>
      <c r="N46" s="2126"/>
      <c r="O46" s="2126"/>
      <c r="P46" s="2126"/>
      <c r="Q46" s="2126"/>
      <c r="R46" s="2126"/>
      <c r="S46" s="2126"/>
      <c r="T46" s="2126"/>
      <c r="U46" s="2126"/>
      <c r="V46" s="2126"/>
      <c r="W46" s="2126"/>
      <c r="X46" s="2126"/>
      <c r="Y46" s="2126"/>
      <c r="Z46" s="2126"/>
      <c r="AA46" s="2127"/>
      <c r="AB46" s="2135"/>
      <c r="AC46" s="2126"/>
      <c r="AD46" s="2126"/>
      <c r="AE46" s="2126"/>
      <c r="AF46" s="2126"/>
      <c r="AG46" s="2126"/>
      <c r="AH46" s="2126"/>
      <c r="AI46" s="2126"/>
      <c r="AJ46" s="2126"/>
      <c r="AK46" s="2126"/>
      <c r="AL46" s="2126"/>
      <c r="AM46" s="2126"/>
      <c r="AN46" s="2126"/>
      <c r="AO46" s="2126"/>
      <c r="AP46" s="2126"/>
      <c r="AQ46" s="2126"/>
      <c r="AR46" s="2126"/>
      <c r="AS46" s="2126"/>
      <c r="AT46" s="2126"/>
      <c r="AU46" s="2126"/>
      <c r="AV46" s="2126"/>
      <c r="AW46" s="2126"/>
      <c r="AX46" s="2126"/>
      <c r="AY46" s="2126"/>
      <c r="AZ46" s="2126"/>
      <c r="BA46" s="2126"/>
      <c r="BB46" s="2126"/>
      <c r="BD46" s="2142"/>
      <c r="BE46" s="2142"/>
      <c r="BF46" s="2143"/>
      <c r="BG46" s="2143"/>
      <c r="BH46" s="2143"/>
      <c r="BI46" s="2143"/>
      <c r="BJ46" s="2143"/>
      <c r="BK46" s="2144"/>
      <c r="BL46" s="2144"/>
      <c r="BM46" s="2145"/>
      <c r="BN46" s="2145"/>
      <c r="BO46" s="2145"/>
      <c r="BP46" s="2144"/>
      <c r="BQ46" s="2144"/>
      <c r="BR46" s="2144"/>
      <c r="BS46" s="2144"/>
      <c r="BT46" s="2144"/>
      <c r="BU46" s="2146"/>
      <c r="BV46" s="2147"/>
      <c r="BW46" s="2147"/>
      <c r="BX46" s="2147"/>
      <c r="BY46" s="1713"/>
      <c r="BZ46" s="1713"/>
      <c r="CA46" s="1713"/>
      <c r="CB46" s="1713"/>
      <c r="CC46" s="1713"/>
      <c r="CD46" s="1713"/>
      <c r="CE46" s="1713"/>
      <c r="CF46" s="1713"/>
      <c r="CG46" s="1713"/>
      <c r="CH46" s="1713"/>
      <c r="CI46" s="1713"/>
      <c r="CJ46" s="1713"/>
    </row>
    <row r="47" spans="1:88" s="2128" customFormat="1" ht="14.25" x14ac:dyDescent="0.2">
      <c r="A47" s="2148"/>
      <c r="B47" s="2149"/>
      <c r="C47" s="2149"/>
      <c r="D47" s="2149"/>
      <c r="E47" s="2149"/>
      <c r="F47" s="2149"/>
      <c r="G47" s="2149"/>
      <c r="H47" s="2150"/>
      <c r="I47" s="2126"/>
      <c r="J47" s="2126"/>
      <c r="K47" s="2126"/>
      <c r="L47" s="2126"/>
      <c r="M47" s="2126"/>
      <c r="N47" s="2126"/>
      <c r="O47" s="2126"/>
      <c r="P47" s="2126"/>
      <c r="Q47" s="2126"/>
      <c r="R47" s="2126"/>
      <c r="S47" s="2126"/>
      <c r="T47" s="2126"/>
      <c r="U47" s="2126"/>
      <c r="V47" s="2126"/>
      <c r="W47" s="2126"/>
      <c r="X47" s="2126"/>
      <c r="Y47" s="2126"/>
      <c r="Z47" s="2126"/>
      <c r="AA47" s="2127"/>
      <c r="AB47" s="2135"/>
      <c r="AC47" s="2126"/>
      <c r="AD47" s="2126"/>
      <c r="AE47" s="2126"/>
      <c r="AF47" s="2126"/>
      <c r="AG47" s="2126"/>
      <c r="AH47" s="2126"/>
      <c r="AI47" s="2126"/>
      <c r="AJ47" s="2126"/>
      <c r="AK47" s="2126"/>
      <c r="AL47" s="2126"/>
      <c r="AM47" s="2126"/>
      <c r="AN47" s="2126"/>
      <c r="AO47" s="2126"/>
      <c r="AP47" s="2126"/>
      <c r="AQ47" s="2126"/>
      <c r="AR47" s="2126"/>
      <c r="AS47" s="2126"/>
      <c r="AT47" s="2126"/>
      <c r="AU47" s="2126"/>
      <c r="AV47" s="2126"/>
      <c r="AW47" s="2126"/>
      <c r="AX47" s="2126"/>
      <c r="AY47" s="2126"/>
      <c r="AZ47" s="2126"/>
      <c r="BA47" s="2126"/>
      <c r="BB47" s="2126"/>
      <c r="BD47" s="2142"/>
      <c r="BE47" s="2142"/>
      <c r="BF47" s="2143"/>
      <c r="BG47" s="2143"/>
      <c r="BH47" s="2143"/>
      <c r="BI47" s="2143"/>
      <c r="BJ47" s="2143"/>
      <c r="BK47" s="2144"/>
      <c r="BL47" s="2144"/>
      <c r="BM47" s="2145"/>
      <c r="BN47" s="2145"/>
      <c r="BO47" s="2145"/>
      <c r="BP47" s="2144"/>
      <c r="BQ47" s="2144"/>
      <c r="BR47" s="2144"/>
      <c r="BS47" s="2144"/>
      <c r="BT47" s="2144"/>
      <c r="BU47" s="2146"/>
      <c r="BV47" s="2147"/>
      <c r="BW47" s="2147"/>
      <c r="BX47" s="2147"/>
      <c r="BY47" s="1713"/>
      <c r="BZ47" s="1713"/>
      <c r="CA47" s="1713"/>
      <c r="CB47" s="1713"/>
      <c r="CC47" s="1713"/>
      <c r="CD47" s="1713"/>
      <c r="CE47" s="1713"/>
      <c r="CF47" s="1713"/>
      <c r="CG47" s="1713"/>
      <c r="CH47" s="1713"/>
      <c r="CI47" s="1713"/>
      <c r="CJ47" s="1713"/>
    </row>
    <row r="48" spans="1:88" s="2128" customFormat="1" ht="14.25" x14ac:dyDescent="0.2">
      <c r="A48" s="2148"/>
      <c r="B48" s="2149"/>
      <c r="C48" s="2149"/>
      <c r="D48" s="2149"/>
      <c r="E48" s="2149"/>
      <c r="F48" s="2149"/>
      <c r="G48" s="2149"/>
      <c r="H48" s="2150"/>
      <c r="I48" s="2126"/>
      <c r="J48" s="2126"/>
      <c r="K48" s="2126"/>
      <c r="L48" s="2126"/>
      <c r="M48" s="2126"/>
      <c r="N48" s="2126"/>
      <c r="O48" s="2126"/>
      <c r="P48" s="2126"/>
      <c r="Q48" s="2126"/>
      <c r="R48" s="2126"/>
      <c r="S48" s="2126"/>
      <c r="T48" s="2126"/>
      <c r="U48" s="2126"/>
      <c r="V48" s="2126"/>
      <c r="W48" s="2126"/>
      <c r="X48" s="2126"/>
      <c r="Y48" s="2126"/>
      <c r="Z48" s="2126"/>
      <c r="AA48" s="2127"/>
      <c r="AB48" s="2135"/>
      <c r="AC48" s="2126"/>
      <c r="AD48" s="2126"/>
      <c r="AE48" s="2126"/>
      <c r="AF48" s="2126"/>
      <c r="AG48" s="2126"/>
      <c r="AH48" s="2126"/>
      <c r="AI48" s="2126"/>
      <c r="AJ48" s="2126"/>
      <c r="AK48" s="2126"/>
      <c r="AL48" s="2126"/>
      <c r="AM48" s="2126"/>
      <c r="AN48" s="2126"/>
      <c r="AO48" s="2126"/>
      <c r="AP48" s="2126"/>
      <c r="AQ48" s="2126"/>
      <c r="AR48" s="2126"/>
      <c r="AS48" s="2126"/>
      <c r="AT48" s="2126"/>
      <c r="AU48" s="2126"/>
      <c r="AV48" s="2126"/>
      <c r="AW48" s="2126"/>
      <c r="AX48" s="2126"/>
      <c r="AY48" s="2126"/>
      <c r="AZ48" s="2126"/>
      <c r="BA48" s="2126"/>
      <c r="BB48" s="2126"/>
      <c r="BD48" s="2142"/>
      <c r="BE48" s="2142"/>
      <c r="BF48" s="2143"/>
      <c r="BG48" s="2143"/>
      <c r="BH48" s="2143"/>
      <c r="BI48" s="2143"/>
      <c r="BJ48" s="2143"/>
      <c r="BK48" s="2144"/>
      <c r="BL48" s="2144"/>
      <c r="BM48" s="2145"/>
      <c r="BN48" s="2145"/>
      <c r="BO48" s="2145"/>
      <c r="BP48" s="2144"/>
      <c r="BQ48" s="2144"/>
      <c r="BR48" s="2144"/>
      <c r="BS48" s="2144"/>
      <c r="BT48" s="2144"/>
      <c r="BU48" s="2146"/>
      <c r="BV48" s="2147"/>
      <c r="BW48" s="2147"/>
      <c r="BX48" s="2147"/>
      <c r="BY48" s="1713"/>
      <c r="BZ48" s="1713"/>
      <c r="CA48" s="1713"/>
      <c r="CB48" s="1713"/>
      <c r="CC48" s="1713"/>
      <c r="CD48" s="1713"/>
      <c r="CE48" s="1713"/>
      <c r="CF48" s="1713"/>
      <c r="CG48" s="1713"/>
      <c r="CH48" s="1713"/>
      <c r="CI48" s="1713"/>
      <c r="CJ48" s="1713"/>
    </row>
    <row r="49" spans="1:88" s="2128" customFormat="1" ht="14.25" x14ac:dyDescent="0.2">
      <c r="A49" s="2148"/>
      <c r="B49" s="2149"/>
      <c r="C49" s="2149"/>
      <c r="D49" s="2149"/>
      <c r="E49" s="2149"/>
      <c r="F49" s="2149"/>
      <c r="G49" s="2149"/>
      <c r="H49" s="2150"/>
      <c r="I49" s="2126"/>
      <c r="J49" s="2126"/>
      <c r="K49" s="2126"/>
      <c r="L49" s="2126"/>
      <c r="M49" s="2126"/>
      <c r="N49" s="2126"/>
      <c r="O49" s="2126"/>
      <c r="P49" s="2126"/>
      <c r="Q49" s="2126"/>
      <c r="R49" s="2126"/>
      <c r="S49" s="2126"/>
      <c r="T49" s="2126"/>
      <c r="U49" s="2126"/>
      <c r="V49" s="2126"/>
      <c r="W49" s="2126"/>
      <c r="X49" s="2126"/>
      <c r="Y49" s="2126"/>
      <c r="Z49" s="2126"/>
      <c r="AA49" s="2127"/>
      <c r="AB49" s="2135"/>
      <c r="AC49" s="2126"/>
      <c r="AD49" s="2126"/>
      <c r="AE49" s="2126"/>
      <c r="AF49" s="2126"/>
      <c r="AG49" s="2126"/>
      <c r="AH49" s="2126"/>
      <c r="AI49" s="2126"/>
      <c r="AJ49" s="2126"/>
      <c r="AK49" s="2126"/>
      <c r="AL49" s="2126"/>
      <c r="AM49" s="2126"/>
      <c r="AN49" s="2126"/>
      <c r="AO49" s="2126"/>
      <c r="AP49" s="2126"/>
      <c r="AQ49" s="2126"/>
      <c r="AR49" s="2126"/>
      <c r="AS49" s="2126"/>
      <c r="AT49" s="2126"/>
      <c r="AU49" s="2126"/>
      <c r="AV49" s="2126"/>
      <c r="AW49" s="2126"/>
      <c r="AX49" s="2126"/>
      <c r="AY49" s="2126"/>
      <c r="AZ49" s="2126"/>
      <c r="BA49" s="2126"/>
      <c r="BB49" s="2126"/>
      <c r="BD49" s="2142"/>
      <c r="BE49" s="2142"/>
      <c r="BF49" s="2143"/>
      <c r="BG49" s="2143"/>
      <c r="BH49" s="2143"/>
      <c r="BI49" s="2143"/>
      <c r="BJ49" s="2143"/>
      <c r="BK49" s="2144"/>
      <c r="BL49" s="2144"/>
      <c r="BM49" s="2145"/>
      <c r="BN49" s="2145"/>
      <c r="BO49" s="2145"/>
      <c r="BP49" s="2144"/>
      <c r="BQ49" s="2144"/>
      <c r="BR49" s="2144"/>
      <c r="BS49" s="2144"/>
      <c r="BT49" s="2144"/>
      <c r="BU49" s="2146"/>
      <c r="BV49" s="2147"/>
      <c r="BW49" s="2147"/>
      <c r="BX49" s="2147"/>
      <c r="BY49" s="1713"/>
      <c r="BZ49" s="1713"/>
      <c r="CA49" s="1713"/>
      <c r="CB49" s="1713"/>
      <c r="CC49" s="1713"/>
      <c r="CD49" s="1713"/>
      <c r="CE49" s="1713"/>
      <c r="CF49" s="1713"/>
      <c r="CG49" s="1713"/>
      <c r="CH49" s="1713"/>
      <c r="CI49" s="1713"/>
      <c r="CJ49" s="1713"/>
    </row>
    <row r="50" spans="1:88" s="2128" customFormat="1" ht="14.25" x14ac:dyDescent="0.2">
      <c r="A50" s="2148"/>
      <c r="B50" s="2149"/>
      <c r="C50" s="2149"/>
      <c r="D50" s="2149"/>
      <c r="E50" s="2149"/>
      <c r="F50" s="2149"/>
      <c r="G50" s="2149"/>
      <c r="H50" s="2150"/>
      <c r="I50" s="2126"/>
      <c r="J50" s="2126"/>
      <c r="K50" s="2126"/>
      <c r="L50" s="2126"/>
      <c r="M50" s="2126"/>
      <c r="N50" s="2126"/>
      <c r="O50" s="2126"/>
      <c r="P50" s="2126"/>
      <c r="Q50" s="2126"/>
      <c r="R50" s="2126"/>
      <c r="S50" s="2126"/>
      <c r="T50" s="2126"/>
      <c r="U50" s="2126"/>
      <c r="V50" s="2126"/>
      <c r="W50" s="2126"/>
      <c r="X50" s="2126"/>
      <c r="Y50" s="2126"/>
      <c r="Z50" s="2126"/>
      <c r="AA50" s="2127"/>
      <c r="AB50" s="2135"/>
      <c r="AC50" s="2126"/>
      <c r="AD50" s="2126"/>
      <c r="AE50" s="2126"/>
      <c r="AF50" s="2126"/>
      <c r="AG50" s="2126"/>
      <c r="AH50" s="2126"/>
      <c r="AI50" s="2126"/>
      <c r="AJ50" s="2126"/>
      <c r="AK50" s="2126"/>
      <c r="AL50" s="2126"/>
      <c r="AM50" s="2126"/>
      <c r="AN50" s="2126"/>
      <c r="AO50" s="2126"/>
      <c r="AP50" s="2126"/>
      <c r="AQ50" s="2126"/>
      <c r="AR50" s="2126"/>
      <c r="AS50" s="2126"/>
      <c r="AT50" s="2126"/>
      <c r="AU50" s="2126"/>
      <c r="AV50" s="2126"/>
      <c r="AW50" s="2126"/>
      <c r="AX50" s="2126"/>
      <c r="AY50" s="2126"/>
      <c r="AZ50" s="2126"/>
      <c r="BA50" s="2126"/>
      <c r="BB50" s="2126"/>
      <c r="BD50" s="2142"/>
      <c r="BE50" s="2142"/>
      <c r="BF50" s="2143"/>
      <c r="BG50" s="2143"/>
      <c r="BH50" s="2143"/>
      <c r="BI50" s="2143"/>
      <c r="BJ50" s="2143"/>
      <c r="BK50" s="2144"/>
      <c r="BL50" s="2144"/>
      <c r="BM50" s="2145"/>
      <c r="BN50" s="2145"/>
      <c r="BO50" s="2145"/>
      <c r="BP50" s="2144"/>
      <c r="BQ50" s="2144"/>
      <c r="BR50" s="2144"/>
      <c r="BS50" s="2144"/>
      <c r="BT50" s="2144"/>
      <c r="BU50" s="2146"/>
      <c r="BV50" s="2147"/>
      <c r="BW50" s="2147"/>
      <c r="BX50" s="2147"/>
      <c r="BY50" s="1713"/>
      <c r="BZ50" s="1713"/>
      <c r="CA50" s="1713"/>
      <c r="CB50" s="1713"/>
      <c r="CC50" s="1713"/>
      <c r="CD50" s="1713"/>
      <c r="CE50" s="1713"/>
      <c r="CF50" s="1713"/>
      <c r="CG50" s="1713"/>
      <c r="CH50" s="1713"/>
      <c r="CI50" s="1713"/>
      <c r="CJ50" s="1713"/>
    </row>
    <row r="51" spans="1:88" s="2128" customFormat="1" ht="14.25" x14ac:dyDescent="0.2">
      <c r="A51" s="2148"/>
      <c r="B51" s="2149"/>
      <c r="C51" s="2149"/>
      <c r="D51" s="2149"/>
      <c r="E51" s="2149"/>
      <c r="F51" s="2149"/>
      <c r="G51" s="2149"/>
      <c r="H51" s="2150"/>
      <c r="I51" s="2126"/>
      <c r="J51" s="2126"/>
      <c r="K51" s="2126"/>
      <c r="L51" s="2126"/>
      <c r="M51" s="2126"/>
      <c r="N51" s="2126"/>
      <c r="O51" s="2126"/>
      <c r="P51" s="2126"/>
      <c r="Q51" s="2126"/>
      <c r="R51" s="2126"/>
      <c r="S51" s="2126"/>
      <c r="T51" s="2126"/>
      <c r="U51" s="2126"/>
      <c r="V51" s="2126"/>
      <c r="W51" s="2126"/>
      <c r="X51" s="2126"/>
      <c r="Y51" s="2126"/>
      <c r="Z51" s="2126"/>
      <c r="AA51" s="2127"/>
      <c r="AB51" s="2135"/>
      <c r="AC51" s="2126"/>
      <c r="AD51" s="2126"/>
      <c r="AE51" s="2126"/>
      <c r="AF51" s="2126"/>
      <c r="AG51" s="2126"/>
      <c r="AH51" s="2126"/>
      <c r="AI51" s="2126"/>
      <c r="AJ51" s="2126"/>
      <c r="AK51" s="2126"/>
      <c r="AL51" s="2126"/>
      <c r="AM51" s="2126"/>
      <c r="AN51" s="2126"/>
      <c r="AO51" s="2126"/>
      <c r="AP51" s="2126"/>
      <c r="AQ51" s="2126"/>
      <c r="AR51" s="2126"/>
      <c r="AS51" s="2126"/>
      <c r="AT51" s="2126"/>
      <c r="AU51" s="2126"/>
      <c r="AV51" s="2126"/>
      <c r="AW51" s="2126"/>
      <c r="AX51" s="2126"/>
      <c r="AY51" s="2126"/>
      <c r="AZ51" s="2126"/>
      <c r="BA51" s="2126"/>
      <c r="BB51" s="2126"/>
      <c r="BD51" s="2142"/>
      <c r="BE51" s="2142"/>
      <c r="BF51" s="2143"/>
      <c r="BG51" s="2143"/>
      <c r="BH51" s="2143"/>
      <c r="BI51" s="2143"/>
      <c r="BJ51" s="2143"/>
      <c r="BK51" s="2144"/>
      <c r="BL51" s="2144"/>
      <c r="BM51" s="2145"/>
      <c r="BN51" s="2145"/>
      <c r="BO51" s="2145"/>
      <c r="BP51" s="2144"/>
      <c r="BQ51" s="2144"/>
      <c r="BR51" s="2144"/>
      <c r="BS51" s="2144"/>
      <c r="BT51" s="2144"/>
      <c r="BU51" s="2146"/>
      <c r="BV51" s="2147"/>
      <c r="BW51" s="2147"/>
      <c r="BX51" s="2147"/>
      <c r="BY51" s="1713"/>
      <c r="BZ51" s="1713"/>
      <c r="CA51" s="1713"/>
      <c r="CB51" s="1713"/>
      <c r="CC51" s="1713"/>
      <c r="CD51" s="1713"/>
      <c r="CE51" s="1713"/>
      <c r="CF51" s="1713"/>
      <c r="CG51" s="1713"/>
      <c r="CH51" s="1713"/>
      <c r="CI51" s="1713"/>
      <c r="CJ51" s="1713"/>
    </row>
    <row r="52" spans="1:88" s="2128" customFormat="1" ht="14.25" x14ac:dyDescent="0.2">
      <c r="A52" s="2148"/>
      <c r="B52" s="2149"/>
      <c r="C52" s="2149"/>
      <c r="D52" s="2149"/>
      <c r="E52" s="2149"/>
      <c r="F52" s="2149"/>
      <c r="G52" s="2149"/>
      <c r="H52" s="2150"/>
      <c r="I52" s="2126"/>
      <c r="J52" s="2126"/>
      <c r="K52" s="2126"/>
      <c r="L52" s="2126"/>
      <c r="M52" s="2126"/>
      <c r="N52" s="2126"/>
      <c r="O52" s="2126"/>
      <c r="P52" s="2126"/>
      <c r="Q52" s="2126"/>
      <c r="R52" s="2126"/>
      <c r="S52" s="2126"/>
      <c r="T52" s="2126"/>
      <c r="U52" s="2126"/>
      <c r="V52" s="2126"/>
      <c r="W52" s="2126"/>
      <c r="X52" s="2126"/>
      <c r="Y52" s="2126"/>
      <c r="Z52" s="2126"/>
      <c r="AA52" s="2127"/>
      <c r="AB52" s="2135"/>
      <c r="AC52" s="2126"/>
      <c r="AD52" s="2126"/>
      <c r="AE52" s="2126"/>
      <c r="AF52" s="2126"/>
      <c r="AG52" s="2126"/>
      <c r="AH52" s="2126"/>
      <c r="AI52" s="2126"/>
      <c r="AJ52" s="2126"/>
      <c r="AK52" s="2126"/>
      <c r="AL52" s="2126"/>
      <c r="AM52" s="2126"/>
      <c r="AN52" s="2126"/>
      <c r="AO52" s="2126"/>
      <c r="AP52" s="2126"/>
      <c r="AQ52" s="2126"/>
      <c r="AR52" s="2126"/>
      <c r="AS52" s="2126"/>
      <c r="AT52" s="2126"/>
      <c r="AU52" s="2126"/>
      <c r="AV52" s="2126"/>
      <c r="AW52" s="2126"/>
      <c r="AX52" s="2126"/>
      <c r="AY52" s="2126"/>
      <c r="AZ52" s="2126"/>
      <c r="BA52" s="2126"/>
      <c r="BB52" s="2126"/>
      <c r="BD52" s="2142"/>
      <c r="BE52" s="2142"/>
      <c r="BF52" s="2143"/>
      <c r="BG52" s="2143"/>
      <c r="BH52" s="2143"/>
      <c r="BI52" s="2143"/>
      <c r="BJ52" s="2143"/>
      <c r="BK52" s="2144"/>
      <c r="BL52" s="2144"/>
      <c r="BM52" s="2145"/>
      <c r="BN52" s="2145"/>
      <c r="BO52" s="2145"/>
      <c r="BP52" s="2144"/>
      <c r="BQ52" s="2144"/>
      <c r="BR52" s="2144"/>
      <c r="BS52" s="2144"/>
      <c r="BT52" s="2144"/>
      <c r="BU52" s="2146"/>
      <c r="BV52" s="2147"/>
      <c r="BW52" s="2147"/>
      <c r="BX52" s="2147"/>
      <c r="BY52" s="1713"/>
      <c r="BZ52" s="1713"/>
      <c r="CA52" s="1713"/>
      <c r="CB52" s="1713"/>
      <c r="CC52" s="1713"/>
      <c r="CD52" s="1713"/>
      <c r="CE52" s="1713"/>
      <c r="CF52" s="1713"/>
      <c r="CG52" s="1713"/>
      <c r="CH52" s="1713"/>
      <c r="CI52" s="1713"/>
      <c r="CJ52" s="1713"/>
    </row>
    <row r="53" spans="1:88" s="2128" customFormat="1" ht="14.25" x14ac:dyDescent="0.2">
      <c r="A53" s="2148"/>
      <c r="B53" s="2149"/>
      <c r="C53" s="2149"/>
      <c r="D53" s="2149"/>
      <c r="E53" s="2149"/>
      <c r="F53" s="2149"/>
      <c r="G53" s="2149"/>
      <c r="H53" s="2150"/>
      <c r="I53" s="2126"/>
      <c r="J53" s="2126"/>
      <c r="K53" s="2126"/>
      <c r="L53" s="2126"/>
      <c r="M53" s="2126"/>
      <c r="N53" s="2126"/>
      <c r="O53" s="2126"/>
      <c r="P53" s="2126"/>
      <c r="Q53" s="2126"/>
      <c r="R53" s="2126"/>
      <c r="S53" s="2126"/>
      <c r="T53" s="2126"/>
      <c r="U53" s="2126"/>
      <c r="V53" s="2126"/>
      <c r="W53" s="2126"/>
      <c r="X53" s="2126"/>
      <c r="Y53" s="2126"/>
      <c r="Z53" s="2126"/>
      <c r="AA53" s="2127"/>
      <c r="AB53" s="2135"/>
      <c r="AC53" s="2126"/>
      <c r="AD53" s="2126"/>
      <c r="AE53" s="2126"/>
      <c r="AF53" s="2126"/>
      <c r="AG53" s="2126"/>
      <c r="AH53" s="2126"/>
      <c r="AI53" s="2126"/>
      <c r="AJ53" s="2126"/>
      <c r="AK53" s="2126"/>
      <c r="AL53" s="2126"/>
      <c r="AM53" s="2126"/>
      <c r="AN53" s="2126"/>
      <c r="AO53" s="2126"/>
      <c r="AP53" s="2126"/>
      <c r="AQ53" s="2126"/>
      <c r="AR53" s="2126"/>
      <c r="AS53" s="2126"/>
      <c r="AT53" s="2126"/>
      <c r="AU53" s="2126"/>
      <c r="AV53" s="2126"/>
      <c r="AW53" s="2126"/>
      <c r="AX53" s="2126"/>
      <c r="AY53" s="2126"/>
      <c r="AZ53" s="2126"/>
      <c r="BA53" s="2126"/>
      <c r="BB53" s="2126"/>
      <c r="BD53" s="2142"/>
      <c r="BE53" s="2142"/>
      <c r="BF53" s="2143"/>
      <c r="BG53" s="2143"/>
      <c r="BH53" s="2143"/>
      <c r="BI53" s="2143"/>
      <c r="BJ53" s="2143"/>
      <c r="BK53" s="2144"/>
      <c r="BL53" s="2144"/>
      <c r="BM53" s="2145"/>
      <c r="BN53" s="2145"/>
      <c r="BO53" s="2145"/>
      <c r="BP53" s="2144"/>
      <c r="BQ53" s="2144"/>
      <c r="BR53" s="2144"/>
      <c r="BS53" s="2144"/>
      <c r="BT53" s="2144"/>
      <c r="BU53" s="2146"/>
      <c r="BV53" s="2147"/>
      <c r="BW53" s="2147"/>
      <c r="BX53" s="2147"/>
      <c r="BY53" s="1713"/>
      <c r="BZ53" s="1713"/>
      <c r="CA53" s="1713"/>
      <c r="CB53" s="1713"/>
      <c r="CC53" s="1713"/>
      <c r="CD53" s="1713"/>
      <c r="CE53" s="1713"/>
      <c r="CF53" s="1713"/>
      <c r="CG53" s="1713"/>
      <c r="CH53" s="1713"/>
      <c r="CI53" s="1713"/>
      <c r="CJ53" s="1713"/>
    </row>
    <row r="54" spans="1:88" s="2128" customFormat="1" ht="14.25" x14ac:dyDescent="0.2">
      <c r="A54" s="2148"/>
      <c r="B54" s="2149"/>
      <c r="C54" s="2149"/>
      <c r="D54" s="2149"/>
      <c r="E54" s="2149"/>
      <c r="F54" s="2149"/>
      <c r="G54" s="2149"/>
      <c r="H54" s="2150"/>
      <c r="I54" s="2126"/>
      <c r="J54" s="2126"/>
      <c r="K54" s="2126"/>
      <c r="L54" s="2126"/>
      <c r="M54" s="2126"/>
      <c r="N54" s="2126"/>
      <c r="O54" s="2126"/>
      <c r="P54" s="2126"/>
      <c r="Q54" s="2126"/>
      <c r="R54" s="2126"/>
      <c r="S54" s="2126"/>
      <c r="T54" s="2126"/>
      <c r="U54" s="2126"/>
      <c r="V54" s="2126"/>
      <c r="W54" s="2126"/>
      <c r="X54" s="2126"/>
      <c r="Y54" s="2126"/>
      <c r="Z54" s="2126"/>
      <c r="AA54" s="2127"/>
      <c r="AB54" s="2135"/>
      <c r="AC54" s="2126"/>
      <c r="AD54" s="2126"/>
      <c r="AE54" s="2126"/>
      <c r="AF54" s="2126"/>
      <c r="AG54" s="2126"/>
      <c r="AH54" s="2126"/>
      <c r="AI54" s="2126"/>
      <c r="AJ54" s="2126"/>
      <c r="AK54" s="2126"/>
      <c r="AL54" s="2126"/>
      <c r="AM54" s="2126"/>
      <c r="AN54" s="2126"/>
      <c r="AO54" s="2126"/>
      <c r="AP54" s="2126"/>
      <c r="AQ54" s="2126"/>
      <c r="AR54" s="2126"/>
      <c r="AS54" s="2126"/>
      <c r="AT54" s="2126"/>
      <c r="AU54" s="2126"/>
      <c r="AV54" s="2126"/>
      <c r="AW54" s="2126"/>
      <c r="AX54" s="2126"/>
      <c r="AY54" s="2126"/>
      <c r="AZ54" s="2126"/>
      <c r="BA54" s="2126"/>
      <c r="BB54" s="2126"/>
      <c r="BD54" s="2142"/>
      <c r="BE54" s="2142"/>
      <c r="BF54" s="2143"/>
      <c r="BG54" s="2143"/>
      <c r="BH54" s="2143"/>
      <c r="BI54" s="2143"/>
      <c r="BJ54" s="2143"/>
      <c r="BK54" s="2144"/>
      <c r="BL54" s="2144"/>
      <c r="BM54" s="2145"/>
      <c r="BN54" s="2145"/>
      <c r="BO54" s="2145"/>
      <c r="BP54" s="2144"/>
      <c r="BQ54" s="2144"/>
      <c r="BR54" s="2144"/>
      <c r="BS54" s="2144"/>
      <c r="BT54" s="2144"/>
      <c r="BU54" s="2146"/>
      <c r="BV54" s="2147"/>
      <c r="BW54" s="2147"/>
      <c r="BX54" s="2147"/>
      <c r="BY54" s="1713"/>
      <c r="BZ54" s="1713"/>
      <c r="CA54" s="1713"/>
      <c r="CB54" s="1713"/>
      <c r="CC54" s="1713"/>
      <c r="CD54" s="1713"/>
      <c r="CE54" s="1713"/>
      <c r="CF54" s="1713"/>
      <c r="CG54" s="1713"/>
      <c r="CH54" s="1713"/>
      <c r="CI54" s="1713"/>
      <c r="CJ54" s="1713"/>
    </row>
    <row r="55" spans="1:88" s="2128" customFormat="1" ht="14.25" x14ac:dyDescent="0.2">
      <c r="A55" s="2148"/>
      <c r="B55" s="2149"/>
      <c r="C55" s="2149"/>
      <c r="D55" s="2149"/>
      <c r="E55" s="2149"/>
      <c r="F55" s="2149"/>
      <c r="G55" s="2149"/>
      <c r="H55" s="2150"/>
      <c r="I55" s="2126"/>
      <c r="J55" s="2126"/>
      <c r="K55" s="2126"/>
      <c r="L55" s="2126"/>
      <c r="M55" s="2126"/>
      <c r="N55" s="2126"/>
      <c r="O55" s="2126"/>
      <c r="P55" s="2126"/>
      <c r="Q55" s="2126"/>
      <c r="R55" s="2126"/>
      <c r="S55" s="2126"/>
      <c r="T55" s="2126"/>
      <c r="U55" s="2126"/>
      <c r="V55" s="2126"/>
      <c r="W55" s="2126"/>
      <c r="X55" s="2126"/>
      <c r="Y55" s="2126"/>
      <c r="Z55" s="2126"/>
      <c r="AA55" s="2127"/>
      <c r="AB55" s="2135"/>
      <c r="AC55" s="2126"/>
      <c r="AD55" s="2126"/>
      <c r="AE55" s="2126"/>
      <c r="AF55" s="2126"/>
      <c r="AG55" s="2126"/>
      <c r="AH55" s="2126"/>
      <c r="AI55" s="2126"/>
      <c r="AJ55" s="2126"/>
      <c r="AK55" s="2126"/>
      <c r="AL55" s="2126"/>
      <c r="AM55" s="2126"/>
      <c r="AN55" s="2126"/>
      <c r="AO55" s="2126"/>
      <c r="AP55" s="2126"/>
      <c r="AQ55" s="2126"/>
      <c r="AR55" s="2126"/>
      <c r="AS55" s="2126"/>
      <c r="AT55" s="2126"/>
      <c r="AU55" s="2126"/>
      <c r="AV55" s="2126"/>
      <c r="AW55" s="2126"/>
      <c r="AX55" s="2126"/>
      <c r="AY55" s="2126"/>
      <c r="AZ55" s="2126"/>
      <c r="BA55" s="2126"/>
      <c r="BB55" s="2126"/>
      <c r="BD55" s="2142"/>
      <c r="BE55" s="2142"/>
      <c r="BF55" s="2143"/>
      <c r="BG55" s="2143"/>
      <c r="BH55" s="2143"/>
      <c r="BI55" s="2143"/>
      <c r="BJ55" s="2143"/>
      <c r="BK55" s="2144"/>
      <c r="BL55" s="2144"/>
      <c r="BM55" s="2145"/>
      <c r="BN55" s="2145"/>
      <c r="BO55" s="2145"/>
      <c r="BP55" s="2144"/>
      <c r="BQ55" s="2144"/>
      <c r="BR55" s="2144"/>
      <c r="BS55" s="2144"/>
      <c r="BT55" s="2144"/>
      <c r="BU55" s="2146"/>
      <c r="BV55" s="2147"/>
      <c r="BW55" s="2147"/>
      <c r="BX55" s="2147"/>
      <c r="BY55" s="1713"/>
      <c r="BZ55" s="1713"/>
      <c r="CA55" s="1713"/>
      <c r="CB55" s="1713"/>
      <c r="CC55" s="1713"/>
      <c r="CD55" s="1713"/>
      <c r="CE55" s="1713"/>
      <c r="CF55" s="1713"/>
      <c r="CG55" s="1713"/>
      <c r="CH55" s="1713"/>
      <c r="CI55" s="1713"/>
      <c r="CJ55" s="1713"/>
    </row>
    <row r="56" spans="1:88" s="2128" customFormat="1" ht="22.5" x14ac:dyDescent="0.2">
      <c r="A56" s="2129" t="s">
        <v>641</v>
      </c>
      <c r="B56" s="2130" t="s">
        <v>5704</v>
      </c>
      <c r="C56" s="2130" t="s">
        <v>9038</v>
      </c>
      <c r="D56" s="2131">
        <v>11937.12</v>
      </c>
      <c r="E56" s="2131">
        <v>361.13</v>
      </c>
      <c r="F56" s="2131">
        <v>9068.4699999999993</v>
      </c>
      <c r="G56" s="2131"/>
      <c r="H56" s="2131">
        <v>21366.720000000001</v>
      </c>
      <c r="I56" s="2126"/>
      <c r="J56" s="2126"/>
      <c r="K56" s="2126"/>
      <c r="L56" s="2126"/>
      <c r="M56" s="2126"/>
      <c r="N56" s="2126"/>
      <c r="O56" s="2126"/>
      <c r="P56" s="2126"/>
      <c r="Q56" s="2126"/>
      <c r="R56" s="2126"/>
      <c r="S56" s="2126"/>
      <c r="T56" s="2126"/>
      <c r="U56" s="2126"/>
      <c r="V56" s="2126"/>
      <c r="W56" s="2126"/>
      <c r="X56" s="2126"/>
      <c r="Y56" s="2126"/>
      <c r="Z56" s="2126"/>
      <c r="AA56" s="2127"/>
      <c r="AB56" s="2135"/>
      <c r="AC56" s="2126"/>
      <c r="AD56" s="2126"/>
      <c r="AE56" s="2126"/>
      <c r="AF56" s="2126"/>
      <c r="AG56" s="2126"/>
      <c r="AH56" s="2126"/>
      <c r="AI56" s="2126"/>
      <c r="AJ56" s="2126"/>
      <c r="AK56" s="2126"/>
      <c r="AL56" s="2126"/>
      <c r="AM56" s="2126"/>
      <c r="AN56" s="2126"/>
      <c r="AO56" s="2126"/>
      <c r="AP56" s="2126"/>
      <c r="AQ56" s="2126"/>
      <c r="AR56" s="2126"/>
      <c r="AS56" s="2126"/>
      <c r="AT56" s="2126"/>
      <c r="AU56" s="2126"/>
      <c r="AV56" s="2126"/>
      <c r="AW56" s="2126"/>
      <c r="AX56" s="2126"/>
      <c r="AY56" s="2126"/>
      <c r="AZ56" s="2126"/>
      <c r="BA56" s="2126"/>
      <c r="BB56" s="2126"/>
      <c r="BD56" s="2142" t="s">
        <v>5317</v>
      </c>
      <c r="BE56" s="2142" t="s">
        <v>9039</v>
      </c>
      <c r="BF56" s="2143">
        <v>243.81</v>
      </c>
      <c r="BG56" s="2143"/>
      <c r="BH56" s="2143">
        <v>515.87</v>
      </c>
      <c r="BI56" s="2143"/>
      <c r="BJ56" s="2143">
        <v>759.68</v>
      </c>
      <c r="BK56" s="2144"/>
      <c r="BL56" s="2144">
        <f t="shared" si="0"/>
        <v>4.5</v>
      </c>
      <c r="BM56" s="2145">
        <f t="shared" ref="BM56:BM61" si="8">BM82</f>
        <v>0</v>
      </c>
      <c r="BN56" s="2145">
        <f t="shared" si="1"/>
        <v>9.58</v>
      </c>
      <c r="BO56" s="2145">
        <f t="shared" ref="BO56:BO59" si="9">BO82-BO77</f>
        <v>0</v>
      </c>
      <c r="BP56" s="2144">
        <f t="shared" si="2"/>
        <v>2.23</v>
      </c>
      <c r="BQ56" s="2144">
        <f t="shared" si="3"/>
        <v>40.19</v>
      </c>
      <c r="BR56" s="2144">
        <f t="shared" si="4"/>
        <v>816.18</v>
      </c>
      <c r="BS56" s="2144">
        <f t="shared" si="5"/>
        <v>832.5</v>
      </c>
      <c r="BT56" s="2144">
        <f t="shared" si="6"/>
        <v>999</v>
      </c>
      <c r="BU56" s="2146"/>
      <c r="BV56" s="2147"/>
      <c r="BW56" s="2147"/>
      <c r="BX56" s="2147"/>
      <c r="BY56" s="1713"/>
      <c r="BZ56" s="1713"/>
      <c r="CA56" s="1713"/>
      <c r="CB56" s="1713"/>
      <c r="CC56" s="1713"/>
      <c r="CD56" s="1713"/>
      <c r="CE56" s="1713"/>
      <c r="CF56" s="1713"/>
      <c r="CG56" s="1713"/>
      <c r="CH56" s="1713"/>
      <c r="CI56" s="1713"/>
      <c r="CJ56" s="1713"/>
    </row>
    <row r="57" spans="1:88" s="2128" customFormat="1" ht="14.25" x14ac:dyDescent="0.2">
      <c r="A57" s="2129" t="s">
        <v>650</v>
      </c>
      <c r="B57" s="2130" t="s">
        <v>9040</v>
      </c>
      <c r="C57" s="2130" t="s">
        <v>9041</v>
      </c>
      <c r="D57" s="2131">
        <v>1233.53</v>
      </c>
      <c r="E57" s="2131">
        <v>3.98</v>
      </c>
      <c r="F57" s="2131">
        <v>1096.33</v>
      </c>
      <c r="G57" s="2131"/>
      <c r="H57" s="2131">
        <v>2333.84</v>
      </c>
      <c r="I57" s="2126"/>
      <c r="J57" s="2126"/>
      <c r="K57" s="2126"/>
      <c r="L57" s="2126"/>
      <c r="M57" s="2126"/>
      <c r="N57" s="2126"/>
      <c r="O57" s="2126"/>
      <c r="P57" s="2126"/>
      <c r="Q57" s="2126"/>
      <c r="R57" s="2126"/>
      <c r="S57" s="2126"/>
      <c r="T57" s="2126"/>
      <c r="U57" s="2126"/>
      <c r="V57" s="2126"/>
      <c r="W57" s="2126"/>
      <c r="X57" s="2126"/>
      <c r="Y57" s="2126"/>
      <c r="Z57" s="2126"/>
      <c r="AA57" s="2127"/>
      <c r="AB57" s="2135"/>
      <c r="AC57" s="2126"/>
      <c r="AD57" s="2126"/>
      <c r="AE57" s="2126"/>
      <c r="AF57" s="2126"/>
      <c r="AG57" s="2126"/>
      <c r="AH57" s="2126"/>
      <c r="AI57" s="2126"/>
      <c r="AJ57" s="2126"/>
      <c r="AK57" s="2126"/>
      <c r="AL57" s="2126"/>
      <c r="AM57" s="2126"/>
      <c r="AN57" s="2126"/>
      <c r="AO57" s="2126"/>
      <c r="AP57" s="2126"/>
      <c r="AQ57" s="2126"/>
      <c r="AR57" s="2126"/>
      <c r="AS57" s="2126"/>
      <c r="AT57" s="2126"/>
      <c r="AU57" s="2126"/>
      <c r="AV57" s="2126"/>
      <c r="AW57" s="2126"/>
      <c r="AX57" s="2126"/>
      <c r="AY57" s="2126"/>
      <c r="AZ57" s="2126"/>
      <c r="BA57" s="2126"/>
      <c r="BB57" s="2126"/>
      <c r="BD57" s="2142" t="s">
        <v>5321</v>
      </c>
      <c r="BE57" s="2142" t="s">
        <v>9042</v>
      </c>
      <c r="BF57" s="2143">
        <v>150.33000000000001</v>
      </c>
      <c r="BG57" s="2143">
        <v>8421.18</v>
      </c>
      <c r="BH57" s="2143">
        <v>7720.04</v>
      </c>
      <c r="BI57" s="2143"/>
      <c r="BJ57" s="2143">
        <v>16291.55</v>
      </c>
      <c r="BK57" s="2144"/>
      <c r="BL57" s="2144">
        <f t="shared" si="0"/>
        <v>158.06</v>
      </c>
      <c r="BM57" s="2145">
        <f t="shared" si="8"/>
        <v>0</v>
      </c>
      <c r="BN57" s="2145">
        <f t="shared" si="1"/>
        <v>336.65</v>
      </c>
      <c r="BO57" s="2145">
        <f t="shared" si="9"/>
        <v>0</v>
      </c>
      <c r="BP57" s="2144">
        <f t="shared" si="2"/>
        <v>78.42</v>
      </c>
      <c r="BQ57" s="2144">
        <f t="shared" si="3"/>
        <v>1413.03</v>
      </c>
      <c r="BR57" s="2144">
        <f t="shared" si="4"/>
        <v>18277.71</v>
      </c>
      <c r="BS57" s="2144">
        <f t="shared" si="5"/>
        <v>18643.259999999998</v>
      </c>
      <c r="BT57" s="2144">
        <f t="shared" si="6"/>
        <v>22371.91</v>
      </c>
      <c r="BU57" s="2146"/>
      <c r="BV57" s="2147"/>
      <c r="BW57" s="2147"/>
      <c r="BX57" s="2147"/>
      <c r="BY57" s="1713"/>
      <c r="BZ57" s="1713"/>
      <c r="CA57" s="1713"/>
      <c r="CB57" s="1713"/>
      <c r="CC57" s="1713"/>
      <c r="CD57" s="1713"/>
      <c r="CE57" s="1713"/>
      <c r="CF57" s="1713"/>
      <c r="CG57" s="1713"/>
      <c r="CH57" s="1713"/>
      <c r="CI57" s="1713"/>
      <c r="CJ57" s="1713"/>
    </row>
    <row r="58" spans="1:88" s="2128" customFormat="1" ht="22.5" x14ac:dyDescent="0.2">
      <c r="A58" s="2132"/>
      <c r="B58" s="2951" t="s">
        <v>711</v>
      </c>
      <c r="C58" s="2952"/>
      <c r="D58" s="2133">
        <v>13170.65</v>
      </c>
      <c r="E58" s="2133">
        <v>365.11</v>
      </c>
      <c r="F58" s="2134">
        <v>10164.799999999999</v>
      </c>
      <c r="G58" s="2134"/>
      <c r="H58" s="2134">
        <v>23700.560000000001</v>
      </c>
      <c r="I58" s="2126"/>
      <c r="J58" s="2126"/>
      <c r="K58" s="2126"/>
      <c r="L58" s="2126"/>
      <c r="M58" s="2126"/>
      <c r="N58" s="2126"/>
      <c r="O58" s="2126"/>
      <c r="P58" s="2126"/>
      <c r="Q58" s="2126"/>
      <c r="R58" s="2126"/>
      <c r="S58" s="2126"/>
      <c r="T58" s="2126"/>
      <c r="U58" s="2126"/>
      <c r="V58" s="2126"/>
      <c r="W58" s="2126"/>
      <c r="X58" s="2126"/>
      <c r="Y58" s="2126"/>
      <c r="Z58" s="2126"/>
      <c r="AA58" s="2127"/>
      <c r="AB58" s="2135" t="s">
        <v>711</v>
      </c>
      <c r="AC58" s="2126"/>
      <c r="AD58" s="2126"/>
      <c r="AE58" s="2126"/>
      <c r="AF58" s="2126"/>
      <c r="AG58" s="2126"/>
      <c r="AH58" s="2126"/>
      <c r="AI58" s="2126"/>
      <c r="AJ58" s="2126"/>
      <c r="AK58" s="2126"/>
      <c r="AL58" s="2126"/>
      <c r="AM58" s="2126"/>
      <c r="AN58" s="2126"/>
      <c r="AO58" s="2126"/>
      <c r="AP58" s="2126"/>
      <c r="AQ58" s="2126"/>
      <c r="AR58" s="2126"/>
      <c r="AS58" s="2126"/>
      <c r="AT58" s="2126"/>
      <c r="AU58" s="2126"/>
      <c r="AV58" s="2126"/>
      <c r="AW58" s="2126"/>
      <c r="AX58" s="2126"/>
      <c r="AY58" s="2126"/>
      <c r="AZ58" s="2126"/>
      <c r="BA58" s="2126"/>
      <c r="BB58" s="2126"/>
      <c r="BD58" s="2142" t="s">
        <v>5325</v>
      </c>
      <c r="BE58" s="2142" t="s">
        <v>9043</v>
      </c>
      <c r="BF58" s="2143">
        <v>225.51</v>
      </c>
      <c r="BG58" s="2143">
        <v>108.25</v>
      </c>
      <c r="BH58" s="2143">
        <v>519.16999999999996</v>
      </c>
      <c r="BI58" s="2143"/>
      <c r="BJ58" s="2143">
        <v>852.93</v>
      </c>
      <c r="BK58" s="2144"/>
      <c r="BL58" s="2144">
        <f t="shared" si="0"/>
        <v>6.15</v>
      </c>
      <c r="BM58" s="2145">
        <f t="shared" si="8"/>
        <v>0</v>
      </c>
      <c r="BN58" s="2145">
        <f t="shared" si="1"/>
        <v>13.11</v>
      </c>
      <c r="BO58" s="2145">
        <f t="shared" si="9"/>
        <v>0</v>
      </c>
      <c r="BP58" s="2144">
        <f t="shared" si="2"/>
        <v>3.05</v>
      </c>
      <c r="BQ58" s="2144">
        <f t="shared" si="3"/>
        <v>55.02</v>
      </c>
      <c r="BR58" s="2144">
        <f t="shared" si="4"/>
        <v>930.26</v>
      </c>
      <c r="BS58" s="2144">
        <f t="shared" si="5"/>
        <v>948.87</v>
      </c>
      <c r="BT58" s="2144">
        <f t="shared" si="6"/>
        <v>1138.6400000000001</v>
      </c>
      <c r="BU58" s="2146"/>
      <c r="BV58" s="2147"/>
      <c r="BW58" s="2147"/>
      <c r="BX58" s="2147"/>
      <c r="BY58" s="1713"/>
      <c r="BZ58" s="1713"/>
      <c r="CA58" s="1713"/>
      <c r="CB58" s="1713"/>
      <c r="CC58" s="1713"/>
      <c r="CD58" s="1713"/>
      <c r="CE58" s="1713"/>
      <c r="CF58" s="1713"/>
      <c r="CG58" s="1713"/>
      <c r="CH58" s="1713"/>
      <c r="CI58" s="1713"/>
      <c r="CJ58" s="1713"/>
    </row>
    <row r="59" spans="1:88" s="2128" customFormat="1" ht="14.25" x14ac:dyDescent="0.2">
      <c r="A59" s="2953" t="s">
        <v>712</v>
      </c>
      <c r="B59" s="2954"/>
      <c r="C59" s="2954"/>
      <c r="D59" s="2954"/>
      <c r="E59" s="2954"/>
      <c r="F59" s="2954"/>
      <c r="G59" s="2954"/>
      <c r="H59" s="2955"/>
      <c r="I59" s="2126"/>
      <c r="J59" s="2126"/>
      <c r="K59" s="2126"/>
      <c r="L59" s="2126"/>
      <c r="M59" s="2126"/>
      <c r="N59" s="2126"/>
      <c r="O59" s="2126"/>
      <c r="P59" s="2126"/>
      <c r="Q59" s="2126"/>
      <c r="R59" s="2126"/>
      <c r="S59" s="2126"/>
      <c r="T59" s="2126"/>
      <c r="U59" s="2126"/>
      <c r="V59" s="2126"/>
      <c r="W59" s="2126"/>
      <c r="X59" s="2126"/>
      <c r="Y59" s="2126"/>
      <c r="Z59" s="2126"/>
      <c r="AA59" s="2127" t="s">
        <v>712</v>
      </c>
      <c r="AB59" s="2135"/>
      <c r="AC59" s="2126"/>
      <c r="AD59" s="2126"/>
      <c r="AE59" s="2126"/>
      <c r="AF59" s="2126"/>
      <c r="AG59" s="2126"/>
      <c r="AH59" s="2126"/>
      <c r="AI59" s="2126"/>
      <c r="AJ59" s="2126"/>
      <c r="AK59" s="2126"/>
      <c r="AL59" s="2126"/>
      <c r="AM59" s="2126"/>
      <c r="AN59" s="2126"/>
      <c r="AO59" s="2126"/>
      <c r="AP59" s="2126"/>
      <c r="AQ59" s="2126"/>
      <c r="AR59" s="2126"/>
      <c r="AS59" s="2126"/>
      <c r="AT59" s="2126"/>
      <c r="AU59" s="2126"/>
      <c r="AV59" s="2126"/>
      <c r="AW59" s="2126"/>
      <c r="AX59" s="2126"/>
      <c r="AY59" s="2126"/>
      <c r="AZ59" s="2126"/>
      <c r="BA59" s="2126"/>
      <c r="BB59" s="2126"/>
      <c r="BD59" s="2142" t="s">
        <v>5328</v>
      </c>
      <c r="BE59" s="2142" t="s">
        <v>9044</v>
      </c>
      <c r="BF59" s="2143">
        <v>36.479999999999997</v>
      </c>
      <c r="BG59" s="2143">
        <v>277.97000000000003</v>
      </c>
      <c r="BH59" s="2143">
        <v>33367.33</v>
      </c>
      <c r="BI59" s="2143"/>
      <c r="BJ59" s="2143">
        <v>33681.78</v>
      </c>
      <c r="BK59" s="2144"/>
      <c r="BL59" s="2144">
        <f t="shared" si="0"/>
        <v>5.8</v>
      </c>
      <c r="BM59" s="2145">
        <f t="shared" si="8"/>
        <v>0</v>
      </c>
      <c r="BN59" s="2145">
        <f t="shared" si="1"/>
        <v>12.35</v>
      </c>
      <c r="BO59" s="2145">
        <f t="shared" si="9"/>
        <v>0</v>
      </c>
      <c r="BP59" s="2144">
        <f t="shared" si="2"/>
        <v>2.88</v>
      </c>
      <c r="BQ59" s="2144">
        <f t="shared" si="3"/>
        <v>51.84</v>
      </c>
      <c r="BR59" s="2144">
        <f t="shared" si="4"/>
        <v>33754.65</v>
      </c>
      <c r="BS59" s="2144">
        <f t="shared" si="5"/>
        <v>34429.74</v>
      </c>
      <c r="BT59" s="2144">
        <f t="shared" si="6"/>
        <v>41315.69</v>
      </c>
      <c r="BU59" s="2146"/>
      <c r="BV59" s="2147"/>
      <c r="BW59" s="2147"/>
      <c r="BX59" s="2147"/>
      <c r="BY59" s="1713"/>
      <c r="BZ59" s="1713"/>
      <c r="CA59" s="1713"/>
      <c r="CB59" s="1713"/>
      <c r="CC59" s="1713"/>
      <c r="CD59" s="1713"/>
      <c r="CE59" s="1713"/>
      <c r="CF59" s="1713"/>
      <c r="CG59" s="1713"/>
      <c r="CH59" s="1713"/>
      <c r="CI59" s="1713"/>
      <c r="CJ59" s="1713"/>
    </row>
    <row r="60" spans="1:88" s="2128" customFormat="1" ht="22.5" x14ac:dyDescent="0.2">
      <c r="A60" s="2129" t="s">
        <v>651</v>
      </c>
      <c r="B60" s="2130" t="s">
        <v>9045</v>
      </c>
      <c r="C60" s="2130" t="s">
        <v>5970</v>
      </c>
      <c r="D60" s="2131">
        <v>28074.5</v>
      </c>
      <c r="E60" s="2131"/>
      <c r="F60" s="2131">
        <v>32.57</v>
      </c>
      <c r="G60" s="2131"/>
      <c r="H60" s="2131">
        <v>28107.07</v>
      </c>
      <c r="I60" s="2126"/>
      <c r="J60" s="2126"/>
      <c r="K60" s="2126"/>
      <c r="L60" s="2126"/>
      <c r="M60" s="2126"/>
      <c r="N60" s="2126"/>
      <c r="O60" s="2126"/>
      <c r="P60" s="2126"/>
      <c r="Q60" s="2126"/>
      <c r="R60" s="2126"/>
      <c r="S60" s="2126"/>
      <c r="T60" s="2126"/>
      <c r="U60" s="2126"/>
      <c r="V60" s="2126"/>
      <c r="W60" s="2126"/>
      <c r="X60" s="2126"/>
      <c r="Y60" s="2126"/>
      <c r="Z60" s="2126"/>
      <c r="AA60" s="2127"/>
      <c r="AB60" s="2135"/>
      <c r="AC60" s="2126"/>
      <c r="AD60" s="2126"/>
      <c r="AE60" s="2126"/>
      <c r="AF60" s="2126"/>
      <c r="AG60" s="2126"/>
      <c r="AH60" s="2126"/>
      <c r="AI60" s="2126"/>
      <c r="AJ60" s="2126"/>
      <c r="AK60" s="2126"/>
      <c r="AL60" s="2126"/>
      <c r="AM60" s="2126"/>
      <c r="AN60" s="2126"/>
      <c r="AO60" s="2126"/>
      <c r="AP60" s="2126"/>
      <c r="AQ60" s="2126"/>
      <c r="AR60" s="2126"/>
      <c r="AS60" s="2126"/>
      <c r="AT60" s="2126"/>
      <c r="AU60" s="2126"/>
      <c r="AV60" s="2126"/>
      <c r="AW60" s="2126"/>
      <c r="AX60" s="2126"/>
      <c r="AY60" s="2126"/>
      <c r="AZ60" s="2126"/>
      <c r="BA60" s="2126"/>
      <c r="BB60" s="2126"/>
      <c r="BD60" s="2142" t="s">
        <v>5331</v>
      </c>
      <c r="BE60" s="2142" t="s">
        <v>9046</v>
      </c>
      <c r="BF60" s="2143">
        <v>1000.16</v>
      </c>
      <c r="BG60" s="2143">
        <v>3112.99</v>
      </c>
      <c r="BH60" s="2143">
        <v>11083.46</v>
      </c>
      <c r="BI60" s="2143"/>
      <c r="BJ60" s="2143">
        <v>15196.61</v>
      </c>
      <c r="BK60" s="2144"/>
      <c r="BL60" s="2144">
        <f t="shared" si="0"/>
        <v>75.849999999999994</v>
      </c>
      <c r="BM60" s="2145">
        <f t="shared" si="8"/>
        <v>0</v>
      </c>
      <c r="BN60" s="2145">
        <f t="shared" si="1"/>
        <v>161.55000000000001</v>
      </c>
      <c r="BO60" s="2145">
        <v>660.05</v>
      </c>
      <c r="BP60" s="2144">
        <f t="shared" si="2"/>
        <v>37.630000000000003</v>
      </c>
      <c r="BQ60" s="2144">
        <f t="shared" si="3"/>
        <v>678.06</v>
      </c>
      <c r="BR60" s="2144">
        <f t="shared" si="4"/>
        <v>16809.75</v>
      </c>
      <c r="BS60" s="2144">
        <f t="shared" si="5"/>
        <v>17145.95</v>
      </c>
      <c r="BT60" s="2144">
        <f t="shared" si="6"/>
        <v>20575.14</v>
      </c>
      <c r="BU60" s="2146"/>
      <c r="BV60" s="2147"/>
      <c r="BW60" s="2147"/>
      <c r="BX60" s="2147"/>
      <c r="BY60" s="1713"/>
      <c r="BZ60" s="1713"/>
      <c r="CA60" s="1713"/>
      <c r="CB60" s="1713"/>
      <c r="CC60" s="1713"/>
      <c r="CD60" s="1713"/>
      <c r="CE60" s="1713"/>
      <c r="CF60" s="1713"/>
      <c r="CG60" s="1713"/>
      <c r="CH60" s="1713"/>
      <c r="CI60" s="1713"/>
      <c r="CJ60" s="1713"/>
    </row>
    <row r="61" spans="1:88" s="2128" customFormat="1" ht="14.25" x14ac:dyDescent="0.2">
      <c r="A61" s="2129" t="s">
        <v>652</v>
      </c>
      <c r="B61" s="2130" t="s">
        <v>9047</v>
      </c>
      <c r="C61" s="2130" t="s">
        <v>9048</v>
      </c>
      <c r="D61" s="2131">
        <v>1055.48</v>
      </c>
      <c r="E61" s="2131">
        <v>332</v>
      </c>
      <c r="F61" s="2131">
        <v>43.85</v>
      </c>
      <c r="G61" s="2131"/>
      <c r="H61" s="2131">
        <v>1431.33</v>
      </c>
      <c r="I61" s="2126"/>
      <c r="J61" s="2126"/>
      <c r="K61" s="2126"/>
      <c r="L61" s="2126"/>
      <c r="M61" s="2126"/>
      <c r="N61" s="2126"/>
      <c r="O61" s="2126"/>
      <c r="P61" s="2126"/>
      <c r="Q61" s="2126"/>
      <c r="R61" s="2126"/>
      <c r="S61" s="2126"/>
      <c r="T61" s="2126"/>
      <c r="U61" s="2126"/>
      <c r="V61" s="2126"/>
      <c r="W61" s="2126"/>
      <c r="X61" s="2126"/>
      <c r="Y61" s="2126"/>
      <c r="Z61" s="2126"/>
      <c r="AA61" s="2127"/>
      <c r="AB61" s="2135"/>
      <c r="AC61" s="2126"/>
      <c r="AD61" s="2126"/>
      <c r="AE61" s="2126"/>
      <c r="AF61" s="2126"/>
      <c r="AG61" s="2126"/>
      <c r="AH61" s="2126"/>
      <c r="AI61" s="2126"/>
      <c r="AJ61" s="2126"/>
      <c r="AK61" s="2126"/>
      <c r="AL61" s="2126"/>
      <c r="AM61" s="2126"/>
      <c r="AN61" s="2126"/>
      <c r="AO61" s="2126"/>
      <c r="AP61" s="2126"/>
      <c r="AQ61" s="2126"/>
      <c r="AR61" s="2126"/>
      <c r="AS61" s="2126"/>
      <c r="AT61" s="2126"/>
      <c r="AU61" s="2126"/>
      <c r="AV61" s="2126"/>
      <c r="AW61" s="2126"/>
      <c r="AX61" s="2126"/>
      <c r="AY61" s="2126"/>
      <c r="AZ61" s="2126"/>
      <c r="BA61" s="2126"/>
      <c r="BB61" s="2126"/>
      <c r="BD61" s="2142" t="s">
        <v>5334</v>
      </c>
      <c r="BE61" s="2142" t="s">
        <v>9049</v>
      </c>
      <c r="BF61" s="2143"/>
      <c r="BG61" s="2143">
        <v>2760.23</v>
      </c>
      <c r="BH61" s="2143">
        <v>22953.39</v>
      </c>
      <c r="BI61" s="2143"/>
      <c r="BJ61" s="2143">
        <v>25713.62</v>
      </c>
      <c r="BK61" s="2144"/>
      <c r="BL61" s="2144">
        <f t="shared" si="0"/>
        <v>50.9</v>
      </c>
      <c r="BM61" s="2145">
        <f t="shared" si="8"/>
        <v>0</v>
      </c>
      <c r="BN61" s="2145">
        <f t="shared" si="1"/>
        <v>108.41</v>
      </c>
      <c r="BO61" s="2145">
        <v>3214.81</v>
      </c>
      <c r="BP61" s="2144">
        <f t="shared" si="2"/>
        <v>25.25</v>
      </c>
      <c r="BQ61" s="2144">
        <f t="shared" si="3"/>
        <v>455.03</v>
      </c>
      <c r="BR61" s="2144">
        <f t="shared" si="4"/>
        <v>29568.02</v>
      </c>
      <c r="BS61" s="2144">
        <f t="shared" si="5"/>
        <v>30159.38</v>
      </c>
      <c r="BT61" s="2144">
        <f t="shared" si="6"/>
        <v>36191.26</v>
      </c>
      <c r="BU61" s="2146"/>
      <c r="BV61" s="2147"/>
      <c r="BW61" s="2147"/>
      <c r="BX61" s="2147"/>
      <c r="BY61" s="1713"/>
      <c r="BZ61" s="1713"/>
      <c r="CA61" s="1713"/>
      <c r="CB61" s="1713"/>
      <c r="CC61" s="1713"/>
      <c r="CD61" s="1713"/>
      <c r="CE61" s="1713"/>
      <c r="CF61" s="1713"/>
      <c r="CG61" s="1713"/>
      <c r="CH61" s="1713"/>
      <c r="CI61" s="1713"/>
      <c r="CJ61" s="1713"/>
    </row>
    <row r="62" spans="1:88" s="2128" customFormat="1" ht="14.25" x14ac:dyDescent="0.2">
      <c r="A62" s="2153"/>
      <c r="B62" s="2956" t="s">
        <v>713</v>
      </c>
      <c r="C62" s="2957"/>
      <c r="D62" s="2154">
        <v>29129.98</v>
      </c>
      <c r="E62" s="2154">
        <v>332</v>
      </c>
      <c r="F62" s="2155">
        <v>76.42</v>
      </c>
      <c r="G62" s="2155"/>
      <c r="H62" s="2155">
        <v>29538.400000000001</v>
      </c>
      <c r="I62" s="2126"/>
      <c r="J62" s="2126"/>
      <c r="K62" s="2126"/>
      <c r="L62" s="2126"/>
      <c r="M62" s="2126"/>
      <c r="N62" s="2126"/>
      <c r="O62" s="2126"/>
      <c r="P62" s="2126"/>
      <c r="Q62" s="2126"/>
      <c r="R62" s="2126"/>
      <c r="S62" s="2126"/>
      <c r="T62" s="2126"/>
      <c r="U62" s="2126"/>
      <c r="V62" s="2126"/>
      <c r="W62" s="2126"/>
      <c r="X62" s="2126"/>
      <c r="Y62" s="2126"/>
      <c r="Z62" s="2126"/>
      <c r="AA62" s="2127"/>
      <c r="AB62" s="2135" t="s">
        <v>713</v>
      </c>
      <c r="AC62" s="2126"/>
      <c r="AD62" s="2126"/>
      <c r="AE62" s="2126"/>
      <c r="AF62" s="2126"/>
      <c r="AG62" s="2126"/>
      <c r="AH62" s="2126"/>
      <c r="AI62" s="2126"/>
      <c r="AJ62" s="2126"/>
      <c r="AK62" s="2126"/>
      <c r="AL62" s="2126"/>
      <c r="AM62" s="2126"/>
      <c r="AN62" s="2126"/>
      <c r="AO62" s="2126"/>
      <c r="AP62" s="2126"/>
      <c r="AQ62" s="2126"/>
      <c r="AR62" s="2126"/>
      <c r="AS62" s="2126"/>
      <c r="AT62" s="2126"/>
      <c r="AU62" s="2126"/>
      <c r="AV62" s="2126"/>
      <c r="AW62" s="2126"/>
      <c r="AX62" s="2126"/>
      <c r="AY62" s="2126"/>
      <c r="AZ62" s="2126"/>
      <c r="BA62" s="2126"/>
      <c r="BB62" s="2126"/>
      <c r="BD62" s="2156" t="s">
        <v>9021</v>
      </c>
      <c r="BE62" s="2156" t="s">
        <v>9022</v>
      </c>
      <c r="BF62" s="2157">
        <v>2098.5</v>
      </c>
      <c r="BG62" s="2157"/>
      <c r="BH62" s="2157"/>
      <c r="BI62" s="2157"/>
      <c r="BJ62" s="2157">
        <v>2098.5</v>
      </c>
      <c r="BK62" s="2138"/>
      <c r="BL62" s="2139">
        <f t="shared" si="0"/>
        <v>38.700000000000003</v>
      </c>
      <c r="BM62" s="2138"/>
      <c r="BN62" s="2140">
        <f t="shared" si="1"/>
        <v>82.42</v>
      </c>
      <c r="BO62" s="2138"/>
      <c r="BP62" s="2139">
        <f t="shared" si="2"/>
        <v>19.2</v>
      </c>
      <c r="BQ62" s="2139">
        <f t="shared" si="3"/>
        <v>345.94</v>
      </c>
      <c r="BR62" s="2139">
        <f t="shared" si="4"/>
        <v>2584.7600000000002</v>
      </c>
      <c r="BS62" s="2139">
        <f t="shared" si="5"/>
        <v>2636.46</v>
      </c>
      <c r="BT62" s="2139">
        <f t="shared" si="6"/>
        <v>3163.75</v>
      </c>
      <c r="BU62" s="2138"/>
      <c r="BV62" s="2147"/>
      <c r="BW62" s="2147"/>
      <c r="BX62" s="2147"/>
      <c r="BY62" s="1713"/>
      <c r="BZ62" s="1713"/>
      <c r="CA62" s="1713"/>
      <c r="CB62" s="1713"/>
      <c r="CC62" s="1713"/>
      <c r="CD62" s="1713"/>
      <c r="CE62" s="1713"/>
      <c r="CF62" s="1713"/>
      <c r="CG62" s="1713"/>
      <c r="CH62" s="1713"/>
      <c r="CI62" s="1713"/>
      <c r="CJ62" s="1713"/>
    </row>
    <row r="63" spans="1:88" s="2128" customFormat="1" ht="22.5" x14ac:dyDescent="0.2">
      <c r="A63" s="2153"/>
      <c r="B63" s="2958" t="s">
        <v>714</v>
      </c>
      <c r="C63" s="2959"/>
      <c r="D63" s="2154">
        <v>506343.6</v>
      </c>
      <c r="E63" s="2154">
        <v>65260.94</v>
      </c>
      <c r="F63" s="2155">
        <v>284387.59000000003</v>
      </c>
      <c r="G63" s="2155">
        <v>228.55</v>
      </c>
      <c r="H63" s="2155">
        <v>856220.68</v>
      </c>
      <c r="I63" s="2126"/>
      <c r="J63" s="2126"/>
      <c r="K63" s="2126"/>
      <c r="L63" s="2126"/>
      <c r="M63" s="2126"/>
      <c r="N63" s="2126"/>
      <c r="O63" s="2126"/>
      <c r="P63" s="2126"/>
      <c r="Q63" s="2126"/>
      <c r="R63" s="2126"/>
      <c r="S63" s="2126"/>
      <c r="T63" s="2126"/>
      <c r="U63" s="2126"/>
      <c r="V63" s="2126"/>
      <c r="W63" s="2126"/>
      <c r="X63" s="2126"/>
      <c r="Y63" s="2126"/>
      <c r="Z63" s="2126"/>
      <c r="AA63" s="2127"/>
      <c r="AB63" s="2135"/>
      <c r="AC63" s="2158" t="s">
        <v>714</v>
      </c>
      <c r="AD63" s="2126"/>
      <c r="AE63" s="2126"/>
      <c r="AF63" s="2126"/>
      <c r="AG63" s="2126"/>
      <c r="AH63" s="2126"/>
      <c r="AI63" s="2126"/>
      <c r="AJ63" s="2126"/>
      <c r="AK63" s="2126"/>
      <c r="AL63" s="2126"/>
      <c r="AM63" s="2126"/>
      <c r="AN63" s="2126"/>
      <c r="AO63" s="2126"/>
      <c r="AP63" s="2126"/>
      <c r="AQ63" s="2126"/>
      <c r="AR63" s="2126"/>
      <c r="AS63" s="2126"/>
      <c r="AT63" s="2126"/>
      <c r="AU63" s="2126"/>
      <c r="AV63" s="2126"/>
      <c r="AW63" s="2126"/>
      <c r="AX63" s="2126"/>
      <c r="AY63" s="2126"/>
      <c r="AZ63" s="2126"/>
      <c r="BA63" s="2126"/>
      <c r="BB63" s="2126"/>
      <c r="BD63" s="2156" t="s">
        <v>5698</v>
      </c>
      <c r="BE63" s="2156" t="s">
        <v>9026</v>
      </c>
      <c r="BF63" s="2157">
        <v>347.44</v>
      </c>
      <c r="BG63" s="2157">
        <v>5077.6499999999996</v>
      </c>
      <c r="BH63" s="2157">
        <v>1179.02</v>
      </c>
      <c r="BI63" s="2157"/>
      <c r="BJ63" s="2157">
        <v>6604.11</v>
      </c>
      <c r="BK63" s="2138"/>
      <c r="BL63" s="2139">
        <f t="shared" si="0"/>
        <v>100.04</v>
      </c>
      <c r="BM63" s="2138"/>
      <c r="BN63" s="2140">
        <f t="shared" si="1"/>
        <v>213.07</v>
      </c>
      <c r="BO63" s="2138">
        <v>26.16</v>
      </c>
      <c r="BP63" s="2139">
        <f t="shared" si="2"/>
        <v>49.63</v>
      </c>
      <c r="BQ63" s="2139">
        <f t="shared" si="3"/>
        <v>894.34</v>
      </c>
      <c r="BR63" s="2139">
        <f t="shared" si="4"/>
        <v>7887.35</v>
      </c>
      <c r="BS63" s="2139">
        <f t="shared" si="5"/>
        <v>8045.1</v>
      </c>
      <c r="BT63" s="2139">
        <f t="shared" si="6"/>
        <v>9654.1200000000008</v>
      </c>
      <c r="BU63" s="2138"/>
      <c r="BV63" s="2147"/>
      <c r="BW63" s="2147"/>
      <c r="BX63" s="2147"/>
      <c r="BY63" s="1713"/>
      <c r="BZ63" s="1713"/>
      <c r="CA63" s="1713"/>
      <c r="CB63" s="1713"/>
      <c r="CC63" s="1713"/>
      <c r="CD63" s="1713"/>
      <c r="CE63" s="1713"/>
      <c r="CF63" s="1713"/>
      <c r="CG63" s="1713"/>
      <c r="CH63" s="1713"/>
      <c r="CI63" s="1713"/>
      <c r="CJ63" s="1713"/>
    </row>
    <row r="64" spans="1:88" s="2128" customFormat="1" ht="14.25" x14ac:dyDescent="0.2">
      <c r="A64" s="2944" t="s">
        <v>715</v>
      </c>
      <c r="B64" s="2945"/>
      <c r="C64" s="2945"/>
      <c r="D64" s="2945"/>
      <c r="E64" s="2945"/>
      <c r="F64" s="2945"/>
      <c r="G64" s="2945"/>
      <c r="H64" s="2946"/>
      <c r="I64" s="2126"/>
      <c r="J64" s="2126"/>
      <c r="K64" s="2126"/>
      <c r="L64" s="2126"/>
      <c r="M64" s="2126"/>
      <c r="N64" s="2126"/>
      <c r="O64" s="2126"/>
      <c r="P64" s="2126"/>
      <c r="Q64" s="2126"/>
      <c r="R64" s="2126"/>
      <c r="S64" s="2126"/>
      <c r="T64" s="2126"/>
      <c r="U64" s="2126"/>
      <c r="V64" s="2126"/>
      <c r="W64" s="2126"/>
      <c r="X64" s="2126"/>
      <c r="Y64" s="2126"/>
      <c r="Z64" s="2126"/>
      <c r="AA64" s="2127" t="s">
        <v>715</v>
      </c>
      <c r="AB64" s="2135"/>
      <c r="AC64" s="2158"/>
      <c r="AD64" s="2126"/>
      <c r="AE64" s="2126"/>
      <c r="AF64" s="2126"/>
      <c r="AG64" s="2126"/>
      <c r="AH64" s="2126"/>
      <c r="AI64" s="2126"/>
      <c r="AJ64" s="2126"/>
      <c r="AK64" s="2126"/>
      <c r="AL64" s="2126"/>
      <c r="AM64" s="2126"/>
      <c r="AN64" s="2126"/>
      <c r="AO64" s="2126"/>
      <c r="AP64" s="2126"/>
      <c r="AQ64" s="2126"/>
      <c r="AR64" s="2126"/>
      <c r="AS64" s="2126"/>
      <c r="AT64" s="2126"/>
      <c r="AU64" s="2126"/>
      <c r="AV64" s="2126"/>
      <c r="AW64" s="2126"/>
      <c r="AX64" s="2126"/>
      <c r="AY64" s="2126"/>
      <c r="AZ64" s="2126"/>
      <c r="BA64" s="2126"/>
      <c r="BB64" s="2126"/>
      <c r="BD64" s="2142" t="s">
        <v>9050</v>
      </c>
      <c r="BE64" s="2142" t="s">
        <v>9051</v>
      </c>
      <c r="BF64" s="2143">
        <v>301.99</v>
      </c>
      <c r="BG64" s="2143">
        <v>5036.32</v>
      </c>
      <c r="BH64" s="2143"/>
      <c r="BI64" s="2143"/>
      <c r="BJ64" s="2143">
        <v>5338.31</v>
      </c>
      <c r="BK64" s="2146"/>
      <c r="BL64" s="2144">
        <f t="shared" si="0"/>
        <v>98.44</v>
      </c>
      <c r="BM64" s="2159"/>
      <c r="BN64" s="2145">
        <f t="shared" si="1"/>
        <v>209.67</v>
      </c>
      <c r="BO64" s="2159">
        <v>26.16</v>
      </c>
      <c r="BP64" s="2144">
        <f t="shared" si="2"/>
        <v>48.84</v>
      </c>
      <c r="BQ64" s="2144">
        <f t="shared" si="3"/>
        <v>880.03</v>
      </c>
      <c r="BR64" s="2144">
        <f t="shared" si="4"/>
        <v>6601.45</v>
      </c>
      <c r="BS64" s="2144">
        <f t="shared" si="5"/>
        <v>6733.48</v>
      </c>
      <c r="BT64" s="2144">
        <f t="shared" si="6"/>
        <v>8080.18</v>
      </c>
      <c r="BU64" s="2146"/>
      <c r="BV64" s="2147"/>
      <c r="BW64" s="2147"/>
      <c r="BX64" s="2147"/>
      <c r="BY64" s="1713"/>
      <c r="BZ64" s="1713"/>
      <c r="CA64" s="1713"/>
      <c r="CB64" s="1713"/>
      <c r="CC64" s="1713"/>
      <c r="CD64" s="1713"/>
      <c r="CE64" s="1713"/>
      <c r="CF64" s="1713"/>
      <c r="CG64" s="1713"/>
      <c r="CH64" s="1713"/>
      <c r="CI64" s="1713"/>
      <c r="CJ64" s="1713"/>
    </row>
    <row r="65" spans="1:88" s="2128" customFormat="1" ht="45" x14ac:dyDescent="0.2">
      <c r="A65" s="2160" t="s">
        <v>653</v>
      </c>
      <c r="B65" s="2161" t="s">
        <v>716</v>
      </c>
      <c r="C65" s="2161" t="s">
        <v>9052</v>
      </c>
      <c r="D65" s="2162">
        <v>15696.65</v>
      </c>
      <c r="E65" s="2162">
        <v>2023.09</v>
      </c>
      <c r="F65" s="2162"/>
      <c r="G65" s="2162"/>
      <c r="H65" s="2162">
        <v>17719.740000000002</v>
      </c>
      <c r="I65" s="2126"/>
      <c r="J65" s="2126"/>
      <c r="K65" s="2126"/>
      <c r="L65" s="2126"/>
      <c r="M65" s="2126"/>
      <c r="N65" s="2126"/>
      <c r="O65" s="2126"/>
      <c r="P65" s="2126"/>
      <c r="Q65" s="2126"/>
      <c r="R65" s="2126"/>
      <c r="S65" s="2126"/>
      <c r="T65" s="2126"/>
      <c r="U65" s="2126"/>
      <c r="V65" s="2126"/>
      <c r="W65" s="2126"/>
      <c r="X65" s="2126"/>
      <c r="Y65" s="2126"/>
      <c r="Z65" s="2126"/>
      <c r="AA65" s="2127"/>
      <c r="AB65" s="2135"/>
      <c r="AC65" s="2158"/>
      <c r="AD65" s="2126"/>
      <c r="AE65" s="2126"/>
      <c r="AF65" s="2126"/>
      <c r="AG65" s="2126"/>
      <c r="AH65" s="2126"/>
      <c r="AI65" s="2126"/>
      <c r="AJ65" s="2126"/>
      <c r="AK65" s="2126"/>
      <c r="AL65" s="2126"/>
      <c r="AM65" s="2126"/>
      <c r="AN65" s="2126"/>
      <c r="AO65" s="2126"/>
      <c r="AP65" s="2126"/>
      <c r="AQ65" s="2126"/>
      <c r="AR65" s="2126"/>
      <c r="AS65" s="2126"/>
      <c r="AT65" s="2126"/>
      <c r="AU65" s="2126"/>
      <c r="AV65" s="2126"/>
      <c r="AW65" s="2126"/>
      <c r="AX65" s="2126"/>
      <c r="AY65" s="2126"/>
      <c r="AZ65" s="2126"/>
      <c r="BA65" s="2126"/>
      <c r="BB65" s="2126"/>
      <c r="BD65" s="2142" t="s">
        <v>9053</v>
      </c>
      <c r="BE65" s="2142" t="s">
        <v>9054</v>
      </c>
      <c r="BF65" s="2143">
        <v>45.45</v>
      </c>
      <c r="BG65" s="2143">
        <v>41.33</v>
      </c>
      <c r="BH65" s="2143">
        <v>1179.02</v>
      </c>
      <c r="BI65" s="2143"/>
      <c r="BJ65" s="2143">
        <v>1265.8</v>
      </c>
      <c r="BK65" s="2146"/>
      <c r="BL65" s="2144">
        <f t="shared" si="0"/>
        <v>1.6</v>
      </c>
      <c r="BM65" s="2159"/>
      <c r="BN65" s="2145">
        <f t="shared" si="1"/>
        <v>3.41</v>
      </c>
      <c r="BO65" s="2159"/>
      <c r="BP65" s="2144">
        <f t="shared" si="2"/>
        <v>0.79</v>
      </c>
      <c r="BQ65" s="2144">
        <f t="shared" si="3"/>
        <v>14.31</v>
      </c>
      <c r="BR65" s="2144">
        <f t="shared" si="4"/>
        <v>1285.9100000000001</v>
      </c>
      <c r="BS65" s="2144">
        <f t="shared" si="5"/>
        <v>1311.63</v>
      </c>
      <c r="BT65" s="2144">
        <f t="shared" si="6"/>
        <v>1573.96</v>
      </c>
      <c r="BU65" s="2163" t="s">
        <v>269</v>
      </c>
      <c r="BV65" s="1954">
        <v>1</v>
      </c>
      <c r="BW65" s="2164"/>
      <c r="BX65" s="2164" t="s">
        <v>9055</v>
      </c>
      <c r="BY65" s="1713"/>
      <c r="BZ65" s="1713"/>
      <c r="CA65" s="1713"/>
      <c r="CB65" s="1713"/>
      <c r="CC65" s="1713"/>
      <c r="CD65" s="1713"/>
      <c r="CE65" s="1713"/>
      <c r="CF65" s="1713"/>
      <c r="CG65" s="1713"/>
      <c r="CH65" s="1713"/>
      <c r="CI65" s="1713"/>
      <c r="CJ65" s="1713"/>
    </row>
    <row r="66" spans="1:88" s="2128" customFormat="1" ht="14.25" x14ac:dyDescent="0.2">
      <c r="A66" s="2125"/>
      <c r="B66" s="2161"/>
      <c r="C66" s="2161"/>
      <c r="D66" s="2162" t="s">
        <v>9056</v>
      </c>
      <c r="E66" s="2162" t="s">
        <v>9057</v>
      </c>
      <c r="F66" s="2162"/>
      <c r="G66" s="2162"/>
      <c r="H66" s="2162"/>
      <c r="I66" s="2126"/>
      <c r="J66" s="2126"/>
      <c r="K66" s="2126"/>
      <c r="L66" s="2126"/>
      <c r="M66" s="2126"/>
      <c r="N66" s="2126"/>
      <c r="O66" s="2126"/>
      <c r="P66" s="2126"/>
      <c r="Q66" s="2126"/>
      <c r="R66" s="2126"/>
      <c r="S66" s="2126"/>
      <c r="T66" s="2126"/>
      <c r="U66" s="2126"/>
      <c r="V66" s="2126"/>
      <c r="W66" s="2126"/>
      <c r="X66" s="2126"/>
      <c r="Y66" s="2126"/>
      <c r="Z66" s="2126"/>
      <c r="AA66" s="2127"/>
      <c r="AB66" s="2135"/>
      <c r="AC66" s="2158"/>
      <c r="AD66" s="2126"/>
      <c r="AE66" s="2126"/>
      <c r="AF66" s="2126"/>
      <c r="AG66" s="2126"/>
      <c r="AH66" s="2126"/>
      <c r="AI66" s="2126"/>
      <c r="AJ66" s="2126"/>
      <c r="AK66" s="2126"/>
      <c r="AL66" s="2126"/>
      <c r="AM66" s="2126"/>
      <c r="AN66" s="2126"/>
      <c r="AO66" s="2126"/>
      <c r="AP66" s="2126"/>
      <c r="AQ66" s="2126"/>
      <c r="AR66" s="2126"/>
      <c r="AS66" s="2126"/>
      <c r="AT66" s="2126"/>
      <c r="AU66" s="2126"/>
      <c r="AV66" s="2126"/>
      <c r="AW66" s="2126"/>
      <c r="AX66" s="2126"/>
      <c r="AY66" s="2126"/>
      <c r="AZ66" s="2126"/>
      <c r="BA66" s="2126"/>
      <c r="BB66" s="2126"/>
      <c r="BD66" s="2156" t="s">
        <v>9030</v>
      </c>
      <c r="BE66" s="2156" t="s">
        <v>9031</v>
      </c>
      <c r="BF66" s="2157">
        <v>2214.65</v>
      </c>
      <c r="BG66" s="2157">
        <v>231.45</v>
      </c>
      <c r="BH66" s="2157">
        <v>10.87</v>
      </c>
      <c r="BI66" s="2157"/>
      <c r="BJ66" s="2157">
        <v>2456.9699999999998</v>
      </c>
      <c r="BK66" s="2138"/>
      <c r="BL66" s="2139">
        <f t="shared" si="0"/>
        <v>45.11</v>
      </c>
      <c r="BM66" s="2138"/>
      <c r="BN66" s="2140">
        <f t="shared" si="1"/>
        <v>96.07</v>
      </c>
      <c r="BO66" s="2138"/>
      <c r="BP66" s="2139">
        <f t="shared" si="2"/>
        <v>22.38</v>
      </c>
      <c r="BQ66" s="2139">
        <f t="shared" si="3"/>
        <v>403.24</v>
      </c>
      <c r="BR66" s="2139">
        <f>BJ66+BK66+BL66+BM66+BN66+BO66+BP66+BQ66</f>
        <v>3023.77</v>
      </c>
      <c r="BS66" s="2139">
        <f>BR66*1.02</f>
        <v>3084.25</v>
      </c>
      <c r="BT66" s="2139">
        <f>BS66*1.2</f>
        <v>3701.1</v>
      </c>
      <c r="BU66" s="2138"/>
      <c r="BV66" s="2147"/>
      <c r="BW66" s="2147"/>
      <c r="BX66" s="2147"/>
      <c r="BY66" s="1713"/>
      <c r="BZ66" s="1713"/>
      <c r="CA66" s="1713"/>
      <c r="CB66" s="1713"/>
      <c r="CC66" s="1713"/>
      <c r="CD66" s="1713"/>
      <c r="CE66" s="1713"/>
      <c r="CF66" s="1713"/>
      <c r="CG66" s="1713"/>
      <c r="CH66" s="1713"/>
      <c r="CI66" s="1713"/>
      <c r="CJ66" s="1713"/>
    </row>
    <row r="67" spans="1:88" s="2128" customFormat="1" ht="22.5" x14ac:dyDescent="0.2">
      <c r="A67" s="2153"/>
      <c r="B67" s="2956" t="s">
        <v>719</v>
      </c>
      <c r="C67" s="2957"/>
      <c r="D67" s="2154">
        <v>15696.65</v>
      </c>
      <c r="E67" s="2154">
        <v>2023.09</v>
      </c>
      <c r="F67" s="2155"/>
      <c r="G67" s="2155"/>
      <c r="H67" s="2155">
        <v>17719.740000000002</v>
      </c>
      <c r="I67" s="2126"/>
      <c r="J67" s="2126"/>
      <c r="K67" s="2126"/>
      <c r="L67" s="2126"/>
      <c r="M67" s="2126"/>
      <c r="N67" s="2126"/>
      <c r="O67" s="2126"/>
      <c r="P67" s="2126"/>
      <c r="Q67" s="2126"/>
      <c r="R67" s="2126"/>
      <c r="S67" s="2126"/>
      <c r="T67" s="2126"/>
      <c r="U67" s="2126"/>
      <c r="V67" s="2126"/>
      <c r="W67" s="2126"/>
      <c r="X67" s="2126"/>
      <c r="Y67" s="2126"/>
      <c r="Z67" s="2126"/>
      <c r="AA67" s="2127"/>
      <c r="AB67" s="2135" t="s">
        <v>719</v>
      </c>
      <c r="AC67" s="2158"/>
      <c r="AD67" s="2126"/>
      <c r="AE67" s="2126"/>
      <c r="AF67" s="2126"/>
      <c r="AG67" s="2126"/>
      <c r="AH67" s="2126"/>
      <c r="AI67" s="2126"/>
      <c r="AJ67" s="2126"/>
      <c r="AK67" s="2126"/>
      <c r="AL67" s="2126"/>
      <c r="AM67" s="2126"/>
      <c r="AN67" s="2126"/>
      <c r="AO67" s="2126"/>
      <c r="AP67" s="2126"/>
      <c r="AQ67" s="2126"/>
      <c r="AR67" s="2126"/>
      <c r="AS67" s="2126"/>
      <c r="AT67" s="2126"/>
      <c r="AU67" s="2126"/>
      <c r="AV67" s="2126"/>
      <c r="AW67" s="2126"/>
      <c r="AX67" s="2126"/>
      <c r="AY67" s="2126"/>
      <c r="AZ67" s="2126"/>
      <c r="BA67" s="2126"/>
      <c r="BB67" s="2126"/>
      <c r="BD67" s="2156" t="s">
        <v>5704</v>
      </c>
      <c r="BE67" s="2156" t="s">
        <v>9038</v>
      </c>
      <c r="BF67" s="2157">
        <v>11937.12</v>
      </c>
      <c r="BG67" s="2157">
        <v>361.13</v>
      </c>
      <c r="BH67" s="2157">
        <v>9068.4699999999993</v>
      </c>
      <c r="BI67" s="2157"/>
      <c r="BJ67" s="2157">
        <v>21366.720000000001</v>
      </c>
      <c r="BK67" s="2138"/>
      <c r="BL67" s="2139">
        <f t="shared" si="0"/>
        <v>226.78</v>
      </c>
      <c r="BM67" s="2138"/>
      <c r="BN67" s="2140">
        <f t="shared" si="1"/>
        <v>483.02</v>
      </c>
      <c r="BO67" s="2138"/>
      <c r="BP67" s="2139">
        <f t="shared" si="2"/>
        <v>112.52</v>
      </c>
      <c r="BQ67" s="2139">
        <f t="shared" si="3"/>
        <v>2027.39</v>
      </c>
      <c r="BR67" s="2139">
        <f>BJ67+BK67+BL67+BM67+BN67+BO67+BP67+BQ67</f>
        <v>24216.43</v>
      </c>
      <c r="BS67" s="2139">
        <f>BR67*1.02</f>
        <v>24700.76</v>
      </c>
      <c r="BT67" s="2139">
        <f>BS67*1.2</f>
        <v>29640.91</v>
      </c>
      <c r="BU67" s="2138"/>
      <c r="BV67" s="2147"/>
      <c r="BW67" s="2147"/>
      <c r="BX67" s="2147"/>
      <c r="BY67" s="1713"/>
      <c r="BZ67" s="1713"/>
      <c r="CA67" s="1713"/>
      <c r="CB67" s="1713"/>
      <c r="CC67" s="1713"/>
      <c r="CD67" s="1713"/>
      <c r="CE67" s="1713"/>
      <c r="CF67" s="1713"/>
      <c r="CG67" s="1713"/>
      <c r="CH67" s="1713"/>
      <c r="CI67" s="1713"/>
      <c r="CJ67" s="1713"/>
    </row>
    <row r="68" spans="1:88" s="2128" customFormat="1" ht="14.25" x14ac:dyDescent="0.2">
      <c r="A68" s="2153"/>
      <c r="B68" s="2958" t="s">
        <v>720</v>
      </c>
      <c r="C68" s="2959"/>
      <c r="D68" s="2154">
        <v>522040.25</v>
      </c>
      <c r="E68" s="2154">
        <v>67284.03</v>
      </c>
      <c r="F68" s="2155">
        <v>284387.59000000003</v>
      </c>
      <c r="G68" s="2155">
        <v>228.55</v>
      </c>
      <c r="H68" s="2155">
        <v>873940.42</v>
      </c>
      <c r="I68" s="2126"/>
      <c r="J68" s="2126"/>
      <c r="K68" s="2126"/>
      <c r="L68" s="2126"/>
      <c r="M68" s="2126"/>
      <c r="N68" s="2126"/>
      <c r="O68" s="2126"/>
      <c r="P68" s="2126"/>
      <c r="Q68" s="2126"/>
      <c r="R68" s="2126"/>
      <c r="S68" s="2126"/>
      <c r="T68" s="2126"/>
      <c r="U68" s="2126"/>
      <c r="V68" s="2126"/>
      <c r="W68" s="2126"/>
      <c r="X68" s="2126"/>
      <c r="Y68" s="2126"/>
      <c r="Z68" s="2126"/>
      <c r="AA68" s="2127"/>
      <c r="AB68" s="2135"/>
      <c r="AC68" s="2158" t="s">
        <v>720</v>
      </c>
      <c r="AD68" s="2126"/>
      <c r="AE68" s="2126"/>
      <c r="AF68" s="2126"/>
      <c r="AG68" s="2126"/>
      <c r="AH68" s="2126"/>
      <c r="AI68" s="2126"/>
      <c r="AJ68" s="2126"/>
      <c r="AK68" s="2126"/>
      <c r="AL68" s="2126"/>
      <c r="AM68" s="2126"/>
      <c r="AN68" s="2126"/>
      <c r="AO68" s="2126"/>
      <c r="AP68" s="2126"/>
      <c r="AQ68" s="2126"/>
      <c r="AR68" s="2126"/>
      <c r="AS68" s="2126"/>
      <c r="AT68" s="2126"/>
      <c r="AU68" s="2126"/>
      <c r="AV68" s="2126"/>
      <c r="AW68" s="2126"/>
      <c r="AX68" s="2126"/>
      <c r="AY68" s="2126"/>
      <c r="AZ68" s="2126"/>
      <c r="BA68" s="2126"/>
      <c r="BB68" s="2126"/>
      <c r="BD68" s="2142" t="s">
        <v>9058</v>
      </c>
      <c r="BE68" s="2142" t="s">
        <v>9059</v>
      </c>
      <c r="BF68" s="2143">
        <v>9217.7999999999993</v>
      </c>
      <c r="BG68" s="2143">
        <v>289.54000000000002</v>
      </c>
      <c r="BH68" s="2143">
        <v>8888.73</v>
      </c>
      <c r="BI68" s="2143"/>
      <c r="BJ68" s="2143">
        <v>18396.07</v>
      </c>
      <c r="BK68" s="2146"/>
      <c r="BL68" s="2144">
        <f t="shared" si="0"/>
        <v>175.32</v>
      </c>
      <c r="BM68" s="2159"/>
      <c r="BN68" s="2145">
        <f t="shared" si="1"/>
        <v>373.41</v>
      </c>
      <c r="BO68" s="2159"/>
      <c r="BP68" s="2144">
        <f t="shared" si="2"/>
        <v>86.98</v>
      </c>
      <c r="BQ68" s="2144">
        <f t="shared" si="3"/>
        <v>1567.3</v>
      </c>
      <c r="BR68" s="2144">
        <f t="shared" ref="BR68:BR69" si="10">BJ68+BK68+BL68+BM68+BN68+BO68+BP68+BQ68</f>
        <v>20599.080000000002</v>
      </c>
      <c r="BS68" s="2144">
        <f t="shared" ref="BS68:BS69" si="11">BR68*1.02</f>
        <v>21011.06</v>
      </c>
      <c r="BT68" s="2144">
        <f t="shared" ref="BT68:BT69" si="12">BS68*1.2</f>
        <v>25213.27</v>
      </c>
      <c r="BU68" s="2146"/>
      <c r="BV68" s="2147"/>
      <c r="BW68" s="2147"/>
      <c r="BX68" s="2147"/>
      <c r="BY68" s="1713"/>
      <c r="BZ68" s="1713"/>
      <c r="CA68" s="1713"/>
      <c r="CB68" s="1713"/>
      <c r="CC68" s="1713"/>
      <c r="CD68" s="1713"/>
      <c r="CE68" s="1713"/>
      <c r="CF68" s="1713"/>
      <c r="CG68" s="1713"/>
      <c r="CH68" s="1713"/>
      <c r="CI68" s="1713"/>
      <c r="CJ68" s="1713"/>
    </row>
    <row r="69" spans="1:88" s="2128" customFormat="1" ht="14.25" x14ac:dyDescent="0.2">
      <c r="A69" s="2944" t="s">
        <v>721</v>
      </c>
      <c r="B69" s="2945"/>
      <c r="C69" s="2945"/>
      <c r="D69" s="2945"/>
      <c r="E69" s="2945"/>
      <c r="F69" s="2945"/>
      <c r="G69" s="2945"/>
      <c r="H69" s="2946"/>
      <c r="I69" s="2126"/>
      <c r="J69" s="2126"/>
      <c r="K69" s="2126"/>
      <c r="L69" s="2126"/>
      <c r="M69" s="2126"/>
      <c r="N69" s="2126"/>
      <c r="O69" s="2126"/>
      <c r="P69" s="2126"/>
      <c r="Q69" s="2126"/>
      <c r="R69" s="2126"/>
      <c r="S69" s="2126"/>
      <c r="T69" s="2126"/>
      <c r="U69" s="2126"/>
      <c r="V69" s="2126"/>
      <c r="W69" s="2126"/>
      <c r="X69" s="2126"/>
      <c r="Y69" s="2126"/>
      <c r="Z69" s="2126"/>
      <c r="AA69" s="2127" t="s">
        <v>721</v>
      </c>
      <c r="AB69" s="2135"/>
      <c r="AC69" s="2158"/>
      <c r="AD69" s="2126"/>
      <c r="AE69" s="2126"/>
      <c r="AF69" s="2126"/>
      <c r="AG69" s="2126"/>
      <c r="AH69" s="2126"/>
      <c r="AI69" s="2126"/>
      <c r="AJ69" s="2126"/>
      <c r="AK69" s="2126"/>
      <c r="AL69" s="2126"/>
      <c r="AM69" s="2126"/>
      <c r="AN69" s="2126"/>
      <c r="AO69" s="2126"/>
      <c r="AP69" s="2126"/>
      <c r="AQ69" s="2126"/>
      <c r="AR69" s="2126"/>
      <c r="AS69" s="2126"/>
      <c r="AT69" s="2126"/>
      <c r="AU69" s="2126"/>
      <c r="AV69" s="2126"/>
      <c r="AW69" s="2126"/>
      <c r="AX69" s="2126"/>
      <c r="AY69" s="2126"/>
      <c r="AZ69" s="2126"/>
      <c r="BA69" s="2126"/>
      <c r="BB69" s="2126"/>
      <c r="BD69" s="2142" t="s">
        <v>9060</v>
      </c>
      <c r="BE69" s="2142" t="s">
        <v>9061</v>
      </c>
      <c r="BF69" s="2143">
        <v>2719.32</v>
      </c>
      <c r="BG69" s="2143">
        <v>71.59</v>
      </c>
      <c r="BH69" s="2143">
        <v>179.74</v>
      </c>
      <c r="BI69" s="2143"/>
      <c r="BJ69" s="2143">
        <v>2970.65</v>
      </c>
      <c r="BK69" s="2146"/>
      <c r="BL69" s="2144">
        <f t="shared" si="0"/>
        <v>51.47</v>
      </c>
      <c r="BM69" s="2159"/>
      <c r="BN69" s="2145">
        <f t="shared" si="1"/>
        <v>109.62</v>
      </c>
      <c r="BO69" s="2159"/>
      <c r="BP69" s="2144">
        <f t="shared" si="2"/>
        <v>25.53</v>
      </c>
      <c r="BQ69" s="2144">
        <f t="shared" si="3"/>
        <v>460.09</v>
      </c>
      <c r="BR69" s="2144">
        <f t="shared" si="10"/>
        <v>3617.36</v>
      </c>
      <c r="BS69" s="2144">
        <f t="shared" si="11"/>
        <v>3689.71</v>
      </c>
      <c r="BT69" s="2144">
        <f t="shared" si="12"/>
        <v>4427.6499999999996</v>
      </c>
      <c r="BU69" s="2146"/>
      <c r="BV69" s="2147"/>
      <c r="BW69" s="2147"/>
      <c r="BX69" s="2147"/>
      <c r="BY69" s="1713"/>
      <c r="BZ69" s="1713"/>
      <c r="CA69" s="1713"/>
      <c r="CB69" s="1713"/>
      <c r="CC69" s="1713"/>
      <c r="CD69" s="1713"/>
      <c r="CE69" s="1713"/>
      <c r="CF69" s="1713"/>
      <c r="CG69" s="1713"/>
      <c r="CH69" s="1713"/>
      <c r="CI69" s="1713"/>
      <c r="CJ69" s="1713"/>
    </row>
    <row r="70" spans="1:88" s="2128" customFormat="1" ht="45" x14ac:dyDescent="0.2">
      <c r="A70" s="2160" t="s">
        <v>654</v>
      </c>
      <c r="B70" s="2161" t="s">
        <v>9062</v>
      </c>
      <c r="C70" s="2161" t="s">
        <v>9063</v>
      </c>
      <c r="D70" s="2162">
        <v>2871.22</v>
      </c>
      <c r="E70" s="2162">
        <v>370.06</v>
      </c>
      <c r="F70" s="2162"/>
      <c r="G70" s="2162"/>
      <c r="H70" s="2162">
        <v>3241.28</v>
      </c>
      <c r="I70" s="2126"/>
      <c r="J70" s="2126"/>
      <c r="K70" s="2126"/>
      <c r="L70" s="2126"/>
      <c r="M70" s="2126"/>
      <c r="N70" s="2126"/>
      <c r="O70" s="2126"/>
      <c r="P70" s="2126"/>
      <c r="Q70" s="2126"/>
      <c r="R70" s="2126"/>
      <c r="S70" s="2126"/>
      <c r="T70" s="2126"/>
      <c r="U70" s="2126"/>
      <c r="V70" s="2126"/>
      <c r="W70" s="2126"/>
      <c r="X70" s="2126"/>
      <c r="Y70" s="2126"/>
      <c r="Z70" s="2126"/>
      <c r="AA70" s="2127"/>
      <c r="AB70" s="2135"/>
      <c r="AC70" s="2158"/>
      <c r="AD70" s="2126"/>
      <c r="AE70" s="2126"/>
      <c r="AF70" s="2126"/>
      <c r="AG70" s="2126"/>
      <c r="AH70" s="2126"/>
      <c r="AI70" s="2126"/>
      <c r="AJ70" s="2126"/>
      <c r="AK70" s="2126"/>
      <c r="AL70" s="2126"/>
      <c r="AM70" s="2126"/>
      <c r="AN70" s="2126"/>
      <c r="AO70" s="2126"/>
      <c r="AP70" s="2126"/>
      <c r="AQ70" s="2126"/>
      <c r="AR70" s="2126"/>
      <c r="AS70" s="2126"/>
      <c r="AT70" s="2126"/>
      <c r="AU70" s="2126"/>
      <c r="AV70" s="2126"/>
      <c r="AW70" s="2126"/>
      <c r="AX70" s="2126"/>
      <c r="AY70" s="2126"/>
      <c r="AZ70" s="2126"/>
      <c r="BA70" s="2126"/>
      <c r="BB70" s="2126"/>
      <c r="BD70" s="2156" t="s">
        <v>9040</v>
      </c>
      <c r="BE70" s="2156" t="s">
        <v>9041</v>
      </c>
      <c r="BF70" s="2157">
        <v>1233.53</v>
      </c>
      <c r="BG70" s="2157">
        <v>3.98</v>
      </c>
      <c r="BH70" s="2157">
        <v>1096.33</v>
      </c>
      <c r="BI70" s="2157"/>
      <c r="BJ70" s="2157">
        <v>2333.84</v>
      </c>
      <c r="BK70" s="2138"/>
      <c r="BL70" s="2139">
        <f>$BL$72/($BF$72+$BG$72)*(BF70+BG70)</f>
        <v>22.82</v>
      </c>
      <c r="BM70" s="2138"/>
      <c r="BN70" s="2140">
        <f>$BN$72/($BF$72+$BG$72)*(BF70+BG70)</f>
        <v>48.6</v>
      </c>
      <c r="BO70" s="2138"/>
      <c r="BP70" s="2139">
        <f>$BP$72/($BF$72+$BG$72)*(BF70+BG70)</f>
        <v>11.32</v>
      </c>
      <c r="BQ70" s="2139">
        <f>$BQ$72/($BF$72+$BG$72)*(BF70+BG70)</f>
        <v>204.01</v>
      </c>
      <c r="BR70" s="2139">
        <f>BJ70+BK70+BL70+BM70+BN70+BO70+BP70+BQ70</f>
        <v>2620.59</v>
      </c>
      <c r="BS70" s="2139">
        <f>BR70*1.02</f>
        <v>2673</v>
      </c>
      <c r="BT70" s="2139">
        <f>BS70*1.2</f>
        <v>3207.6</v>
      </c>
      <c r="BU70" s="2138"/>
      <c r="BV70" s="2147"/>
      <c r="BW70" s="2147"/>
      <c r="BX70" s="2165" t="s">
        <v>9064</v>
      </c>
      <c r="BY70" s="1713"/>
      <c r="BZ70" s="1713"/>
      <c r="CA70" s="1713"/>
      <c r="CB70" s="1713"/>
      <c r="CC70" s="1713"/>
      <c r="CD70" s="1713"/>
      <c r="CE70" s="1713"/>
      <c r="CF70" s="1713"/>
      <c r="CG70" s="1713"/>
      <c r="CH70" s="1713"/>
      <c r="CI70" s="1713"/>
      <c r="CJ70" s="1713"/>
    </row>
    <row r="71" spans="1:88" s="2128" customFormat="1" ht="14.25" x14ac:dyDescent="0.2">
      <c r="A71" s="2125"/>
      <c r="B71" s="2161"/>
      <c r="C71" s="2161"/>
      <c r="D71" s="2162" t="s">
        <v>9065</v>
      </c>
      <c r="E71" s="2162" t="s">
        <v>9066</v>
      </c>
      <c r="F71" s="2162"/>
      <c r="G71" s="2162"/>
      <c r="H71" s="2162"/>
      <c r="I71" s="2126"/>
      <c r="J71" s="2126"/>
      <c r="K71" s="2126"/>
      <c r="L71" s="2126"/>
      <c r="M71" s="2126"/>
      <c r="N71" s="2126"/>
      <c r="O71" s="2126"/>
      <c r="P71" s="2126"/>
      <c r="Q71" s="2126"/>
      <c r="R71" s="2126"/>
      <c r="S71" s="2126"/>
      <c r="T71" s="2126"/>
      <c r="U71" s="2126"/>
      <c r="V71" s="2126"/>
      <c r="W71" s="2126"/>
      <c r="X71" s="2126"/>
      <c r="Y71" s="2126"/>
      <c r="Z71" s="2126"/>
      <c r="AA71" s="2127"/>
      <c r="AB71" s="2135"/>
      <c r="AC71" s="2158"/>
      <c r="AD71" s="2126"/>
      <c r="AE71" s="2126"/>
      <c r="AF71" s="2126"/>
      <c r="AG71" s="2126"/>
      <c r="AH71" s="2126"/>
      <c r="AI71" s="2126"/>
      <c r="AJ71" s="2126"/>
      <c r="AK71" s="2126"/>
      <c r="AL71" s="2126"/>
      <c r="AM71" s="2126"/>
      <c r="AN71" s="2126"/>
      <c r="AO71" s="2126"/>
      <c r="AP71" s="2126"/>
      <c r="AQ71" s="2126"/>
      <c r="AR71" s="2126"/>
      <c r="AS71" s="2126"/>
      <c r="AT71" s="2126"/>
      <c r="AU71" s="2126"/>
      <c r="AV71" s="2126"/>
      <c r="AW71" s="2126"/>
      <c r="AX71" s="2126"/>
      <c r="AY71" s="2126"/>
      <c r="AZ71" s="2126"/>
      <c r="BA71" s="2126"/>
      <c r="BB71" s="2126"/>
      <c r="BD71" s="2166" t="s">
        <v>9047</v>
      </c>
      <c r="BE71" s="2166" t="s">
        <v>9048</v>
      </c>
      <c r="BF71" s="2167">
        <v>1055.48</v>
      </c>
      <c r="BG71" s="2167">
        <v>332</v>
      </c>
      <c r="BH71" s="2167">
        <v>43.85</v>
      </c>
      <c r="BI71" s="2167"/>
      <c r="BJ71" s="2167">
        <v>1431.33</v>
      </c>
      <c r="BK71" s="2138"/>
      <c r="BL71" s="2139">
        <f>$BL$72/($BF$72+$BG$72)*(BF71+BG71)</f>
        <v>25.59</v>
      </c>
      <c r="BM71" s="2138"/>
      <c r="BN71" s="2140">
        <f>$BN$72/($BF$72+$BG$72)*(BF71+BG71)</f>
        <v>54.49</v>
      </c>
      <c r="BO71" s="2138"/>
      <c r="BP71" s="2139">
        <f>$BP$72/($BF$72+$BG$72)*(BF71+BG71)</f>
        <v>12.69</v>
      </c>
      <c r="BQ71" s="2139">
        <f>$BQ$72/($BF$72+$BG$72)*(BF71+BG71)</f>
        <v>228.73</v>
      </c>
      <c r="BR71" s="2139">
        <f>BJ71+BK71+BL71+BM71+BN71+BO71+BP71+BQ71</f>
        <v>1752.83</v>
      </c>
      <c r="BS71" s="2139">
        <f>BR71*1.02</f>
        <v>1787.89</v>
      </c>
      <c r="BT71" s="2139">
        <f>BS71*1.2</f>
        <v>2145.4699999999998</v>
      </c>
      <c r="BU71" s="2138"/>
      <c r="BV71" s="2147"/>
      <c r="BW71" s="2147"/>
      <c r="BX71" s="2147"/>
      <c r="BY71" s="1713"/>
      <c r="BZ71" s="1713"/>
      <c r="CA71" s="1713"/>
      <c r="CB71" s="1713"/>
      <c r="CC71" s="1713"/>
      <c r="CD71" s="1713"/>
      <c r="CE71" s="1713"/>
      <c r="CF71" s="1713"/>
      <c r="CG71" s="1713"/>
      <c r="CH71" s="1713"/>
      <c r="CI71" s="1713"/>
      <c r="CJ71" s="1713"/>
    </row>
    <row r="72" spans="1:88" s="2128" customFormat="1" ht="14.25" x14ac:dyDescent="0.2">
      <c r="A72" s="2160" t="s">
        <v>655</v>
      </c>
      <c r="B72" s="2161" t="s">
        <v>5343</v>
      </c>
      <c r="C72" s="2161" t="s">
        <v>5871</v>
      </c>
      <c r="D72" s="2162"/>
      <c r="E72" s="2162"/>
      <c r="F72" s="2162"/>
      <c r="G72" s="2162">
        <v>13604.35</v>
      </c>
      <c r="H72" s="2162">
        <v>13604.35</v>
      </c>
      <c r="I72" s="2126"/>
      <c r="J72" s="2126"/>
      <c r="K72" s="2126"/>
      <c r="L72" s="2126"/>
      <c r="M72" s="2126"/>
      <c r="N72" s="2126"/>
      <c r="O72" s="2126"/>
      <c r="P72" s="2126"/>
      <c r="Q72" s="2126"/>
      <c r="R72" s="2126"/>
      <c r="S72" s="2126"/>
      <c r="T72" s="2126"/>
      <c r="U72" s="2126"/>
      <c r="V72" s="2126"/>
      <c r="W72" s="2126"/>
      <c r="X72" s="2126"/>
      <c r="Y72" s="2126"/>
      <c r="Z72" s="2126"/>
      <c r="AA72" s="2127"/>
      <c r="AB72" s="2135"/>
      <c r="AC72" s="2158"/>
      <c r="AD72" s="2126"/>
      <c r="AE72" s="2126"/>
      <c r="AF72" s="2126"/>
      <c r="AG72" s="2126"/>
      <c r="AH72" s="2126"/>
      <c r="AI72" s="2126"/>
      <c r="AJ72" s="2126"/>
      <c r="AK72" s="2126"/>
      <c r="AL72" s="2126"/>
      <c r="AM72" s="2126"/>
      <c r="AN72" s="2126"/>
      <c r="AO72" s="2126"/>
      <c r="AP72" s="2126"/>
      <c r="AQ72" s="2126"/>
      <c r="AR72" s="2126"/>
      <c r="AS72" s="2126"/>
      <c r="AT72" s="2126"/>
      <c r="AU72" s="2126"/>
      <c r="AV72" s="2126"/>
      <c r="AW72" s="2126"/>
      <c r="AX72" s="2126"/>
      <c r="AY72" s="2126"/>
      <c r="AZ72" s="2126"/>
      <c r="BA72" s="2126"/>
      <c r="BB72" s="2126"/>
      <c r="BD72" s="2168"/>
      <c r="BE72" s="2168" t="s">
        <v>521</v>
      </c>
      <c r="BF72" s="2169">
        <f>BF29+BF62+BF63+BF66+BF67+BF70+BF71</f>
        <v>468427.72</v>
      </c>
      <c r="BG72" s="2169">
        <f>BG29+BG62+BG63+BG66+BG67+BG70+BG71</f>
        <v>65260.94</v>
      </c>
      <c r="BH72" s="2169">
        <f>BH29+BH62+BH63+BH66+BH67+BH70+BH71</f>
        <v>284355.02</v>
      </c>
      <c r="BI72" s="2168"/>
      <c r="BJ72" s="2169">
        <f>BJ29+BJ62+BJ63+BJ66+BJ67+BJ70+BJ71</f>
        <v>818043.68</v>
      </c>
      <c r="BK72" s="2168">
        <v>228.55</v>
      </c>
      <c r="BL72" s="2169">
        <f>H31</f>
        <v>9841.3799999999992</v>
      </c>
      <c r="BM72" s="2169">
        <f>H60</f>
        <v>28107.07</v>
      </c>
      <c r="BN72" s="2169">
        <f>H65+H70</f>
        <v>20961.02</v>
      </c>
      <c r="BO72" s="2169">
        <f>H72</f>
        <v>13604.35</v>
      </c>
      <c r="BP72" s="2169">
        <f>H73+H74+H75+H76+H77</f>
        <v>4882.66</v>
      </c>
      <c r="BQ72" s="2169">
        <f>H81+H92</f>
        <v>87979.69</v>
      </c>
      <c r="BR72" s="2169">
        <f>BR29+BR62+BR63+BR66+BR67+BR70+BR71</f>
        <v>983648.39</v>
      </c>
      <c r="BS72" s="2169">
        <f>BS29+BS62+BS63+BS66+BS67+BS70+BS71</f>
        <v>1003321.37</v>
      </c>
      <c r="BT72" s="2169">
        <f>BT29+BT62+BT63+BT66+BT67+BT70+BT71</f>
        <v>1203985.6399999999</v>
      </c>
      <c r="BU72" s="2168"/>
      <c r="BV72" s="2170"/>
      <c r="BW72" s="2170"/>
      <c r="BX72" s="2170"/>
      <c r="BY72" s="1713"/>
      <c r="BZ72" s="1713"/>
      <c r="CA72" s="1713"/>
      <c r="CB72" s="1713"/>
      <c r="CC72" s="1713"/>
      <c r="CD72" s="1713"/>
      <c r="CE72" s="1713"/>
      <c r="CF72" s="1713"/>
      <c r="CG72" s="1713"/>
      <c r="CH72" s="1713"/>
      <c r="CI72" s="1713"/>
      <c r="CJ72" s="1713"/>
    </row>
    <row r="73" spans="1:88" s="2128" customFormat="1" ht="14.25" x14ac:dyDescent="0.2">
      <c r="A73" s="2160" t="s">
        <v>656</v>
      </c>
      <c r="B73" s="2161" t="s">
        <v>9067</v>
      </c>
      <c r="C73" s="2161" t="s">
        <v>9068</v>
      </c>
      <c r="D73" s="2162"/>
      <c r="E73" s="2162"/>
      <c r="F73" s="2162"/>
      <c r="G73" s="2162">
        <v>0.22</v>
      </c>
      <c r="H73" s="2162">
        <v>0.22</v>
      </c>
      <c r="I73" s="2126"/>
      <c r="J73" s="2126"/>
      <c r="K73" s="2126"/>
      <c r="L73" s="2126"/>
      <c r="M73" s="2126"/>
      <c r="N73" s="2126"/>
      <c r="O73" s="2126"/>
      <c r="P73" s="2126"/>
      <c r="Q73" s="2126"/>
      <c r="R73" s="2126"/>
      <c r="S73" s="2126"/>
      <c r="T73" s="2126"/>
      <c r="U73" s="2126"/>
      <c r="V73" s="2126"/>
      <c r="W73" s="2126"/>
      <c r="X73" s="2126"/>
      <c r="Y73" s="2126"/>
      <c r="Z73" s="2126"/>
      <c r="AA73" s="2127"/>
      <c r="AB73" s="2135"/>
      <c r="AC73" s="2158"/>
      <c r="AD73" s="2126"/>
      <c r="AE73" s="2126"/>
      <c r="AF73" s="2126"/>
      <c r="AG73" s="2126"/>
      <c r="AH73" s="2126"/>
      <c r="AI73" s="2126"/>
      <c r="AJ73" s="2126"/>
      <c r="AK73" s="2126"/>
      <c r="AL73" s="2126"/>
      <c r="AM73" s="2126"/>
      <c r="AN73" s="2126"/>
      <c r="AO73" s="2126"/>
      <c r="AP73" s="2126"/>
      <c r="AQ73" s="2126"/>
      <c r="AR73" s="2126"/>
      <c r="AS73" s="2126"/>
      <c r="AT73" s="2126"/>
      <c r="AU73" s="2126"/>
      <c r="AV73" s="2126"/>
      <c r="AW73" s="2126"/>
      <c r="AX73" s="2126"/>
      <c r="AY73" s="2126"/>
      <c r="AZ73" s="2126"/>
      <c r="BA73" s="2126"/>
      <c r="BB73" s="2126"/>
    </row>
    <row r="74" spans="1:88" s="2128" customFormat="1" ht="22.5" x14ac:dyDescent="0.2">
      <c r="A74" s="2160" t="s">
        <v>657</v>
      </c>
      <c r="B74" s="2161" t="s">
        <v>9069</v>
      </c>
      <c r="C74" s="2161" t="s">
        <v>9070</v>
      </c>
      <c r="D74" s="2162"/>
      <c r="E74" s="2162"/>
      <c r="F74" s="2162"/>
      <c r="G74" s="2162">
        <v>17.440000000000001</v>
      </c>
      <c r="H74" s="2162">
        <v>17.440000000000001</v>
      </c>
      <c r="I74" s="2126"/>
      <c r="J74" s="2126"/>
      <c r="K74" s="2126"/>
      <c r="L74" s="2126"/>
      <c r="M74" s="2126"/>
      <c r="N74" s="2126"/>
      <c r="O74" s="2126"/>
      <c r="P74" s="2126"/>
      <c r="Q74" s="2126"/>
      <c r="R74" s="2126"/>
      <c r="S74" s="2126"/>
      <c r="T74" s="2126"/>
      <c r="U74" s="2126"/>
      <c r="V74" s="2126"/>
      <c r="W74" s="2126"/>
      <c r="X74" s="2126"/>
      <c r="Y74" s="2126"/>
      <c r="Z74" s="2126"/>
      <c r="AA74" s="2127"/>
      <c r="AB74" s="2135"/>
      <c r="AC74" s="2158"/>
      <c r="AD74" s="2126"/>
      <c r="AE74" s="2126"/>
      <c r="AF74" s="2126"/>
      <c r="AG74" s="2126"/>
      <c r="AH74" s="2126"/>
      <c r="AI74" s="2126"/>
      <c r="AJ74" s="2126"/>
      <c r="AK74" s="2126"/>
      <c r="AL74" s="2126"/>
      <c r="AM74" s="2126"/>
      <c r="AN74" s="2126"/>
      <c r="AO74" s="2126"/>
      <c r="AP74" s="2126"/>
      <c r="AQ74" s="2126"/>
      <c r="AR74" s="2126"/>
      <c r="AS74" s="2126"/>
      <c r="AT74" s="2126"/>
      <c r="AU74" s="2126"/>
      <c r="AV74" s="2126"/>
      <c r="AW74" s="2126"/>
      <c r="AX74" s="2126"/>
      <c r="AY74" s="2126"/>
      <c r="AZ74" s="2126"/>
      <c r="BA74" s="2126"/>
      <c r="BB74" s="2126"/>
    </row>
    <row r="75" spans="1:88" s="2128" customFormat="1" ht="22.5" x14ac:dyDescent="0.2">
      <c r="A75" s="2160" t="s">
        <v>658</v>
      </c>
      <c r="B75" s="2161" t="s">
        <v>9071</v>
      </c>
      <c r="C75" s="2161" t="s">
        <v>9072</v>
      </c>
      <c r="D75" s="2162"/>
      <c r="E75" s="2162"/>
      <c r="F75" s="2162"/>
      <c r="G75" s="2162">
        <v>24.29</v>
      </c>
      <c r="H75" s="2162">
        <v>24.29</v>
      </c>
      <c r="I75" s="2126"/>
      <c r="J75" s="2126"/>
      <c r="K75" s="2126"/>
      <c r="L75" s="2126"/>
      <c r="M75" s="2126"/>
      <c r="N75" s="2126"/>
      <c r="O75" s="2126"/>
      <c r="P75" s="2126"/>
      <c r="Q75" s="2126"/>
      <c r="R75" s="2126"/>
      <c r="S75" s="2126"/>
      <c r="T75" s="2126"/>
      <c r="U75" s="2126"/>
      <c r="V75" s="2126"/>
      <c r="W75" s="2126"/>
      <c r="X75" s="2126"/>
      <c r="Y75" s="2126"/>
      <c r="Z75" s="2126"/>
      <c r="AA75" s="2127"/>
      <c r="AB75" s="2135"/>
      <c r="AC75" s="2158"/>
      <c r="AD75" s="2126"/>
      <c r="AE75" s="2126"/>
      <c r="AF75" s="2126"/>
      <c r="AG75" s="2126"/>
      <c r="AH75" s="2126"/>
      <c r="AI75" s="2126"/>
      <c r="AJ75" s="2126"/>
      <c r="AK75" s="2126"/>
      <c r="AL75" s="2126"/>
      <c r="AM75" s="2126"/>
      <c r="AN75" s="2126"/>
      <c r="AO75" s="2126"/>
      <c r="AP75" s="2126"/>
      <c r="AQ75" s="2126"/>
      <c r="AR75" s="2126"/>
      <c r="AS75" s="2126"/>
      <c r="AT75" s="2126"/>
      <c r="AU75" s="2126"/>
      <c r="AV75" s="2126"/>
      <c r="AW75" s="2126"/>
      <c r="AX75" s="2126"/>
      <c r="AY75" s="2126"/>
      <c r="AZ75" s="2126"/>
      <c r="BA75" s="2126"/>
      <c r="BB75" s="2126"/>
    </row>
    <row r="76" spans="1:88" s="2128" customFormat="1" ht="22.5" x14ac:dyDescent="0.2">
      <c r="A76" s="2160" t="s">
        <v>659</v>
      </c>
      <c r="B76" s="2161" t="s">
        <v>9073</v>
      </c>
      <c r="C76" s="2161" t="s">
        <v>9074</v>
      </c>
      <c r="D76" s="2162"/>
      <c r="E76" s="2162"/>
      <c r="F76" s="2162"/>
      <c r="G76" s="2162">
        <v>83.07</v>
      </c>
      <c r="H76" s="2162">
        <v>83.07</v>
      </c>
      <c r="I76" s="2126"/>
      <c r="J76" s="2126"/>
      <c r="K76" s="2126"/>
      <c r="L76" s="2126"/>
      <c r="M76" s="2126"/>
      <c r="N76" s="2126"/>
      <c r="O76" s="2126"/>
      <c r="P76" s="2126"/>
      <c r="Q76" s="2126"/>
      <c r="R76" s="2126"/>
      <c r="S76" s="2126"/>
      <c r="T76" s="2126"/>
      <c r="U76" s="2126"/>
      <c r="V76" s="2126"/>
      <c r="W76" s="2126"/>
      <c r="X76" s="2126"/>
      <c r="Y76" s="2126"/>
      <c r="Z76" s="2126"/>
      <c r="AA76" s="2127"/>
      <c r="AB76" s="2135"/>
      <c r="AC76" s="2158"/>
      <c r="AD76" s="2126"/>
      <c r="AE76" s="2126"/>
      <c r="AF76" s="2126"/>
      <c r="AG76" s="2126"/>
      <c r="AH76" s="2126"/>
      <c r="AI76" s="2126"/>
      <c r="AJ76" s="2126"/>
      <c r="AK76" s="2126"/>
      <c r="AL76" s="2126"/>
      <c r="AM76" s="2126"/>
      <c r="AN76" s="2126"/>
      <c r="AO76" s="2126"/>
      <c r="AP76" s="2126"/>
      <c r="AQ76" s="2126"/>
      <c r="AR76" s="2126"/>
      <c r="AS76" s="2126"/>
      <c r="AT76" s="2126"/>
      <c r="AU76" s="2126"/>
      <c r="AV76" s="2126"/>
      <c r="AW76" s="2126"/>
      <c r="AX76" s="2126"/>
      <c r="AY76" s="2126"/>
      <c r="AZ76" s="2126"/>
      <c r="BA76" s="2126"/>
      <c r="BB76" s="2126"/>
    </row>
    <row r="77" spans="1:88" s="2128" customFormat="1" ht="22.5" x14ac:dyDescent="0.2">
      <c r="A77" s="2160" t="s">
        <v>660</v>
      </c>
      <c r="B77" s="2161" t="s">
        <v>9075</v>
      </c>
      <c r="C77" s="2161" t="s">
        <v>9076</v>
      </c>
      <c r="D77" s="2162"/>
      <c r="E77" s="2162"/>
      <c r="F77" s="2162"/>
      <c r="G77" s="2162">
        <v>4757.6400000000003</v>
      </c>
      <c r="H77" s="2162">
        <v>4757.6400000000003</v>
      </c>
      <c r="I77" s="2126"/>
      <c r="J77" s="2126"/>
      <c r="K77" s="2126"/>
      <c r="L77" s="2126"/>
      <c r="M77" s="2126"/>
      <c r="N77" s="2126"/>
      <c r="O77" s="2126"/>
      <c r="P77" s="2126"/>
      <c r="Q77" s="2126"/>
      <c r="R77" s="2126"/>
      <c r="S77" s="2126"/>
      <c r="T77" s="2126"/>
      <c r="U77" s="2126"/>
      <c r="V77" s="2126"/>
      <c r="W77" s="2126"/>
      <c r="X77" s="2126"/>
      <c r="Y77" s="2126"/>
      <c r="Z77" s="2126"/>
      <c r="AA77" s="2127"/>
      <c r="AB77" s="2135"/>
      <c r="AC77" s="2158"/>
      <c r="AD77" s="2126"/>
      <c r="AE77" s="2126"/>
      <c r="AF77" s="2126"/>
      <c r="AG77" s="2126"/>
      <c r="AH77" s="2126"/>
      <c r="AI77" s="2126"/>
      <c r="AJ77" s="2126"/>
      <c r="AK77" s="2126"/>
      <c r="AL77" s="2126"/>
      <c r="AM77" s="2126"/>
      <c r="AN77" s="2126"/>
      <c r="AO77" s="2126"/>
      <c r="AP77" s="2126"/>
      <c r="AQ77" s="2126"/>
      <c r="AR77" s="2126"/>
      <c r="AS77" s="2126"/>
      <c r="AT77" s="2126"/>
      <c r="AU77" s="2126"/>
      <c r="AV77" s="2126"/>
      <c r="AW77" s="2126"/>
      <c r="AX77" s="2126"/>
      <c r="AY77" s="2126"/>
      <c r="AZ77" s="2126"/>
      <c r="BA77" s="2126"/>
      <c r="BB77" s="2126"/>
    </row>
    <row r="78" spans="1:88" s="2128" customFormat="1" ht="14.25" x14ac:dyDescent="0.2">
      <c r="A78" s="2153"/>
      <c r="B78" s="2956" t="s">
        <v>728</v>
      </c>
      <c r="C78" s="2957"/>
      <c r="D78" s="2154">
        <v>2871.22</v>
      </c>
      <c r="E78" s="2154">
        <v>370.06</v>
      </c>
      <c r="F78" s="2155"/>
      <c r="G78" s="2155">
        <v>18487.009999999998</v>
      </c>
      <c r="H78" s="2155">
        <v>21728.29</v>
      </c>
      <c r="I78" s="2126"/>
      <c r="J78" s="2126"/>
      <c r="K78" s="2126"/>
      <c r="L78" s="2126"/>
      <c r="M78" s="2126"/>
      <c r="N78" s="2126"/>
      <c r="O78" s="2126"/>
      <c r="P78" s="2126"/>
      <c r="Q78" s="2126"/>
      <c r="R78" s="2126"/>
      <c r="S78" s="2126"/>
      <c r="T78" s="2126"/>
      <c r="U78" s="2126"/>
      <c r="V78" s="2126"/>
      <c r="W78" s="2126"/>
      <c r="X78" s="2126"/>
      <c r="Y78" s="2126"/>
      <c r="Z78" s="2126"/>
      <c r="AA78" s="2127"/>
      <c r="AB78" s="2135" t="s">
        <v>728</v>
      </c>
      <c r="AC78" s="2158"/>
      <c r="AD78" s="2126"/>
      <c r="AE78" s="2126"/>
      <c r="AF78" s="2126"/>
      <c r="AG78" s="2126"/>
      <c r="AH78" s="2126"/>
      <c r="AI78" s="2126"/>
      <c r="AJ78" s="2126"/>
      <c r="AK78" s="2126"/>
      <c r="AL78" s="2126"/>
      <c r="AM78" s="2126"/>
      <c r="AN78" s="2126"/>
      <c r="AO78" s="2126"/>
      <c r="AP78" s="2126"/>
      <c r="AQ78" s="2126"/>
      <c r="AR78" s="2126"/>
      <c r="AS78" s="2126"/>
      <c r="AT78" s="2126"/>
      <c r="AU78" s="2126"/>
      <c r="AV78" s="2126"/>
      <c r="AW78" s="2126"/>
      <c r="AX78" s="2126"/>
      <c r="AY78" s="2126"/>
      <c r="AZ78" s="2126"/>
      <c r="BA78" s="2126"/>
      <c r="BB78" s="2126"/>
    </row>
    <row r="79" spans="1:88" s="2128" customFormat="1" ht="14.25" x14ac:dyDescent="0.2">
      <c r="A79" s="2153"/>
      <c r="B79" s="2958" t="s">
        <v>729</v>
      </c>
      <c r="C79" s="2959"/>
      <c r="D79" s="2154">
        <v>524911.47</v>
      </c>
      <c r="E79" s="2154">
        <v>67654.09</v>
      </c>
      <c r="F79" s="2155">
        <v>284387.59000000003</v>
      </c>
      <c r="G79" s="2155">
        <v>18715.560000000001</v>
      </c>
      <c r="H79" s="2155">
        <v>895668.71</v>
      </c>
      <c r="I79" s="2126"/>
      <c r="J79" s="2126"/>
      <c r="K79" s="2126"/>
      <c r="L79" s="2126"/>
      <c r="M79" s="2126"/>
      <c r="N79" s="2126"/>
      <c r="O79" s="2126"/>
      <c r="P79" s="2126"/>
      <c r="Q79" s="2126"/>
      <c r="R79" s="2126"/>
      <c r="S79" s="2126"/>
      <c r="T79" s="2126"/>
      <c r="U79" s="2126"/>
      <c r="V79" s="2126"/>
      <c r="W79" s="2126"/>
      <c r="X79" s="2126"/>
      <c r="Y79" s="2126"/>
      <c r="Z79" s="2126"/>
      <c r="AA79" s="2127"/>
      <c r="AB79" s="2135"/>
      <c r="AC79" s="2158" t="s">
        <v>729</v>
      </c>
      <c r="AD79" s="2126"/>
      <c r="AE79" s="2126"/>
      <c r="AF79" s="2126"/>
      <c r="AG79" s="2126"/>
      <c r="AH79" s="2126"/>
      <c r="AI79" s="2126"/>
      <c r="AJ79" s="2126"/>
      <c r="AK79" s="2126"/>
      <c r="AL79" s="2126"/>
      <c r="AM79" s="2126"/>
      <c r="AN79" s="2126"/>
      <c r="AO79" s="2126"/>
      <c r="AP79" s="2126"/>
      <c r="AQ79" s="2126"/>
      <c r="AR79" s="2126"/>
      <c r="AS79" s="2126"/>
      <c r="AT79" s="2126"/>
      <c r="AU79" s="2126"/>
      <c r="AV79" s="2126"/>
      <c r="AW79" s="2126"/>
      <c r="AX79" s="2126"/>
      <c r="AY79" s="2126"/>
      <c r="AZ79" s="2126"/>
      <c r="BA79" s="2126"/>
      <c r="BB79" s="2126"/>
    </row>
    <row r="80" spans="1:88" s="2128" customFormat="1" ht="14.25" x14ac:dyDescent="0.2">
      <c r="A80" s="2944" t="s">
        <v>730</v>
      </c>
      <c r="B80" s="2945"/>
      <c r="C80" s="2945"/>
      <c r="D80" s="2945"/>
      <c r="E80" s="2945"/>
      <c r="F80" s="2945"/>
      <c r="G80" s="2945"/>
      <c r="H80" s="2946"/>
      <c r="I80" s="2126"/>
      <c r="J80" s="2126"/>
      <c r="K80" s="2126"/>
      <c r="L80" s="2126"/>
      <c r="M80" s="2126"/>
      <c r="N80" s="2126"/>
      <c r="O80" s="2126"/>
      <c r="P80" s="2126"/>
      <c r="Q80" s="2126"/>
      <c r="R80" s="2126"/>
      <c r="S80" s="2126"/>
      <c r="T80" s="2126"/>
      <c r="U80" s="2126"/>
      <c r="V80" s="2126"/>
      <c r="W80" s="2126"/>
      <c r="X80" s="2126"/>
      <c r="Y80" s="2126"/>
      <c r="Z80" s="2126"/>
      <c r="AA80" s="2127" t="s">
        <v>730</v>
      </c>
      <c r="AB80" s="2135"/>
      <c r="AC80" s="2158"/>
      <c r="AD80" s="2126"/>
      <c r="AE80" s="2126"/>
      <c r="AF80" s="2126"/>
      <c r="AG80" s="2126"/>
      <c r="AH80" s="2126"/>
      <c r="AI80" s="2126"/>
      <c r="AJ80" s="2126"/>
      <c r="AK80" s="2126"/>
      <c r="AL80" s="2126"/>
      <c r="AM80" s="2126"/>
      <c r="AN80" s="2126"/>
      <c r="AO80" s="2126"/>
      <c r="AP80" s="2126"/>
      <c r="AQ80" s="2126"/>
      <c r="AR80" s="2126"/>
      <c r="AS80" s="2126"/>
      <c r="AT80" s="2126"/>
      <c r="AU80" s="2126"/>
      <c r="AV80" s="2126"/>
      <c r="AW80" s="2126"/>
      <c r="AX80" s="2126"/>
      <c r="AY80" s="2126"/>
      <c r="AZ80" s="2126"/>
      <c r="BA80" s="2126"/>
      <c r="BB80" s="2126"/>
    </row>
    <row r="81" spans="1:54" s="2128" customFormat="1" ht="22.5" x14ac:dyDescent="0.2">
      <c r="A81" s="2160" t="s">
        <v>915</v>
      </c>
      <c r="B81" s="2161" t="s">
        <v>9077</v>
      </c>
      <c r="C81" s="2161" t="s">
        <v>9078</v>
      </c>
      <c r="D81" s="2162"/>
      <c r="E81" s="2162"/>
      <c r="F81" s="2162"/>
      <c r="G81" s="2162">
        <v>15405.5</v>
      </c>
      <c r="H81" s="2162">
        <v>15405.5</v>
      </c>
      <c r="I81" s="2126"/>
      <c r="J81" s="2126"/>
      <c r="K81" s="2126"/>
      <c r="L81" s="2126"/>
      <c r="M81" s="2126"/>
      <c r="N81" s="2126"/>
      <c r="O81" s="2126"/>
      <c r="P81" s="2126"/>
      <c r="Q81" s="2126"/>
      <c r="R81" s="2126"/>
      <c r="S81" s="2126"/>
      <c r="T81" s="2126"/>
      <c r="U81" s="2126"/>
      <c r="V81" s="2126"/>
      <c r="W81" s="2126"/>
      <c r="X81" s="2126"/>
      <c r="Y81" s="2126"/>
      <c r="Z81" s="2126"/>
      <c r="AA81" s="2127"/>
      <c r="AB81" s="2135"/>
      <c r="AC81" s="2158"/>
      <c r="AD81" s="2126"/>
      <c r="AE81" s="2126"/>
      <c r="AF81" s="2126"/>
      <c r="AG81" s="2126"/>
      <c r="AH81" s="2126"/>
      <c r="AI81" s="2126"/>
      <c r="AJ81" s="2126"/>
      <c r="AK81" s="2126"/>
      <c r="AL81" s="2126"/>
      <c r="AM81" s="2126"/>
      <c r="AN81" s="2126"/>
      <c r="AO81" s="2126"/>
      <c r="AP81" s="2126"/>
      <c r="AQ81" s="2126"/>
      <c r="AR81" s="2126"/>
      <c r="AS81" s="2126"/>
      <c r="AT81" s="2126"/>
      <c r="AU81" s="2126"/>
      <c r="AV81" s="2126"/>
      <c r="AW81" s="2126"/>
      <c r="AX81" s="2126"/>
      <c r="AY81" s="2126"/>
      <c r="AZ81" s="2126"/>
      <c r="BA81" s="2126"/>
      <c r="BB81" s="2126"/>
    </row>
    <row r="82" spans="1:54" s="2128" customFormat="1" ht="22.5" x14ac:dyDescent="0.2">
      <c r="A82" s="2125"/>
      <c r="B82" s="2161"/>
      <c r="C82" s="2161"/>
      <c r="D82" s="2162"/>
      <c r="E82" s="2162"/>
      <c r="F82" s="2162"/>
      <c r="G82" s="2162" t="s">
        <v>9079</v>
      </c>
      <c r="H82" s="2162"/>
      <c r="I82" s="2126"/>
      <c r="J82" s="2126"/>
      <c r="K82" s="2126"/>
      <c r="L82" s="2126"/>
      <c r="M82" s="2126"/>
      <c r="N82" s="2126"/>
      <c r="O82" s="2126"/>
      <c r="P82" s="2126"/>
      <c r="Q82" s="2126"/>
      <c r="R82" s="2126"/>
      <c r="S82" s="2126"/>
      <c r="T82" s="2126"/>
      <c r="U82" s="2126"/>
      <c r="V82" s="2126"/>
      <c r="W82" s="2126"/>
      <c r="X82" s="2126"/>
      <c r="Y82" s="2126"/>
      <c r="Z82" s="2126"/>
      <c r="AA82" s="2127"/>
      <c r="AB82" s="2135"/>
      <c r="AC82" s="2158"/>
      <c r="AD82" s="2126"/>
      <c r="AE82" s="2126"/>
      <c r="AF82" s="2126"/>
      <c r="AG82" s="2126"/>
      <c r="AH82" s="2126"/>
      <c r="AI82" s="2126"/>
      <c r="AJ82" s="2126"/>
      <c r="AK82" s="2126"/>
      <c r="AL82" s="2126"/>
      <c r="AM82" s="2126"/>
      <c r="AN82" s="2126"/>
      <c r="AO82" s="2126"/>
      <c r="AP82" s="2126"/>
      <c r="AQ82" s="2126"/>
      <c r="AR82" s="2126"/>
      <c r="AS82" s="2126"/>
      <c r="AT82" s="2126"/>
      <c r="AU82" s="2126"/>
      <c r="AV82" s="2126"/>
      <c r="AW82" s="2126"/>
      <c r="AX82" s="2126"/>
      <c r="AY82" s="2126"/>
      <c r="AZ82" s="2126"/>
      <c r="BA82" s="2126"/>
      <c r="BB82" s="2126"/>
    </row>
    <row r="83" spans="1:54" s="2128" customFormat="1" ht="22.5" x14ac:dyDescent="0.2">
      <c r="A83" s="2153"/>
      <c r="B83" s="2956" t="s">
        <v>732</v>
      </c>
      <c r="C83" s="2957"/>
      <c r="D83" s="2154"/>
      <c r="E83" s="2154"/>
      <c r="F83" s="2155"/>
      <c r="G83" s="2155">
        <v>15405.5</v>
      </c>
      <c r="H83" s="2155">
        <v>15405.5</v>
      </c>
      <c r="I83" s="2126"/>
      <c r="J83" s="2126"/>
      <c r="K83" s="2126"/>
      <c r="L83" s="2126"/>
      <c r="M83" s="2126"/>
      <c r="N83" s="2126"/>
      <c r="O83" s="2126"/>
      <c r="P83" s="2126"/>
      <c r="Q83" s="2126"/>
      <c r="R83" s="2126"/>
      <c r="S83" s="2126"/>
      <c r="T83" s="2126"/>
      <c r="U83" s="2126"/>
      <c r="V83" s="2126"/>
      <c r="W83" s="2126"/>
      <c r="X83" s="2126"/>
      <c r="Y83" s="2126"/>
      <c r="Z83" s="2126"/>
      <c r="AA83" s="2127"/>
      <c r="AB83" s="2135" t="s">
        <v>732</v>
      </c>
      <c r="AC83" s="2158"/>
      <c r="AD83" s="2126"/>
      <c r="AE83" s="2126"/>
      <c r="AF83" s="2126"/>
      <c r="AG83" s="2126"/>
      <c r="AH83" s="2126"/>
      <c r="AI83" s="2126"/>
      <c r="AJ83" s="2126"/>
      <c r="AK83" s="2126"/>
      <c r="AL83" s="2126"/>
      <c r="AM83" s="2126"/>
      <c r="AN83" s="2126"/>
      <c r="AO83" s="2126"/>
      <c r="AP83" s="2126"/>
      <c r="AQ83" s="2126"/>
      <c r="AR83" s="2126"/>
      <c r="AS83" s="2126"/>
      <c r="AT83" s="2126"/>
      <c r="AU83" s="2126"/>
      <c r="AV83" s="2126"/>
      <c r="AW83" s="2126"/>
      <c r="AX83" s="2126"/>
      <c r="AY83" s="2126"/>
      <c r="AZ83" s="2126"/>
      <c r="BA83" s="2126"/>
      <c r="BB83" s="2126"/>
    </row>
    <row r="84" spans="1:54" s="2128" customFormat="1" ht="48" x14ac:dyDescent="0.2">
      <c r="A84" s="2944" t="s">
        <v>733</v>
      </c>
      <c r="B84" s="2945"/>
      <c r="C84" s="2945"/>
      <c r="D84" s="2945"/>
      <c r="E84" s="2945"/>
      <c r="F84" s="2945"/>
      <c r="G84" s="2945"/>
      <c r="H84" s="2946"/>
      <c r="I84" s="2126"/>
      <c r="J84" s="2126"/>
      <c r="K84" s="2126"/>
      <c r="L84" s="2126"/>
      <c r="M84" s="2126"/>
      <c r="N84" s="2126"/>
      <c r="O84" s="2126"/>
      <c r="P84" s="2126"/>
      <c r="Q84" s="2126"/>
      <c r="R84" s="2126"/>
      <c r="S84" s="2126"/>
      <c r="T84" s="2126"/>
      <c r="U84" s="2126"/>
      <c r="V84" s="2126"/>
      <c r="W84" s="2126"/>
      <c r="X84" s="2126"/>
      <c r="Y84" s="2126"/>
      <c r="Z84" s="2126"/>
      <c r="AA84" s="2127" t="s">
        <v>733</v>
      </c>
      <c r="AB84" s="2135"/>
      <c r="AC84" s="2158"/>
      <c r="AD84" s="2126"/>
      <c r="AE84" s="2126"/>
      <c r="AF84" s="2126"/>
      <c r="AG84" s="2126"/>
      <c r="AH84" s="2126"/>
      <c r="AI84" s="2126"/>
      <c r="AJ84" s="2126"/>
      <c r="AK84" s="2126"/>
      <c r="AL84" s="2126"/>
      <c r="AM84" s="2126"/>
      <c r="AN84" s="2126"/>
      <c r="AO84" s="2126"/>
      <c r="AP84" s="2126"/>
      <c r="AQ84" s="2126"/>
      <c r="AR84" s="2126"/>
      <c r="AS84" s="2126"/>
      <c r="AT84" s="2126"/>
      <c r="AU84" s="2126"/>
      <c r="AV84" s="2126"/>
      <c r="AW84" s="2126"/>
      <c r="AX84" s="2126"/>
      <c r="AY84" s="2126"/>
      <c r="AZ84" s="2126"/>
      <c r="BA84" s="2126"/>
      <c r="BB84" s="2126"/>
    </row>
    <row r="85" spans="1:54" s="2128" customFormat="1" ht="22.5" x14ac:dyDescent="0.2">
      <c r="A85" s="2160" t="s">
        <v>916</v>
      </c>
      <c r="B85" s="2161" t="s">
        <v>9080</v>
      </c>
      <c r="C85" s="2161" t="s">
        <v>9081</v>
      </c>
      <c r="D85" s="2162"/>
      <c r="E85" s="2162"/>
      <c r="F85" s="2162"/>
      <c r="G85" s="2162">
        <v>1791.34</v>
      </c>
      <c r="H85" s="2162">
        <v>1791.34</v>
      </c>
      <c r="I85" s="2126"/>
      <c r="J85" s="2126"/>
      <c r="K85" s="2126"/>
      <c r="L85" s="2126"/>
      <c r="M85" s="2126"/>
      <c r="N85" s="2126"/>
      <c r="O85" s="2126"/>
      <c r="P85" s="2126"/>
      <c r="Q85" s="2126"/>
      <c r="R85" s="2126"/>
      <c r="S85" s="2126"/>
      <c r="T85" s="2126"/>
      <c r="U85" s="2126"/>
      <c r="V85" s="2126"/>
      <c r="W85" s="2126"/>
      <c r="X85" s="2126"/>
      <c r="Y85" s="2126"/>
      <c r="Z85" s="2126"/>
      <c r="AA85" s="2127"/>
      <c r="AB85" s="2135"/>
      <c r="AC85" s="2158"/>
      <c r="AD85" s="2126"/>
      <c r="AE85" s="2126"/>
      <c r="AF85" s="2126"/>
      <c r="AG85" s="2126"/>
      <c r="AH85" s="2126"/>
      <c r="AI85" s="2126"/>
      <c r="AJ85" s="2126"/>
      <c r="AK85" s="2126"/>
      <c r="AL85" s="2126"/>
      <c r="AM85" s="2126"/>
      <c r="AN85" s="2126"/>
      <c r="AO85" s="2126"/>
      <c r="AP85" s="2126"/>
      <c r="AQ85" s="2126"/>
      <c r="AR85" s="2126"/>
      <c r="AS85" s="2126"/>
      <c r="AT85" s="2126"/>
      <c r="AU85" s="2126"/>
      <c r="AV85" s="2126"/>
      <c r="AW85" s="2126"/>
      <c r="AX85" s="2126"/>
      <c r="AY85" s="2126"/>
      <c r="AZ85" s="2126"/>
      <c r="BA85" s="2126"/>
      <c r="BB85" s="2126"/>
    </row>
    <row r="86" spans="1:54" s="2128" customFormat="1" ht="14.25" x14ac:dyDescent="0.2">
      <c r="A86" s="2125"/>
      <c r="B86" s="2161"/>
      <c r="C86" s="2161"/>
      <c r="D86" s="2162"/>
      <c r="E86" s="2162"/>
      <c r="F86" s="2162"/>
      <c r="G86" s="2162" t="s">
        <v>9082</v>
      </c>
      <c r="H86" s="2162"/>
      <c r="I86" s="2126"/>
      <c r="J86" s="2126"/>
      <c r="K86" s="2126"/>
      <c r="L86" s="2126"/>
      <c r="M86" s="2126"/>
      <c r="N86" s="2126"/>
      <c r="O86" s="2126"/>
      <c r="P86" s="2126"/>
      <c r="Q86" s="2126"/>
      <c r="R86" s="2126"/>
      <c r="S86" s="2126"/>
      <c r="T86" s="2126"/>
      <c r="U86" s="2126"/>
      <c r="V86" s="2126"/>
      <c r="W86" s="2126"/>
      <c r="X86" s="2126"/>
      <c r="Y86" s="2126"/>
      <c r="Z86" s="2126"/>
      <c r="AA86" s="2127"/>
      <c r="AB86" s="2135"/>
      <c r="AC86" s="2158"/>
      <c r="AD86" s="2126"/>
      <c r="AE86" s="2126"/>
      <c r="AF86" s="2126"/>
      <c r="AG86" s="2126"/>
      <c r="AH86" s="2126"/>
      <c r="AI86" s="2126"/>
      <c r="AJ86" s="2126"/>
      <c r="AK86" s="2126"/>
      <c r="AL86" s="2126"/>
      <c r="AM86" s="2126"/>
      <c r="AN86" s="2126"/>
      <c r="AO86" s="2126"/>
      <c r="AP86" s="2126"/>
      <c r="AQ86" s="2126"/>
      <c r="AR86" s="2126"/>
      <c r="AS86" s="2126"/>
      <c r="AT86" s="2126"/>
      <c r="AU86" s="2126"/>
      <c r="AV86" s="2126"/>
      <c r="AW86" s="2126"/>
      <c r="AX86" s="2126"/>
      <c r="AY86" s="2126"/>
      <c r="AZ86" s="2126"/>
      <c r="BA86" s="2126"/>
      <c r="BB86" s="2126"/>
    </row>
    <row r="87" spans="1:54" s="2128" customFormat="1" ht="14.25" x14ac:dyDescent="0.2">
      <c r="A87" s="2160" t="s">
        <v>917</v>
      </c>
      <c r="B87" s="2161" t="s">
        <v>734</v>
      </c>
      <c r="C87" s="2161" t="s">
        <v>9083</v>
      </c>
      <c r="D87" s="2162"/>
      <c r="E87" s="2162"/>
      <c r="F87" s="2162"/>
      <c r="G87" s="2162">
        <v>5989.95</v>
      </c>
      <c r="H87" s="2162">
        <v>5989.95</v>
      </c>
      <c r="I87" s="2126"/>
      <c r="J87" s="2126"/>
      <c r="K87" s="2126"/>
      <c r="L87" s="2126"/>
      <c r="M87" s="2126"/>
      <c r="N87" s="2126"/>
      <c r="O87" s="2126"/>
      <c r="P87" s="2126"/>
      <c r="Q87" s="2126"/>
      <c r="R87" s="2126"/>
      <c r="S87" s="2126"/>
      <c r="T87" s="2126"/>
      <c r="U87" s="2126"/>
      <c r="V87" s="2126"/>
      <c r="W87" s="2126"/>
      <c r="X87" s="2126"/>
      <c r="Y87" s="2126"/>
      <c r="Z87" s="2126"/>
      <c r="AA87" s="2127"/>
      <c r="AB87" s="2135"/>
      <c r="AC87" s="2158"/>
      <c r="AD87" s="2126"/>
      <c r="AE87" s="2126"/>
      <c r="AF87" s="2126"/>
      <c r="AG87" s="2126"/>
      <c r="AH87" s="2126"/>
      <c r="AI87" s="2126"/>
      <c r="AJ87" s="2126"/>
      <c r="AK87" s="2126"/>
      <c r="AL87" s="2126"/>
      <c r="AM87" s="2126"/>
      <c r="AN87" s="2126"/>
      <c r="AO87" s="2126"/>
      <c r="AP87" s="2126"/>
      <c r="AQ87" s="2126"/>
      <c r="AR87" s="2126"/>
      <c r="AS87" s="2126"/>
      <c r="AT87" s="2126"/>
      <c r="AU87" s="2126"/>
      <c r="AV87" s="2126"/>
      <c r="AW87" s="2126"/>
      <c r="AX87" s="2126"/>
      <c r="AY87" s="2126"/>
      <c r="AZ87" s="2126"/>
      <c r="BA87" s="2126"/>
      <c r="BB87" s="2126"/>
    </row>
    <row r="88" spans="1:54" s="2128" customFormat="1" ht="14.25" x14ac:dyDescent="0.2">
      <c r="A88" s="2160" t="s">
        <v>918</v>
      </c>
      <c r="B88" s="2161" t="s">
        <v>734</v>
      </c>
      <c r="C88" s="2161" t="s">
        <v>9084</v>
      </c>
      <c r="D88" s="2162"/>
      <c r="E88" s="2162"/>
      <c r="F88" s="2162"/>
      <c r="G88" s="2162">
        <v>24413.22</v>
      </c>
      <c r="H88" s="2162">
        <v>24413.22</v>
      </c>
      <c r="I88" s="2126"/>
      <c r="J88" s="2126"/>
      <c r="K88" s="2126"/>
      <c r="L88" s="2126"/>
      <c r="M88" s="2126"/>
      <c r="N88" s="2126"/>
      <c r="O88" s="2126"/>
      <c r="P88" s="2126"/>
      <c r="Q88" s="2126"/>
      <c r="R88" s="2126"/>
      <c r="S88" s="2126"/>
      <c r="T88" s="2126"/>
      <c r="U88" s="2126"/>
      <c r="V88" s="2126"/>
      <c r="W88" s="2126"/>
      <c r="X88" s="2126"/>
      <c r="Y88" s="2126"/>
      <c r="Z88" s="2126"/>
      <c r="AA88" s="2127"/>
      <c r="AB88" s="2135"/>
      <c r="AC88" s="2158"/>
      <c r="AD88" s="2126"/>
      <c r="AE88" s="2126"/>
      <c r="AF88" s="2126"/>
      <c r="AG88" s="2126"/>
      <c r="AH88" s="2126"/>
      <c r="AI88" s="2126"/>
      <c r="AJ88" s="2126"/>
      <c r="AK88" s="2126"/>
      <c r="AL88" s="2126"/>
      <c r="AM88" s="2126"/>
      <c r="AN88" s="2126"/>
      <c r="AO88" s="2126"/>
      <c r="AP88" s="2126"/>
      <c r="AQ88" s="2126"/>
      <c r="AR88" s="2126"/>
      <c r="AS88" s="2126"/>
      <c r="AT88" s="2126"/>
      <c r="AU88" s="2126"/>
      <c r="AV88" s="2126"/>
      <c r="AW88" s="2126"/>
      <c r="AX88" s="2126"/>
      <c r="AY88" s="2126"/>
      <c r="AZ88" s="2126"/>
      <c r="BA88" s="2126"/>
      <c r="BB88" s="2126"/>
    </row>
    <row r="89" spans="1:54" s="2128" customFormat="1" ht="14.25" x14ac:dyDescent="0.2">
      <c r="A89" s="2160" t="s">
        <v>919</v>
      </c>
      <c r="B89" s="2161" t="s">
        <v>734</v>
      </c>
      <c r="C89" s="2161" t="s">
        <v>9085</v>
      </c>
      <c r="D89" s="2162"/>
      <c r="E89" s="2162"/>
      <c r="F89" s="2162"/>
      <c r="G89" s="2162">
        <v>36482.269999999997</v>
      </c>
      <c r="H89" s="2162">
        <v>36482.269999999997</v>
      </c>
      <c r="I89" s="2126"/>
      <c r="J89" s="2126"/>
      <c r="K89" s="2126"/>
      <c r="L89" s="2126"/>
      <c r="M89" s="2126"/>
      <c r="N89" s="2126"/>
      <c r="O89" s="2126"/>
      <c r="P89" s="2126"/>
      <c r="Q89" s="2126"/>
      <c r="R89" s="2126"/>
      <c r="S89" s="2126"/>
      <c r="T89" s="2126"/>
      <c r="U89" s="2126"/>
      <c r="V89" s="2126"/>
      <c r="W89" s="2126"/>
      <c r="X89" s="2126"/>
      <c r="Y89" s="2126"/>
      <c r="Z89" s="2126"/>
      <c r="AA89" s="2127"/>
      <c r="AB89" s="2135"/>
      <c r="AC89" s="2158"/>
      <c r="AD89" s="2126"/>
      <c r="AE89" s="2126"/>
      <c r="AF89" s="2126"/>
      <c r="AG89" s="2126"/>
      <c r="AH89" s="2126"/>
      <c r="AI89" s="2126"/>
      <c r="AJ89" s="2126"/>
      <c r="AK89" s="2126"/>
      <c r="AL89" s="2126"/>
      <c r="AM89" s="2126"/>
      <c r="AN89" s="2126"/>
      <c r="AO89" s="2126"/>
      <c r="AP89" s="2126"/>
      <c r="AQ89" s="2126"/>
      <c r="AR89" s="2126"/>
      <c r="AS89" s="2126"/>
      <c r="AT89" s="2126"/>
      <c r="AU89" s="2126"/>
      <c r="AV89" s="2126"/>
      <c r="AW89" s="2126"/>
      <c r="AX89" s="2126"/>
      <c r="AY89" s="2126"/>
      <c r="AZ89" s="2126"/>
      <c r="BA89" s="2126"/>
      <c r="BB89" s="2126"/>
    </row>
    <row r="90" spans="1:54" s="2128" customFormat="1" ht="22.5" x14ac:dyDescent="0.2">
      <c r="A90" s="2160" t="s">
        <v>920</v>
      </c>
      <c r="B90" s="2161" t="s">
        <v>9086</v>
      </c>
      <c r="C90" s="2161" t="s">
        <v>9087</v>
      </c>
      <c r="D90" s="2162"/>
      <c r="E90" s="2162"/>
      <c r="F90" s="2162"/>
      <c r="G90" s="2162">
        <v>724.37</v>
      </c>
      <c r="H90" s="2162">
        <v>724.37</v>
      </c>
      <c r="I90" s="2126"/>
      <c r="J90" s="2126"/>
      <c r="K90" s="2126"/>
      <c r="L90" s="2126"/>
      <c r="M90" s="2126"/>
      <c r="N90" s="2126"/>
      <c r="O90" s="2126"/>
      <c r="P90" s="2126"/>
      <c r="Q90" s="2126"/>
      <c r="R90" s="2126"/>
      <c r="S90" s="2126"/>
      <c r="T90" s="2126"/>
      <c r="U90" s="2126"/>
      <c r="V90" s="2126"/>
      <c r="W90" s="2126"/>
      <c r="X90" s="2126"/>
      <c r="Y90" s="2126"/>
      <c r="Z90" s="2126"/>
      <c r="AA90" s="2127"/>
      <c r="AB90" s="2135"/>
      <c r="AC90" s="2158"/>
      <c r="AD90" s="2126"/>
      <c r="AE90" s="2126"/>
      <c r="AF90" s="2126"/>
      <c r="AG90" s="2126"/>
      <c r="AH90" s="2126"/>
      <c r="AI90" s="2126"/>
      <c r="AJ90" s="2126"/>
      <c r="AK90" s="2126"/>
      <c r="AL90" s="2126"/>
      <c r="AM90" s="2126"/>
      <c r="AN90" s="2126"/>
      <c r="AO90" s="2126"/>
      <c r="AP90" s="2126"/>
      <c r="AQ90" s="2126"/>
      <c r="AR90" s="2126"/>
      <c r="AS90" s="2126"/>
      <c r="AT90" s="2126"/>
      <c r="AU90" s="2126"/>
      <c r="AV90" s="2126"/>
      <c r="AW90" s="2126"/>
      <c r="AX90" s="2126"/>
      <c r="AY90" s="2126"/>
      <c r="AZ90" s="2126"/>
      <c r="BA90" s="2126"/>
      <c r="BB90" s="2126"/>
    </row>
    <row r="91" spans="1:54" s="2128" customFormat="1" ht="33.75" x14ac:dyDescent="0.2">
      <c r="A91" s="2160" t="s">
        <v>1048</v>
      </c>
      <c r="B91" s="2161" t="s">
        <v>9088</v>
      </c>
      <c r="C91" s="2161" t="s">
        <v>444</v>
      </c>
      <c r="D91" s="2162"/>
      <c r="E91" s="2162"/>
      <c r="F91" s="2162"/>
      <c r="G91" s="2162">
        <v>3173.04</v>
      </c>
      <c r="H91" s="2162">
        <v>3173.04</v>
      </c>
      <c r="I91" s="2126"/>
      <c r="J91" s="2126"/>
      <c r="K91" s="2126"/>
      <c r="L91" s="2126"/>
      <c r="M91" s="2126"/>
      <c r="N91" s="2126"/>
      <c r="O91" s="2126"/>
      <c r="P91" s="2126"/>
      <c r="Q91" s="2126"/>
      <c r="R91" s="2126"/>
      <c r="S91" s="2126"/>
      <c r="T91" s="2126"/>
      <c r="U91" s="2126"/>
      <c r="V91" s="2126"/>
      <c r="W91" s="2126"/>
      <c r="X91" s="2126"/>
      <c r="Y91" s="2126"/>
      <c r="Z91" s="2126"/>
      <c r="AA91" s="2127"/>
      <c r="AB91" s="2135"/>
      <c r="AC91" s="2158"/>
      <c r="AD91" s="2126"/>
      <c r="AE91" s="2126"/>
      <c r="AF91" s="2126"/>
      <c r="AG91" s="2126"/>
      <c r="AH91" s="2126"/>
      <c r="AI91" s="2126"/>
      <c r="AJ91" s="2126"/>
      <c r="AK91" s="2126"/>
      <c r="AL91" s="2126"/>
      <c r="AM91" s="2126"/>
      <c r="AN91" s="2126"/>
      <c r="AO91" s="2126"/>
      <c r="AP91" s="2126"/>
      <c r="AQ91" s="2126"/>
      <c r="AR91" s="2126"/>
      <c r="AS91" s="2126"/>
      <c r="AT91" s="2126"/>
      <c r="AU91" s="2126"/>
      <c r="AV91" s="2126"/>
      <c r="AW91" s="2126"/>
      <c r="AX91" s="2126"/>
      <c r="AY91" s="2126"/>
      <c r="AZ91" s="2126"/>
      <c r="BA91" s="2126"/>
      <c r="BB91" s="2126"/>
    </row>
    <row r="92" spans="1:54" s="2128" customFormat="1" ht="112.5" x14ac:dyDescent="0.2">
      <c r="A92" s="2153"/>
      <c r="B92" s="2956" t="s">
        <v>742</v>
      </c>
      <c r="C92" s="2957"/>
      <c r="D92" s="2154"/>
      <c r="E92" s="2154"/>
      <c r="F92" s="2155"/>
      <c r="G92" s="2155">
        <v>72574.19</v>
      </c>
      <c r="H92" s="2155">
        <v>72574.19</v>
      </c>
      <c r="I92" s="2126"/>
      <c r="J92" s="2126"/>
      <c r="K92" s="2126"/>
      <c r="L92" s="2126"/>
      <c r="M92" s="2126"/>
      <c r="N92" s="2126"/>
      <c r="O92" s="2126"/>
      <c r="P92" s="2126"/>
      <c r="Q92" s="2126"/>
      <c r="R92" s="2126"/>
      <c r="S92" s="2126"/>
      <c r="T92" s="2126"/>
      <c r="U92" s="2126"/>
      <c r="V92" s="2126"/>
      <c r="W92" s="2126"/>
      <c r="X92" s="2126"/>
      <c r="Y92" s="2126"/>
      <c r="Z92" s="2126"/>
      <c r="AA92" s="2127"/>
      <c r="AB92" s="2135" t="s">
        <v>742</v>
      </c>
      <c r="AC92" s="2158"/>
      <c r="AD92" s="2126"/>
      <c r="AE92" s="2126"/>
      <c r="AF92" s="2126"/>
      <c r="AG92" s="2126"/>
      <c r="AH92" s="2126"/>
      <c r="AI92" s="2126"/>
      <c r="AJ92" s="2126"/>
      <c r="AK92" s="2126"/>
      <c r="AL92" s="2126"/>
      <c r="AM92" s="2126"/>
      <c r="AN92" s="2126"/>
      <c r="AO92" s="2126"/>
      <c r="AP92" s="2126"/>
      <c r="AQ92" s="2126"/>
      <c r="AR92" s="2126"/>
      <c r="AS92" s="2126"/>
      <c r="AT92" s="2126"/>
      <c r="AU92" s="2126"/>
      <c r="AV92" s="2126"/>
      <c r="AW92" s="2126"/>
      <c r="AX92" s="2126"/>
      <c r="AY92" s="2126"/>
      <c r="AZ92" s="2126"/>
      <c r="BA92" s="2126"/>
      <c r="BB92" s="2126"/>
    </row>
    <row r="93" spans="1:54" s="2128" customFormat="1" ht="14.25" x14ac:dyDescent="0.2">
      <c r="A93" s="2153"/>
      <c r="B93" s="2958" t="s">
        <v>743</v>
      </c>
      <c r="C93" s="2959"/>
      <c r="D93" s="2154">
        <v>524911.47</v>
      </c>
      <c r="E93" s="2154">
        <v>67654.09</v>
      </c>
      <c r="F93" s="2155">
        <v>284387.59000000003</v>
      </c>
      <c r="G93" s="2155">
        <v>106695.25</v>
      </c>
      <c r="H93" s="2155">
        <v>983648.4</v>
      </c>
      <c r="I93" s="2126"/>
      <c r="J93" s="2126"/>
      <c r="K93" s="2126"/>
      <c r="L93" s="2126"/>
      <c r="M93" s="2126"/>
      <c r="N93" s="2126"/>
      <c r="O93" s="2126"/>
      <c r="P93" s="2126"/>
      <c r="Q93" s="2126"/>
      <c r="R93" s="2126"/>
      <c r="S93" s="2126"/>
      <c r="T93" s="2126"/>
      <c r="U93" s="2126"/>
      <c r="V93" s="2126"/>
      <c r="W93" s="2126"/>
      <c r="X93" s="2126"/>
      <c r="Y93" s="2126"/>
      <c r="Z93" s="2126"/>
      <c r="AA93" s="2127"/>
      <c r="AB93" s="2135"/>
      <c r="AC93" s="2158" t="s">
        <v>743</v>
      </c>
      <c r="AD93" s="2126"/>
      <c r="AE93" s="2126"/>
      <c r="AF93" s="2126"/>
      <c r="AG93" s="2126"/>
      <c r="AH93" s="2126"/>
      <c r="AI93" s="2126"/>
      <c r="AJ93" s="2126"/>
      <c r="AK93" s="2126"/>
      <c r="AL93" s="2126"/>
      <c r="AM93" s="2126"/>
      <c r="AN93" s="2126"/>
      <c r="AO93" s="2126"/>
      <c r="AP93" s="2126"/>
      <c r="AQ93" s="2126"/>
      <c r="AR93" s="2126"/>
      <c r="AS93" s="2126"/>
      <c r="AT93" s="2126"/>
      <c r="AU93" s="2126"/>
      <c r="AV93" s="2126"/>
      <c r="AW93" s="2126"/>
      <c r="AX93" s="2126"/>
      <c r="AY93" s="2126"/>
      <c r="AZ93" s="2126"/>
      <c r="BA93" s="2126"/>
      <c r="BB93" s="2126"/>
    </row>
    <row r="94" spans="1:54" s="2128" customFormat="1" ht="14.25" x14ac:dyDescent="0.2">
      <c r="A94" s="2944" t="s">
        <v>744</v>
      </c>
      <c r="B94" s="2945"/>
      <c r="C94" s="2945"/>
      <c r="D94" s="2945"/>
      <c r="E94" s="2945"/>
      <c r="F94" s="2945"/>
      <c r="G94" s="2945"/>
      <c r="H94" s="2946"/>
      <c r="I94" s="2126"/>
      <c r="J94" s="2126"/>
      <c r="K94" s="2126"/>
      <c r="L94" s="2126"/>
      <c r="M94" s="2126"/>
      <c r="N94" s="2126"/>
      <c r="O94" s="2126"/>
      <c r="P94" s="2126"/>
      <c r="Q94" s="2126"/>
      <c r="R94" s="2126"/>
      <c r="S94" s="2126"/>
      <c r="T94" s="2126"/>
      <c r="U94" s="2126"/>
      <c r="V94" s="2126"/>
      <c r="W94" s="2126"/>
      <c r="X94" s="2126"/>
      <c r="Y94" s="2126"/>
      <c r="Z94" s="2126"/>
      <c r="AA94" s="2127" t="s">
        <v>744</v>
      </c>
      <c r="AB94" s="2135"/>
      <c r="AC94" s="2158"/>
      <c r="AD94" s="2126"/>
      <c r="AE94" s="2126"/>
      <c r="AF94" s="2126"/>
      <c r="AG94" s="2126"/>
      <c r="AH94" s="2126"/>
      <c r="AI94" s="2126"/>
      <c r="AJ94" s="2126"/>
      <c r="AK94" s="2126"/>
      <c r="AL94" s="2126"/>
      <c r="AM94" s="2126"/>
      <c r="AN94" s="2126"/>
      <c r="AO94" s="2126"/>
      <c r="AP94" s="2126"/>
      <c r="AQ94" s="2126"/>
      <c r="AR94" s="2126"/>
      <c r="AS94" s="2126"/>
      <c r="AT94" s="2126"/>
      <c r="AU94" s="2126"/>
      <c r="AV94" s="2126"/>
      <c r="AW94" s="2126"/>
      <c r="AX94" s="2126"/>
      <c r="AY94" s="2126"/>
      <c r="AZ94" s="2126"/>
      <c r="BA94" s="2126"/>
      <c r="BB94" s="2126"/>
    </row>
    <row r="95" spans="1:54" s="2128" customFormat="1" ht="33.75" x14ac:dyDescent="0.2">
      <c r="A95" s="2160" t="s">
        <v>1053</v>
      </c>
      <c r="B95" s="2161" t="s">
        <v>9089</v>
      </c>
      <c r="C95" s="2161" t="s">
        <v>9090</v>
      </c>
      <c r="D95" s="2162">
        <v>10498.23</v>
      </c>
      <c r="E95" s="2162">
        <v>1353.08</v>
      </c>
      <c r="F95" s="2162">
        <v>5687.75</v>
      </c>
      <c r="G95" s="2162">
        <v>2133.91</v>
      </c>
      <c r="H95" s="2162">
        <v>19672.97</v>
      </c>
      <c r="I95" s="2126"/>
      <c r="J95" s="2126"/>
      <c r="K95" s="2126"/>
      <c r="L95" s="2126"/>
      <c r="M95" s="2126"/>
      <c r="N95" s="2126"/>
      <c r="O95" s="2126"/>
      <c r="P95" s="2126"/>
      <c r="Q95" s="2126"/>
      <c r="R95" s="2126"/>
      <c r="S95" s="2126"/>
      <c r="T95" s="2126"/>
      <c r="U95" s="2126"/>
      <c r="V95" s="2126"/>
      <c r="W95" s="2126"/>
      <c r="X95" s="2126"/>
      <c r="Y95" s="2126"/>
      <c r="Z95" s="2126"/>
      <c r="AA95" s="2127"/>
      <c r="AB95" s="2135"/>
      <c r="AC95" s="2158"/>
      <c r="AD95" s="2126"/>
      <c r="AE95" s="2126"/>
      <c r="AF95" s="2126"/>
      <c r="AG95" s="2126"/>
      <c r="AH95" s="2126"/>
      <c r="AI95" s="2126"/>
      <c r="AJ95" s="2126"/>
      <c r="AK95" s="2126"/>
      <c r="AL95" s="2126"/>
      <c r="AM95" s="2126"/>
      <c r="AN95" s="2126"/>
      <c r="AO95" s="2126"/>
      <c r="AP95" s="2126"/>
      <c r="AQ95" s="2126"/>
      <c r="AR95" s="2126"/>
      <c r="AS95" s="2126"/>
      <c r="AT95" s="2126"/>
      <c r="AU95" s="2126"/>
      <c r="AV95" s="2126"/>
      <c r="AW95" s="2126"/>
      <c r="AX95" s="2126"/>
      <c r="AY95" s="2126"/>
      <c r="AZ95" s="2126"/>
      <c r="BA95" s="2126"/>
      <c r="BB95" s="2126"/>
    </row>
    <row r="96" spans="1:54" s="2128" customFormat="1" ht="14.25" x14ac:dyDescent="0.2">
      <c r="A96" s="2125"/>
      <c r="B96" s="2161"/>
      <c r="C96" s="2161"/>
      <c r="D96" s="2162" t="s">
        <v>9091</v>
      </c>
      <c r="E96" s="2162" t="s">
        <v>9092</v>
      </c>
      <c r="F96" s="2162" t="s">
        <v>9093</v>
      </c>
      <c r="G96" s="2162" t="s">
        <v>9094</v>
      </c>
      <c r="H96" s="2162"/>
      <c r="I96" s="2126"/>
      <c r="J96" s="2126"/>
      <c r="K96" s="2126"/>
      <c r="L96" s="2126"/>
      <c r="M96" s="2126"/>
      <c r="N96" s="2126"/>
      <c r="O96" s="2126"/>
      <c r="P96" s="2126"/>
      <c r="Q96" s="2126"/>
      <c r="R96" s="2126"/>
      <c r="S96" s="2126"/>
      <c r="T96" s="2126"/>
      <c r="U96" s="2126"/>
      <c r="V96" s="2126"/>
      <c r="W96" s="2126"/>
      <c r="X96" s="2126"/>
      <c r="Y96" s="2126"/>
      <c r="Z96" s="2126"/>
      <c r="AA96" s="2127"/>
      <c r="AB96" s="2135"/>
      <c r="AC96" s="2158"/>
      <c r="AD96" s="2126"/>
      <c r="AE96" s="2126"/>
      <c r="AF96" s="2126"/>
      <c r="AG96" s="2126"/>
      <c r="AH96" s="2126"/>
      <c r="AI96" s="2126"/>
      <c r="AJ96" s="2126"/>
      <c r="AK96" s="2126"/>
      <c r="AL96" s="2126"/>
      <c r="AM96" s="2126"/>
      <c r="AN96" s="2126"/>
      <c r="AO96" s="2126"/>
      <c r="AP96" s="2126"/>
      <c r="AQ96" s="2126"/>
      <c r="AR96" s="2126"/>
      <c r="AS96" s="2126"/>
      <c r="AT96" s="2126"/>
      <c r="AU96" s="2126"/>
      <c r="AV96" s="2126"/>
      <c r="AW96" s="2126"/>
      <c r="AX96" s="2126"/>
      <c r="AY96" s="2126"/>
      <c r="AZ96" s="2126"/>
      <c r="BA96" s="2126"/>
      <c r="BB96" s="2126"/>
    </row>
    <row r="97" spans="1:54" s="2128" customFormat="1" ht="14.25" x14ac:dyDescent="0.2">
      <c r="A97" s="2153"/>
      <c r="B97" s="2956" t="s">
        <v>747</v>
      </c>
      <c r="C97" s="2957"/>
      <c r="D97" s="2154">
        <v>10498.23</v>
      </c>
      <c r="E97" s="2154">
        <v>1353.08</v>
      </c>
      <c r="F97" s="2155">
        <v>5687.75</v>
      </c>
      <c r="G97" s="2155">
        <v>2133.91</v>
      </c>
      <c r="H97" s="2155">
        <v>19672.97</v>
      </c>
      <c r="I97" s="2126"/>
      <c r="J97" s="2126"/>
      <c r="K97" s="2126"/>
      <c r="L97" s="2126"/>
      <c r="M97" s="2126"/>
      <c r="N97" s="2126"/>
      <c r="O97" s="2126"/>
      <c r="P97" s="2126"/>
      <c r="Q97" s="2126"/>
      <c r="R97" s="2126"/>
      <c r="S97" s="2126"/>
      <c r="T97" s="2126"/>
      <c r="U97" s="2126"/>
      <c r="V97" s="2126"/>
      <c r="W97" s="2126"/>
      <c r="X97" s="2126"/>
      <c r="Y97" s="2126"/>
      <c r="Z97" s="2126"/>
      <c r="AA97" s="2127"/>
      <c r="AB97" s="2135" t="s">
        <v>747</v>
      </c>
      <c r="AC97" s="2158"/>
      <c r="AD97" s="2126"/>
      <c r="AE97" s="2126"/>
      <c r="AF97" s="2126"/>
      <c r="AG97" s="2126"/>
      <c r="AH97" s="2126"/>
      <c r="AI97" s="2126"/>
      <c r="AJ97" s="2126"/>
      <c r="AK97" s="2126"/>
      <c r="AL97" s="2126"/>
      <c r="AM97" s="2126"/>
      <c r="AN97" s="2126"/>
      <c r="AO97" s="2126"/>
      <c r="AP97" s="2126"/>
      <c r="AQ97" s="2126"/>
      <c r="AR97" s="2126"/>
      <c r="AS97" s="2126"/>
      <c r="AT97" s="2126"/>
      <c r="AU97" s="2126"/>
      <c r="AV97" s="2126"/>
      <c r="AW97" s="2126"/>
      <c r="AX97" s="2126"/>
      <c r="AY97" s="2126"/>
      <c r="AZ97" s="2126"/>
      <c r="BA97" s="2126"/>
      <c r="BB97" s="2126"/>
    </row>
    <row r="98" spans="1:54" s="2128" customFormat="1" ht="14.25" x14ac:dyDescent="0.2">
      <c r="A98" s="2153"/>
      <c r="B98" s="2958" t="s">
        <v>748</v>
      </c>
      <c r="C98" s="2959"/>
      <c r="D98" s="2154">
        <v>535409.69999999995</v>
      </c>
      <c r="E98" s="2154">
        <v>69007.17</v>
      </c>
      <c r="F98" s="2155">
        <v>290075.34000000003</v>
      </c>
      <c r="G98" s="2155">
        <v>108829.16</v>
      </c>
      <c r="H98" s="2155">
        <v>1003321.37</v>
      </c>
      <c r="I98" s="2126"/>
      <c r="J98" s="2126"/>
      <c r="K98" s="2126"/>
      <c r="L98" s="2126"/>
      <c r="M98" s="2126"/>
      <c r="N98" s="2126"/>
      <c r="O98" s="2126"/>
      <c r="P98" s="2126"/>
      <c r="Q98" s="2126"/>
      <c r="R98" s="2126"/>
      <c r="S98" s="2126"/>
      <c r="T98" s="2126"/>
      <c r="U98" s="2126"/>
      <c r="V98" s="2126"/>
      <c r="W98" s="2126"/>
      <c r="X98" s="2126"/>
      <c r="Y98" s="2126"/>
      <c r="Z98" s="2126"/>
      <c r="AA98" s="2127"/>
      <c r="AB98" s="2135"/>
      <c r="AC98" s="2158" t="s">
        <v>748</v>
      </c>
      <c r="AD98" s="2126"/>
      <c r="AE98" s="2126"/>
      <c r="AF98" s="2126"/>
      <c r="AG98" s="2126"/>
      <c r="AH98" s="2126"/>
      <c r="AI98" s="2126"/>
      <c r="AJ98" s="2126"/>
      <c r="AK98" s="2126"/>
      <c r="AL98" s="2126"/>
      <c r="AM98" s="2126"/>
      <c r="AN98" s="2126"/>
      <c r="AO98" s="2126"/>
      <c r="AP98" s="2126"/>
      <c r="AQ98" s="2126"/>
      <c r="AR98" s="2126"/>
      <c r="AS98" s="2126"/>
      <c r="AT98" s="2126"/>
      <c r="AU98" s="2126"/>
      <c r="AV98" s="2126"/>
      <c r="AW98" s="2126"/>
      <c r="AX98" s="2126"/>
      <c r="AY98" s="2126"/>
      <c r="AZ98" s="2126"/>
      <c r="BA98" s="2126"/>
      <c r="BB98" s="2126"/>
    </row>
    <row r="99" spans="1:54" s="2128" customFormat="1" ht="14.25" x14ac:dyDescent="0.2">
      <c r="A99" s="2944" t="s">
        <v>749</v>
      </c>
      <c r="B99" s="2945"/>
      <c r="C99" s="2945"/>
      <c r="D99" s="2945"/>
      <c r="E99" s="2945"/>
      <c r="F99" s="2945"/>
      <c r="G99" s="2945"/>
      <c r="H99" s="2946"/>
      <c r="I99" s="2126"/>
      <c r="J99" s="2126"/>
      <c r="K99" s="2126"/>
      <c r="L99" s="2126"/>
      <c r="M99" s="2126"/>
      <c r="N99" s="2126"/>
      <c r="O99" s="2126"/>
      <c r="P99" s="2126"/>
      <c r="Q99" s="2126"/>
      <c r="R99" s="2126"/>
      <c r="S99" s="2126"/>
      <c r="T99" s="2126"/>
      <c r="U99" s="2126"/>
      <c r="V99" s="2126"/>
      <c r="W99" s="2126"/>
      <c r="X99" s="2126"/>
      <c r="Y99" s="2126"/>
      <c r="Z99" s="2126"/>
      <c r="AA99" s="2127" t="s">
        <v>749</v>
      </c>
      <c r="AB99" s="2135"/>
      <c r="AC99" s="2158"/>
      <c r="AD99" s="2126"/>
      <c r="AE99" s="2126"/>
      <c r="AF99" s="2126"/>
      <c r="AG99" s="2126"/>
      <c r="AH99" s="2126"/>
      <c r="AI99" s="2126"/>
      <c r="AJ99" s="2126"/>
      <c r="AK99" s="2126"/>
      <c r="AL99" s="2126"/>
      <c r="AM99" s="2126"/>
      <c r="AN99" s="2126"/>
      <c r="AO99" s="2126"/>
      <c r="AP99" s="2126"/>
      <c r="AQ99" s="2126"/>
      <c r="AR99" s="2126"/>
      <c r="AS99" s="2126"/>
      <c r="AT99" s="2126"/>
      <c r="AU99" s="2126"/>
      <c r="AV99" s="2126"/>
      <c r="AW99" s="2126"/>
      <c r="AX99" s="2126"/>
      <c r="AY99" s="2126"/>
      <c r="AZ99" s="2126"/>
      <c r="BA99" s="2126"/>
      <c r="BB99" s="2126"/>
    </row>
    <row r="100" spans="1:54" s="2128" customFormat="1" ht="22.5" x14ac:dyDescent="0.2">
      <c r="A100" s="2160" t="s">
        <v>1058</v>
      </c>
      <c r="B100" s="2161" t="s">
        <v>9095</v>
      </c>
      <c r="C100" s="2161" t="s">
        <v>9096</v>
      </c>
      <c r="D100" s="2162">
        <v>107081.94</v>
      </c>
      <c r="E100" s="2162">
        <v>13801.43</v>
      </c>
      <c r="F100" s="2162">
        <v>58015.07</v>
      </c>
      <c r="G100" s="2162">
        <v>21765.83</v>
      </c>
      <c r="H100" s="2162">
        <v>200664.27</v>
      </c>
      <c r="I100" s="2126"/>
      <c r="J100" s="2126"/>
      <c r="K100" s="2126"/>
      <c r="L100" s="2126"/>
      <c r="M100" s="2126"/>
      <c r="N100" s="2126"/>
      <c r="O100" s="2126"/>
      <c r="P100" s="2126"/>
      <c r="Q100" s="2126"/>
      <c r="R100" s="2126"/>
      <c r="S100" s="2126"/>
      <c r="T100" s="2126"/>
      <c r="U100" s="2126"/>
      <c r="V100" s="2126"/>
      <c r="W100" s="2126"/>
      <c r="X100" s="2126"/>
      <c r="Y100" s="2126"/>
      <c r="Z100" s="2126"/>
      <c r="AA100" s="2127"/>
      <c r="AB100" s="2135"/>
      <c r="AC100" s="2158"/>
      <c r="AD100" s="2126"/>
      <c r="AE100" s="2126"/>
      <c r="AF100" s="2126"/>
      <c r="AG100" s="2126"/>
      <c r="AH100" s="2126"/>
      <c r="AI100" s="2126"/>
      <c r="AJ100" s="2126"/>
      <c r="AK100" s="2126"/>
      <c r="AL100" s="2126"/>
      <c r="AM100" s="2126"/>
      <c r="AN100" s="2126"/>
      <c r="AO100" s="2126"/>
      <c r="AP100" s="2126"/>
      <c r="AQ100" s="2126"/>
      <c r="AR100" s="2126"/>
      <c r="AS100" s="2126"/>
      <c r="AT100" s="2126"/>
      <c r="AU100" s="2126"/>
      <c r="AV100" s="2126"/>
      <c r="AW100" s="2126"/>
      <c r="AX100" s="2126"/>
      <c r="AY100" s="2126"/>
      <c r="AZ100" s="2126"/>
      <c r="BA100" s="2126"/>
      <c r="BB100" s="2126"/>
    </row>
    <row r="101" spans="1:54" s="2128" customFormat="1" ht="14.25" x14ac:dyDescent="0.2">
      <c r="A101" s="2125"/>
      <c r="B101" s="2161"/>
      <c r="C101" s="2161"/>
      <c r="D101" s="2162" t="s">
        <v>9097</v>
      </c>
      <c r="E101" s="2162" t="s">
        <v>9098</v>
      </c>
      <c r="F101" s="2162" t="s">
        <v>9099</v>
      </c>
      <c r="G101" s="2162" t="s">
        <v>9100</v>
      </c>
      <c r="H101" s="2162"/>
      <c r="I101" s="2126"/>
      <c r="J101" s="2126"/>
      <c r="K101" s="2126"/>
      <c r="L101" s="2126"/>
      <c r="M101" s="2126"/>
      <c r="N101" s="2126"/>
      <c r="O101" s="2126"/>
      <c r="P101" s="2126"/>
      <c r="Q101" s="2126"/>
      <c r="R101" s="2126"/>
      <c r="S101" s="2126"/>
      <c r="T101" s="2126"/>
      <c r="U101" s="2126"/>
      <c r="V101" s="2126"/>
      <c r="W101" s="2126"/>
      <c r="X101" s="2126"/>
      <c r="Y101" s="2126"/>
      <c r="Z101" s="2126"/>
      <c r="AA101" s="2127"/>
      <c r="AB101" s="2135"/>
      <c r="AC101" s="2158"/>
      <c r="AD101" s="2126"/>
      <c r="AE101" s="2126"/>
      <c r="AF101" s="2126"/>
      <c r="AG101" s="2126"/>
      <c r="AH101" s="2126"/>
      <c r="AI101" s="2126"/>
      <c r="AJ101" s="2126"/>
      <c r="AK101" s="2126"/>
      <c r="AL101" s="2126"/>
      <c r="AM101" s="2126"/>
      <c r="AN101" s="2126"/>
      <c r="AO101" s="2126"/>
      <c r="AP101" s="2126"/>
      <c r="AQ101" s="2126"/>
      <c r="AR101" s="2126"/>
      <c r="AS101" s="2126"/>
      <c r="AT101" s="2126"/>
      <c r="AU101" s="2126"/>
      <c r="AV101" s="2126"/>
      <c r="AW101" s="2126"/>
      <c r="AX101" s="2126"/>
      <c r="AY101" s="2126"/>
      <c r="AZ101" s="2126"/>
      <c r="BA101" s="2126"/>
      <c r="BB101" s="2126"/>
    </row>
    <row r="102" spans="1:54" s="2128" customFormat="1" ht="14.25" x14ac:dyDescent="0.2">
      <c r="A102" s="2153"/>
      <c r="B102" s="2956" t="s">
        <v>752</v>
      </c>
      <c r="C102" s="2957"/>
      <c r="D102" s="2154">
        <v>107081.94</v>
      </c>
      <c r="E102" s="2154">
        <v>13801.43</v>
      </c>
      <c r="F102" s="2155">
        <v>58015.07</v>
      </c>
      <c r="G102" s="2155">
        <v>21765.83</v>
      </c>
      <c r="H102" s="2155">
        <v>200664.27</v>
      </c>
      <c r="I102" s="2126"/>
      <c r="J102" s="2126"/>
      <c r="K102" s="2126"/>
      <c r="L102" s="2126"/>
      <c r="M102" s="2126"/>
      <c r="N102" s="2126"/>
      <c r="O102" s="2126"/>
      <c r="P102" s="2126"/>
      <c r="Q102" s="2126"/>
      <c r="R102" s="2126"/>
      <c r="S102" s="2126"/>
      <c r="T102" s="2126"/>
      <c r="U102" s="2126"/>
      <c r="V102" s="2126"/>
      <c r="W102" s="2126"/>
      <c r="X102" s="2126"/>
      <c r="Y102" s="2126"/>
      <c r="Z102" s="2126"/>
      <c r="AA102" s="2127"/>
      <c r="AB102" s="2135" t="s">
        <v>752</v>
      </c>
      <c r="AC102" s="2158"/>
      <c r="AD102" s="2126"/>
      <c r="AE102" s="2126"/>
      <c r="AF102" s="2126"/>
      <c r="AG102" s="2126"/>
      <c r="AH102" s="2126"/>
      <c r="AI102" s="2126"/>
      <c r="AJ102" s="2126"/>
      <c r="AK102" s="2126"/>
      <c r="AL102" s="2126"/>
      <c r="AM102" s="2126"/>
      <c r="AN102" s="2126"/>
      <c r="AO102" s="2126"/>
      <c r="AP102" s="2126"/>
      <c r="AQ102" s="2126"/>
      <c r="AR102" s="2126"/>
      <c r="AS102" s="2126"/>
      <c r="AT102" s="2126"/>
      <c r="AU102" s="2126"/>
      <c r="AV102" s="2126"/>
      <c r="AW102" s="2126"/>
      <c r="AX102" s="2126"/>
      <c r="AY102" s="2126"/>
      <c r="AZ102" s="2126"/>
      <c r="BA102" s="2126"/>
      <c r="BB102" s="2126"/>
    </row>
    <row r="103" spans="1:54" s="2128" customFormat="1" ht="14.25" x14ac:dyDescent="0.2">
      <c r="A103" s="2153"/>
      <c r="B103" s="2958" t="s">
        <v>753</v>
      </c>
      <c r="C103" s="2959"/>
      <c r="D103" s="2154">
        <v>642491.64</v>
      </c>
      <c r="E103" s="2154">
        <v>82808.600000000006</v>
      </c>
      <c r="F103" s="2155">
        <v>348090.41</v>
      </c>
      <c r="G103" s="2155">
        <v>130594.99</v>
      </c>
      <c r="H103" s="2155">
        <v>1203985.6399999999</v>
      </c>
      <c r="I103" s="2126"/>
      <c r="J103" s="2126"/>
      <c r="K103" s="2126"/>
      <c r="L103" s="2126"/>
      <c r="M103" s="2126"/>
      <c r="N103" s="2126"/>
      <c r="O103" s="2126"/>
      <c r="P103" s="2126"/>
      <c r="Q103" s="2126"/>
      <c r="R103" s="2126"/>
      <c r="S103" s="2126"/>
      <c r="T103" s="2126"/>
      <c r="U103" s="2126"/>
      <c r="V103" s="2126"/>
      <c r="W103" s="2126"/>
      <c r="X103" s="2126"/>
      <c r="Y103" s="2126"/>
      <c r="Z103" s="2126"/>
      <c r="AA103" s="2127"/>
      <c r="AB103" s="2135"/>
      <c r="AC103" s="2158"/>
      <c r="AD103" s="2158" t="s">
        <v>753</v>
      </c>
      <c r="AE103" s="2126"/>
      <c r="AF103" s="2126"/>
      <c r="AG103" s="2126"/>
      <c r="AH103" s="2126"/>
      <c r="AI103" s="2126"/>
      <c r="AJ103" s="2126"/>
      <c r="AK103" s="2126"/>
      <c r="AL103" s="2126"/>
      <c r="AM103" s="2126"/>
      <c r="AN103" s="2126"/>
      <c r="AO103" s="2126"/>
      <c r="AP103" s="2126"/>
      <c r="AQ103" s="2126"/>
      <c r="AR103" s="2126"/>
      <c r="AS103" s="2126"/>
      <c r="AT103" s="2126"/>
      <c r="AU103" s="2126"/>
      <c r="AV103" s="2126"/>
      <c r="AW103" s="2126"/>
      <c r="AX103" s="2126"/>
      <c r="AY103" s="2126"/>
      <c r="AZ103" s="2126"/>
      <c r="BA103" s="2126"/>
      <c r="BB103" s="2126"/>
    </row>
    <row r="104" spans="1:54" s="2128" customFormat="1" ht="11.25" customHeight="1" x14ac:dyDescent="0.2">
      <c r="A104" s="2153"/>
      <c r="B104" s="2962" t="s">
        <v>783</v>
      </c>
      <c r="C104" s="2963"/>
      <c r="D104" s="2171"/>
      <c r="E104" s="2171"/>
      <c r="F104" s="2171"/>
      <c r="G104" s="2171"/>
      <c r="H104" s="2171"/>
      <c r="I104" s="2126"/>
      <c r="J104" s="2126"/>
      <c r="K104" s="2126"/>
      <c r="L104" s="2126"/>
      <c r="M104" s="2126"/>
      <c r="N104" s="2126"/>
      <c r="O104" s="2126"/>
      <c r="P104" s="2126"/>
      <c r="Q104" s="2126"/>
      <c r="R104" s="2126"/>
      <c r="S104" s="2126"/>
      <c r="T104" s="2126"/>
      <c r="U104" s="2126"/>
      <c r="V104" s="2126"/>
      <c r="W104" s="2126"/>
      <c r="X104" s="2126"/>
      <c r="Y104" s="2126"/>
      <c r="Z104" s="2126"/>
      <c r="AA104" s="2127"/>
      <c r="AB104" s="2135"/>
      <c r="AC104" s="2158"/>
      <c r="AD104" s="2158"/>
      <c r="AE104" s="2126"/>
      <c r="AF104" s="2126"/>
      <c r="AG104" s="2126"/>
      <c r="AH104" s="2126"/>
      <c r="AI104" s="2126"/>
      <c r="AJ104" s="2126"/>
      <c r="AK104" s="2126"/>
      <c r="AL104" s="2126"/>
      <c r="AM104" s="2126"/>
      <c r="AN104" s="2126"/>
      <c r="AO104" s="2126"/>
      <c r="AP104" s="2126"/>
      <c r="AQ104" s="2126"/>
      <c r="AR104" s="2126"/>
      <c r="AS104" s="2126"/>
      <c r="AT104" s="2126"/>
      <c r="AU104" s="2126"/>
      <c r="AV104" s="2126"/>
      <c r="AW104" s="2126"/>
      <c r="AX104" s="2126"/>
      <c r="AY104" s="2126"/>
      <c r="AZ104" s="2126"/>
      <c r="BA104" s="2126"/>
      <c r="BB104" s="2126"/>
    </row>
    <row r="105" spans="1:54" s="2128" customFormat="1" ht="14.25" x14ac:dyDescent="0.2">
      <c r="A105" s="2153"/>
      <c r="B105" s="2960" t="s">
        <v>2523</v>
      </c>
      <c r="C105" s="2961"/>
      <c r="D105" s="2171"/>
      <c r="E105" s="2171"/>
      <c r="F105" s="2171"/>
      <c r="G105" s="2171"/>
      <c r="H105" s="2154">
        <v>68569.710000000006</v>
      </c>
      <c r="I105" s="2126"/>
      <c r="J105" s="2126"/>
      <c r="K105" s="2126"/>
      <c r="L105" s="2126"/>
      <c r="M105" s="2126"/>
      <c r="N105" s="2126"/>
      <c r="O105" s="2126"/>
      <c r="P105" s="2126"/>
      <c r="Q105" s="2126"/>
      <c r="R105" s="2126"/>
      <c r="S105" s="2126"/>
      <c r="T105" s="2126"/>
      <c r="U105" s="2126"/>
      <c r="V105" s="2126"/>
      <c r="W105" s="2126"/>
      <c r="X105" s="2126"/>
      <c r="Y105" s="2126"/>
      <c r="Z105" s="2126"/>
      <c r="AA105" s="2127"/>
      <c r="AB105" s="2135"/>
      <c r="AC105" s="2158"/>
      <c r="AD105" s="2158"/>
      <c r="AE105" s="2126"/>
      <c r="AF105" s="2126"/>
      <c r="AG105" s="2126"/>
      <c r="AH105" s="2126"/>
      <c r="AI105" s="2126"/>
      <c r="AJ105" s="2126"/>
      <c r="AK105" s="2126"/>
      <c r="AL105" s="2126"/>
      <c r="AM105" s="2126"/>
      <c r="AN105" s="2126"/>
      <c r="AO105" s="2126"/>
      <c r="AP105" s="2126"/>
      <c r="AQ105" s="2126"/>
      <c r="AR105" s="2126"/>
      <c r="AS105" s="2126"/>
      <c r="AT105" s="2126"/>
      <c r="AU105" s="2126"/>
      <c r="AV105" s="2126"/>
      <c r="AW105" s="2126"/>
      <c r="AX105" s="2126"/>
      <c r="AY105" s="2126"/>
      <c r="AZ105" s="2126"/>
      <c r="BA105" s="2126"/>
      <c r="BB105" s="2126"/>
    </row>
    <row r="106" spans="1:54" s="2128" customFormat="1" ht="14.25" x14ac:dyDescent="0.2">
      <c r="A106" s="2153"/>
      <c r="B106" s="2960" t="s">
        <v>697</v>
      </c>
      <c r="C106" s="2961"/>
      <c r="D106" s="2171"/>
      <c r="E106" s="2171"/>
      <c r="F106" s="2171"/>
      <c r="G106" s="2171"/>
      <c r="H106" s="2154">
        <v>8338.0300000000007</v>
      </c>
      <c r="I106" s="2126"/>
      <c r="J106" s="2126"/>
      <c r="K106" s="2126"/>
      <c r="L106" s="2126"/>
      <c r="M106" s="2126"/>
      <c r="N106" s="2126"/>
      <c r="O106" s="2126"/>
      <c r="P106" s="2126"/>
      <c r="Q106" s="2126"/>
      <c r="R106" s="2126"/>
      <c r="S106" s="2126"/>
      <c r="T106" s="2126"/>
      <c r="U106" s="2126"/>
      <c r="V106" s="2126"/>
      <c r="W106" s="2126"/>
      <c r="X106" s="2126"/>
      <c r="Y106" s="2126"/>
      <c r="Z106" s="2126"/>
      <c r="AA106" s="2127"/>
      <c r="AB106" s="2135"/>
      <c r="AC106" s="2158"/>
      <c r="AD106" s="2158"/>
      <c r="AE106" s="2126"/>
      <c r="AF106" s="2126"/>
      <c r="AG106" s="2126"/>
      <c r="AH106" s="2126"/>
      <c r="AI106" s="2126"/>
      <c r="AJ106" s="2126"/>
      <c r="AK106" s="2126"/>
      <c r="AL106" s="2126"/>
      <c r="AM106" s="2126"/>
      <c r="AN106" s="2126"/>
      <c r="AO106" s="2126"/>
      <c r="AP106" s="2126"/>
      <c r="AQ106" s="2126"/>
      <c r="AR106" s="2126"/>
      <c r="AS106" s="2126"/>
      <c r="AT106" s="2126"/>
      <c r="AU106" s="2126"/>
      <c r="AV106" s="2126"/>
      <c r="AW106" s="2126"/>
      <c r="AX106" s="2126"/>
      <c r="AY106" s="2126"/>
      <c r="AZ106" s="2126"/>
      <c r="BA106" s="2126"/>
      <c r="BB106" s="2126"/>
    </row>
    <row r="107" spans="1:54" s="2128" customFormat="1" ht="14.25" x14ac:dyDescent="0.2">
      <c r="A107" s="2153"/>
      <c r="B107" s="2960" t="s">
        <v>9101</v>
      </c>
      <c r="C107" s="2961"/>
      <c r="D107" s="2171"/>
      <c r="E107" s="2171"/>
      <c r="F107" s="2171"/>
      <c r="G107" s="2171"/>
      <c r="H107" s="2154">
        <v>3182.97</v>
      </c>
      <c r="I107" s="2126"/>
      <c r="J107" s="2126"/>
      <c r="K107" s="2126"/>
      <c r="L107" s="2126"/>
      <c r="M107" s="2126"/>
      <c r="N107" s="2126"/>
      <c r="O107" s="2126"/>
      <c r="P107" s="2126"/>
      <c r="Q107" s="2126"/>
      <c r="R107" s="2126"/>
      <c r="S107" s="2126"/>
      <c r="T107" s="2126"/>
      <c r="U107" s="2126"/>
      <c r="V107" s="2126"/>
      <c r="W107" s="2126"/>
      <c r="X107" s="2126"/>
      <c r="Y107" s="2126"/>
      <c r="Z107" s="2126"/>
      <c r="AA107" s="2127"/>
      <c r="AB107" s="2135"/>
      <c r="AC107" s="2158"/>
      <c r="AD107" s="2158"/>
      <c r="AE107" s="2126"/>
      <c r="AF107" s="2126"/>
      <c r="AG107" s="2126"/>
      <c r="AH107" s="2126"/>
      <c r="AI107" s="2126"/>
      <c r="AJ107" s="2126"/>
      <c r="AK107" s="2126"/>
      <c r="AL107" s="2126"/>
      <c r="AM107" s="2126"/>
      <c r="AN107" s="2126"/>
      <c r="AO107" s="2126"/>
      <c r="AP107" s="2126"/>
      <c r="AQ107" s="2126"/>
      <c r="AR107" s="2126"/>
      <c r="AS107" s="2126"/>
      <c r="AT107" s="2126"/>
      <c r="AU107" s="2126"/>
      <c r="AV107" s="2126"/>
      <c r="AW107" s="2126"/>
      <c r="AX107" s="2126"/>
      <c r="AY107" s="2126"/>
      <c r="AZ107" s="2126"/>
      <c r="BA107" s="2126"/>
      <c r="BB107" s="2126"/>
    </row>
    <row r="108" spans="1:54" s="2128" customFormat="1" ht="14.25" x14ac:dyDescent="0.2">
      <c r="A108" s="2153"/>
      <c r="B108" s="2960" t="s">
        <v>829</v>
      </c>
      <c r="C108" s="2961"/>
      <c r="D108" s="2171"/>
      <c r="E108" s="2171"/>
      <c r="F108" s="2171"/>
      <c r="G108" s="2171"/>
      <c r="H108" s="2154">
        <v>381893.01</v>
      </c>
      <c r="I108" s="2126"/>
      <c r="J108" s="2126"/>
      <c r="K108" s="2126"/>
      <c r="L108" s="2126"/>
      <c r="M108" s="2126"/>
      <c r="N108" s="2126"/>
      <c r="O108" s="2126"/>
      <c r="P108" s="2126"/>
      <c r="Q108" s="2126"/>
      <c r="R108" s="2126"/>
      <c r="S108" s="2126"/>
      <c r="T108" s="2126"/>
      <c r="U108" s="2126"/>
      <c r="V108" s="2126"/>
      <c r="W108" s="2126"/>
      <c r="X108" s="2126"/>
      <c r="Y108" s="2126"/>
      <c r="Z108" s="2126"/>
      <c r="AA108" s="2127"/>
      <c r="AB108" s="2135"/>
      <c r="AC108" s="2158"/>
      <c r="AD108" s="2158"/>
      <c r="AE108" s="2126"/>
      <c r="AF108" s="2126"/>
      <c r="AG108" s="2126"/>
      <c r="AH108" s="2126"/>
      <c r="AI108" s="2126"/>
      <c r="AJ108" s="2126"/>
      <c r="AK108" s="2126"/>
      <c r="AL108" s="2126"/>
      <c r="AM108" s="2126"/>
      <c r="AN108" s="2126"/>
      <c r="AO108" s="2126"/>
      <c r="AP108" s="2126"/>
      <c r="AQ108" s="2126"/>
      <c r="AR108" s="2126"/>
      <c r="AS108" s="2126"/>
      <c r="AT108" s="2126"/>
      <c r="AU108" s="2126"/>
      <c r="AV108" s="2126"/>
      <c r="AW108" s="2126"/>
      <c r="AX108" s="2126"/>
      <c r="AY108" s="2126"/>
      <c r="AZ108" s="2126"/>
      <c r="BA108" s="2126"/>
      <c r="BB108" s="2126"/>
    </row>
    <row r="109" spans="1:54" s="2128" customFormat="1" ht="14.25" x14ac:dyDescent="0.2">
      <c r="A109" s="2153"/>
      <c r="B109" s="2960" t="s">
        <v>9102</v>
      </c>
      <c r="C109" s="2961"/>
      <c r="D109" s="2171"/>
      <c r="E109" s="2171"/>
      <c r="F109" s="2171"/>
      <c r="G109" s="2171"/>
      <c r="H109" s="2154">
        <v>698.33</v>
      </c>
      <c r="I109" s="2126"/>
      <c r="J109" s="2126"/>
      <c r="K109" s="2126"/>
      <c r="L109" s="2126"/>
      <c r="M109" s="2126"/>
      <c r="N109" s="2126"/>
      <c r="O109" s="2126"/>
      <c r="P109" s="2126"/>
      <c r="Q109" s="2126"/>
      <c r="R109" s="2126"/>
      <c r="S109" s="2126"/>
      <c r="T109" s="2126"/>
      <c r="U109" s="2126"/>
      <c r="V109" s="2126"/>
      <c r="W109" s="2126"/>
      <c r="X109" s="2126"/>
      <c r="Y109" s="2126"/>
      <c r="Z109" s="2126"/>
      <c r="AA109" s="2127"/>
      <c r="AB109" s="2135"/>
      <c r="AC109" s="2158"/>
      <c r="AD109" s="2158"/>
      <c r="AE109" s="2126"/>
      <c r="AF109" s="2126"/>
      <c r="AG109" s="2126"/>
      <c r="AH109" s="2126"/>
      <c r="AI109" s="2126"/>
      <c r="AJ109" s="2126"/>
      <c r="AK109" s="2126"/>
      <c r="AL109" s="2126"/>
      <c r="AM109" s="2126"/>
      <c r="AN109" s="2126"/>
      <c r="AO109" s="2126"/>
      <c r="AP109" s="2126"/>
      <c r="AQ109" s="2126"/>
      <c r="AR109" s="2126"/>
      <c r="AS109" s="2126"/>
      <c r="AT109" s="2126"/>
      <c r="AU109" s="2126"/>
      <c r="AV109" s="2126"/>
      <c r="AW109" s="2126"/>
      <c r="AX109" s="2126"/>
      <c r="AY109" s="2126"/>
      <c r="AZ109" s="2126"/>
      <c r="BA109" s="2126"/>
      <c r="BB109" s="2126"/>
    </row>
    <row r="110" spans="1:54" s="2128" customFormat="1" ht="14.25" x14ac:dyDescent="0.2">
      <c r="A110" s="2153"/>
      <c r="B110" s="2960" t="s">
        <v>9103</v>
      </c>
      <c r="C110" s="2961"/>
      <c r="D110" s="2171"/>
      <c r="E110" s="2171"/>
      <c r="F110" s="2171"/>
      <c r="G110" s="2171"/>
      <c r="H110" s="2154">
        <v>72494.2</v>
      </c>
      <c r="I110" s="2126"/>
      <c r="J110" s="2126"/>
      <c r="K110" s="2126"/>
      <c r="L110" s="2126"/>
      <c r="M110" s="2126"/>
      <c r="N110" s="2126"/>
      <c r="O110" s="2126"/>
      <c r="P110" s="2126"/>
      <c r="Q110" s="2126"/>
      <c r="R110" s="2126"/>
      <c r="S110" s="2126"/>
      <c r="T110" s="2126"/>
      <c r="U110" s="2126"/>
      <c r="V110" s="2126"/>
      <c r="W110" s="2126"/>
      <c r="X110" s="2126"/>
      <c r="Y110" s="2126"/>
      <c r="Z110" s="2126"/>
      <c r="AA110" s="2127"/>
      <c r="AB110" s="2135"/>
      <c r="AC110" s="2158"/>
      <c r="AD110" s="2158"/>
      <c r="AE110" s="2126"/>
      <c r="AF110" s="2126"/>
      <c r="AG110" s="2126"/>
      <c r="AH110" s="2126"/>
      <c r="AI110" s="2126"/>
      <c r="AJ110" s="2126"/>
      <c r="AK110" s="2126"/>
      <c r="AL110" s="2126"/>
      <c r="AM110" s="2126"/>
      <c r="AN110" s="2126"/>
      <c r="AO110" s="2126"/>
      <c r="AP110" s="2126"/>
      <c r="AQ110" s="2126"/>
      <c r="AR110" s="2126"/>
      <c r="AS110" s="2126"/>
      <c r="AT110" s="2126"/>
      <c r="AU110" s="2126"/>
      <c r="AV110" s="2126"/>
      <c r="AW110" s="2126"/>
      <c r="AX110" s="2126"/>
      <c r="AY110" s="2126"/>
      <c r="AZ110" s="2126"/>
      <c r="BA110" s="2126"/>
      <c r="BB110" s="2126"/>
    </row>
    <row r="111" spans="1:54" s="2128" customFormat="1" ht="14.25" x14ac:dyDescent="0.2">
      <c r="A111" s="2153"/>
      <c r="B111" s="2960" t="s">
        <v>9104</v>
      </c>
      <c r="C111" s="2961"/>
      <c r="D111" s="2171"/>
      <c r="E111" s="2171"/>
      <c r="F111" s="2171"/>
      <c r="G111" s="2171"/>
      <c r="H111" s="2154">
        <v>40191.300000000003</v>
      </c>
      <c r="I111" s="2126"/>
      <c r="J111" s="2126"/>
      <c r="K111" s="2126"/>
      <c r="L111" s="2126"/>
      <c r="M111" s="2126"/>
      <c r="N111" s="2126"/>
      <c r="O111" s="2126"/>
      <c r="P111" s="2126"/>
      <c r="Q111" s="2126"/>
      <c r="R111" s="2126"/>
      <c r="S111" s="2126"/>
      <c r="T111" s="2126"/>
      <c r="U111" s="2126"/>
      <c r="V111" s="2126"/>
      <c r="W111" s="2126"/>
      <c r="X111" s="2126"/>
      <c r="Y111" s="2126"/>
      <c r="Z111" s="2126"/>
      <c r="AA111" s="2127"/>
      <c r="AB111" s="2135"/>
      <c r="AC111" s="2158"/>
      <c r="AD111" s="2158"/>
      <c r="AE111" s="2126"/>
      <c r="AF111" s="2126"/>
      <c r="AG111" s="2126"/>
      <c r="AH111" s="2126"/>
      <c r="AI111" s="2126"/>
      <c r="AJ111" s="2126"/>
      <c r="AK111" s="2126"/>
      <c r="AL111" s="2126"/>
      <c r="AM111" s="2126"/>
      <c r="AN111" s="2126"/>
      <c r="AO111" s="2126"/>
      <c r="AP111" s="2126"/>
      <c r="AQ111" s="2126"/>
      <c r="AR111" s="2126"/>
      <c r="AS111" s="2126"/>
      <c r="AT111" s="2126"/>
      <c r="AU111" s="2126"/>
      <c r="AV111" s="2126"/>
      <c r="AW111" s="2126"/>
      <c r="AX111" s="2126"/>
      <c r="AY111" s="2126"/>
      <c r="AZ111" s="2126"/>
      <c r="BA111" s="2126"/>
      <c r="BB111" s="2126"/>
    </row>
    <row r="112" spans="1:54" s="2128" customFormat="1" ht="14.25" x14ac:dyDescent="0.2">
      <c r="A112" s="2153"/>
      <c r="B112" s="2960" t="s">
        <v>5887</v>
      </c>
      <c r="C112" s="2961"/>
      <c r="D112" s="2171"/>
      <c r="E112" s="2171"/>
      <c r="F112" s="2171"/>
      <c r="G112" s="2171"/>
      <c r="H112" s="2154">
        <v>348090.41</v>
      </c>
      <c r="I112" s="2126"/>
      <c r="J112" s="2126"/>
      <c r="K112" s="2126"/>
      <c r="L112" s="2126"/>
      <c r="M112" s="2126"/>
      <c r="N112" s="2126"/>
      <c r="O112" s="2126"/>
      <c r="P112" s="2126"/>
      <c r="Q112" s="2126"/>
      <c r="R112" s="2126"/>
      <c r="S112" s="2126"/>
      <c r="T112" s="2126"/>
      <c r="U112" s="2126"/>
      <c r="V112" s="2126"/>
      <c r="W112" s="2126"/>
      <c r="X112" s="2126"/>
      <c r="Y112" s="2126"/>
      <c r="Z112" s="2126"/>
      <c r="AA112" s="2127"/>
      <c r="AB112" s="2135"/>
      <c r="AC112" s="2158"/>
      <c r="AD112" s="2158"/>
      <c r="AE112" s="2126"/>
      <c r="AF112" s="2126"/>
      <c r="AG112" s="2126"/>
      <c r="AH112" s="2126"/>
      <c r="AI112" s="2126"/>
      <c r="AJ112" s="2126"/>
      <c r="AK112" s="2126"/>
      <c r="AL112" s="2126"/>
      <c r="AM112" s="2126"/>
      <c r="AN112" s="2126"/>
      <c r="AO112" s="2126"/>
      <c r="AP112" s="2126"/>
      <c r="AQ112" s="2126"/>
      <c r="AR112" s="2126"/>
      <c r="AS112" s="2126"/>
      <c r="AT112" s="2126"/>
      <c r="AU112" s="2126"/>
      <c r="AV112" s="2126"/>
      <c r="AW112" s="2126"/>
      <c r="AX112" s="2126"/>
      <c r="AY112" s="2126"/>
      <c r="AZ112" s="2126"/>
      <c r="BA112" s="2126"/>
      <c r="BB112" s="2126"/>
    </row>
    <row r="113" spans="1:54" s="2128" customFormat="1" ht="14.25" x14ac:dyDescent="0.2">
      <c r="A113" s="2147"/>
      <c r="B113" s="2964" t="s">
        <v>9105</v>
      </c>
      <c r="C113" s="2964"/>
      <c r="D113" s="2147"/>
      <c r="E113" s="2147"/>
      <c r="F113" s="2147"/>
      <c r="G113" s="2147"/>
      <c r="H113" s="2154">
        <v>130594.99</v>
      </c>
      <c r="I113" s="2126"/>
      <c r="J113" s="2126"/>
      <c r="K113" s="2126"/>
      <c r="L113" s="2126"/>
      <c r="M113" s="2126"/>
      <c r="N113" s="2126"/>
      <c r="O113" s="2126"/>
      <c r="P113" s="2126"/>
      <c r="Q113" s="2126"/>
      <c r="R113" s="2126"/>
      <c r="S113" s="2126"/>
      <c r="T113" s="2126"/>
      <c r="U113" s="2126"/>
      <c r="V113" s="2126"/>
      <c r="W113" s="2126"/>
      <c r="X113" s="2126"/>
      <c r="Y113" s="2126"/>
      <c r="Z113" s="2126"/>
      <c r="AA113" s="2127"/>
      <c r="AB113" s="2135"/>
      <c r="AC113" s="2158"/>
      <c r="AD113" s="2158"/>
      <c r="AE113" s="2126"/>
      <c r="AF113" s="2126"/>
      <c r="AG113" s="2126"/>
      <c r="AH113" s="2126"/>
      <c r="AI113" s="2126"/>
      <c r="AJ113" s="2126"/>
      <c r="AK113" s="2126"/>
      <c r="AL113" s="2126"/>
      <c r="AM113" s="2126"/>
      <c r="AN113" s="2126"/>
      <c r="AO113" s="2126"/>
      <c r="AP113" s="2126"/>
      <c r="AQ113" s="2126"/>
      <c r="AR113" s="2126"/>
      <c r="AS113" s="2126"/>
      <c r="AT113" s="2126"/>
      <c r="AU113" s="2126"/>
      <c r="AV113" s="2126"/>
      <c r="AW113" s="2126"/>
      <c r="AX113" s="2126"/>
      <c r="AY113" s="2126"/>
      <c r="AZ113" s="2126"/>
      <c r="BA113" s="2126"/>
      <c r="BB113" s="2126"/>
    </row>
    <row r="114" spans="1:54" ht="26.25" customHeight="1" x14ac:dyDescent="0.2"/>
    <row r="115" spans="1:54" s="2172" customFormat="1" x14ac:dyDescent="0.25">
      <c r="A115" s="1607" t="s">
        <v>9106</v>
      </c>
      <c r="B115" s="1711"/>
      <c r="C115" s="2965"/>
      <c r="D115" s="2965"/>
      <c r="E115" s="2966" t="s">
        <v>9107</v>
      </c>
      <c r="F115" s="2966"/>
      <c r="G115" s="2966"/>
      <c r="H115" s="2966"/>
      <c r="I115" s="1680"/>
      <c r="J115" s="1680"/>
      <c r="K115" s="1680"/>
      <c r="L115" s="1680"/>
      <c r="M115" s="1680"/>
      <c r="N115" s="1680"/>
      <c r="O115" s="1680"/>
      <c r="P115" s="1680"/>
      <c r="Q115" s="1680"/>
      <c r="R115" s="1680"/>
      <c r="S115" s="1680"/>
      <c r="T115" s="1680"/>
      <c r="U115" s="1680"/>
      <c r="V115" s="1680"/>
      <c r="W115" s="1680"/>
      <c r="X115" s="1680"/>
      <c r="Y115" s="1680"/>
      <c r="Z115" s="1680"/>
      <c r="AA115" s="1680"/>
      <c r="AB115" s="1680"/>
      <c r="AC115" s="1680"/>
      <c r="AD115" s="1680"/>
      <c r="AE115" s="1680" t="s">
        <v>588</v>
      </c>
      <c r="AF115" s="1680" t="s">
        <v>588</v>
      </c>
      <c r="AG115" s="1710" t="s">
        <v>9107</v>
      </c>
      <c r="AH115" s="1710" t="s">
        <v>588</v>
      </c>
      <c r="AI115" s="1710" t="s">
        <v>588</v>
      </c>
      <c r="AJ115" s="1710" t="s">
        <v>588</v>
      </c>
      <c r="AK115" s="1680"/>
      <c r="AL115" s="1680"/>
      <c r="AM115" s="1680"/>
      <c r="AN115" s="1680"/>
      <c r="AO115" s="1680"/>
      <c r="AP115" s="1680"/>
      <c r="AQ115" s="1680"/>
      <c r="AR115" s="1680"/>
      <c r="AS115" s="1680"/>
      <c r="AT115" s="1680"/>
      <c r="AU115" s="1680"/>
      <c r="AV115" s="1680"/>
      <c r="AW115" s="1680"/>
      <c r="AX115" s="1680"/>
      <c r="AY115" s="1680"/>
      <c r="AZ115" s="1680"/>
      <c r="BA115" s="1680"/>
      <c r="BB115" s="1680"/>
    </row>
    <row r="116" spans="1:54" s="2173" customFormat="1" ht="18.75" customHeight="1" x14ac:dyDescent="0.25">
      <c r="A116" s="2057"/>
      <c r="B116" s="2057"/>
      <c r="C116" s="2799" t="s">
        <v>6299</v>
      </c>
      <c r="D116" s="2799"/>
      <c r="E116" s="2799"/>
      <c r="F116" s="2799"/>
      <c r="G116" s="2799"/>
      <c r="H116" s="2799"/>
      <c r="I116" s="1641"/>
      <c r="J116" s="1641"/>
      <c r="K116" s="1641"/>
      <c r="L116" s="1641"/>
      <c r="M116" s="1641"/>
      <c r="N116" s="1641"/>
      <c r="O116" s="1641"/>
      <c r="P116" s="1641"/>
      <c r="Q116" s="1641"/>
      <c r="R116" s="1641"/>
      <c r="S116" s="1641"/>
      <c r="T116" s="1641"/>
      <c r="U116" s="1641"/>
      <c r="V116" s="1641"/>
      <c r="W116" s="1641"/>
      <c r="X116" s="1641"/>
      <c r="Y116" s="1641"/>
      <c r="Z116" s="1641"/>
      <c r="AA116" s="1641"/>
      <c r="AB116" s="1641"/>
      <c r="AC116" s="1641"/>
      <c r="AD116" s="1641"/>
      <c r="AE116" s="1641"/>
      <c r="AF116" s="1641"/>
      <c r="AG116" s="1641"/>
      <c r="AH116" s="1641"/>
      <c r="AI116" s="1641"/>
      <c r="AJ116" s="1641"/>
      <c r="AK116" s="1641"/>
      <c r="AL116" s="1641"/>
      <c r="AM116" s="1641"/>
      <c r="AN116" s="1641"/>
      <c r="AO116" s="1641"/>
      <c r="AP116" s="1641"/>
      <c r="AQ116" s="1641"/>
      <c r="AR116" s="1641"/>
      <c r="AS116" s="1641"/>
      <c r="AT116" s="1641"/>
      <c r="AU116" s="1641"/>
      <c r="AV116" s="1641"/>
      <c r="AW116" s="1641"/>
      <c r="AX116" s="1641"/>
      <c r="AY116" s="1641"/>
      <c r="AZ116" s="1641"/>
      <c r="BA116" s="1641"/>
      <c r="BB116" s="1641"/>
    </row>
    <row r="117" spans="1:54" s="2172" customFormat="1" ht="15" x14ac:dyDescent="0.25">
      <c r="A117" s="1607" t="s">
        <v>6300</v>
      </c>
      <c r="B117" s="1711"/>
      <c r="C117" s="1484"/>
      <c r="D117" s="2174"/>
      <c r="E117" s="2966" t="s">
        <v>9108</v>
      </c>
      <c r="F117" s="2966"/>
      <c r="G117" s="2966"/>
      <c r="H117" s="2966"/>
      <c r="I117" s="1680"/>
      <c r="J117" s="1680"/>
      <c r="K117" s="1680"/>
      <c r="L117" s="1680"/>
      <c r="M117" s="1680"/>
      <c r="N117" s="1680"/>
      <c r="O117" s="1680"/>
      <c r="P117" s="1680"/>
      <c r="Q117" s="1680"/>
      <c r="R117" s="1680"/>
      <c r="S117" s="1680"/>
      <c r="T117" s="1680"/>
      <c r="U117" s="1680"/>
      <c r="V117" s="1680"/>
      <c r="W117" s="1680"/>
      <c r="X117" s="1680"/>
      <c r="Y117" s="1680"/>
      <c r="Z117" s="1680"/>
      <c r="AA117" s="1680"/>
      <c r="AB117" s="1680"/>
      <c r="AC117" s="1680"/>
      <c r="AD117" s="1680"/>
      <c r="AE117" s="1680"/>
      <c r="AF117" s="1680"/>
      <c r="AG117" s="1680"/>
      <c r="AH117" s="1680"/>
      <c r="AI117" s="1680"/>
      <c r="AJ117" s="1680"/>
      <c r="AK117" s="1710" t="s">
        <v>9108</v>
      </c>
      <c r="AL117" s="1710" t="s">
        <v>588</v>
      </c>
      <c r="AM117" s="1710" t="s">
        <v>588</v>
      </c>
      <c r="AN117" s="1710" t="s">
        <v>588</v>
      </c>
      <c r="AO117" s="1680"/>
      <c r="AP117" s="1680"/>
      <c r="AQ117" s="1680"/>
      <c r="AR117" s="1680"/>
      <c r="AS117" s="1680"/>
      <c r="AT117" s="1680"/>
      <c r="AU117" s="1680"/>
      <c r="AV117" s="1680"/>
      <c r="AW117" s="1680"/>
      <c r="AX117" s="1680"/>
      <c r="AY117" s="1680"/>
      <c r="AZ117" s="1680"/>
      <c r="BA117" s="1680"/>
      <c r="BB117" s="1680"/>
    </row>
    <row r="118" spans="1:54" s="2173" customFormat="1" ht="18.75" customHeight="1" x14ac:dyDescent="0.25">
      <c r="A118" s="2057"/>
      <c r="B118" s="2057"/>
      <c r="C118" s="2799" t="s">
        <v>6299</v>
      </c>
      <c r="D118" s="2799"/>
      <c r="E118" s="2799"/>
      <c r="F118" s="2799"/>
      <c r="G118" s="2799"/>
      <c r="H118" s="2799"/>
      <c r="I118" s="1641"/>
      <c r="J118" s="1641"/>
      <c r="K118" s="1641"/>
      <c r="L118" s="1641"/>
      <c r="M118" s="1641"/>
      <c r="N118" s="1641"/>
      <c r="O118" s="1641"/>
      <c r="P118" s="1641"/>
      <c r="Q118" s="1641"/>
      <c r="R118" s="1641"/>
      <c r="S118" s="1641"/>
      <c r="T118" s="1641"/>
      <c r="U118" s="1641"/>
      <c r="V118" s="1641"/>
      <c r="W118" s="1641"/>
      <c r="X118" s="1641"/>
      <c r="Y118" s="1641"/>
      <c r="Z118" s="1641"/>
      <c r="AA118" s="1641"/>
      <c r="AB118" s="1641"/>
      <c r="AC118" s="1641"/>
      <c r="AD118" s="1641"/>
      <c r="AE118" s="1641"/>
      <c r="AF118" s="1641"/>
      <c r="AG118" s="1641"/>
      <c r="AH118" s="1641"/>
      <c r="AI118" s="1641"/>
      <c r="AJ118" s="1641"/>
      <c r="AK118" s="1641"/>
      <c r="AL118" s="1641"/>
      <c r="AM118" s="1641"/>
      <c r="AN118" s="1641"/>
      <c r="AO118" s="1641"/>
      <c r="AP118" s="1641"/>
      <c r="AQ118" s="1641"/>
      <c r="AR118" s="1641"/>
      <c r="AS118" s="1641"/>
      <c r="AT118" s="1641"/>
      <c r="AU118" s="1641"/>
      <c r="AV118" s="1641"/>
      <c r="AW118" s="1641"/>
      <c r="AX118" s="1641"/>
      <c r="AY118" s="1641"/>
      <c r="AZ118" s="1641"/>
      <c r="BA118" s="1641"/>
      <c r="BB118" s="1641"/>
    </row>
    <row r="119" spans="1:54" s="2172" customFormat="1" x14ac:dyDescent="0.25">
      <c r="A119" s="2807" t="s">
        <v>9109</v>
      </c>
      <c r="B119" s="2807"/>
      <c r="C119" s="2807"/>
      <c r="D119" s="2807"/>
      <c r="E119" s="2966" t="s">
        <v>9110</v>
      </c>
      <c r="F119" s="2966"/>
      <c r="G119" s="2966"/>
      <c r="H119" s="2966"/>
      <c r="I119" s="1680"/>
      <c r="J119" s="1680"/>
      <c r="K119" s="1680"/>
      <c r="L119" s="1680"/>
      <c r="M119" s="1680"/>
      <c r="N119" s="1680"/>
      <c r="O119" s="1680"/>
      <c r="P119" s="1680"/>
      <c r="Q119" s="1680"/>
      <c r="R119" s="1680"/>
      <c r="S119" s="1680"/>
      <c r="T119" s="1680"/>
      <c r="U119" s="1680"/>
      <c r="V119" s="1680"/>
      <c r="W119" s="1680"/>
      <c r="X119" s="1680"/>
      <c r="Y119" s="1680"/>
      <c r="Z119" s="1680"/>
      <c r="AA119" s="1680"/>
      <c r="AB119" s="1680"/>
      <c r="AC119" s="1680"/>
      <c r="AD119" s="1680"/>
      <c r="AE119" s="1680"/>
      <c r="AF119" s="1680"/>
      <c r="AG119" s="1680"/>
      <c r="AH119" s="1680"/>
      <c r="AI119" s="1680"/>
      <c r="AJ119" s="1680"/>
      <c r="AK119" s="1680"/>
      <c r="AL119" s="1680"/>
      <c r="AM119" s="1680"/>
      <c r="AN119" s="1680"/>
      <c r="AO119" s="1710" t="s">
        <v>9109</v>
      </c>
      <c r="AP119" s="1710" t="s">
        <v>588</v>
      </c>
      <c r="AQ119" s="1710" t="s">
        <v>588</v>
      </c>
      <c r="AR119" s="1710" t="s">
        <v>588</v>
      </c>
      <c r="AS119" s="1710" t="s">
        <v>9110</v>
      </c>
      <c r="AT119" s="1710" t="s">
        <v>588</v>
      </c>
      <c r="AU119" s="1710" t="s">
        <v>588</v>
      </c>
      <c r="AV119" s="1710" t="s">
        <v>588</v>
      </c>
      <c r="AW119" s="1680"/>
      <c r="AX119" s="1680"/>
      <c r="AY119" s="1680"/>
      <c r="AZ119" s="1680"/>
      <c r="BA119" s="1680"/>
      <c r="BB119" s="1680"/>
    </row>
    <row r="120" spans="1:54" s="2173" customFormat="1" ht="18.75" customHeight="1" x14ac:dyDescent="0.25">
      <c r="A120" s="2057"/>
      <c r="B120" s="2057"/>
      <c r="C120" s="2799" t="s">
        <v>6299</v>
      </c>
      <c r="D120" s="2799"/>
      <c r="E120" s="2799"/>
      <c r="F120" s="2799"/>
      <c r="G120" s="2799"/>
      <c r="H120" s="2799"/>
      <c r="I120" s="1641"/>
      <c r="J120" s="1641"/>
      <c r="K120" s="1641"/>
      <c r="L120" s="1641"/>
      <c r="M120" s="1641"/>
      <c r="N120" s="1641"/>
      <c r="O120" s="1641"/>
      <c r="P120" s="1641"/>
      <c r="Q120" s="1641"/>
      <c r="R120" s="1641"/>
      <c r="S120" s="1641"/>
      <c r="T120" s="1641"/>
      <c r="U120" s="1641"/>
      <c r="V120" s="1641"/>
      <c r="W120" s="1641"/>
      <c r="X120" s="1641"/>
      <c r="Y120" s="1641"/>
      <c r="Z120" s="1641"/>
      <c r="AA120" s="1641"/>
      <c r="AB120" s="1641"/>
      <c r="AC120" s="1641"/>
      <c r="AD120" s="1641"/>
      <c r="AE120" s="1641"/>
      <c r="AF120" s="1641"/>
      <c r="AG120" s="1641"/>
      <c r="AH120" s="1641"/>
      <c r="AI120" s="1641"/>
      <c r="AJ120" s="1641"/>
      <c r="AK120" s="1641"/>
      <c r="AL120" s="1641"/>
      <c r="AM120" s="1641"/>
      <c r="AN120" s="1641"/>
      <c r="AO120" s="1641"/>
      <c r="AP120" s="1641"/>
      <c r="AQ120" s="1641"/>
      <c r="AR120" s="1641"/>
      <c r="AS120" s="1641"/>
      <c r="AT120" s="1641"/>
      <c r="AU120" s="1641"/>
      <c r="AV120" s="1641"/>
      <c r="AW120" s="1641"/>
      <c r="AX120" s="1641"/>
      <c r="AY120" s="1641"/>
      <c r="AZ120" s="1641"/>
      <c r="BA120" s="1641"/>
      <c r="BB120" s="1641"/>
    </row>
    <row r="121" spans="1:54" s="2172" customFormat="1" ht="33.75" x14ac:dyDescent="0.25">
      <c r="A121" s="1607" t="s">
        <v>668</v>
      </c>
      <c r="B121" s="1711"/>
      <c r="C121" s="2967" t="s">
        <v>9111</v>
      </c>
      <c r="D121" s="2967"/>
      <c r="E121" s="2966" t="s">
        <v>9112</v>
      </c>
      <c r="F121" s="2966"/>
      <c r="G121" s="2966"/>
      <c r="H121" s="2966"/>
      <c r="I121" s="1680"/>
      <c r="J121" s="1680"/>
      <c r="K121" s="1680"/>
      <c r="L121" s="1680"/>
      <c r="M121" s="1680"/>
      <c r="N121" s="1680"/>
      <c r="O121" s="1680"/>
      <c r="P121" s="1680"/>
      <c r="Q121" s="1680"/>
      <c r="R121" s="1680"/>
      <c r="S121" s="1680"/>
      <c r="T121" s="1680"/>
      <c r="U121" s="1680"/>
      <c r="V121" s="1680"/>
      <c r="W121" s="1680"/>
      <c r="X121" s="1680"/>
      <c r="Y121" s="1680"/>
      <c r="Z121" s="1680"/>
      <c r="AA121" s="1680"/>
      <c r="AB121" s="1680"/>
      <c r="AC121" s="1680"/>
      <c r="AD121" s="1680"/>
      <c r="AE121" s="1680"/>
      <c r="AF121" s="1680"/>
      <c r="AG121" s="1680"/>
      <c r="AH121" s="1680"/>
      <c r="AI121" s="1680"/>
      <c r="AJ121" s="1680"/>
      <c r="AK121" s="1680"/>
      <c r="AL121" s="1680"/>
      <c r="AM121" s="1680"/>
      <c r="AN121" s="1680"/>
      <c r="AO121" s="1680"/>
      <c r="AP121" s="1680"/>
      <c r="AQ121" s="1680"/>
      <c r="AR121" s="1680"/>
      <c r="AS121" s="1680"/>
      <c r="AT121" s="1680"/>
      <c r="AU121" s="1680"/>
      <c r="AV121" s="1680"/>
      <c r="AW121" s="1710" t="s">
        <v>9111</v>
      </c>
      <c r="AX121" s="1710" t="s">
        <v>588</v>
      </c>
      <c r="AY121" s="1710" t="s">
        <v>9112</v>
      </c>
      <c r="AZ121" s="1710" t="s">
        <v>588</v>
      </c>
      <c r="BA121" s="1710" t="s">
        <v>588</v>
      </c>
      <c r="BB121" s="1710" t="s">
        <v>588</v>
      </c>
    </row>
    <row r="122" spans="1:54" s="2173" customFormat="1" ht="18.75" customHeight="1" x14ac:dyDescent="0.25">
      <c r="A122" s="2057"/>
      <c r="B122" s="2057"/>
      <c r="C122" s="2799" t="s">
        <v>929</v>
      </c>
      <c r="D122" s="2799"/>
      <c r="E122" s="2799"/>
      <c r="F122" s="2799"/>
      <c r="G122" s="2799"/>
      <c r="H122" s="2799"/>
      <c r="I122" s="1641"/>
      <c r="J122" s="1641"/>
      <c r="K122" s="1641"/>
      <c r="L122" s="1641"/>
      <c r="M122" s="1641"/>
      <c r="N122" s="1641"/>
      <c r="O122" s="1641"/>
      <c r="P122" s="1641"/>
      <c r="Q122" s="1641"/>
      <c r="R122" s="1641"/>
      <c r="S122" s="1641"/>
      <c r="T122" s="1641"/>
      <c r="U122" s="1641"/>
      <c r="V122" s="1641"/>
      <c r="W122" s="1641"/>
      <c r="X122" s="1641"/>
      <c r="Y122" s="1641"/>
      <c r="Z122" s="1641"/>
      <c r="AA122" s="1641"/>
      <c r="AB122" s="1641"/>
      <c r="AC122" s="1641"/>
      <c r="AD122" s="1641"/>
      <c r="AE122" s="1641"/>
      <c r="AF122" s="1641"/>
      <c r="AG122" s="1641"/>
      <c r="AH122" s="1641"/>
      <c r="AI122" s="1641"/>
      <c r="AJ122" s="1641"/>
      <c r="AK122" s="1641"/>
      <c r="AL122" s="1641"/>
      <c r="AM122" s="1641"/>
      <c r="AN122" s="1641"/>
      <c r="AO122" s="1641"/>
      <c r="AP122" s="1641"/>
      <c r="AQ122" s="1641"/>
      <c r="AR122" s="1641"/>
      <c r="AS122" s="1641"/>
      <c r="AT122" s="1641"/>
      <c r="AU122" s="1641"/>
      <c r="AV122" s="1641"/>
      <c r="AW122" s="1641"/>
      <c r="AX122" s="1641"/>
      <c r="AY122" s="1641"/>
      <c r="AZ122" s="1641"/>
      <c r="BA122" s="1641"/>
      <c r="BB122" s="1641"/>
    </row>
  </sheetData>
  <mergeCells count="90">
    <mergeCell ref="C122:H122"/>
    <mergeCell ref="B113:C113"/>
    <mergeCell ref="C115:D115"/>
    <mergeCell ref="E115:H115"/>
    <mergeCell ref="C116:H116"/>
    <mergeCell ref="E117:H117"/>
    <mergeCell ref="C118:H118"/>
    <mergeCell ref="A119:D119"/>
    <mergeCell ref="E119:H119"/>
    <mergeCell ref="C120:H120"/>
    <mergeCell ref="C121:D121"/>
    <mergeCell ref="E121:H121"/>
    <mergeCell ref="B112:C112"/>
    <mergeCell ref="A99:H99"/>
    <mergeCell ref="B102:C102"/>
    <mergeCell ref="B103:C103"/>
    <mergeCell ref="B104:C104"/>
    <mergeCell ref="B105:C105"/>
    <mergeCell ref="B106:C106"/>
    <mergeCell ref="B107:C107"/>
    <mergeCell ref="B108:C108"/>
    <mergeCell ref="B109:C109"/>
    <mergeCell ref="B110:C110"/>
    <mergeCell ref="B111:C111"/>
    <mergeCell ref="B98:C98"/>
    <mergeCell ref="B68:C68"/>
    <mergeCell ref="A69:H69"/>
    <mergeCell ref="B78:C78"/>
    <mergeCell ref="B79:C79"/>
    <mergeCell ref="A80:H80"/>
    <mergeCell ref="B83:C83"/>
    <mergeCell ref="A84:H84"/>
    <mergeCell ref="B92:C92"/>
    <mergeCell ref="B93:C93"/>
    <mergeCell ref="A94:H94"/>
    <mergeCell ref="B97:C97"/>
    <mergeCell ref="B67:C67"/>
    <mergeCell ref="B32:C32"/>
    <mergeCell ref="A33:H33"/>
    <mergeCell ref="B35:C35"/>
    <mergeCell ref="A36:H36"/>
    <mergeCell ref="B38:C38"/>
    <mergeCell ref="A39:H39"/>
    <mergeCell ref="B58:C58"/>
    <mergeCell ref="A59:H59"/>
    <mergeCell ref="B62:C62"/>
    <mergeCell ref="B63:C63"/>
    <mergeCell ref="A64:H64"/>
    <mergeCell ref="BX26:BX28"/>
    <mergeCell ref="B27:C27"/>
    <mergeCell ref="BF27:BF28"/>
    <mergeCell ref="BG27:BG28"/>
    <mergeCell ref="BH27:BH28"/>
    <mergeCell ref="BI27:BI28"/>
    <mergeCell ref="BJ27:BJ28"/>
    <mergeCell ref="A28:H28"/>
    <mergeCell ref="BR26:BR28"/>
    <mergeCell ref="BS26:BS28"/>
    <mergeCell ref="BT26:BT28"/>
    <mergeCell ref="BU26:BU28"/>
    <mergeCell ref="BV26:BV28"/>
    <mergeCell ref="BW26:BW28"/>
    <mergeCell ref="BL26:BL28"/>
    <mergeCell ref="BM26:BM28"/>
    <mergeCell ref="BN26:BN28"/>
    <mergeCell ref="BO26:BO28"/>
    <mergeCell ref="BP26:BP28"/>
    <mergeCell ref="BQ26:BQ28"/>
    <mergeCell ref="H22:H23"/>
    <mergeCell ref="A25:H25"/>
    <mergeCell ref="BD26:BD28"/>
    <mergeCell ref="BE26:BE28"/>
    <mergeCell ref="BF26:BJ26"/>
    <mergeCell ref="BK26:BK28"/>
    <mergeCell ref="B17:G17"/>
    <mergeCell ref="B19:H19"/>
    <mergeCell ref="A21:A23"/>
    <mergeCell ref="B21:B23"/>
    <mergeCell ref="C21:C23"/>
    <mergeCell ref="D21:H21"/>
    <mergeCell ref="D22:D23"/>
    <mergeCell ref="E22:E23"/>
    <mergeCell ref="F22:F23"/>
    <mergeCell ref="G22:G23"/>
    <mergeCell ref="B16:G16"/>
    <mergeCell ref="C4:G4"/>
    <mergeCell ref="C5:G5"/>
    <mergeCell ref="C9:G9"/>
    <mergeCell ref="C10:G10"/>
    <mergeCell ref="B12:G12"/>
  </mergeCells>
  <printOptions horizontalCentered="1"/>
  <pageMargins left="0.31496062874794001" right="0.31496062874794001" top="0.78740155696868896" bottom="0.31496062874794001" header="0.19685038924217199" footer="0.19685038924217199"/>
  <pageSetup paperSize="9" scale="86" fitToHeight="0" orientation="landscape" r:id="rId1"/>
  <headerFooter>
    <oddFooter>&amp;RСтраница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C163"/>
  <sheetViews>
    <sheetView showGridLines="0" topLeftCell="A40" workbookViewId="0">
      <selection activeCell="F51" sqref="F51"/>
    </sheetView>
  </sheetViews>
  <sheetFormatPr defaultColWidth="9.140625" defaultRowHeight="12.75" x14ac:dyDescent="0.2"/>
  <cols>
    <col min="1" max="1" width="5" style="592" customWidth="1"/>
    <col min="2" max="2" width="19.28515625" style="1061" customWidth="1"/>
    <col min="3" max="3" width="51.28515625" style="1061" customWidth="1"/>
    <col min="4" max="4" width="13.140625" style="1062" customWidth="1"/>
    <col min="5" max="5" width="13" style="1062" customWidth="1"/>
    <col min="6" max="6" width="13.42578125" style="1062" customWidth="1"/>
    <col min="7" max="7" width="12.5703125" style="1062" customWidth="1"/>
    <col min="8" max="8" width="13.85546875" style="1062" customWidth="1"/>
    <col min="9" max="9" width="9.140625" style="578"/>
    <col min="10" max="10" width="8.28515625" style="578" customWidth="1"/>
    <col min="11" max="11" width="38.42578125" style="578" customWidth="1"/>
    <col min="12" max="12" width="12.28515625" style="578" customWidth="1"/>
    <col min="13" max="13" width="13.140625" style="578" customWidth="1"/>
    <col min="14" max="14" width="11.28515625" style="578" customWidth="1"/>
    <col min="15" max="15" width="9.140625" style="578"/>
    <col min="16" max="16" width="12.5703125" style="578" customWidth="1"/>
    <col min="17" max="24" width="9.140625" style="578"/>
    <col min="25" max="25" width="13.5703125" style="578" customWidth="1"/>
    <col min="26" max="26" width="11.5703125" style="578" customWidth="1"/>
    <col min="27" max="27" width="9.140625" style="578"/>
    <col min="28" max="28" width="11.7109375" style="578" customWidth="1"/>
    <col min="29" max="16384" width="9.140625" style="578"/>
  </cols>
  <sheetData>
    <row r="1" spans="2:8" x14ac:dyDescent="0.2">
      <c r="D1" s="1063"/>
      <c r="E1" s="1063"/>
      <c r="F1" s="1063"/>
      <c r="G1" s="1063"/>
      <c r="H1" s="1274" t="s">
        <v>5603</v>
      </c>
    </row>
    <row r="2" spans="2:8" x14ac:dyDescent="0.2">
      <c r="B2" s="1061" t="s">
        <v>181</v>
      </c>
      <c r="C2" s="2977" t="s">
        <v>5604</v>
      </c>
      <c r="D2" s="2978"/>
      <c r="E2" s="2978"/>
      <c r="F2" s="2978"/>
      <c r="G2" s="2978"/>
      <c r="H2" s="1063"/>
    </row>
    <row r="3" spans="2:8" x14ac:dyDescent="0.2">
      <c r="C3" s="1275"/>
      <c r="D3" s="1276" t="s">
        <v>182</v>
      </c>
      <c r="E3" s="1277"/>
      <c r="F3" s="1278"/>
      <c r="G3" s="1278"/>
      <c r="H3" s="1063"/>
    </row>
    <row r="4" spans="2:8" x14ac:dyDescent="0.2">
      <c r="B4" s="1061" t="s">
        <v>5605</v>
      </c>
      <c r="C4" s="1279"/>
      <c r="D4" s="1063"/>
      <c r="E4" s="1280"/>
      <c r="F4" s="1063"/>
      <c r="G4" s="1063"/>
      <c r="H4" s="1063"/>
    </row>
    <row r="5" spans="2:8" x14ac:dyDescent="0.2">
      <c r="D5" s="1063"/>
      <c r="E5" s="1280"/>
      <c r="F5" s="1063"/>
      <c r="G5" s="1063"/>
      <c r="H5" s="1063"/>
    </row>
    <row r="6" spans="2:8" x14ac:dyDescent="0.2">
      <c r="B6" s="1061" t="s">
        <v>5606</v>
      </c>
      <c r="D6" s="1281">
        <f>H143</f>
        <v>1342852.42</v>
      </c>
      <c r="E6" s="1063" t="s">
        <v>672</v>
      </c>
      <c r="F6" s="1063"/>
      <c r="G6" s="1063"/>
      <c r="H6" s="1063"/>
    </row>
    <row r="7" spans="2:8" x14ac:dyDescent="0.2">
      <c r="B7" s="1061" t="s">
        <v>5607</v>
      </c>
      <c r="D7" s="1281">
        <f>H149</f>
        <v>2888.3</v>
      </c>
      <c r="E7" s="1063" t="s">
        <v>672</v>
      </c>
      <c r="F7" s="1063"/>
      <c r="G7" s="1063"/>
      <c r="H7" s="1063"/>
    </row>
    <row r="8" spans="2:8" x14ac:dyDescent="0.2">
      <c r="C8" s="2979"/>
      <c r="D8" s="2980"/>
      <c r="E8" s="2980"/>
      <c r="F8" s="2980"/>
      <c r="G8" s="2980"/>
      <c r="H8" s="1063"/>
    </row>
    <row r="9" spans="2:8" x14ac:dyDescent="0.2">
      <c r="D9" s="1280" t="s">
        <v>673</v>
      </c>
      <c r="F9" s="1063"/>
      <c r="G9" s="1063"/>
      <c r="H9" s="1063"/>
    </row>
    <row r="10" spans="2:8" x14ac:dyDescent="0.2">
      <c r="D10" s="1063"/>
      <c r="E10" s="1280"/>
      <c r="F10" s="1063"/>
      <c r="G10" s="1063"/>
      <c r="H10" s="1063"/>
    </row>
    <row r="11" spans="2:8" x14ac:dyDescent="0.2">
      <c r="B11" s="1061" t="s">
        <v>5608</v>
      </c>
      <c r="H11" s="1063"/>
    </row>
    <row r="12" spans="2:8" x14ac:dyDescent="0.2">
      <c r="G12" s="1063"/>
      <c r="H12" s="1063"/>
    </row>
    <row r="13" spans="2:8" x14ac:dyDescent="0.2">
      <c r="D13" s="1065" t="s">
        <v>5609</v>
      </c>
      <c r="F13" s="1063"/>
      <c r="G13" s="1063"/>
      <c r="H13" s="1063"/>
    </row>
    <row r="14" spans="2:8" x14ac:dyDescent="0.2">
      <c r="D14" s="1066"/>
      <c r="F14" s="1063"/>
      <c r="G14" s="1063"/>
      <c r="H14" s="1063"/>
    </row>
    <row r="15" spans="2:8" ht="34.15" customHeight="1" x14ac:dyDescent="0.2">
      <c r="C15" s="2981" t="s">
        <v>5610</v>
      </c>
      <c r="D15" s="2982"/>
      <c r="E15" s="2982"/>
      <c r="F15" s="2982"/>
      <c r="G15" s="2982"/>
      <c r="H15" s="1063"/>
    </row>
    <row r="16" spans="2:8" x14ac:dyDescent="0.2">
      <c r="D16" s="1282" t="s">
        <v>675</v>
      </c>
      <c r="F16" s="1063"/>
      <c r="G16" s="1063"/>
      <c r="H16" s="1063"/>
    </row>
    <row r="17" spans="1:29" x14ac:dyDescent="0.2">
      <c r="H17" s="1063"/>
    </row>
    <row r="18" spans="1:29" x14ac:dyDescent="0.2">
      <c r="B18" s="1061" t="s">
        <v>5611</v>
      </c>
      <c r="D18" s="1066"/>
      <c r="E18" s="1063"/>
      <c r="F18" s="1063"/>
      <c r="G18" s="1063"/>
      <c r="H18" s="1063"/>
    </row>
    <row r="19" spans="1:29" ht="12.75" customHeight="1" x14ac:dyDescent="0.2">
      <c r="A19" s="2976" t="s">
        <v>512</v>
      </c>
      <c r="B19" s="2983" t="s">
        <v>5253</v>
      </c>
      <c r="C19" s="2983" t="s">
        <v>5254</v>
      </c>
      <c r="D19" s="2984" t="s">
        <v>678</v>
      </c>
      <c r="E19" s="2984"/>
      <c r="F19" s="2984"/>
      <c r="G19" s="2984"/>
      <c r="H19" s="2976" t="s">
        <v>5255</v>
      </c>
    </row>
    <row r="20" spans="1:29" x14ac:dyDescent="0.2">
      <c r="A20" s="2976"/>
      <c r="B20" s="2983"/>
      <c r="C20" s="2983"/>
      <c r="D20" s="2976" t="s">
        <v>5277</v>
      </c>
      <c r="E20" s="2976" t="s">
        <v>680</v>
      </c>
      <c r="F20" s="2976" t="s">
        <v>5278</v>
      </c>
      <c r="G20" s="2976" t="s">
        <v>5279</v>
      </c>
      <c r="H20" s="2976"/>
    </row>
    <row r="21" spans="1:29" x14ac:dyDescent="0.2">
      <c r="A21" s="2976"/>
      <c r="B21" s="2983"/>
      <c r="C21" s="2983"/>
      <c r="D21" s="2976"/>
      <c r="E21" s="2976"/>
      <c r="F21" s="2976"/>
      <c r="G21" s="2976"/>
      <c r="H21" s="2976"/>
    </row>
    <row r="22" spans="1:29" x14ac:dyDescent="0.2">
      <c r="A22" s="2976"/>
      <c r="B22" s="2983"/>
      <c r="C22" s="2983"/>
      <c r="D22" s="2976"/>
      <c r="E22" s="2976"/>
      <c r="F22" s="2976"/>
      <c r="G22" s="2976"/>
      <c r="H22" s="2976"/>
    </row>
    <row r="23" spans="1:29" x14ac:dyDescent="0.2">
      <c r="A23" s="1234">
        <v>1</v>
      </c>
      <c r="B23" s="1075">
        <v>2</v>
      </c>
      <c r="C23" s="1075">
        <v>3</v>
      </c>
      <c r="D23" s="1234">
        <v>4</v>
      </c>
      <c r="E23" s="1234">
        <v>5</v>
      </c>
      <c r="F23" s="1234">
        <v>6</v>
      </c>
      <c r="G23" s="1234">
        <v>7</v>
      </c>
      <c r="H23" s="1234">
        <v>8</v>
      </c>
    </row>
    <row r="24" spans="1:29" x14ac:dyDescent="0.2">
      <c r="A24" s="2972" t="s">
        <v>5280</v>
      </c>
      <c r="B24" s="2973"/>
      <c r="C24" s="2973"/>
      <c r="D24" s="2973"/>
      <c r="E24" s="2973"/>
      <c r="F24" s="2973"/>
      <c r="G24" s="2973"/>
      <c r="H24" s="2973"/>
    </row>
    <row r="25" spans="1:29" x14ac:dyDescent="0.2">
      <c r="A25" s="1084">
        <v>1</v>
      </c>
      <c r="B25" s="1085" t="s">
        <v>5281</v>
      </c>
      <c r="C25" s="1085" t="s">
        <v>5612</v>
      </c>
      <c r="D25" s="1086"/>
      <c r="E25" s="1086"/>
      <c r="F25" s="1086"/>
      <c r="G25" s="1092">
        <v>0.53</v>
      </c>
      <c r="H25" s="1092">
        <v>0.53</v>
      </c>
    </row>
    <row r="26" spans="1:29" ht="25.5" x14ac:dyDescent="0.2">
      <c r="A26" s="1084">
        <v>2</v>
      </c>
      <c r="B26" s="1085" t="s">
        <v>5283</v>
      </c>
      <c r="C26" s="1085" t="s">
        <v>5613</v>
      </c>
      <c r="D26" s="1086"/>
      <c r="E26" s="1086"/>
      <c r="F26" s="1086"/>
      <c r="G26" s="1092">
        <v>362.08</v>
      </c>
      <c r="H26" s="1092">
        <v>362.08</v>
      </c>
    </row>
    <row r="27" spans="1:29" x14ac:dyDescent="0.2">
      <c r="A27" s="1084">
        <v>3</v>
      </c>
      <c r="B27" s="1085" t="s">
        <v>5614</v>
      </c>
      <c r="C27" s="1085" t="s">
        <v>5615</v>
      </c>
      <c r="D27" s="1092">
        <v>99.69</v>
      </c>
      <c r="E27" s="1086"/>
      <c r="F27" s="1086"/>
      <c r="G27" s="1086"/>
      <c r="H27" s="1092">
        <v>99.69</v>
      </c>
    </row>
    <row r="28" spans="1:29" ht="51" x14ac:dyDescent="0.2">
      <c r="A28" s="1084">
        <v>4</v>
      </c>
      <c r="B28" s="1085" t="s">
        <v>5616</v>
      </c>
      <c r="C28" s="1085" t="s">
        <v>5617</v>
      </c>
      <c r="D28" s="1086"/>
      <c r="E28" s="1086"/>
      <c r="F28" s="1086"/>
      <c r="G28" s="1092">
        <v>14.8</v>
      </c>
      <c r="H28" s="1092">
        <v>14.8</v>
      </c>
    </row>
    <row r="29" spans="1:29" ht="34.15" customHeight="1" x14ac:dyDescent="0.2">
      <c r="A29" s="1283"/>
      <c r="B29" s="2970" t="s">
        <v>5285</v>
      </c>
      <c r="C29" s="2971"/>
      <c r="D29" s="1092">
        <v>99.69</v>
      </c>
      <c r="E29" s="1086"/>
      <c r="F29" s="1086"/>
      <c r="G29" s="1092">
        <v>377.41</v>
      </c>
      <c r="H29" s="1092">
        <v>477.1</v>
      </c>
      <c r="M29" s="1284">
        <f>M31+M32+M33+M34+M35+M36+M37+M38+M39+M40+M41+M42+M43+M44+M45+M46+M47+M48</f>
        <v>46131.61</v>
      </c>
      <c r="S29" s="1284">
        <f>M51+M52+M53+M54+M55+M56+M57+M58+M59+M60+M61+M62+M63</f>
        <v>31021.57</v>
      </c>
      <c r="T29" s="1284">
        <f>M64+M65+M66+M67+M68+M69+M70+M76</f>
        <v>95851.51</v>
      </c>
    </row>
    <row r="30" spans="1:29" ht="51" x14ac:dyDescent="0.2">
      <c r="A30" s="2972" t="s">
        <v>5286</v>
      </c>
      <c r="B30" s="2973"/>
      <c r="C30" s="2973"/>
      <c r="D30" s="2973"/>
      <c r="E30" s="2973"/>
      <c r="F30" s="2973"/>
      <c r="G30" s="2973"/>
      <c r="H30" s="2973"/>
      <c r="J30" s="1285"/>
      <c r="K30" s="1285"/>
      <c r="L30" s="1286" t="s">
        <v>5256</v>
      </c>
      <c r="M30" s="1285" t="s">
        <v>5257</v>
      </c>
      <c r="N30" s="1287" t="s">
        <v>5618</v>
      </c>
      <c r="O30" s="1073" t="s">
        <v>5619</v>
      </c>
      <c r="P30" s="1073" t="s">
        <v>5620</v>
      </c>
      <c r="Q30" s="1288" t="s">
        <v>5621</v>
      </c>
      <c r="R30" s="1288" t="s">
        <v>5622</v>
      </c>
      <c r="S30" s="1288" t="s">
        <v>5623</v>
      </c>
      <c r="T30" s="1288" t="s">
        <v>5624</v>
      </c>
      <c r="U30" s="1288" t="s">
        <v>5625</v>
      </c>
      <c r="V30" s="1289" t="s">
        <v>5626</v>
      </c>
      <c r="W30" s="1285" t="s">
        <v>5627</v>
      </c>
      <c r="X30" s="1285" t="s">
        <v>5628</v>
      </c>
      <c r="Y30" s="1073" t="s">
        <v>5629</v>
      </c>
      <c r="Z30" s="1290" t="s">
        <v>5630</v>
      </c>
      <c r="AA30" s="1291" t="s">
        <v>5631</v>
      </c>
      <c r="AB30" s="1072" t="s">
        <v>187</v>
      </c>
      <c r="AC30" s="1288" t="s">
        <v>5632</v>
      </c>
    </row>
    <row r="31" spans="1:29" ht="33" customHeight="1" x14ac:dyDescent="0.2">
      <c r="A31" s="1084">
        <v>5</v>
      </c>
      <c r="B31" s="1085" t="s">
        <v>5287</v>
      </c>
      <c r="C31" s="1085" t="s">
        <v>5633</v>
      </c>
      <c r="D31" s="1092">
        <v>2309.34</v>
      </c>
      <c r="E31" s="1092">
        <v>112.9</v>
      </c>
      <c r="F31" s="1092">
        <v>714.96</v>
      </c>
      <c r="G31" s="1086"/>
      <c r="H31" s="1092">
        <v>3137.2</v>
      </c>
      <c r="J31" s="1085" t="s">
        <v>5287</v>
      </c>
      <c r="K31" s="1085" t="s">
        <v>5633</v>
      </c>
      <c r="L31" s="1292">
        <f>(D31+E31)*7.27*1.023*1.0055</f>
        <v>18113.79</v>
      </c>
      <c r="M31" s="1293">
        <f>F31*4.21</f>
        <v>3009.98</v>
      </c>
      <c r="N31" s="1294">
        <f>$N$77/$L$77*L31</f>
        <v>18.84</v>
      </c>
      <c r="O31" s="1295">
        <f>$O$77/$L$77*L31</f>
        <v>56</v>
      </c>
      <c r="P31" s="1294">
        <f>$P$77/$M$29*M31</f>
        <v>61.51</v>
      </c>
      <c r="Q31" s="1080"/>
      <c r="R31" s="1080"/>
      <c r="S31" s="1080"/>
      <c r="T31" s="1080"/>
      <c r="U31" s="1296">
        <f>$U$77/$L$77*L31</f>
        <v>1598.9</v>
      </c>
      <c r="V31" s="1296">
        <f>$V$77/$L$77*L31</f>
        <v>143.04</v>
      </c>
      <c r="W31" s="1296">
        <f>$W$77/$L$77*L31</f>
        <v>996.72</v>
      </c>
      <c r="X31" s="1296">
        <f>$X$77/$L$77*L31</f>
        <v>1639.09</v>
      </c>
      <c r="Y31" s="1297">
        <f>L31+M31+N31+O31+P31+Q31+R31+S31+T31+U31+V31+W31+X31</f>
        <v>25637.87</v>
      </c>
      <c r="Z31" s="1298">
        <f>Y31*1.02</f>
        <v>26150.63</v>
      </c>
      <c r="AA31" s="1299">
        <v>466.2</v>
      </c>
      <c r="AB31" s="1299" t="s">
        <v>130</v>
      </c>
      <c r="AC31" s="1300">
        <f>Z31/AA31</f>
        <v>56.09</v>
      </c>
    </row>
    <row r="32" spans="1:29" ht="33" customHeight="1" x14ac:dyDescent="0.2">
      <c r="A32" s="1084">
        <v>6</v>
      </c>
      <c r="B32" s="1085" t="s">
        <v>5634</v>
      </c>
      <c r="C32" s="1085" t="s">
        <v>5635</v>
      </c>
      <c r="D32" s="1092">
        <v>2309.34</v>
      </c>
      <c r="E32" s="1092">
        <v>112.9</v>
      </c>
      <c r="F32" s="1092">
        <v>714.96</v>
      </c>
      <c r="G32" s="1086"/>
      <c r="H32" s="1092">
        <v>3137.2</v>
      </c>
      <c r="J32" s="1085" t="s">
        <v>5634</v>
      </c>
      <c r="K32" s="1085" t="s">
        <v>5635</v>
      </c>
      <c r="L32" s="1292">
        <f t="shared" ref="L32:L63" si="0">(D32+E32)*7.27*1.023*1.0055</f>
        <v>18113.79</v>
      </c>
      <c r="M32" s="1293">
        <f t="shared" ref="M32:M63" si="1">F32*4.21</f>
        <v>3009.98</v>
      </c>
      <c r="N32" s="1294">
        <f t="shared" ref="N32:N76" si="2">$N$77/$L$77*L32</f>
        <v>18.84</v>
      </c>
      <c r="O32" s="1295">
        <f t="shared" ref="O32:O76" si="3">$O$77/$L$77*L32</f>
        <v>56</v>
      </c>
      <c r="P32" s="1294">
        <f t="shared" ref="P32:P48" si="4">$P$77/$M$29*M32</f>
        <v>61.51</v>
      </c>
      <c r="Q32" s="1080"/>
      <c r="R32" s="1080"/>
      <c r="S32" s="1080"/>
      <c r="T32" s="1080"/>
      <c r="U32" s="1296">
        <f t="shared" ref="U32:U76" si="5">$U$77/$L$77*L32</f>
        <v>1598.9</v>
      </c>
      <c r="V32" s="1296">
        <f t="shared" ref="V32:V76" si="6">$V$77/$L$77*L32</f>
        <v>143.04</v>
      </c>
      <c r="W32" s="1296">
        <f t="shared" ref="W32:W76" si="7">$W$77/$L$77*L32</f>
        <v>996.72</v>
      </c>
      <c r="X32" s="1296">
        <f t="shared" ref="X32:X76" si="8">$X$77/$L$77*L32</f>
        <v>1639.09</v>
      </c>
      <c r="Y32" s="1297">
        <f t="shared" ref="Y32:Y76" si="9">L32+M32+N32+O32+P32+Q32+R32+S32+T32+U32+V32+W32+X32</f>
        <v>25637.87</v>
      </c>
      <c r="Z32" s="1298">
        <f t="shared" ref="Z32:Z75" si="10">Y32*1.02</f>
        <v>26150.63</v>
      </c>
      <c r="AA32" s="1080"/>
      <c r="AB32" s="1080"/>
      <c r="AC32" s="1080"/>
    </row>
    <row r="33" spans="1:29" ht="33" customHeight="1" x14ac:dyDescent="0.2">
      <c r="A33" s="1084">
        <v>7</v>
      </c>
      <c r="B33" s="1085" t="s">
        <v>5636</v>
      </c>
      <c r="C33" s="1085" t="s">
        <v>5637</v>
      </c>
      <c r="D33" s="1092">
        <v>2309.34</v>
      </c>
      <c r="E33" s="1092">
        <v>112.9</v>
      </c>
      <c r="F33" s="1092">
        <v>714.96</v>
      </c>
      <c r="G33" s="1086"/>
      <c r="H33" s="1092">
        <v>3137.2</v>
      </c>
      <c r="J33" s="1085" t="s">
        <v>5636</v>
      </c>
      <c r="K33" s="1085" t="s">
        <v>5637</v>
      </c>
      <c r="L33" s="1292">
        <f t="shared" si="0"/>
        <v>18113.79</v>
      </c>
      <c r="M33" s="1293">
        <f t="shared" si="1"/>
        <v>3009.98</v>
      </c>
      <c r="N33" s="1294">
        <f t="shared" si="2"/>
        <v>18.84</v>
      </c>
      <c r="O33" s="1295">
        <f t="shared" si="3"/>
        <v>56</v>
      </c>
      <c r="P33" s="1294">
        <f t="shared" si="4"/>
        <v>61.51</v>
      </c>
      <c r="Q33" s="1080"/>
      <c r="R33" s="1080"/>
      <c r="S33" s="1080"/>
      <c r="T33" s="1080"/>
      <c r="U33" s="1296">
        <f t="shared" si="5"/>
        <v>1598.9</v>
      </c>
      <c r="V33" s="1296">
        <f t="shared" si="6"/>
        <v>143.04</v>
      </c>
      <c r="W33" s="1296">
        <f t="shared" si="7"/>
        <v>996.72</v>
      </c>
      <c r="X33" s="1296">
        <f t="shared" si="8"/>
        <v>1639.09</v>
      </c>
      <c r="Y33" s="1297">
        <f t="shared" si="9"/>
        <v>25637.87</v>
      </c>
      <c r="Z33" s="1298">
        <f t="shared" si="10"/>
        <v>26150.63</v>
      </c>
      <c r="AA33" s="1080"/>
      <c r="AB33" s="1080"/>
      <c r="AC33" s="1080"/>
    </row>
    <row r="34" spans="1:29" ht="30" customHeight="1" x14ac:dyDescent="0.2">
      <c r="A34" s="1084">
        <v>8</v>
      </c>
      <c r="B34" s="1085" t="s">
        <v>5638</v>
      </c>
      <c r="C34" s="1085" t="s">
        <v>5639</v>
      </c>
      <c r="D34" s="1092">
        <v>2309.34</v>
      </c>
      <c r="E34" s="1092">
        <v>112.9</v>
      </c>
      <c r="F34" s="1092">
        <v>714.96</v>
      </c>
      <c r="G34" s="1086"/>
      <c r="H34" s="1092">
        <v>3137.2</v>
      </c>
      <c r="J34" s="1085" t="s">
        <v>5638</v>
      </c>
      <c r="K34" s="1085" t="s">
        <v>5639</v>
      </c>
      <c r="L34" s="1292">
        <f t="shared" si="0"/>
        <v>18113.79</v>
      </c>
      <c r="M34" s="1293">
        <f t="shared" si="1"/>
        <v>3009.98</v>
      </c>
      <c r="N34" s="1294">
        <f t="shared" si="2"/>
        <v>18.84</v>
      </c>
      <c r="O34" s="1295">
        <f t="shared" si="3"/>
        <v>56</v>
      </c>
      <c r="P34" s="1294">
        <f t="shared" si="4"/>
        <v>61.51</v>
      </c>
      <c r="Q34" s="1080"/>
      <c r="R34" s="1080"/>
      <c r="S34" s="1080"/>
      <c r="T34" s="1080"/>
      <c r="U34" s="1296">
        <f t="shared" si="5"/>
        <v>1598.9</v>
      </c>
      <c r="V34" s="1296">
        <f t="shared" si="6"/>
        <v>143.04</v>
      </c>
      <c r="W34" s="1296">
        <f t="shared" si="7"/>
        <v>996.72</v>
      </c>
      <c r="X34" s="1296">
        <f t="shared" si="8"/>
        <v>1639.09</v>
      </c>
      <c r="Y34" s="1297">
        <f t="shared" si="9"/>
        <v>25637.87</v>
      </c>
      <c r="Z34" s="1298">
        <f t="shared" si="10"/>
        <v>26150.63</v>
      </c>
      <c r="AA34" s="1080"/>
      <c r="AB34" s="1080"/>
      <c r="AC34" s="1080"/>
    </row>
    <row r="35" spans="1:29" ht="29.25" customHeight="1" x14ac:dyDescent="0.2">
      <c r="A35" s="1084">
        <v>9</v>
      </c>
      <c r="B35" s="1085" t="s">
        <v>5640</v>
      </c>
      <c r="C35" s="1085" t="s">
        <v>5641</v>
      </c>
      <c r="D35" s="1092">
        <v>2309.34</v>
      </c>
      <c r="E35" s="1092">
        <v>112.9</v>
      </c>
      <c r="F35" s="1092">
        <v>714.96</v>
      </c>
      <c r="G35" s="1086"/>
      <c r="H35" s="1092">
        <v>3137.2</v>
      </c>
      <c r="J35" s="1085" t="s">
        <v>5640</v>
      </c>
      <c r="K35" s="1085" t="s">
        <v>5641</v>
      </c>
      <c r="L35" s="1292">
        <f t="shared" si="0"/>
        <v>18113.79</v>
      </c>
      <c r="M35" s="1293">
        <f t="shared" si="1"/>
        <v>3009.98</v>
      </c>
      <c r="N35" s="1294">
        <f t="shared" si="2"/>
        <v>18.84</v>
      </c>
      <c r="O35" s="1295">
        <f t="shared" si="3"/>
        <v>56</v>
      </c>
      <c r="P35" s="1294">
        <f t="shared" si="4"/>
        <v>61.51</v>
      </c>
      <c r="Q35" s="1080"/>
      <c r="R35" s="1080"/>
      <c r="S35" s="1080"/>
      <c r="T35" s="1080"/>
      <c r="U35" s="1296">
        <f t="shared" si="5"/>
        <v>1598.9</v>
      </c>
      <c r="V35" s="1296">
        <f t="shared" si="6"/>
        <v>143.04</v>
      </c>
      <c r="W35" s="1296">
        <f t="shared" si="7"/>
        <v>996.72</v>
      </c>
      <c r="X35" s="1296">
        <f t="shared" si="8"/>
        <v>1639.09</v>
      </c>
      <c r="Y35" s="1297">
        <f t="shared" si="9"/>
        <v>25637.87</v>
      </c>
      <c r="Z35" s="1298">
        <f t="shared" si="10"/>
        <v>26150.63</v>
      </c>
      <c r="AA35" s="1080"/>
      <c r="AB35" s="1080"/>
      <c r="AC35" s="1080"/>
    </row>
    <row r="36" spans="1:29" ht="28.5" customHeight="1" x14ac:dyDescent="0.2">
      <c r="A36" s="1084">
        <v>10</v>
      </c>
      <c r="B36" s="1085" t="s">
        <v>5642</v>
      </c>
      <c r="C36" s="1085" t="s">
        <v>5643</v>
      </c>
      <c r="D36" s="1092">
        <v>2309.34</v>
      </c>
      <c r="E36" s="1092">
        <v>112.9</v>
      </c>
      <c r="F36" s="1092">
        <v>714.96</v>
      </c>
      <c r="G36" s="1086"/>
      <c r="H36" s="1092">
        <v>3137.2</v>
      </c>
      <c r="J36" s="1085" t="s">
        <v>5642</v>
      </c>
      <c r="K36" s="1085" t="s">
        <v>5643</v>
      </c>
      <c r="L36" s="1292">
        <f t="shared" si="0"/>
        <v>18113.79</v>
      </c>
      <c r="M36" s="1293">
        <f t="shared" si="1"/>
        <v>3009.98</v>
      </c>
      <c r="N36" s="1294">
        <f t="shared" si="2"/>
        <v>18.84</v>
      </c>
      <c r="O36" s="1295">
        <f t="shared" si="3"/>
        <v>56</v>
      </c>
      <c r="P36" s="1294">
        <f t="shared" si="4"/>
        <v>61.51</v>
      </c>
      <c r="Q36" s="1080"/>
      <c r="R36" s="1080"/>
      <c r="S36" s="1080"/>
      <c r="T36" s="1080"/>
      <c r="U36" s="1296">
        <f t="shared" si="5"/>
        <v>1598.9</v>
      </c>
      <c r="V36" s="1296">
        <f t="shared" si="6"/>
        <v>143.04</v>
      </c>
      <c r="W36" s="1296">
        <f t="shared" si="7"/>
        <v>996.72</v>
      </c>
      <c r="X36" s="1296">
        <f t="shared" si="8"/>
        <v>1639.09</v>
      </c>
      <c r="Y36" s="1297">
        <f t="shared" si="9"/>
        <v>25637.87</v>
      </c>
      <c r="Z36" s="1298">
        <f t="shared" si="10"/>
        <v>26150.63</v>
      </c>
      <c r="AA36" s="1080"/>
      <c r="AB36" s="1080"/>
      <c r="AC36" s="1080"/>
    </row>
    <row r="37" spans="1:29" ht="30.75" customHeight="1" x14ac:dyDescent="0.2">
      <c r="A37" s="1084">
        <v>11</v>
      </c>
      <c r="B37" s="1085" t="s">
        <v>5644</v>
      </c>
      <c r="C37" s="1085" t="s">
        <v>5645</v>
      </c>
      <c r="D37" s="1092">
        <v>2309.34</v>
      </c>
      <c r="E37" s="1092">
        <v>112.9</v>
      </c>
      <c r="F37" s="1092">
        <v>714.96</v>
      </c>
      <c r="G37" s="1086"/>
      <c r="H37" s="1092">
        <v>3137.2</v>
      </c>
      <c r="J37" s="1085" t="s">
        <v>5644</v>
      </c>
      <c r="K37" s="1085" t="s">
        <v>5645</v>
      </c>
      <c r="L37" s="1292">
        <f t="shared" si="0"/>
        <v>18113.79</v>
      </c>
      <c r="M37" s="1293">
        <f t="shared" si="1"/>
        <v>3009.98</v>
      </c>
      <c r="N37" s="1294">
        <f t="shared" si="2"/>
        <v>18.84</v>
      </c>
      <c r="O37" s="1295">
        <f t="shared" si="3"/>
        <v>56</v>
      </c>
      <c r="P37" s="1294">
        <f t="shared" si="4"/>
        <v>61.51</v>
      </c>
      <c r="Q37" s="1080"/>
      <c r="R37" s="1080"/>
      <c r="S37" s="1080"/>
      <c r="T37" s="1080"/>
      <c r="U37" s="1296">
        <f t="shared" si="5"/>
        <v>1598.9</v>
      </c>
      <c r="V37" s="1296">
        <f t="shared" si="6"/>
        <v>143.04</v>
      </c>
      <c r="W37" s="1296">
        <f t="shared" si="7"/>
        <v>996.72</v>
      </c>
      <c r="X37" s="1296">
        <f t="shared" si="8"/>
        <v>1639.09</v>
      </c>
      <c r="Y37" s="1297">
        <f t="shared" si="9"/>
        <v>25637.87</v>
      </c>
      <c r="Z37" s="1298">
        <f t="shared" si="10"/>
        <v>26150.63</v>
      </c>
      <c r="AA37" s="1080"/>
      <c r="AB37" s="1080"/>
      <c r="AC37" s="1080"/>
    </row>
    <row r="38" spans="1:29" ht="30.75" customHeight="1" x14ac:dyDescent="0.2">
      <c r="A38" s="1084">
        <v>12</v>
      </c>
      <c r="B38" s="1085" t="s">
        <v>5646</v>
      </c>
      <c r="C38" s="1085" t="s">
        <v>5647</v>
      </c>
      <c r="D38" s="1092">
        <v>2309.34</v>
      </c>
      <c r="E38" s="1092">
        <v>112.9</v>
      </c>
      <c r="F38" s="1092">
        <v>714.96</v>
      </c>
      <c r="G38" s="1086"/>
      <c r="H38" s="1092">
        <v>3137.2</v>
      </c>
      <c r="J38" s="1085" t="s">
        <v>5646</v>
      </c>
      <c r="K38" s="1085" t="s">
        <v>5647</v>
      </c>
      <c r="L38" s="1292">
        <f t="shared" si="0"/>
        <v>18113.79</v>
      </c>
      <c r="M38" s="1293">
        <f t="shared" si="1"/>
        <v>3009.98</v>
      </c>
      <c r="N38" s="1294">
        <f t="shared" si="2"/>
        <v>18.84</v>
      </c>
      <c r="O38" s="1295">
        <f t="shared" si="3"/>
        <v>56</v>
      </c>
      <c r="P38" s="1294">
        <f t="shared" si="4"/>
        <v>61.51</v>
      </c>
      <c r="Q38" s="1080"/>
      <c r="R38" s="1080"/>
      <c r="S38" s="1080"/>
      <c r="T38" s="1080"/>
      <c r="U38" s="1296">
        <f t="shared" si="5"/>
        <v>1598.9</v>
      </c>
      <c r="V38" s="1296">
        <f t="shared" si="6"/>
        <v>143.04</v>
      </c>
      <c r="W38" s="1296">
        <f t="shared" si="7"/>
        <v>996.72</v>
      </c>
      <c r="X38" s="1296">
        <f t="shared" si="8"/>
        <v>1639.09</v>
      </c>
      <c r="Y38" s="1297">
        <f t="shared" si="9"/>
        <v>25637.87</v>
      </c>
      <c r="Z38" s="1298">
        <f t="shared" si="10"/>
        <v>26150.63</v>
      </c>
      <c r="AA38" s="1080"/>
      <c r="AB38" s="1080"/>
      <c r="AC38" s="1080"/>
    </row>
    <row r="39" spans="1:29" ht="29.25" customHeight="1" x14ac:dyDescent="0.2">
      <c r="A39" s="1084">
        <v>13</v>
      </c>
      <c r="B39" s="1085" t="s">
        <v>5648</v>
      </c>
      <c r="C39" s="1085" t="s">
        <v>5649</v>
      </c>
      <c r="D39" s="1092">
        <v>1375.96</v>
      </c>
      <c r="E39" s="1092">
        <v>73.11</v>
      </c>
      <c r="F39" s="1092">
        <v>459.61</v>
      </c>
      <c r="G39" s="1086"/>
      <c r="H39" s="1092">
        <v>1908.68</v>
      </c>
      <c r="J39" s="1085" t="s">
        <v>5648</v>
      </c>
      <c r="K39" s="1085" t="s">
        <v>5649</v>
      </c>
      <c r="L39" s="1292">
        <f t="shared" si="0"/>
        <v>10836.31</v>
      </c>
      <c r="M39" s="1293">
        <f t="shared" si="1"/>
        <v>1934.96</v>
      </c>
      <c r="N39" s="1294">
        <f t="shared" si="2"/>
        <v>11.27</v>
      </c>
      <c r="O39" s="1295">
        <f t="shared" si="3"/>
        <v>33.5</v>
      </c>
      <c r="P39" s="1294">
        <f t="shared" si="4"/>
        <v>39.54</v>
      </c>
      <c r="Q39" s="1080"/>
      <c r="R39" s="1080"/>
      <c r="S39" s="1080"/>
      <c r="T39" s="1080"/>
      <c r="U39" s="1296">
        <f t="shared" si="5"/>
        <v>956.52</v>
      </c>
      <c r="V39" s="1296">
        <f t="shared" si="6"/>
        <v>85.57</v>
      </c>
      <c r="W39" s="1296">
        <f t="shared" si="7"/>
        <v>596.27</v>
      </c>
      <c r="X39" s="1296">
        <f t="shared" si="8"/>
        <v>980.56</v>
      </c>
      <c r="Y39" s="1297">
        <f t="shared" si="9"/>
        <v>15474.5</v>
      </c>
      <c r="Z39" s="1298">
        <f t="shared" si="10"/>
        <v>15783.99</v>
      </c>
      <c r="AA39" s="1080">
        <v>274.60000000000002</v>
      </c>
      <c r="AB39" s="1080" t="s">
        <v>130</v>
      </c>
      <c r="AC39" s="1300">
        <f>Z39/AA39</f>
        <v>57.48</v>
      </c>
    </row>
    <row r="40" spans="1:29" ht="26.25" customHeight="1" x14ac:dyDescent="0.2">
      <c r="A40" s="1084">
        <v>14</v>
      </c>
      <c r="B40" s="1085" t="s">
        <v>5650</v>
      </c>
      <c r="C40" s="1085" t="s">
        <v>5651</v>
      </c>
      <c r="D40" s="1092">
        <v>1375.96</v>
      </c>
      <c r="E40" s="1092">
        <v>73.11</v>
      </c>
      <c r="F40" s="1092">
        <v>459.61</v>
      </c>
      <c r="G40" s="1086"/>
      <c r="H40" s="1092">
        <v>1908.68</v>
      </c>
      <c r="J40" s="1085" t="s">
        <v>5650</v>
      </c>
      <c r="K40" s="1085" t="s">
        <v>5651</v>
      </c>
      <c r="L40" s="1292">
        <f t="shared" si="0"/>
        <v>10836.31</v>
      </c>
      <c r="M40" s="1293">
        <f t="shared" si="1"/>
        <v>1934.96</v>
      </c>
      <c r="N40" s="1294">
        <f t="shared" si="2"/>
        <v>11.27</v>
      </c>
      <c r="O40" s="1295">
        <f t="shared" si="3"/>
        <v>33.5</v>
      </c>
      <c r="P40" s="1294">
        <f t="shared" si="4"/>
        <v>39.54</v>
      </c>
      <c r="Q40" s="1080"/>
      <c r="R40" s="1080"/>
      <c r="S40" s="1080"/>
      <c r="T40" s="1080"/>
      <c r="U40" s="1296">
        <f t="shared" si="5"/>
        <v>956.52</v>
      </c>
      <c r="V40" s="1296">
        <f t="shared" si="6"/>
        <v>85.57</v>
      </c>
      <c r="W40" s="1296">
        <f t="shared" si="7"/>
        <v>596.27</v>
      </c>
      <c r="X40" s="1296">
        <f t="shared" si="8"/>
        <v>980.56</v>
      </c>
      <c r="Y40" s="1297">
        <f t="shared" si="9"/>
        <v>15474.5</v>
      </c>
      <c r="Z40" s="1298">
        <f t="shared" si="10"/>
        <v>15783.99</v>
      </c>
      <c r="AA40" s="1080"/>
      <c r="AB40" s="1080"/>
      <c r="AC40" s="1080"/>
    </row>
    <row r="41" spans="1:29" ht="30" customHeight="1" x14ac:dyDescent="0.2">
      <c r="A41" s="1084">
        <v>15</v>
      </c>
      <c r="B41" s="1085" t="s">
        <v>5652</v>
      </c>
      <c r="C41" s="1085" t="s">
        <v>5653</v>
      </c>
      <c r="D41" s="1092">
        <v>1375.96</v>
      </c>
      <c r="E41" s="1092">
        <v>73.11</v>
      </c>
      <c r="F41" s="1092">
        <v>459.61</v>
      </c>
      <c r="G41" s="1086"/>
      <c r="H41" s="1092">
        <v>1908.68</v>
      </c>
      <c r="J41" s="1085" t="s">
        <v>5652</v>
      </c>
      <c r="K41" s="1085" t="s">
        <v>5653</v>
      </c>
      <c r="L41" s="1292">
        <f t="shared" si="0"/>
        <v>10836.31</v>
      </c>
      <c r="M41" s="1293">
        <f t="shared" si="1"/>
        <v>1934.96</v>
      </c>
      <c r="N41" s="1294">
        <f t="shared" si="2"/>
        <v>11.27</v>
      </c>
      <c r="O41" s="1295">
        <f t="shared" si="3"/>
        <v>33.5</v>
      </c>
      <c r="P41" s="1294">
        <f t="shared" si="4"/>
        <v>39.54</v>
      </c>
      <c r="Q41" s="1080"/>
      <c r="R41" s="1080"/>
      <c r="S41" s="1080"/>
      <c r="T41" s="1080"/>
      <c r="U41" s="1296">
        <f t="shared" si="5"/>
        <v>956.52</v>
      </c>
      <c r="V41" s="1296">
        <f t="shared" si="6"/>
        <v>85.57</v>
      </c>
      <c r="W41" s="1296">
        <f t="shared" si="7"/>
        <v>596.27</v>
      </c>
      <c r="X41" s="1296">
        <f t="shared" si="8"/>
        <v>980.56</v>
      </c>
      <c r="Y41" s="1297">
        <f t="shared" si="9"/>
        <v>15474.5</v>
      </c>
      <c r="Z41" s="1298">
        <f t="shared" si="10"/>
        <v>15783.99</v>
      </c>
      <c r="AA41" s="1080"/>
      <c r="AB41" s="1080"/>
      <c r="AC41" s="1080"/>
    </row>
    <row r="42" spans="1:29" ht="28.5" customHeight="1" x14ac:dyDescent="0.2">
      <c r="A42" s="1084">
        <v>16</v>
      </c>
      <c r="B42" s="1085" t="s">
        <v>5654</v>
      </c>
      <c r="C42" s="1085" t="s">
        <v>5655</v>
      </c>
      <c r="D42" s="1092">
        <v>1375.96</v>
      </c>
      <c r="E42" s="1092">
        <v>73.11</v>
      </c>
      <c r="F42" s="1092">
        <v>459.61</v>
      </c>
      <c r="G42" s="1086"/>
      <c r="H42" s="1092">
        <v>1908.68</v>
      </c>
      <c r="J42" s="1085" t="s">
        <v>5654</v>
      </c>
      <c r="K42" s="1085" t="s">
        <v>5655</v>
      </c>
      <c r="L42" s="1292">
        <f t="shared" si="0"/>
        <v>10836.31</v>
      </c>
      <c r="M42" s="1293">
        <f t="shared" si="1"/>
        <v>1934.96</v>
      </c>
      <c r="N42" s="1294">
        <f t="shared" si="2"/>
        <v>11.27</v>
      </c>
      <c r="O42" s="1295">
        <f t="shared" si="3"/>
        <v>33.5</v>
      </c>
      <c r="P42" s="1294">
        <f t="shared" si="4"/>
        <v>39.54</v>
      </c>
      <c r="Q42" s="1080"/>
      <c r="R42" s="1080"/>
      <c r="S42" s="1080"/>
      <c r="T42" s="1080"/>
      <c r="U42" s="1296">
        <f t="shared" si="5"/>
        <v>956.52</v>
      </c>
      <c r="V42" s="1296">
        <f t="shared" si="6"/>
        <v>85.57</v>
      </c>
      <c r="W42" s="1296">
        <f t="shared" si="7"/>
        <v>596.27</v>
      </c>
      <c r="X42" s="1296">
        <f t="shared" si="8"/>
        <v>980.56</v>
      </c>
      <c r="Y42" s="1297">
        <f t="shared" si="9"/>
        <v>15474.5</v>
      </c>
      <c r="Z42" s="1298">
        <f t="shared" si="10"/>
        <v>15783.99</v>
      </c>
      <c r="AA42" s="1080"/>
      <c r="AB42" s="1080"/>
      <c r="AC42" s="1080"/>
    </row>
    <row r="43" spans="1:29" ht="27" customHeight="1" x14ac:dyDescent="0.2">
      <c r="A43" s="1084">
        <v>17</v>
      </c>
      <c r="B43" s="1085" t="s">
        <v>5656</v>
      </c>
      <c r="C43" s="1085" t="s">
        <v>5657</v>
      </c>
      <c r="D43" s="1092">
        <v>1375.96</v>
      </c>
      <c r="E43" s="1092">
        <v>73.11</v>
      </c>
      <c r="F43" s="1092">
        <v>459.61</v>
      </c>
      <c r="G43" s="1086"/>
      <c r="H43" s="1092">
        <v>1908.68</v>
      </c>
      <c r="J43" s="1085" t="s">
        <v>5656</v>
      </c>
      <c r="K43" s="1085" t="s">
        <v>5657</v>
      </c>
      <c r="L43" s="1292">
        <f t="shared" si="0"/>
        <v>10836.31</v>
      </c>
      <c r="M43" s="1293">
        <f t="shared" si="1"/>
        <v>1934.96</v>
      </c>
      <c r="N43" s="1294">
        <f t="shared" si="2"/>
        <v>11.27</v>
      </c>
      <c r="O43" s="1295">
        <f t="shared" si="3"/>
        <v>33.5</v>
      </c>
      <c r="P43" s="1294">
        <f t="shared" si="4"/>
        <v>39.54</v>
      </c>
      <c r="Q43" s="1080"/>
      <c r="R43" s="1080"/>
      <c r="S43" s="1080"/>
      <c r="T43" s="1080"/>
      <c r="U43" s="1296">
        <f t="shared" si="5"/>
        <v>956.52</v>
      </c>
      <c r="V43" s="1296">
        <f t="shared" si="6"/>
        <v>85.57</v>
      </c>
      <c r="W43" s="1296">
        <f t="shared" si="7"/>
        <v>596.27</v>
      </c>
      <c r="X43" s="1296">
        <f t="shared" si="8"/>
        <v>980.56</v>
      </c>
      <c r="Y43" s="1297">
        <f t="shared" si="9"/>
        <v>15474.5</v>
      </c>
      <c r="Z43" s="1298">
        <f t="shared" si="10"/>
        <v>15783.99</v>
      </c>
      <c r="AA43" s="1080"/>
      <c r="AB43" s="1080"/>
      <c r="AC43" s="1080"/>
    </row>
    <row r="44" spans="1:29" ht="27" customHeight="1" x14ac:dyDescent="0.2">
      <c r="A44" s="1084">
        <v>18</v>
      </c>
      <c r="B44" s="1085" t="s">
        <v>5658</v>
      </c>
      <c r="C44" s="1085" t="s">
        <v>5659</v>
      </c>
      <c r="D44" s="1092">
        <v>2294.1999999999998</v>
      </c>
      <c r="E44" s="1092">
        <v>168.16</v>
      </c>
      <c r="F44" s="1092">
        <v>678.46</v>
      </c>
      <c r="G44" s="1086"/>
      <c r="H44" s="1092">
        <v>3140.82</v>
      </c>
      <c r="J44" s="1085" t="s">
        <v>5658</v>
      </c>
      <c r="K44" s="1085" t="s">
        <v>5659</v>
      </c>
      <c r="L44" s="1292">
        <f t="shared" si="0"/>
        <v>18413.810000000001</v>
      </c>
      <c r="M44" s="1293">
        <f t="shared" si="1"/>
        <v>2856.32</v>
      </c>
      <c r="N44" s="1294">
        <f t="shared" si="2"/>
        <v>19.149999999999999</v>
      </c>
      <c r="O44" s="1295">
        <f t="shared" si="3"/>
        <v>56.93</v>
      </c>
      <c r="P44" s="1294">
        <f t="shared" si="4"/>
        <v>58.37</v>
      </c>
      <c r="Q44" s="1080"/>
      <c r="R44" s="1080"/>
      <c r="S44" s="1080"/>
      <c r="T44" s="1080"/>
      <c r="U44" s="1296">
        <f t="shared" si="5"/>
        <v>1625.38</v>
      </c>
      <c r="V44" s="1296">
        <f t="shared" si="6"/>
        <v>145.41</v>
      </c>
      <c r="W44" s="1296">
        <f t="shared" si="7"/>
        <v>1013.22</v>
      </c>
      <c r="X44" s="1296">
        <f t="shared" si="8"/>
        <v>1666.23</v>
      </c>
      <c r="Y44" s="1297">
        <f t="shared" si="9"/>
        <v>25854.82</v>
      </c>
      <c r="Z44" s="1298">
        <f t="shared" si="10"/>
        <v>26371.919999999998</v>
      </c>
      <c r="AA44" s="1080"/>
      <c r="AB44" s="1080"/>
      <c r="AC44" s="1080"/>
    </row>
    <row r="45" spans="1:29" ht="31.5" customHeight="1" x14ac:dyDescent="0.2">
      <c r="A45" s="1084">
        <v>19</v>
      </c>
      <c r="B45" s="1085" t="s">
        <v>5660</v>
      </c>
      <c r="C45" s="1085" t="s">
        <v>5661</v>
      </c>
      <c r="D45" s="1092">
        <v>2446.5700000000002</v>
      </c>
      <c r="E45" s="1092">
        <v>133.01</v>
      </c>
      <c r="F45" s="1092">
        <v>882.67</v>
      </c>
      <c r="G45" s="1086"/>
      <c r="H45" s="1092">
        <v>3462.25</v>
      </c>
      <c r="J45" s="1085" t="s">
        <v>5660</v>
      </c>
      <c r="K45" s="1085" t="s">
        <v>5661</v>
      </c>
      <c r="L45" s="1292">
        <f t="shared" si="0"/>
        <v>19290.400000000001</v>
      </c>
      <c r="M45" s="1293">
        <f t="shared" si="1"/>
        <v>3716.04</v>
      </c>
      <c r="N45" s="1294">
        <f t="shared" si="2"/>
        <v>20.059999999999999</v>
      </c>
      <c r="O45" s="1295">
        <f t="shared" si="3"/>
        <v>59.64</v>
      </c>
      <c r="P45" s="1294">
        <f t="shared" si="4"/>
        <v>75.930000000000007</v>
      </c>
      <c r="Q45" s="1080"/>
      <c r="R45" s="1080"/>
      <c r="S45" s="1080"/>
      <c r="T45" s="1080"/>
      <c r="U45" s="1296">
        <f t="shared" si="5"/>
        <v>1702.76</v>
      </c>
      <c r="V45" s="1296">
        <f t="shared" si="6"/>
        <v>152.33000000000001</v>
      </c>
      <c r="W45" s="1296">
        <f t="shared" si="7"/>
        <v>1061.46</v>
      </c>
      <c r="X45" s="1296">
        <f t="shared" si="8"/>
        <v>1745.55</v>
      </c>
      <c r="Y45" s="1297">
        <f t="shared" si="9"/>
        <v>27824.17</v>
      </c>
      <c r="Z45" s="1298">
        <f t="shared" si="10"/>
        <v>28380.65</v>
      </c>
      <c r="AA45" s="1080"/>
      <c r="AB45" s="1080"/>
      <c r="AC45" s="1080"/>
    </row>
    <row r="46" spans="1:29" ht="28.5" customHeight="1" x14ac:dyDescent="0.2">
      <c r="A46" s="1084">
        <v>20</v>
      </c>
      <c r="B46" s="1085" t="s">
        <v>5662</v>
      </c>
      <c r="C46" s="1085" t="s">
        <v>5663</v>
      </c>
      <c r="D46" s="1092">
        <v>1388.7</v>
      </c>
      <c r="E46" s="1092">
        <v>73.150000000000006</v>
      </c>
      <c r="F46" s="1092">
        <v>459.59</v>
      </c>
      <c r="G46" s="1086"/>
      <c r="H46" s="1092">
        <v>1921.44</v>
      </c>
      <c r="J46" s="1085" t="s">
        <v>5662</v>
      </c>
      <c r="K46" s="1085" t="s">
        <v>5663</v>
      </c>
      <c r="L46" s="1292">
        <f t="shared" si="0"/>
        <v>10931.88</v>
      </c>
      <c r="M46" s="1293">
        <f t="shared" si="1"/>
        <v>1934.87</v>
      </c>
      <c r="N46" s="1294">
        <f t="shared" si="2"/>
        <v>11.37</v>
      </c>
      <c r="O46" s="1295">
        <f t="shared" si="3"/>
        <v>33.799999999999997</v>
      </c>
      <c r="P46" s="1294">
        <f t="shared" si="4"/>
        <v>39.54</v>
      </c>
      <c r="Q46" s="1080"/>
      <c r="R46" s="1080"/>
      <c r="S46" s="1080"/>
      <c r="T46" s="1080"/>
      <c r="U46" s="1296">
        <f t="shared" si="5"/>
        <v>964.95</v>
      </c>
      <c r="V46" s="1296">
        <f t="shared" si="6"/>
        <v>86.33</v>
      </c>
      <c r="W46" s="1296">
        <f t="shared" si="7"/>
        <v>601.53</v>
      </c>
      <c r="X46" s="1296">
        <f t="shared" si="8"/>
        <v>989.21</v>
      </c>
      <c r="Y46" s="1297">
        <f t="shared" si="9"/>
        <v>15593.48</v>
      </c>
      <c r="Z46" s="1298">
        <f t="shared" si="10"/>
        <v>15905.35</v>
      </c>
      <c r="AA46" s="1080"/>
      <c r="AB46" s="1080"/>
      <c r="AC46" s="1080"/>
    </row>
    <row r="47" spans="1:29" ht="30.75" customHeight="1" x14ac:dyDescent="0.2">
      <c r="A47" s="1084">
        <v>21</v>
      </c>
      <c r="B47" s="1085" t="s">
        <v>5664</v>
      </c>
      <c r="C47" s="1085" t="s">
        <v>5665</v>
      </c>
      <c r="D47" s="1092">
        <v>1388.7</v>
      </c>
      <c r="E47" s="1092">
        <v>73.150000000000006</v>
      </c>
      <c r="F47" s="1092">
        <v>459.59</v>
      </c>
      <c r="G47" s="1086"/>
      <c r="H47" s="1092">
        <v>1921.44</v>
      </c>
      <c r="J47" s="1085" t="s">
        <v>5664</v>
      </c>
      <c r="K47" s="1085" t="s">
        <v>5665</v>
      </c>
      <c r="L47" s="1292">
        <f t="shared" si="0"/>
        <v>10931.88</v>
      </c>
      <c r="M47" s="1293">
        <f t="shared" si="1"/>
        <v>1934.87</v>
      </c>
      <c r="N47" s="1294">
        <f t="shared" si="2"/>
        <v>11.37</v>
      </c>
      <c r="O47" s="1295">
        <f t="shared" si="3"/>
        <v>33.799999999999997</v>
      </c>
      <c r="P47" s="1294">
        <f t="shared" si="4"/>
        <v>39.54</v>
      </c>
      <c r="Q47" s="1080"/>
      <c r="R47" s="1080"/>
      <c r="S47" s="1080"/>
      <c r="T47" s="1080"/>
      <c r="U47" s="1296">
        <f t="shared" si="5"/>
        <v>964.95</v>
      </c>
      <c r="V47" s="1296">
        <f t="shared" si="6"/>
        <v>86.33</v>
      </c>
      <c r="W47" s="1296">
        <f t="shared" si="7"/>
        <v>601.53</v>
      </c>
      <c r="X47" s="1296">
        <f t="shared" si="8"/>
        <v>989.21</v>
      </c>
      <c r="Y47" s="1297">
        <f t="shared" si="9"/>
        <v>15593.48</v>
      </c>
      <c r="Z47" s="1298">
        <f t="shared" si="10"/>
        <v>15905.35</v>
      </c>
      <c r="AA47" s="1080"/>
      <c r="AB47" s="1080"/>
      <c r="AC47" s="1080"/>
    </row>
    <row r="48" spans="1:29" ht="33.75" customHeight="1" x14ac:dyDescent="0.2">
      <c r="A48" s="1084">
        <v>22</v>
      </c>
      <c r="B48" s="1085" t="s">
        <v>5666</v>
      </c>
      <c r="C48" s="1085" t="s">
        <v>5667</v>
      </c>
      <c r="D48" s="1092">
        <v>1388.7</v>
      </c>
      <c r="E48" s="1092">
        <v>73.150000000000006</v>
      </c>
      <c r="F48" s="1092">
        <v>459.59</v>
      </c>
      <c r="G48" s="1086"/>
      <c r="H48" s="1092">
        <v>1921.44</v>
      </c>
      <c r="J48" s="1085" t="s">
        <v>5666</v>
      </c>
      <c r="K48" s="1085" t="s">
        <v>5667</v>
      </c>
      <c r="L48" s="1292">
        <f t="shared" si="0"/>
        <v>10931.88</v>
      </c>
      <c r="M48" s="1293">
        <f t="shared" si="1"/>
        <v>1934.87</v>
      </c>
      <c r="N48" s="1294">
        <f t="shared" si="2"/>
        <v>11.37</v>
      </c>
      <c r="O48" s="1295">
        <f t="shared" si="3"/>
        <v>33.799999999999997</v>
      </c>
      <c r="P48" s="1294">
        <f t="shared" si="4"/>
        <v>39.54</v>
      </c>
      <c r="Q48" s="1080"/>
      <c r="R48" s="1080"/>
      <c r="S48" s="1080"/>
      <c r="T48" s="1080"/>
      <c r="U48" s="1296">
        <f t="shared" si="5"/>
        <v>964.95</v>
      </c>
      <c r="V48" s="1296">
        <f t="shared" si="6"/>
        <v>86.33</v>
      </c>
      <c r="W48" s="1296">
        <f t="shared" si="7"/>
        <v>601.53</v>
      </c>
      <c r="X48" s="1296">
        <f t="shared" si="8"/>
        <v>989.21</v>
      </c>
      <c r="Y48" s="1297">
        <f t="shared" si="9"/>
        <v>15593.48</v>
      </c>
      <c r="Z48" s="1298">
        <f t="shared" si="10"/>
        <v>15905.35</v>
      </c>
      <c r="AA48" s="1080"/>
      <c r="AB48" s="1080"/>
      <c r="AC48" s="1080"/>
    </row>
    <row r="49" spans="1:29" ht="21.75" customHeight="1" x14ac:dyDescent="0.2">
      <c r="A49" s="1084">
        <v>23</v>
      </c>
      <c r="B49" s="1085" t="s">
        <v>5668</v>
      </c>
      <c r="C49" s="1085" t="s">
        <v>5669</v>
      </c>
      <c r="D49" s="1092">
        <v>5287.35</v>
      </c>
      <c r="E49" s="1092">
        <v>309.73</v>
      </c>
      <c r="F49" s="1092">
        <v>3419.72</v>
      </c>
      <c r="G49" s="1086"/>
      <c r="H49" s="1092">
        <v>9016.7999999999993</v>
      </c>
      <c r="J49" s="1085" t="s">
        <v>5668</v>
      </c>
      <c r="K49" s="1085" t="s">
        <v>5669</v>
      </c>
      <c r="L49" s="1292">
        <f t="shared" si="0"/>
        <v>41855.61</v>
      </c>
      <c r="M49" s="1293">
        <f t="shared" si="1"/>
        <v>14397.02</v>
      </c>
      <c r="N49" s="1294">
        <f t="shared" si="2"/>
        <v>43.53</v>
      </c>
      <c r="O49" s="1295">
        <f t="shared" si="3"/>
        <v>129.41</v>
      </c>
      <c r="P49" s="1080"/>
      <c r="Q49" s="1296">
        <f>Q77</f>
        <v>202.39</v>
      </c>
      <c r="R49" s="1080"/>
      <c r="S49" s="1080"/>
      <c r="T49" s="1080"/>
      <c r="U49" s="1296">
        <f t="shared" si="5"/>
        <v>3694.58</v>
      </c>
      <c r="V49" s="1296">
        <f t="shared" si="6"/>
        <v>330.52</v>
      </c>
      <c r="W49" s="1296">
        <f t="shared" si="7"/>
        <v>2303.11</v>
      </c>
      <c r="X49" s="1296">
        <f t="shared" si="8"/>
        <v>3787.44</v>
      </c>
      <c r="Y49" s="1297">
        <f t="shared" si="9"/>
        <v>66743.61</v>
      </c>
      <c r="Z49" s="1298">
        <f t="shared" si="10"/>
        <v>68078.48</v>
      </c>
      <c r="AA49" s="1080">
        <v>879.6</v>
      </c>
      <c r="AB49" s="1299" t="s">
        <v>130</v>
      </c>
      <c r="AC49" s="1296">
        <f>Z49/AA49</f>
        <v>77.400000000000006</v>
      </c>
    </row>
    <row r="50" spans="1:29" ht="18" customHeight="1" x14ac:dyDescent="0.2">
      <c r="A50" s="1084">
        <v>24</v>
      </c>
      <c r="B50" s="1085" t="s">
        <v>5670</v>
      </c>
      <c r="C50" s="1085" t="s">
        <v>5671</v>
      </c>
      <c r="D50" s="1092">
        <v>5072.32</v>
      </c>
      <c r="E50" s="1092">
        <v>370.55</v>
      </c>
      <c r="F50" s="1092">
        <v>2904.41</v>
      </c>
      <c r="G50" s="1086"/>
      <c r="H50" s="1092">
        <v>8347.2800000000007</v>
      </c>
      <c r="J50" s="1085" t="s">
        <v>5670</v>
      </c>
      <c r="K50" s="1085" t="s">
        <v>5671</v>
      </c>
      <c r="L50" s="1292">
        <f t="shared" si="0"/>
        <v>40702.410000000003</v>
      </c>
      <c r="M50" s="1293">
        <f t="shared" si="1"/>
        <v>12227.57</v>
      </c>
      <c r="N50" s="1294">
        <f t="shared" si="2"/>
        <v>42.33</v>
      </c>
      <c r="O50" s="1295">
        <f t="shared" si="3"/>
        <v>125.84</v>
      </c>
      <c r="P50" s="1080"/>
      <c r="Q50" s="1080"/>
      <c r="R50" s="1296">
        <f>R77</f>
        <v>139.07</v>
      </c>
      <c r="S50" s="1080"/>
      <c r="T50" s="1080"/>
      <c r="U50" s="1296">
        <f t="shared" si="5"/>
        <v>3592.79</v>
      </c>
      <c r="V50" s="1296">
        <f t="shared" si="6"/>
        <v>321.41000000000003</v>
      </c>
      <c r="W50" s="1296">
        <f t="shared" si="7"/>
        <v>2239.66</v>
      </c>
      <c r="X50" s="1296">
        <f t="shared" si="8"/>
        <v>3683.09</v>
      </c>
      <c r="Y50" s="1297">
        <f t="shared" si="9"/>
        <v>63074.17</v>
      </c>
      <c r="Z50" s="1298">
        <f t="shared" si="10"/>
        <v>64335.65</v>
      </c>
      <c r="AA50" s="1080">
        <v>683.5</v>
      </c>
      <c r="AB50" s="1299" t="s">
        <v>130</v>
      </c>
      <c r="AC50" s="1296">
        <f>Z50/AA50</f>
        <v>94.13</v>
      </c>
    </row>
    <row r="51" spans="1:29" ht="30.75" customHeight="1" x14ac:dyDescent="0.2">
      <c r="A51" s="1084">
        <v>25</v>
      </c>
      <c r="B51" s="1085" t="s">
        <v>5672</v>
      </c>
      <c r="C51" s="1085" t="s">
        <v>5673</v>
      </c>
      <c r="D51" s="1092">
        <v>2309.34</v>
      </c>
      <c r="E51" s="1092">
        <v>112.9</v>
      </c>
      <c r="F51" s="1092">
        <v>714.96</v>
      </c>
      <c r="G51" s="1086"/>
      <c r="H51" s="1092">
        <v>3137.2</v>
      </c>
      <c r="J51" s="1085" t="s">
        <v>5672</v>
      </c>
      <c r="K51" s="1085" t="s">
        <v>5673</v>
      </c>
      <c r="L51" s="1292">
        <f t="shared" si="0"/>
        <v>18113.79</v>
      </c>
      <c r="M51" s="1293">
        <f t="shared" si="1"/>
        <v>3009.98</v>
      </c>
      <c r="N51" s="1294">
        <f t="shared" si="2"/>
        <v>18.84</v>
      </c>
      <c r="O51" s="1295">
        <f t="shared" si="3"/>
        <v>56</v>
      </c>
      <c r="P51" s="1080"/>
      <c r="Q51" s="1080"/>
      <c r="R51" s="1080"/>
      <c r="S51" s="1296">
        <f>$S$77/$S$29*M51</f>
        <v>56.45</v>
      </c>
      <c r="T51" s="1080"/>
      <c r="U51" s="1296">
        <f t="shared" si="5"/>
        <v>1598.9</v>
      </c>
      <c r="V51" s="1296">
        <f t="shared" si="6"/>
        <v>143.04</v>
      </c>
      <c r="W51" s="1296">
        <f t="shared" si="7"/>
        <v>996.72</v>
      </c>
      <c r="X51" s="1296">
        <f t="shared" si="8"/>
        <v>1639.09</v>
      </c>
      <c r="Y51" s="1297">
        <f t="shared" si="9"/>
        <v>25632.81</v>
      </c>
      <c r="Z51" s="1298">
        <f t="shared" si="10"/>
        <v>26145.47</v>
      </c>
      <c r="AA51" s="1080"/>
      <c r="AB51" s="1080"/>
      <c r="AC51" s="1080"/>
    </row>
    <row r="52" spans="1:29" ht="30" customHeight="1" x14ac:dyDescent="0.2">
      <c r="A52" s="1084">
        <v>26</v>
      </c>
      <c r="B52" s="1085" t="s">
        <v>5674</v>
      </c>
      <c r="C52" s="1085" t="s">
        <v>5675</v>
      </c>
      <c r="D52" s="1092">
        <v>1375.96</v>
      </c>
      <c r="E52" s="1092">
        <v>73.11</v>
      </c>
      <c r="F52" s="1092">
        <v>459.61</v>
      </c>
      <c r="G52" s="1086"/>
      <c r="H52" s="1092">
        <v>1908.68</v>
      </c>
      <c r="J52" s="1085" t="s">
        <v>5674</v>
      </c>
      <c r="K52" s="1085" t="s">
        <v>5675</v>
      </c>
      <c r="L52" s="1292">
        <f t="shared" si="0"/>
        <v>10836.31</v>
      </c>
      <c r="M52" s="1293">
        <f t="shared" si="1"/>
        <v>1934.96</v>
      </c>
      <c r="N52" s="1294">
        <f t="shared" si="2"/>
        <v>11.27</v>
      </c>
      <c r="O52" s="1295">
        <f t="shared" si="3"/>
        <v>33.5</v>
      </c>
      <c r="P52" s="1080"/>
      <c r="Q52" s="1080"/>
      <c r="R52" s="1080"/>
      <c r="S52" s="1296">
        <f t="shared" ref="S52:S63" si="11">$S$77/$S$29*M52</f>
        <v>36.29</v>
      </c>
      <c r="T52" s="1080"/>
      <c r="U52" s="1296">
        <f t="shared" si="5"/>
        <v>956.52</v>
      </c>
      <c r="V52" s="1296">
        <f t="shared" si="6"/>
        <v>85.57</v>
      </c>
      <c r="W52" s="1296">
        <f t="shared" si="7"/>
        <v>596.27</v>
      </c>
      <c r="X52" s="1296">
        <f t="shared" si="8"/>
        <v>980.56</v>
      </c>
      <c r="Y52" s="1297">
        <f t="shared" si="9"/>
        <v>15471.25</v>
      </c>
      <c r="Z52" s="1298">
        <f t="shared" si="10"/>
        <v>15780.68</v>
      </c>
      <c r="AA52" s="1080"/>
      <c r="AB52" s="1080"/>
      <c r="AC52" s="1080"/>
    </row>
    <row r="53" spans="1:29" ht="28.5" customHeight="1" x14ac:dyDescent="0.2">
      <c r="A53" s="1084">
        <v>27</v>
      </c>
      <c r="B53" s="1085" t="s">
        <v>5676</v>
      </c>
      <c r="C53" s="1085" t="s">
        <v>5677</v>
      </c>
      <c r="D53" s="1092">
        <v>1375.96</v>
      </c>
      <c r="E53" s="1092">
        <v>73.11</v>
      </c>
      <c r="F53" s="1092">
        <v>459.61</v>
      </c>
      <c r="G53" s="1086"/>
      <c r="H53" s="1092">
        <v>1908.68</v>
      </c>
      <c r="J53" s="1085" t="s">
        <v>5676</v>
      </c>
      <c r="K53" s="1085" t="s">
        <v>5677</v>
      </c>
      <c r="L53" s="1292">
        <f t="shared" si="0"/>
        <v>10836.31</v>
      </c>
      <c r="M53" s="1293">
        <f t="shared" si="1"/>
        <v>1934.96</v>
      </c>
      <c r="N53" s="1294">
        <f t="shared" si="2"/>
        <v>11.27</v>
      </c>
      <c r="O53" s="1295">
        <f t="shared" si="3"/>
        <v>33.5</v>
      </c>
      <c r="P53" s="1080"/>
      <c r="Q53" s="1080"/>
      <c r="R53" s="1080"/>
      <c r="S53" s="1296">
        <f t="shared" si="11"/>
        <v>36.29</v>
      </c>
      <c r="T53" s="1080"/>
      <c r="U53" s="1296">
        <f t="shared" si="5"/>
        <v>956.52</v>
      </c>
      <c r="V53" s="1296">
        <f t="shared" si="6"/>
        <v>85.57</v>
      </c>
      <c r="W53" s="1296">
        <f t="shared" si="7"/>
        <v>596.27</v>
      </c>
      <c r="X53" s="1296">
        <f t="shared" si="8"/>
        <v>980.56</v>
      </c>
      <c r="Y53" s="1297">
        <f t="shared" si="9"/>
        <v>15471.25</v>
      </c>
      <c r="Z53" s="1298">
        <f t="shared" si="10"/>
        <v>15780.68</v>
      </c>
      <c r="AA53" s="1080"/>
      <c r="AB53" s="1080"/>
      <c r="AC53" s="1080"/>
    </row>
    <row r="54" spans="1:29" ht="32.25" customHeight="1" x14ac:dyDescent="0.2">
      <c r="A54" s="1084">
        <v>28</v>
      </c>
      <c r="B54" s="1085" t="s">
        <v>5678</v>
      </c>
      <c r="C54" s="1085" t="s">
        <v>5679</v>
      </c>
      <c r="D54" s="1092">
        <v>1375.96</v>
      </c>
      <c r="E54" s="1092">
        <v>73.11</v>
      </c>
      <c r="F54" s="1092">
        <v>459.61</v>
      </c>
      <c r="G54" s="1086"/>
      <c r="H54" s="1092">
        <v>1908.68</v>
      </c>
      <c r="J54" s="1085" t="s">
        <v>5678</v>
      </c>
      <c r="K54" s="1085" t="s">
        <v>5679</v>
      </c>
      <c r="L54" s="1292">
        <f t="shared" si="0"/>
        <v>10836.31</v>
      </c>
      <c r="M54" s="1293">
        <f t="shared" si="1"/>
        <v>1934.96</v>
      </c>
      <c r="N54" s="1294">
        <f t="shared" si="2"/>
        <v>11.27</v>
      </c>
      <c r="O54" s="1295">
        <f t="shared" si="3"/>
        <v>33.5</v>
      </c>
      <c r="P54" s="1080"/>
      <c r="Q54" s="1080"/>
      <c r="R54" s="1080"/>
      <c r="S54" s="1296">
        <f t="shared" si="11"/>
        <v>36.29</v>
      </c>
      <c r="T54" s="1080"/>
      <c r="U54" s="1296">
        <f t="shared" si="5"/>
        <v>956.52</v>
      </c>
      <c r="V54" s="1296">
        <f t="shared" si="6"/>
        <v>85.57</v>
      </c>
      <c r="W54" s="1296">
        <f t="shared" si="7"/>
        <v>596.27</v>
      </c>
      <c r="X54" s="1296">
        <f t="shared" si="8"/>
        <v>980.56</v>
      </c>
      <c r="Y54" s="1297">
        <f t="shared" si="9"/>
        <v>15471.25</v>
      </c>
      <c r="Z54" s="1298">
        <f t="shared" si="10"/>
        <v>15780.68</v>
      </c>
      <c r="AA54" s="1080"/>
      <c r="AB54" s="1080"/>
      <c r="AC54" s="1080"/>
    </row>
    <row r="55" spans="1:29" ht="30.75" customHeight="1" x14ac:dyDescent="0.2">
      <c r="A55" s="1084">
        <v>29</v>
      </c>
      <c r="B55" s="1085" t="s">
        <v>5680</v>
      </c>
      <c r="C55" s="1085" t="s">
        <v>5681</v>
      </c>
      <c r="D55" s="1092">
        <v>1375.96</v>
      </c>
      <c r="E55" s="1092">
        <v>73.11</v>
      </c>
      <c r="F55" s="1092">
        <v>459.61</v>
      </c>
      <c r="G55" s="1086"/>
      <c r="H55" s="1092">
        <v>1908.68</v>
      </c>
      <c r="J55" s="1085" t="s">
        <v>5680</v>
      </c>
      <c r="K55" s="1085" t="s">
        <v>5681</v>
      </c>
      <c r="L55" s="1292">
        <f t="shared" si="0"/>
        <v>10836.31</v>
      </c>
      <c r="M55" s="1293">
        <f t="shared" si="1"/>
        <v>1934.96</v>
      </c>
      <c r="N55" s="1294">
        <f t="shared" si="2"/>
        <v>11.27</v>
      </c>
      <c r="O55" s="1295">
        <f t="shared" si="3"/>
        <v>33.5</v>
      </c>
      <c r="P55" s="1080"/>
      <c r="Q55" s="1080"/>
      <c r="R55" s="1080"/>
      <c r="S55" s="1296">
        <f t="shared" si="11"/>
        <v>36.29</v>
      </c>
      <c r="T55" s="1080"/>
      <c r="U55" s="1296">
        <f t="shared" si="5"/>
        <v>956.52</v>
      </c>
      <c r="V55" s="1296">
        <f t="shared" si="6"/>
        <v>85.57</v>
      </c>
      <c r="W55" s="1296">
        <f t="shared" si="7"/>
        <v>596.27</v>
      </c>
      <c r="X55" s="1296">
        <f t="shared" si="8"/>
        <v>980.56</v>
      </c>
      <c r="Y55" s="1297">
        <f t="shared" si="9"/>
        <v>15471.25</v>
      </c>
      <c r="Z55" s="1298">
        <f t="shared" si="10"/>
        <v>15780.68</v>
      </c>
      <c r="AA55" s="1080"/>
      <c r="AB55" s="1080"/>
      <c r="AC55" s="1080"/>
    </row>
    <row r="56" spans="1:29" ht="30" customHeight="1" x14ac:dyDescent="0.2">
      <c r="A56" s="1084">
        <v>30</v>
      </c>
      <c r="B56" s="1085" t="s">
        <v>5682</v>
      </c>
      <c r="C56" s="1085" t="s">
        <v>5683</v>
      </c>
      <c r="D56" s="1092">
        <v>1990.34</v>
      </c>
      <c r="E56" s="1092">
        <v>95.4</v>
      </c>
      <c r="F56" s="1092">
        <v>578.47</v>
      </c>
      <c r="G56" s="1086"/>
      <c r="H56" s="1092">
        <v>2664.21</v>
      </c>
      <c r="J56" s="1085" t="s">
        <v>5682</v>
      </c>
      <c r="K56" s="1085" t="s">
        <v>5683</v>
      </c>
      <c r="L56" s="1292">
        <f t="shared" si="0"/>
        <v>15597.4</v>
      </c>
      <c r="M56" s="1293">
        <f t="shared" si="1"/>
        <v>2435.36</v>
      </c>
      <c r="N56" s="1294">
        <f t="shared" si="2"/>
        <v>16.22</v>
      </c>
      <c r="O56" s="1295">
        <f t="shared" si="3"/>
        <v>48.22</v>
      </c>
      <c r="P56" s="1080"/>
      <c r="Q56" s="1080"/>
      <c r="R56" s="1080"/>
      <c r="S56" s="1296">
        <f t="shared" si="11"/>
        <v>45.68</v>
      </c>
      <c r="T56" s="1080"/>
      <c r="U56" s="1296">
        <f t="shared" si="5"/>
        <v>1376.78</v>
      </c>
      <c r="V56" s="1296">
        <f t="shared" si="6"/>
        <v>123.17</v>
      </c>
      <c r="W56" s="1296">
        <f t="shared" si="7"/>
        <v>858.25</v>
      </c>
      <c r="X56" s="1296">
        <f t="shared" si="8"/>
        <v>1411.38</v>
      </c>
      <c r="Y56" s="1297">
        <f t="shared" si="9"/>
        <v>21912.46</v>
      </c>
      <c r="Z56" s="1298">
        <f t="shared" si="10"/>
        <v>22350.71</v>
      </c>
      <c r="AA56" s="1080"/>
      <c r="AB56" s="1080"/>
      <c r="AC56" s="1080"/>
    </row>
    <row r="57" spans="1:29" ht="28.5" customHeight="1" x14ac:dyDescent="0.2">
      <c r="A57" s="1084">
        <v>31</v>
      </c>
      <c r="B57" s="1085" t="s">
        <v>5684</v>
      </c>
      <c r="C57" s="1085" t="s">
        <v>5685</v>
      </c>
      <c r="D57" s="1092">
        <v>1990.34</v>
      </c>
      <c r="E57" s="1092">
        <v>95.4</v>
      </c>
      <c r="F57" s="1092">
        <v>578.47</v>
      </c>
      <c r="G57" s="1086"/>
      <c r="H57" s="1092">
        <v>2664.21</v>
      </c>
      <c r="J57" s="1085" t="s">
        <v>5684</v>
      </c>
      <c r="K57" s="1085" t="s">
        <v>5685</v>
      </c>
      <c r="L57" s="1292">
        <f t="shared" si="0"/>
        <v>15597.4</v>
      </c>
      <c r="M57" s="1293">
        <f t="shared" si="1"/>
        <v>2435.36</v>
      </c>
      <c r="N57" s="1294">
        <f t="shared" si="2"/>
        <v>16.22</v>
      </c>
      <c r="O57" s="1295">
        <f t="shared" si="3"/>
        <v>48.22</v>
      </c>
      <c r="P57" s="1080"/>
      <c r="Q57" s="1080"/>
      <c r="R57" s="1080"/>
      <c r="S57" s="1296">
        <f t="shared" si="11"/>
        <v>45.68</v>
      </c>
      <c r="T57" s="1080"/>
      <c r="U57" s="1296">
        <f t="shared" si="5"/>
        <v>1376.78</v>
      </c>
      <c r="V57" s="1296">
        <f t="shared" si="6"/>
        <v>123.17</v>
      </c>
      <c r="W57" s="1296">
        <f t="shared" si="7"/>
        <v>858.25</v>
      </c>
      <c r="X57" s="1296">
        <f t="shared" si="8"/>
        <v>1411.38</v>
      </c>
      <c r="Y57" s="1297">
        <f t="shared" si="9"/>
        <v>21912.46</v>
      </c>
      <c r="Z57" s="1298">
        <f t="shared" si="10"/>
        <v>22350.71</v>
      </c>
      <c r="AA57" s="1080"/>
      <c r="AB57" s="1080"/>
      <c r="AC57" s="1080"/>
    </row>
    <row r="58" spans="1:29" ht="31.5" customHeight="1" x14ac:dyDescent="0.2">
      <c r="A58" s="1084">
        <v>32</v>
      </c>
      <c r="B58" s="1085" t="s">
        <v>5686</v>
      </c>
      <c r="C58" s="1085" t="s">
        <v>5687</v>
      </c>
      <c r="D58" s="1092">
        <v>1990.34</v>
      </c>
      <c r="E58" s="1092">
        <v>95.4</v>
      </c>
      <c r="F58" s="1092">
        <v>578.47</v>
      </c>
      <c r="G58" s="1086"/>
      <c r="H58" s="1092">
        <v>2664.21</v>
      </c>
      <c r="J58" s="1085" t="s">
        <v>5686</v>
      </c>
      <c r="K58" s="1085" t="s">
        <v>5687</v>
      </c>
      <c r="L58" s="1292">
        <f t="shared" si="0"/>
        <v>15597.4</v>
      </c>
      <c r="M58" s="1293">
        <f t="shared" si="1"/>
        <v>2435.36</v>
      </c>
      <c r="N58" s="1294">
        <f t="shared" si="2"/>
        <v>16.22</v>
      </c>
      <c r="O58" s="1295">
        <f t="shared" si="3"/>
        <v>48.22</v>
      </c>
      <c r="P58" s="1080"/>
      <c r="Q58" s="1080"/>
      <c r="R58" s="1080"/>
      <c r="S58" s="1296">
        <f t="shared" si="11"/>
        <v>45.68</v>
      </c>
      <c r="T58" s="1080"/>
      <c r="U58" s="1296">
        <f t="shared" si="5"/>
        <v>1376.78</v>
      </c>
      <c r="V58" s="1296">
        <f t="shared" si="6"/>
        <v>123.17</v>
      </c>
      <c r="W58" s="1296">
        <f t="shared" si="7"/>
        <v>858.25</v>
      </c>
      <c r="X58" s="1296">
        <f t="shared" si="8"/>
        <v>1411.38</v>
      </c>
      <c r="Y58" s="1297">
        <f t="shared" si="9"/>
        <v>21912.46</v>
      </c>
      <c r="Z58" s="1298">
        <f t="shared" si="10"/>
        <v>22350.71</v>
      </c>
      <c r="AA58" s="1080"/>
      <c r="AB58" s="1080"/>
      <c r="AC58" s="1080"/>
    </row>
    <row r="59" spans="1:29" ht="30.75" customHeight="1" x14ac:dyDescent="0.2">
      <c r="A59" s="1084">
        <v>33</v>
      </c>
      <c r="B59" s="1085" t="s">
        <v>5688</v>
      </c>
      <c r="C59" s="1085" t="s">
        <v>5689</v>
      </c>
      <c r="D59" s="1092">
        <v>1990.34</v>
      </c>
      <c r="E59" s="1092">
        <v>95.4</v>
      </c>
      <c r="F59" s="1092">
        <v>578.47</v>
      </c>
      <c r="G59" s="1086"/>
      <c r="H59" s="1092">
        <v>2664.21</v>
      </c>
      <c r="J59" s="1085" t="s">
        <v>5688</v>
      </c>
      <c r="K59" s="1085" t="s">
        <v>5689</v>
      </c>
      <c r="L59" s="1292">
        <f t="shared" si="0"/>
        <v>15597.4</v>
      </c>
      <c r="M59" s="1293">
        <f t="shared" si="1"/>
        <v>2435.36</v>
      </c>
      <c r="N59" s="1294">
        <f t="shared" si="2"/>
        <v>16.22</v>
      </c>
      <c r="O59" s="1295">
        <f t="shared" si="3"/>
        <v>48.22</v>
      </c>
      <c r="P59" s="1080"/>
      <c r="Q59" s="1080"/>
      <c r="R59" s="1080"/>
      <c r="S59" s="1296">
        <f t="shared" si="11"/>
        <v>45.68</v>
      </c>
      <c r="T59" s="1080"/>
      <c r="U59" s="1296">
        <f t="shared" si="5"/>
        <v>1376.78</v>
      </c>
      <c r="V59" s="1296">
        <f t="shared" si="6"/>
        <v>123.17</v>
      </c>
      <c r="W59" s="1296">
        <f t="shared" si="7"/>
        <v>858.25</v>
      </c>
      <c r="X59" s="1296">
        <f t="shared" si="8"/>
        <v>1411.38</v>
      </c>
      <c r="Y59" s="1297">
        <f t="shared" si="9"/>
        <v>21912.46</v>
      </c>
      <c r="Z59" s="1298">
        <f t="shared" si="10"/>
        <v>22350.71</v>
      </c>
      <c r="AA59" s="1080"/>
      <c r="AB59" s="1080"/>
      <c r="AC59" s="1080"/>
    </row>
    <row r="60" spans="1:29" ht="29.25" customHeight="1" x14ac:dyDescent="0.2">
      <c r="A60" s="1084">
        <v>34</v>
      </c>
      <c r="B60" s="1085" t="s">
        <v>5690</v>
      </c>
      <c r="C60" s="1085" t="s">
        <v>5691</v>
      </c>
      <c r="D60" s="1092">
        <v>2446.5700000000002</v>
      </c>
      <c r="E60" s="1092">
        <v>133.01</v>
      </c>
      <c r="F60" s="1092">
        <v>882.67</v>
      </c>
      <c r="G60" s="1086"/>
      <c r="H60" s="1092">
        <v>3462.25</v>
      </c>
      <c r="J60" s="1085" t="s">
        <v>5690</v>
      </c>
      <c r="K60" s="1085" t="s">
        <v>5691</v>
      </c>
      <c r="L60" s="1292">
        <f t="shared" si="0"/>
        <v>19290.400000000001</v>
      </c>
      <c r="M60" s="1293">
        <f t="shared" si="1"/>
        <v>3716.04</v>
      </c>
      <c r="N60" s="1294">
        <f t="shared" si="2"/>
        <v>20.059999999999999</v>
      </c>
      <c r="O60" s="1295">
        <f t="shared" si="3"/>
        <v>59.64</v>
      </c>
      <c r="P60" s="1080"/>
      <c r="Q60" s="1080"/>
      <c r="R60" s="1080"/>
      <c r="S60" s="1296">
        <f t="shared" si="11"/>
        <v>69.69</v>
      </c>
      <c r="T60" s="1080"/>
      <c r="U60" s="1296">
        <f t="shared" si="5"/>
        <v>1702.76</v>
      </c>
      <c r="V60" s="1296">
        <f t="shared" si="6"/>
        <v>152.33000000000001</v>
      </c>
      <c r="W60" s="1296">
        <f t="shared" si="7"/>
        <v>1061.46</v>
      </c>
      <c r="X60" s="1296">
        <f t="shared" si="8"/>
        <v>1745.55</v>
      </c>
      <c r="Y60" s="1297">
        <f t="shared" si="9"/>
        <v>27817.93</v>
      </c>
      <c r="Z60" s="1298">
        <f t="shared" si="10"/>
        <v>28374.29</v>
      </c>
      <c r="AA60" s="1080"/>
      <c r="AB60" s="1080"/>
      <c r="AC60" s="1080"/>
    </row>
    <row r="61" spans="1:29" ht="29.25" customHeight="1" x14ac:dyDescent="0.2">
      <c r="A61" s="1084">
        <v>35</v>
      </c>
      <c r="B61" s="1085" t="s">
        <v>5692</v>
      </c>
      <c r="C61" s="1085" t="s">
        <v>5693</v>
      </c>
      <c r="D61" s="1092">
        <v>1388.7</v>
      </c>
      <c r="E61" s="1092">
        <v>73.150000000000006</v>
      </c>
      <c r="F61" s="1092">
        <v>459.59</v>
      </c>
      <c r="G61" s="1086"/>
      <c r="H61" s="1092">
        <v>1921.44</v>
      </c>
      <c r="J61" s="1085" t="s">
        <v>5692</v>
      </c>
      <c r="K61" s="1085" t="s">
        <v>5693</v>
      </c>
      <c r="L61" s="1292">
        <f t="shared" si="0"/>
        <v>10931.88</v>
      </c>
      <c r="M61" s="1293">
        <f t="shared" si="1"/>
        <v>1934.87</v>
      </c>
      <c r="N61" s="1294">
        <f t="shared" si="2"/>
        <v>11.37</v>
      </c>
      <c r="O61" s="1295">
        <f t="shared" si="3"/>
        <v>33.799999999999997</v>
      </c>
      <c r="P61" s="1080"/>
      <c r="Q61" s="1080"/>
      <c r="R61" s="1080"/>
      <c r="S61" s="1296">
        <f t="shared" si="11"/>
        <v>36.29</v>
      </c>
      <c r="T61" s="1080"/>
      <c r="U61" s="1296">
        <f t="shared" si="5"/>
        <v>964.95</v>
      </c>
      <c r="V61" s="1296">
        <f t="shared" si="6"/>
        <v>86.33</v>
      </c>
      <c r="W61" s="1296">
        <f t="shared" si="7"/>
        <v>601.53</v>
      </c>
      <c r="X61" s="1296">
        <f t="shared" si="8"/>
        <v>989.21</v>
      </c>
      <c r="Y61" s="1297">
        <f t="shared" si="9"/>
        <v>15590.23</v>
      </c>
      <c r="Z61" s="1298">
        <f t="shared" si="10"/>
        <v>15902.03</v>
      </c>
      <c r="AA61" s="1080"/>
      <c r="AB61" s="1080"/>
      <c r="AC61" s="1080"/>
    </row>
    <row r="62" spans="1:29" ht="29.25" customHeight="1" x14ac:dyDescent="0.2">
      <c r="A62" s="1084">
        <v>36</v>
      </c>
      <c r="B62" s="1085" t="s">
        <v>5694</v>
      </c>
      <c r="C62" s="1085" t="s">
        <v>5695</v>
      </c>
      <c r="D62" s="1092">
        <v>1992.56</v>
      </c>
      <c r="E62" s="1092">
        <v>162.66999999999999</v>
      </c>
      <c r="F62" s="1092">
        <v>579.5</v>
      </c>
      <c r="G62" s="1086"/>
      <c r="H62" s="1092">
        <v>2734.73</v>
      </c>
      <c r="J62" s="1085" t="s">
        <v>5694</v>
      </c>
      <c r="K62" s="1085" t="s">
        <v>5695</v>
      </c>
      <c r="L62" s="1292">
        <f t="shared" si="0"/>
        <v>16117.06</v>
      </c>
      <c r="M62" s="1293">
        <f t="shared" si="1"/>
        <v>2439.6999999999998</v>
      </c>
      <c r="N62" s="1294">
        <f t="shared" si="2"/>
        <v>16.760000000000002</v>
      </c>
      <c r="O62" s="1295">
        <f t="shared" si="3"/>
        <v>49.83</v>
      </c>
      <c r="P62" s="1080"/>
      <c r="Q62" s="1080"/>
      <c r="R62" s="1080"/>
      <c r="S62" s="1296">
        <f t="shared" si="11"/>
        <v>45.76</v>
      </c>
      <c r="T62" s="1080"/>
      <c r="U62" s="1296">
        <f t="shared" si="5"/>
        <v>1422.65</v>
      </c>
      <c r="V62" s="1296">
        <f t="shared" si="6"/>
        <v>127.27</v>
      </c>
      <c r="W62" s="1296">
        <f t="shared" si="7"/>
        <v>886.84</v>
      </c>
      <c r="X62" s="1296">
        <f t="shared" si="8"/>
        <v>1458.4</v>
      </c>
      <c r="Y62" s="1297">
        <f t="shared" si="9"/>
        <v>22564.27</v>
      </c>
      <c r="Z62" s="1298">
        <f t="shared" si="10"/>
        <v>23015.56</v>
      </c>
      <c r="AA62" s="1080"/>
      <c r="AB62" s="1080"/>
      <c r="AC62" s="1080"/>
    </row>
    <row r="63" spans="1:29" ht="29.25" customHeight="1" x14ac:dyDescent="0.2">
      <c r="A63" s="1084">
        <v>37</v>
      </c>
      <c r="B63" s="1085" t="s">
        <v>5696</v>
      </c>
      <c r="C63" s="1085" t="s">
        <v>5697</v>
      </c>
      <c r="D63" s="1092">
        <v>1992.56</v>
      </c>
      <c r="E63" s="1092">
        <v>162.66999999999999</v>
      </c>
      <c r="F63" s="1092">
        <v>579.5</v>
      </c>
      <c r="G63" s="1086"/>
      <c r="H63" s="1092">
        <v>2734.73</v>
      </c>
      <c r="J63" s="1085" t="s">
        <v>5696</v>
      </c>
      <c r="K63" s="1085" t="s">
        <v>5697</v>
      </c>
      <c r="L63" s="1292">
        <f t="shared" si="0"/>
        <v>16117.06</v>
      </c>
      <c r="M63" s="1293">
        <f t="shared" si="1"/>
        <v>2439.6999999999998</v>
      </c>
      <c r="N63" s="1294">
        <f t="shared" si="2"/>
        <v>16.760000000000002</v>
      </c>
      <c r="O63" s="1295">
        <f t="shared" si="3"/>
        <v>49.83</v>
      </c>
      <c r="P63" s="1080"/>
      <c r="Q63" s="1080"/>
      <c r="R63" s="1080"/>
      <c r="S63" s="1296">
        <f t="shared" si="11"/>
        <v>45.76</v>
      </c>
      <c r="T63" s="1080"/>
      <c r="U63" s="1296">
        <f t="shared" si="5"/>
        <v>1422.65</v>
      </c>
      <c r="V63" s="1296">
        <f t="shared" si="6"/>
        <v>127.27</v>
      </c>
      <c r="W63" s="1296">
        <f t="shared" si="7"/>
        <v>886.84</v>
      </c>
      <c r="X63" s="1296">
        <f t="shared" si="8"/>
        <v>1458.4</v>
      </c>
      <c r="Y63" s="1297">
        <f t="shared" si="9"/>
        <v>22564.27</v>
      </c>
      <c r="Z63" s="1298">
        <f t="shared" si="10"/>
        <v>23015.56</v>
      </c>
      <c r="AA63" s="1080"/>
      <c r="AB63" s="1080"/>
      <c r="AC63" s="1080"/>
    </row>
    <row r="64" spans="1:29" ht="34.15" customHeight="1" x14ac:dyDescent="0.2">
      <c r="A64" s="1283"/>
      <c r="B64" s="2970" t="s">
        <v>5338</v>
      </c>
      <c r="C64" s="2971"/>
      <c r="D64" s="1092">
        <v>68215.990000000005</v>
      </c>
      <c r="E64" s="1092">
        <v>3788.09</v>
      </c>
      <c r="F64" s="1092">
        <v>24650.3</v>
      </c>
      <c r="G64" s="1086"/>
      <c r="H64" s="1092">
        <v>96654.38</v>
      </c>
      <c r="J64" s="1085" t="s">
        <v>5698</v>
      </c>
      <c r="K64" s="1085" t="s">
        <v>5699</v>
      </c>
      <c r="L64" s="1292">
        <f>(D66+E66)*7.27*1.023*1.0055</f>
        <v>6932.51</v>
      </c>
      <c r="M64" s="1293">
        <f>F66*4.21</f>
        <v>46505.81</v>
      </c>
      <c r="N64" s="1294">
        <f t="shared" si="2"/>
        <v>7.21</v>
      </c>
      <c r="O64" s="1295">
        <f t="shared" si="3"/>
        <v>21.43</v>
      </c>
      <c r="P64" s="1080"/>
      <c r="Q64" s="1080"/>
      <c r="R64" s="1080"/>
      <c r="S64" s="1080"/>
      <c r="T64" s="1296">
        <f>$T$77/$T$29*M64</f>
        <v>497.48</v>
      </c>
      <c r="U64" s="1296">
        <f t="shared" si="5"/>
        <v>611.92999999999995</v>
      </c>
      <c r="V64" s="1296">
        <f t="shared" si="6"/>
        <v>54.74</v>
      </c>
      <c r="W64" s="1296">
        <f t="shared" si="7"/>
        <v>381.46</v>
      </c>
      <c r="X64" s="1296">
        <f t="shared" si="8"/>
        <v>627.30999999999995</v>
      </c>
      <c r="Y64" s="1297">
        <f t="shared" si="9"/>
        <v>55639.88</v>
      </c>
      <c r="Z64" s="1298">
        <f t="shared" si="10"/>
        <v>56752.68</v>
      </c>
      <c r="AA64" s="1080"/>
      <c r="AB64" s="1080"/>
      <c r="AC64" s="1080"/>
    </row>
    <row r="65" spans="1:29" x14ac:dyDescent="0.2">
      <c r="A65" s="2972" t="s">
        <v>706</v>
      </c>
      <c r="B65" s="2973"/>
      <c r="C65" s="2973"/>
      <c r="D65" s="2973"/>
      <c r="E65" s="2973"/>
      <c r="F65" s="2973"/>
      <c r="G65" s="2973"/>
      <c r="H65" s="2973"/>
      <c r="J65" s="1085" t="s">
        <v>5700</v>
      </c>
      <c r="K65" s="1085" t="s">
        <v>5701</v>
      </c>
      <c r="L65" s="1292">
        <f>(D69+E69)*7.27*1.023*1.0055</f>
        <v>16542.71</v>
      </c>
      <c r="M65" s="1293">
        <f>F69*4.21</f>
        <v>13.51</v>
      </c>
      <c r="N65" s="1294">
        <f t="shared" si="2"/>
        <v>17.2</v>
      </c>
      <c r="O65" s="1295">
        <f t="shared" si="3"/>
        <v>51.15</v>
      </c>
      <c r="P65" s="1080"/>
      <c r="Q65" s="1080"/>
      <c r="R65" s="1080"/>
      <c r="S65" s="1080"/>
      <c r="T65" s="1296">
        <f>$T$77/$T$29*M65</f>
        <v>0.14000000000000001</v>
      </c>
      <c r="U65" s="1296">
        <f t="shared" si="5"/>
        <v>1460.22</v>
      </c>
      <c r="V65" s="1296">
        <f t="shared" si="6"/>
        <v>130.63</v>
      </c>
      <c r="W65" s="1296">
        <f t="shared" si="7"/>
        <v>910.27</v>
      </c>
      <c r="X65" s="1296">
        <f t="shared" si="8"/>
        <v>1496.92</v>
      </c>
      <c r="Y65" s="1297">
        <f t="shared" si="9"/>
        <v>20622.75</v>
      </c>
      <c r="Z65" s="1298">
        <f t="shared" si="10"/>
        <v>21035.21</v>
      </c>
      <c r="AA65" s="1080"/>
      <c r="AB65" s="1080"/>
      <c r="AC65" s="1080"/>
    </row>
    <row r="66" spans="1:29" ht="25.5" x14ac:dyDescent="0.2">
      <c r="A66" s="1084">
        <v>38</v>
      </c>
      <c r="B66" s="1085" t="s">
        <v>5698</v>
      </c>
      <c r="C66" s="1085" t="s">
        <v>5699</v>
      </c>
      <c r="D66" s="1092">
        <v>94.98</v>
      </c>
      <c r="E66" s="1092">
        <v>832.06</v>
      </c>
      <c r="F66" s="1092">
        <v>11046.51</v>
      </c>
      <c r="G66" s="1086"/>
      <c r="H66" s="1092">
        <v>11973.55</v>
      </c>
      <c r="J66" s="1085" t="s">
        <v>5702</v>
      </c>
      <c r="K66" s="1085" t="s">
        <v>5703</v>
      </c>
      <c r="L66" s="1292">
        <f>(D70+E70)*7.27*1.023*1.0055</f>
        <v>332.7</v>
      </c>
      <c r="M66" s="1293">
        <f>F70*4.21</f>
        <v>3300.26</v>
      </c>
      <c r="N66" s="1294">
        <f t="shared" si="2"/>
        <v>0.35</v>
      </c>
      <c r="O66" s="1295">
        <f t="shared" si="3"/>
        <v>1.03</v>
      </c>
      <c r="P66" s="1080"/>
      <c r="Q66" s="1080"/>
      <c r="R66" s="1080"/>
      <c r="S66" s="1080"/>
      <c r="T66" s="1296">
        <f>$T$77/$T$29*M66</f>
        <v>35.299999999999997</v>
      </c>
      <c r="U66" s="1296">
        <f t="shared" si="5"/>
        <v>29.37</v>
      </c>
      <c r="V66" s="1296">
        <f t="shared" si="6"/>
        <v>2.63</v>
      </c>
      <c r="W66" s="1296">
        <f t="shared" si="7"/>
        <v>18.309999999999999</v>
      </c>
      <c r="X66" s="1296">
        <f t="shared" si="8"/>
        <v>30.11</v>
      </c>
      <c r="Y66" s="1297">
        <f t="shared" si="9"/>
        <v>3750.06</v>
      </c>
      <c r="Z66" s="1298">
        <f t="shared" si="10"/>
        <v>3825.06</v>
      </c>
      <c r="AA66" s="1080"/>
      <c r="AB66" s="1080"/>
      <c r="AC66" s="1080"/>
    </row>
    <row r="67" spans="1:29" ht="34.15" customHeight="1" x14ac:dyDescent="0.2">
      <c r="A67" s="1283"/>
      <c r="B67" s="2970" t="s">
        <v>707</v>
      </c>
      <c r="C67" s="2971"/>
      <c r="D67" s="1092">
        <v>94.98</v>
      </c>
      <c r="E67" s="1092">
        <v>832.06</v>
      </c>
      <c r="F67" s="1092">
        <v>11046.51</v>
      </c>
      <c r="G67" s="1086"/>
      <c r="H67" s="1092">
        <v>11973.55</v>
      </c>
      <c r="J67" s="1085" t="s">
        <v>5704</v>
      </c>
      <c r="K67" s="1085" t="s">
        <v>5705</v>
      </c>
      <c r="L67" s="1292">
        <f>(D73+E73)*7.27*1.023*1.0055</f>
        <v>11018.85</v>
      </c>
      <c r="M67" s="1293">
        <f>F73*4.21</f>
        <v>10550.51</v>
      </c>
      <c r="N67" s="1294">
        <f t="shared" si="2"/>
        <v>11.46</v>
      </c>
      <c r="O67" s="1295">
        <f t="shared" si="3"/>
        <v>34.07</v>
      </c>
      <c r="P67" s="1080"/>
      <c r="Q67" s="1080"/>
      <c r="R67" s="1080"/>
      <c r="S67" s="1080"/>
      <c r="T67" s="1296">
        <f t="shared" ref="T67:T70" si="12">$T$77/$T$29*M67</f>
        <v>112.86</v>
      </c>
      <c r="U67" s="1296">
        <f t="shared" si="5"/>
        <v>972.63</v>
      </c>
      <c r="V67" s="1296">
        <f t="shared" si="6"/>
        <v>87.01</v>
      </c>
      <c r="W67" s="1296">
        <f t="shared" si="7"/>
        <v>606.30999999999995</v>
      </c>
      <c r="X67" s="1296">
        <f t="shared" si="8"/>
        <v>997.08</v>
      </c>
      <c r="Y67" s="1297">
        <f t="shared" si="9"/>
        <v>24390.78</v>
      </c>
      <c r="Z67" s="1298">
        <f t="shared" si="10"/>
        <v>24878.6</v>
      </c>
      <c r="AA67" s="1080"/>
      <c r="AB67" s="1080"/>
      <c r="AC67" s="1080"/>
    </row>
    <row r="68" spans="1:29" ht="25.5" x14ac:dyDescent="0.2">
      <c r="A68" s="2972" t="s">
        <v>708</v>
      </c>
      <c r="B68" s="2973"/>
      <c r="C68" s="2973"/>
      <c r="D68" s="2973"/>
      <c r="E68" s="2973"/>
      <c r="F68" s="2973"/>
      <c r="G68" s="2973"/>
      <c r="H68" s="2973"/>
      <c r="J68" s="1085" t="s">
        <v>5706</v>
      </c>
      <c r="K68" s="1085" t="s">
        <v>5707</v>
      </c>
      <c r="L68" s="1292">
        <f>(D74+E74)*7.27*1.023*1.0055</f>
        <v>8497.98</v>
      </c>
      <c r="M68" s="1293">
        <f>F74*4.21</f>
        <v>14559.11</v>
      </c>
      <c r="N68" s="1294">
        <f t="shared" si="2"/>
        <v>8.84</v>
      </c>
      <c r="O68" s="1295">
        <f t="shared" si="3"/>
        <v>26.27</v>
      </c>
      <c r="P68" s="1080"/>
      <c r="Q68" s="1080"/>
      <c r="R68" s="1080"/>
      <c r="S68" s="1080"/>
      <c r="T68" s="1296">
        <f t="shared" si="12"/>
        <v>155.74</v>
      </c>
      <c r="U68" s="1296">
        <f t="shared" si="5"/>
        <v>750.11</v>
      </c>
      <c r="V68" s="1296">
        <f t="shared" si="6"/>
        <v>67.11</v>
      </c>
      <c r="W68" s="1296">
        <f t="shared" si="7"/>
        <v>467.6</v>
      </c>
      <c r="X68" s="1296">
        <f t="shared" si="8"/>
        <v>768.97</v>
      </c>
      <c r="Y68" s="1297">
        <f t="shared" si="9"/>
        <v>25301.73</v>
      </c>
      <c r="Z68" s="1298">
        <f t="shared" si="10"/>
        <v>25807.759999999998</v>
      </c>
      <c r="AA68" s="1080"/>
      <c r="AB68" s="1080"/>
      <c r="AC68" s="1080"/>
    </row>
    <row r="69" spans="1:29" x14ac:dyDescent="0.2">
      <c r="A69" s="1084">
        <v>39</v>
      </c>
      <c r="B69" s="1085" t="s">
        <v>5700</v>
      </c>
      <c r="C69" s="1085" t="s">
        <v>5701</v>
      </c>
      <c r="D69" s="1092">
        <v>175.51</v>
      </c>
      <c r="E69" s="1092">
        <v>2036.64</v>
      </c>
      <c r="F69" s="1092">
        <v>3.21</v>
      </c>
      <c r="G69" s="1086"/>
      <c r="H69" s="1092">
        <v>2215.36</v>
      </c>
      <c r="J69" s="1085" t="s">
        <v>5708</v>
      </c>
      <c r="K69" s="1085" t="s">
        <v>5709</v>
      </c>
      <c r="L69" s="1292">
        <f>(D75+E75)*7.27*1.023*1.0055</f>
        <v>8906.51</v>
      </c>
      <c r="M69" s="1293">
        <f>F75*4.21</f>
        <v>17722.12</v>
      </c>
      <c r="N69" s="1294">
        <f t="shared" si="2"/>
        <v>9.26</v>
      </c>
      <c r="O69" s="1295">
        <f t="shared" si="3"/>
        <v>27.54</v>
      </c>
      <c r="P69" s="1080"/>
      <c r="Q69" s="1080"/>
      <c r="R69" s="1080"/>
      <c r="S69" s="1080"/>
      <c r="T69" s="1296">
        <f t="shared" si="12"/>
        <v>189.57</v>
      </c>
      <c r="U69" s="1296">
        <f t="shared" si="5"/>
        <v>786.18</v>
      </c>
      <c r="V69" s="1296">
        <f t="shared" si="6"/>
        <v>70.33</v>
      </c>
      <c r="W69" s="1296">
        <f t="shared" si="7"/>
        <v>490.08</v>
      </c>
      <c r="X69" s="1296">
        <f t="shared" si="8"/>
        <v>805.93</v>
      </c>
      <c r="Y69" s="1297">
        <f t="shared" si="9"/>
        <v>29007.52</v>
      </c>
      <c r="Z69" s="1298">
        <f t="shared" si="10"/>
        <v>29587.67</v>
      </c>
      <c r="AA69" s="1080"/>
      <c r="AB69" s="1080"/>
      <c r="AC69" s="1080"/>
    </row>
    <row r="70" spans="1:29" x14ac:dyDescent="0.2">
      <c r="A70" s="1084">
        <v>40</v>
      </c>
      <c r="B70" s="1085" t="s">
        <v>5702</v>
      </c>
      <c r="C70" s="1085" t="s">
        <v>5703</v>
      </c>
      <c r="D70" s="1092">
        <v>2.94</v>
      </c>
      <c r="E70" s="1092">
        <v>41.55</v>
      </c>
      <c r="F70" s="1092">
        <v>783.91</v>
      </c>
      <c r="G70" s="1086"/>
      <c r="H70" s="1092">
        <v>828.4</v>
      </c>
      <c r="J70" s="1085" t="s">
        <v>5710</v>
      </c>
      <c r="K70" s="1085" t="s">
        <v>5711</v>
      </c>
      <c r="L70" s="1292">
        <f>(D76+E76)*7.27*1.023*1.0055</f>
        <v>6624.94</v>
      </c>
      <c r="M70" s="1293">
        <f>F76*4.21</f>
        <v>1649.1</v>
      </c>
      <c r="N70" s="1294">
        <f t="shared" si="2"/>
        <v>6.89</v>
      </c>
      <c r="O70" s="1295">
        <f t="shared" si="3"/>
        <v>20.48</v>
      </c>
      <c r="P70" s="1080"/>
      <c r="Q70" s="1080"/>
      <c r="R70" s="1080"/>
      <c r="S70" s="1080"/>
      <c r="T70" s="1296">
        <f t="shared" si="12"/>
        <v>17.64</v>
      </c>
      <c r="U70" s="1296">
        <f t="shared" si="5"/>
        <v>584.78</v>
      </c>
      <c r="V70" s="1296">
        <f t="shared" si="6"/>
        <v>52.31</v>
      </c>
      <c r="W70" s="1296">
        <f t="shared" si="7"/>
        <v>364.54</v>
      </c>
      <c r="X70" s="1296">
        <f t="shared" si="8"/>
        <v>599.48</v>
      </c>
      <c r="Y70" s="1297">
        <f t="shared" si="9"/>
        <v>9920.16</v>
      </c>
      <c r="Z70" s="1298">
        <f t="shared" si="10"/>
        <v>10118.56</v>
      </c>
      <c r="AA70" s="1080"/>
      <c r="AB70" s="1080"/>
      <c r="AC70" s="1080"/>
    </row>
    <row r="71" spans="1:29" ht="34.15" customHeight="1" x14ac:dyDescent="0.2">
      <c r="A71" s="1283"/>
      <c r="B71" s="2970" t="s">
        <v>709</v>
      </c>
      <c r="C71" s="2971"/>
      <c r="D71" s="1092">
        <v>178.45</v>
      </c>
      <c r="E71" s="1092">
        <v>2078.19</v>
      </c>
      <c r="F71" s="1092">
        <v>787.12</v>
      </c>
      <c r="G71" s="1086"/>
      <c r="H71" s="1092">
        <v>3043.76</v>
      </c>
      <c r="J71" s="1085" t="s">
        <v>5712</v>
      </c>
      <c r="K71" s="1085" t="s">
        <v>5713</v>
      </c>
      <c r="L71" s="1292">
        <f t="shared" ref="L71:L76" si="13">(D79+E79)*7.27*1.023*1.0055</f>
        <v>16184.29</v>
      </c>
      <c r="M71" s="1293">
        <f t="shared" ref="M71:M76" si="14">F79*4.21</f>
        <v>1477.92</v>
      </c>
      <c r="N71" s="1294">
        <f t="shared" si="2"/>
        <v>16.829999999999998</v>
      </c>
      <c r="O71" s="1295">
        <f t="shared" si="3"/>
        <v>50.04</v>
      </c>
      <c r="P71" s="1080"/>
      <c r="Q71" s="1080"/>
      <c r="R71" s="1080"/>
      <c r="S71" s="1080"/>
      <c r="T71" s="1080"/>
      <c r="U71" s="1296">
        <f t="shared" si="5"/>
        <v>1428.58</v>
      </c>
      <c r="V71" s="1296">
        <f t="shared" si="6"/>
        <v>127.8</v>
      </c>
      <c r="W71" s="1296">
        <f t="shared" si="7"/>
        <v>890.54</v>
      </c>
      <c r="X71" s="1296">
        <f t="shared" si="8"/>
        <v>1464.49</v>
      </c>
      <c r="Y71" s="1297">
        <f t="shared" si="9"/>
        <v>21640.49</v>
      </c>
      <c r="Z71" s="1298">
        <f t="shared" si="10"/>
        <v>22073.3</v>
      </c>
      <c r="AA71" s="1080"/>
      <c r="AB71" s="1080"/>
      <c r="AC71" s="1080"/>
    </row>
    <row r="72" spans="1:29" x14ac:dyDescent="0.2">
      <c r="A72" s="2972" t="s">
        <v>710</v>
      </c>
      <c r="B72" s="2973"/>
      <c r="C72" s="2973"/>
      <c r="D72" s="2973"/>
      <c r="E72" s="2973"/>
      <c r="F72" s="2973"/>
      <c r="G72" s="2973"/>
      <c r="H72" s="2973"/>
      <c r="J72" s="1085" t="s">
        <v>5714</v>
      </c>
      <c r="K72" s="1085" t="s">
        <v>5715</v>
      </c>
      <c r="L72" s="1292">
        <f t="shared" si="13"/>
        <v>58600.68</v>
      </c>
      <c r="M72" s="1293">
        <f t="shared" si="14"/>
        <v>0</v>
      </c>
      <c r="N72" s="1294">
        <f t="shared" si="2"/>
        <v>60.94</v>
      </c>
      <c r="O72" s="1295">
        <f t="shared" si="3"/>
        <v>181.18</v>
      </c>
      <c r="P72" s="1080"/>
      <c r="Q72" s="1080"/>
      <c r="R72" s="1080"/>
      <c r="S72" s="1080"/>
      <c r="T72" s="1080"/>
      <c r="U72" s="1296">
        <f t="shared" si="5"/>
        <v>5172.67</v>
      </c>
      <c r="V72" s="1296">
        <f t="shared" si="6"/>
        <v>462.75</v>
      </c>
      <c r="W72" s="1296">
        <f t="shared" si="7"/>
        <v>3224.52</v>
      </c>
      <c r="X72" s="1296">
        <f t="shared" si="8"/>
        <v>5302.67</v>
      </c>
      <c r="Y72" s="1297">
        <f t="shared" si="9"/>
        <v>73005.41</v>
      </c>
      <c r="Z72" s="1298">
        <f t="shared" si="10"/>
        <v>74465.52</v>
      </c>
      <c r="AA72" s="1080"/>
      <c r="AB72" s="1080"/>
      <c r="AC72" s="1080"/>
    </row>
    <row r="73" spans="1:29" x14ac:dyDescent="0.2">
      <c r="A73" s="1084">
        <v>41</v>
      </c>
      <c r="B73" s="1085" t="s">
        <v>5704</v>
      </c>
      <c r="C73" s="1085" t="s">
        <v>5705</v>
      </c>
      <c r="D73" s="1092">
        <v>1436.59</v>
      </c>
      <c r="E73" s="1092">
        <v>36.89</v>
      </c>
      <c r="F73" s="1092">
        <v>2506.06</v>
      </c>
      <c r="G73" s="1086"/>
      <c r="H73" s="1092">
        <v>3979.54</v>
      </c>
      <c r="J73" s="1085" t="s">
        <v>5716</v>
      </c>
      <c r="K73" s="1085" t="s">
        <v>5717</v>
      </c>
      <c r="L73" s="1292">
        <f t="shared" si="13"/>
        <v>5088.33</v>
      </c>
      <c r="M73" s="1293">
        <f t="shared" si="14"/>
        <v>0</v>
      </c>
      <c r="N73" s="1294">
        <f t="shared" si="2"/>
        <v>5.29</v>
      </c>
      <c r="O73" s="1295">
        <f t="shared" si="3"/>
        <v>15.73</v>
      </c>
      <c r="P73" s="1080"/>
      <c r="Q73" s="1080"/>
      <c r="R73" s="1080"/>
      <c r="S73" s="1080"/>
      <c r="T73" s="1080"/>
      <c r="U73" s="1296">
        <f t="shared" si="5"/>
        <v>449.15</v>
      </c>
      <c r="V73" s="1296">
        <f t="shared" si="6"/>
        <v>40.18</v>
      </c>
      <c r="W73" s="1296">
        <f t="shared" si="7"/>
        <v>279.99</v>
      </c>
      <c r="X73" s="1296">
        <f t="shared" si="8"/>
        <v>460.43</v>
      </c>
      <c r="Y73" s="1297">
        <f t="shared" si="9"/>
        <v>6339.1</v>
      </c>
      <c r="Z73" s="1298">
        <f t="shared" si="10"/>
        <v>6465.88</v>
      </c>
      <c r="AA73" s="1080"/>
      <c r="AB73" s="1080"/>
      <c r="AC73" s="1080"/>
    </row>
    <row r="74" spans="1:29" ht="25.5" x14ac:dyDescent="0.2">
      <c r="A74" s="1084">
        <v>42</v>
      </c>
      <c r="B74" s="1085" t="s">
        <v>5706</v>
      </c>
      <c r="C74" s="1085" t="s">
        <v>5707</v>
      </c>
      <c r="D74" s="1092">
        <v>1083.43</v>
      </c>
      <c r="E74" s="1092">
        <v>52.95</v>
      </c>
      <c r="F74" s="1092">
        <v>3458.22</v>
      </c>
      <c r="G74" s="1086"/>
      <c r="H74" s="1092">
        <v>4594.6000000000004</v>
      </c>
      <c r="J74" s="1085" t="s">
        <v>5718</v>
      </c>
      <c r="K74" s="1085" t="s">
        <v>5719</v>
      </c>
      <c r="L74" s="1292">
        <f t="shared" si="13"/>
        <v>34180.67</v>
      </c>
      <c r="M74" s="1293">
        <f t="shared" si="14"/>
        <v>0</v>
      </c>
      <c r="N74" s="1294">
        <f t="shared" si="2"/>
        <v>35.54</v>
      </c>
      <c r="O74" s="1295">
        <f t="shared" si="3"/>
        <v>105.68</v>
      </c>
      <c r="P74" s="1080"/>
      <c r="Q74" s="1080"/>
      <c r="R74" s="1080"/>
      <c r="S74" s="1080"/>
      <c r="T74" s="1080"/>
      <c r="U74" s="1296">
        <f t="shared" si="5"/>
        <v>3017.12</v>
      </c>
      <c r="V74" s="1296">
        <f t="shared" si="6"/>
        <v>269.91000000000003</v>
      </c>
      <c r="W74" s="1296">
        <f t="shared" si="7"/>
        <v>1880.8</v>
      </c>
      <c r="X74" s="1296">
        <f t="shared" si="8"/>
        <v>3092.95</v>
      </c>
      <c r="Y74" s="1297">
        <f t="shared" si="9"/>
        <v>42582.67</v>
      </c>
      <c r="Z74" s="1298">
        <f t="shared" si="10"/>
        <v>43434.32</v>
      </c>
      <c r="AA74" s="1080"/>
      <c r="AB74" s="1080"/>
      <c r="AC74" s="1080"/>
    </row>
    <row r="75" spans="1:29" x14ac:dyDescent="0.2">
      <c r="A75" s="1084">
        <v>43</v>
      </c>
      <c r="B75" s="1085" t="s">
        <v>5708</v>
      </c>
      <c r="C75" s="1085" t="s">
        <v>5709</v>
      </c>
      <c r="D75" s="1092">
        <v>1134.3</v>
      </c>
      <c r="E75" s="1092">
        <v>56.71</v>
      </c>
      <c r="F75" s="1092">
        <v>4209.53</v>
      </c>
      <c r="G75" s="1086"/>
      <c r="H75" s="1092">
        <v>5400.54</v>
      </c>
      <c r="J75" s="1085" t="s">
        <v>5720</v>
      </c>
      <c r="K75" s="1085" t="s">
        <v>5721</v>
      </c>
      <c r="L75" s="1292">
        <f t="shared" si="13"/>
        <v>4300.8100000000004</v>
      </c>
      <c r="M75" s="1293">
        <f t="shared" si="14"/>
        <v>0</v>
      </c>
      <c r="N75" s="1294">
        <f t="shared" si="2"/>
        <v>4.47</v>
      </c>
      <c r="O75" s="1295">
        <f t="shared" si="3"/>
        <v>13.3</v>
      </c>
      <c r="P75" s="1080"/>
      <c r="Q75" s="1080"/>
      <c r="R75" s="1080"/>
      <c r="S75" s="1080"/>
      <c r="T75" s="1080"/>
      <c r="U75" s="1296">
        <f t="shared" si="5"/>
        <v>379.63</v>
      </c>
      <c r="V75" s="1296">
        <f t="shared" si="6"/>
        <v>33.96</v>
      </c>
      <c r="W75" s="1296">
        <f t="shared" si="7"/>
        <v>236.65</v>
      </c>
      <c r="X75" s="1296">
        <f t="shared" si="8"/>
        <v>389.17</v>
      </c>
      <c r="Y75" s="1297">
        <f t="shared" si="9"/>
        <v>5357.99</v>
      </c>
      <c r="Z75" s="1298">
        <f t="shared" si="10"/>
        <v>5465.15</v>
      </c>
      <c r="AA75" s="1080"/>
      <c r="AB75" s="1080"/>
      <c r="AC75" s="1080"/>
    </row>
    <row r="76" spans="1:29" x14ac:dyDescent="0.2">
      <c r="A76" s="1084">
        <v>44</v>
      </c>
      <c r="B76" s="1085" t="s">
        <v>5710</v>
      </c>
      <c r="C76" s="1085" t="s">
        <v>5711</v>
      </c>
      <c r="D76" s="1092">
        <v>866.4</v>
      </c>
      <c r="E76" s="1092">
        <v>19.510000000000002</v>
      </c>
      <c r="F76" s="1092">
        <v>391.71</v>
      </c>
      <c r="G76" s="1086"/>
      <c r="H76" s="1092">
        <v>1277.6199999999999</v>
      </c>
      <c r="J76" s="1085" t="s">
        <v>5722</v>
      </c>
      <c r="K76" s="1085" t="s">
        <v>5723</v>
      </c>
      <c r="L76" s="1292">
        <f t="shared" si="13"/>
        <v>1218.93</v>
      </c>
      <c r="M76" s="1293">
        <f t="shared" si="14"/>
        <v>1551.09</v>
      </c>
      <c r="N76" s="1294">
        <f t="shared" si="2"/>
        <v>1.27</v>
      </c>
      <c r="O76" s="1295">
        <f t="shared" si="3"/>
        <v>3.77</v>
      </c>
      <c r="P76" s="1080"/>
      <c r="Q76" s="1080"/>
      <c r="R76" s="1080"/>
      <c r="S76" s="1080"/>
      <c r="T76" s="1296">
        <f>$T$77/$T$29*M76</f>
        <v>16.59</v>
      </c>
      <c r="U76" s="1296">
        <f t="shared" si="5"/>
        <v>107.59</v>
      </c>
      <c r="V76" s="1296">
        <f t="shared" si="6"/>
        <v>9.6300000000000008</v>
      </c>
      <c r="W76" s="1296">
        <f t="shared" si="7"/>
        <v>67.069999999999993</v>
      </c>
      <c r="X76" s="1296">
        <f t="shared" si="8"/>
        <v>110.3</v>
      </c>
      <c r="Y76" s="1297">
        <f t="shared" si="9"/>
        <v>3086.24</v>
      </c>
      <c r="Z76" s="1298">
        <f>Y76*1.02-0.01</f>
        <v>3147.95</v>
      </c>
      <c r="AA76" s="1080"/>
      <c r="AB76" s="1080"/>
      <c r="AC76" s="1080"/>
    </row>
    <row r="77" spans="1:29" ht="34.15" customHeight="1" x14ac:dyDescent="0.2">
      <c r="A77" s="1283"/>
      <c r="B77" s="2970" t="s">
        <v>711</v>
      </c>
      <c r="C77" s="2971"/>
      <c r="D77" s="1092">
        <v>4520.72</v>
      </c>
      <c r="E77" s="1092">
        <v>166.06</v>
      </c>
      <c r="F77" s="1092">
        <v>10565.52</v>
      </c>
      <c r="G77" s="1086"/>
      <c r="H77" s="1092">
        <v>15252.3</v>
      </c>
      <c r="J77" s="1301"/>
      <c r="K77" s="1302" t="s">
        <v>521</v>
      </c>
      <c r="L77" s="1303">
        <f>SUM(L31:L76)</f>
        <v>716884.68</v>
      </c>
      <c r="M77" s="1303">
        <f>SUM(M31:M76)</f>
        <v>201107.20000000001</v>
      </c>
      <c r="N77" s="1304">
        <f>D27*7.27*1.023*1.0055</f>
        <v>745.49</v>
      </c>
      <c r="O77" s="1304">
        <f>G26*4.45*1.27+(G25+G28)*11.1</f>
        <v>2216.46</v>
      </c>
      <c r="P77" s="1304">
        <f>H93*15.75</f>
        <v>942.64</v>
      </c>
      <c r="Q77" s="1304">
        <f>H94*15.75</f>
        <v>202.39</v>
      </c>
      <c r="R77" s="1304">
        <f>H95*15.75</f>
        <v>139.07</v>
      </c>
      <c r="S77" s="1304">
        <f>H96*15.75</f>
        <v>581.80999999999995</v>
      </c>
      <c r="T77" s="1304">
        <f>H97*15.75</f>
        <v>1025.33</v>
      </c>
      <c r="U77" s="1301">
        <f>(H98+H99+H100+H101+H102+H103+H104+H105)*11.1+(H106+H107)*4.45*1.27</f>
        <v>63279.240689999999</v>
      </c>
      <c r="V77" s="1304">
        <f>H108*7.27</f>
        <v>5661</v>
      </c>
      <c r="W77" s="1301">
        <f>H132/1.02</f>
        <v>39446.7352941176</v>
      </c>
      <c r="X77" s="1301">
        <f>(H135+H136+H137+H138+H120*11.1*1.02)/1.02</f>
        <v>64869.634196078398</v>
      </c>
      <c r="Y77" s="1303">
        <f>SUM(Y31:Y76)</f>
        <v>1097101.8</v>
      </c>
      <c r="Z77" s="1303">
        <f>SUM(Z31:Z76)</f>
        <v>1119043.8700000001</v>
      </c>
      <c r="AA77" s="1080"/>
      <c r="AB77" s="1080"/>
      <c r="AC77" s="1080"/>
    </row>
    <row r="78" spans="1:29" x14ac:dyDescent="0.2">
      <c r="A78" s="2972" t="s">
        <v>712</v>
      </c>
      <c r="B78" s="2973"/>
      <c r="C78" s="2973"/>
      <c r="D78" s="2973"/>
      <c r="E78" s="2973"/>
      <c r="F78" s="2973"/>
      <c r="G78" s="2973"/>
      <c r="H78" s="2973"/>
    </row>
    <row r="79" spans="1:29" x14ac:dyDescent="0.2">
      <c r="A79" s="1084">
        <v>45</v>
      </c>
      <c r="B79" s="1085" t="s">
        <v>5712</v>
      </c>
      <c r="C79" s="1085" t="s">
        <v>5713</v>
      </c>
      <c r="D79" s="1092">
        <v>2164.2199999999998</v>
      </c>
      <c r="E79" s="1086"/>
      <c r="F79" s="1092">
        <v>351.05</v>
      </c>
      <c r="G79" s="1086"/>
      <c r="H79" s="1092">
        <v>2515.27</v>
      </c>
    </row>
    <row r="80" spans="1:29" x14ac:dyDescent="0.2">
      <c r="A80" s="1084">
        <v>46</v>
      </c>
      <c r="B80" s="1085" t="s">
        <v>5714</v>
      </c>
      <c r="C80" s="1085" t="s">
        <v>5715</v>
      </c>
      <c r="D80" s="1092">
        <v>7836.29</v>
      </c>
      <c r="E80" s="1086"/>
      <c r="F80" s="1086"/>
      <c r="G80" s="1086"/>
      <c r="H80" s="1092">
        <v>7836.29</v>
      </c>
      <c r="Y80" s="1284"/>
    </row>
    <row r="81" spans="1:29" x14ac:dyDescent="0.2">
      <c r="A81" s="1084">
        <v>47</v>
      </c>
      <c r="B81" s="1085" t="s">
        <v>5716</v>
      </c>
      <c r="C81" s="1085" t="s">
        <v>5717</v>
      </c>
      <c r="D81" s="1092">
        <v>680.43</v>
      </c>
      <c r="E81" s="1086"/>
      <c r="F81" s="1086"/>
      <c r="G81" s="1086"/>
      <c r="H81" s="1092">
        <v>680.43</v>
      </c>
      <c r="L81" s="1284"/>
    </row>
    <row r="82" spans="1:29" x14ac:dyDescent="0.2">
      <c r="A82" s="1084">
        <v>48</v>
      </c>
      <c r="B82" s="1085" t="s">
        <v>5718</v>
      </c>
      <c r="C82" s="1085" t="s">
        <v>5719</v>
      </c>
      <c r="D82" s="1092">
        <v>4570.76</v>
      </c>
      <c r="E82" s="1086"/>
      <c r="F82" s="1086"/>
      <c r="G82" s="1086"/>
      <c r="H82" s="1092">
        <v>4570.76</v>
      </c>
    </row>
    <row r="83" spans="1:29" x14ac:dyDescent="0.2">
      <c r="A83" s="1084">
        <v>49</v>
      </c>
      <c r="B83" s="1085" t="s">
        <v>5720</v>
      </c>
      <c r="C83" s="1085" t="s">
        <v>5721</v>
      </c>
      <c r="D83" s="1092">
        <v>575.12</v>
      </c>
      <c r="E83" s="1086"/>
      <c r="F83" s="1086"/>
      <c r="G83" s="1086"/>
      <c r="H83" s="1092">
        <v>575.12</v>
      </c>
    </row>
    <row r="84" spans="1:29" ht="25.5" x14ac:dyDescent="0.2">
      <c r="A84" s="1084">
        <v>50</v>
      </c>
      <c r="B84" s="1085" t="s">
        <v>5722</v>
      </c>
      <c r="C84" s="1085" t="s">
        <v>5723</v>
      </c>
      <c r="D84" s="1092">
        <v>115.27</v>
      </c>
      <c r="E84" s="1092">
        <v>47.73</v>
      </c>
      <c r="F84" s="1092">
        <v>368.43</v>
      </c>
      <c r="G84" s="1086"/>
      <c r="H84" s="1092">
        <v>531.42999999999995</v>
      </c>
      <c r="J84" s="1085" t="s">
        <v>5287</v>
      </c>
      <c r="K84" s="1085" t="s">
        <v>5633</v>
      </c>
      <c r="L84" s="1292">
        <v>18113.79</v>
      </c>
      <c r="M84" s="1293">
        <v>3009.98</v>
      </c>
      <c r="N84" s="1294">
        <v>18.84</v>
      </c>
      <c r="O84" s="1295">
        <v>56</v>
      </c>
      <c r="P84" s="1294">
        <v>61.5</v>
      </c>
      <c r="Q84" s="1080"/>
      <c r="R84" s="1080"/>
      <c r="S84" s="1080"/>
      <c r="T84" s="1080"/>
      <c r="U84" s="1296">
        <v>1598.9</v>
      </c>
      <c r="V84" s="1296">
        <v>143.04</v>
      </c>
      <c r="W84" s="1296">
        <v>996.72</v>
      </c>
      <c r="X84" s="1296">
        <v>1639.08</v>
      </c>
      <c r="Y84" s="1297">
        <v>25637.85</v>
      </c>
      <c r="Z84" s="1298">
        <v>26150.61</v>
      </c>
      <c r="AA84" s="1299">
        <v>466.2</v>
      </c>
      <c r="AB84" s="1299" t="s">
        <v>130</v>
      </c>
      <c r="AC84" s="1300">
        <f>Z84/AA84</f>
        <v>56.09</v>
      </c>
    </row>
    <row r="85" spans="1:29" ht="34.15" customHeight="1" x14ac:dyDescent="0.2">
      <c r="A85" s="1283"/>
      <c r="B85" s="2970" t="s">
        <v>713</v>
      </c>
      <c r="C85" s="2971"/>
      <c r="D85" s="1092">
        <v>15942.09</v>
      </c>
      <c r="E85" s="1092">
        <v>47.73</v>
      </c>
      <c r="F85" s="1092">
        <v>719.48</v>
      </c>
      <c r="G85" s="1086"/>
      <c r="H85" s="1092">
        <v>16709.3</v>
      </c>
      <c r="K85" s="578" t="s">
        <v>783</v>
      </c>
    </row>
    <row r="86" spans="1:29" x14ac:dyDescent="0.2">
      <c r="A86" s="1283"/>
      <c r="B86" s="2970" t="s">
        <v>714</v>
      </c>
      <c r="C86" s="2971"/>
      <c r="D86" s="1092">
        <v>89051.92</v>
      </c>
      <c r="E86" s="1092">
        <v>6912.13</v>
      </c>
      <c r="F86" s="1092">
        <v>47768.93</v>
      </c>
      <c r="G86" s="1092">
        <v>377.41</v>
      </c>
      <c r="H86" s="1092">
        <v>144110.39000000001</v>
      </c>
    </row>
    <row r="87" spans="1:29" x14ac:dyDescent="0.2">
      <c r="A87" s="2972" t="s">
        <v>715</v>
      </c>
      <c r="B87" s="2973"/>
      <c r="C87" s="2973"/>
      <c r="D87" s="2973"/>
      <c r="E87" s="2973"/>
      <c r="F87" s="2973"/>
      <c r="G87" s="2973"/>
      <c r="H87" s="2973"/>
    </row>
    <row r="88" spans="1:29" ht="38.25" x14ac:dyDescent="0.2">
      <c r="A88" s="1084">
        <v>51</v>
      </c>
      <c r="B88" s="1085" t="s">
        <v>5724</v>
      </c>
      <c r="C88" s="1085" t="s">
        <v>5725</v>
      </c>
      <c r="D88" s="1092" t="s">
        <v>5726</v>
      </c>
      <c r="E88" s="1092" t="s">
        <v>5727</v>
      </c>
      <c r="F88" s="1086"/>
      <c r="G88" s="1086"/>
      <c r="H88" s="1092">
        <v>2207.17</v>
      </c>
      <c r="J88" s="1085" t="s">
        <v>5289</v>
      </c>
      <c r="K88" s="1085" t="s">
        <v>5728</v>
      </c>
      <c r="L88" s="1293">
        <f>828.49*7.27*1.023*1.0055</f>
        <v>6195.54</v>
      </c>
      <c r="M88" s="1293"/>
      <c r="N88" s="1292">
        <f>$N$84/$L$84*L88</f>
        <v>6.44</v>
      </c>
      <c r="O88" s="1292">
        <f>$O$84/$L$84*L88</f>
        <v>19.149999999999999</v>
      </c>
      <c r="P88" s="1292">
        <f>$P$84/$M$84*M88</f>
        <v>0</v>
      </c>
      <c r="Q88" s="1297"/>
      <c r="R88" s="1297"/>
      <c r="S88" s="1297"/>
      <c r="T88" s="1297"/>
      <c r="U88" s="1293">
        <f>$U$84/$L$84*L88</f>
        <v>546.88</v>
      </c>
      <c r="V88" s="1293">
        <f>$V$84/$L$84*L88</f>
        <v>48.92</v>
      </c>
      <c r="W88" s="1293">
        <f>$W$84/$L$84*L88</f>
        <v>340.91</v>
      </c>
      <c r="X88" s="1293">
        <f>$X$84/$L$84*L88</f>
        <v>560.62</v>
      </c>
      <c r="Y88" s="1292">
        <f t="shared" ref="Y88:Y99" si="15">L88+M88+N88+O88+P88+Q88+R88+S88+T88+U88+V88+W88+X88</f>
        <v>7718.46</v>
      </c>
      <c r="Z88" s="1298">
        <f>Y88*1.02+0.11</f>
        <v>7872.94</v>
      </c>
      <c r="AA88" s="1297"/>
      <c r="AB88" s="1297"/>
      <c r="AC88" s="1297"/>
    </row>
    <row r="89" spans="1:29" ht="34.15" customHeight="1" x14ac:dyDescent="0.2">
      <c r="A89" s="1283"/>
      <c r="B89" s="2970" t="s">
        <v>719</v>
      </c>
      <c r="C89" s="2971"/>
      <c r="D89" s="1092">
        <v>2048.19</v>
      </c>
      <c r="E89" s="1092">
        <v>158.97999999999999</v>
      </c>
      <c r="F89" s="1086"/>
      <c r="G89" s="1086"/>
      <c r="H89" s="1092">
        <v>2207.17</v>
      </c>
      <c r="J89" s="1085" t="s">
        <v>5291</v>
      </c>
      <c r="K89" s="1085" t="s">
        <v>5729</v>
      </c>
      <c r="L89" s="1293">
        <f>1299.97*7.27*1.023*1.0055</f>
        <v>9721.32</v>
      </c>
      <c r="M89" s="1293"/>
      <c r="N89" s="1292">
        <f t="shared" ref="N89:N99" si="16">$N$84/$L$84*L89</f>
        <v>10.11</v>
      </c>
      <c r="O89" s="1292">
        <f t="shared" ref="O89:O99" si="17">$O$84/$L$84*L89</f>
        <v>30.05</v>
      </c>
      <c r="P89" s="1292">
        <f t="shared" ref="P89:P99" si="18">$P$84/$M$84*M89</f>
        <v>0</v>
      </c>
      <c r="Q89" s="1297"/>
      <c r="R89" s="1297"/>
      <c r="S89" s="1297"/>
      <c r="T89" s="1297"/>
      <c r="U89" s="1293">
        <f t="shared" ref="U89:U99" si="19">$U$84/$L$84*L89</f>
        <v>858.1</v>
      </c>
      <c r="V89" s="1293">
        <f t="shared" ref="V89:V99" si="20">$V$84/$L$84*L89</f>
        <v>76.77</v>
      </c>
      <c r="W89" s="1293">
        <f t="shared" ref="W89:W99" si="21">$W$84/$L$84*L89</f>
        <v>534.91999999999996</v>
      </c>
      <c r="X89" s="1293">
        <f t="shared" ref="X89:X99" si="22">$X$84/$L$84*L89</f>
        <v>879.66</v>
      </c>
      <c r="Y89" s="1292">
        <f t="shared" si="15"/>
        <v>12110.93</v>
      </c>
      <c r="Z89" s="1298">
        <f t="shared" ref="Z89:Z99" si="23">Y89*1.02-0.01</f>
        <v>12353.14</v>
      </c>
      <c r="AA89" s="1297"/>
      <c r="AB89" s="1297"/>
      <c r="AC89" s="1297"/>
    </row>
    <row r="90" spans="1:29" x14ac:dyDescent="0.2">
      <c r="A90" s="1283"/>
      <c r="B90" s="2970" t="s">
        <v>720</v>
      </c>
      <c r="C90" s="2971"/>
      <c r="D90" s="1092">
        <v>91100.11</v>
      </c>
      <c r="E90" s="1092">
        <v>7071.11</v>
      </c>
      <c r="F90" s="1092">
        <v>47768.93</v>
      </c>
      <c r="G90" s="1092">
        <v>377.41</v>
      </c>
      <c r="H90" s="1092">
        <v>146317.56</v>
      </c>
      <c r="J90" s="1085" t="s">
        <v>5293</v>
      </c>
      <c r="K90" s="1085" t="s">
        <v>5730</v>
      </c>
      <c r="L90" s="1293">
        <f>81.35*7.27*1.023*1.0055</f>
        <v>608.34</v>
      </c>
      <c r="M90" s="1293">
        <f>12.02*4.21</f>
        <v>50.6</v>
      </c>
      <c r="N90" s="1292">
        <f t="shared" si="16"/>
        <v>0.63</v>
      </c>
      <c r="O90" s="1292">
        <f t="shared" si="17"/>
        <v>1.88</v>
      </c>
      <c r="P90" s="1292">
        <f t="shared" si="18"/>
        <v>1.03</v>
      </c>
      <c r="Q90" s="1297"/>
      <c r="R90" s="1297"/>
      <c r="S90" s="1297"/>
      <c r="T90" s="1297"/>
      <c r="U90" s="1293">
        <f t="shared" si="19"/>
        <v>53.7</v>
      </c>
      <c r="V90" s="1293">
        <f t="shared" si="20"/>
        <v>4.8</v>
      </c>
      <c r="W90" s="1293">
        <f t="shared" si="21"/>
        <v>33.47</v>
      </c>
      <c r="X90" s="1293">
        <f t="shared" si="22"/>
        <v>55.05</v>
      </c>
      <c r="Y90" s="1292">
        <f t="shared" si="15"/>
        <v>809.5</v>
      </c>
      <c r="Z90" s="1298">
        <f t="shared" si="23"/>
        <v>825.68</v>
      </c>
      <c r="AA90" s="1297"/>
      <c r="AB90" s="1297"/>
      <c r="AC90" s="1297"/>
    </row>
    <row r="91" spans="1:29" x14ac:dyDescent="0.2">
      <c r="A91" s="2972" t="s">
        <v>721</v>
      </c>
      <c r="B91" s="2973"/>
      <c r="C91" s="2973"/>
      <c r="D91" s="2973"/>
      <c r="E91" s="2973"/>
      <c r="F91" s="2973"/>
      <c r="G91" s="2973"/>
      <c r="H91" s="2973"/>
      <c r="J91" s="1085" t="s">
        <v>5295</v>
      </c>
      <c r="K91" s="1085" t="s">
        <v>5731</v>
      </c>
      <c r="L91" s="1293">
        <f>24.75*7.27*1.023*1.0055</f>
        <v>185.08</v>
      </c>
      <c r="M91" s="1293">
        <f>75*4.21</f>
        <v>315.75</v>
      </c>
      <c r="N91" s="1292">
        <f t="shared" si="16"/>
        <v>0.19</v>
      </c>
      <c r="O91" s="1292">
        <f t="shared" si="17"/>
        <v>0.56999999999999995</v>
      </c>
      <c r="P91" s="1292">
        <f t="shared" si="18"/>
        <v>6.45</v>
      </c>
      <c r="Q91" s="1297"/>
      <c r="R91" s="1297"/>
      <c r="S91" s="1297"/>
      <c r="T91" s="1297"/>
      <c r="U91" s="1293">
        <f t="shared" si="19"/>
        <v>16.34</v>
      </c>
      <c r="V91" s="1293">
        <f t="shared" si="20"/>
        <v>1.46</v>
      </c>
      <c r="W91" s="1293">
        <f t="shared" si="21"/>
        <v>10.18</v>
      </c>
      <c r="X91" s="1293">
        <f t="shared" si="22"/>
        <v>16.75</v>
      </c>
      <c r="Y91" s="1292">
        <f t="shared" si="15"/>
        <v>552.77</v>
      </c>
      <c r="Z91" s="1298">
        <f t="shared" si="23"/>
        <v>563.82000000000005</v>
      </c>
      <c r="AA91" s="1297"/>
      <c r="AB91" s="1297"/>
      <c r="AC91" s="1297"/>
    </row>
    <row r="92" spans="1:29" ht="38.25" x14ac:dyDescent="0.2">
      <c r="A92" s="1084">
        <v>52</v>
      </c>
      <c r="B92" s="1085" t="s">
        <v>5732</v>
      </c>
      <c r="C92" s="1085" t="s">
        <v>5733</v>
      </c>
      <c r="D92" s="1092" t="s">
        <v>5734</v>
      </c>
      <c r="E92" s="1092" t="s">
        <v>5735</v>
      </c>
      <c r="F92" s="1086"/>
      <c r="G92" s="1086"/>
      <c r="H92" s="1092">
        <v>539.94000000000005</v>
      </c>
      <c r="J92" s="1085" t="s">
        <v>5297</v>
      </c>
      <c r="K92" s="1085" t="s">
        <v>5736</v>
      </c>
      <c r="L92" s="1293">
        <f>47.14*7.27*1.023*1.0055</f>
        <v>352.52</v>
      </c>
      <c r="M92" s="1293"/>
      <c r="N92" s="1292">
        <f t="shared" si="16"/>
        <v>0.37</v>
      </c>
      <c r="O92" s="1292">
        <f t="shared" si="17"/>
        <v>1.0900000000000001</v>
      </c>
      <c r="P92" s="1292">
        <f t="shared" si="18"/>
        <v>0</v>
      </c>
      <c r="Q92" s="1297"/>
      <c r="R92" s="1297"/>
      <c r="S92" s="1297"/>
      <c r="T92" s="1297"/>
      <c r="U92" s="1293">
        <f t="shared" si="19"/>
        <v>31.12</v>
      </c>
      <c r="V92" s="1293">
        <f t="shared" si="20"/>
        <v>2.78</v>
      </c>
      <c r="W92" s="1293">
        <f t="shared" si="21"/>
        <v>19.399999999999999</v>
      </c>
      <c r="X92" s="1293">
        <f t="shared" si="22"/>
        <v>31.9</v>
      </c>
      <c r="Y92" s="1292">
        <f t="shared" si="15"/>
        <v>439.18</v>
      </c>
      <c r="Z92" s="1298">
        <f t="shared" si="23"/>
        <v>447.95</v>
      </c>
      <c r="AA92" s="1297"/>
      <c r="AB92" s="1297"/>
      <c r="AC92" s="1297"/>
    </row>
    <row r="93" spans="1:29" ht="25.5" x14ac:dyDescent="0.2">
      <c r="A93" s="1084">
        <v>53</v>
      </c>
      <c r="B93" s="1085" t="s">
        <v>5343</v>
      </c>
      <c r="C93" s="1085" t="s">
        <v>5737</v>
      </c>
      <c r="D93" s="1086"/>
      <c r="E93" s="1086"/>
      <c r="F93" s="1086"/>
      <c r="G93" s="1092">
        <v>59.85</v>
      </c>
      <c r="H93" s="1092">
        <v>59.85</v>
      </c>
      <c r="J93" s="1085" t="s">
        <v>5300</v>
      </c>
      <c r="K93" s="1085" t="s">
        <v>5738</v>
      </c>
      <c r="L93" s="1293">
        <f>105.63*7.27*1.023*1.0055</f>
        <v>789.91</v>
      </c>
      <c r="M93" s="1293">
        <f>193.08*4.21</f>
        <v>812.87</v>
      </c>
      <c r="N93" s="1292">
        <f t="shared" si="16"/>
        <v>0.82</v>
      </c>
      <c r="O93" s="1292">
        <f t="shared" si="17"/>
        <v>2.44</v>
      </c>
      <c r="P93" s="1292">
        <f t="shared" si="18"/>
        <v>16.61</v>
      </c>
      <c r="Q93" s="1297"/>
      <c r="R93" s="1297"/>
      <c r="S93" s="1297"/>
      <c r="T93" s="1297"/>
      <c r="U93" s="1293">
        <f t="shared" si="19"/>
        <v>69.73</v>
      </c>
      <c r="V93" s="1293">
        <f t="shared" si="20"/>
        <v>6.24</v>
      </c>
      <c r="W93" s="1293">
        <f t="shared" si="21"/>
        <v>43.47</v>
      </c>
      <c r="X93" s="1293">
        <f t="shared" si="22"/>
        <v>71.48</v>
      </c>
      <c r="Y93" s="1292">
        <f t="shared" si="15"/>
        <v>1813.57</v>
      </c>
      <c r="Z93" s="1298">
        <f t="shared" si="23"/>
        <v>1849.83</v>
      </c>
      <c r="AA93" s="1297"/>
      <c r="AB93" s="1297"/>
      <c r="AC93" s="1297"/>
    </row>
    <row r="94" spans="1:29" x14ac:dyDescent="0.2">
      <c r="A94" s="1084">
        <v>54</v>
      </c>
      <c r="B94" s="1085" t="s">
        <v>5353</v>
      </c>
      <c r="C94" s="1085" t="s">
        <v>5739</v>
      </c>
      <c r="D94" s="1086"/>
      <c r="E94" s="1086"/>
      <c r="F94" s="1086"/>
      <c r="G94" s="1092">
        <v>12.85</v>
      </c>
      <c r="H94" s="1092">
        <v>12.85</v>
      </c>
      <c r="J94" s="1085" t="s">
        <v>5303</v>
      </c>
      <c r="K94" s="1085" t="s">
        <v>5740</v>
      </c>
      <c r="L94" s="1293">
        <f>3.63*7.27*1.023*1.0055</f>
        <v>27.15</v>
      </c>
      <c r="M94" s="1293">
        <f>2.09*4.21</f>
        <v>8.8000000000000007</v>
      </c>
      <c r="N94" s="1292">
        <f t="shared" si="16"/>
        <v>0.03</v>
      </c>
      <c r="O94" s="1292">
        <f t="shared" si="17"/>
        <v>0.08</v>
      </c>
      <c r="P94" s="1292">
        <f t="shared" si="18"/>
        <v>0.18</v>
      </c>
      <c r="Q94" s="1297"/>
      <c r="R94" s="1297"/>
      <c r="S94" s="1297"/>
      <c r="T94" s="1297"/>
      <c r="U94" s="1293">
        <f t="shared" si="19"/>
        <v>2.4</v>
      </c>
      <c r="V94" s="1293">
        <f t="shared" si="20"/>
        <v>0.21</v>
      </c>
      <c r="W94" s="1293">
        <f t="shared" si="21"/>
        <v>1.49</v>
      </c>
      <c r="X94" s="1293">
        <f t="shared" si="22"/>
        <v>2.46</v>
      </c>
      <c r="Y94" s="1292">
        <f t="shared" si="15"/>
        <v>42.8</v>
      </c>
      <c r="Z94" s="1298">
        <f t="shared" si="23"/>
        <v>43.65</v>
      </c>
      <c r="AA94" s="1297"/>
      <c r="AB94" s="1297"/>
      <c r="AC94" s="1297"/>
    </row>
    <row r="95" spans="1:29" ht="25.5" x14ac:dyDescent="0.2">
      <c r="A95" s="1084">
        <v>55</v>
      </c>
      <c r="B95" s="1085" t="s">
        <v>5741</v>
      </c>
      <c r="C95" s="1085" t="s">
        <v>5742</v>
      </c>
      <c r="D95" s="1086"/>
      <c r="E95" s="1086"/>
      <c r="F95" s="1086"/>
      <c r="G95" s="1092">
        <v>8.83</v>
      </c>
      <c r="H95" s="1092">
        <v>8.83</v>
      </c>
      <c r="J95" s="1085" t="s">
        <v>5307</v>
      </c>
      <c r="K95" s="1085" t="s">
        <v>5743</v>
      </c>
      <c r="L95" s="1293">
        <f>10.17*7.27*1.023*1.0055</f>
        <v>76.05</v>
      </c>
      <c r="M95" s="1293">
        <f>5.86*4.21</f>
        <v>24.67</v>
      </c>
      <c r="N95" s="1292">
        <f t="shared" si="16"/>
        <v>0.08</v>
      </c>
      <c r="O95" s="1292">
        <f t="shared" si="17"/>
        <v>0.24</v>
      </c>
      <c r="P95" s="1292">
        <f t="shared" si="18"/>
        <v>0.5</v>
      </c>
      <c r="Q95" s="1297"/>
      <c r="R95" s="1297"/>
      <c r="S95" s="1297"/>
      <c r="T95" s="1297"/>
      <c r="U95" s="1293">
        <f t="shared" si="19"/>
        <v>6.71</v>
      </c>
      <c r="V95" s="1293">
        <f t="shared" si="20"/>
        <v>0.6</v>
      </c>
      <c r="W95" s="1293">
        <f t="shared" si="21"/>
        <v>4.18</v>
      </c>
      <c r="X95" s="1293">
        <f t="shared" si="22"/>
        <v>6.88</v>
      </c>
      <c r="Y95" s="1292">
        <f t="shared" si="15"/>
        <v>119.91</v>
      </c>
      <c r="Z95" s="1298">
        <f t="shared" si="23"/>
        <v>122.3</v>
      </c>
      <c r="AA95" s="1297"/>
      <c r="AB95" s="1297"/>
      <c r="AC95" s="1297"/>
    </row>
    <row r="96" spans="1:29" ht="25.5" x14ac:dyDescent="0.2">
      <c r="A96" s="1084">
        <v>56</v>
      </c>
      <c r="B96" s="1085" t="s">
        <v>5744</v>
      </c>
      <c r="C96" s="1085" t="s">
        <v>5745</v>
      </c>
      <c r="D96" s="1086"/>
      <c r="E96" s="1086"/>
      <c r="F96" s="1086"/>
      <c r="G96" s="1092">
        <v>36.94</v>
      </c>
      <c r="H96" s="1092">
        <v>36.94</v>
      </c>
      <c r="J96" s="1085" t="s">
        <v>5311</v>
      </c>
      <c r="K96" s="1085" t="s">
        <v>5566</v>
      </c>
      <c r="L96" s="1293">
        <f>8.8*7.27*1.023*1.0055</f>
        <v>65.81</v>
      </c>
      <c r="M96" s="1293">
        <f>19.39*4.21</f>
        <v>81.63</v>
      </c>
      <c r="N96" s="1292">
        <f t="shared" si="16"/>
        <v>7.0000000000000007E-2</v>
      </c>
      <c r="O96" s="1292">
        <f t="shared" si="17"/>
        <v>0.2</v>
      </c>
      <c r="P96" s="1292">
        <f t="shared" si="18"/>
        <v>1.67</v>
      </c>
      <c r="Q96" s="1297"/>
      <c r="R96" s="1297"/>
      <c r="S96" s="1297"/>
      <c r="T96" s="1297"/>
      <c r="U96" s="1293">
        <f t="shared" si="19"/>
        <v>5.81</v>
      </c>
      <c r="V96" s="1293">
        <f t="shared" si="20"/>
        <v>0.52</v>
      </c>
      <c r="W96" s="1293">
        <f t="shared" si="21"/>
        <v>3.62</v>
      </c>
      <c r="X96" s="1293">
        <f t="shared" si="22"/>
        <v>5.96</v>
      </c>
      <c r="Y96" s="1292">
        <f t="shared" si="15"/>
        <v>165.29</v>
      </c>
      <c r="Z96" s="1298">
        <f t="shared" si="23"/>
        <v>168.59</v>
      </c>
      <c r="AA96" s="1297"/>
      <c r="AB96" s="1297"/>
      <c r="AC96" s="1297"/>
    </row>
    <row r="97" spans="1:29" ht="38.25" x14ac:dyDescent="0.2">
      <c r="A97" s="1084">
        <v>57</v>
      </c>
      <c r="B97" s="1085" t="s">
        <v>5746</v>
      </c>
      <c r="C97" s="1085" t="s">
        <v>5747</v>
      </c>
      <c r="D97" s="1086"/>
      <c r="E97" s="1086"/>
      <c r="F97" s="1086"/>
      <c r="G97" s="1092">
        <v>65.099999999999994</v>
      </c>
      <c r="H97" s="1092">
        <v>65.099999999999994</v>
      </c>
      <c r="J97" s="1085" t="s">
        <v>5314</v>
      </c>
      <c r="K97" s="1085" t="s">
        <v>5748</v>
      </c>
      <c r="L97" s="1293">
        <f>10.18*7.27*1.023*1.0055</f>
        <v>76.13</v>
      </c>
      <c r="M97" s="1293">
        <f>7.7*4.21</f>
        <v>32.42</v>
      </c>
      <c r="N97" s="1292">
        <f t="shared" si="16"/>
        <v>0.08</v>
      </c>
      <c r="O97" s="1292">
        <f t="shared" si="17"/>
        <v>0.24</v>
      </c>
      <c r="P97" s="1292">
        <f t="shared" si="18"/>
        <v>0.66</v>
      </c>
      <c r="Q97" s="1297"/>
      <c r="R97" s="1297"/>
      <c r="S97" s="1297"/>
      <c r="T97" s="1297"/>
      <c r="U97" s="1293">
        <f t="shared" si="19"/>
        <v>6.72</v>
      </c>
      <c r="V97" s="1293">
        <f t="shared" si="20"/>
        <v>0.6</v>
      </c>
      <c r="W97" s="1293">
        <f t="shared" si="21"/>
        <v>4.1900000000000004</v>
      </c>
      <c r="X97" s="1293">
        <f t="shared" si="22"/>
        <v>6.89</v>
      </c>
      <c r="Y97" s="1292">
        <f t="shared" si="15"/>
        <v>127.93</v>
      </c>
      <c r="Z97" s="1298">
        <f t="shared" si="23"/>
        <v>130.47999999999999</v>
      </c>
      <c r="AA97" s="1297"/>
      <c r="AB97" s="1297"/>
      <c r="AC97" s="1297"/>
    </row>
    <row r="98" spans="1:29" x14ac:dyDescent="0.2">
      <c r="A98" s="1084">
        <v>58</v>
      </c>
      <c r="B98" s="1085" t="s">
        <v>5749</v>
      </c>
      <c r="C98" s="1085" t="s">
        <v>5750</v>
      </c>
      <c r="D98" s="1086"/>
      <c r="E98" s="1086"/>
      <c r="F98" s="1086"/>
      <c r="G98" s="1092">
        <v>4385.13</v>
      </c>
      <c r="H98" s="1092">
        <v>4385.13</v>
      </c>
      <c r="J98" s="1085" t="s">
        <v>5317</v>
      </c>
      <c r="K98" s="1085" t="s">
        <v>5751</v>
      </c>
      <c r="L98" s="1293">
        <f>1.42*7.27*1.023*1.0055</f>
        <v>10.62</v>
      </c>
      <c r="M98" s="1293">
        <f>399.82*4.21</f>
        <v>1683.24</v>
      </c>
      <c r="N98" s="1292">
        <f t="shared" si="16"/>
        <v>0.01</v>
      </c>
      <c r="O98" s="1292">
        <f t="shared" si="17"/>
        <v>0.03</v>
      </c>
      <c r="P98" s="1292">
        <f t="shared" si="18"/>
        <v>34.39</v>
      </c>
      <c r="Q98" s="1297"/>
      <c r="R98" s="1297"/>
      <c r="S98" s="1297"/>
      <c r="T98" s="1297"/>
      <c r="U98" s="1293">
        <f t="shared" si="19"/>
        <v>0.94</v>
      </c>
      <c r="V98" s="1293">
        <f t="shared" si="20"/>
        <v>0.08</v>
      </c>
      <c r="W98" s="1293">
        <f t="shared" si="21"/>
        <v>0.57999999999999996</v>
      </c>
      <c r="X98" s="1293">
        <f t="shared" si="22"/>
        <v>0.96</v>
      </c>
      <c r="Y98" s="1292">
        <f t="shared" si="15"/>
        <v>1730.85</v>
      </c>
      <c r="Z98" s="1298">
        <f t="shared" si="23"/>
        <v>1765.46</v>
      </c>
      <c r="AA98" s="1297"/>
      <c r="AB98" s="1297"/>
      <c r="AC98" s="1297"/>
    </row>
    <row r="99" spans="1:29" ht="25.5" x14ac:dyDescent="0.2">
      <c r="A99" s="1084">
        <v>59</v>
      </c>
      <c r="B99" s="1085" t="s">
        <v>5752</v>
      </c>
      <c r="C99" s="1085" t="s">
        <v>5753</v>
      </c>
      <c r="D99" s="1086"/>
      <c r="E99" s="1086"/>
      <c r="F99" s="1086"/>
      <c r="G99" s="1092">
        <v>1271.49</v>
      </c>
      <c r="H99" s="1092">
        <v>1271.49</v>
      </c>
      <c r="J99" s="1085" t="s">
        <v>5321</v>
      </c>
      <c r="K99" s="1085" t="s">
        <v>5754</v>
      </c>
      <c r="L99" s="1293">
        <f>0.71*7.27*1.023*1.0055</f>
        <v>5.31</v>
      </c>
      <c r="M99" s="1293"/>
      <c r="N99" s="1292">
        <f t="shared" si="16"/>
        <v>0.01</v>
      </c>
      <c r="O99" s="1292">
        <f t="shared" si="17"/>
        <v>0.02</v>
      </c>
      <c r="P99" s="1292">
        <f t="shared" si="18"/>
        <v>0</v>
      </c>
      <c r="Q99" s="1297"/>
      <c r="R99" s="1297"/>
      <c r="S99" s="1297"/>
      <c r="T99" s="1297"/>
      <c r="U99" s="1293">
        <f t="shared" si="19"/>
        <v>0.47</v>
      </c>
      <c r="V99" s="1293">
        <f t="shared" si="20"/>
        <v>0.04</v>
      </c>
      <c r="W99" s="1293">
        <f t="shared" si="21"/>
        <v>0.28999999999999998</v>
      </c>
      <c r="X99" s="1293">
        <f t="shared" si="22"/>
        <v>0.48</v>
      </c>
      <c r="Y99" s="1292">
        <f t="shared" si="15"/>
        <v>6.62</v>
      </c>
      <c r="Z99" s="1298">
        <f t="shared" si="23"/>
        <v>6.74</v>
      </c>
      <c r="AA99" s="1297"/>
      <c r="AB99" s="1297"/>
      <c r="AC99" s="1297"/>
    </row>
    <row r="100" spans="1:29" ht="25.5" x14ac:dyDescent="0.2">
      <c r="A100" s="1084">
        <v>60</v>
      </c>
      <c r="B100" s="1085" t="s">
        <v>5755</v>
      </c>
      <c r="C100" s="1085" t="s">
        <v>5756</v>
      </c>
      <c r="D100" s="1086"/>
      <c r="E100" s="1086"/>
      <c r="F100" s="1086"/>
      <c r="G100" s="1092">
        <v>15.83</v>
      </c>
      <c r="H100" s="1092">
        <v>15.83</v>
      </c>
    </row>
    <row r="101" spans="1:29" ht="25.5" x14ac:dyDescent="0.2">
      <c r="A101" s="1084">
        <v>61</v>
      </c>
      <c r="B101" s="1085" t="s">
        <v>5757</v>
      </c>
      <c r="C101" s="1085" t="s">
        <v>5758</v>
      </c>
      <c r="D101" s="1086"/>
      <c r="E101" s="1086"/>
      <c r="F101" s="1086"/>
      <c r="G101" s="1092">
        <v>9.18</v>
      </c>
      <c r="H101" s="1092">
        <v>9.18</v>
      </c>
    </row>
    <row r="102" spans="1:29" ht="51" x14ac:dyDescent="0.2">
      <c r="A102" s="1084">
        <v>62</v>
      </c>
      <c r="B102" s="1085" t="s">
        <v>5616</v>
      </c>
      <c r="C102" s="1085" t="s">
        <v>5759</v>
      </c>
      <c r="D102" s="1086"/>
      <c r="E102" s="1086"/>
      <c r="F102" s="1086"/>
      <c r="G102" s="1092">
        <v>0.13</v>
      </c>
      <c r="H102" s="1092">
        <v>0.13</v>
      </c>
    </row>
    <row r="103" spans="1:29" ht="51" x14ac:dyDescent="0.2">
      <c r="A103" s="1084">
        <v>63</v>
      </c>
      <c r="B103" s="1085" t="s">
        <v>5616</v>
      </c>
      <c r="C103" s="1085" t="s">
        <v>5760</v>
      </c>
      <c r="D103" s="1086"/>
      <c r="E103" s="1086"/>
      <c r="F103" s="1086"/>
      <c r="G103" s="1092">
        <v>7.0000000000000007E-2</v>
      </c>
      <c r="H103" s="1092">
        <v>7.0000000000000007E-2</v>
      </c>
    </row>
    <row r="104" spans="1:29" ht="51" x14ac:dyDescent="0.2">
      <c r="A104" s="1084">
        <v>64</v>
      </c>
      <c r="B104" s="1085" t="s">
        <v>5616</v>
      </c>
      <c r="C104" s="1085" t="s">
        <v>5761</v>
      </c>
      <c r="D104" s="1086"/>
      <c r="E104" s="1086"/>
      <c r="F104" s="1086"/>
      <c r="G104" s="1092">
        <v>11.54</v>
      </c>
      <c r="H104" s="1092">
        <v>11.54</v>
      </c>
    </row>
    <row r="105" spans="1:29" ht="51" x14ac:dyDescent="0.2">
      <c r="A105" s="1084">
        <v>65</v>
      </c>
      <c r="B105" s="1085" t="s">
        <v>5616</v>
      </c>
      <c r="C105" s="1085" t="s">
        <v>5762</v>
      </c>
      <c r="D105" s="1086"/>
      <c r="E105" s="1086"/>
      <c r="F105" s="1086"/>
      <c r="G105" s="1092">
        <v>6.21</v>
      </c>
      <c r="H105" s="1092">
        <v>6.21</v>
      </c>
    </row>
    <row r="106" spans="1:29" ht="51" x14ac:dyDescent="0.2">
      <c r="A106" s="1084">
        <v>66</v>
      </c>
      <c r="B106" s="1085" t="s">
        <v>5616</v>
      </c>
      <c r="C106" s="1085" t="s">
        <v>5763</v>
      </c>
      <c r="D106" s="1086"/>
      <c r="E106" s="1086"/>
      <c r="F106" s="1086"/>
      <c r="G106" s="1092">
        <v>1.23</v>
      </c>
      <c r="H106" s="1092">
        <v>1.23</v>
      </c>
    </row>
    <row r="107" spans="1:29" ht="51" x14ac:dyDescent="0.2">
      <c r="A107" s="1084">
        <v>67</v>
      </c>
      <c r="B107" s="1085" t="s">
        <v>5616</v>
      </c>
      <c r="C107" s="1085" t="s">
        <v>5764</v>
      </c>
      <c r="D107" s="1086"/>
      <c r="E107" s="1086"/>
      <c r="F107" s="1086"/>
      <c r="G107" s="1092">
        <v>1.23</v>
      </c>
      <c r="H107" s="1092">
        <v>1.23</v>
      </c>
    </row>
    <row r="108" spans="1:29" ht="63.75" x14ac:dyDescent="0.2">
      <c r="A108" s="1084">
        <v>68</v>
      </c>
      <c r="B108" s="1085" t="s">
        <v>5765</v>
      </c>
      <c r="C108" s="1085" t="s">
        <v>5766</v>
      </c>
      <c r="D108" s="1092">
        <v>722.59</v>
      </c>
      <c r="E108" s="1092">
        <v>56.09</v>
      </c>
      <c r="F108" s="1086"/>
      <c r="G108" s="1086"/>
      <c r="H108" s="1092">
        <v>778.68</v>
      </c>
    </row>
    <row r="109" spans="1:29" ht="34.15" customHeight="1" x14ac:dyDescent="0.2">
      <c r="A109" s="1283"/>
      <c r="B109" s="2970" t="s">
        <v>728</v>
      </c>
      <c r="C109" s="2971"/>
      <c r="D109" s="1092">
        <v>1223.6400000000001</v>
      </c>
      <c r="E109" s="1092">
        <v>94.98</v>
      </c>
      <c r="F109" s="1086"/>
      <c r="G109" s="1092">
        <v>5885.61</v>
      </c>
      <c r="H109" s="1092">
        <v>7204.23</v>
      </c>
    </row>
    <row r="110" spans="1:29" x14ac:dyDescent="0.2">
      <c r="A110" s="1283"/>
      <c r="B110" s="2970" t="s">
        <v>729</v>
      </c>
      <c r="C110" s="2971"/>
      <c r="D110" s="1092">
        <v>92323.75</v>
      </c>
      <c r="E110" s="1092">
        <v>7166.09</v>
      </c>
      <c r="F110" s="1092">
        <v>47768.93</v>
      </c>
      <c r="G110" s="1092">
        <v>6263.02</v>
      </c>
      <c r="H110" s="1092">
        <v>153521.79</v>
      </c>
    </row>
    <row r="111" spans="1:29" x14ac:dyDescent="0.2">
      <c r="A111" s="2972" t="s">
        <v>730</v>
      </c>
      <c r="B111" s="2973"/>
      <c r="C111" s="2973"/>
      <c r="D111" s="2973"/>
      <c r="E111" s="2973"/>
      <c r="F111" s="2973"/>
      <c r="G111" s="2973"/>
      <c r="H111" s="2973"/>
    </row>
    <row r="112" spans="1:29" ht="127.5" x14ac:dyDescent="0.2">
      <c r="A112" s="1084">
        <v>69</v>
      </c>
      <c r="B112" s="1085" t="s">
        <v>5767</v>
      </c>
      <c r="C112" s="1085" t="s">
        <v>5768</v>
      </c>
      <c r="D112" s="1086"/>
      <c r="E112" s="1086"/>
      <c r="F112" s="1086"/>
      <c r="G112" s="1092" t="s">
        <v>5769</v>
      </c>
      <c r="H112" s="1092">
        <v>2297.2399999999998</v>
      </c>
    </row>
    <row r="113" spans="1:8" ht="25.5" x14ac:dyDescent="0.2">
      <c r="A113" s="1084">
        <v>70</v>
      </c>
      <c r="B113" s="1085" t="s">
        <v>5770</v>
      </c>
      <c r="C113" s="1085" t="s">
        <v>5771</v>
      </c>
      <c r="D113" s="1086"/>
      <c r="E113" s="1086"/>
      <c r="F113" s="1086"/>
      <c r="G113" s="1092">
        <v>1256.52</v>
      </c>
      <c r="H113" s="1092">
        <v>1256.52</v>
      </c>
    </row>
    <row r="114" spans="1:8" ht="34.15" customHeight="1" x14ac:dyDescent="0.2">
      <c r="A114" s="1283"/>
      <c r="B114" s="2970" t="s">
        <v>732</v>
      </c>
      <c r="C114" s="2971"/>
      <c r="D114" s="1086"/>
      <c r="E114" s="1086"/>
      <c r="F114" s="1086"/>
      <c r="G114" s="1092">
        <v>3553.76</v>
      </c>
      <c r="H114" s="1092">
        <v>3553.76</v>
      </c>
    </row>
    <row r="115" spans="1:8" x14ac:dyDescent="0.2">
      <c r="A115" s="2972" t="s">
        <v>733</v>
      </c>
      <c r="B115" s="2973"/>
      <c r="C115" s="2973"/>
      <c r="D115" s="2973"/>
      <c r="E115" s="2973"/>
      <c r="F115" s="2973"/>
      <c r="G115" s="2973"/>
      <c r="H115" s="2973"/>
    </row>
    <row r="116" spans="1:8" x14ac:dyDescent="0.2">
      <c r="A116" s="1084">
        <v>71</v>
      </c>
      <c r="B116" s="1085" t="s">
        <v>5357</v>
      </c>
      <c r="C116" s="1085" t="s">
        <v>5772</v>
      </c>
      <c r="D116" s="1086"/>
      <c r="E116" s="1086"/>
      <c r="F116" s="1086"/>
      <c r="G116" s="1092">
        <v>1602.3</v>
      </c>
      <c r="H116" s="1092">
        <v>1602.3</v>
      </c>
    </row>
    <row r="117" spans="1:8" x14ac:dyDescent="0.2">
      <c r="A117" s="1084">
        <v>72</v>
      </c>
      <c r="B117" s="1085" t="s">
        <v>5359</v>
      </c>
      <c r="C117" s="1085" t="s">
        <v>5773</v>
      </c>
      <c r="D117" s="1086"/>
      <c r="E117" s="1086"/>
      <c r="F117" s="1086"/>
      <c r="G117" s="1092">
        <v>3924.25</v>
      </c>
      <c r="H117" s="1092">
        <v>3924.25</v>
      </c>
    </row>
    <row r="118" spans="1:8" x14ac:dyDescent="0.2">
      <c r="A118" s="1084">
        <v>73</v>
      </c>
      <c r="B118" s="1085" t="s">
        <v>5774</v>
      </c>
      <c r="C118" s="1085" t="s">
        <v>5775</v>
      </c>
      <c r="D118" s="1086"/>
      <c r="E118" s="1086"/>
      <c r="F118" s="1086"/>
      <c r="G118" s="1092">
        <v>5675.22</v>
      </c>
      <c r="H118" s="1092">
        <v>5675.22</v>
      </c>
    </row>
    <row r="119" spans="1:8" ht="51" x14ac:dyDescent="0.2">
      <c r="A119" s="1084">
        <v>74</v>
      </c>
      <c r="B119" s="1085" t="s">
        <v>5776</v>
      </c>
      <c r="C119" s="1085" t="s">
        <v>5777</v>
      </c>
      <c r="D119" s="1086"/>
      <c r="E119" s="1086"/>
      <c r="F119" s="1086"/>
      <c r="G119" s="1092">
        <v>456.98</v>
      </c>
      <c r="H119" s="1092">
        <v>456.98</v>
      </c>
    </row>
    <row r="120" spans="1:8" ht="153" x14ac:dyDescent="0.2">
      <c r="A120" s="1084">
        <v>75</v>
      </c>
      <c r="B120" s="1085" t="s">
        <v>5778</v>
      </c>
      <c r="C120" s="1085" t="s">
        <v>5779</v>
      </c>
      <c r="D120" s="1086"/>
      <c r="E120" s="1086"/>
      <c r="F120" s="1086"/>
      <c r="G120" s="1092" t="s">
        <v>5780</v>
      </c>
      <c r="H120" s="1092">
        <v>307.04000000000002</v>
      </c>
    </row>
    <row r="121" spans="1:8" ht="204" customHeight="1" x14ac:dyDescent="0.2">
      <c r="A121" s="1283"/>
      <c r="B121" s="2970" t="s">
        <v>742</v>
      </c>
      <c r="C121" s="2971"/>
      <c r="D121" s="1086"/>
      <c r="E121" s="1086"/>
      <c r="F121" s="1086"/>
      <c r="G121" s="1092">
        <v>11965.79</v>
      </c>
      <c r="H121" s="1092">
        <v>11965.79</v>
      </c>
    </row>
    <row r="122" spans="1:8" x14ac:dyDescent="0.2">
      <c r="A122" s="1283"/>
      <c r="B122" s="2970" t="s">
        <v>743</v>
      </c>
      <c r="C122" s="2971"/>
      <c r="D122" s="1092">
        <v>92323.75</v>
      </c>
      <c r="E122" s="1092">
        <v>7166.09</v>
      </c>
      <c r="F122" s="1092">
        <v>47768.93</v>
      </c>
      <c r="G122" s="1092">
        <v>21782.57</v>
      </c>
      <c r="H122" s="1092">
        <v>169041.34</v>
      </c>
    </row>
    <row r="123" spans="1:8" x14ac:dyDescent="0.2">
      <c r="A123" s="2972" t="s">
        <v>744</v>
      </c>
      <c r="B123" s="2973"/>
      <c r="C123" s="2973"/>
      <c r="D123" s="2973"/>
      <c r="E123" s="2973"/>
      <c r="F123" s="2973"/>
      <c r="G123" s="2973"/>
      <c r="H123" s="2973"/>
    </row>
    <row r="124" spans="1:8" ht="38.25" x14ac:dyDescent="0.2">
      <c r="A124" s="1084">
        <v>76</v>
      </c>
      <c r="B124" s="1085" t="s">
        <v>5364</v>
      </c>
      <c r="C124" s="1085" t="s">
        <v>5781</v>
      </c>
      <c r="D124" s="1092" t="s">
        <v>5782</v>
      </c>
      <c r="E124" s="1092" t="s">
        <v>5783</v>
      </c>
      <c r="F124" s="1092" t="s">
        <v>5784</v>
      </c>
      <c r="G124" s="1092" t="s">
        <v>5785</v>
      </c>
      <c r="H124" s="1092">
        <v>3380.83</v>
      </c>
    </row>
    <row r="125" spans="1:8" x14ac:dyDescent="0.2">
      <c r="A125" s="1283"/>
      <c r="B125" s="2970" t="s">
        <v>747</v>
      </c>
      <c r="C125" s="2971"/>
      <c r="D125" s="1092">
        <v>1846.48</v>
      </c>
      <c r="E125" s="1092">
        <v>143.32</v>
      </c>
      <c r="F125" s="1092">
        <v>955.38</v>
      </c>
      <c r="G125" s="1092">
        <v>435.65</v>
      </c>
      <c r="H125" s="1092">
        <v>3380.83</v>
      </c>
    </row>
    <row r="126" spans="1:8" x14ac:dyDescent="0.2">
      <c r="A126" s="1283"/>
      <c r="B126" s="2970" t="s">
        <v>748</v>
      </c>
      <c r="C126" s="2971"/>
      <c r="D126" s="1092">
        <v>94170.23</v>
      </c>
      <c r="E126" s="1092">
        <v>7309.41</v>
      </c>
      <c r="F126" s="1092">
        <v>48724.31</v>
      </c>
      <c r="G126" s="1092">
        <v>22218.22</v>
      </c>
      <c r="H126" s="1092">
        <v>172422.17</v>
      </c>
    </row>
    <row r="127" spans="1:8" x14ac:dyDescent="0.2">
      <c r="A127" s="2972" t="s">
        <v>5786</v>
      </c>
      <c r="B127" s="2973"/>
      <c r="C127" s="2973"/>
      <c r="D127" s="2973"/>
      <c r="E127" s="2973"/>
      <c r="F127" s="2973"/>
      <c r="G127" s="2973"/>
      <c r="H127" s="2973"/>
    </row>
    <row r="128" spans="1:8" ht="102" x14ac:dyDescent="0.2">
      <c r="A128" s="1084">
        <v>77</v>
      </c>
      <c r="B128" s="1085" t="s">
        <v>5787</v>
      </c>
      <c r="C128" s="1085" t="s">
        <v>5788</v>
      </c>
      <c r="D128" s="1086"/>
      <c r="E128" s="1086"/>
      <c r="F128" s="1086"/>
      <c r="G128" s="1092" t="s">
        <v>5789</v>
      </c>
      <c r="H128" s="1092">
        <v>2087.2199999999998</v>
      </c>
    </row>
    <row r="129" spans="1:8" ht="38.25" x14ac:dyDescent="0.2">
      <c r="A129" s="1084">
        <v>78</v>
      </c>
      <c r="B129" s="1085" t="s">
        <v>5790</v>
      </c>
      <c r="C129" s="1085" t="s">
        <v>5791</v>
      </c>
      <c r="D129" s="1092" t="s">
        <v>5792</v>
      </c>
      <c r="E129" s="1092" t="s">
        <v>5793</v>
      </c>
      <c r="F129" s="1086"/>
      <c r="G129" s="1086"/>
      <c r="H129" s="1092">
        <v>737756.98</v>
      </c>
    </row>
    <row r="130" spans="1:8" ht="38.25" x14ac:dyDescent="0.2">
      <c r="A130" s="1084">
        <v>79</v>
      </c>
      <c r="B130" s="1085" t="s">
        <v>5790</v>
      </c>
      <c r="C130" s="1085" t="s">
        <v>5794</v>
      </c>
      <c r="D130" s="1086"/>
      <c r="E130" s="1086"/>
      <c r="F130" s="1092" t="s">
        <v>5795</v>
      </c>
      <c r="G130" s="1086"/>
      <c r="H130" s="1092">
        <v>205129.35</v>
      </c>
    </row>
    <row r="131" spans="1:8" ht="63.75" x14ac:dyDescent="0.2">
      <c r="A131" s="1084">
        <v>80</v>
      </c>
      <c r="B131" s="1085" t="s">
        <v>5790</v>
      </c>
      <c r="C131" s="1085" t="s">
        <v>5796</v>
      </c>
      <c r="D131" s="1086"/>
      <c r="E131" s="1086"/>
      <c r="F131" s="1086"/>
      <c r="G131" s="1092" t="s">
        <v>5797</v>
      </c>
      <c r="H131" s="1092">
        <v>2949.05</v>
      </c>
    </row>
    <row r="132" spans="1:8" ht="38.25" x14ac:dyDescent="0.2">
      <c r="A132" s="1084">
        <v>81</v>
      </c>
      <c r="B132" s="1085" t="s">
        <v>5790</v>
      </c>
      <c r="C132" s="1085" t="s">
        <v>5798</v>
      </c>
      <c r="D132" s="1086"/>
      <c r="E132" s="1086"/>
      <c r="F132" s="1086"/>
      <c r="G132" s="1092" t="s">
        <v>5799</v>
      </c>
      <c r="H132" s="1092">
        <v>40235.67</v>
      </c>
    </row>
    <row r="133" spans="1:8" ht="102" x14ac:dyDescent="0.2">
      <c r="A133" s="1084">
        <v>82</v>
      </c>
      <c r="B133" s="1085" t="s">
        <v>5790</v>
      </c>
      <c r="C133" s="1085" t="s">
        <v>5800</v>
      </c>
      <c r="D133" s="1086"/>
      <c r="E133" s="1086"/>
      <c r="F133" s="1086"/>
      <c r="G133" s="1092" t="s">
        <v>5801</v>
      </c>
      <c r="H133" s="1092">
        <v>68180.52</v>
      </c>
    </row>
    <row r="134" spans="1:8" ht="102" x14ac:dyDescent="0.2">
      <c r="A134" s="1084">
        <v>83</v>
      </c>
      <c r="B134" s="1085" t="s">
        <v>5787</v>
      </c>
      <c r="C134" s="1085" t="s">
        <v>5802</v>
      </c>
      <c r="D134" s="1086"/>
      <c r="E134" s="1086"/>
      <c r="F134" s="1086"/>
      <c r="G134" s="1092" t="s">
        <v>5803</v>
      </c>
      <c r="H134" s="1092">
        <v>14.18</v>
      </c>
    </row>
    <row r="135" spans="1:8" ht="102" x14ac:dyDescent="0.2">
      <c r="A135" s="1084">
        <v>84</v>
      </c>
      <c r="B135" s="1085" t="s">
        <v>5787</v>
      </c>
      <c r="C135" s="1085" t="s">
        <v>5804</v>
      </c>
      <c r="D135" s="1086"/>
      <c r="E135" s="1086"/>
      <c r="F135" s="1086"/>
      <c r="G135" s="1092" t="s">
        <v>5805</v>
      </c>
      <c r="H135" s="1092">
        <v>9236.51</v>
      </c>
    </row>
    <row r="136" spans="1:8" ht="102" x14ac:dyDescent="0.2">
      <c r="A136" s="1084">
        <v>85</v>
      </c>
      <c r="B136" s="1085" t="s">
        <v>5787</v>
      </c>
      <c r="C136" s="1085" t="s">
        <v>5806</v>
      </c>
      <c r="D136" s="1086"/>
      <c r="E136" s="1086"/>
      <c r="F136" s="1086"/>
      <c r="G136" s="1092" t="s">
        <v>5807</v>
      </c>
      <c r="H136" s="1092">
        <v>20815.419999999998</v>
      </c>
    </row>
    <row r="137" spans="1:8" ht="102" x14ac:dyDescent="0.2">
      <c r="A137" s="1084">
        <v>86</v>
      </c>
      <c r="B137" s="1085" t="s">
        <v>5787</v>
      </c>
      <c r="C137" s="1085" t="s">
        <v>5808</v>
      </c>
      <c r="D137" s="1086"/>
      <c r="E137" s="1086"/>
      <c r="F137" s="1086"/>
      <c r="G137" s="1092" t="s">
        <v>5809</v>
      </c>
      <c r="H137" s="1092">
        <v>30103.1</v>
      </c>
    </row>
    <row r="138" spans="1:8" ht="63.75" x14ac:dyDescent="0.2">
      <c r="A138" s="1084">
        <v>87</v>
      </c>
      <c r="B138" s="1085" t="s">
        <v>5810</v>
      </c>
      <c r="C138" s="1085" t="s">
        <v>5811</v>
      </c>
      <c r="D138" s="1086"/>
      <c r="E138" s="1086"/>
      <c r="F138" s="1086"/>
      <c r="G138" s="1092" t="s">
        <v>5812</v>
      </c>
      <c r="H138" s="1092">
        <v>2535.69</v>
      </c>
    </row>
    <row r="139" spans="1:8" ht="67.900000000000006" customHeight="1" x14ac:dyDescent="0.2">
      <c r="A139" s="1305"/>
      <c r="B139" s="2974" t="s">
        <v>5813</v>
      </c>
      <c r="C139" s="2975"/>
      <c r="D139" s="1306">
        <v>684617.57</v>
      </c>
      <c r="E139" s="1306">
        <v>53139.41</v>
      </c>
      <c r="F139" s="1306">
        <v>205129.35</v>
      </c>
      <c r="G139" s="1306">
        <v>176157.36</v>
      </c>
      <c r="H139" s="1307">
        <v>1119043.69</v>
      </c>
    </row>
    <row r="140" spans="1:8" x14ac:dyDescent="0.2">
      <c r="A140" s="2972" t="s">
        <v>749</v>
      </c>
      <c r="B140" s="2973"/>
      <c r="C140" s="2973"/>
      <c r="D140" s="2973"/>
      <c r="E140" s="2973"/>
      <c r="F140" s="2973"/>
      <c r="G140" s="2973"/>
      <c r="H140" s="2973"/>
    </row>
    <row r="141" spans="1:8" ht="38.25" x14ac:dyDescent="0.2">
      <c r="A141" s="1084">
        <v>88</v>
      </c>
      <c r="B141" s="1308"/>
      <c r="C141" s="1085" t="s">
        <v>564</v>
      </c>
      <c r="D141" s="1092" t="s">
        <v>5814</v>
      </c>
      <c r="E141" s="1092" t="s">
        <v>5815</v>
      </c>
      <c r="F141" s="1092" t="s">
        <v>5816</v>
      </c>
      <c r="G141" s="1092" t="s">
        <v>5817</v>
      </c>
      <c r="H141" s="1092">
        <v>223808.73</v>
      </c>
    </row>
    <row r="142" spans="1:8" x14ac:dyDescent="0.2">
      <c r="A142" s="1283"/>
      <c r="B142" s="2970" t="s">
        <v>752</v>
      </c>
      <c r="C142" s="2971"/>
      <c r="D142" s="1092">
        <v>136923.51</v>
      </c>
      <c r="E142" s="1092">
        <v>10627.88</v>
      </c>
      <c r="F142" s="1092">
        <v>41025.870000000003</v>
      </c>
      <c r="G142" s="1092">
        <v>35231.47</v>
      </c>
      <c r="H142" s="1092">
        <v>223808.73</v>
      </c>
    </row>
    <row r="143" spans="1:8" x14ac:dyDescent="0.2">
      <c r="A143" s="1084">
        <v>89</v>
      </c>
      <c r="B143" s="1308"/>
      <c r="C143" s="1309" t="s">
        <v>5818</v>
      </c>
      <c r="D143" s="1310">
        <v>821541.08</v>
      </c>
      <c r="E143" s="1310">
        <v>63767.29</v>
      </c>
      <c r="F143" s="1310">
        <v>246155.22</v>
      </c>
      <c r="G143" s="1310">
        <v>211388.83</v>
      </c>
      <c r="H143" s="1310">
        <v>1342852.42</v>
      </c>
    </row>
    <row r="144" spans="1:8" x14ac:dyDescent="0.2">
      <c r="A144" s="1283"/>
      <c r="B144" s="1308"/>
      <c r="C144" s="1085" t="s">
        <v>5819</v>
      </c>
      <c r="D144" s="1311">
        <v>591649.73</v>
      </c>
      <c r="E144" s="1311">
        <v>51380.78</v>
      </c>
      <c r="F144" s="1311">
        <v>207624.42</v>
      </c>
      <c r="G144" s="1311">
        <v>166875.15</v>
      </c>
      <c r="H144" s="1311">
        <v>1017530.08</v>
      </c>
    </row>
    <row r="145" spans="1:17" x14ac:dyDescent="0.2">
      <c r="A145" s="1283"/>
      <c r="B145" s="1308"/>
      <c r="C145" s="1085" t="s">
        <v>5820</v>
      </c>
      <c r="D145" s="1311">
        <v>229891.35</v>
      </c>
      <c r="E145" s="1311">
        <v>12386.51</v>
      </c>
      <c r="F145" s="1311">
        <v>38530.800000000003</v>
      </c>
      <c r="G145" s="1311">
        <v>44513.68</v>
      </c>
      <c r="H145" s="1311">
        <v>325322.34000000003</v>
      </c>
    </row>
    <row r="146" spans="1:17" x14ac:dyDescent="0.2">
      <c r="A146" s="1283"/>
      <c r="B146" s="1308"/>
      <c r="C146" s="1308"/>
      <c r="D146" s="1086"/>
      <c r="E146" s="1086"/>
      <c r="F146" s="1086"/>
      <c r="G146" s="1086"/>
      <c r="H146" s="1086"/>
    </row>
    <row r="147" spans="1:17" ht="63.75" x14ac:dyDescent="0.2">
      <c r="A147" s="1283"/>
      <c r="B147" s="1308"/>
      <c r="C147" s="1085" t="s">
        <v>5821</v>
      </c>
      <c r="D147" s="1086"/>
      <c r="E147" s="1086"/>
      <c r="F147" s="1086"/>
      <c r="G147" s="1092" t="s">
        <v>5822</v>
      </c>
      <c r="H147" s="1092">
        <v>73753.789999999994</v>
      </c>
      <c r="M147" s="1312"/>
      <c r="N147" s="1312"/>
      <c r="O147" s="1312"/>
      <c r="P147" s="1312"/>
      <c r="Q147" s="1312"/>
    </row>
    <row r="148" spans="1:17" x14ac:dyDescent="0.2">
      <c r="A148" s="1283"/>
      <c r="B148" s="1308"/>
      <c r="C148" s="1085" t="s">
        <v>5823</v>
      </c>
      <c r="D148" s="1086"/>
      <c r="E148" s="1086"/>
      <c r="F148" s="1086"/>
      <c r="G148" s="1086"/>
      <c r="H148" s="1086"/>
      <c r="M148" s="1313"/>
      <c r="N148" s="1312"/>
      <c r="O148" s="1312"/>
      <c r="P148" s="1312"/>
      <c r="Q148" s="1312"/>
    </row>
    <row r="149" spans="1:17" ht="38.25" x14ac:dyDescent="0.2">
      <c r="A149" s="1283"/>
      <c r="B149" s="1308"/>
      <c r="C149" s="1085" t="s">
        <v>5824</v>
      </c>
      <c r="D149" s="1092" t="s">
        <v>5825</v>
      </c>
      <c r="E149" s="1092" t="s">
        <v>5826</v>
      </c>
      <c r="F149" s="1086"/>
      <c r="G149" s="1086"/>
      <c r="H149" s="1092">
        <v>2888.3</v>
      </c>
    </row>
    <row r="152" spans="1:17" x14ac:dyDescent="0.2">
      <c r="A152" s="2968" t="s">
        <v>5827</v>
      </c>
      <c r="B152" s="2651"/>
      <c r="C152" s="2651"/>
      <c r="D152" s="2651"/>
      <c r="E152" s="2651"/>
      <c r="F152" s="2651"/>
      <c r="G152" s="2651"/>
      <c r="H152" s="2651"/>
    </row>
    <row r="153" spans="1:17" x14ac:dyDescent="0.2">
      <c r="A153" s="2969" t="s">
        <v>1632</v>
      </c>
      <c r="B153" s="2651"/>
      <c r="C153" s="2651"/>
      <c r="D153" s="2651"/>
      <c r="E153" s="2651"/>
      <c r="F153" s="2651"/>
      <c r="G153" s="2651"/>
      <c r="H153" s="2651"/>
    </row>
    <row r="155" spans="1:17" x14ac:dyDescent="0.2">
      <c r="A155" s="2968" t="s">
        <v>5828</v>
      </c>
      <c r="B155" s="2651"/>
      <c r="C155" s="2651"/>
      <c r="D155" s="2651"/>
      <c r="E155" s="2651"/>
      <c r="F155" s="2651"/>
      <c r="G155" s="2651"/>
      <c r="H155" s="2651"/>
    </row>
    <row r="156" spans="1:17" x14ac:dyDescent="0.2">
      <c r="A156" s="2969" t="s">
        <v>1632</v>
      </c>
      <c r="B156" s="2651"/>
      <c r="C156" s="2651"/>
      <c r="D156" s="2651"/>
      <c r="E156" s="2651"/>
      <c r="F156" s="2651"/>
      <c r="G156" s="2651"/>
      <c r="H156" s="2651"/>
    </row>
    <row r="159" spans="1:17" x14ac:dyDescent="0.2">
      <c r="A159" s="2968" t="s">
        <v>5829</v>
      </c>
      <c r="B159" s="2651"/>
      <c r="C159" s="2651"/>
      <c r="D159" s="2651"/>
      <c r="E159" s="2651"/>
      <c r="F159" s="2651"/>
      <c r="G159" s="2651"/>
      <c r="H159" s="2651"/>
    </row>
    <row r="160" spans="1:17" x14ac:dyDescent="0.2">
      <c r="A160" s="2969" t="s">
        <v>1632</v>
      </c>
      <c r="B160" s="2651"/>
      <c r="C160" s="2651"/>
      <c r="D160" s="2651"/>
      <c r="E160" s="2651"/>
      <c r="F160" s="2651"/>
      <c r="G160" s="2651"/>
      <c r="H160" s="2651"/>
    </row>
    <row r="162" spans="1:8" x14ac:dyDescent="0.2">
      <c r="A162" s="2968" t="s">
        <v>5830</v>
      </c>
      <c r="B162" s="2651"/>
      <c r="C162" s="2651"/>
      <c r="D162" s="2651"/>
      <c r="E162" s="2651"/>
      <c r="F162" s="2651"/>
      <c r="G162" s="2651"/>
      <c r="H162" s="2651"/>
    </row>
    <row r="163" spans="1:8" x14ac:dyDescent="0.2">
      <c r="A163" s="2969" t="s">
        <v>1632</v>
      </c>
      <c r="B163" s="2651"/>
      <c r="C163" s="2651"/>
      <c r="D163" s="2651"/>
      <c r="E163" s="2651"/>
      <c r="F163" s="2651"/>
      <c r="G163" s="2651"/>
      <c r="H163" s="2651"/>
    </row>
  </sheetData>
  <mergeCells count="51">
    <mergeCell ref="C2:G2"/>
    <mergeCell ref="C8:G8"/>
    <mergeCell ref="C15:G15"/>
    <mergeCell ref="A19:A22"/>
    <mergeCell ref="B19:B22"/>
    <mergeCell ref="C19:C22"/>
    <mergeCell ref="D19:G19"/>
    <mergeCell ref="A68:H68"/>
    <mergeCell ref="H19:H22"/>
    <mergeCell ref="D20:D22"/>
    <mergeCell ref="E20:E22"/>
    <mergeCell ref="F20:F22"/>
    <mergeCell ref="G20:G22"/>
    <mergeCell ref="A24:H24"/>
    <mergeCell ref="B29:C29"/>
    <mergeCell ref="A30:H30"/>
    <mergeCell ref="B64:C64"/>
    <mergeCell ref="A65:H65"/>
    <mergeCell ref="B67:C67"/>
    <mergeCell ref="B110:C110"/>
    <mergeCell ref="B71:C71"/>
    <mergeCell ref="A72:H72"/>
    <mergeCell ref="B77:C77"/>
    <mergeCell ref="A78:H78"/>
    <mergeCell ref="B85:C85"/>
    <mergeCell ref="B86:C86"/>
    <mergeCell ref="A87:H87"/>
    <mergeCell ref="B89:C89"/>
    <mergeCell ref="B90:C90"/>
    <mergeCell ref="A91:H91"/>
    <mergeCell ref="B109:C109"/>
    <mergeCell ref="B142:C142"/>
    <mergeCell ref="A111:H111"/>
    <mergeCell ref="B114:C114"/>
    <mergeCell ref="A115:H115"/>
    <mergeCell ref="B121:C121"/>
    <mergeCell ref="B122:C122"/>
    <mergeCell ref="A123:H123"/>
    <mergeCell ref="B125:C125"/>
    <mergeCell ref="B126:C126"/>
    <mergeCell ref="A127:H127"/>
    <mergeCell ref="B139:C139"/>
    <mergeCell ref="A140:H140"/>
    <mergeCell ref="A162:H162"/>
    <mergeCell ref="A163:H163"/>
    <mergeCell ref="A152:H152"/>
    <mergeCell ref="A153:H153"/>
    <mergeCell ref="A155:H155"/>
    <mergeCell ref="A156:H156"/>
    <mergeCell ref="A159:H159"/>
    <mergeCell ref="A160:H160"/>
  </mergeCells>
  <pageMargins left="0.42" right="0.25" top="0.5" bottom="0.52" header="0.3" footer="0.3"/>
  <pageSetup paperSize="9" fitToHeight="10000" orientation="landscape" r:id="rId1"/>
  <headerFooter alignWithMargins="0">
    <oddHeader>&amp;LГРАНД-Смета 2020.1</oddHeader>
    <oddFooter>&amp;RСтраница &amp;P</odd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fitToPage="1"/>
  </sheetPr>
  <dimension ref="A1:M46"/>
  <sheetViews>
    <sheetView showGridLines="0" topLeftCell="A13" zoomScaleNormal="100" workbookViewId="0">
      <selection activeCell="B55" sqref="B55"/>
    </sheetView>
  </sheetViews>
  <sheetFormatPr defaultColWidth="9.140625" defaultRowHeight="12.75" x14ac:dyDescent="0.25"/>
  <cols>
    <col min="1" max="1" width="5.28515625" style="5" customWidth="1"/>
    <col min="2" max="2" width="54.28515625" style="7" customWidth="1"/>
    <col min="3" max="3" width="27.5703125" style="7" customWidth="1"/>
    <col min="4" max="4" width="16" style="7" customWidth="1"/>
    <col min="5" max="5" width="12.5703125" style="7" customWidth="1"/>
    <col min="6" max="6" width="20.5703125" style="7" customWidth="1"/>
    <col min="7" max="7" width="16" style="7" customWidth="1"/>
    <col min="8" max="8" width="11.5703125" style="7" bestFit="1" customWidth="1"/>
    <col min="9" max="16384" width="9.140625" style="7"/>
  </cols>
  <sheetData>
    <row r="1" spans="1:13" x14ac:dyDescent="0.25">
      <c r="B1" s="6"/>
      <c r="C1" s="6"/>
      <c r="D1" s="5"/>
      <c r="E1" s="5"/>
      <c r="F1" s="5"/>
      <c r="G1" s="5"/>
    </row>
    <row r="2" spans="1:13" x14ac:dyDescent="0.25">
      <c r="B2" s="8" t="s">
        <v>181</v>
      </c>
      <c r="C2" s="9"/>
      <c r="D2" s="10"/>
      <c r="E2" s="10"/>
      <c r="F2" s="10"/>
      <c r="G2" s="10"/>
    </row>
    <row r="3" spans="1:13" x14ac:dyDescent="0.25">
      <c r="B3" s="6"/>
      <c r="C3" s="6"/>
      <c r="D3" s="11" t="s">
        <v>182</v>
      </c>
      <c r="E3" s="12"/>
      <c r="F3" s="5"/>
      <c r="G3" s="5"/>
    </row>
    <row r="4" spans="1:13" s="16" customFormat="1" x14ac:dyDescent="0.25">
      <c r="A4" s="13"/>
      <c r="B4" s="14" t="s">
        <v>183</v>
      </c>
      <c r="C4" s="14"/>
      <c r="D4" s="13"/>
      <c r="E4" s="15"/>
      <c r="F4" s="13"/>
      <c r="G4" s="13"/>
    </row>
    <row r="5" spans="1:13" x14ac:dyDescent="0.25">
      <c r="A5" s="17"/>
      <c r="B5" s="2990"/>
      <c r="C5" s="2990"/>
      <c r="D5" s="2990"/>
      <c r="E5" s="2990"/>
      <c r="F5" s="2990"/>
      <c r="G5" s="2990"/>
      <c r="H5" s="18"/>
      <c r="I5" s="18"/>
      <c r="J5" s="18"/>
      <c r="K5" s="18"/>
      <c r="L5" s="18"/>
      <c r="M5" s="18"/>
    </row>
    <row r="6" spans="1:13" x14ac:dyDescent="0.25">
      <c r="A6" s="17"/>
      <c r="B6" s="19"/>
      <c r="C6" s="20"/>
      <c r="D6" s="21"/>
      <c r="E6" s="22"/>
      <c r="F6" s="22"/>
      <c r="G6" s="22"/>
      <c r="H6" s="23"/>
      <c r="I6" s="23"/>
      <c r="J6" s="23"/>
      <c r="K6" s="23"/>
      <c r="L6" s="23"/>
      <c r="M6" s="23"/>
    </row>
    <row r="7" spans="1:13" ht="18" x14ac:dyDescent="0.25">
      <c r="A7" s="2991" t="e">
        <f>'СВОД (объемов работ)'!#REF!</f>
        <v>#REF!</v>
      </c>
      <c r="B7" s="2991"/>
      <c r="C7" s="2991"/>
      <c r="D7" s="2991"/>
      <c r="E7" s="2991"/>
      <c r="F7" s="2991"/>
      <c r="G7" s="2991"/>
      <c r="H7" s="16"/>
      <c r="I7" s="24"/>
      <c r="J7" s="24"/>
      <c r="K7" s="24"/>
      <c r="L7" s="25"/>
      <c r="M7" s="25"/>
    </row>
    <row r="8" spans="1:13" ht="41.25" customHeight="1" x14ac:dyDescent="0.25">
      <c r="A8" s="2992"/>
      <c r="B8" s="2992"/>
      <c r="C8" s="2992"/>
      <c r="D8" s="2992"/>
      <c r="E8" s="2992"/>
      <c r="F8" s="2992"/>
      <c r="G8" s="2992"/>
      <c r="H8" s="26"/>
      <c r="I8" s="26"/>
      <c r="J8" s="26"/>
      <c r="K8" s="26"/>
      <c r="L8" s="26"/>
      <c r="M8" s="26"/>
    </row>
    <row r="9" spans="1:13" x14ac:dyDescent="0.25">
      <c r="A9" s="27"/>
      <c r="B9" s="2993" t="s">
        <v>184</v>
      </c>
      <c r="C9" s="2993"/>
      <c r="D9" s="2993"/>
      <c r="E9" s="2993"/>
      <c r="F9" s="2993"/>
      <c r="G9" s="2993"/>
      <c r="H9" s="26"/>
      <c r="I9" s="26"/>
      <c r="J9" s="26"/>
      <c r="K9" s="26"/>
      <c r="L9" s="26"/>
      <c r="M9" s="26"/>
    </row>
    <row r="10" spans="1:13" x14ac:dyDescent="0.25">
      <c r="A10" s="27"/>
      <c r="B10" s="28"/>
      <c r="C10" s="28"/>
      <c r="D10" s="28"/>
      <c r="E10" s="28"/>
      <c r="F10" s="28"/>
      <c r="G10" s="28"/>
      <c r="H10" s="26"/>
      <c r="I10" s="26"/>
      <c r="J10" s="26"/>
      <c r="K10" s="26"/>
      <c r="L10" s="26"/>
      <c r="M10" s="26"/>
    </row>
    <row r="12" spans="1:13" x14ac:dyDescent="0.25">
      <c r="A12" s="2994" t="s">
        <v>5</v>
      </c>
      <c r="B12" s="2994" t="s">
        <v>185</v>
      </c>
      <c r="C12" s="2994" t="s">
        <v>186</v>
      </c>
      <c r="D12" s="2994" t="s">
        <v>187</v>
      </c>
      <c r="E12" s="2994" t="s">
        <v>188</v>
      </c>
      <c r="F12" s="2994" t="s">
        <v>226</v>
      </c>
      <c r="G12" s="2994" t="s">
        <v>189</v>
      </c>
    </row>
    <row r="13" spans="1:13" ht="54" customHeight="1" x14ac:dyDescent="0.25">
      <c r="A13" s="2995"/>
      <c r="B13" s="2995"/>
      <c r="C13" s="2995"/>
      <c r="D13" s="2995"/>
      <c r="E13" s="2995"/>
      <c r="F13" s="2995"/>
      <c r="G13" s="2995"/>
    </row>
    <row r="14" spans="1:13" ht="14.25" x14ac:dyDescent="0.25">
      <c r="A14" s="29">
        <v>1</v>
      </c>
      <c r="B14" s="29">
        <v>2</v>
      </c>
      <c r="C14" s="29">
        <v>3</v>
      </c>
      <c r="D14" s="29">
        <v>4</v>
      </c>
      <c r="E14" s="29">
        <v>5</v>
      </c>
      <c r="F14" s="29">
        <v>6</v>
      </c>
      <c r="G14" s="29">
        <v>7</v>
      </c>
    </row>
    <row r="15" spans="1:13" ht="14.25" x14ac:dyDescent="0.25">
      <c r="A15" s="29"/>
      <c r="B15" s="29"/>
      <c r="C15" s="29"/>
      <c r="D15" s="29"/>
      <c r="E15" s="29"/>
      <c r="F15" s="29"/>
      <c r="G15" s="29"/>
    </row>
    <row r="16" spans="1:13" s="33" customFormat="1" ht="24.75" customHeight="1" x14ac:dyDescent="0.25">
      <c r="A16" s="30" t="s">
        <v>190</v>
      </c>
      <c r="B16" s="31" t="s">
        <v>227</v>
      </c>
      <c r="C16" s="32"/>
      <c r="D16" s="31"/>
      <c r="E16" s="31"/>
      <c r="F16" s="31"/>
      <c r="G16" s="31"/>
    </row>
    <row r="17" spans="1:7" s="33" customFormat="1" ht="47.25" customHeight="1" x14ac:dyDescent="0.25">
      <c r="A17" s="34" t="s">
        <v>191</v>
      </c>
      <c r="B17" s="35" t="s">
        <v>225</v>
      </c>
      <c r="C17" s="36" t="s">
        <v>224</v>
      </c>
      <c r="D17" s="37" t="s">
        <v>156</v>
      </c>
      <c r="E17" s="38">
        <v>1</v>
      </c>
      <c r="F17" s="39">
        <v>8376.7000000000007</v>
      </c>
      <c r="G17" s="39">
        <f>E17*F17</f>
        <v>8376.7000000000007</v>
      </c>
    </row>
    <row r="18" spans="1:7" s="33" customFormat="1" ht="23.25" customHeight="1" x14ac:dyDescent="0.25">
      <c r="A18" s="34"/>
      <c r="B18" s="31" t="s">
        <v>228</v>
      </c>
      <c r="C18" s="36"/>
      <c r="D18" s="37"/>
      <c r="E18" s="38"/>
      <c r="F18" s="39"/>
      <c r="G18" s="39"/>
    </row>
    <row r="19" spans="1:7" s="43" customFormat="1" ht="45" customHeight="1" x14ac:dyDescent="0.25">
      <c r="A19" s="34" t="s">
        <v>192</v>
      </c>
      <c r="B19" s="35" t="s">
        <v>225</v>
      </c>
      <c r="C19" s="36" t="s">
        <v>229</v>
      </c>
      <c r="D19" s="40" t="s">
        <v>156</v>
      </c>
      <c r="E19" s="41">
        <v>0</v>
      </c>
      <c r="F19" s="41">
        <v>5855.38</v>
      </c>
      <c r="G19" s="42">
        <f>E19*F19</f>
        <v>0</v>
      </c>
    </row>
    <row r="20" spans="1:7" s="33" customFormat="1" x14ac:dyDescent="0.25">
      <c r="A20" s="34"/>
      <c r="B20" s="44" t="s">
        <v>193</v>
      </c>
      <c r="C20" s="45"/>
      <c r="D20" s="34"/>
      <c r="E20" s="46"/>
      <c r="F20" s="47"/>
      <c r="G20" s="47">
        <f>SUM(G16:G19)</f>
        <v>8376.7000000000007</v>
      </c>
    </row>
    <row r="21" spans="1:7" s="53" customFormat="1" ht="51" x14ac:dyDescent="0.2">
      <c r="A21" s="48"/>
      <c r="B21" s="49" t="s">
        <v>230</v>
      </c>
      <c r="C21" s="48" t="s">
        <v>231</v>
      </c>
      <c r="D21" s="50"/>
      <c r="E21" s="50"/>
      <c r="F21" s="51"/>
      <c r="G21" s="52">
        <v>0.89</v>
      </c>
    </row>
    <row r="22" spans="1:7" s="53" customFormat="1" ht="51" x14ac:dyDescent="0.2">
      <c r="A22" s="48"/>
      <c r="B22" s="49" t="s">
        <v>230</v>
      </c>
      <c r="C22" s="48" t="s">
        <v>231</v>
      </c>
      <c r="D22" s="50"/>
      <c r="E22" s="50"/>
      <c r="F22" s="51"/>
      <c r="G22" s="52">
        <v>0.89</v>
      </c>
    </row>
    <row r="23" spans="1:7" s="53" customFormat="1" ht="51" customHeight="1" x14ac:dyDescent="0.2">
      <c r="A23" s="48"/>
      <c r="B23" s="49" t="s">
        <v>194</v>
      </c>
      <c r="C23" s="50"/>
      <c r="D23" s="50"/>
      <c r="E23" s="50"/>
      <c r="F23" s="51"/>
      <c r="G23" s="52">
        <v>0.98</v>
      </c>
    </row>
    <row r="24" spans="1:7" s="53" customFormat="1" x14ac:dyDescent="0.2">
      <c r="A24" s="48"/>
      <c r="B24" s="54" t="s">
        <v>195</v>
      </c>
      <c r="C24" s="50"/>
      <c r="D24" s="50"/>
      <c r="E24" s="50"/>
      <c r="F24" s="51"/>
      <c r="G24" s="55">
        <f>SUM(G20*G21*G23)</f>
        <v>7306.16</v>
      </c>
    </row>
    <row r="25" spans="1:7" s="53" customFormat="1" x14ac:dyDescent="0.2">
      <c r="A25" s="56">
        <v>2</v>
      </c>
      <c r="B25" s="54" t="s">
        <v>196</v>
      </c>
      <c r="C25" s="50"/>
      <c r="D25" s="50"/>
      <c r="E25" s="50"/>
      <c r="F25" s="51"/>
      <c r="G25" s="57"/>
    </row>
    <row r="26" spans="1:7" s="53" customFormat="1" x14ac:dyDescent="0.2">
      <c r="A26" s="58" t="s">
        <v>197</v>
      </c>
      <c r="B26" s="49" t="s">
        <v>198</v>
      </c>
      <c r="C26" s="59" t="s">
        <v>199</v>
      </c>
      <c r="D26" s="50"/>
      <c r="E26" s="50"/>
      <c r="F26" s="51"/>
      <c r="G26" s="60">
        <v>5.42</v>
      </c>
    </row>
    <row r="27" spans="1:7" s="53" customFormat="1" x14ac:dyDescent="0.2">
      <c r="A27" s="58" t="s">
        <v>200</v>
      </c>
      <c r="B27" s="49" t="s">
        <v>201</v>
      </c>
      <c r="C27" s="61" t="s">
        <v>202</v>
      </c>
      <c r="D27" s="50"/>
      <c r="E27" s="50"/>
      <c r="F27" s="51"/>
      <c r="G27" s="60">
        <v>24.06</v>
      </c>
    </row>
    <row r="28" spans="1:7" s="53" customFormat="1" x14ac:dyDescent="0.2">
      <c r="A28" s="58" t="s">
        <v>203</v>
      </c>
      <c r="B28" s="49" t="s">
        <v>204</v>
      </c>
      <c r="C28" s="59" t="s">
        <v>205</v>
      </c>
      <c r="D28" s="50"/>
      <c r="E28" s="50"/>
      <c r="F28" s="51"/>
      <c r="G28" s="60">
        <v>29.11</v>
      </c>
    </row>
    <row r="29" spans="1:7" s="53" customFormat="1" ht="23.25" customHeight="1" x14ac:dyDescent="0.2">
      <c r="A29" s="58" t="s">
        <v>206</v>
      </c>
      <c r="B29" s="49" t="s">
        <v>207</v>
      </c>
      <c r="C29" s="59" t="s">
        <v>208</v>
      </c>
      <c r="D29" s="50"/>
      <c r="E29" s="50"/>
      <c r="F29" s="51"/>
      <c r="G29" s="60">
        <v>20.18</v>
      </c>
    </row>
    <row r="30" spans="1:7" s="53" customFormat="1" ht="25.5" x14ac:dyDescent="0.2">
      <c r="A30" s="62"/>
      <c r="B30" s="54" t="s">
        <v>209</v>
      </c>
      <c r="C30" s="63"/>
      <c r="D30" s="50"/>
      <c r="E30" s="50"/>
      <c r="F30" s="51"/>
      <c r="G30" s="55">
        <f>SUM(G26:G29)</f>
        <v>78.77</v>
      </c>
    </row>
    <row r="31" spans="1:7" s="53" customFormat="1" x14ac:dyDescent="0.2">
      <c r="A31" s="62"/>
      <c r="B31" s="54" t="s">
        <v>210</v>
      </c>
      <c r="C31" s="63"/>
      <c r="D31" s="50"/>
      <c r="E31" s="50"/>
      <c r="F31" s="51"/>
      <c r="G31" s="55">
        <f>G30</f>
        <v>78.77</v>
      </c>
    </row>
    <row r="32" spans="1:7" s="53" customFormat="1" x14ac:dyDescent="0.2">
      <c r="A32" s="62"/>
      <c r="B32" s="49" t="s">
        <v>211</v>
      </c>
      <c r="C32" s="63"/>
      <c r="D32" s="50"/>
      <c r="E32" s="50"/>
      <c r="F32" s="51"/>
      <c r="G32" s="60">
        <f>SUM(G31*3.1%)</f>
        <v>2.44</v>
      </c>
    </row>
    <row r="33" spans="1:10" s="53" customFormat="1" x14ac:dyDescent="0.2">
      <c r="A33" s="62"/>
      <c r="B33" s="54" t="s">
        <v>212</v>
      </c>
      <c r="C33" s="63"/>
      <c r="D33" s="50"/>
      <c r="E33" s="50"/>
      <c r="F33" s="51"/>
      <c r="G33" s="55">
        <f>SUM(G30:G32)</f>
        <v>159.97999999999999</v>
      </c>
    </row>
    <row r="34" spans="1:10" s="53" customFormat="1" x14ac:dyDescent="0.2">
      <c r="A34" s="62"/>
      <c r="B34" s="49" t="s">
        <v>213</v>
      </c>
      <c r="C34" s="63"/>
      <c r="D34" s="50"/>
      <c r="E34" s="50"/>
      <c r="F34" s="51"/>
      <c r="G34" s="55">
        <f>SUM(G33*0.54%)</f>
        <v>0.86</v>
      </c>
    </row>
    <row r="35" spans="1:10" s="53" customFormat="1" x14ac:dyDescent="0.2">
      <c r="A35" s="62"/>
      <c r="B35" s="54" t="s">
        <v>214</v>
      </c>
      <c r="C35" s="63"/>
      <c r="D35" s="50"/>
      <c r="E35" s="50"/>
      <c r="F35" s="51"/>
      <c r="G35" s="55">
        <f>SUM(G33:G34)</f>
        <v>160.84</v>
      </c>
    </row>
    <row r="36" spans="1:10" s="53" customFormat="1" x14ac:dyDescent="0.2">
      <c r="A36" s="62"/>
      <c r="B36" s="49" t="s">
        <v>215</v>
      </c>
      <c r="C36" s="63"/>
      <c r="D36" s="50"/>
      <c r="E36" s="50"/>
      <c r="F36" s="51"/>
      <c r="G36" s="60">
        <f>G35*2.14%</f>
        <v>3.44</v>
      </c>
    </row>
    <row r="37" spans="1:10" s="53" customFormat="1" x14ac:dyDescent="0.2">
      <c r="A37" s="62"/>
      <c r="B37" s="54" t="s">
        <v>216</v>
      </c>
      <c r="C37" s="63"/>
      <c r="D37" s="50"/>
      <c r="E37" s="50"/>
      <c r="F37" s="51"/>
      <c r="G37" s="55">
        <f>G35+G36</f>
        <v>164.28</v>
      </c>
    </row>
    <row r="38" spans="1:10" s="53" customFormat="1" x14ac:dyDescent="0.2">
      <c r="A38" s="62"/>
      <c r="B38" s="49" t="s">
        <v>217</v>
      </c>
      <c r="C38" s="63"/>
      <c r="D38" s="50"/>
      <c r="E38" s="50"/>
      <c r="F38" s="51"/>
      <c r="G38" s="60">
        <f>G37*2%</f>
        <v>3.29</v>
      </c>
    </row>
    <row r="39" spans="1:10" s="53" customFormat="1" x14ac:dyDescent="0.2">
      <c r="A39" s="62"/>
      <c r="B39" s="54" t="s">
        <v>218</v>
      </c>
      <c r="C39" s="63"/>
      <c r="D39" s="50"/>
      <c r="E39" s="50"/>
      <c r="F39" s="51"/>
      <c r="G39" s="55">
        <f>SUM(G35:G38)</f>
        <v>331.85</v>
      </c>
    </row>
    <row r="40" spans="1:10" s="53" customFormat="1" x14ac:dyDescent="0.2">
      <c r="A40" s="62"/>
      <c r="B40" s="54" t="s">
        <v>219</v>
      </c>
      <c r="C40" s="63"/>
      <c r="D40" s="50"/>
      <c r="E40" s="50"/>
      <c r="F40" s="51"/>
      <c r="G40" s="55">
        <f>G39+G24</f>
        <v>7638.01</v>
      </c>
    </row>
    <row r="41" spans="1:10" s="33" customFormat="1" x14ac:dyDescent="0.25">
      <c r="A41" s="2985" t="s">
        <v>220</v>
      </c>
      <c r="B41" s="2985"/>
      <c r="C41" s="2985"/>
      <c r="D41" s="2985"/>
      <c r="E41" s="2985"/>
      <c r="F41" s="2985"/>
      <c r="G41" s="64">
        <f>G40*0.2</f>
        <v>1527.6</v>
      </c>
    </row>
    <row r="42" spans="1:10" s="33" customFormat="1" x14ac:dyDescent="0.25">
      <c r="A42" s="2986" t="s">
        <v>221</v>
      </c>
      <c r="B42" s="2987"/>
      <c r="C42" s="2987"/>
      <c r="D42" s="2987"/>
      <c r="E42" s="2987"/>
      <c r="F42" s="2987"/>
      <c r="G42" s="65">
        <f>G40+G41</f>
        <v>9165.61</v>
      </c>
      <c r="J42" s="66"/>
    </row>
    <row r="43" spans="1:10" s="33" customFormat="1" x14ac:dyDescent="0.25">
      <c r="A43" s="67"/>
      <c r="B43" s="68"/>
      <c r="C43" s="68"/>
      <c r="D43" s="68"/>
      <c r="E43" s="68"/>
      <c r="F43" s="68"/>
      <c r="G43" s="69"/>
    </row>
    <row r="44" spans="1:10" s="33" customFormat="1" x14ac:dyDescent="0.2">
      <c r="A44" s="2988" t="s">
        <v>222</v>
      </c>
      <c r="B44" s="2988"/>
      <c r="C44" s="2988"/>
      <c r="D44" s="2988"/>
      <c r="E44" s="2988"/>
      <c r="F44" s="2988"/>
      <c r="G44" s="2988"/>
      <c r="H44" s="2988"/>
    </row>
    <row r="45" spans="1:10" x14ac:dyDescent="0.25">
      <c r="A45" s="70"/>
      <c r="B45" s="2989" t="s">
        <v>223</v>
      </c>
      <c r="C45" s="2989"/>
    </row>
    <row r="46" spans="1:10" x14ac:dyDescent="0.25">
      <c r="A46" s="13"/>
      <c r="B46" s="71"/>
      <c r="C46" s="71"/>
    </row>
  </sheetData>
  <mergeCells count="14">
    <mergeCell ref="A41:F41"/>
    <mergeCell ref="A42:F42"/>
    <mergeCell ref="A44:H44"/>
    <mergeCell ref="B45:C45"/>
    <mergeCell ref="B5:G5"/>
    <mergeCell ref="A7:G8"/>
    <mergeCell ref="B9:G9"/>
    <mergeCell ref="A12:A13"/>
    <mergeCell ref="B12:B13"/>
    <mergeCell ref="C12:C13"/>
    <mergeCell ref="D12:D13"/>
    <mergeCell ref="E12:E13"/>
    <mergeCell ref="F12:F13"/>
    <mergeCell ref="G12:G13"/>
  </mergeCells>
  <printOptions horizontalCentered="1"/>
  <pageMargins left="0" right="0" top="0.78740157480314965" bottom="0.78740157480314965" header="0.19685039370078741" footer="0.19685039370078741"/>
  <pageSetup paperSize="9" scale="70" fitToHeight="30000" orientation="portrait" r:id="rId1"/>
  <headerFooter alignWithMargins="0">
    <oddHeader>&amp;LГранд-СМЕТА</oddHeader>
    <oddFooter>&amp;RСтраница &amp;P</oddFooter>
  </headerFooter>
  <legacy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211"/>
  <sheetViews>
    <sheetView view="pageBreakPreview" topLeftCell="A53" zoomScaleNormal="89" zoomScaleSheetLayoutView="100" workbookViewId="0">
      <selection activeCell="B60" sqref="B60"/>
    </sheetView>
  </sheetViews>
  <sheetFormatPr defaultRowHeight="15" x14ac:dyDescent="0.25"/>
  <cols>
    <col min="1" max="1" width="12.42578125" style="137" bestFit="1" customWidth="1"/>
    <col min="2" max="2" width="59.85546875" style="1" customWidth="1"/>
    <col min="3" max="3" width="30.42578125" style="129" customWidth="1"/>
    <col min="4" max="4" width="19.5703125" customWidth="1"/>
    <col min="5" max="5" width="30.85546875" customWidth="1"/>
    <col min="6" max="6" width="56.85546875" style="3" customWidth="1"/>
    <col min="7" max="7" width="45" customWidth="1"/>
    <col min="8" max="8" width="20.42578125" customWidth="1"/>
    <col min="13" max="13" width="13.85546875" customWidth="1"/>
    <col min="14" max="14" width="11" bestFit="1" customWidth="1"/>
    <col min="15" max="15" width="14.140625" customWidth="1"/>
    <col min="16" max="16" width="12" customWidth="1"/>
  </cols>
  <sheetData>
    <row r="1" spans="1:7" ht="15.75" x14ac:dyDescent="0.25">
      <c r="A1" s="2996" t="s">
        <v>3</v>
      </c>
      <c r="B1" s="2996"/>
      <c r="C1" s="2996"/>
      <c r="D1" s="2996"/>
      <c r="E1" s="2996"/>
    </row>
    <row r="2" spans="1:7" ht="15.75" x14ac:dyDescent="0.25">
      <c r="A2" s="2996" t="s">
        <v>4</v>
      </c>
      <c r="B2" s="2996"/>
      <c r="C2" s="2996"/>
      <c r="D2" s="2996"/>
      <c r="E2" s="2996"/>
    </row>
    <row r="3" spans="1:7" ht="16.5" thickBot="1" x14ac:dyDescent="0.3">
      <c r="A3" s="128"/>
    </row>
    <row r="4" spans="1:7" ht="30.75" customHeight="1" thickBot="1" x14ac:dyDescent="0.3">
      <c r="A4" s="3003" t="s">
        <v>5</v>
      </c>
      <c r="B4" s="3005" t="s">
        <v>6</v>
      </c>
      <c r="C4" s="3006" t="s">
        <v>7</v>
      </c>
      <c r="D4" s="3006" t="s">
        <v>8</v>
      </c>
      <c r="E4" s="130" t="s">
        <v>9</v>
      </c>
      <c r="F4" s="2999" t="s">
        <v>180</v>
      </c>
      <c r="G4" t="s">
        <v>412</v>
      </c>
    </row>
    <row r="5" spans="1:7" ht="16.5" thickBot="1" x14ac:dyDescent="0.3">
      <c r="A5" s="3003"/>
      <c r="B5" s="3005"/>
      <c r="C5" s="3006"/>
      <c r="D5" s="3006"/>
      <c r="E5" s="130" t="s">
        <v>10</v>
      </c>
      <c r="F5" s="3000"/>
    </row>
    <row r="6" spans="1:7" ht="16.5" thickBot="1" x14ac:dyDescent="0.3">
      <c r="A6" s="131">
        <v>1</v>
      </c>
      <c r="B6" s="132">
        <v>2</v>
      </c>
      <c r="C6" s="132">
        <v>3</v>
      </c>
      <c r="D6" s="132">
        <v>4</v>
      </c>
      <c r="E6" s="130">
        <v>5</v>
      </c>
      <c r="F6" s="133">
        <v>6</v>
      </c>
    </row>
    <row r="7" spans="1:7" ht="15.75" x14ac:dyDescent="0.25">
      <c r="A7" s="115"/>
      <c r="B7" s="3013" t="s">
        <v>11</v>
      </c>
      <c r="C7" s="3013"/>
      <c r="D7" s="3013"/>
      <c r="E7" s="3014"/>
      <c r="F7" s="76"/>
    </row>
    <row r="8" spans="1:7" ht="16.5" thickBot="1" x14ac:dyDescent="0.3">
      <c r="A8" s="107" t="s">
        <v>12</v>
      </c>
      <c r="B8" s="72" t="s">
        <v>13</v>
      </c>
      <c r="C8" s="108" t="s">
        <v>0</v>
      </c>
      <c r="D8" s="109">
        <v>0.1</v>
      </c>
      <c r="E8" s="110"/>
      <c r="F8" s="4"/>
    </row>
    <row r="9" spans="1:7" ht="111" thickBot="1" x14ac:dyDescent="0.3">
      <c r="A9" s="107" t="s">
        <v>14</v>
      </c>
      <c r="B9" s="72" t="s">
        <v>15</v>
      </c>
      <c r="C9" s="108" t="s">
        <v>244</v>
      </c>
      <c r="D9" s="109">
        <v>1</v>
      </c>
      <c r="E9" s="110"/>
      <c r="F9" s="116" t="s">
        <v>355</v>
      </c>
      <c r="G9" t="s">
        <v>356</v>
      </c>
    </row>
    <row r="10" spans="1:7" ht="88.5" customHeight="1" thickBot="1" x14ac:dyDescent="0.3">
      <c r="A10" s="107" t="s">
        <v>16</v>
      </c>
      <c r="B10" s="72" t="s">
        <v>17</v>
      </c>
      <c r="C10" s="108" t="s">
        <v>157</v>
      </c>
      <c r="D10" s="109">
        <v>1</v>
      </c>
      <c r="E10" s="85" t="s">
        <v>357</v>
      </c>
      <c r="F10" s="4" t="s">
        <v>160</v>
      </c>
      <c r="G10" t="s">
        <v>358</v>
      </c>
    </row>
    <row r="11" spans="1:7" ht="56.25" customHeight="1" thickBot="1" x14ac:dyDescent="0.3">
      <c r="A11" s="107" t="s">
        <v>18</v>
      </c>
      <c r="B11" s="72" t="s">
        <v>19</v>
      </c>
      <c r="C11" s="108"/>
      <c r="D11" s="109"/>
      <c r="E11" s="110"/>
      <c r="F11" s="4" t="s">
        <v>359</v>
      </c>
      <c r="G11" t="s">
        <v>248</v>
      </c>
    </row>
    <row r="12" spans="1:7" ht="56.25" customHeight="1" thickBot="1" x14ac:dyDescent="0.3">
      <c r="A12" s="107" t="s">
        <v>360</v>
      </c>
      <c r="B12" s="72" t="s">
        <v>250</v>
      </c>
      <c r="C12" s="108" t="s">
        <v>157</v>
      </c>
      <c r="D12" s="109">
        <v>4</v>
      </c>
      <c r="E12" s="110"/>
      <c r="F12" s="4"/>
    </row>
    <row r="13" spans="1:7" ht="56.25" customHeight="1" thickBot="1" x14ac:dyDescent="0.3">
      <c r="A13" s="107" t="s">
        <v>361</v>
      </c>
      <c r="B13" s="72" t="s">
        <v>252</v>
      </c>
      <c r="C13" s="108" t="s">
        <v>157</v>
      </c>
      <c r="D13" s="109">
        <v>4</v>
      </c>
      <c r="E13" s="110"/>
      <c r="F13" s="4"/>
    </row>
    <row r="14" spans="1:7" ht="56.25" hidden="1" customHeight="1" x14ac:dyDescent="0.25">
      <c r="A14" s="75" t="s">
        <v>413</v>
      </c>
      <c r="B14" s="83" t="s">
        <v>254</v>
      </c>
      <c r="C14" s="84" t="s">
        <v>157</v>
      </c>
      <c r="D14" s="79"/>
      <c r="E14" s="110"/>
      <c r="F14" s="4"/>
    </row>
    <row r="15" spans="1:7" ht="56.25" hidden="1" customHeight="1" x14ac:dyDescent="0.25">
      <c r="A15" s="75" t="s">
        <v>414</v>
      </c>
      <c r="B15" s="83" t="s">
        <v>256</v>
      </c>
      <c r="C15" s="84" t="s">
        <v>157</v>
      </c>
      <c r="D15" s="79"/>
      <c r="E15" s="110"/>
      <c r="F15" s="4"/>
    </row>
    <row r="16" spans="1:7" ht="16.5" thickBot="1" x14ac:dyDescent="0.3">
      <c r="A16" s="107" t="s">
        <v>20</v>
      </c>
      <c r="B16" s="72" t="s">
        <v>21</v>
      </c>
      <c r="C16" s="108" t="s">
        <v>242</v>
      </c>
      <c r="D16" s="109">
        <v>100</v>
      </c>
      <c r="E16" s="110"/>
      <c r="F16" s="4" t="s">
        <v>362</v>
      </c>
      <c r="G16" t="s">
        <v>284</v>
      </c>
    </row>
    <row r="17" spans="1:8" ht="32.25" thickBot="1" x14ac:dyDescent="0.3">
      <c r="A17" s="107" t="s">
        <v>22</v>
      </c>
      <c r="B17" s="72" t="s">
        <v>23</v>
      </c>
      <c r="C17" s="108" t="s">
        <v>130</v>
      </c>
      <c r="D17" s="109">
        <v>65</v>
      </c>
      <c r="E17" s="110"/>
      <c r="F17" s="116" t="s">
        <v>363</v>
      </c>
      <c r="G17" t="s">
        <v>364</v>
      </c>
      <c r="H17" t="s">
        <v>170</v>
      </c>
    </row>
    <row r="18" spans="1:8" ht="32.25" thickBot="1" x14ac:dyDescent="0.3">
      <c r="A18" s="107" t="s">
        <v>24</v>
      </c>
      <c r="B18" s="72" t="s">
        <v>25</v>
      </c>
      <c r="C18" s="108" t="s">
        <v>269</v>
      </c>
      <c r="D18" s="109">
        <v>2</v>
      </c>
      <c r="E18" s="117"/>
      <c r="F18" s="4" t="s">
        <v>158</v>
      </c>
      <c r="G18" t="s">
        <v>365</v>
      </c>
    </row>
    <row r="19" spans="1:8" ht="16.5" thickBot="1" x14ac:dyDescent="0.3">
      <c r="A19" s="107" t="s">
        <v>26</v>
      </c>
      <c r="B19" s="72" t="s">
        <v>27</v>
      </c>
      <c r="C19" s="108" t="s">
        <v>269</v>
      </c>
      <c r="D19" s="109">
        <v>5</v>
      </c>
      <c r="E19" s="117" t="s">
        <v>28</v>
      </c>
      <c r="F19" s="4" t="s">
        <v>159</v>
      </c>
    </row>
    <row r="20" spans="1:8" ht="16.5" thickBot="1" x14ac:dyDescent="0.3">
      <c r="A20" s="87" t="s">
        <v>29</v>
      </c>
      <c r="B20" s="88" t="s">
        <v>30</v>
      </c>
      <c r="C20" s="89" t="s">
        <v>281</v>
      </c>
      <c r="D20" s="90" t="s">
        <v>345</v>
      </c>
      <c r="E20" s="110"/>
      <c r="F20" s="4" t="s">
        <v>159</v>
      </c>
      <c r="H20" s="2" t="s">
        <v>234</v>
      </c>
    </row>
    <row r="21" spans="1:8" ht="15.75" x14ac:dyDescent="0.25">
      <c r="A21" s="107" t="s">
        <v>366</v>
      </c>
      <c r="B21" s="72" t="s">
        <v>291</v>
      </c>
      <c r="C21" s="108"/>
      <c r="D21" s="109"/>
      <c r="E21" s="110"/>
      <c r="F21" s="74"/>
      <c r="H21" t="s">
        <v>235</v>
      </c>
    </row>
    <row r="22" spans="1:8" ht="15.75" x14ac:dyDescent="0.25">
      <c r="A22" s="107" t="s">
        <v>367</v>
      </c>
      <c r="B22" s="95" t="s">
        <v>368</v>
      </c>
      <c r="C22" s="108" t="s">
        <v>273</v>
      </c>
      <c r="D22" s="109">
        <v>150</v>
      </c>
      <c r="E22" s="118"/>
      <c r="F22" s="74"/>
      <c r="H22" t="s">
        <v>236</v>
      </c>
    </row>
    <row r="23" spans="1:8" ht="15.75" x14ac:dyDescent="0.25">
      <c r="A23" s="107" t="s">
        <v>369</v>
      </c>
      <c r="B23" s="95" t="s">
        <v>295</v>
      </c>
      <c r="C23" s="108" t="s">
        <v>273</v>
      </c>
      <c r="D23" s="109">
        <v>200</v>
      </c>
      <c r="E23" s="118"/>
      <c r="F23" s="74"/>
    </row>
    <row r="24" spans="1:8" ht="15.75" x14ac:dyDescent="0.25">
      <c r="A24" s="107" t="s">
        <v>370</v>
      </c>
      <c r="B24" s="95" t="s">
        <v>371</v>
      </c>
      <c r="C24" s="108" t="s">
        <v>308</v>
      </c>
      <c r="D24" s="109">
        <v>10</v>
      </c>
      <c r="E24" s="118"/>
      <c r="F24" s="74"/>
    </row>
    <row r="25" spans="1:8" ht="15.75" x14ac:dyDescent="0.25">
      <c r="A25" s="107" t="s">
        <v>372</v>
      </c>
      <c r="B25" s="72" t="s">
        <v>301</v>
      </c>
      <c r="C25" s="108"/>
      <c r="D25" s="109"/>
      <c r="E25" s="118"/>
      <c r="F25" s="74"/>
    </row>
    <row r="26" spans="1:8" ht="63" x14ac:dyDescent="0.25">
      <c r="A26" s="107" t="s">
        <v>373</v>
      </c>
      <c r="B26" s="72" t="s">
        <v>374</v>
      </c>
      <c r="C26" s="108" t="s">
        <v>304</v>
      </c>
      <c r="D26" s="108" t="s">
        <v>375</v>
      </c>
      <c r="E26" s="118"/>
      <c r="F26" s="74"/>
    </row>
    <row r="27" spans="1:8" ht="15.75" x14ac:dyDescent="0.25">
      <c r="A27" s="107" t="s">
        <v>376</v>
      </c>
      <c r="B27" s="95" t="s">
        <v>310</v>
      </c>
      <c r="C27" s="108" t="s">
        <v>316</v>
      </c>
      <c r="D27" s="109">
        <v>1</v>
      </c>
      <c r="E27" s="118"/>
      <c r="F27" s="74"/>
    </row>
    <row r="28" spans="1:8" ht="15.75" x14ac:dyDescent="0.25">
      <c r="A28" s="107" t="s">
        <v>377</v>
      </c>
      <c r="B28" s="95" t="s">
        <v>307</v>
      </c>
      <c r="C28" s="108" t="s">
        <v>308</v>
      </c>
      <c r="D28" s="109">
        <v>10</v>
      </c>
      <c r="E28" s="118"/>
      <c r="F28" s="74"/>
    </row>
    <row r="29" spans="1:8" ht="15.75" x14ac:dyDescent="0.25">
      <c r="A29" s="75"/>
      <c r="B29" s="3001" t="s">
        <v>31</v>
      </c>
      <c r="C29" s="3001"/>
      <c r="D29" s="3001"/>
      <c r="E29" s="3002"/>
      <c r="F29" s="76"/>
    </row>
    <row r="30" spans="1:8" ht="16.5" thickBot="1" x14ac:dyDescent="0.3">
      <c r="A30" s="107" t="s">
        <v>32</v>
      </c>
      <c r="B30" s="72" t="s">
        <v>13</v>
      </c>
      <c r="C30" s="108" t="s">
        <v>0</v>
      </c>
      <c r="D30" s="104">
        <v>0.5</v>
      </c>
      <c r="E30" s="110"/>
      <c r="F30" s="4"/>
    </row>
    <row r="31" spans="1:8" ht="16.5" thickBot="1" x14ac:dyDescent="0.3">
      <c r="A31" s="107" t="s">
        <v>33</v>
      </c>
      <c r="B31" s="72" t="s">
        <v>34</v>
      </c>
      <c r="C31" s="108" t="s">
        <v>157</v>
      </c>
      <c r="D31" s="109">
        <v>1</v>
      </c>
      <c r="E31" s="110"/>
      <c r="F31" s="111"/>
    </row>
    <row r="32" spans="1:8" ht="15.75" x14ac:dyDescent="0.25">
      <c r="A32" s="107" t="s">
        <v>35</v>
      </c>
      <c r="B32" s="72" t="s">
        <v>36</v>
      </c>
      <c r="C32" s="108" t="s">
        <v>130</v>
      </c>
      <c r="D32" s="3011">
        <v>4500</v>
      </c>
      <c r="E32" s="73" t="s">
        <v>245</v>
      </c>
      <c r="F32" s="105" t="s">
        <v>337</v>
      </c>
      <c r="G32" s="106" t="s">
        <v>272</v>
      </c>
    </row>
    <row r="33" spans="1:7" s="122" customFormat="1" ht="31.5" x14ac:dyDescent="0.25">
      <c r="A33" s="119"/>
      <c r="B33" s="261" t="s">
        <v>604</v>
      </c>
      <c r="C33" s="120"/>
      <c r="D33" s="3012"/>
      <c r="E33" s="264"/>
      <c r="F33" s="265" t="s">
        <v>605</v>
      </c>
      <c r="G33" s="266"/>
    </row>
    <row r="34" spans="1:7" ht="16.5" thickBot="1" x14ac:dyDescent="0.3">
      <c r="A34" s="107" t="s">
        <v>37</v>
      </c>
      <c r="B34" s="72" t="s">
        <v>38</v>
      </c>
      <c r="C34" s="108" t="s">
        <v>157</v>
      </c>
      <c r="D34" s="109">
        <v>1</v>
      </c>
      <c r="E34" s="85" t="s">
        <v>338</v>
      </c>
      <c r="F34" s="4" t="s">
        <v>163</v>
      </c>
    </row>
    <row r="35" spans="1:7" ht="15.75" x14ac:dyDescent="0.25">
      <c r="A35" s="3007" t="s">
        <v>39</v>
      </c>
      <c r="B35" s="72" t="s">
        <v>40</v>
      </c>
      <c r="C35" s="3010" t="s">
        <v>157</v>
      </c>
      <c r="D35" s="3008">
        <v>1</v>
      </c>
      <c r="E35" s="3009"/>
      <c r="F35" s="2997" t="s">
        <v>162</v>
      </c>
    </row>
    <row r="36" spans="1:7" ht="16.5" thickBot="1" x14ac:dyDescent="0.3">
      <c r="A36" s="3007"/>
      <c r="B36" s="72" t="s">
        <v>41</v>
      </c>
      <c r="C36" s="3010"/>
      <c r="D36" s="3008"/>
      <c r="E36" s="3009"/>
      <c r="F36" s="2998"/>
    </row>
    <row r="37" spans="1:7" ht="32.25" thickBot="1" x14ac:dyDescent="0.3">
      <c r="A37" s="107" t="s">
        <v>42</v>
      </c>
      <c r="B37" s="72" t="s">
        <v>339</v>
      </c>
      <c r="C37" s="108" t="s">
        <v>157</v>
      </c>
      <c r="D37" s="109">
        <v>2</v>
      </c>
      <c r="E37" s="85" t="s">
        <v>340</v>
      </c>
      <c r="F37" s="4" t="s">
        <v>168</v>
      </c>
      <c r="G37" t="s">
        <v>341</v>
      </c>
    </row>
    <row r="38" spans="1:7" ht="16.5" thickBot="1" x14ac:dyDescent="0.3">
      <c r="A38" s="107" t="s">
        <v>43</v>
      </c>
      <c r="B38" s="72" t="s">
        <v>21</v>
      </c>
      <c r="C38" s="108" t="s">
        <v>242</v>
      </c>
      <c r="D38" s="109">
        <v>250</v>
      </c>
      <c r="E38" s="73" t="s">
        <v>262</v>
      </c>
      <c r="F38" s="4" t="s">
        <v>167</v>
      </c>
      <c r="G38" t="s">
        <v>284</v>
      </c>
    </row>
    <row r="39" spans="1:7" ht="32.25" thickBot="1" x14ac:dyDescent="0.3">
      <c r="A39" s="107" t="s">
        <v>44</v>
      </c>
      <c r="B39" s="72" t="s">
        <v>19</v>
      </c>
      <c r="C39" s="108"/>
      <c r="D39" s="109"/>
      <c r="E39" s="73" t="s">
        <v>247</v>
      </c>
      <c r="F39" s="4" t="s">
        <v>161</v>
      </c>
      <c r="G39" t="s">
        <v>248</v>
      </c>
    </row>
    <row r="40" spans="1:7" ht="16.5" thickBot="1" x14ac:dyDescent="0.3">
      <c r="A40" s="107" t="s">
        <v>342</v>
      </c>
      <c r="B40" s="72" t="s">
        <v>250</v>
      </c>
      <c r="C40" s="108" t="s">
        <v>157</v>
      </c>
      <c r="D40" s="109">
        <v>6</v>
      </c>
      <c r="E40" s="73"/>
      <c r="F40" s="4"/>
    </row>
    <row r="41" spans="1:7" ht="32.25" thickBot="1" x14ac:dyDescent="0.3">
      <c r="A41" s="107" t="s">
        <v>343</v>
      </c>
      <c r="B41" s="72" t="s">
        <v>252</v>
      </c>
      <c r="C41" s="108" t="s">
        <v>157</v>
      </c>
      <c r="D41" s="109">
        <v>6</v>
      </c>
      <c r="E41" s="73"/>
      <c r="F41" s="4"/>
    </row>
    <row r="42" spans="1:7" ht="1.5" hidden="1" customHeight="1" x14ac:dyDescent="0.25">
      <c r="A42" s="75" t="s">
        <v>378</v>
      </c>
      <c r="B42" s="83" t="s">
        <v>254</v>
      </c>
      <c r="C42" s="84" t="s">
        <v>157</v>
      </c>
      <c r="D42" s="79"/>
      <c r="E42" s="73"/>
      <c r="F42" s="4"/>
    </row>
    <row r="43" spans="1:7" ht="16.5" hidden="1" thickBot="1" x14ac:dyDescent="0.3">
      <c r="A43" s="75" t="s">
        <v>379</v>
      </c>
      <c r="B43" s="83" t="s">
        <v>256</v>
      </c>
      <c r="C43" s="84" t="s">
        <v>157</v>
      </c>
      <c r="D43" s="79"/>
      <c r="E43" s="73"/>
      <c r="F43" s="4"/>
    </row>
    <row r="44" spans="1:7" ht="32.25" thickBot="1" x14ac:dyDescent="0.3">
      <c r="A44" s="107" t="s">
        <v>45</v>
      </c>
      <c r="B44" s="72" t="s">
        <v>46</v>
      </c>
      <c r="C44" s="108" t="s">
        <v>242</v>
      </c>
      <c r="D44" s="109">
        <v>3000</v>
      </c>
      <c r="E44" s="73" t="s">
        <v>247</v>
      </c>
      <c r="F44" s="4" t="s">
        <v>166</v>
      </c>
    </row>
    <row r="45" spans="1:7" ht="16.5" thickBot="1" x14ac:dyDescent="0.3">
      <c r="A45" s="107" t="s">
        <v>47</v>
      </c>
      <c r="B45" s="72" t="s">
        <v>27</v>
      </c>
      <c r="C45" s="108" t="s">
        <v>157</v>
      </c>
      <c r="D45" s="109">
        <v>25</v>
      </c>
      <c r="E45" s="73" t="s">
        <v>257</v>
      </c>
      <c r="F45" s="4" t="s">
        <v>159</v>
      </c>
    </row>
    <row r="46" spans="1:7" ht="32.25" thickBot="1" x14ac:dyDescent="0.3">
      <c r="A46" s="107" t="s">
        <v>48</v>
      </c>
      <c r="B46" s="72" t="s">
        <v>49</v>
      </c>
      <c r="C46" s="108" t="s">
        <v>269</v>
      </c>
      <c r="D46" s="109">
        <v>1</v>
      </c>
      <c r="E46" s="73" t="s">
        <v>344</v>
      </c>
      <c r="F46" s="4" t="s">
        <v>165</v>
      </c>
    </row>
    <row r="47" spans="1:7" ht="16.5" thickBot="1" x14ac:dyDescent="0.3">
      <c r="A47" s="87" t="s">
        <v>50</v>
      </c>
      <c r="B47" s="88" t="s">
        <v>30</v>
      </c>
      <c r="C47" s="89" t="s">
        <v>281</v>
      </c>
      <c r="D47" s="90" t="s">
        <v>345</v>
      </c>
      <c r="E47" s="73" t="s">
        <v>257</v>
      </c>
      <c r="F47" s="4" t="s">
        <v>159</v>
      </c>
    </row>
    <row r="48" spans="1:7" ht="16.5" thickBot="1" x14ac:dyDescent="0.3">
      <c r="A48" s="107" t="s">
        <v>51</v>
      </c>
      <c r="B48" s="72" t="s">
        <v>52</v>
      </c>
      <c r="C48" s="108" t="s">
        <v>317</v>
      </c>
      <c r="D48" s="109">
        <v>500</v>
      </c>
      <c r="E48" s="73" t="s">
        <v>262</v>
      </c>
      <c r="F48" s="4" t="s">
        <v>164</v>
      </c>
      <c r="G48" t="s">
        <v>259</v>
      </c>
    </row>
    <row r="49" spans="1:7" ht="15.75" x14ac:dyDescent="0.25">
      <c r="A49" s="107" t="s">
        <v>346</v>
      </c>
      <c r="B49" s="72" t="s">
        <v>291</v>
      </c>
      <c r="C49" s="108"/>
      <c r="D49" s="109"/>
      <c r="E49" s="73"/>
      <c r="F49" s="74"/>
    </row>
    <row r="50" spans="1:7" ht="15.75" x14ac:dyDescent="0.25">
      <c r="A50" s="107" t="s">
        <v>347</v>
      </c>
      <c r="B50" s="95" t="s">
        <v>293</v>
      </c>
      <c r="C50" s="72" t="s">
        <v>273</v>
      </c>
      <c r="D50" s="109">
        <v>150</v>
      </c>
      <c r="E50" s="103"/>
      <c r="F50" s="74"/>
    </row>
    <row r="51" spans="1:7" ht="15.75" x14ac:dyDescent="0.25">
      <c r="A51" s="107" t="s">
        <v>348</v>
      </c>
      <c r="B51" s="95" t="s">
        <v>295</v>
      </c>
      <c r="C51" s="72" t="s">
        <v>273</v>
      </c>
      <c r="D51" s="109">
        <v>200</v>
      </c>
      <c r="E51" s="103"/>
      <c r="F51" s="74"/>
    </row>
    <row r="52" spans="1:7" ht="15.75" x14ac:dyDescent="0.25">
      <c r="A52" s="107" t="s">
        <v>349</v>
      </c>
      <c r="B52" s="112" t="s">
        <v>301</v>
      </c>
      <c r="C52" s="113"/>
      <c r="D52" s="114"/>
      <c r="E52" s="73"/>
      <c r="F52" s="74"/>
    </row>
    <row r="53" spans="1:7" ht="63" x14ac:dyDescent="0.25">
      <c r="A53" s="107" t="s">
        <v>350</v>
      </c>
      <c r="B53" s="72" t="s">
        <v>303</v>
      </c>
      <c r="C53" s="72" t="s">
        <v>304</v>
      </c>
      <c r="D53" s="108" t="s">
        <v>351</v>
      </c>
      <c r="E53" s="103"/>
      <c r="F53" s="74"/>
    </row>
    <row r="54" spans="1:7" ht="15.75" x14ac:dyDescent="0.25">
      <c r="A54" s="107" t="s">
        <v>352</v>
      </c>
      <c r="B54" s="95" t="s">
        <v>307</v>
      </c>
      <c r="C54" s="72" t="s">
        <v>308</v>
      </c>
      <c r="D54" s="109">
        <v>16</v>
      </c>
      <c r="E54" s="103"/>
      <c r="F54" s="74"/>
    </row>
    <row r="55" spans="1:7" ht="15.75" x14ac:dyDescent="0.25">
      <c r="A55" s="107" t="s">
        <v>353</v>
      </c>
      <c r="B55" s="72" t="s">
        <v>310</v>
      </c>
      <c r="C55" s="72" t="s">
        <v>316</v>
      </c>
      <c r="D55" s="109">
        <v>1</v>
      </c>
      <c r="E55" s="103"/>
      <c r="F55" s="74"/>
    </row>
    <row r="56" spans="1:7" ht="31.5" x14ac:dyDescent="0.25">
      <c r="A56" s="107" t="s">
        <v>354</v>
      </c>
      <c r="B56" s="72" t="s">
        <v>312</v>
      </c>
      <c r="C56" s="72" t="s">
        <v>313</v>
      </c>
      <c r="D56" s="109">
        <v>8</v>
      </c>
      <c r="E56" s="103"/>
      <c r="F56" s="74"/>
    </row>
    <row r="57" spans="1:7" ht="15.75" x14ac:dyDescent="0.25">
      <c r="A57" s="75"/>
      <c r="B57" s="3004" t="s">
        <v>53</v>
      </c>
      <c r="C57" s="3004"/>
      <c r="D57" s="3004"/>
      <c r="E57" s="3002"/>
      <c r="F57" s="76"/>
    </row>
    <row r="58" spans="1:7" ht="16.5" thickBot="1" x14ac:dyDescent="0.3">
      <c r="A58" s="107" t="s">
        <v>54</v>
      </c>
      <c r="B58" s="72" t="s">
        <v>13</v>
      </c>
      <c r="C58" s="108" t="s">
        <v>0</v>
      </c>
      <c r="D58" s="121">
        <v>8.8000000000000007</v>
      </c>
      <c r="E58" s="110"/>
      <c r="F58" s="4"/>
    </row>
    <row r="59" spans="1:7" ht="16.5" thickBot="1" x14ac:dyDescent="0.3">
      <c r="A59" s="107" t="s">
        <v>55</v>
      </c>
      <c r="B59" s="267" t="s">
        <v>69</v>
      </c>
      <c r="C59" s="108" t="s">
        <v>317</v>
      </c>
      <c r="D59" s="121">
        <v>2500</v>
      </c>
      <c r="E59" s="73" t="s">
        <v>318</v>
      </c>
      <c r="F59" s="97" t="s">
        <v>173</v>
      </c>
    </row>
    <row r="60" spans="1:7" s="122" customFormat="1" ht="16.5" thickBot="1" x14ac:dyDescent="0.3">
      <c r="A60" s="119" t="s">
        <v>606</v>
      </c>
      <c r="B60" s="267" t="s">
        <v>607</v>
      </c>
      <c r="C60" s="120" t="s">
        <v>317</v>
      </c>
      <c r="D60" s="121">
        <v>1000</v>
      </c>
      <c r="E60" s="264"/>
      <c r="F60" s="265"/>
    </row>
    <row r="61" spans="1:7" ht="21.75" customHeight="1" thickBot="1" x14ac:dyDescent="0.3">
      <c r="A61" s="107" t="s">
        <v>56</v>
      </c>
      <c r="B61" s="72" t="s">
        <v>57</v>
      </c>
      <c r="C61" s="108" t="s">
        <v>317</v>
      </c>
      <c r="D61" s="109">
        <v>1000</v>
      </c>
      <c r="E61" s="73" t="s">
        <v>262</v>
      </c>
      <c r="F61" s="4" t="s">
        <v>167</v>
      </c>
    </row>
    <row r="62" spans="1:7" ht="16.5" thickBot="1" x14ac:dyDescent="0.3">
      <c r="A62" s="107" t="s">
        <v>58</v>
      </c>
      <c r="B62" s="72" t="s">
        <v>21</v>
      </c>
      <c r="C62" s="108" t="s">
        <v>317</v>
      </c>
      <c r="D62" s="109">
        <v>1800</v>
      </c>
      <c r="E62" s="73" t="s">
        <v>262</v>
      </c>
      <c r="F62" s="4" t="s">
        <v>167</v>
      </c>
      <c r="G62" t="s">
        <v>284</v>
      </c>
    </row>
    <row r="63" spans="1:7" ht="32.25" thickBot="1" x14ac:dyDescent="0.3">
      <c r="A63" s="107" t="s">
        <v>59</v>
      </c>
      <c r="B63" s="72" t="s">
        <v>46</v>
      </c>
      <c r="C63" s="108" t="s">
        <v>319</v>
      </c>
      <c r="D63" s="109">
        <v>5000</v>
      </c>
      <c r="E63" s="73" t="s">
        <v>247</v>
      </c>
      <c r="F63" s="4" t="s">
        <v>166</v>
      </c>
    </row>
    <row r="64" spans="1:7" ht="36.75" customHeight="1" thickBot="1" x14ac:dyDescent="0.3">
      <c r="A64" s="107" t="s">
        <v>60</v>
      </c>
      <c r="B64" s="72" t="s">
        <v>19</v>
      </c>
      <c r="C64" s="108"/>
      <c r="D64" s="109"/>
      <c r="E64" s="73" t="s">
        <v>247</v>
      </c>
      <c r="F64" s="4" t="s">
        <v>161</v>
      </c>
      <c r="G64" t="s">
        <v>248</v>
      </c>
    </row>
    <row r="65" spans="1:8" ht="36.75" customHeight="1" thickBot="1" x14ac:dyDescent="0.3">
      <c r="A65" s="107" t="s">
        <v>320</v>
      </c>
      <c r="B65" s="72" t="s">
        <v>250</v>
      </c>
      <c r="C65" s="108" t="s">
        <v>157</v>
      </c>
      <c r="D65" s="109">
        <v>18</v>
      </c>
      <c r="E65" s="73"/>
      <c r="F65" s="4"/>
    </row>
    <row r="66" spans="1:8" ht="36" customHeight="1" thickBot="1" x14ac:dyDescent="0.3">
      <c r="A66" s="107" t="s">
        <v>321</v>
      </c>
      <c r="B66" s="72" t="s">
        <v>252</v>
      </c>
      <c r="C66" s="108" t="s">
        <v>157</v>
      </c>
      <c r="D66" s="109">
        <v>18</v>
      </c>
      <c r="E66" s="73"/>
      <c r="F66" s="4"/>
    </row>
    <row r="67" spans="1:8" ht="36.75" hidden="1" customHeight="1" x14ac:dyDescent="0.25">
      <c r="A67" s="98" t="s">
        <v>322</v>
      </c>
      <c r="B67" s="77" t="s">
        <v>254</v>
      </c>
      <c r="C67" s="78" t="s">
        <v>157</v>
      </c>
      <c r="D67" s="99"/>
      <c r="E67" s="73"/>
      <c r="F67" s="4"/>
    </row>
    <row r="68" spans="1:8" ht="36.75" hidden="1" customHeight="1" x14ac:dyDescent="0.25">
      <c r="A68" s="98" t="s">
        <v>323</v>
      </c>
      <c r="B68" s="77" t="s">
        <v>256</v>
      </c>
      <c r="C68" s="78" t="s">
        <v>157</v>
      </c>
      <c r="D68" s="99"/>
      <c r="E68" s="73"/>
      <c r="F68" s="4"/>
    </row>
    <row r="69" spans="1:8" ht="21.75" customHeight="1" thickBot="1" x14ac:dyDescent="0.3">
      <c r="A69" s="107" t="s">
        <v>61</v>
      </c>
      <c r="B69" s="72" t="s">
        <v>62</v>
      </c>
      <c r="C69" s="108" t="s">
        <v>157</v>
      </c>
      <c r="D69" s="109">
        <v>3</v>
      </c>
      <c r="E69" s="110"/>
      <c r="F69" s="4"/>
      <c r="H69" t="s">
        <v>169</v>
      </c>
    </row>
    <row r="70" spans="1:8" ht="43.5" customHeight="1" thickBot="1" x14ac:dyDescent="0.4">
      <c r="A70" s="87" t="s">
        <v>63</v>
      </c>
      <c r="B70" s="88" t="s">
        <v>64</v>
      </c>
      <c r="C70" s="100" t="s">
        <v>324</v>
      </c>
      <c r="D70" s="101" t="s">
        <v>325</v>
      </c>
      <c r="E70" s="85" t="s">
        <v>267</v>
      </c>
      <c r="F70" s="4" t="s">
        <v>171</v>
      </c>
      <c r="H70" s="102" t="s">
        <v>245</v>
      </c>
    </row>
    <row r="71" spans="1:8" ht="16.5" thickBot="1" x14ac:dyDescent="0.3">
      <c r="A71" s="107" t="s">
        <v>65</v>
      </c>
      <c r="B71" s="72" t="s">
        <v>52</v>
      </c>
      <c r="C71" s="108" t="s">
        <v>317</v>
      </c>
      <c r="D71" s="109">
        <v>1800</v>
      </c>
      <c r="E71" s="73" t="s">
        <v>262</v>
      </c>
      <c r="F71" s="4" t="s">
        <v>164</v>
      </c>
      <c r="G71" t="s">
        <v>259</v>
      </c>
    </row>
    <row r="72" spans="1:8" ht="15.75" x14ac:dyDescent="0.25">
      <c r="A72" s="107" t="s">
        <v>326</v>
      </c>
      <c r="B72" s="72" t="s">
        <v>291</v>
      </c>
      <c r="C72" s="108"/>
      <c r="D72" s="109"/>
      <c r="E72" s="73"/>
      <c r="F72" s="74"/>
    </row>
    <row r="73" spans="1:8" ht="15.75" x14ac:dyDescent="0.25">
      <c r="A73" s="94" t="s">
        <v>327</v>
      </c>
      <c r="B73" s="95" t="s">
        <v>293</v>
      </c>
      <c r="C73" s="72" t="s">
        <v>273</v>
      </c>
      <c r="D73" s="109">
        <v>150</v>
      </c>
      <c r="E73" s="103"/>
      <c r="F73" s="74"/>
    </row>
    <row r="74" spans="1:8" ht="15.75" x14ac:dyDescent="0.25">
      <c r="A74" s="94" t="s">
        <v>328</v>
      </c>
      <c r="B74" s="95" t="s">
        <v>295</v>
      </c>
      <c r="C74" s="72" t="s">
        <v>273</v>
      </c>
      <c r="D74" s="109">
        <v>200</v>
      </c>
      <c r="E74" s="103"/>
      <c r="F74" s="74"/>
    </row>
    <row r="75" spans="1:8" ht="15.75" x14ac:dyDescent="0.25">
      <c r="A75" s="94" t="s">
        <v>329</v>
      </c>
      <c r="B75" s="72" t="s">
        <v>301</v>
      </c>
      <c r="C75" s="108"/>
      <c r="D75" s="109"/>
      <c r="E75" s="103"/>
      <c r="F75" s="74"/>
    </row>
    <row r="76" spans="1:8" ht="63" x14ac:dyDescent="0.25">
      <c r="A76" s="94" t="s">
        <v>330</v>
      </c>
      <c r="B76" s="72" t="s">
        <v>303</v>
      </c>
      <c r="C76" s="72" t="s">
        <v>304</v>
      </c>
      <c r="D76" s="108" t="s">
        <v>331</v>
      </c>
      <c r="E76" s="103"/>
      <c r="F76" s="74"/>
    </row>
    <row r="77" spans="1:8" ht="15.75" x14ac:dyDescent="0.25">
      <c r="A77" s="94" t="s">
        <v>332</v>
      </c>
      <c r="B77" s="95" t="s">
        <v>333</v>
      </c>
      <c r="C77" s="72" t="s">
        <v>308</v>
      </c>
      <c r="D77" s="109">
        <v>20</v>
      </c>
      <c r="E77" s="103"/>
      <c r="F77" s="74"/>
    </row>
    <row r="78" spans="1:8" ht="15.75" x14ac:dyDescent="0.25">
      <c r="A78" s="94" t="s">
        <v>334</v>
      </c>
      <c r="B78" s="72" t="s">
        <v>310</v>
      </c>
      <c r="C78" s="72"/>
      <c r="D78" s="109"/>
      <c r="E78" s="103"/>
      <c r="F78" s="74"/>
    </row>
    <row r="79" spans="1:8" ht="31.5" x14ac:dyDescent="0.25">
      <c r="A79" s="94" t="s">
        <v>335</v>
      </c>
      <c r="B79" s="72" t="s">
        <v>312</v>
      </c>
      <c r="C79" s="72" t="s">
        <v>313</v>
      </c>
      <c r="D79" s="109">
        <v>8</v>
      </c>
      <c r="E79" s="103"/>
      <c r="F79" s="74"/>
    </row>
    <row r="80" spans="1:8" ht="15.75" x14ac:dyDescent="0.25">
      <c r="A80" s="94" t="s">
        <v>336</v>
      </c>
      <c r="B80" s="95" t="s">
        <v>315</v>
      </c>
      <c r="C80" s="72" t="s">
        <v>316</v>
      </c>
      <c r="D80" s="109">
        <v>3</v>
      </c>
      <c r="E80" s="103"/>
      <c r="F80" s="74"/>
    </row>
    <row r="81" spans="1:7" s="122" customFormat="1" ht="15.75" x14ac:dyDescent="0.25">
      <c r="A81" s="119"/>
      <c r="B81" s="261" t="s">
        <v>602</v>
      </c>
      <c r="C81" s="120" t="s">
        <v>273</v>
      </c>
      <c r="D81" s="121">
        <v>260</v>
      </c>
      <c r="E81" s="263"/>
      <c r="F81" s="123" t="s">
        <v>603</v>
      </c>
    </row>
    <row r="82" spans="1:7" ht="15.75" x14ac:dyDescent="0.25">
      <c r="A82" s="86"/>
      <c r="B82" s="3001" t="s">
        <v>66</v>
      </c>
      <c r="C82" s="3001"/>
      <c r="D82" s="3001"/>
      <c r="E82" s="3002"/>
      <c r="F82" s="76"/>
    </row>
    <row r="83" spans="1:7" ht="16.5" thickBot="1" x14ac:dyDescent="0.3">
      <c r="A83" s="107" t="s">
        <v>67</v>
      </c>
      <c r="B83" s="72" t="s">
        <v>13</v>
      </c>
      <c r="C83" s="108" t="s">
        <v>0</v>
      </c>
      <c r="D83" s="109">
        <v>1.6</v>
      </c>
      <c r="E83" s="110"/>
      <c r="F83" s="4"/>
    </row>
    <row r="84" spans="1:7" ht="16.5" thickBot="1" x14ac:dyDescent="0.3">
      <c r="A84" s="107" t="s">
        <v>68</v>
      </c>
      <c r="B84" s="72" t="s">
        <v>69</v>
      </c>
      <c r="C84" s="108" t="s">
        <v>242</v>
      </c>
      <c r="D84" s="109">
        <v>900</v>
      </c>
      <c r="E84" s="73" t="s">
        <v>262</v>
      </c>
      <c r="F84" s="4" t="s">
        <v>172</v>
      </c>
      <c r="G84" t="s">
        <v>272</v>
      </c>
    </row>
    <row r="85" spans="1:7" ht="16.5" thickBot="1" x14ac:dyDescent="0.3">
      <c r="A85" s="107" t="s">
        <v>70</v>
      </c>
      <c r="B85" s="72" t="s">
        <v>71</v>
      </c>
      <c r="C85" s="108" t="s">
        <v>130</v>
      </c>
      <c r="D85" s="109">
        <v>100</v>
      </c>
      <c r="E85" s="73" t="s">
        <v>245</v>
      </c>
      <c r="F85" s="4" t="s">
        <v>174</v>
      </c>
    </row>
    <row r="86" spans="1:7" ht="16.5" thickBot="1" x14ac:dyDescent="0.3">
      <c r="A86" s="107" t="s">
        <v>72</v>
      </c>
      <c r="B86" s="72" t="s">
        <v>21</v>
      </c>
      <c r="C86" s="108" t="s">
        <v>242</v>
      </c>
      <c r="D86" s="109">
        <v>450</v>
      </c>
      <c r="E86" s="73" t="s">
        <v>262</v>
      </c>
      <c r="F86" s="4" t="s">
        <v>167</v>
      </c>
      <c r="G86" t="s">
        <v>284</v>
      </c>
    </row>
    <row r="87" spans="1:7" ht="95.25" thickBot="1" x14ac:dyDescent="0.3">
      <c r="A87" s="107" t="s">
        <v>73</v>
      </c>
      <c r="B87" s="72" t="s">
        <v>74</v>
      </c>
      <c r="C87" s="108" t="s">
        <v>0</v>
      </c>
      <c r="D87" s="109">
        <v>1</v>
      </c>
      <c r="E87" s="73" t="s">
        <v>275</v>
      </c>
      <c r="F87" s="93" t="s">
        <v>179</v>
      </c>
    </row>
    <row r="88" spans="1:7" ht="32.25" thickBot="1" x14ac:dyDescent="0.3">
      <c r="A88" s="107" t="s">
        <v>75</v>
      </c>
      <c r="B88" s="72" t="s">
        <v>19</v>
      </c>
      <c r="C88" s="108"/>
      <c r="D88" s="109"/>
      <c r="E88" s="73" t="s">
        <v>285</v>
      </c>
      <c r="F88" s="4" t="s">
        <v>161</v>
      </c>
      <c r="G88" t="s">
        <v>248</v>
      </c>
    </row>
    <row r="89" spans="1:7" ht="16.5" thickBot="1" x14ac:dyDescent="0.3">
      <c r="A89" s="107" t="s">
        <v>286</v>
      </c>
      <c r="B89" s="72" t="s">
        <v>250</v>
      </c>
      <c r="C89" s="108" t="s">
        <v>157</v>
      </c>
      <c r="D89" s="109">
        <v>6</v>
      </c>
      <c r="E89" s="73"/>
      <c r="F89" s="4"/>
    </row>
    <row r="90" spans="1:7" ht="0.75" customHeight="1" thickBot="1" x14ac:dyDescent="0.3">
      <c r="A90" s="75" t="s">
        <v>415</v>
      </c>
      <c r="B90" s="77" t="s">
        <v>252</v>
      </c>
      <c r="C90" s="78" t="s">
        <v>157</v>
      </c>
      <c r="D90" s="79"/>
      <c r="E90" s="73"/>
      <c r="F90" s="4"/>
    </row>
    <row r="91" spans="1:7" ht="16.5" thickBot="1" x14ac:dyDescent="0.3">
      <c r="A91" s="107" t="s">
        <v>287</v>
      </c>
      <c r="B91" s="72" t="s">
        <v>254</v>
      </c>
      <c r="C91" s="108" t="s">
        <v>157</v>
      </c>
      <c r="D91" s="109">
        <v>3</v>
      </c>
      <c r="E91" s="73"/>
      <c r="F91" s="4"/>
    </row>
    <row r="92" spans="1:7" ht="0.75" customHeight="1" thickBot="1" x14ac:dyDescent="0.3">
      <c r="A92" s="75" t="s">
        <v>416</v>
      </c>
      <c r="B92" s="77" t="s">
        <v>256</v>
      </c>
      <c r="C92" s="78" t="s">
        <v>157</v>
      </c>
      <c r="D92" s="79"/>
      <c r="E92" s="73"/>
      <c r="F92" s="4"/>
    </row>
    <row r="93" spans="1:7" ht="16.5" thickBot="1" x14ac:dyDescent="0.3">
      <c r="A93" s="107" t="s">
        <v>76</v>
      </c>
      <c r="B93" s="72" t="s">
        <v>27</v>
      </c>
      <c r="C93" s="108" t="s">
        <v>157</v>
      </c>
      <c r="D93" s="109">
        <v>15</v>
      </c>
      <c r="E93" s="73" t="s">
        <v>288</v>
      </c>
      <c r="F93" s="4" t="s">
        <v>159</v>
      </c>
    </row>
    <row r="94" spans="1:7" ht="16.5" thickBot="1" x14ac:dyDescent="0.3">
      <c r="A94" s="87" t="s">
        <v>77</v>
      </c>
      <c r="B94" s="88" t="s">
        <v>30</v>
      </c>
      <c r="C94" s="89" t="s">
        <v>281</v>
      </c>
      <c r="D94" s="90" t="s">
        <v>282</v>
      </c>
      <c r="E94" s="73" t="s">
        <v>288</v>
      </c>
      <c r="F94" s="4" t="s">
        <v>159</v>
      </c>
      <c r="G94" t="s">
        <v>259</v>
      </c>
    </row>
    <row r="95" spans="1:7" ht="63.75" thickBot="1" x14ac:dyDescent="0.3">
      <c r="A95" s="107" t="s">
        <v>78</v>
      </c>
      <c r="B95" s="72" t="s">
        <v>79</v>
      </c>
      <c r="C95" s="108" t="s">
        <v>244</v>
      </c>
      <c r="D95" s="109">
        <v>1</v>
      </c>
      <c r="E95" s="85" t="s">
        <v>283</v>
      </c>
      <c r="F95" s="82" t="s">
        <v>289</v>
      </c>
      <c r="G95" t="s">
        <v>271</v>
      </c>
    </row>
    <row r="96" spans="1:7" ht="15.75" x14ac:dyDescent="0.25">
      <c r="A96" s="107" t="s">
        <v>290</v>
      </c>
      <c r="B96" s="72" t="s">
        <v>291</v>
      </c>
      <c r="C96" s="108"/>
      <c r="D96" s="109"/>
      <c r="E96" s="85"/>
      <c r="F96" s="74"/>
    </row>
    <row r="97" spans="1:7" ht="15.75" x14ac:dyDescent="0.25">
      <c r="A97" s="94" t="s">
        <v>292</v>
      </c>
      <c r="B97" s="95" t="s">
        <v>293</v>
      </c>
      <c r="C97" s="72" t="s">
        <v>273</v>
      </c>
      <c r="D97" s="109">
        <v>300</v>
      </c>
      <c r="E97" s="96"/>
      <c r="F97" s="74"/>
    </row>
    <row r="98" spans="1:7" ht="15.75" x14ac:dyDescent="0.25">
      <c r="A98" s="94" t="s">
        <v>294</v>
      </c>
      <c r="B98" s="95" t="s">
        <v>295</v>
      </c>
      <c r="C98" s="72" t="s">
        <v>273</v>
      </c>
      <c r="D98" s="109">
        <v>400</v>
      </c>
      <c r="E98" s="96"/>
      <c r="F98" s="74"/>
    </row>
    <row r="99" spans="1:7" ht="15.75" x14ac:dyDescent="0.25">
      <c r="A99" s="94" t="s">
        <v>296</v>
      </c>
      <c r="B99" s="95" t="s">
        <v>297</v>
      </c>
      <c r="C99" s="72" t="s">
        <v>273</v>
      </c>
      <c r="D99" s="109">
        <v>400</v>
      </c>
      <c r="E99" s="96"/>
      <c r="F99" s="74"/>
    </row>
    <row r="100" spans="1:7" ht="15.75" x14ac:dyDescent="0.25">
      <c r="A100" s="94" t="s">
        <v>298</v>
      </c>
      <c r="B100" s="95" t="s">
        <v>299</v>
      </c>
      <c r="C100" s="72" t="s">
        <v>273</v>
      </c>
      <c r="D100" s="109">
        <v>400</v>
      </c>
      <c r="E100" s="96"/>
      <c r="F100" s="74"/>
    </row>
    <row r="101" spans="1:7" ht="15.75" x14ac:dyDescent="0.25">
      <c r="A101" s="94" t="s">
        <v>300</v>
      </c>
      <c r="B101" s="95" t="s">
        <v>301</v>
      </c>
      <c r="C101" s="72"/>
      <c r="D101" s="109"/>
      <c r="E101" s="96"/>
      <c r="F101" s="74"/>
    </row>
    <row r="102" spans="1:7" ht="63" x14ac:dyDescent="0.25">
      <c r="A102" s="94" t="s">
        <v>302</v>
      </c>
      <c r="B102" s="72" t="s">
        <v>303</v>
      </c>
      <c r="C102" s="72" t="s">
        <v>304</v>
      </c>
      <c r="D102" s="108" t="s">
        <v>305</v>
      </c>
      <c r="E102" s="96"/>
      <c r="F102" s="74"/>
    </row>
    <row r="103" spans="1:7" ht="15.75" x14ac:dyDescent="0.25">
      <c r="A103" s="94" t="s">
        <v>306</v>
      </c>
      <c r="B103" s="95" t="s">
        <v>307</v>
      </c>
      <c r="C103" s="72" t="s">
        <v>308</v>
      </c>
      <c r="D103" s="109">
        <v>26</v>
      </c>
      <c r="E103" s="96"/>
      <c r="F103" s="74"/>
    </row>
    <row r="104" spans="1:7" ht="15.75" x14ac:dyDescent="0.25">
      <c r="A104" s="94" t="s">
        <v>309</v>
      </c>
      <c r="B104" s="72" t="s">
        <v>310</v>
      </c>
      <c r="C104" s="72"/>
      <c r="D104" s="109"/>
      <c r="E104" s="96"/>
      <c r="F104" s="74"/>
    </row>
    <row r="105" spans="1:7" ht="31.5" x14ac:dyDescent="0.25">
      <c r="A105" s="94" t="s">
        <v>311</v>
      </c>
      <c r="B105" s="72" t="s">
        <v>312</v>
      </c>
      <c r="C105" s="72" t="s">
        <v>313</v>
      </c>
      <c r="D105" s="109">
        <v>10</v>
      </c>
      <c r="E105" s="96"/>
      <c r="F105" s="74"/>
    </row>
    <row r="106" spans="1:7" ht="15.75" x14ac:dyDescent="0.25">
      <c r="A106" s="94" t="s">
        <v>314</v>
      </c>
      <c r="B106" s="95" t="s">
        <v>315</v>
      </c>
      <c r="C106" s="72" t="s">
        <v>316</v>
      </c>
      <c r="D106" s="109">
        <v>0</v>
      </c>
      <c r="E106" s="96"/>
      <c r="F106" s="74"/>
    </row>
    <row r="107" spans="1:7" s="122" customFormat="1" ht="15.75" x14ac:dyDescent="0.25">
      <c r="A107" s="119"/>
      <c r="B107" s="261" t="s">
        <v>602</v>
      </c>
      <c r="C107" s="120" t="s">
        <v>273</v>
      </c>
      <c r="D107" s="121">
        <v>510</v>
      </c>
      <c r="E107" s="263"/>
      <c r="F107" s="123" t="s">
        <v>603</v>
      </c>
    </row>
    <row r="108" spans="1:7" ht="15.75" x14ac:dyDescent="0.25">
      <c r="A108" s="86"/>
      <c r="B108" s="3001" t="s">
        <v>80</v>
      </c>
      <c r="C108" s="3001"/>
      <c r="D108" s="3001"/>
      <c r="E108" s="3002"/>
      <c r="F108" s="76"/>
    </row>
    <row r="109" spans="1:7" ht="16.5" thickBot="1" x14ac:dyDescent="0.3">
      <c r="A109" s="107" t="s">
        <v>81</v>
      </c>
      <c r="B109" s="72" t="s">
        <v>13</v>
      </c>
      <c r="C109" s="108" t="s">
        <v>0</v>
      </c>
      <c r="D109" s="109">
        <v>1.2</v>
      </c>
      <c r="E109" s="110"/>
      <c r="F109" s="4"/>
    </row>
    <row r="110" spans="1:7" ht="16.5" thickBot="1" x14ac:dyDescent="0.3">
      <c r="A110" s="107" t="s">
        <v>82</v>
      </c>
      <c r="B110" s="72" t="s">
        <v>69</v>
      </c>
      <c r="C110" s="108" t="s">
        <v>242</v>
      </c>
      <c r="D110" s="109">
        <v>700</v>
      </c>
      <c r="E110" s="73" t="s">
        <v>262</v>
      </c>
      <c r="F110" s="4" t="s">
        <v>172</v>
      </c>
      <c r="G110" t="s">
        <v>272</v>
      </c>
    </row>
    <row r="111" spans="1:7" ht="16.5" thickBot="1" x14ac:dyDescent="0.3">
      <c r="A111" s="107" t="s">
        <v>83</v>
      </c>
      <c r="B111" s="72" t="s">
        <v>21</v>
      </c>
      <c r="C111" s="108" t="s">
        <v>273</v>
      </c>
      <c r="D111" s="109">
        <v>650</v>
      </c>
      <c r="E111" s="73" t="s">
        <v>262</v>
      </c>
      <c r="F111" s="4" t="s">
        <v>167</v>
      </c>
      <c r="G111" t="s">
        <v>274</v>
      </c>
    </row>
    <row r="112" spans="1:7" ht="32.25" thickBot="1" x14ac:dyDescent="0.3">
      <c r="A112" s="107" t="s">
        <v>84</v>
      </c>
      <c r="B112" s="72" t="s">
        <v>74</v>
      </c>
      <c r="C112" s="108"/>
      <c r="D112" s="92">
        <v>0.8</v>
      </c>
      <c r="E112" s="73" t="s">
        <v>275</v>
      </c>
      <c r="F112" s="4" t="s">
        <v>175</v>
      </c>
    </row>
    <row r="113" spans="1:7" ht="32.25" thickBot="1" x14ac:dyDescent="0.3">
      <c r="A113" s="107" t="s">
        <v>85</v>
      </c>
      <c r="B113" s="72" t="s">
        <v>19</v>
      </c>
      <c r="C113" s="108"/>
      <c r="D113" s="109"/>
      <c r="E113" s="73" t="s">
        <v>247</v>
      </c>
      <c r="F113" s="4" t="s">
        <v>161</v>
      </c>
      <c r="G113" t="s">
        <v>248</v>
      </c>
    </row>
    <row r="114" spans="1:7" ht="15" customHeight="1" thickBot="1" x14ac:dyDescent="0.3">
      <c r="A114" s="107" t="s">
        <v>276</v>
      </c>
      <c r="B114" s="72" t="s">
        <v>250</v>
      </c>
      <c r="C114" s="108" t="s">
        <v>157</v>
      </c>
      <c r="D114" s="109">
        <v>8</v>
      </c>
      <c r="E114" s="73"/>
      <c r="F114" s="4"/>
    </row>
    <row r="115" spans="1:7" ht="32.25" hidden="1" thickBot="1" x14ac:dyDescent="0.3">
      <c r="A115" s="75" t="s">
        <v>277</v>
      </c>
      <c r="B115" s="77" t="s">
        <v>252</v>
      </c>
      <c r="C115" s="78" t="s">
        <v>157</v>
      </c>
      <c r="D115" s="79"/>
      <c r="E115" s="73"/>
      <c r="F115" s="4"/>
    </row>
    <row r="116" spans="1:7" ht="16.5" hidden="1" thickBot="1" x14ac:dyDescent="0.3">
      <c r="A116" s="75" t="s">
        <v>278</v>
      </c>
      <c r="B116" s="77" t="s">
        <v>254</v>
      </c>
      <c r="C116" s="78" t="s">
        <v>157</v>
      </c>
      <c r="D116" s="79"/>
      <c r="E116" s="73"/>
      <c r="F116" s="4"/>
    </row>
    <row r="117" spans="1:7" ht="16.5" thickBot="1" x14ac:dyDescent="0.3">
      <c r="A117" s="107" t="s">
        <v>279</v>
      </c>
      <c r="B117" s="72" t="s">
        <v>256</v>
      </c>
      <c r="C117" s="108" t="s">
        <v>157</v>
      </c>
      <c r="D117" s="109">
        <v>4</v>
      </c>
      <c r="E117" s="73"/>
      <c r="F117" s="4"/>
    </row>
    <row r="118" spans="1:7" ht="16.5" thickBot="1" x14ac:dyDescent="0.3">
      <c r="A118" s="107" t="s">
        <v>86</v>
      </c>
      <c r="B118" s="72" t="s">
        <v>27</v>
      </c>
      <c r="C118" s="108" t="s">
        <v>157</v>
      </c>
      <c r="D118" s="109">
        <v>10</v>
      </c>
      <c r="E118" s="73" t="s">
        <v>280</v>
      </c>
      <c r="F118" s="4" t="s">
        <v>159</v>
      </c>
    </row>
    <row r="119" spans="1:7" ht="16.5" thickBot="1" x14ac:dyDescent="0.3">
      <c r="A119" s="87" t="s">
        <v>87</v>
      </c>
      <c r="B119" s="88" t="s">
        <v>30</v>
      </c>
      <c r="C119" s="89" t="s">
        <v>281</v>
      </c>
      <c r="D119" s="90" t="s">
        <v>282</v>
      </c>
      <c r="E119" s="73" t="s">
        <v>257</v>
      </c>
      <c r="F119" s="4" t="s">
        <v>159</v>
      </c>
      <c r="G119" t="s">
        <v>259</v>
      </c>
    </row>
    <row r="120" spans="1:7" ht="63" x14ac:dyDescent="0.25">
      <c r="A120" s="107" t="s">
        <v>88</v>
      </c>
      <c r="B120" s="72" t="s">
        <v>79</v>
      </c>
      <c r="C120" s="108" t="s">
        <v>244</v>
      </c>
      <c r="D120" s="109">
        <v>1</v>
      </c>
      <c r="E120" s="85" t="s">
        <v>283</v>
      </c>
      <c r="F120" s="91" t="s">
        <v>270</v>
      </c>
      <c r="G120" t="s">
        <v>271</v>
      </c>
    </row>
    <row r="121" spans="1:7" s="122" customFormat="1" ht="15.75" x14ac:dyDescent="0.25">
      <c r="A121" s="119"/>
      <c r="B121" s="261" t="s">
        <v>602</v>
      </c>
      <c r="C121" s="120" t="s">
        <v>273</v>
      </c>
      <c r="D121" s="121">
        <v>520</v>
      </c>
      <c r="E121" s="263"/>
      <c r="F121" s="123" t="s">
        <v>603</v>
      </c>
    </row>
    <row r="122" spans="1:7" ht="15.75" x14ac:dyDescent="0.25">
      <c r="A122" s="75"/>
      <c r="B122" s="3004" t="s">
        <v>89</v>
      </c>
      <c r="C122" s="3004"/>
      <c r="D122" s="3004"/>
      <c r="E122" s="3002"/>
      <c r="F122" s="134"/>
    </row>
    <row r="123" spans="1:7" ht="15.75" x14ac:dyDescent="0.25">
      <c r="A123" s="107" t="s">
        <v>90</v>
      </c>
      <c r="B123" s="72" t="s">
        <v>13</v>
      </c>
      <c r="C123" s="108" t="s">
        <v>0</v>
      </c>
      <c r="D123" s="148">
        <f>D125+D153+D165</f>
        <v>4</v>
      </c>
      <c r="E123" s="110"/>
      <c r="F123" s="135"/>
    </row>
    <row r="124" spans="1:7" ht="15.75" x14ac:dyDescent="0.25">
      <c r="A124" s="75"/>
      <c r="B124" s="3015" t="s">
        <v>91</v>
      </c>
      <c r="C124" s="3015"/>
      <c r="D124" s="3015"/>
      <c r="E124" s="3016"/>
      <c r="F124" s="76"/>
    </row>
    <row r="125" spans="1:7" ht="16.5" thickBot="1" x14ac:dyDescent="0.3">
      <c r="A125" s="107" t="s">
        <v>92</v>
      </c>
      <c r="B125" s="72" t="s">
        <v>13</v>
      </c>
      <c r="C125" s="108" t="s">
        <v>0</v>
      </c>
      <c r="D125" s="109">
        <v>1.8</v>
      </c>
      <c r="E125" s="110"/>
      <c r="F125" s="4"/>
    </row>
    <row r="126" spans="1:7" ht="79.5" thickBot="1" x14ac:dyDescent="0.3">
      <c r="A126" s="107" t="s">
        <v>93</v>
      </c>
      <c r="B126" s="72" t="s">
        <v>94</v>
      </c>
      <c r="C126" s="108" t="s">
        <v>244</v>
      </c>
      <c r="D126" s="109">
        <v>1</v>
      </c>
      <c r="E126" s="73" t="s">
        <v>260</v>
      </c>
      <c r="F126" s="82" t="s">
        <v>261</v>
      </c>
    </row>
    <row r="127" spans="1:7" ht="16.5" thickBot="1" x14ac:dyDescent="0.3">
      <c r="A127" s="75" t="s">
        <v>95</v>
      </c>
      <c r="B127" s="83" t="s">
        <v>96</v>
      </c>
      <c r="C127" s="84"/>
      <c r="D127" s="79"/>
      <c r="E127" s="73" t="s">
        <v>262</v>
      </c>
      <c r="F127" s="4" t="s">
        <v>164</v>
      </c>
    </row>
    <row r="128" spans="1:7" ht="32.25" thickBot="1" x14ac:dyDescent="0.3">
      <c r="A128" s="107" t="s">
        <v>97</v>
      </c>
      <c r="B128" s="72" t="s">
        <v>19</v>
      </c>
      <c r="C128" s="108"/>
      <c r="D128" s="109"/>
      <c r="E128" s="73" t="s">
        <v>247</v>
      </c>
      <c r="F128" s="4" t="s">
        <v>161</v>
      </c>
      <c r="G128" t="s">
        <v>248</v>
      </c>
    </row>
    <row r="129" spans="1:7" ht="16.5" thickBot="1" x14ac:dyDescent="0.3">
      <c r="A129" s="107" t="s">
        <v>263</v>
      </c>
      <c r="B129" s="72" t="s">
        <v>250</v>
      </c>
      <c r="C129" s="108" t="s">
        <v>157</v>
      </c>
      <c r="D129" s="109">
        <v>10</v>
      </c>
      <c r="E129" s="73"/>
      <c r="F129" s="4"/>
    </row>
    <row r="130" spans="1:7" ht="32.25" hidden="1" thickBot="1" x14ac:dyDescent="0.3">
      <c r="A130" s="75" t="s">
        <v>264</v>
      </c>
      <c r="B130" s="77" t="s">
        <v>252</v>
      </c>
      <c r="C130" s="78" t="s">
        <v>157</v>
      </c>
      <c r="D130" s="79"/>
      <c r="E130" s="73"/>
      <c r="F130" s="4"/>
    </row>
    <row r="131" spans="1:7" ht="16.5" hidden="1" thickBot="1" x14ac:dyDescent="0.3">
      <c r="A131" s="75" t="s">
        <v>265</v>
      </c>
      <c r="B131" s="77" t="s">
        <v>254</v>
      </c>
      <c r="C131" s="78" t="s">
        <v>157</v>
      </c>
      <c r="D131" s="79"/>
      <c r="E131" s="73"/>
      <c r="F131" s="4"/>
    </row>
    <row r="132" spans="1:7" ht="16.5" thickBot="1" x14ac:dyDescent="0.3">
      <c r="A132" s="107" t="s">
        <v>266</v>
      </c>
      <c r="B132" s="72" t="s">
        <v>256</v>
      </c>
      <c r="C132" s="108" t="s">
        <v>157</v>
      </c>
      <c r="D132" s="109">
        <v>10</v>
      </c>
      <c r="E132" s="73"/>
      <c r="F132" s="4"/>
    </row>
    <row r="133" spans="1:7" ht="16.5" thickBot="1" x14ac:dyDescent="0.3">
      <c r="A133" s="107" t="s">
        <v>98</v>
      </c>
      <c r="B133" s="72" t="s">
        <v>27</v>
      </c>
      <c r="C133" s="108" t="s">
        <v>157</v>
      </c>
      <c r="D133" s="109">
        <v>30</v>
      </c>
      <c r="E133" s="73" t="s">
        <v>257</v>
      </c>
      <c r="F133" s="4" t="s">
        <v>159</v>
      </c>
    </row>
    <row r="134" spans="1:7" ht="31.5" customHeight="1" thickBot="1" x14ac:dyDescent="0.3">
      <c r="A134" s="107" t="s">
        <v>99</v>
      </c>
      <c r="B134" s="72" t="s">
        <v>64</v>
      </c>
      <c r="C134" s="108" t="s">
        <v>157</v>
      </c>
      <c r="D134" s="109">
        <v>15</v>
      </c>
      <c r="E134" s="85" t="s">
        <v>267</v>
      </c>
      <c r="F134" s="4" t="s">
        <v>171</v>
      </c>
    </row>
    <row r="135" spans="1:7" ht="16.5" thickBot="1" x14ac:dyDescent="0.3">
      <c r="A135" s="87" t="s">
        <v>100</v>
      </c>
      <c r="B135" s="88" t="s">
        <v>30</v>
      </c>
      <c r="C135" s="89" t="s">
        <v>281</v>
      </c>
      <c r="D135" s="90" t="s">
        <v>282</v>
      </c>
      <c r="E135" s="73" t="s">
        <v>269</v>
      </c>
      <c r="F135" s="4" t="s">
        <v>159</v>
      </c>
    </row>
    <row r="136" spans="1:7" ht="63.75" thickBot="1" x14ac:dyDescent="0.3">
      <c r="A136" s="107" t="s">
        <v>101</v>
      </c>
      <c r="B136" s="72" t="s">
        <v>79</v>
      </c>
      <c r="C136" s="108" t="s">
        <v>157</v>
      </c>
      <c r="D136" s="109">
        <v>1</v>
      </c>
      <c r="E136" s="73" t="s">
        <v>260</v>
      </c>
      <c r="F136" s="82" t="s">
        <v>270</v>
      </c>
      <c r="G136" t="s">
        <v>271</v>
      </c>
    </row>
    <row r="137" spans="1:7" ht="15.75" x14ac:dyDescent="0.25">
      <c r="A137" s="107" t="s">
        <v>241</v>
      </c>
      <c r="B137" s="72" t="s">
        <v>21</v>
      </c>
      <c r="C137" s="108" t="s">
        <v>242</v>
      </c>
      <c r="D137" s="109">
        <v>1600</v>
      </c>
      <c r="E137" s="73"/>
      <c r="F137" s="74"/>
    </row>
    <row r="138" spans="1:7" ht="15.75" x14ac:dyDescent="0.25">
      <c r="A138" s="107" t="s">
        <v>243</v>
      </c>
      <c r="B138" s="72" t="s">
        <v>74</v>
      </c>
      <c r="C138" s="108" t="s">
        <v>0</v>
      </c>
      <c r="D138" s="109">
        <v>1</v>
      </c>
      <c r="E138" s="73"/>
      <c r="F138" s="74"/>
    </row>
    <row r="139" spans="1:7" ht="15.75" x14ac:dyDescent="0.25">
      <c r="A139" s="75"/>
      <c r="B139" s="3015" t="s">
        <v>102</v>
      </c>
      <c r="C139" s="3015"/>
      <c r="D139" s="3015"/>
      <c r="E139" s="3016"/>
      <c r="F139" s="76"/>
    </row>
    <row r="140" spans="1:7" ht="16.5" thickBot="1" x14ac:dyDescent="0.3">
      <c r="A140" s="107" t="s">
        <v>103</v>
      </c>
      <c r="B140" s="72" t="s">
        <v>13</v>
      </c>
      <c r="C140" s="108" t="s">
        <v>0</v>
      </c>
      <c r="D140" s="109">
        <v>4.7</v>
      </c>
      <c r="E140" s="110"/>
      <c r="F140" s="4"/>
    </row>
    <row r="141" spans="1:7" ht="16.5" thickBot="1" x14ac:dyDescent="0.3">
      <c r="A141" s="107" t="s">
        <v>104</v>
      </c>
      <c r="B141" s="72" t="s">
        <v>105</v>
      </c>
      <c r="C141" s="108" t="s">
        <v>244</v>
      </c>
      <c r="D141" s="109">
        <v>1</v>
      </c>
      <c r="E141" s="73" t="s">
        <v>245</v>
      </c>
      <c r="F141" s="4" t="s">
        <v>176</v>
      </c>
    </row>
    <row r="142" spans="1:7" ht="16.5" thickBot="1" x14ac:dyDescent="0.3">
      <c r="A142" s="107" t="s">
        <v>106</v>
      </c>
      <c r="B142" s="72" t="s">
        <v>108</v>
      </c>
      <c r="C142" s="108" t="s">
        <v>157</v>
      </c>
      <c r="D142" s="109">
        <v>1</v>
      </c>
      <c r="E142" s="73" t="s">
        <v>245</v>
      </c>
      <c r="F142" s="4" t="s">
        <v>176</v>
      </c>
    </row>
    <row r="143" spans="1:7" ht="16.5" thickBot="1" x14ac:dyDescent="0.3">
      <c r="A143" s="107" t="s">
        <v>107</v>
      </c>
      <c r="B143" s="72" t="s">
        <v>110</v>
      </c>
      <c r="C143" s="108" t="s">
        <v>244</v>
      </c>
      <c r="D143" s="109">
        <v>1</v>
      </c>
      <c r="E143" s="73" t="s">
        <v>246</v>
      </c>
      <c r="F143" s="4" t="s">
        <v>176</v>
      </c>
    </row>
    <row r="144" spans="1:7" ht="32.25" thickBot="1" x14ac:dyDescent="0.3">
      <c r="A144" s="107" t="s">
        <v>109</v>
      </c>
      <c r="B144" s="72" t="s">
        <v>19</v>
      </c>
      <c r="C144" s="108"/>
      <c r="D144" s="109"/>
      <c r="E144" s="73" t="s">
        <v>247</v>
      </c>
      <c r="F144" s="4" t="s">
        <v>161</v>
      </c>
      <c r="G144" t="s">
        <v>248</v>
      </c>
    </row>
    <row r="145" spans="1:7" ht="15.75" customHeight="1" thickBot="1" x14ac:dyDescent="0.3">
      <c r="A145" s="107" t="s">
        <v>249</v>
      </c>
      <c r="B145" s="72" t="s">
        <v>250</v>
      </c>
      <c r="C145" s="108" t="s">
        <v>157</v>
      </c>
      <c r="D145" s="109">
        <v>6</v>
      </c>
      <c r="E145" s="73"/>
      <c r="F145" s="4"/>
    </row>
    <row r="146" spans="1:7" ht="32.25" hidden="1" thickBot="1" x14ac:dyDescent="0.3">
      <c r="A146" s="75" t="s">
        <v>251</v>
      </c>
      <c r="B146" s="77" t="s">
        <v>252</v>
      </c>
      <c r="C146" s="78" t="s">
        <v>157</v>
      </c>
      <c r="D146" s="79"/>
      <c r="E146" s="73"/>
      <c r="F146" s="4"/>
    </row>
    <row r="147" spans="1:7" ht="16.5" thickBot="1" x14ac:dyDescent="0.3">
      <c r="A147" s="107" t="s">
        <v>253</v>
      </c>
      <c r="B147" s="72" t="s">
        <v>254</v>
      </c>
      <c r="C147" s="108" t="s">
        <v>157</v>
      </c>
      <c r="D147" s="109">
        <v>2</v>
      </c>
      <c r="E147" s="73"/>
      <c r="F147" s="4"/>
    </row>
    <row r="148" spans="1:7" ht="16.5" thickBot="1" x14ac:dyDescent="0.3">
      <c r="A148" s="107" t="s">
        <v>255</v>
      </c>
      <c r="B148" s="72" t="s">
        <v>256</v>
      </c>
      <c r="C148" s="108" t="s">
        <v>157</v>
      </c>
      <c r="D148" s="109">
        <v>4</v>
      </c>
      <c r="E148" s="73"/>
      <c r="F148" s="4"/>
    </row>
    <row r="149" spans="1:7" ht="16.5" thickBot="1" x14ac:dyDescent="0.3">
      <c r="A149" s="107" t="s">
        <v>111</v>
      </c>
      <c r="B149" s="72" t="s">
        <v>27</v>
      </c>
      <c r="C149" s="108" t="s">
        <v>157</v>
      </c>
      <c r="D149" s="109">
        <v>20</v>
      </c>
      <c r="E149" s="73" t="s">
        <v>257</v>
      </c>
      <c r="F149" s="4" t="s">
        <v>159</v>
      </c>
    </row>
    <row r="150" spans="1:7" ht="16.5" thickBot="1" x14ac:dyDescent="0.3">
      <c r="A150" s="87" t="s">
        <v>112</v>
      </c>
      <c r="B150" s="88" t="s">
        <v>30</v>
      </c>
      <c r="C150" s="89" t="s">
        <v>258</v>
      </c>
      <c r="D150" s="90" t="s">
        <v>417</v>
      </c>
      <c r="E150" s="73" t="s">
        <v>257</v>
      </c>
      <c r="F150" s="4" t="s">
        <v>159</v>
      </c>
      <c r="G150" t="s">
        <v>259</v>
      </c>
    </row>
    <row r="151" spans="1:7" ht="15.75" x14ac:dyDescent="0.25">
      <c r="A151" s="107" t="s">
        <v>113</v>
      </c>
      <c r="B151" s="72" t="s">
        <v>21</v>
      </c>
      <c r="C151" s="108" t="s">
        <v>242</v>
      </c>
      <c r="D151" s="109">
        <v>550</v>
      </c>
      <c r="E151" s="73"/>
      <c r="F151" s="74"/>
    </row>
    <row r="152" spans="1:7" ht="15.75" x14ac:dyDescent="0.25">
      <c r="A152" s="75"/>
      <c r="B152" s="3015" t="s">
        <v>114</v>
      </c>
      <c r="C152" s="3015"/>
      <c r="D152" s="3015"/>
      <c r="E152" s="3016"/>
      <c r="F152" s="76"/>
    </row>
    <row r="153" spans="1:7" ht="16.5" thickBot="1" x14ac:dyDescent="0.3">
      <c r="A153" s="107" t="s">
        <v>115</v>
      </c>
      <c r="B153" s="72" t="s">
        <v>13</v>
      </c>
      <c r="C153" s="108" t="s">
        <v>0</v>
      </c>
      <c r="D153" s="109">
        <v>0.4</v>
      </c>
      <c r="E153" s="110"/>
      <c r="F153" s="4"/>
    </row>
    <row r="154" spans="1:7" ht="16.5" thickBot="1" x14ac:dyDescent="0.3">
      <c r="A154" s="107" t="s">
        <v>116</v>
      </c>
      <c r="B154" s="72" t="s">
        <v>117</v>
      </c>
      <c r="C154" s="108" t="s">
        <v>130</v>
      </c>
      <c r="D154" s="109">
        <v>60</v>
      </c>
      <c r="E154" s="73" t="s">
        <v>245</v>
      </c>
      <c r="F154" s="4" t="s">
        <v>176</v>
      </c>
    </row>
    <row r="155" spans="1:7" ht="32.25" thickBot="1" x14ac:dyDescent="0.3">
      <c r="A155" s="107" t="s">
        <v>118</v>
      </c>
      <c r="B155" s="72" t="s">
        <v>19</v>
      </c>
      <c r="C155" s="108"/>
      <c r="D155" s="109"/>
      <c r="E155" s="73" t="s">
        <v>247</v>
      </c>
      <c r="F155" s="4" t="s">
        <v>161</v>
      </c>
    </row>
    <row r="156" spans="1:7" ht="16.5" thickBot="1" x14ac:dyDescent="0.3">
      <c r="A156" s="107" t="s">
        <v>380</v>
      </c>
      <c r="B156" s="72" t="s">
        <v>250</v>
      </c>
      <c r="C156" s="108" t="s">
        <v>157</v>
      </c>
      <c r="D156" s="109">
        <v>2</v>
      </c>
      <c r="E156" s="73"/>
      <c r="F156" s="4"/>
    </row>
    <row r="157" spans="1:7" ht="31.5" customHeight="1" thickBot="1" x14ac:dyDescent="0.3">
      <c r="A157" s="107" t="s">
        <v>381</v>
      </c>
      <c r="B157" s="72" t="s">
        <v>252</v>
      </c>
      <c r="C157" s="108" t="s">
        <v>157</v>
      </c>
      <c r="D157" s="109">
        <v>2</v>
      </c>
      <c r="E157" s="73"/>
      <c r="F157" s="4"/>
    </row>
    <row r="158" spans="1:7" ht="16.5" hidden="1" thickBot="1" x14ac:dyDescent="0.3">
      <c r="A158" s="75" t="s">
        <v>382</v>
      </c>
      <c r="B158" s="77" t="s">
        <v>254</v>
      </c>
      <c r="C158" s="78" t="s">
        <v>157</v>
      </c>
      <c r="D158" s="99"/>
      <c r="E158" s="73"/>
      <c r="F158" s="4"/>
    </row>
    <row r="159" spans="1:7" ht="16.5" hidden="1" thickBot="1" x14ac:dyDescent="0.3">
      <c r="A159" s="75" t="s">
        <v>383</v>
      </c>
      <c r="B159" s="77" t="s">
        <v>256</v>
      </c>
      <c r="C159" s="78" t="s">
        <v>157</v>
      </c>
      <c r="D159" s="99"/>
      <c r="E159" s="73"/>
      <c r="F159" s="4"/>
    </row>
    <row r="160" spans="1:7" ht="16.5" thickBot="1" x14ac:dyDescent="0.3">
      <c r="A160" s="107" t="s">
        <v>119</v>
      </c>
      <c r="B160" s="72" t="s">
        <v>21</v>
      </c>
      <c r="C160" s="108" t="s">
        <v>242</v>
      </c>
      <c r="D160" s="109">
        <v>200</v>
      </c>
      <c r="E160" s="73" t="s">
        <v>262</v>
      </c>
      <c r="F160" s="4" t="s">
        <v>167</v>
      </c>
      <c r="G160" t="s">
        <v>384</v>
      </c>
    </row>
    <row r="161" spans="1:7" ht="16.5" thickBot="1" x14ac:dyDescent="0.3">
      <c r="A161" s="107" t="s">
        <v>120</v>
      </c>
      <c r="B161" s="72" t="s">
        <v>27</v>
      </c>
      <c r="C161" s="108" t="s">
        <v>157</v>
      </c>
      <c r="D161" s="109">
        <v>10</v>
      </c>
      <c r="E161" s="73" t="s">
        <v>257</v>
      </c>
      <c r="F161" s="4" t="s">
        <v>159</v>
      </c>
    </row>
    <row r="162" spans="1:7" ht="16.5" thickBot="1" x14ac:dyDescent="0.3">
      <c r="A162" s="87" t="s">
        <v>121</v>
      </c>
      <c r="B162" s="88" t="s">
        <v>30</v>
      </c>
      <c r="C162" s="100" t="s">
        <v>281</v>
      </c>
      <c r="D162" s="124" t="s">
        <v>385</v>
      </c>
      <c r="E162" s="103" t="s">
        <v>257</v>
      </c>
      <c r="F162" s="4" t="s">
        <v>159</v>
      </c>
      <c r="G162" t="s">
        <v>259</v>
      </c>
    </row>
    <row r="163" spans="1:7" ht="15.75" x14ac:dyDescent="0.25">
      <c r="A163" s="107" t="s">
        <v>386</v>
      </c>
      <c r="B163" s="112" t="s">
        <v>74</v>
      </c>
      <c r="C163" s="113" t="s">
        <v>0</v>
      </c>
      <c r="D163" s="114">
        <v>0.3</v>
      </c>
      <c r="E163" s="73"/>
      <c r="F163" s="74"/>
    </row>
    <row r="164" spans="1:7" ht="15.75" x14ac:dyDescent="0.25">
      <c r="A164" s="75"/>
      <c r="B164" s="3015" t="s">
        <v>122</v>
      </c>
      <c r="C164" s="3015"/>
      <c r="D164" s="3015"/>
      <c r="E164" s="3016"/>
      <c r="F164" s="76"/>
    </row>
    <row r="165" spans="1:7" ht="16.5" thickBot="1" x14ac:dyDescent="0.3">
      <c r="A165" s="107" t="s">
        <v>123</v>
      </c>
      <c r="B165" s="72" t="s">
        <v>13</v>
      </c>
      <c r="C165" s="108" t="s">
        <v>0</v>
      </c>
      <c r="D165" s="109">
        <v>1.8</v>
      </c>
      <c r="E165" s="110"/>
      <c r="F165" s="4"/>
    </row>
    <row r="166" spans="1:7" ht="32.25" thickBot="1" x14ac:dyDescent="0.3">
      <c r="A166" s="75" t="s">
        <v>124</v>
      </c>
      <c r="B166" s="83" t="s">
        <v>125</v>
      </c>
      <c r="C166" s="84"/>
      <c r="D166" s="79"/>
      <c r="E166" s="85" t="s">
        <v>340</v>
      </c>
      <c r="F166" s="4" t="s">
        <v>177</v>
      </c>
    </row>
    <row r="167" spans="1:7" ht="16.5" thickBot="1" x14ac:dyDescent="0.3">
      <c r="A167" s="107" t="s">
        <v>126</v>
      </c>
      <c r="B167" s="72" t="s">
        <v>21</v>
      </c>
      <c r="C167" s="108" t="s">
        <v>242</v>
      </c>
      <c r="D167" s="109">
        <v>600</v>
      </c>
      <c r="E167" s="73" t="s">
        <v>262</v>
      </c>
      <c r="F167" s="4" t="s">
        <v>167</v>
      </c>
      <c r="G167" t="s">
        <v>384</v>
      </c>
    </row>
    <row r="168" spans="1:7" ht="95.25" thickBot="1" x14ac:dyDescent="0.3">
      <c r="A168" s="119" t="s">
        <v>127</v>
      </c>
      <c r="B168" s="88" t="s">
        <v>74</v>
      </c>
      <c r="C168" s="100" t="s">
        <v>0</v>
      </c>
      <c r="D168" s="101">
        <v>1</v>
      </c>
      <c r="E168" s="73" t="s">
        <v>275</v>
      </c>
      <c r="F168" s="4" t="s">
        <v>179</v>
      </c>
    </row>
    <row r="169" spans="1:7" ht="16.5" thickBot="1" x14ac:dyDescent="0.3">
      <c r="A169" s="107" t="s">
        <v>128</v>
      </c>
      <c r="B169" s="72" t="s">
        <v>129</v>
      </c>
      <c r="C169" s="108" t="s">
        <v>130</v>
      </c>
      <c r="D169" s="109" t="s">
        <v>131</v>
      </c>
      <c r="E169" s="73" t="s">
        <v>245</v>
      </c>
      <c r="F169" s="4" t="s">
        <v>176</v>
      </c>
    </row>
    <row r="170" spans="1:7" ht="16.5" thickBot="1" x14ac:dyDescent="0.3">
      <c r="A170" s="107" t="s">
        <v>132</v>
      </c>
      <c r="B170" s="72" t="s">
        <v>133</v>
      </c>
      <c r="C170" s="108" t="s">
        <v>130</v>
      </c>
      <c r="D170" s="109">
        <v>60</v>
      </c>
      <c r="E170" s="73" t="s">
        <v>245</v>
      </c>
      <c r="F170" s="4" t="s">
        <v>176</v>
      </c>
    </row>
    <row r="171" spans="1:7" ht="15.75" x14ac:dyDescent="0.25">
      <c r="A171" s="107" t="s">
        <v>134</v>
      </c>
      <c r="B171" s="72" t="s">
        <v>36</v>
      </c>
      <c r="C171" s="108" t="s">
        <v>130</v>
      </c>
      <c r="D171" s="109">
        <v>2500</v>
      </c>
      <c r="E171" s="73" t="s">
        <v>387</v>
      </c>
      <c r="F171" s="105" t="s">
        <v>337</v>
      </c>
      <c r="G171" s="106" t="s">
        <v>271</v>
      </c>
    </row>
    <row r="172" spans="1:7" ht="16.5" thickBot="1" x14ac:dyDescent="0.3">
      <c r="A172" s="107" t="s">
        <v>135</v>
      </c>
      <c r="B172" s="72" t="s">
        <v>27</v>
      </c>
      <c r="C172" s="108" t="s">
        <v>244</v>
      </c>
      <c r="D172" s="109">
        <v>25</v>
      </c>
      <c r="E172" s="73" t="s">
        <v>257</v>
      </c>
      <c r="F172" s="4" t="s">
        <v>159</v>
      </c>
    </row>
    <row r="173" spans="1:7" ht="48" thickBot="1" x14ac:dyDescent="0.3">
      <c r="A173" s="87" t="s">
        <v>136</v>
      </c>
      <c r="B173" s="88" t="s">
        <v>137</v>
      </c>
      <c r="C173" s="100" t="s">
        <v>324</v>
      </c>
      <c r="D173" s="101" t="s">
        <v>325</v>
      </c>
      <c r="E173" s="85" t="s">
        <v>267</v>
      </c>
      <c r="F173" s="4" t="s">
        <v>171</v>
      </c>
    </row>
    <row r="174" spans="1:7" ht="16.5" thickBot="1" x14ac:dyDescent="0.3">
      <c r="A174" s="107" t="s">
        <v>138</v>
      </c>
      <c r="B174" s="72" t="s">
        <v>30</v>
      </c>
      <c r="C174" s="80" t="s">
        <v>258</v>
      </c>
      <c r="D174" s="81" t="s">
        <v>268</v>
      </c>
      <c r="E174" s="73" t="s">
        <v>257</v>
      </c>
      <c r="F174" s="4" t="s">
        <v>159</v>
      </c>
      <c r="G174" t="s">
        <v>259</v>
      </c>
    </row>
    <row r="175" spans="1:7" ht="63.75" thickBot="1" x14ac:dyDescent="0.3">
      <c r="A175" s="107" t="s">
        <v>139</v>
      </c>
      <c r="B175" s="72" t="s">
        <v>140</v>
      </c>
      <c r="C175" s="108" t="s">
        <v>244</v>
      </c>
      <c r="D175" s="109">
        <v>1</v>
      </c>
      <c r="E175" s="73" t="s">
        <v>260</v>
      </c>
      <c r="F175" s="82" t="s">
        <v>388</v>
      </c>
      <c r="G175" t="s">
        <v>271</v>
      </c>
    </row>
    <row r="176" spans="1:7" ht="16.5" thickBot="1" x14ac:dyDescent="0.3">
      <c r="A176" s="107" t="s">
        <v>141</v>
      </c>
      <c r="B176" s="72" t="s">
        <v>52</v>
      </c>
      <c r="C176" s="108" t="s">
        <v>317</v>
      </c>
      <c r="D176" s="109">
        <v>1000</v>
      </c>
      <c r="E176" s="73" t="s">
        <v>262</v>
      </c>
      <c r="F176" s="4" t="s">
        <v>167</v>
      </c>
      <c r="G176" t="s">
        <v>259</v>
      </c>
    </row>
    <row r="177" spans="1:6" ht="15.75" x14ac:dyDescent="0.25">
      <c r="A177" s="107" t="s">
        <v>389</v>
      </c>
      <c r="B177" s="72" t="s">
        <v>390</v>
      </c>
      <c r="C177" s="108"/>
      <c r="D177" s="109"/>
      <c r="E177" s="73"/>
      <c r="F177" s="74"/>
    </row>
    <row r="178" spans="1:6" ht="15.75" x14ac:dyDescent="0.25">
      <c r="A178" s="107" t="s">
        <v>391</v>
      </c>
      <c r="B178" s="72" t="s">
        <v>250</v>
      </c>
      <c r="C178" s="108" t="s">
        <v>157</v>
      </c>
      <c r="D178" s="108">
        <v>5</v>
      </c>
      <c r="E178" s="73"/>
      <c r="F178" s="74"/>
    </row>
    <row r="179" spans="1:6" ht="31.5" x14ac:dyDescent="0.25">
      <c r="A179" s="107" t="s">
        <v>392</v>
      </c>
      <c r="B179" s="72" t="s">
        <v>252</v>
      </c>
      <c r="C179" s="108" t="s">
        <v>157</v>
      </c>
      <c r="D179" s="108">
        <v>2</v>
      </c>
      <c r="E179" s="73"/>
      <c r="F179" s="74"/>
    </row>
    <row r="180" spans="1:6" ht="15.75" x14ac:dyDescent="0.25">
      <c r="A180" s="107" t="s">
        <v>393</v>
      </c>
      <c r="B180" s="72" t="s">
        <v>254</v>
      </c>
      <c r="C180" s="108" t="s">
        <v>157</v>
      </c>
      <c r="D180" s="108">
        <v>2</v>
      </c>
      <c r="E180" s="73"/>
      <c r="F180" s="74"/>
    </row>
    <row r="181" spans="1:6" ht="15.75" x14ac:dyDescent="0.25">
      <c r="A181" s="107" t="s">
        <v>394</v>
      </c>
      <c r="B181" s="72" t="s">
        <v>256</v>
      </c>
      <c r="C181" s="108" t="s">
        <v>157</v>
      </c>
      <c r="D181" s="108">
        <v>2</v>
      </c>
      <c r="E181" s="73"/>
      <c r="F181" s="74"/>
    </row>
    <row r="182" spans="1:6" ht="15.75" x14ac:dyDescent="0.25">
      <c r="A182" s="107" t="s">
        <v>395</v>
      </c>
      <c r="B182" s="72" t="s">
        <v>291</v>
      </c>
      <c r="C182" s="108"/>
      <c r="D182" s="108"/>
      <c r="E182" s="73"/>
      <c r="F182" s="74"/>
    </row>
    <row r="183" spans="1:6" ht="15.75" x14ac:dyDescent="0.25">
      <c r="A183" s="94" t="s">
        <v>396</v>
      </c>
      <c r="B183" s="95" t="s">
        <v>293</v>
      </c>
      <c r="C183" s="108" t="s">
        <v>273</v>
      </c>
      <c r="D183" s="109">
        <v>1000</v>
      </c>
      <c r="E183" s="103"/>
      <c r="F183" s="74"/>
    </row>
    <row r="184" spans="1:6" ht="15.75" x14ac:dyDescent="0.25">
      <c r="A184" s="94" t="s">
        <v>397</v>
      </c>
      <c r="B184" s="95" t="s">
        <v>295</v>
      </c>
      <c r="C184" s="108" t="s">
        <v>273</v>
      </c>
      <c r="D184" s="109">
        <v>1200</v>
      </c>
      <c r="E184" s="103"/>
      <c r="F184" s="74"/>
    </row>
    <row r="185" spans="1:6" ht="15.75" x14ac:dyDescent="0.25">
      <c r="A185" s="94" t="s">
        <v>398</v>
      </c>
      <c r="B185" s="95" t="s">
        <v>297</v>
      </c>
      <c r="C185" s="108" t="s">
        <v>273</v>
      </c>
      <c r="D185" s="109">
        <v>1000</v>
      </c>
      <c r="E185" s="103"/>
      <c r="F185" s="74"/>
    </row>
    <row r="186" spans="1:6" ht="15.75" x14ac:dyDescent="0.25">
      <c r="A186" s="94" t="s">
        <v>399</v>
      </c>
      <c r="B186" s="95" t="s">
        <v>299</v>
      </c>
      <c r="C186" s="108" t="s">
        <v>273</v>
      </c>
      <c r="D186" s="109">
        <v>1200</v>
      </c>
      <c r="E186" s="103"/>
      <c r="F186" s="74"/>
    </row>
    <row r="187" spans="1:6" ht="15.75" x14ac:dyDescent="0.25">
      <c r="A187" s="125" t="s">
        <v>400</v>
      </c>
      <c r="B187" s="112" t="s">
        <v>301</v>
      </c>
      <c r="C187" s="113"/>
      <c r="D187" s="113"/>
      <c r="E187" s="73"/>
      <c r="F187" s="74"/>
    </row>
    <row r="188" spans="1:6" ht="63" x14ac:dyDescent="0.25">
      <c r="A188" s="94" t="s">
        <v>401</v>
      </c>
      <c r="B188" s="72" t="s">
        <v>303</v>
      </c>
      <c r="C188" s="108" t="s">
        <v>304</v>
      </c>
      <c r="D188" s="108" t="s">
        <v>402</v>
      </c>
      <c r="E188" s="103"/>
      <c r="F188" s="74"/>
    </row>
    <row r="189" spans="1:6" ht="15.75" x14ac:dyDescent="0.25">
      <c r="A189" s="94" t="s">
        <v>403</v>
      </c>
      <c r="B189" s="95" t="s">
        <v>307</v>
      </c>
      <c r="C189" s="108" t="s">
        <v>308</v>
      </c>
      <c r="D189" s="109">
        <v>50</v>
      </c>
      <c r="E189" s="103"/>
      <c r="F189" s="74"/>
    </row>
    <row r="190" spans="1:6" ht="15.75" x14ac:dyDescent="0.25">
      <c r="A190" s="94" t="s">
        <v>404</v>
      </c>
      <c r="B190" s="72" t="s">
        <v>310</v>
      </c>
      <c r="C190" s="108"/>
      <c r="D190" s="109"/>
      <c r="E190" s="103"/>
      <c r="F190" s="74"/>
    </row>
    <row r="191" spans="1:6" ht="31.5" x14ac:dyDescent="0.25">
      <c r="A191" s="94" t="s">
        <v>405</v>
      </c>
      <c r="B191" s="72" t="s">
        <v>312</v>
      </c>
      <c r="C191" s="108" t="s">
        <v>313</v>
      </c>
      <c r="D191" s="109">
        <v>30</v>
      </c>
      <c r="E191" s="103"/>
      <c r="F191" s="74"/>
    </row>
    <row r="192" spans="1:6" ht="15.75" x14ac:dyDescent="0.25">
      <c r="A192" s="94" t="s">
        <v>406</v>
      </c>
      <c r="B192" s="95" t="s">
        <v>315</v>
      </c>
      <c r="C192" s="108" t="s">
        <v>316</v>
      </c>
      <c r="D192" s="109">
        <v>0</v>
      </c>
      <c r="E192" s="103"/>
      <c r="F192" s="74"/>
    </row>
    <row r="193" spans="1:7" ht="15.75" x14ac:dyDescent="0.25">
      <c r="A193" s="86"/>
      <c r="B193" s="3001" t="s">
        <v>142</v>
      </c>
      <c r="C193" s="3001"/>
      <c r="D193" s="3001"/>
      <c r="E193" s="3002"/>
      <c r="F193" s="76"/>
    </row>
    <row r="194" spans="1:7" ht="15.75" x14ac:dyDescent="0.25">
      <c r="A194" s="75"/>
      <c r="B194" s="3015" t="s">
        <v>143</v>
      </c>
      <c r="C194" s="3015"/>
      <c r="D194" s="3015"/>
      <c r="E194" s="3016"/>
      <c r="F194" s="76"/>
    </row>
    <row r="195" spans="1:7" ht="16.5" thickBot="1" x14ac:dyDescent="0.3">
      <c r="A195" s="107" t="s">
        <v>144</v>
      </c>
      <c r="B195" s="72" t="s">
        <v>13</v>
      </c>
      <c r="C195" s="108" t="s">
        <v>0</v>
      </c>
      <c r="D195" s="109">
        <v>2.7</v>
      </c>
      <c r="E195" s="110"/>
      <c r="F195" s="4"/>
    </row>
    <row r="196" spans="1:7" ht="16.5" thickBot="1" x14ac:dyDescent="0.3">
      <c r="A196" s="107" t="s">
        <v>145</v>
      </c>
      <c r="B196" s="72" t="s">
        <v>21</v>
      </c>
      <c r="C196" s="108" t="s">
        <v>242</v>
      </c>
      <c r="D196" s="109">
        <v>800</v>
      </c>
      <c r="E196" s="73" t="s">
        <v>262</v>
      </c>
      <c r="F196" s="4" t="s">
        <v>167</v>
      </c>
      <c r="G196" t="s">
        <v>384</v>
      </c>
    </row>
    <row r="197" spans="1:7" ht="95.25" thickBot="1" x14ac:dyDescent="0.3">
      <c r="A197" s="107" t="s">
        <v>146</v>
      </c>
      <c r="B197" s="72" t="s">
        <v>74</v>
      </c>
      <c r="C197" s="108" t="s">
        <v>0</v>
      </c>
      <c r="D197" s="109">
        <v>2</v>
      </c>
      <c r="E197" s="73" t="s">
        <v>275</v>
      </c>
      <c r="F197" s="4" t="s">
        <v>179</v>
      </c>
    </row>
    <row r="198" spans="1:7" ht="16.5" thickBot="1" x14ac:dyDescent="0.3">
      <c r="A198" s="107" t="s">
        <v>147</v>
      </c>
      <c r="B198" s="72" t="s">
        <v>148</v>
      </c>
      <c r="C198" s="108" t="s">
        <v>273</v>
      </c>
      <c r="D198" s="109">
        <v>900</v>
      </c>
      <c r="E198" s="73" t="s">
        <v>260</v>
      </c>
      <c r="F198" s="4" t="s">
        <v>178</v>
      </c>
    </row>
    <row r="199" spans="1:7" ht="32.25" thickBot="1" x14ac:dyDescent="0.3">
      <c r="A199" s="107" t="s">
        <v>149</v>
      </c>
      <c r="B199" s="72" t="s">
        <v>19</v>
      </c>
      <c r="C199" s="108"/>
      <c r="D199" s="109"/>
      <c r="E199" s="73" t="s">
        <v>247</v>
      </c>
      <c r="F199" s="4" t="s">
        <v>161</v>
      </c>
      <c r="G199" t="s">
        <v>248</v>
      </c>
    </row>
    <row r="200" spans="1:7" ht="15.75" customHeight="1" thickBot="1" x14ac:dyDescent="0.3">
      <c r="A200" s="107" t="s">
        <v>407</v>
      </c>
      <c r="B200" s="72" t="s">
        <v>250</v>
      </c>
      <c r="C200" s="108" t="s">
        <v>157</v>
      </c>
      <c r="D200" s="109">
        <v>2</v>
      </c>
      <c r="E200" s="73"/>
      <c r="F200" s="4"/>
    </row>
    <row r="201" spans="1:7" ht="32.25" hidden="1" thickBot="1" x14ac:dyDescent="0.3">
      <c r="A201" s="75" t="s">
        <v>408</v>
      </c>
      <c r="B201" s="77" t="s">
        <v>252</v>
      </c>
      <c r="C201" s="78" t="s">
        <v>157</v>
      </c>
      <c r="D201" s="79"/>
      <c r="E201" s="73"/>
      <c r="F201" s="4"/>
    </row>
    <row r="202" spans="1:7" ht="16.5" thickBot="1" x14ac:dyDescent="0.3">
      <c r="A202" s="107" t="s">
        <v>409</v>
      </c>
      <c r="B202" s="72" t="s">
        <v>254</v>
      </c>
      <c r="C202" s="108" t="s">
        <v>157</v>
      </c>
      <c r="D202" s="109">
        <v>4</v>
      </c>
      <c r="E202" s="73"/>
      <c r="F202" s="4"/>
    </row>
    <row r="203" spans="1:7" ht="16.5" hidden="1" thickBot="1" x14ac:dyDescent="0.3">
      <c r="A203" s="75" t="s">
        <v>410</v>
      </c>
      <c r="B203" s="77" t="s">
        <v>256</v>
      </c>
      <c r="C203" s="78" t="s">
        <v>157</v>
      </c>
      <c r="D203" s="79"/>
      <c r="E203" s="73"/>
      <c r="F203" s="4"/>
    </row>
    <row r="204" spans="1:7" ht="16.5" thickBot="1" x14ac:dyDescent="0.3">
      <c r="A204" s="107" t="s">
        <v>150</v>
      </c>
      <c r="B204" s="72" t="s">
        <v>27</v>
      </c>
      <c r="C204" s="108" t="s">
        <v>157</v>
      </c>
      <c r="D204" s="109">
        <v>5</v>
      </c>
      <c r="E204" s="73" t="s">
        <v>257</v>
      </c>
      <c r="F204" s="4" t="s">
        <v>159</v>
      </c>
    </row>
    <row r="205" spans="1:7" ht="16.5" thickBot="1" x14ac:dyDescent="0.3">
      <c r="A205" s="87" t="s">
        <v>151</v>
      </c>
      <c r="B205" s="88" t="s">
        <v>152</v>
      </c>
      <c r="C205" s="100" t="s">
        <v>258</v>
      </c>
      <c r="D205" s="124" t="s">
        <v>411</v>
      </c>
      <c r="E205" s="103" t="s">
        <v>257</v>
      </c>
      <c r="F205" s="4" t="s">
        <v>159</v>
      </c>
      <c r="G205" t="s">
        <v>259</v>
      </c>
    </row>
    <row r="206" spans="1:7" ht="63.75" thickBot="1" x14ac:dyDescent="0.3">
      <c r="A206" s="107" t="s">
        <v>153</v>
      </c>
      <c r="B206" s="72" t="s">
        <v>140</v>
      </c>
      <c r="C206" s="108" t="s">
        <v>244</v>
      </c>
      <c r="D206" s="109">
        <v>1</v>
      </c>
      <c r="E206" s="103" t="s">
        <v>260</v>
      </c>
      <c r="F206" s="127" t="s">
        <v>270</v>
      </c>
      <c r="G206" t="s">
        <v>271</v>
      </c>
    </row>
    <row r="207" spans="1:7" s="122" customFormat="1" ht="15.75" x14ac:dyDescent="0.25">
      <c r="A207" s="119"/>
      <c r="B207" s="261" t="s">
        <v>602</v>
      </c>
      <c r="C207" s="120" t="s">
        <v>273</v>
      </c>
      <c r="D207" s="121">
        <v>800</v>
      </c>
      <c r="E207" s="262"/>
      <c r="F207" s="123" t="s">
        <v>603</v>
      </c>
    </row>
    <row r="208" spans="1:7" ht="15.75" x14ac:dyDescent="0.25">
      <c r="A208" s="75"/>
      <c r="B208" s="3015" t="s">
        <v>1</v>
      </c>
      <c r="C208" s="3015"/>
      <c r="D208" s="3015"/>
      <c r="E208" s="3016"/>
      <c r="F208" s="76"/>
    </row>
    <row r="209" spans="1:6" ht="16.5" thickBot="1" x14ac:dyDescent="0.3">
      <c r="A209" s="107" t="s">
        <v>154</v>
      </c>
      <c r="B209" s="72" t="s">
        <v>13</v>
      </c>
      <c r="C209" s="108" t="s">
        <v>0</v>
      </c>
      <c r="D209" s="109">
        <v>0.5</v>
      </c>
      <c r="E209" s="110"/>
      <c r="F209" s="4"/>
    </row>
    <row r="210" spans="1:6" ht="94.5" x14ac:dyDescent="0.25">
      <c r="A210" s="107" t="s">
        <v>155</v>
      </c>
      <c r="B210" s="72" t="s">
        <v>74</v>
      </c>
      <c r="C210" s="108" t="s">
        <v>0</v>
      </c>
      <c r="D210" s="109">
        <v>0.5</v>
      </c>
      <c r="E210" s="73" t="s">
        <v>275</v>
      </c>
      <c r="F210" s="136" t="s">
        <v>179</v>
      </c>
    </row>
    <row r="211" spans="1:6" ht="16.5" thickBot="1" x14ac:dyDescent="0.3">
      <c r="D211" s="149">
        <f>D209+D195+D165+D153+D140+D125+D109+D83+D58+D30+D8</f>
        <v>24.1</v>
      </c>
    </row>
  </sheetData>
  <mergeCells count="26">
    <mergeCell ref="D32:D33"/>
    <mergeCell ref="B7:E7"/>
    <mergeCell ref="B193:E193"/>
    <mergeCell ref="B194:E194"/>
    <mergeCell ref="B208:E208"/>
    <mergeCell ref="B122:E122"/>
    <mergeCell ref="B124:E124"/>
    <mergeCell ref="B139:E139"/>
    <mergeCell ref="B152:E152"/>
    <mergeCell ref="B164:E164"/>
    <mergeCell ref="A1:E1"/>
    <mergeCell ref="A2:E2"/>
    <mergeCell ref="F35:F36"/>
    <mergeCell ref="F4:F5"/>
    <mergeCell ref="B108:E108"/>
    <mergeCell ref="A4:A5"/>
    <mergeCell ref="B29:E29"/>
    <mergeCell ref="B57:E57"/>
    <mergeCell ref="B82:E82"/>
    <mergeCell ref="B4:B5"/>
    <mergeCell ref="C4:C5"/>
    <mergeCell ref="D4:D5"/>
    <mergeCell ref="A35:A36"/>
    <mergeCell ref="D35:D36"/>
    <mergeCell ref="E35:E36"/>
    <mergeCell ref="C35:C36"/>
  </mergeCells>
  <pageMargins left="0.7" right="0.7" top="0.75" bottom="0.75" header="0.3" footer="0.3"/>
  <pageSetup paperSize="9" scale="41" orientation="portrait" r:id="rId1"/>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32</vt:i4>
      </vt:variant>
    </vt:vector>
  </HeadingPairs>
  <TitlesOfParts>
    <vt:vector size="78" baseType="lpstr">
      <vt:lpstr>График работ</vt:lpstr>
      <vt:lpstr>Пояснительная (ПИР+СМР)</vt:lpstr>
      <vt:lpstr>Протокол (ПИР+СМР)</vt:lpstr>
      <vt:lpstr>Пояснительная</vt:lpstr>
      <vt:lpstr>Протокол</vt:lpstr>
      <vt:lpstr>НМЦ (ПИР+СМР)</vt:lpstr>
      <vt:lpstr>НМЦ</vt:lpstr>
      <vt:lpstr>НМЦК</vt:lpstr>
      <vt:lpstr>Cводная смета ПИР</vt:lpstr>
      <vt:lpstr>Экспертиза ПД и ИЗ</vt:lpstr>
      <vt:lpstr>Геология (без неблагопр период)</vt:lpstr>
      <vt:lpstr>Геология (в благопр услов)</vt:lpstr>
      <vt:lpstr>ИГДИ</vt:lpstr>
      <vt:lpstr>ИГИ</vt:lpstr>
      <vt:lpstr>ИГМИ</vt:lpstr>
      <vt:lpstr>ЛиС</vt:lpstr>
      <vt:lpstr>Геофизика</vt:lpstr>
      <vt:lpstr>РД (для расчета ОВОС)</vt:lpstr>
      <vt:lpstr>ОВОС</vt:lpstr>
      <vt:lpstr>Экология</vt:lpstr>
      <vt:lpstr>Археология</vt:lpstr>
      <vt:lpstr>РД</vt:lpstr>
      <vt:lpstr>ПД</vt:lpstr>
      <vt:lpstr>Экспертиза ГГЭ</vt:lpstr>
      <vt:lpstr>КВЛ (аналог VP-3)</vt:lpstr>
      <vt:lpstr>КВЛ (аналог EL6)</vt:lpstr>
      <vt:lpstr>02-01-08 (аналог)</vt:lpstr>
      <vt:lpstr>02-01-08 Инженерная защита терр</vt:lpstr>
      <vt:lpstr>02-01-08-И (аналог)</vt:lpstr>
      <vt:lpstr>02-01-08-Д (аналог)</vt:lpstr>
      <vt:lpstr>ЛСР 02-02-01</vt:lpstr>
      <vt:lpstr>Проект сметы контракта</vt:lpstr>
      <vt:lpstr>ВОР</vt:lpstr>
      <vt:lpstr>НМЦК (ПИР+стройка) в работе</vt:lpstr>
      <vt:lpstr>Расчет КВЛ</vt:lpstr>
      <vt:lpstr>ЛСР №1</vt:lpstr>
      <vt:lpstr>Индексы-дефляторы</vt:lpstr>
      <vt:lpstr>Индексы Росстата</vt:lpstr>
      <vt:lpstr>Прогнозные индексы</vt:lpstr>
      <vt:lpstr>ОБЪЕКТЫ-АНАЛОГИ=&gt;</vt:lpstr>
      <vt:lpstr>КСБ Архыз</vt:lpstr>
      <vt:lpstr>ЛСР 02-01-01-доп. АР. МФЦ</vt:lpstr>
      <vt:lpstr>МФЦ КПК</vt:lpstr>
      <vt:lpstr>ССР Дукка</vt:lpstr>
      <vt:lpstr>Расчёт по НЦС </vt:lpstr>
      <vt:lpstr>СВОД (объемов работ)</vt:lpstr>
      <vt:lpstr>'02-01-08 (аналог)'!Constr</vt:lpstr>
      <vt:lpstr>'02-01-08 (аналог)'!FOT</vt:lpstr>
      <vt:lpstr>'02-01-08 (аналог)'!Ind</vt:lpstr>
      <vt:lpstr>'02-01-08 (аналог)'!Obosn</vt:lpstr>
      <vt:lpstr>'КСБ Архыз'!Print_Titles</vt:lpstr>
      <vt:lpstr>'Расчёт по НЦС '!Print_Titles</vt:lpstr>
      <vt:lpstr>'02-01-08 (аналог)'!SmPr</vt:lpstr>
      <vt:lpstr>'02-01-08 (аналог)'!Заголовки_для_печати</vt:lpstr>
      <vt:lpstr>'02-01-08 Инженерная защита терр'!Заголовки_для_печати</vt:lpstr>
      <vt:lpstr>'02-01-08-Д (аналог)'!Заголовки_для_печати</vt:lpstr>
      <vt:lpstr>'02-01-08-И (аналог)'!Заголовки_для_печати</vt:lpstr>
      <vt:lpstr>'Геология (без неблагопр период)'!Заголовки_для_печати</vt:lpstr>
      <vt:lpstr>'Геология (в благопр услов)'!Заголовки_для_печати</vt:lpstr>
      <vt:lpstr>'КСБ Архыз'!Заголовки_для_печати</vt:lpstr>
      <vt:lpstr>'ЛСР 02-01-01-доп. АР. МФЦ'!Заголовки_для_печати</vt:lpstr>
      <vt:lpstr>'ЛСР 02-02-01'!Заголовки_для_печати</vt:lpstr>
      <vt:lpstr>'МФЦ КПК'!Заголовки_для_печати</vt:lpstr>
      <vt:lpstr>'Расчёт по НЦС '!Заголовки_для_печати</vt:lpstr>
      <vt:lpstr>'РД (для расчета ОВОС)'!Заголовки_для_печати</vt:lpstr>
      <vt:lpstr>'ССР Дукка'!Заголовки_для_печати</vt:lpstr>
      <vt:lpstr>'02-01-08 Инженерная защита терр'!Область_печати</vt:lpstr>
      <vt:lpstr>'02-01-08-Д (аналог)'!Область_печати</vt:lpstr>
      <vt:lpstr>'02-01-08-И (аналог)'!Область_печати</vt:lpstr>
      <vt:lpstr>Геофизика!Область_печати</vt:lpstr>
      <vt:lpstr>'КВЛ (аналог EL6)'!Область_печати</vt:lpstr>
      <vt:lpstr>'КВЛ (аналог VP-3)'!Область_печати</vt:lpstr>
      <vt:lpstr>'ЛСР 02-01-01-доп. АР. МФЦ'!Область_печати</vt:lpstr>
      <vt:lpstr>'ЛСР 02-02-01'!Область_печати</vt:lpstr>
      <vt:lpstr>'МФЦ КПК'!Область_печати</vt:lpstr>
      <vt:lpstr>НМЦК!Область_печати</vt:lpstr>
      <vt:lpstr>'Расчет КВЛ'!Область_печати</vt:lpstr>
      <vt:lpstr>'Экспертиза ПД и ИЗ'!Область_печати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alexandr.tatarinov@ncrc.ru</dc:creator>
  <cp:lastModifiedBy>Лагутин Сергей Иванович</cp:lastModifiedBy>
  <cp:lastPrinted>2024-05-17T07:16:00Z</cp:lastPrinted>
  <dcterms:created xsi:type="dcterms:W3CDTF">2023-03-21T15:49:14Z</dcterms:created>
  <dcterms:modified xsi:type="dcterms:W3CDTF">2026-09-10T08:27:45Z</dcterms:modified>
</cp:coreProperties>
</file>